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0e012616118355/Documentos/20230814 VIGENTES/DISEÑO DISTRIBUCIÓN/"/>
    </mc:Choice>
  </mc:AlternateContent>
  <xr:revisionPtr revIDLastSave="0" documentId="8_{E41AD78C-145D-47B3-9514-A0A4AD7D5714}" xr6:coauthVersionLast="47" xr6:coauthVersionMax="47" xr10:uidLastSave="{00000000-0000-0000-0000-000000000000}"/>
  <bookViews>
    <workbookView xWindow="-28920" yWindow="-1590" windowWidth="29040" windowHeight="15720" activeTab="2" xr2:uid="{76B8184A-D465-4290-83D3-95F81A1349B2}"/>
  </bookViews>
  <sheets>
    <sheet name="Material" sheetId="55" r:id="rId1"/>
    <sheet name="APUs" sheetId="53" r:id="rId2"/>
    <sheet name="Presupuesto" sheetId="1" r:id="rId3"/>
    <sheet name="IPP" sheetId="60" r:id="rId4"/>
    <sheet name="N Bahias" sheetId="38" r:id="rId5"/>
    <sheet name="Componentes APUs" sheetId="54" r:id="rId6"/>
    <sheet name="Precio Monedas" sheetId="58" r:id="rId7"/>
  </sheets>
  <externalReferences>
    <externalReference r:id="rId8"/>
  </externalReferences>
  <definedNames>
    <definedName name="_1" hidden="1">#REF!</definedName>
    <definedName name="_10" hidden="1">#REF!,#REF!</definedName>
    <definedName name="_11" hidden="1">#REF!</definedName>
    <definedName name="_12" hidden="1">#REF!,#REF!,#REF!,#REF!,#REF!</definedName>
    <definedName name="_13" hidden="1">#REF!</definedName>
    <definedName name="_14" hidden="1">#REF!,#REF!,#REF!,#REF!,#REF!</definedName>
    <definedName name="_15" hidden="1">#REF!,#REF!</definedName>
    <definedName name="_17" hidden="1">#REF!</definedName>
    <definedName name="_19" hidden="1">#REF!,#REF!,#REF!,#REF!,#REF!</definedName>
    <definedName name="_2" hidden="1">#REF!</definedName>
    <definedName name="_20" hidden="1">#REF!,#REF!</definedName>
    <definedName name="_3" hidden="1">#REF!</definedName>
    <definedName name="_4" hidden="1">#REF!</definedName>
    <definedName name="_5" hidden="1">#REF!,#REF!</definedName>
    <definedName name="_6" hidden="1">#REF!,#REF!</definedName>
    <definedName name="_7" hidden="1">#REF!,#REF!</definedName>
    <definedName name="_8" hidden="1">#REF!,#REF!</definedName>
    <definedName name="_9" hidden="1">#REF!,#REF!</definedName>
    <definedName name="_xlnm._FilterDatabase" localSheetId="1" hidden="1">APUs!$A$1919:$G$1926</definedName>
    <definedName name="_xlnm._FilterDatabase" localSheetId="0" hidden="1">Material!$A$1:$I$681</definedName>
    <definedName name="_xlnm._FilterDatabase" localSheetId="2" hidden="1">Presupuesto!$A$15:$S$15</definedName>
    <definedName name="_xlnm._FilterDatabase" hidden="1">#REF!</definedName>
    <definedName name="AccessDatabase" hidden="1">"A:\SAIN.mdb"</definedName>
    <definedName name="asasas" hidden="1">#REF!</definedName>
    <definedName name="Bahías_de_Linea">'N Bahias'!$N$11</definedName>
    <definedName name="Bahías_Equipadas_13_8_kV">'N Bahias'!$B$28</definedName>
    <definedName name="Bahías_Equipadas_34_5_kV">'N Bahias'!$B$27</definedName>
    <definedName name="Bla" hidden="1">#REF!,#REF!</definedName>
    <definedName name="ConsMaestro" hidden="1">#REF!</definedName>
    <definedName name="ioi" hidden="1">#REF!</definedName>
    <definedName name="jairo" hidden="1">#REF!</definedName>
    <definedName name="jairo2" hidden="1">#REF!</definedName>
    <definedName name="Metros_Caseta_a_Patio">'N Bahias'!$B$26</definedName>
    <definedName name="ooooo" hidden="1">#REF!</definedName>
    <definedName name="Pase_de_Vía">'N Bahias'!$B$29</definedName>
    <definedName name="Reconectador">'N Bahias'!$N$5</definedName>
    <definedName name="S" hidden="1">#REF!</definedName>
    <definedName name="SAPBEXrevision" hidden="1">1</definedName>
    <definedName name="SAPBEXsysID" hidden="1">"BWP"</definedName>
    <definedName name="SAPBEXwbID" hidden="1">"1FECOLNLOFDJ481CUORWNVEAH"</definedName>
    <definedName name="Seccionador_Tripolar">'N Bahias'!$N$6</definedName>
    <definedName name="Seccionador_Tripolar_CSPT">'N Bahias'!$N$7</definedName>
    <definedName name="SSSSSSSSSSSS" hidden="1">#REF!,#REF!</definedName>
    <definedName name="tubo2">'[1]N Bahias'!$B$30</definedName>
    <definedName name="Tubos_1_1_2">'N Bahias'!$B$33</definedName>
    <definedName name="Tubos_2">'N Bahias'!$B$32</definedName>
    <definedName name="Tubos_3">'N Bahias'!$B$31</definedName>
    <definedName name="Tubos_4">'N Bahias'!$B$30</definedName>
    <definedName name="XXX" hidden="1">#REF!</definedName>
    <definedName name="Z_235A93C1_87C6_11D4_BB51_444553540000_.wvu.Cols" hidden="1">#REF!,#REF!</definedName>
    <definedName name="Z_235A93C2_87C6_11D4_BB51_444553540000_.wvu.Cols" hidden="1">#REF!,#REF!</definedName>
    <definedName name="Z_235A93C3_87C6_11D4_BB51_444553540000_.wvu.Cols" hidden="1">#REF!,#REF!</definedName>
    <definedName name="Z_235A93C4_87C6_11D4_BB51_444553540000_.wvu.Cols" hidden="1">#REF!,#REF!</definedName>
    <definedName name="Z_235A93C5_87C6_11D4_BB51_444553540000_.wvu.Cols" hidden="1">#REF!,#REF!</definedName>
    <definedName name="Z_235A93C6_87C6_11D4_BB51_444553540000_.wvu.Cols" hidden="1">#REF!,#REF!</definedName>
    <definedName name="Z_235A93C7_87C6_11D4_BB51_444553540000_.wvu.Cols" hidden="1">#REF!,#REF!</definedName>
    <definedName name="Z_6CDBE1A1_8642_11D4_8E16_005004999978_.wvu.PrintTitles" hidden="1">#REF!</definedName>
    <definedName name="Z_6CDBE1A1_8642_11D4_8E16_005004999978_.wvu.Rows" hidden="1">#REF!,#REF!,#REF!,#REF!,#REF!</definedName>
    <definedName name="Z_6CDBE1A2_8642_11D4_8E16_005004999978_.wvu.PrintTitles" hidden="1">#REF!</definedName>
    <definedName name="Z_6CDBE1A2_8642_11D4_8E16_005004999978_.wvu.Rows" hidden="1">#REF!,#REF!,#REF!,#REF!,#REF!</definedName>
    <definedName name="Z_6CDBE1AE_8642_11D4_8E16_005004999978_.wvu.Cols" hidden="1">#REF!,#REF!</definedName>
    <definedName name="Z_6CDBE1AE_8642_11D4_8E16_005004999978_.wvu.PrintArea" hidden="1">#REF!</definedName>
    <definedName name="Z_6CDBE1AE_8642_11D4_8E16_005004999978_.wvu.Rows" hidden="1">#REF!,#REF!,#REF!,#REF!,#REF!</definedName>
    <definedName name="Z_6CDBE1AF_8642_11D4_8E16_005004999978_.wvu.Cols" hidden="1">#REF!,#REF!</definedName>
    <definedName name="Z_6CDBE1AF_8642_11D4_8E16_005004999978_.wvu.Rows" hidden="1">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024" i="53" l="1"/>
  <c r="B349" i="1"/>
  <c r="A17120" i="53"/>
  <c r="A17049" i="53"/>
  <c r="B17117" i="53"/>
  <c r="F17169" i="53"/>
  <c r="G17169" i="53" s="1"/>
  <c r="D17169" i="53"/>
  <c r="B17169" i="53"/>
  <c r="F17168" i="53"/>
  <c r="G17168" i="53" s="1"/>
  <c r="D17168" i="53"/>
  <c r="B17168" i="53"/>
  <c r="F17167" i="53"/>
  <c r="G17167" i="53" s="1"/>
  <c r="D17167" i="53"/>
  <c r="B17167" i="53"/>
  <c r="F17166" i="53"/>
  <c r="G17166" i="53" s="1"/>
  <c r="D17166" i="53"/>
  <c r="B17166" i="53"/>
  <c r="F17165" i="53"/>
  <c r="G17165" i="53" s="1"/>
  <c r="D17165" i="53"/>
  <c r="B17165" i="53"/>
  <c r="F17160" i="53"/>
  <c r="E17160" i="53"/>
  <c r="D17160" i="53"/>
  <c r="B17160" i="53"/>
  <c r="F17159" i="53"/>
  <c r="E17159" i="53"/>
  <c r="D17159" i="53"/>
  <c r="B17159" i="53"/>
  <c r="F17158" i="53"/>
  <c r="E17158" i="53"/>
  <c r="D17158" i="53"/>
  <c r="B17158" i="53"/>
  <c r="F17157" i="53"/>
  <c r="E17157" i="53"/>
  <c r="D17157" i="53"/>
  <c r="B17157" i="53"/>
  <c r="F17156" i="53"/>
  <c r="E17156" i="53"/>
  <c r="D17156" i="53"/>
  <c r="B17156" i="53"/>
  <c r="F17155" i="53"/>
  <c r="E17155" i="53"/>
  <c r="D17155" i="53"/>
  <c r="B17155" i="53"/>
  <c r="F17154" i="53"/>
  <c r="E17154" i="53"/>
  <c r="D17154" i="53"/>
  <c r="B17154" i="53"/>
  <c r="F17153" i="53"/>
  <c r="E17153" i="53"/>
  <c r="D17153" i="53"/>
  <c r="B17153" i="53"/>
  <c r="F17152" i="53"/>
  <c r="E17152" i="53"/>
  <c r="D17152" i="53"/>
  <c r="B17152" i="53"/>
  <c r="F17151" i="53"/>
  <c r="E17151" i="53"/>
  <c r="D17151" i="53"/>
  <c r="B17151" i="53"/>
  <c r="F17150" i="53"/>
  <c r="E17150" i="53"/>
  <c r="D17150" i="53"/>
  <c r="B17150" i="53"/>
  <c r="F17149" i="53"/>
  <c r="E17149" i="53"/>
  <c r="D17149" i="53"/>
  <c r="B17149" i="53"/>
  <c r="F17148" i="53"/>
  <c r="E17148" i="53"/>
  <c r="D17148" i="53"/>
  <c r="B17148" i="53"/>
  <c r="F17143" i="53"/>
  <c r="G17143" i="53" s="1"/>
  <c r="B17143" i="53"/>
  <c r="F17142" i="53"/>
  <c r="G17142" i="53" s="1"/>
  <c r="B17142" i="53"/>
  <c r="F17141" i="53"/>
  <c r="G17141" i="53" s="1"/>
  <c r="B17141" i="53"/>
  <c r="F17140" i="53"/>
  <c r="G17140" i="53" s="1"/>
  <c r="B17140" i="53"/>
  <c r="F17139" i="53"/>
  <c r="G17139" i="53" s="1"/>
  <c r="B17139" i="53"/>
  <c r="F17138" i="53"/>
  <c r="G17138" i="53" s="1"/>
  <c r="B17138" i="53"/>
  <c r="F17133" i="53"/>
  <c r="E17133" i="53"/>
  <c r="D17133" i="53"/>
  <c r="B17133" i="53"/>
  <c r="F17132" i="53"/>
  <c r="E17132" i="53"/>
  <c r="D17132" i="53"/>
  <c r="B17132" i="53"/>
  <c r="F17131" i="53"/>
  <c r="E17131" i="53"/>
  <c r="D17131" i="53"/>
  <c r="B17131" i="53"/>
  <c r="F17130" i="53"/>
  <c r="E17130" i="53"/>
  <c r="D17130" i="53"/>
  <c r="B17130" i="53"/>
  <c r="F17129" i="53"/>
  <c r="E17129" i="53"/>
  <c r="D17129" i="53"/>
  <c r="B17129" i="53"/>
  <c r="F17128" i="53"/>
  <c r="E17128" i="53"/>
  <c r="D17128" i="53"/>
  <c r="B17128" i="53"/>
  <c r="F17123" i="53"/>
  <c r="G17123" i="53" s="1"/>
  <c r="D17123" i="53"/>
  <c r="B17123" i="53"/>
  <c r="F17122" i="53"/>
  <c r="G17122" i="53" s="1"/>
  <c r="D17122" i="53"/>
  <c r="B17122" i="53"/>
  <c r="F17121" i="53"/>
  <c r="G17121" i="53" s="1"/>
  <c r="D17121" i="53"/>
  <c r="B17121" i="53"/>
  <c r="B319" i="1"/>
  <c r="B16279" i="53"/>
  <c r="B367" i="1"/>
  <c r="B281" i="1"/>
  <c r="B12441" i="53"/>
  <c r="B12511" i="53"/>
  <c r="A12514" i="53"/>
  <c r="B12514" i="53" s="1"/>
  <c r="B12515" i="53"/>
  <c r="D12515" i="53"/>
  <c r="F12515" i="53"/>
  <c r="G12515" i="53" s="1"/>
  <c r="B12516" i="53"/>
  <c r="D12516" i="53"/>
  <c r="F12516" i="53"/>
  <c r="G12516" i="53" s="1"/>
  <c r="B12517" i="53"/>
  <c r="D12517" i="53"/>
  <c r="F12517" i="53"/>
  <c r="G12517" i="53" s="1"/>
  <c r="B12522" i="53"/>
  <c r="D12522" i="53"/>
  <c r="E12522" i="53"/>
  <c r="F12522" i="53"/>
  <c r="B12523" i="53"/>
  <c r="D12523" i="53"/>
  <c r="E12523" i="53"/>
  <c r="F12523" i="53"/>
  <c r="B12524" i="53"/>
  <c r="D12524" i="53"/>
  <c r="E12524" i="53"/>
  <c r="F12524" i="53"/>
  <c r="B12525" i="53"/>
  <c r="D12525" i="53"/>
  <c r="E12525" i="53"/>
  <c r="F12525" i="53"/>
  <c r="B12526" i="53"/>
  <c r="D12526" i="53"/>
  <c r="E12526" i="53"/>
  <c r="F12526" i="53"/>
  <c r="B12527" i="53"/>
  <c r="D12527" i="53"/>
  <c r="E12527" i="53"/>
  <c r="F12527" i="53"/>
  <c r="B12528" i="53"/>
  <c r="D12528" i="53"/>
  <c r="E12528" i="53"/>
  <c r="F12528" i="53"/>
  <c r="B12533" i="53"/>
  <c r="F12533" i="53"/>
  <c r="G12533" i="53" s="1"/>
  <c r="B12534" i="53"/>
  <c r="F12534" i="53"/>
  <c r="G12534" i="53" s="1"/>
  <c r="B12535" i="53"/>
  <c r="F12535" i="53"/>
  <c r="G12535" i="53" s="1"/>
  <c r="B12536" i="53"/>
  <c r="F12536" i="53"/>
  <c r="G12536" i="53" s="1"/>
  <c r="B12537" i="53"/>
  <c r="F12537" i="53"/>
  <c r="G12537" i="53" s="1"/>
  <c r="B12538" i="53"/>
  <c r="F12538" i="53"/>
  <c r="G12538" i="53" s="1"/>
  <c r="B12543" i="53"/>
  <c r="D12543" i="53"/>
  <c r="E12543" i="53"/>
  <c r="F12543" i="53"/>
  <c r="B12544" i="53"/>
  <c r="D12544" i="53"/>
  <c r="E12544" i="53"/>
  <c r="F12544" i="53"/>
  <c r="B12545" i="53"/>
  <c r="D12545" i="53"/>
  <c r="E12545" i="53"/>
  <c r="F12545" i="53"/>
  <c r="B12546" i="53"/>
  <c r="D12546" i="53"/>
  <c r="E12546" i="53"/>
  <c r="F12546" i="53"/>
  <c r="B12547" i="53"/>
  <c r="D12547" i="53"/>
  <c r="E12547" i="53"/>
  <c r="F12547" i="53"/>
  <c r="B12548" i="53"/>
  <c r="D12548" i="53"/>
  <c r="E12548" i="53"/>
  <c r="F12548" i="53"/>
  <c r="B12549" i="53"/>
  <c r="D12549" i="53"/>
  <c r="E12549" i="53"/>
  <c r="F12549" i="53"/>
  <c r="B12550" i="53"/>
  <c r="D12550" i="53"/>
  <c r="E12550" i="53"/>
  <c r="F12550" i="53"/>
  <c r="B12551" i="53"/>
  <c r="D12551" i="53"/>
  <c r="E12551" i="53"/>
  <c r="F12551" i="53"/>
  <c r="B12552" i="53"/>
  <c r="D12552" i="53"/>
  <c r="E12552" i="53"/>
  <c r="F12552" i="53"/>
  <c r="B12553" i="53"/>
  <c r="D12553" i="53"/>
  <c r="E12553" i="53"/>
  <c r="F12553" i="53"/>
  <c r="B12554" i="53"/>
  <c r="D12554" i="53"/>
  <c r="E12554" i="53"/>
  <c r="F12554" i="53"/>
  <c r="B12555" i="53"/>
  <c r="D12555" i="53"/>
  <c r="E12555" i="53"/>
  <c r="F12555" i="53"/>
  <c r="B12560" i="53"/>
  <c r="D12560" i="53"/>
  <c r="F12560" i="53"/>
  <c r="G12560" i="53" s="1"/>
  <c r="B12561" i="53"/>
  <c r="D12561" i="53"/>
  <c r="F12561" i="53"/>
  <c r="G12561" i="53" s="1"/>
  <c r="B12562" i="53"/>
  <c r="D12562" i="53"/>
  <c r="F12562" i="53"/>
  <c r="G12562" i="53" s="1"/>
  <c r="B12563" i="53"/>
  <c r="D12563" i="53"/>
  <c r="F12563" i="53"/>
  <c r="G12563" i="53" s="1"/>
  <c r="B12564" i="53"/>
  <c r="D12564" i="53"/>
  <c r="F12564" i="53"/>
  <c r="G12564" i="53" s="1"/>
  <c r="B280" i="1"/>
  <c r="B276" i="1"/>
  <c r="A14958" i="53" s="1"/>
  <c r="A15030" i="53"/>
  <c r="B277" i="1"/>
  <c r="A15027" i="53" s="1"/>
  <c r="B15027" i="53"/>
  <c r="B14958" i="53"/>
  <c r="B215" i="1"/>
  <c r="B271" i="1"/>
  <c r="B265" i="1"/>
  <c r="B259" i="1"/>
  <c r="B257" i="1"/>
  <c r="B256" i="1"/>
  <c r="A13951" i="53"/>
  <c r="C681" i="55"/>
  <c r="A13950" i="53"/>
  <c r="A13949" i="53"/>
  <c r="B13949" i="53" s="1"/>
  <c r="A13948" i="53"/>
  <c r="A13947" i="53"/>
  <c r="A13945" i="53"/>
  <c r="B13945" i="53" s="1"/>
  <c r="A13946" i="53"/>
  <c r="A13944" i="53"/>
  <c r="B13944" i="53" s="1"/>
  <c r="A13943" i="53"/>
  <c r="D13943" i="53" s="1"/>
  <c r="B13940" i="53"/>
  <c r="F13994" i="53"/>
  <c r="G13994" i="53" s="1"/>
  <c r="D13994" i="53"/>
  <c r="B13994" i="53"/>
  <c r="F13993" i="53"/>
  <c r="G13993" i="53" s="1"/>
  <c r="D13993" i="53"/>
  <c r="B13993" i="53"/>
  <c r="F13988" i="53"/>
  <c r="E13988" i="53"/>
  <c r="D13988" i="53"/>
  <c r="B13988" i="53"/>
  <c r="F13987" i="53"/>
  <c r="E13987" i="53"/>
  <c r="D13987" i="53"/>
  <c r="B13987" i="53"/>
  <c r="F13986" i="53"/>
  <c r="E13986" i="53"/>
  <c r="D13986" i="53"/>
  <c r="B13986" i="53"/>
  <c r="F13985" i="53"/>
  <c r="E13985" i="53"/>
  <c r="D13985" i="53"/>
  <c r="B13985" i="53"/>
  <c r="F13984" i="53"/>
  <c r="E13984" i="53"/>
  <c r="D13984" i="53"/>
  <c r="B13984" i="53"/>
  <c r="F13983" i="53"/>
  <c r="E13983" i="53"/>
  <c r="D13983" i="53"/>
  <c r="B13983" i="53"/>
  <c r="F13982" i="53"/>
  <c r="E13982" i="53"/>
  <c r="D13982" i="53"/>
  <c r="B13982" i="53"/>
  <c r="F13981" i="53"/>
  <c r="E13981" i="53"/>
  <c r="D13981" i="53"/>
  <c r="B13981" i="53"/>
  <c r="F13980" i="53"/>
  <c r="E13980" i="53"/>
  <c r="D13980" i="53"/>
  <c r="B13980" i="53"/>
  <c r="F13979" i="53"/>
  <c r="E13979" i="53"/>
  <c r="D13979" i="53"/>
  <c r="B13979" i="53"/>
  <c r="F13978" i="53"/>
  <c r="E13978" i="53"/>
  <c r="D13978" i="53"/>
  <c r="B13978" i="53"/>
  <c r="F13977" i="53"/>
  <c r="E13977" i="53"/>
  <c r="D13977" i="53"/>
  <c r="B13977" i="53"/>
  <c r="F13976" i="53"/>
  <c r="E13976" i="53"/>
  <c r="D13976" i="53"/>
  <c r="B13976" i="53"/>
  <c r="F13971" i="53"/>
  <c r="G13971" i="53" s="1"/>
  <c r="B13971" i="53"/>
  <c r="F13970" i="53"/>
  <c r="G13970" i="53" s="1"/>
  <c r="B13970" i="53"/>
  <c r="F13969" i="53"/>
  <c r="G13969" i="53" s="1"/>
  <c r="B13969" i="53"/>
  <c r="F13968" i="53"/>
  <c r="G13968" i="53" s="1"/>
  <c r="B13968" i="53"/>
  <c r="F13967" i="53"/>
  <c r="G13967" i="53" s="1"/>
  <c r="B13967" i="53"/>
  <c r="F13966" i="53"/>
  <c r="G13966" i="53" s="1"/>
  <c r="B13966" i="53"/>
  <c r="F13961" i="53"/>
  <c r="E13961" i="53"/>
  <c r="D13961" i="53"/>
  <c r="B13961" i="53"/>
  <c r="F13960" i="53"/>
  <c r="E13960" i="53"/>
  <c r="D13960" i="53"/>
  <c r="B13960" i="53"/>
  <c r="F13959" i="53"/>
  <c r="E13959" i="53"/>
  <c r="D13959" i="53"/>
  <c r="B13959" i="53"/>
  <c r="F13958" i="53"/>
  <c r="E13958" i="53"/>
  <c r="D13958" i="53"/>
  <c r="B13958" i="53"/>
  <c r="F13957" i="53"/>
  <c r="E13957" i="53"/>
  <c r="D13957" i="53"/>
  <c r="B13957" i="53"/>
  <c r="F13956" i="53"/>
  <c r="E13956" i="53"/>
  <c r="D13956" i="53"/>
  <c r="B13956" i="53"/>
  <c r="E13951" i="53"/>
  <c r="E13950" i="53"/>
  <c r="E13947" i="53"/>
  <c r="E13945" i="53"/>
  <c r="E13944" i="53"/>
  <c r="E13943" i="53"/>
  <c r="A10504" i="53"/>
  <c r="D10504" i="53" s="1"/>
  <c r="A10503" i="53"/>
  <c r="D10503" i="53" s="1"/>
  <c r="A10502" i="53"/>
  <c r="D10502" i="53" s="1"/>
  <c r="A10501" i="53"/>
  <c r="A10500" i="53"/>
  <c r="D10500" i="53" s="1"/>
  <c r="B10497" i="53"/>
  <c r="F10550" i="53"/>
  <c r="G10550" i="53" s="1"/>
  <c r="D10550" i="53"/>
  <c r="B10550" i="53"/>
  <c r="F10549" i="53"/>
  <c r="G10549" i="53" s="1"/>
  <c r="D10549" i="53"/>
  <c r="B10549" i="53"/>
  <c r="F10548" i="53"/>
  <c r="G10548" i="53" s="1"/>
  <c r="D10548" i="53"/>
  <c r="B10548" i="53"/>
  <c r="F10547" i="53"/>
  <c r="G10547" i="53" s="1"/>
  <c r="D10547" i="53"/>
  <c r="B10547" i="53"/>
  <c r="F10546" i="53"/>
  <c r="G10546" i="53" s="1"/>
  <c r="D10546" i="53"/>
  <c r="B10546" i="53"/>
  <c r="F10541" i="53"/>
  <c r="E10541" i="53"/>
  <c r="D10541" i="53"/>
  <c r="B10541" i="53"/>
  <c r="F10540" i="53"/>
  <c r="E10540" i="53"/>
  <c r="D10540" i="53"/>
  <c r="B10540" i="53"/>
  <c r="F10539" i="53"/>
  <c r="E10539" i="53"/>
  <c r="D10539" i="53"/>
  <c r="B10539" i="53"/>
  <c r="F10538" i="53"/>
  <c r="E10538" i="53"/>
  <c r="D10538" i="53"/>
  <c r="B10538" i="53"/>
  <c r="F10537" i="53"/>
  <c r="E10537" i="53"/>
  <c r="D10537" i="53"/>
  <c r="B10537" i="53"/>
  <c r="F10536" i="53"/>
  <c r="E10536" i="53"/>
  <c r="D10536" i="53"/>
  <c r="B10536" i="53"/>
  <c r="F10535" i="53"/>
  <c r="E10535" i="53"/>
  <c r="D10535" i="53"/>
  <c r="B10535" i="53"/>
  <c r="F10534" i="53"/>
  <c r="E10534" i="53"/>
  <c r="D10534" i="53"/>
  <c r="B10534" i="53"/>
  <c r="F10533" i="53"/>
  <c r="E10533" i="53"/>
  <c r="D10533" i="53"/>
  <c r="B10533" i="53"/>
  <c r="F10532" i="53"/>
  <c r="E10532" i="53"/>
  <c r="D10532" i="53"/>
  <c r="B10532" i="53"/>
  <c r="F10531" i="53"/>
  <c r="E10531" i="53"/>
  <c r="D10531" i="53"/>
  <c r="B10531" i="53"/>
  <c r="F10530" i="53"/>
  <c r="E10530" i="53"/>
  <c r="D10530" i="53"/>
  <c r="B10530" i="53"/>
  <c r="F10529" i="53"/>
  <c r="E10529" i="53"/>
  <c r="D10529" i="53"/>
  <c r="B10529" i="53"/>
  <c r="F10524" i="53"/>
  <c r="G10524" i="53" s="1"/>
  <c r="B10524" i="53"/>
  <c r="F10523" i="53"/>
  <c r="G10523" i="53" s="1"/>
  <c r="B10523" i="53"/>
  <c r="F10522" i="53"/>
  <c r="G10522" i="53" s="1"/>
  <c r="B10522" i="53"/>
  <c r="F10521" i="53"/>
  <c r="G10521" i="53" s="1"/>
  <c r="B10521" i="53"/>
  <c r="F10520" i="53"/>
  <c r="G10520" i="53" s="1"/>
  <c r="B10520" i="53"/>
  <c r="F10519" i="53"/>
  <c r="G10519" i="53" s="1"/>
  <c r="B10519" i="53"/>
  <c r="F10514" i="53"/>
  <c r="E10514" i="53"/>
  <c r="D10514" i="53"/>
  <c r="B10514" i="53"/>
  <c r="F10513" i="53"/>
  <c r="E10513" i="53"/>
  <c r="D10513" i="53"/>
  <c r="B10513" i="53"/>
  <c r="F10512" i="53"/>
  <c r="E10512" i="53"/>
  <c r="D10512" i="53"/>
  <c r="B10512" i="53"/>
  <c r="F10511" i="53"/>
  <c r="E10511" i="53"/>
  <c r="D10511" i="53"/>
  <c r="B10511" i="53"/>
  <c r="F10510" i="53"/>
  <c r="E10510" i="53"/>
  <c r="D10510" i="53"/>
  <c r="B10510" i="53"/>
  <c r="F10509" i="53"/>
  <c r="E10509" i="53"/>
  <c r="D10509" i="53"/>
  <c r="B10509" i="53"/>
  <c r="E10502" i="53"/>
  <c r="E10501" i="53"/>
  <c r="E10500" i="53"/>
  <c r="B13801" i="53"/>
  <c r="A13808" i="53"/>
  <c r="A13806" i="53"/>
  <c r="A13807" i="53"/>
  <c r="B13807" i="53" s="1"/>
  <c r="A13805" i="53"/>
  <c r="B13805" i="53" s="1"/>
  <c r="A13804" i="53"/>
  <c r="F13854" i="53"/>
  <c r="D13854" i="53"/>
  <c r="B13854" i="53"/>
  <c r="F13853" i="53"/>
  <c r="D13853" i="53"/>
  <c r="B13853" i="53"/>
  <c r="F13852" i="53"/>
  <c r="D13852" i="53"/>
  <c r="B13852" i="53"/>
  <c r="F13851" i="53"/>
  <c r="D13851" i="53"/>
  <c r="B13851" i="53"/>
  <c r="F13850" i="53"/>
  <c r="D13850" i="53"/>
  <c r="B13850" i="53"/>
  <c r="F13845" i="53"/>
  <c r="E13845" i="53"/>
  <c r="D13845" i="53"/>
  <c r="B13845" i="53"/>
  <c r="F13844" i="53"/>
  <c r="E13844" i="53"/>
  <c r="D13844" i="53"/>
  <c r="B13844" i="53"/>
  <c r="F13843" i="53"/>
  <c r="E13843" i="53"/>
  <c r="D13843" i="53"/>
  <c r="B13843" i="53"/>
  <c r="F13842" i="53"/>
  <c r="E13842" i="53"/>
  <c r="D13842" i="53"/>
  <c r="B13842" i="53"/>
  <c r="F13841" i="53"/>
  <c r="E13841" i="53"/>
  <c r="D13841" i="53"/>
  <c r="B13841" i="53"/>
  <c r="F13840" i="53"/>
  <c r="E13840" i="53"/>
  <c r="D13840" i="53"/>
  <c r="B13840" i="53"/>
  <c r="F13839" i="53"/>
  <c r="E13839" i="53"/>
  <c r="D13839" i="53"/>
  <c r="B13839" i="53"/>
  <c r="F13838" i="53"/>
  <c r="E13838" i="53"/>
  <c r="D13838" i="53"/>
  <c r="B13838" i="53"/>
  <c r="F13837" i="53"/>
  <c r="E13837" i="53"/>
  <c r="D13837" i="53"/>
  <c r="B13837" i="53"/>
  <c r="F13836" i="53"/>
  <c r="E13836" i="53"/>
  <c r="D13836" i="53"/>
  <c r="B13836" i="53"/>
  <c r="F13835" i="53"/>
  <c r="E13835" i="53"/>
  <c r="D13835" i="53"/>
  <c r="B13835" i="53"/>
  <c r="F13834" i="53"/>
  <c r="E13834" i="53"/>
  <c r="D13834" i="53"/>
  <c r="B13834" i="53"/>
  <c r="F13833" i="53"/>
  <c r="E13833" i="53"/>
  <c r="D13833" i="53"/>
  <c r="B13833" i="53"/>
  <c r="F13828" i="53"/>
  <c r="B13828" i="53"/>
  <c r="F13827" i="53"/>
  <c r="B13827" i="53"/>
  <c r="F13826" i="53"/>
  <c r="B13826" i="53"/>
  <c r="F13825" i="53"/>
  <c r="B13825" i="53"/>
  <c r="F13824" i="53"/>
  <c r="B13824" i="53"/>
  <c r="F13823" i="53"/>
  <c r="B13823" i="53"/>
  <c r="F13818" i="53"/>
  <c r="E13818" i="53"/>
  <c r="D13818" i="53"/>
  <c r="B13818" i="53"/>
  <c r="F13817" i="53"/>
  <c r="E13817" i="53"/>
  <c r="D13817" i="53"/>
  <c r="B13817" i="53"/>
  <c r="F13816" i="53"/>
  <c r="E13816" i="53"/>
  <c r="D13816" i="53"/>
  <c r="B13816" i="53"/>
  <c r="F13815" i="53"/>
  <c r="E13815" i="53"/>
  <c r="D13815" i="53"/>
  <c r="B13815" i="53"/>
  <c r="F13814" i="53"/>
  <c r="E13814" i="53"/>
  <c r="D13814" i="53"/>
  <c r="B13814" i="53"/>
  <c r="F13813" i="53"/>
  <c r="E13813" i="53"/>
  <c r="D13813" i="53"/>
  <c r="B13813" i="53"/>
  <c r="E13808" i="53"/>
  <c r="E13807" i="53"/>
  <c r="E13806" i="53"/>
  <c r="E13805" i="53"/>
  <c r="E13804" i="53"/>
  <c r="E13801" i="53"/>
  <c r="A13589" i="53"/>
  <c r="B13586" i="53"/>
  <c r="F13641" i="53"/>
  <c r="G13641" i="53" s="1"/>
  <c r="D13641" i="53"/>
  <c r="B13641" i="53"/>
  <c r="F13640" i="53"/>
  <c r="G13640" i="53" s="1"/>
  <c r="D13640" i="53"/>
  <c r="B13640" i="53"/>
  <c r="F13639" i="53"/>
  <c r="G13639" i="53" s="1"/>
  <c r="D13639" i="53"/>
  <c r="B13639" i="53"/>
  <c r="F13638" i="53"/>
  <c r="G13638" i="53" s="1"/>
  <c r="D13638" i="53"/>
  <c r="B13638" i="53"/>
  <c r="F13637" i="53"/>
  <c r="G13637" i="53" s="1"/>
  <c r="D13637" i="53"/>
  <c r="B13637" i="53"/>
  <c r="F13632" i="53"/>
  <c r="E13632" i="53"/>
  <c r="D13632" i="53"/>
  <c r="B13632" i="53"/>
  <c r="F13631" i="53"/>
  <c r="E13631" i="53"/>
  <c r="D13631" i="53"/>
  <c r="B13631" i="53"/>
  <c r="F13630" i="53"/>
  <c r="E13630" i="53"/>
  <c r="D13630" i="53"/>
  <c r="B13630" i="53"/>
  <c r="F13629" i="53"/>
  <c r="E13629" i="53"/>
  <c r="D13629" i="53"/>
  <c r="B13629" i="53"/>
  <c r="F13628" i="53"/>
  <c r="E13628" i="53"/>
  <c r="D13628" i="53"/>
  <c r="B13628" i="53"/>
  <c r="F13627" i="53"/>
  <c r="E13627" i="53"/>
  <c r="D13627" i="53"/>
  <c r="B13627" i="53"/>
  <c r="F13626" i="53"/>
  <c r="E13626" i="53"/>
  <c r="D13626" i="53"/>
  <c r="B13626" i="53"/>
  <c r="F13625" i="53"/>
  <c r="E13625" i="53"/>
  <c r="D13625" i="53"/>
  <c r="B13625" i="53"/>
  <c r="F13624" i="53"/>
  <c r="E13624" i="53"/>
  <c r="D13624" i="53"/>
  <c r="B13624" i="53"/>
  <c r="F13623" i="53"/>
  <c r="E13623" i="53"/>
  <c r="D13623" i="53"/>
  <c r="B13623" i="53"/>
  <c r="F13622" i="53"/>
  <c r="E13622" i="53"/>
  <c r="D13622" i="53"/>
  <c r="B13622" i="53"/>
  <c r="F13621" i="53"/>
  <c r="E13621" i="53"/>
  <c r="D13621" i="53"/>
  <c r="B13621" i="53"/>
  <c r="F13620" i="53"/>
  <c r="E13620" i="53"/>
  <c r="D13620" i="53"/>
  <c r="B13620" i="53"/>
  <c r="F13615" i="53"/>
  <c r="G13615" i="53" s="1"/>
  <c r="B13615" i="53"/>
  <c r="F13614" i="53"/>
  <c r="G13614" i="53" s="1"/>
  <c r="B13614" i="53"/>
  <c r="F13613" i="53"/>
  <c r="G13613" i="53" s="1"/>
  <c r="B13613" i="53"/>
  <c r="F13612" i="53"/>
  <c r="G13612" i="53" s="1"/>
  <c r="B13612" i="53"/>
  <c r="F13611" i="53"/>
  <c r="G13611" i="53" s="1"/>
  <c r="B13611" i="53"/>
  <c r="F13610" i="53"/>
  <c r="G13610" i="53" s="1"/>
  <c r="B13610" i="53"/>
  <c r="F13605" i="53"/>
  <c r="E13605" i="53"/>
  <c r="D13605" i="53"/>
  <c r="B13605" i="53"/>
  <c r="F13604" i="53"/>
  <c r="E13604" i="53"/>
  <c r="D13604" i="53"/>
  <c r="B13604" i="53"/>
  <c r="F13603" i="53"/>
  <c r="E13603" i="53"/>
  <c r="D13603" i="53"/>
  <c r="B13603" i="53"/>
  <c r="F13602" i="53"/>
  <c r="E13602" i="53"/>
  <c r="D13602" i="53"/>
  <c r="B13602" i="53"/>
  <c r="F13601" i="53"/>
  <c r="E13601" i="53"/>
  <c r="D13601" i="53"/>
  <c r="B13601" i="53"/>
  <c r="F13600" i="53"/>
  <c r="E13600" i="53"/>
  <c r="D13600" i="53"/>
  <c r="B13600" i="53"/>
  <c r="F13595" i="53"/>
  <c r="G13595" i="53" s="1"/>
  <c r="D13595" i="53"/>
  <c r="B13595" i="53"/>
  <c r="F13594" i="53"/>
  <c r="G13594" i="53" s="1"/>
  <c r="D13594" i="53"/>
  <c r="B13594" i="53"/>
  <c r="F13593" i="53"/>
  <c r="G13593" i="53" s="1"/>
  <c r="D13593" i="53"/>
  <c r="B13593" i="53"/>
  <c r="F13592" i="53"/>
  <c r="G13592" i="53" s="1"/>
  <c r="D13592" i="53"/>
  <c r="B13592" i="53"/>
  <c r="F13591" i="53"/>
  <c r="G13591" i="53" s="1"/>
  <c r="D13591" i="53"/>
  <c r="B13591" i="53"/>
  <c r="F13590" i="53"/>
  <c r="G13590" i="53" s="1"/>
  <c r="D13590" i="53"/>
  <c r="B13590" i="53"/>
  <c r="A13452" i="53"/>
  <c r="D13452" i="53" s="1"/>
  <c r="A13451" i="53"/>
  <c r="D13451" i="53" s="1"/>
  <c r="A13450" i="53"/>
  <c r="A13447" i="53"/>
  <c r="A13448" i="53"/>
  <c r="B13448" i="53" s="1"/>
  <c r="A13449" i="53"/>
  <c r="D13449" i="53" s="1"/>
  <c r="A13446" i="53"/>
  <c r="D13446" i="53" s="1"/>
  <c r="A13445" i="53"/>
  <c r="B13442" i="53"/>
  <c r="F13499" i="53"/>
  <c r="G13499" i="53" s="1"/>
  <c r="D13499" i="53"/>
  <c r="B13499" i="53"/>
  <c r="F13498" i="53"/>
  <c r="G13498" i="53" s="1"/>
  <c r="D13498" i="53"/>
  <c r="B13498" i="53"/>
  <c r="F13497" i="53"/>
  <c r="G13497" i="53" s="1"/>
  <c r="D13497" i="53"/>
  <c r="B13497" i="53"/>
  <c r="F13496" i="53"/>
  <c r="G13496" i="53" s="1"/>
  <c r="D13496" i="53"/>
  <c r="B13496" i="53"/>
  <c r="F13495" i="53"/>
  <c r="G13495" i="53" s="1"/>
  <c r="D13495" i="53"/>
  <c r="B13495" i="53"/>
  <c r="F13490" i="53"/>
  <c r="E13490" i="53"/>
  <c r="D13490" i="53"/>
  <c r="B13490" i="53"/>
  <c r="F13489" i="53"/>
  <c r="E13489" i="53"/>
  <c r="D13489" i="53"/>
  <c r="B13489" i="53"/>
  <c r="F13488" i="53"/>
  <c r="E13488" i="53"/>
  <c r="D13488" i="53"/>
  <c r="B13488" i="53"/>
  <c r="F13487" i="53"/>
  <c r="E13487" i="53"/>
  <c r="D13487" i="53"/>
  <c r="B13487" i="53"/>
  <c r="F13486" i="53"/>
  <c r="E13486" i="53"/>
  <c r="D13486" i="53"/>
  <c r="B13486" i="53"/>
  <c r="F13485" i="53"/>
  <c r="E13485" i="53"/>
  <c r="D13485" i="53"/>
  <c r="B13485" i="53"/>
  <c r="F13484" i="53"/>
  <c r="E13484" i="53"/>
  <c r="D13484" i="53"/>
  <c r="B13484" i="53"/>
  <c r="F13483" i="53"/>
  <c r="E13483" i="53"/>
  <c r="D13483" i="53"/>
  <c r="B13483" i="53"/>
  <c r="F13482" i="53"/>
  <c r="E13482" i="53"/>
  <c r="D13482" i="53"/>
  <c r="B13482" i="53"/>
  <c r="F13481" i="53"/>
  <c r="E13481" i="53"/>
  <c r="D13481" i="53"/>
  <c r="B13481" i="53"/>
  <c r="F13480" i="53"/>
  <c r="E13480" i="53"/>
  <c r="D13480" i="53"/>
  <c r="B13480" i="53"/>
  <c r="F13479" i="53"/>
  <c r="E13479" i="53"/>
  <c r="D13479" i="53"/>
  <c r="B13479" i="53"/>
  <c r="F13478" i="53"/>
  <c r="E13478" i="53"/>
  <c r="D13478" i="53"/>
  <c r="B13478" i="53"/>
  <c r="F13473" i="53"/>
  <c r="G13473" i="53" s="1"/>
  <c r="B13473" i="53"/>
  <c r="F13472" i="53"/>
  <c r="G13472" i="53" s="1"/>
  <c r="B13472" i="53"/>
  <c r="F13471" i="53"/>
  <c r="G13471" i="53" s="1"/>
  <c r="B13471" i="53"/>
  <c r="F13470" i="53"/>
  <c r="G13470" i="53" s="1"/>
  <c r="B13470" i="53"/>
  <c r="F13469" i="53"/>
  <c r="G13469" i="53" s="1"/>
  <c r="B13469" i="53"/>
  <c r="F13468" i="53"/>
  <c r="G13468" i="53" s="1"/>
  <c r="B13468" i="53"/>
  <c r="F13463" i="53"/>
  <c r="E13463" i="53"/>
  <c r="D13463" i="53"/>
  <c r="B13463" i="53"/>
  <c r="F13462" i="53"/>
  <c r="E13462" i="53"/>
  <c r="D13462" i="53"/>
  <c r="B13462" i="53"/>
  <c r="F13461" i="53"/>
  <c r="E13461" i="53"/>
  <c r="D13461" i="53"/>
  <c r="B13461" i="53"/>
  <c r="F13460" i="53"/>
  <c r="E13460" i="53"/>
  <c r="D13460" i="53"/>
  <c r="B13460" i="53"/>
  <c r="F13459" i="53"/>
  <c r="E13459" i="53"/>
  <c r="D13459" i="53"/>
  <c r="B13459" i="53"/>
  <c r="F13458" i="53"/>
  <c r="E13458" i="53"/>
  <c r="D13458" i="53"/>
  <c r="B13458" i="53"/>
  <c r="F13453" i="53"/>
  <c r="G13453" i="53" s="1"/>
  <c r="D13453" i="53"/>
  <c r="B13453" i="53"/>
  <c r="A12941" i="53"/>
  <c r="B12941" i="53" s="1"/>
  <c r="B12938" i="53"/>
  <c r="F12994" i="53"/>
  <c r="G12994" i="53" s="1"/>
  <c r="D12994" i="53"/>
  <c r="B12994" i="53"/>
  <c r="F12993" i="53"/>
  <c r="G12993" i="53" s="1"/>
  <c r="D12993" i="53"/>
  <c r="B12993" i="53"/>
  <c r="F12992" i="53"/>
  <c r="G12992" i="53" s="1"/>
  <c r="D12992" i="53"/>
  <c r="B12992" i="53"/>
  <c r="F12991" i="53"/>
  <c r="G12991" i="53" s="1"/>
  <c r="D12991" i="53"/>
  <c r="B12991" i="53"/>
  <c r="F12990" i="53"/>
  <c r="G12990" i="53" s="1"/>
  <c r="D12990" i="53"/>
  <c r="B12990" i="53"/>
  <c r="F12985" i="53"/>
  <c r="E12985" i="53"/>
  <c r="D12985" i="53"/>
  <c r="B12985" i="53"/>
  <c r="F12984" i="53"/>
  <c r="E12984" i="53"/>
  <c r="D12984" i="53"/>
  <c r="B12984" i="53"/>
  <c r="F12983" i="53"/>
  <c r="E12983" i="53"/>
  <c r="D12983" i="53"/>
  <c r="B12983" i="53"/>
  <c r="F12982" i="53"/>
  <c r="E12982" i="53"/>
  <c r="D12982" i="53"/>
  <c r="B12982" i="53"/>
  <c r="F12981" i="53"/>
  <c r="E12981" i="53"/>
  <c r="D12981" i="53"/>
  <c r="B12981" i="53"/>
  <c r="F12980" i="53"/>
  <c r="E12980" i="53"/>
  <c r="D12980" i="53"/>
  <c r="B12980" i="53"/>
  <c r="F12979" i="53"/>
  <c r="E12979" i="53"/>
  <c r="D12979" i="53"/>
  <c r="B12979" i="53"/>
  <c r="F12978" i="53"/>
  <c r="E12978" i="53"/>
  <c r="D12978" i="53"/>
  <c r="B12978" i="53"/>
  <c r="F12977" i="53"/>
  <c r="E12977" i="53"/>
  <c r="D12977" i="53"/>
  <c r="B12977" i="53"/>
  <c r="F12976" i="53"/>
  <c r="E12976" i="53"/>
  <c r="D12976" i="53"/>
  <c r="B12976" i="53"/>
  <c r="F12975" i="53"/>
  <c r="E12975" i="53"/>
  <c r="D12975" i="53"/>
  <c r="B12975" i="53"/>
  <c r="F12974" i="53"/>
  <c r="E12974" i="53"/>
  <c r="D12974" i="53"/>
  <c r="B12974" i="53"/>
  <c r="F12973" i="53"/>
  <c r="E12973" i="53"/>
  <c r="D12973" i="53"/>
  <c r="B12973" i="53"/>
  <c r="F12968" i="53"/>
  <c r="G12968" i="53" s="1"/>
  <c r="B12968" i="53"/>
  <c r="F12967" i="53"/>
  <c r="G12967" i="53" s="1"/>
  <c r="B12967" i="53"/>
  <c r="F12966" i="53"/>
  <c r="G12966" i="53" s="1"/>
  <c r="B12966" i="53"/>
  <c r="F12965" i="53"/>
  <c r="G12965" i="53" s="1"/>
  <c r="B12965" i="53"/>
  <c r="F12964" i="53"/>
  <c r="G12964" i="53" s="1"/>
  <c r="B12964" i="53"/>
  <c r="F12963" i="53"/>
  <c r="G12963" i="53" s="1"/>
  <c r="B12963" i="53"/>
  <c r="F12958" i="53"/>
  <c r="E12958" i="53"/>
  <c r="D12958" i="53"/>
  <c r="B12958" i="53"/>
  <c r="F12957" i="53"/>
  <c r="E12957" i="53"/>
  <c r="D12957" i="53"/>
  <c r="B12957" i="53"/>
  <c r="F12956" i="53"/>
  <c r="E12956" i="53"/>
  <c r="D12956" i="53"/>
  <c r="B12956" i="53"/>
  <c r="F12955" i="53"/>
  <c r="E12955" i="53"/>
  <c r="D12955" i="53"/>
  <c r="B12955" i="53"/>
  <c r="F12954" i="53"/>
  <c r="E12954" i="53"/>
  <c r="D12954" i="53"/>
  <c r="B12954" i="53"/>
  <c r="F12953" i="53"/>
  <c r="E12953" i="53"/>
  <c r="D12953" i="53"/>
  <c r="B12953" i="53"/>
  <c r="F12948" i="53"/>
  <c r="G12948" i="53" s="1"/>
  <c r="D12948" i="53"/>
  <c r="B12948" i="53"/>
  <c r="F12947" i="53"/>
  <c r="G12947" i="53" s="1"/>
  <c r="D12947" i="53"/>
  <c r="B12947" i="53"/>
  <c r="F12946" i="53"/>
  <c r="G12946" i="53" s="1"/>
  <c r="D12946" i="53"/>
  <c r="B12946" i="53"/>
  <c r="F12945" i="53"/>
  <c r="G12945" i="53" s="1"/>
  <c r="D12945" i="53"/>
  <c r="B12945" i="53"/>
  <c r="F12944" i="53"/>
  <c r="G12944" i="53" s="1"/>
  <c r="D12944" i="53"/>
  <c r="B12944" i="53"/>
  <c r="F12943" i="53"/>
  <c r="G12943" i="53" s="1"/>
  <c r="D12943" i="53"/>
  <c r="B12943" i="53"/>
  <c r="F12942" i="53"/>
  <c r="G12942" i="53" s="1"/>
  <c r="D12942" i="53"/>
  <c r="B12942" i="53"/>
  <c r="B12032" i="53"/>
  <c r="A11767" i="53"/>
  <c r="B11767" i="53" s="1"/>
  <c r="E364" i="55"/>
  <c r="C364" i="55"/>
  <c r="B11764" i="53"/>
  <c r="F11812" i="53"/>
  <c r="G11812" i="53" s="1"/>
  <c r="D11812" i="53"/>
  <c r="B11812" i="53"/>
  <c r="F11811" i="53"/>
  <c r="G11811" i="53" s="1"/>
  <c r="D11811" i="53"/>
  <c r="B11811" i="53"/>
  <c r="F11806" i="53"/>
  <c r="E11806" i="53"/>
  <c r="D11806" i="53"/>
  <c r="B11806" i="53"/>
  <c r="F11805" i="53"/>
  <c r="E11805" i="53"/>
  <c r="D11805" i="53"/>
  <c r="B11805" i="53"/>
  <c r="F11804" i="53"/>
  <c r="E11804" i="53"/>
  <c r="D11804" i="53"/>
  <c r="B11804" i="53"/>
  <c r="F11803" i="53"/>
  <c r="E11803" i="53"/>
  <c r="D11803" i="53"/>
  <c r="B11803" i="53"/>
  <c r="F11802" i="53"/>
  <c r="E11802" i="53"/>
  <c r="D11802" i="53"/>
  <c r="B11802" i="53"/>
  <c r="F11801" i="53"/>
  <c r="E11801" i="53"/>
  <c r="D11801" i="53"/>
  <c r="B11801" i="53"/>
  <c r="F11800" i="53"/>
  <c r="E11800" i="53"/>
  <c r="D11800" i="53"/>
  <c r="B11800" i="53"/>
  <c r="F11799" i="53"/>
  <c r="E11799" i="53"/>
  <c r="D11799" i="53"/>
  <c r="B11799" i="53"/>
  <c r="F11798" i="53"/>
  <c r="E11798" i="53"/>
  <c r="D11798" i="53"/>
  <c r="B11798" i="53"/>
  <c r="F11797" i="53"/>
  <c r="E11797" i="53"/>
  <c r="D11797" i="53"/>
  <c r="B11797" i="53"/>
  <c r="F11796" i="53"/>
  <c r="E11796" i="53"/>
  <c r="D11796" i="53"/>
  <c r="B11796" i="53"/>
  <c r="F11795" i="53"/>
  <c r="E11795" i="53"/>
  <c r="D11795" i="53"/>
  <c r="B11795" i="53"/>
  <c r="F11794" i="53"/>
  <c r="E11794" i="53"/>
  <c r="D11794" i="53"/>
  <c r="B11794" i="53"/>
  <c r="F11789" i="53"/>
  <c r="G11789" i="53" s="1"/>
  <c r="B11789" i="53"/>
  <c r="F11788" i="53"/>
  <c r="G11788" i="53" s="1"/>
  <c r="B11788" i="53"/>
  <c r="F11787" i="53"/>
  <c r="G11787" i="53" s="1"/>
  <c r="B11787" i="53"/>
  <c r="F11786" i="53"/>
  <c r="G11786" i="53" s="1"/>
  <c r="B11786" i="53"/>
  <c r="F11785" i="53"/>
  <c r="G11785" i="53" s="1"/>
  <c r="B11785" i="53"/>
  <c r="F11784" i="53"/>
  <c r="G11784" i="53" s="1"/>
  <c r="B11784" i="53"/>
  <c r="F11783" i="53"/>
  <c r="G11783" i="53" s="1"/>
  <c r="B11783" i="53"/>
  <c r="F11778" i="53"/>
  <c r="E11778" i="53"/>
  <c r="D11778" i="53"/>
  <c r="B11778" i="53"/>
  <c r="F11777" i="53"/>
  <c r="E11777" i="53"/>
  <c r="D11777" i="53"/>
  <c r="B11777" i="53"/>
  <c r="F11776" i="53"/>
  <c r="E11776" i="53"/>
  <c r="D11776" i="53"/>
  <c r="B11776" i="53"/>
  <c r="F11775" i="53"/>
  <c r="E11775" i="53"/>
  <c r="D11775" i="53"/>
  <c r="B11775" i="53"/>
  <c r="F11774" i="53"/>
  <c r="E11774" i="53"/>
  <c r="D11774" i="53"/>
  <c r="B11774" i="53"/>
  <c r="F11773" i="53"/>
  <c r="E11773" i="53"/>
  <c r="D11773" i="53"/>
  <c r="B11773" i="53"/>
  <c r="F11772" i="53"/>
  <c r="E11772" i="53"/>
  <c r="D11772" i="53"/>
  <c r="B11772" i="53"/>
  <c r="B10638" i="53"/>
  <c r="B451" i="1"/>
  <c r="B452" i="1"/>
  <c r="B453" i="1"/>
  <c r="B454" i="1"/>
  <c r="A23997" i="53" s="1"/>
  <c r="B450" i="1"/>
  <c r="B444" i="1"/>
  <c r="B445" i="1"/>
  <c r="B446" i="1"/>
  <c r="B447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20" i="1"/>
  <c r="B421" i="1"/>
  <c r="B422" i="1"/>
  <c r="B424" i="1"/>
  <c r="B419" i="1"/>
  <c r="B416" i="1"/>
  <c r="B409" i="1"/>
  <c r="A21452" i="53" s="1"/>
  <c r="B410" i="1"/>
  <c r="B411" i="1"/>
  <c r="B412" i="1"/>
  <c r="B413" i="1"/>
  <c r="B408" i="1"/>
  <c r="B406" i="1"/>
  <c r="B397" i="1"/>
  <c r="B398" i="1"/>
  <c r="B399" i="1"/>
  <c r="B400" i="1"/>
  <c r="B401" i="1"/>
  <c r="B402" i="1"/>
  <c r="B403" i="1"/>
  <c r="B393" i="1"/>
  <c r="B384" i="1"/>
  <c r="B385" i="1"/>
  <c r="B386" i="1"/>
  <c r="B387" i="1"/>
  <c r="B388" i="1"/>
  <c r="B389" i="1"/>
  <c r="B390" i="1"/>
  <c r="B371" i="1"/>
  <c r="B372" i="1"/>
  <c r="B373" i="1"/>
  <c r="B374" i="1"/>
  <c r="B375" i="1"/>
  <c r="B376" i="1"/>
  <c r="B377" i="1"/>
  <c r="B378" i="1"/>
  <c r="B379" i="1"/>
  <c r="B380" i="1"/>
  <c r="B381" i="1"/>
  <c r="B360" i="1"/>
  <c r="B361" i="1"/>
  <c r="B362" i="1"/>
  <c r="B363" i="1"/>
  <c r="B364" i="1"/>
  <c r="B365" i="1"/>
  <c r="B366" i="1"/>
  <c r="B368" i="1"/>
  <c r="B353" i="1"/>
  <c r="B354" i="1"/>
  <c r="B355" i="1"/>
  <c r="B356" i="1"/>
  <c r="B357" i="1"/>
  <c r="B348" i="1"/>
  <c r="B350" i="1"/>
  <c r="B341" i="1"/>
  <c r="B342" i="1"/>
  <c r="B343" i="1"/>
  <c r="B344" i="1"/>
  <c r="B345" i="1"/>
  <c r="B335" i="1"/>
  <c r="B336" i="1"/>
  <c r="A17117" i="53" s="1"/>
  <c r="B337" i="1"/>
  <c r="B338" i="1"/>
  <c r="B331" i="1"/>
  <c r="B332" i="1"/>
  <c r="B326" i="1"/>
  <c r="B327" i="1"/>
  <c r="B328" i="1"/>
  <c r="B325" i="1"/>
  <c r="B317" i="1"/>
  <c r="A16279" i="53" s="1"/>
  <c r="B318" i="1"/>
  <c r="B321" i="1"/>
  <c r="B288" i="1"/>
  <c r="B290" i="1"/>
  <c r="B279" i="1"/>
  <c r="B274" i="1"/>
  <c r="B275" i="1"/>
  <c r="B273" i="1"/>
  <c r="B252" i="1"/>
  <c r="B253" i="1"/>
  <c r="A13940" i="53" s="1"/>
  <c r="B254" i="1"/>
  <c r="B255" i="1"/>
  <c r="B258" i="1"/>
  <c r="A14151" i="53" s="1"/>
  <c r="B261" i="1"/>
  <c r="B262" i="1"/>
  <c r="B263" i="1"/>
  <c r="B264" i="1"/>
  <c r="B251" i="1"/>
  <c r="A13801" i="53" s="1"/>
  <c r="B21452" i="53"/>
  <c r="A21455" i="53"/>
  <c r="B21455" i="53" s="1"/>
  <c r="A21456" i="53"/>
  <c r="B21456" i="53" s="1"/>
  <c r="E21456" i="53"/>
  <c r="A21457" i="53"/>
  <c r="D21457" i="53" s="1"/>
  <c r="E21457" i="53"/>
  <c r="A21458" i="53"/>
  <c r="E21458" i="53"/>
  <c r="A21459" i="53"/>
  <c r="B21459" i="53" s="1"/>
  <c r="E21459" i="53"/>
  <c r="A21460" i="53"/>
  <c r="B21460" i="53" s="1"/>
  <c r="E21460" i="53"/>
  <c r="A21461" i="53"/>
  <c r="E21461" i="53"/>
  <c r="A21462" i="53"/>
  <c r="B21462" i="53" s="1"/>
  <c r="E21462" i="53"/>
  <c r="B21467" i="53"/>
  <c r="D21467" i="53"/>
  <c r="E21467" i="53"/>
  <c r="F21467" i="53"/>
  <c r="B21468" i="53"/>
  <c r="D21468" i="53"/>
  <c r="E21468" i="53"/>
  <c r="F21468" i="53"/>
  <c r="B21469" i="53"/>
  <c r="D21469" i="53"/>
  <c r="E21469" i="53"/>
  <c r="F21469" i="53"/>
  <c r="B21470" i="53"/>
  <c r="D21470" i="53"/>
  <c r="E21470" i="53"/>
  <c r="F21470" i="53"/>
  <c r="B21471" i="53"/>
  <c r="D21471" i="53"/>
  <c r="E21471" i="53"/>
  <c r="F21471" i="53"/>
  <c r="B21472" i="53"/>
  <c r="D21472" i="53"/>
  <c r="E21472" i="53"/>
  <c r="F21472" i="53"/>
  <c r="B21477" i="53"/>
  <c r="F21477" i="53"/>
  <c r="G21477" i="53" s="1"/>
  <c r="B21478" i="53"/>
  <c r="F21478" i="53"/>
  <c r="G21478" i="53" s="1"/>
  <c r="B21479" i="53"/>
  <c r="F21479" i="53"/>
  <c r="G21479" i="53" s="1"/>
  <c r="B21480" i="53"/>
  <c r="F21480" i="53"/>
  <c r="G21480" i="53" s="1"/>
  <c r="B21481" i="53"/>
  <c r="F21481" i="53"/>
  <c r="G21481" i="53" s="1"/>
  <c r="B21482" i="53"/>
  <c r="F21482" i="53"/>
  <c r="G21482" i="53" s="1"/>
  <c r="B21487" i="53"/>
  <c r="D21487" i="53"/>
  <c r="E21487" i="53"/>
  <c r="F21487" i="53"/>
  <c r="B21488" i="53"/>
  <c r="D21488" i="53"/>
  <c r="E21488" i="53"/>
  <c r="F21488" i="53"/>
  <c r="B21489" i="53"/>
  <c r="D21489" i="53"/>
  <c r="E21489" i="53"/>
  <c r="F21489" i="53"/>
  <c r="B21490" i="53"/>
  <c r="D21490" i="53"/>
  <c r="E21490" i="53"/>
  <c r="F21490" i="53"/>
  <c r="B21491" i="53"/>
  <c r="D21491" i="53"/>
  <c r="E21491" i="53"/>
  <c r="F21491" i="53"/>
  <c r="B21492" i="53"/>
  <c r="D21492" i="53"/>
  <c r="E21492" i="53"/>
  <c r="F21492" i="53"/>
  <c r="B21493" i="53"/>
  <c r="D21493" i="53"/>
  <c r="E21493" i="53"/>
  <c r="F21493" i="53"/>
  <c r="B21494" i="53"/>
  <c r="D21494" i="53"/>
  <c r="E21494" i="53"/>
  <c r="F21494" i="53"/>
  <c r="B21495" i="53"/>
  <c r="D21495" i="53"/>
  <c r="E21495" i="53"/>
  <c r="F21495" i="53"/>
  <c r="B21496" i="53"/>
  <c r="D21496" i="53"/>
  <c r="E21496" i="53"/>
  <c r="F21496" i="53"/>
  <c r="B21497" i="53"/>
  <c r="D21497" i="53"/>
  <c r="E21497" i="53"/>
  <c r="F21497" i="53"/>
  <c r="B21498" i="53"/>
  <c r="D21498" i="53"/>
  <c r="E21498" i="53"/>
  <c r="F21498" i="53"/>
  <c r="B21499" i="53"/>
  <c r="D21499" i="53"/>
  <c r="E21499" i="53"/>
  <c r="F21499" i="53"/>
  <c r="B21504" i="53"/>
  <c r="D21504" i="53"/>
  <c r="F21504" i="53"/>
  <c r="G21504" i="53" s="1"/>
  <c r="B21505" i="53"/>
  <c r="D21505" i="53"/>
  <c r="F21505" i="53"/>
  <c r="G21505" i="53" s="1"/>
  <c r="B21506" i="53"/>
  <c r="D21506" i="53"/>
  <c r="F21506" i="53"/>
  <c r="G21506" i="53" s="1"/>
  <c r="B21507" i="53"/>
  <c r="D21507" i="53"/>
  <c r="F21507" i="53"/>
  <c r="G21507" i="53" s="1"/>
  <c r="B21508" i="53"/>
  <c r="D21508" i="53"/>
  <c r="F21508" i="53"/>
  <c r="G21508" i="53" s="1"/>
  <c r="B9654" i="53"/>
  <c r="F9374" i="53"/>
  <c r="G9374" i="53" s="1"/>
  <c r="A9373" i="53"/>
  <c r="B9370" i="53"/>
  <c r="F9424" i="53"/>
  <c r="G9424" i="53" s="1"/>
  <c r="D9424" i="53"/>
  <c r="B9424" i="53"/>
  <c r="F9423" i="53"/>
  <c r="G9423" i="53" s="1"/>
  <c r="D9423" i="53"/>
  <c r="B9423" i="53"/>
  <c r="F9422" i="53"/>
  <c r="G9422" i="53" s="1"/>
  <c r="D9422" i="53"/>
  <c r="B9422" i="53"/>
  <c r="F9421" i="53"/>
  <c r="G9421" i="53" s="1"/>
  <c r="D9421" i="53"/>
  <c r="B9421" i="53"/>
  <c r="F9420" i="53"/>
  <c r="G9420" i="53" s="1"/>
  <c r="D9420" i="53"/>
  <c r="B9420" i="53"/>
  <c r="F9415" i="53"/>
  <c r="E9415" i="53"/>
  <c r="D9415" i="53"/>
  <c r="B9415" i="53"/>
  <c r="F9414" i="53"/>
  <c r="E9414" i="53"/>
  <c r="D9414" i="53"/>
  <c r="B9414" i="53"/>
  <c r="F9413" i="53"/>
  <c r="E9413" i="53"/>
  <c r="D9413" i="53"/>
  <c r="B9413" i="53"/>
  <c r="F9412" i="53"/>
  <c r="E9412" i="53"/>
  <c r="D9412" i="53"/>
  <c r="B9412" i="53"/>
  <c r="F9411" i="53"/>
  <c r="E9411" i="53"/>
  <c r="D9411" i="53"/>
  <c r="B9411" i="53"/>
  <c r="F9410" i="53"/>
  <c r="E9410" i="53"/>
  <c r="D9410" i="53"/>
  <c r="B9410" i="53"/>
  <c r="F9409" i="53"/>
  <c r="E9409" i="53"/>
  <c r="D9409" i="53"/>
  <c r="B9409" i="53"/>
  <c r="F9408" i="53"/>
  <c r="E9408" i="53"/>
  <c r="D9408" i="53"/>
  <c r="B9408" i="53"/>
  <c r="F9407" i="53"/>
  <c r="E9407" i="53"/>
  <c r="D9407" i="53"/>
  <c r="B9407" i="53"/>
  <c r="F9406" i="53"/>
  <c r="E9406" i="53"/>
  <c r="D9406" i="53"/>
  <c r="B9406" i="53"/>
  <c r="F9405" i="53"/>
  <c r="E9405" i="53"/>
  <c r="D9405" i="53"/>
  <c r="B9405" i="53"/>
  <c r="F9404" i="53"/>
  <c r="E9404" i="53"/>
  <c r="D9404" i="53"/>
  <c r="B9404" i="53"/>
  <c r="F9403" i="53"/>
  <c r="E9403" i="53"/>
  <c r="D9403" i="53"/>
  <c r="B9403" i="53"/>
  <c r="F9398" i="53"/>
  <c r="G9398" i="53" s="1"/>
  <c r="B9398" i="53"/>
  <c r="F9397" i="53"/>
  <c r="G9397" i="53" s="1"/>
  <c r="B9397" i="53"/>
  <c r="F9396" i="53"/>
  <c r="G9396" i="53" s="1"/>
  <c r="B9396" i="53"/>
  <c r="F9395" i="53"/>
  <c r="G9395" i="53" s="1"/>
  <c r="B9395" i="53"/>
  <c r="F9394" i="53"/>
  <c r="G9394" i="53" s="1"/>
  <c r="B9394" i="53"/>
  <c r="F9393" i="53"/>
  <c r="G9393" i="53" s="1"/>
  <c r="B9393" i="53"/>
  <c r="F9388" i="53"/>
  <c r="E9388" i="53"/>
  <c r="D9388" i="53"/>
  <c r="B9388" i="53"/>
  <c r="F9387" i="53"/>
  <c r="E9387" i="53"/>
  <c r="D9387" i="53"/>
  <c r="B9387" i="53"/>
  <c r="F9386" i="53"/>
  <c r="E9386" i="53"/>
  <c r="D9386" i="53"/>
  <c r="B9386" i="53"/>
  <c r="F9385" i="53"/>
  <c r="E9385" i="53"/>
  <c r="D9385" i="53"/>
  <c r="B9385" i="53"/>
  <c r="F9384" i="53"/>
  <c r="E9384" i="53"/>
  <c r="D9384" i="53"/>
  <c r="B9384" i="53"/>
  <c r="F9383" i="53"/>
  <c r="E9383" i="53"/>
  <c r="D9383" i="53"/>
  <c r="B9383" i="53"/>
  <c r="F9378" i="53"/>
  <c r="G9378" i="53" s="1"/>
  <c r="D9378" i="53"/>
  <c r="B9378" i="53"/>
  <c r="F9377" i="53"/>
  <c r="G9377" i="53" s="1"/>
  <c r="D9377" i="53"/>
  <c r="B9377" i="53"/>
  <c r="F9376" i="53"/>
  <c r="G9376" i="53" s="1"/>
  <c r="D9376" i="53"/>
  <c r="B9376" i="53"/>
  <c r="F9375" i="53"/>
  <c r="G9375" i="53" s="1"/>
  <c r="D9375" i="53"/>
  <c r="B9375" i="53"/>
  <c r="A8141" i="53"/>
  <c r="A8140" i="53"/>
  <c r="B8140" i="53" s="1"/>
  <c r="A8139" i="53"/>
  <c r="A8138" i="53"/>
  <c r="D8138" i="53" s="1"/>
  <c r="A8137" i="53"/>
  <c r="B8137" i="53" s="1"/>
  <c r="A8136" i="53"/>
  <c r="B8133" i="53"/>
  <c r="F8187" i="53"/>
  <c r="G8187" i="53" s="1"/>
  <c r="D8187" i="53"/>
  <c r="B8187" i="53"/>
  <c r="F8186" i="53"/>
  <c r="G8186" i="53" s="1"/>
  <c r="D8186" i="53"/>
  <c r="B8186" i="53"/>
  <c r="F8185" i="53"/>
  <c r="G8185" i="53" s="1"/>
  <c r="D8185" i="53"/>
  <c r="B8185" i="53"/>
  <c r="F8184" i="53"/>
  <c r="G8184" i="53" s="1"/>
  <c r="D8184" i="53"/>
  <c r="B8184" i="53"/>
  <c r="F8183" i="53"/>
  <c r="G8183" i="53" s="1"/>
  <c r="D8183" i="53"/>
  <c r="B8183" i="53"/>
  <c r="F8178" i="53"/>
  <c r="E8178" i="53"/>
  <c r="D8178" i="53"/>
  <c r="B8178" i="53"/>
  <c r="F8177" i="53"/>
  <c r="E8177" i="53"/>
  <c r="D8177" i="53"/>
  <c r="B8177" i="53"/>
  <c r="F8176" i="53"/>
  <c r="E8176" i="53"/>
  <c r="D8176" i="53"/>
  <c r="B8176" i="53"/>
  <c r="F8175" i="53"/>
  <c r="E8175" i="53"/>
  <c r="D8175" i="53"/>
  <c r="B8175" i="53"/>
  <c r="F8174" i="53"/>
  <c r="E8174" i="53"/>
  <c r="D8174" i="53"/>
  <c r="B8174" i="53"/>
  <c r="F8173" i="53"/>
  <c r="E8173" i="53"/>
  <c r="D8173" i="53"/>
  <c r="B8173" i="53"/>
  <c r="F8172" i="53"/>
  <c r="E8172" i="53"/>
  <c r="D8172" i="53"/>
  <c r="B8172" i="53"/>
  <c r="F8171" i="53"/>
  <c r="E8171" i="53"/>
  <c r="D8171" i="53"/>
  <c r="B8171" i="53"/>
  <c r="F8170" i="53"/>
  <c r="E8170" i="53"/>
  <c r="D8170" i="53"/>
  <c r="B8170" i="53"/>
  <c r="F8169" i="53"/>
  <c r="E8169" i="53"/>
  <c r="D8169" i="53"/>
  <c r="B8169" i="53"/>
  <c r="F8168" i="53"/>
  <c r="E8168" i="53"/>
  <c r="D8168" i="53"/>
  <c r="B8168" i="53"/>
  <c r="F8167" i="53"/>
  <c r="E8167" i="53"/>
  <c r="D8167" i="53"/>
  <c r="B8167" i="53"/>
  <c r="F8166" i="53"/>
  <c r="E8166" i="53"/>
  <c r="D8166" i="53"/>
  <c r="B8166" i="53"/>
  <c r="F8161" i="53"/>
  <c r="G8161" i="53" s="1"/>
  <c r="B8161" i="53"/>
  <c r="F8160" i="53"/>
  <c r="G8160" i="53" s="1"/>
  <c r="B8160" i="53"/>
  <c r="F8159" i="53"/>
  <c r="G8159" i="53" s="1"/>
  <c r="B8159" i="53"/>
  <c r="F8158" i="53"/>
  <c r="G8158" i="53" s="1"/>
  <c r="B8158" i="53"/>
  <c r="F8157" i="53"/>
  <c r="G8157" i="53" s="1"/>
  <c r="B8157" i="53"/>
  <c r="F8156" i="53"/>
  <c r="G8156" i="53" s="1"/>
  <c r="B8156" i="53"/>
  <c r="F8151" i="53"/>
  <c r="E8151" i="53"/>
  <c r="D8151" i="53"/>
  <c r="B8151" i="53"/>
  <c r="F8150" i="53"/>
  <c r="E8150" i="53"/>
  <c r="D8150" i="53"/>
  <c r="B8150" i="53"/>
  <c r="F8149" i="53"/>
  <c r="E8149" i="53"/>
  <c r="D8149" i="53"/>
  <c r="B8149" i="53"/>
  <c r="F8148" i="53"/>
  <c r="E8148" i="53"/>
  <c r="D8148" i="53"/>
  <c r="B8148" i="53"/>
  <c r="F8147" i="53"/>
  <c r="E8147" i="53"/>
  <c r="D8147" i="53"/>
  <c r="B8147" i="53"/>
  <c r="F8146" i="53"/>
  <c r="E8146" i="53"/>
  <c r="D8146" i="53"/>
  <c r="B8146" i="53"/>
  <c r="A7866" i="53"/>
  <c r="A7865" i="53"/>
  <c r="D7865" i="53" s="1"/>
  <c r="A7864" i="53"/>
  <c r="B7861" i="53"/>
  <c r="F7912" i="53"/>
  <c r="G7912" i="53" s="1"/>
  <c r="D7912" i="53"/>
  <c r="B7912" i="53"/>
  <c r="F7911" i="53"/>
  <c r="G7911" i="53" s="1"/>
  <c r="D7911" i="53"/>
  <c r="B7911" i="53"/>
  <c r="F7910" i="53"/>
  <c r="G7910" i="53" s="1"/>
  <c r="D7910" i="53"/>
  <c r="B7910" i="53"/>
  <c r="F7909" i="53"/>
  <c r="G7909" i="53" s="1"/>
  <c r="D7909" i="53"/>
  <c r="B7909" i="53"/>
  <c r="F7908" i="53"/>
  <c r="G7908" i="53" s="1"/>
  <c r="D7908" i="53"/>
  <c r="B7908" i="53"/>
  <c r="F7903" i="53"/>
  <c r="E7903" i="53"/>
  <c r="D7903" i="53"/>
  <c r="B7903" i="53"/>
  <c r="F7902" i="53"/>
  <c r="E7902" i="53"/>
  <c r="D7902" i="53"/>
  <c r="B7902" i="53"/>
  <c r="F7901" i="53"/>
  <c r="E7901" i="53"/>
  <c r="D7901" i="53"/>
  <c r="B7901" i="53"/>
  <c r="F7900" i="53"/>
  <c r="E7900" i="53"/>
  <c r="D7900" i="53"/>
  <c r="B7900" i="53"/>
  <c r="F7899" i="53"/>
  <c r="E7899" i="53"/>
  <c r="D7899" i="53"/>
  <c r="B7899" i="53"/>
  <c r="F7898" i="53"/>
  <c r="E7898" i="53"/>
  <c r="D7898" i="53"/>
  <c r="B7898" i="53"/>
  <c r="F7897" i="53"/>
  <c r="E7897" i="53"/>
  <c r="D7897" i="53"/>
  <c r="B7897" i="53"/>
  <c r="F7896" i="53"/>
  <c r="E7896" i="53"/>
  <c r="D7896" i="53"/>
  <c r="B7896" i="53"/>
  <c r="F7895" i="53"/>
  <c r="E7895" i="53"/>
  <c r="D7895" i="53"/>
  <c r="B7895" i="53"/>
  <c r="F7894" i="53"/>
  <c r="E7894" i="53"/>
  <c r="D7894" i="53"/>
  <c r="B7894" i="53"/>
  <c r="F7893" i="53"/>
  <c r="E7893" i="53"/>
  <c r="D7893" i="53"/>
  <c r="B7893" i="53"/>
  <c r="F7892" i="53"/>
  <c r="E7892" i="53"/>
  <c r="D7892" i="53"/>
  <c r="B7892" i="53"/>
  <c r="F7891" i="53"/>
  <c r="E7891" i="53"/>
  <c r="D7891" i="53"/>
  <c r="B7891" i="53"/>
  <c r="F7886" i="53"/>
  <c r="G7886" i="53" s="1"/>
  <c r="B7886" i="53"/>
  <c r="F7885" i="53"/>
  <c r="G7885" i="53" s="1"/>
  <c r="B7885" i="53"/>
  <c r="F7884" i="53"/>
  <c r="G7884" i="53" s="1"/>
  <c r="B7884" i="53"/>
  <c r="F7883" i="53"/>
  <c r="G7883" i="53" s="1"/>
  <c r="B7883" i="53"/>
  <c r="F7882" i="53"/>
  <c r="G7882" i="53" s="1"/>
  <c r="B7882" i="53"/>
  <c r="F7881" i="53"/>
  <c r="G7881" i="53" s="1"/>
  <c r="B7881" i="53"/>
  <c r="F7876" i="53"/>
  <c r="E7876" i="53"/>
  <c r="D7876" i="53"/>
  <c r="B7876" i="53"/>
  <c r="F7875" i="53"/>
  <c r="E7875" i="53"/>
  <c r="D7875" i="53"/>
  <c r="B7875" i="53"/>
  <c r="F7874" i="53"/>
  <c r="E7874" i="53"/>
  <c r="D7874" i="53"/>
  <c r="B7874" i="53"/>
  <c r="F7873" i="53"/>
  <c r="E7873" i="53"/>
  <c r="D7873" i="53"/>
  <c r="B7873" i="53"/>
  <c r="F7872" i="53"/>
  <c r="E7872" i="53"/>
  <c r="D7872" i="53"/>
  <c r="B7872" i="53"/>
  <c r="F7871" i="53"/>
  <c r="E7871" i="53"/>
  <c r="D7871" i="53"/>
  <c r="B7871" i="53"/>
  <c r="A7798" i="53"/>
  <c r="D7798" i="53" s="1"/>
  <c r="A7797" i="53"/>
  <c r="A7796" i="53"/>
  <c r="D7796" i="53" s="1"/>
  <c r="B7793" i="53"/>
  <c r="F7845" i="53"/>
  <c r="G7845" i="53" s="1"/>
  <c r="D7845" i="53"/>
  <c r="B7845" i="53"/>
  <c r="F7844" i="53"/>
  <c r="G7844" i="53" s="1"/>
  <c r="D7844" i="53"/>
  <c r="B7844" i="53"/>
  <c r="F7843" i="53"/>
  <c r="G7843" i="53" s="1"/>
  <c r="D7843" i="53"/>
  <c r="B7843" i="53"/>
  <c r="F7842" i="53"/>
  <c r="G7842" i="53" s="1"/>
  <c r="D7842" i="53"/>
  <c r="B7842" i="53"/>
  <c r="F7841" i="53"/>
  <c r="G7841" i="53" s="1"/>
  <c r="D7841" i="53"/>
  <c r="B7841" i="53"/>
  <c r="F7836" i="53"/>
  <c r="E7836" i="53"/>
  <c r="D7836" i="53"/>
  <c r="B7836" i="53"/>
  <c r="F7835" i="53"/>
  <c r="E7835" i="53"/>
  <c r="D7835" i="53"/>
  <c r="B7835" i="53"/>
  <c r="F7834" i="53"/>
  <c r="E7834" i="53"/>
  <c r="D7834" i="53"/>
  <c r="B7834" i="53"/>
  <c r="F7833" i="53"/>
  <c r="E7833" i="53"/>
  <c r="D7833" i="53"/>
  <c r="B7833" i="53"/>
  <c r="F7832" i="53"/>
  <c r="E7832" i="53"/>
  <c r="D7832" i="53"/>
  <c r="B7832" i="53"/>
  <c r="F7831" i="53"/>
  <c r="E7831" i="53"/>
  <c r="D7831" i="53"/>
  <c r="B7831" i="53"/>
  <c r="F7830" i="53"/>
  <c r="E7830" i="53"/>
  <c r="D7830" i="53"/>
  <c r="B7830" i="53"/>
  <c r="F7829" i="53"/>
  <c r="E7829" i="53"/>
  <c r="D7829" i="53"/>
  <c r="B7829" i="53"/>
  <c r="F7828" i="53"/>
  <c r="E7828" i="53"/>
  <c r="D7828" i="53"/>
  <c r="B7828" i="53"/>
  <c r="F7827" i="53"/>
  <c r="E7827" i="53"/>
  <c r="D7827" i="53"/>
  <c r="B7827" i="53"/>
  <c r="F7826" i="53"/>
  <c r="E7826" i="53"/>
  <c r="D7826" i="53"/>
  <c r="B7826" i="53"/>
  <c r="F7825" i="53"/>
  <c r="E7825" i="53"/>
  <c r="D7825" i="53"/>
  <c r="B7825" i="53"/>
  <c r="F7824" i="53"/>
  <c r="E7824" i="53"/>
  <c r="D7824" i="53"/>
  <c r="B7824" i="53"/>
  <c r="F7819" i="53"/>
  <c r="G7819" i="53" s="1"/>
  <c r="B7819" i="53"/>
  <c r="F7818" i="53"/>
  <c r="G7818" i="53" s="1"/>
  <c r="B7818" i="53"/>
  <c r="F7817" i="53"/>
  <c r="G7817" i="53" s="1"/>
  <c r="B7817" i="53"/>
  <c r="F7816" i="53"/>
  <c r="G7816" i="53" s="1"/>
  <c r="B7816" i="53"/>
  <c r="F7815" i="53"/>
  <c r="G7815" i="53" s="1"/>
  <c r="B7815" i="53"/>
  <c r="F7814" i="53"/>
  <c r="G7814" i="53" s="1"/>
  <c r="B7814" i="53"/>
  <c r="F7809" i="53"/>
  <c r="E7809" i="53"/>
  <c r="D7809" i="53"/>
  <c r="B7809" i="53"/>
  <c r="F7808" i="53"/>
  <c r="E7808" i="53"/>
  <c r="D7808" i="53"/>
  <c r="B7808" i="53"/>
  <c r="F7807" i="53"/>
  <c r="E7807" i="53"/>
  <c r="D7807" i="53"/>
  <c r="B7807" i="53"/>
  <c r="F7806" i="53"/>
  <c r="E7806" i="53"/>
  <c r="D7806" i="53"/>
  <c r="B7806" i="53"/>
  <c r="F7805" i="53"/>
  <c r="E7805" i="53"/>
  <c r="D7805" i="53"/>
  <c r="B7805" i="53"/>
  <c r="F7804" i="53"/>
  <c r="E7804" i="53"/>
  <c r="D7804" i="53"/>
  <c r="B7804" i="53"/>
  <c r="E7797" i="53"/>
  <c r="B156" i="1"/>
  <c r="B186" i="1"/>
  <c r="B69" i="1"/>
  <c r="B2965" i="53"/>
  <c r="B68" i="1"/>
  <c r="B58" i="1"/>
  <c r="B47" i="1"/>
  <c r="B1876" i="53"/>
  <c r="A1467" i="53"/>
  <c r="D1467" i="53" s="1"/>
  <c r="A1466" i="53"/>
  <c r="B1463" i="53"/>
  <c r="F1516" i="53"/>
  <c r="G1516" i="53" s="1"/>
  <c r="D1516" i="53"/>
  <c r="B1516" i="53"/>
  <c r="F1515" i="53"/>
  <c r="G1515" i="53" s="1"/>
  <c r="D1515" i="53"/>
  <c r="B1515" i="53"/>
  <c r="F1514" i="53"/>
  <c r="G1514" i="53" s="1"/>
  <c r="D1514" i="53"/>
  <c r="B1514" i="53"/>
  <c r="F1513" i="53"/>
  <c r="G1513" i="53" s="1"/>
  <c r="D1513" i="53"/>
  <c r="B1513" i="53"/>
  <c r="F1512" i="53"/>
  <c r="G1512" i="53" s="1"/>
  <c r="D1512" i="53"/>
  <c r="B1512" i="53"/>
  <c r="F1507" i="53"/>
  <c r="E1507" i="53"/>
  <c r="D1507" i="53"/>
  <c r="B1507" i="53"/>
  <c r="F1506" i="53"/>
  <c r="E1506" i="53"/>
  <c r="D1506" i="53"/>
  <c r="B1506" i="53"/>
  <c r="F1505" i="53"/>
  <c r="E1505" i="53"/>
  <c r="D1505" i="53"/>
  <c r="B1505" i="53"/>
  <c r="F1504" i="53"/>
  <c r="E1504" i="53"/>
  <c r="D1504" i="53"/>
  <c r="B1504" i="53"/>
  <c r="F1503" i="53"/>
  <c r="E1503" i="53"/>
  <c r="D1503" i="53"/>
  <c r="B1503" i="53"/>
  <c r="F1502" i="53"/>
  <c r="E1502" i="53"/>
  <c r="D1502" i="53"/>
  <c r="B1502" i="53"/>
  <c r="F1501" i="53"/>
  <c r="E1501" i="53"/>
  <c r="D1501" i="53"/>
  <c r="B1501" i="53"/>
  <c r="F1500" i="53"/>
  <c r="E1500" i="53"/>
  <c r="D1500" i="53"/>
  <c r="B1500" i="53"/>
  <c r="F1499" i="53"/>
  <c r="E1499" i="53"/>
  <c r="D1499" i="53"/>
  <c r="B1499" i="53"/>
  <c r="F1498" i="53"/>
  <c r="E1498" i="53"/>
  <c r="D1498" i="53"/>
  <c r="B1498" i="53"/>
  <c r="F1497" i="53"/>
  <c r="E1497" i="53"/>
  <c r="D1497" i="53"/>
  <c r="B1497" i="53"/>
  <c r="F1496" i="53"/>
  <c r="E1496" i="53"/>
  <c r="D1496" i="53"/>
  <c r="B1496" i="53"/>
  <c r="F1495" i="53"/>
  <c r="E1495" i="53"/>
  <c r="D1495" i="53"/>
  <c r="B1495" i="53"/>
  <c r="F1490" i="53"/>
  <c r="G1490" i="53" s="1"/>
  <c r="B1490" i="53"/>
  <c r="F1489" i="53"/>
  <c r="G1489" i="53" s="1"/>
  <c r="B1489" i="53"/>
  <c r="F1488" i="53"/>
  <c r="G1488" i="53" s="1"/>
  <c r="B1488" i="53"/>
  <c r="F1487" i="53"/>
  <c r="G1487" i="53" s="1"/>
  <c r="B1487" i="53"/>
  <c r="F1486" i="53"/>
  <c r="G1486" i="53" s="1"/>
  <c r="B1486" i="53"/>
  <c r="F1485" i="53"/>
  <c r="G1485" i="53" s="1"/>
  <c r="B1485" i="53"/>
  <c r="F1480" i="53"/>
  <c r="E1480" i="53"/>
  <c r="D1480" i="53"/>
  <c r="B1480" i="53"/>
  <c r="F1479" i="53"/>
  <c r="E1479" i="53"/>
  <c r="D1479" i="53"/>
  <c r="B1479" i="53"/>
  <c r="F1478" i="53"/>
  <c r="E1478" i="53"/>
  <c r="D1478" i="53"/>
  <c r="B1478" i="53"/>
  <c r="F1477" i="53"/>
  <c r="E1477" i="53"/>
  <c r="D1477" i="53"/>
  <c r="B1477" i="53"/>
  <c r="F1476" i="53"/>
  <c r="E1476" i="53"/>
  <c r="D1476" i="53"/>
  <c r="B1476" i="53"/>
  <c r="F1475" i="53"/>
  <c r="E1475" i="53"/>
  <c r="D1475" i="53"/>
  <c r="B1475" i="53"/>
  <c r="F1470" i="53"/>
  <c r="G1470" i="53" s="1"/>
  <c r="D1470" i="53"/>
  <c r="B1470" i="53"/>
  <c r="F1469" i="53"/>
  <c r="G1469" i="53" s="1"/>
  <c r="D1469" i="53"/>
  <c r="B1469" i="53"/>
  <c r="F1468" i="53"/>
  <c r="G1468" i="53" s="1"/>
  <c r="D1468" i="53"/>
  <c r="B1468" i="53"/>
  <c r="E1466" i="53"/>
  <c r="E1467" i="53" s="1"/>
  <c r="B31" i="1"/>
  <c r="A1463" i="53" s="1"/>
  <c r="B15302" i="53"/>
  <c r="A15305" i="53"/>
  <c r="B15305" i="53" s="1"/>
  <c r="A15306" i="53"/>
  <c r="B15306" i="53" s="1"/>
  <c r="E15306" i="53"/>
  <c r="A15307" i="53"/>
  <c r="E15307" i="53"/>
  <c r="A15308" i="53"/>
  <c r="D15308" i="53" s="1"/>
  <c r="A15309" i="53"/>
  <c r="B15309" i="53" s="1"/>
  <c r="B15314" i="53"/>
  <c r="D15314" i="53"/>
  <c r="E15314" i="53"/>
  <c r="F15314" i="53"/>
  <c r="B15315" i="53"/>
  <c r="D15315" i="53"/>
  <c r="E15315" i="53"/>
  <c r="F15315" i="53"/>
  <c r="B15316" i="53"/>
  <c r="D15316" i="53"/>
  <c r="E15316" i="53"/>
  <c r="F15316" i="53"/>
  <c r="B15317" i="53"/>
  <c r="D15317" i="53"/>
  <c r="E15317" i="53"/>
  <c r="F15317" i="53"/>
  <c r="B15318" i="53"/>
  <c r="D15318" i="53"/>
  <c r="E15318" i="53"/>
  <c r="F15318" i="53"/>
  <c r="B15319" i="53"/>
  <c r="D15319" i="53"/>
  <c r="E15319" i="53"/>
  <c r="F15319" i="53"/>
  <c r="B15324" i="53"/>
  <c r="F15324" i="53"/>
  <c r="G15324" i="53" s="1"/>
  <c r="B15325" i="53"/>
  <c r="F15325" i="53"/>
  <c r="G15325" i="53" s="1"/>
  <c r="B15326" i="53"/>
  <c r="F15326" i="53"/>
  <c r="G15326" i="53" s="1"/>
  <c r="B15327" i="53"/>
  <c r="F15327" i="53"/>
  <c r="G15327" i="53" s="1"/>
  <c r="B15328" i="53"/>
  <c r="F15328" i="53"/>
  <c r="G15328" i="53" s="1"/>
  <c r="B15329" i="53"/>
  <c r="F15329" i="53"/>
  <c r="G15329" i="53" s="1"/>
  <c r="B15334" i="53"/>
  <c r="D15334" i="53"/>
  <c r="E15334" i="53"/>
  <c r="F15334" i="53"/>
  <c r="B15335" i="53"/>
  <c r="D15335" i="53"/>
  <c r="E15335" i="53"/>
  <c r="F15335" i="53"/>
  <c r="B15336" i="53"/>
  <c r="D15336" i="53"/>
  <c r="E15336" i="53"/>
  <c r="F15336" i="53"/>
  <c r="B15337" i="53"/>
  <c r="D15337" i="53"/>
  <c r="E15337" i="53"/>
  <c r="F15337" i="53"/>
  <c r="B15338" i="53"/>
  <c r="D15338" i="53"/>
  <c r="E15338" i="53"/>
  <c r="F15338" i="53"/>
  <c r="B15339" i="53"/>
  <c r="D15339" i="53"/>
  <c r="E15339" i="53"/>
  <c r="F15339" i="53"/>
  <c r="B15340" i="53"/>
  <c r="D15340" i="53"/>
  <c r="E15340" i="53"/>
  <c r="F15340" i="53"/>
  <c r="B15341" i="53"/>
  <c r="D15341" i="53"/>
  <c r="E15341" i="53"/>
  <c r="F15341" i="53"/>
  <c r="B15342" i="53"/>
  <c r="D15342" i="53"/>
  <c r="E15342" i="53"/>
  <c r="F15342" i="53"/>
  <c r="B15343" i="53"/>
  <c r="D15343" i="53"/>
  <c r="E15343" i="53"/>
  <c r="F15343" i="53"/>
  <c r="B15344" i="53"/>
  <c r="D15344" i="53"/>
  <c r="E15344" i="53"/>
  <c r="F15344" i="53"/>
  <c r="B15345" i="53"/>
  <c r="D15345" i="53"/>
  <c r="E15345" i="53"/>
  <c r="F15345" i="53"/>
  <c r="B15346" i="53"/>
  <c r="D15346" i="53"/>
  <c r="E15346" i="53"/>
  <c r="F15346" i="53"/>
  <c r="B15351" i="53"/>
  <c r="D15351" i="53"/>
  <c r="F15351" i="53"/>
  <c r="G15351" i="53" s="1"/>
  <c r="B15352" i="53"/>
  <c r="D15352" i="53"/>
  <c r="F15352" i="53"/>
  <c r="G15352" i="53" s="1"/>
  <c r="B15353" i="53"/>
  <c r="D15353" i="53"/>
  <c r="F15353" i="53"/>
  <c r="G15353" i="53" s="1"/>
  <c r="B15354" i="53"/>
  <c r="D15354" i="53"/>
  <c r="F15354" i="53"/>
  <c r="G15354" i="53" s="1"/>
  <c r="B15355" i="53"/>
  <c r="D15355" i="53"/>
  <c r="F15355" i="53"/>
  <c r="G15355" i="53" s="1"/>
  <c r="A2219" i="53"/>
  <c r="D2219" i="53" s="1"/>
  <c r="B2220" i="53"/>
  <c r="D2220" i="53"/>
  <c r="F2220" i="53"/>
  <c r="G2220" i="53" s="1"/>
  <c r="B2221" i="53"/>
  <c r="D2221" i="53"/>
  <c r="F2221" i="53"/>
  <c r="G2221" i="53" s="1"/>
  <c r="B2222" i="53"/>
  <c r="D2222" i="53"/>
  <c r="F2222" i="53"/>
  <c r="G2222" i="53" s="1"/>
  <c r="B2227" i="53"/>
  <c r="D2227" i="53"/>
  <c r="E2227" i="53"/>
  <c r="F2227" i="53"/>
  <c r="B2228" i="53"/>
  <c r="D2228" i="53"/>
  <c r="E2228" i="53"/>
  <c r="F2228" i="53"/>
  <c r="B2229" i="53"/>
  <c r="D2229" i="53"/>
  <c r="E2229" i="53"/>
  <c r="F2229" i="53"/>
  <c r="B2230" i="53"/>
  <c r="D2230" i="53"/>
  <c r="E2230" i="53"/>
  <c r="F2230" i="53"/>
  <c r="B2231" i="53"/>
  <c r="D2231" i="53"/>
  <c r="E2231" i="53"/>
  <c r="F2231" i="53"/>
  <c r="B2232" i="53"/>
  <c r="D2232" i="53"/>
  <c r="E2232" i="53"/>
  <c r="F2232" i="53"/>
  <c r="B2237" i="53"/>
  <c r="F2237" i="53"/>
  <c r="G2237" i="53" s="1"/>
  <c r="B2238" i="53"/>
  <c r="F2238" i="53"/>
  <c r="G2238" i="53" s="1"/>
  <c r="B2239" i="53"/>
  <c r="F2239" i="53"/>
  <c r="G2239" i="53" s="1"/>
  <c r="B2240" i="53"/>
  <c r="F2240" i="53"/>
  <c r="G2240" i="53" s="1"/>
  <c r="B2241" i="53"/>
  <c r="F2241" i="53"/>
  <c r="G2241" i="53" s="1"/>
  <c r="B2242" i="53"/>
  <c r="F2242" i="53"/>
  <c r="G2242" i="53" s="1"/>
  <c r="B2247" i="53"/>
  <c r="D2247" i="53"/>
  <c r="E2247" i="53"/>
  <c r="F2247" i="53"/>
  <c r="B2248" i="53"/>
  <c r="D2248" i="53"/>
  <c r="E2248" i="53"/>
  <c r="F2248" i="53"/>
  <c r="B2249" i="53"/>
  <c r="D2249" i="53"/>
  <c r="E2249" i="53"/>
  <c r="F2249" i="53"/>
  <c r="B2250" i="53"/>
  <c r="D2250" i="53"/>
  <c r="E2250" i="53"/>
  <c r="F2250" i="53"/>
  <c r="B2251" i="53"/>
  <c r="D2251" i="53"/>
  <c r="E2251" i="53"/>
  <c r="F2251" i="53"/>
  <c r="B2252" i="53"/>
  <c r="D2252" i="53"/>
  <c r="E2252" i="53"/>
  <c r="F2252" i="53"/>
  <c r="B2253" i="53"/>
  <c r="D2253" i="53"/>
  <c r="E2253" i="53"/>
  <c r="F2253" i="53"/>
  <c r="B2254" i="53"/>
  <c r="D2254" i="53"/>
  <c r="E2254" i="53"/>
  <c r="F2254" i="53"/>
  <c r="B2255" i="53"/>
  <c r="D2255" i="53"/>
  <c r="E2255" i="53"/>
  <c r="F2255" i="53"/>
  <c r="B2256" i="53"/>
  <c r="D2256" i="53"/>
  <c r="E2256" i="53"/>
  <c r="F2256" i="53"/>
  <c r="B2257" i="53"/>
  <c r="D2257" i="53"/>
  <c r="E2257" i="53"/>
  <c r="F2257" i="53"/>
  <c r="B2258" i="53"/>
  <c r="D2258" i="53"/>
  <c r="E2258" i="53"/>
  <c r="F2258" i="53"/>
  <c r="B2259" i="53"/>
  <c r="D2259" i="53"/>
  <c r="E2259" i="53"/>
  <c r="F2259" i="53"/>
  <c r="B2264" i="53"/>
  <c r="D2264" i="53"/>
  <c r="F2264" i="53"/>
  <c r="G2264" i="53" s="1"/>
  <c r="B2265" i="53"/>
  <c r="D2265" i="53"/>
  <c r="F2265" i="53"/>
  <c r="G2265" i="53" s="1"/>
  <c r="B2266" i="53"/>
  <c r="D2266" i="53"/>
  <c r="F2266" i="53"/>
  <c r="G2266" i="53" s="1"/>
  <c r="B2267" i="53"/>
  <c r="D2267" i="53"/>
  <c r="F2267" i="53"/>
  <c r="G2267" i="53" s="1"/>
  <c r="B2268" i="53"/>
  <c r="D2268" i="53"/>
  <c r="F2268" i="53"/>
  <c r="G2268" i="53" s="1"/>
  <c r="B1879" i="53"/>
  <c r="D1879" i="53"/>
  <c r="F1879" i="53"/>
  <c r="G1879" i="53" s="1"/>
  <c r="B1884" i="53"/>
  <c r="D1884" i="53"/>
  <c r="E1884" i="53"/>
  <c r="F1884" i="53"/>
  <c r="B1885" i="53"/>
  <c r="D1885" i="53"/>
  <c r="E1885" i="53"/>
  <c r="F1885" i="53"/>
  <c r="B1886" i="53"/>
  <c r="D1886" i="53"/>
  <c r="E1886" i="53"/>
  <c r="F1886" i="53"/>
  <c r="B1887" i="53"/>
  <c r="D1887" i="53"/>
  <c r="E1887" i="53"/>
  <c r="F1887" i="53"/>
  <c r="B1888" i="53"/>
  <c r="D1888" i="53"/>
  <c r="E1888" i="53"/>
  <c r="F1888" i="53"/>
  <c r="B1889" i="53"/>
  <c r="D1889" i="53"/>
  <c r="E1889" i="53"/>
  <c r="F1889" i="53"/>
  <c r="B1894" i="53"/>
  <c r="F1894" i="53"/>
  <c r="G1894" i="53" s="1"/>
  <c r="B1895" i="53"/>
  <c r="F1895" i="53"/>
  <c r="G1895" i="53" s="1"/>
  <c r="B1896" i="53"/>
  <c r="F1896" i="53"/>
  <c r="G1896" i="53" s="1"/>
  <c r="B1897" i="53"/>
  <c r="F1897" i="53"/>
  <c r="G1897" i="53" s="1"/>
  <c r="B1898" i="53"/>
  <c r="F1898" i="53"/>
  <c r="G1898" i="53" s="1"/>
  <c r="B1899" i="53"/>
  <c r="F1899" i="53"/>
  <c r="G1899" i="53" s="1"/>
  <c r="B1904" i="53"/>
  <c r="D1904" i="53"/>
  <c r="E1904" i="53"/>
  <c r="F1904" i="53"/>
  <c r="B1905" i="53"/>
  <c r="D1905" i="53"/>
  <c r="E1905" i="53"/>
  <c r="F1905" i="53"/>
  <c r="B1906" i="53"/>
  <c r="D1906" i="53"/>
  <c r="E1906" i="53"/>
  <c r="F1906" i="53"/>
  <c r="B1907" i="53"/>
  <c r="D1907" i="53"/>
  <c r="E1907" i="53"/>
  <c r="F1907" i="53"/>
  <c r="B1908" i="53"/>
  <c r="D1908" i="53"/>
  <c r="E1908" i="53"/>
  <c r="F1908" i="53"/>
  <c r="B1909" i="53"/>
  <c r="D1909" i="53"/>
  <c r="E1909" i="53"/>
  <c r="F1909" i="53"/>
  <c r="B1910" i="53"/>
  <c r="D1910" i="53"/>
  <c r="E1910" i="53"/>
  <c r="F1910" i="53"/>
  <c r="B1911" i="53"/>
  <c r="D1911" i="53"/>
  <c r="E1911" i="53"/>
  <c r="F1911" i="53"/>
  <c r="B1912" i="53"/>
  <c r="D1912" i="53"/>
  <c r="E1912" i="53"/>
  <c r="F1912" i="53"/>
  <c r="B1913" i="53"/>
  <c r="D1913" i="53"/>
  <c r="E1913" i="53"/>
  <c r="F1913" i="53"/>
  <c r="B1914" i="53"/>
  <c r="D1914" i="53"/>
  <c r="E1914" i="53"/>
  <c r="F1914" i="53"/>
  <c r="B1915" i="53"/>
  <c r="D1915" i="53"/>
  <c r="E1915" i="53"/>
  <c r="F1915" i="53"/>
  <c r="B1916" i="53"/>
  <c r="D1916" i="53"/>
  <c r="E1916" i="53"/>
  <c r="F1916" i="53"/>
  <c r="B1921" i="53"/>
  <c r="D1921" i="53"/>
  <c r="F1921" i="53"/>
  <c r="G1921" i="53" s="1"/>
  <c r="B1922" i="53"/>
  <c r="D1922" i="53"/>
  <c r="F1922" i="53"/>
  <c r="G1922" i="53" s="1"/>
  <c r="B1923" i="53"/>
  <c r="D1923" i="53"/>
  <c r="F1923" i="53"/>
  <c r="G1923" i="53" s="1"/>
  <c r="B1924" i="53"/>
  <c r="D1924" i="53"/>
  <c r="F1924" i="53"/>
  <c r="G1924" i="53" s="1"/>
  <c r="B1925" i="53"/>
  <c r="D1925" i="53"/>
  <c r="F1925" i="53"/>
  <c r="G1925" i="53" s="1"/>
  <c r="B18" i="1"/>
  <c r="B345" i="53"/>
  <c r="B59" i="1"/>
  <c r="A2965" i="53" s="1"/>
  <c r="B178" i="1"/>
  <c r="A9654" i="53" s="1"/>
  <c r="B179" i="1"/>
  <c r="B180" i="1"/>
  <c r="B181" i="1"/>
  <c r="B182" i="1"/>
  <c r="B183" i="1"/>
  <c r="B184" i="1"/>
  <c r="B185" i="1"/>
  <c r="B164" i="1"/>
  <c r="B165" i="1"/>
  <c r="B166" i="1"/>
  <c r="B167" i="1"/>
  <c r="B168" i="1"/>
  <c r="B169" i="1"/>
  <c r="B170" i="1"/>
  <c r="B171" i="1"/>
  <c r="B172" i="1"/>
  <c r="B173" i="1"/>
  <c r="A9370" i="53" s="1"/>
  <c r="B174" i="1"/>
  <c r="B146" i="1"/>
  <c r="B147" i="1"/>
  <c r="A7793" i="53" s="1"/>
  <c r="B148" i="1"/>
  <c r="A7861" i="53" s="1"/>
  <c r="B149" i="1"/>
  <c r="B150" i="1"/>
  <c r="B151" i="1"/>
  <c r="B152" i="1"/>
  <c r="A8133" i="53" s="1"/>
  <c r="B153" i="1"/>
  <c r="B154" i="1"/>
  <c r="B155" i="1"/>
  <c r="B157" i="1"/>
  <c r="B158" i="1"/>
  <c r="B159" i="1"/>
  <c r="B160" i="1"/>
  <c r="B161" i="1"/>
  <c r="B131" i="1"/>
  <c r="B132" i="1"/>
  <c r="A6971" i="53" s="1"/>
  <c r="B133" i="1"/>
  <c r="B134" i="1"/>
  <c r="B135" i="1"/>
  <c r="B136" i="1"/>
  <c r="B137" i="1"/>
  <c r="B138" i="1"/>
  <c r="B139" i="1"/>
  <c r="B140" i="1"/>
  <c r="B141" i="1"/>
  <c r="B142" i="1"/>
  <c r="B127" i="1"/>
  <c r="B119" i="1"/>
  <c r="B120" i="1"/>
  <c r="B121" i="1"/>
  <c r="B122" i="1"/>
  <c r="B123" i="1"/>
  <c r="B124" i="1"/>
  <c r="B125" i="1"/>
  <c r="B97" i="1"/>
  <c r="B98" i="1"/>
  <c r="B99" i="1"/>
  <c r="B100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82" i="1"/>
  <c r="B83" i="1"/>
  <c r="B84" i="1"/>
  <c r="B85" i="1"/>
  <c r="B86" i="1"/>
  <c r="B87" i="1"/>
  <c r="B88" i="1"/>
  <c r="B89" i="1"/>
  <c r="B90" i="1"/>
  <c r="B91" i="1"/>
  <c r="B92" i="1"/>
  <c r="B77" i="1"/>
  <c r="B78" i="1"/>
  <c r="B72" i="1"/>
  <c r="B73" i="1"/>
  <c r="B74" i="1"/>
  <c r="B71" i="1"/>
  <c r="B70" i="1"/>
  <c r="B25" i="1"/>
  <c r="B26" i="1"/>
  <c r="B27" i="1"/>
  <c r="B28" i="1"/>
  <c r="B29" i="1"/>
  <c r="B30" i="1"/>
  <c r="B32" i="1"/>
  <c r="B33" i="1"/>
  <c r="B34" i="1"/>
  <c r="B35" i="1"/>
  <c r="B36" i="1"/>
  <c r="B54" i="1"/>
  <c r="B55" i="1"/>
  <c r="B56" i="1"/>
  <c r="B48" i="1"/>
  <c r="B49" i="1"/>
  <c r="B50" i="1"/>
  <c r="B51" i="1"/>
  <c r="B52" i="1"/>
  <c r="B53" i="1"/>
  <c r="B43" i="1"/>
  <c r="A2216" i="53" s="1"/>
  <c r="B41" i="1"/>
  <c r="B42" i="1"/>
  <c r="B40" i="1"/>
  <c r="B39" i="1"/>
  <c r="B17" i="1"/>
  <c r="B19" i="1"/>
  <c r="A773" i="53" s="1"/>
  <c r="B20" i="1"/>
  <c r="B21" i="1"/>
  <c r="B7" i="1"/>
  <c r="B8" i="1"/>
  <c r="B9" i="1"/>
  <c r="B10" i="1"/>
  <c r="B11" i="1"/>
  <c r="A345" i="53" s="1"/>
  <c r="B12" i="1"/>
  <c r="B13" i="1"/>
  <c r="B14" i="1"/>
  <c r="E23997" i="53"/>
  <c r="B23997" i="53"/>
  <c r="A4594" i="53"/>
  <c r="C680" i="55"/>
  <c r="A4591" i="53"/>
  <c r="C679" i="55"/>
  <c r="A4590" i="53"/>
  <c r="C678" i="55"/>
  <c r="A4589" i="53"/>
  <c r="A4588" i="53"/>
  <c r="C677" i="55"/>
  <c r="A4587" i="53"/>
  <c r="C676" i="55"/>
  <c r="A4452" i="53"/>
  <c r="A4386" i="53"/>
  <c r="C675" i="55"/>
  <c r="F81" i="1"/>
  <c r="G81" i="1"/>
  <c r="H81" i="1"/>
  <c r="I81" i="1"/>
  <c r="E81" i="1"/>
  <c r="F80" i="1"/>
  <c r="G80" i="1"/>
  <c r="H80" i="1"/>
  <c r="I80" i="1"/>
  <c r="E80" i="1"/>
  <c r="E4183" i="53"/>
  <c r="A4183" i="53"/>
  <c r="C674" i="55"/>
  <c r="E4113" i="53"/>
  <c r="A4113" i="53"/>
  <c r="C673" i="55"/>
  <c r="A4180" i="53"/>
  <c r="C672" i="55"/>
  <c r="A4179" i="53"/>
  <c r="C671" i="55"/>
  <c r="A4178" i="53"/>
  <c r="C670" i="55"/>
  <c r="A4521" i="53"/>
  <c r="A4520" i="53"/>
  <c r="C669" i="55"/>
  <c r="G17160" i="53" l="1"/>
  <c r="G17131" i="53"/>
  <c r="G17130" i="53"/>
  <c r="G17132" i="53"/>
  <c r="G17151" i="53"/>
  <c r="G17153" i="53"/>
  <c r="G17155" i="53"/>
  <c r="G17157" i="53"/>
  <c r="G17159" i="53"/>
  <c r="G17133" i="53"/>
  <c r="G17148" i="53"/>
  <c r="G17150" i="53"/>
  <c r="G17158" i="53"/>
  <c r="G17152" i="53"/>
  <c r="G17154" i="53"/>
  <c r="G17156" i="53"/>
  <c r="G17129" i="53"/>
  <c r="G17149" i="53"/>
  <c r="G17128" i="53"/>
  <c r="G17170" i="53"/>
  <c r="G17144" i="53"/>
  <c r="B17120" i="53"/>
  <c r="D17120" i="53"/>
  <c r="G12552" i="53"/>
  <c r="G12548" i="53"/>
  <c r="G12543" i="53"/>
  <c r="G12526" i="53"/>
  <c r="G12527" i="53"/>
  <c r="G12525" i="53"/>
  <c r="G12523" i="53"/>
  <c r="G12546" i="53"/>
  <c r="G12551" i="53"/>
  <c r="G12549" i="53"/>
  <c r="G12545" i="53"/>
  <c r="G12555" i="53"/>
  <c r="G12553" i="53"/>
  <c r="G12528" i="53"/>
  <c r="G12524" i="53"/>
  <c r="G12522" i="53"/>
  <c r="G12544" i="53"/>
  <c r="G12565" i="53"/>
  <c r="D12514" i="53"/>
  <c r="G12554" i="53"/>
  <c r="G12547" i="53"/>
  <c r="G12550" i="53"/>
  <c r="G12539" i="53"/>
  <c r="G13958" i="53"/>
  <c r="G13960" i="53"/>
  <c r="B13943" i="53"/>
  <c r="G13979" i="53"/>
  <c r="G13981" i="53"/>
  <c r="G13986" i="53"/>
  <c r="G13983" i="53"/>
  <c r="D13949" i="53"/>
  <c r="G13957" i="53"/>
  <c r="G13959" i="53"/>
  <c r="G13988" i="53"/>
  <c r="B13451" i="53"/>
  <c r="G13987" i="53"/>
  <c r="G13976" i="53"/>
  <c r="G13978" i="53"/>
  <c r="G13977" i="53"/>
  <c r="G13985" i="53"/>
  <c r="D13807" i="53"/>
  <c r="G10510" i="53"/>
  <c r="G10529" i="53"/>
  <c r="G10531" i="53"/>
  <c r="G10539" i="53"/>
  <c r="G13961" i="53"/>
  <c r="G13956" i="53"/>
  <c r="G10511" i="53"/>
  <c r="G10513" i="53"/>
  <c r="G13980" i="53"/>
  <c r="G13982" i="53"/>
  <c r="G13984" i="53"/>
  <c r="F4113" i="53"/>
  <c r="G4113" i="53" s="1"/>
  <c r="F4590" i="53"/>
  <c r="G4590" i="53" s="1"/>
  <c r="D13944" i="53"/>
  <c r="B13946" i="53"/>
  <c r="D13946" i="53"/>
  <c r="G13995" i="53"/>
  <c r="G13972" i="53"/>
  <c r="G10535" i="53"/>
  <c r="D13945" i="53"/>
  <c r="B13948" i="53"/>
  <c r="B13951" i="53"/>
  <c r="D13948" i="53"/>
  <c r="D13951" i="53"/>
  <c r="G13824" i="53"/>
  <c r="G13823" i="53"/>
  <c r="G13827" i="53"/>
  <c r="G10509" i="53"/>
  <c r="B13947" i="53"/>
  <c r="B13950" i="53"/>
  <c r="G10530" i="53"/>
  <c r="G10536" i="53"/>
  <c r="G10538" i="53"/>
  <c r="G10540" i="53"/>
  <c r="D13947" i="53"/>
  <c r="D13950" i="53"/>
  <c r="G13852" i="53"/>
  <c r="G10514" i="53"/>
  <c r="G10532" i="53"/>
  <c r="G10534" i="53"/>
  <c r="B13589" i="53"/>
  <c r="G13600" i="53"/>
  <c r="G13627" i="53"/>
  <c r="G13815" i="53"/>
  <c r="G13817" i="53"/>
  <c r="G10525" i="53"/>
  <c r="D13589" i="53"/>
  <c r="G10533" i="53"/>
  <c r="G10537" i="53"/>
  <c r="G13620" i="53"/>
  <c r="G13624" i="53"/>
  <c r="G13626" i="53"/>
  <c r="G10512" i="53"/>
  <c r="G10541" i="53"/>
  <c r="B10502" i="53"/>
  <c r="B10503" i="53"/>
  <c r="B10500" i="53"/>
  <c r="G10551" i="53"/>
  <c r="B10501" i="53"/>
  <c r="G13840" i="53"/>
  <c r="D10501" i="53"/>
  <c r="B10504" i="53"/>
  <c r="G13814" i="53"/>
  <c r="G13816" i="53"/>
  <c r="G13818" i="53"/>
  <c r="G13825" i="53"/>
  <c r="G13482" i="53"/>
  <c r="G13486" i="53"/>
  <c r="G13488" i="53"/>
  <c r="G13834" i="53"/>
  <c r="G13836" i="53"/>
  <c r="G13838" i="53"/>
  <c r="G13850" i="53"/>
  <c r="B13446" i="53"/>
  <c r="G13842" i="53"/>
  <c r="G13844" i="53"/>
  <c r="G13853" i="53"/>
  <c r="G13835" i="53"/>
  <c r="G13839" i="53"/>
  <c r="G13851" i="53"/>
  <c r="D13805" i="53"/>
  <c r="G13826" i="53"/>
  <c r="G13833" i="53"/>
  <c r="G13837" i="53"/>
  <c r="G13843" i="53"/>
  <c r="G13854" i="53"/>
  <c r="G13813" i="53"/>
  <c r="G13841" i="53"/>
  <c r="G13845" i="53"/>
  <c r="D13806" i="53"/>
  <c r="G13601" i="53"/>
  <c r="G13622" i="53"/>
  <c r="G13828" i="53"/>
  <c r="G13463" i="53"/>
  <c r="G13628" i="53"/>
  <c r="G13630" i="53"/>
  <c r="B13804" i="53"/>
  <c r="B13808" i="53"/>
  <c r="D13804" i="53"/>
  <c r="D13808" i="53"/>
  <c r="B13447" i="53"/>
  <c r="G13602" i="53"/>
  <c r="G13621" i="53"/>
  <c r="G13623" i="53"/>
  <c r="G13625" i="53"/>
  <c r="G13458" i="53"/>
  <c r="G13629" i="53"/>
  <c r="G13631" i="53"/>
  <c r="B13806" i="53"/>
  <c r="G13462" i="53"/>
  <c r="G13604" i="53"/>
  <c r="G13481" i="53"/>
  <c r="G13483" i="53"/>
  <c r="G13485" i="53"/>
  <c r="G13487" i="53"/>
  <c r="G13632" i="53"/>
  <c r="G13459" i="53"/>
  <c r="G13478" i="53"/>
  <c r="G13480" i="53"/>
  <c r="G13603" i="53"/>
  <c r="G13605" i="53"/>
  <c r="B13449" i="53"/>
  <c r="G13642" i="53"/>
  <c r="G13616" i="53"/>
  <c r="G13489" i="53"/>
  <c r="G13460" i="53"/>
  <c r="G13484" i="53"/>
  <c r="G13490" i="53"/>
  <c r="G13461" i="53"/>
  <c r="G13479" i="53"/>
  <c r="B13452" i="53"/>
  <c r="G13500" i="53"/>
  <c r="G13474" i="53"/>
  <c r="D13448" i="53"/>
  <c r="B13445" i="53"/>
  <c r="B13450" i="53"/>
  <c r="G12973" i="53"/>
  <c r="D13445" i="53"/>
  <c r="D13450" i="53"/>
  <c r="G12981" i="53"/>
  <c r="G12985" i="53"/>
  <c r="G12974" i="53"/>
  <c r="G12984" i="53"/>
  <c r="G11797" i="53"/>
  <c r="G12954" i="53"/>
  <c r="G12975" i="53"/>
  <c r="G12983" i="53"/>
  <c r="G12953" i="53"/>
  <c r="G12955" i="53"/>
  <c r="G12957" i="53"/>
  <c r="G12977" i="53"/>
  <c r="G12979" i="53"/>
  <c r="G12956" i="53"/>
  <c r="G12958" i="53"/>
  <c r="G12976" i="53"/>
  <c r="G12978" i="53"/>
  <c r="G12980" i="53"/>
  <c r="G12982" i="53"/>
  <c r="D12941" i="53"/>
  <c r="G12995" i="53"/>
  <c r="G12969" i="53"/>
  <c r="G11772" i="53"/>
  <c r="G11774" i="53"/>
  <c r="G11776" i="53"/>
  <c r="G11805" i="53"/>
  <c r="G11800" i="53"/>
  <c r="G11777" i="53"/>
  <c r="G11801" i="53"/>
  <c r="G11802" i="53"/>
  <c r="G11804" i="53"/>
  <c r="G11806" i="53"/>
  <c r="G11803" i="53"/>
  <c r="G11775" i="53"/>
  <c r="G11796" i="53"/>
  <c r="F4183" i="53"/>
  <c r="G4183" i="53" s="1"/>
  <c r="G11794" i="53"/>
  <c r="G11813" i="53"/>
  <c r="D11767" i="53"/>
  <c r="G11778" i="53"/>
  <c r="G11798" i="53"/>
  <c r="G11773" i="53"/>
  <c r="G11795" i="53"/>
  <c r="G11799" i="53"/>
  <c r="G11790" i="53"/>
  <c r="D8140" i="53"/>
  <c r="G21493" i="53"/>
  <c r="G21491" i="53"/>
  <c r="G21470" i="53"/>
  <c r="G21468" i="53"/>
  <c r="G21498" i="53"/>
  <c r="G21496" i="53"/>
  <c r="G21490" i="53"/>
  <c r="G21488" i="53"/>
  <c r="G21494" i="53"/>
  <c r="G21472" i="53"/>
  <c r="G21499" i="53"/>
  <c r="D21462" i="53"/>
  <c r="G21471" i="53"/>
  <c r="G21469" i="53"/>
  <c r="G21467" i="53"/>
  <c r="B21461" i="53"/>
  <c r="G9411" i="53"/>
  <c r="G21489" i="53"/>
  <c r="G21487" i="53"/>
  <c r="G21492" i="53"/>
  <c r="D21461" i="53"/>
  <c r="G9385" i="53"/>
  <c r="G9387" i="53"/>
  <c r="D9373" i="53"/>
  <c r="D21455" i="53"/>
  <c r="G21497" i="53"/>
  <c r="G21495" i="53"/>
  <c r="B21457" i="53"/>
  <c r="G21483" i="53"/>
  <c r="G21509" i="53"/>
  <c r="D21458" i="53"/>
  <c r="B21458" i="53"/>
  <c r="D21456" i="53"/>
  <c r="D21460" i="53"/>
  <c r="G9405" i="53"/>
  <c r="G9415" i="53"/>
  <c r="G9404" i="53"/>
  <c r="G9406" i="53"/>
  <c r="G9408" i="53"/>
  <c r="G9410" i="53"/>
  <c r="G9412" i="53"/>
  <c r="G9384" i="53"/>
  <c r="G9388" i="53"/>
  <c r="G9386" i="53"/>
  <c r="G9403" i="53"/>
  <c r="G9413" i="53"/>
  <c r="G9383" i="53"/>
  <c r="G9414" i="53"/>
  <c r="G9407" i="53"/>
  <c r="G9409" i="53"/>
  <c r="G9399" i="53"/>
  <c r="G9425" i="53"/>
  <c r="G8166" i="53"/>
  <c r="B9374" i="53"/>
  <c r="D9374" i="53"/>
  <c r="G8148" i="53"/>
  <c r="G8151" i="53"/>
  <c r="G8168" i="53"/>
  <c r="G8174" i="53"/>
  <c r="G7898" i="53"/>
  <c r="G7900" i="53"/>
  <c r="G8150" i="53"/>
  <c r="G8167" i="53"/>
  <c r="G8149" i="53"/>
  <c r="G8170" i="53"/>
  <c r="G8176" i="53"/>
  <c r="G8169" i="53"/>
  <c r="G8171" i="53"/>
  <c r="G8173" i="53"/>
  <c r="G8146" i="53"/>
  <c r="G8175" i="53"/>
  <c r="G8177" i="53"/>
  <c r="G8172" i="53"/>
  <c r="G8147" i="53"/>
  <c r="G8178" i="53"/>
  <c r="B8136" i="53"/>
  <c r="D8136" i="53"/>
  <c r="G8188" i="53"/>
  <c r="G8162" i="53"/>
  <c r="G7891" i="53"/>
  <c r="B8139" i="53"/>
  <c r="D8137" i="53"/>
  <c r="D8139" i="53"/>
  <c r="B8141" i="53"/>
  <c r="B8138" i="53"/>
  <c r="D8141" i="53"/>
  <c r="G7832" i="53"/>
  <c r="G7834" i="53"/>
  <c r="G7804" i="53"/>
  <c r="G7809" i="53"/>
  <c r="G7824" i="53"/>
  <c r="G7896" i="53"/>
  <c r="G7871" i="53"/>
  <c r="G7873" i="53"/>
  <c r="G7875" i="53"/>
  <c r="G7899" i="53"/>
  <c r="G7901" i="53"/>
  <c r="G7808" i="53"/>
  <c r="G7825" i="53"/>
  <c r="G7894" i="53"/>
  <c r="G7876" i="53"/>
  <c r="G7893" i="53"/>
  <c r="B7798" i="53"/>
  <c r="G7872" i="53"/>
  <c r="G7874" i="53"/>
  <c r="G7902" i="53"/>
  <c r="G7805" i="53"/>
  <c r="G7826" i="53"/>
  <c r="G7836" i="53"/>
  <c r="G7895" i="53"/>
  <c r="G7897" i="53"/>
  <c r="B7796" i="53"/>
  <c r="G7892" i="53"/>
  <c r="G7903" i="53"/>
  <c r="G7887" i="53"/>
  <c r="G7827" i="53"/>
  <c r="G7829" i="53"/>
  <c r="G7831" i="53"/>
  <c r="G7835" i="53"/>
  <c r="B7865" i="53"/>
  <c r="G7913" i="53"/>
  <c r="B7864" i="53"/>
  <c r="D7864" i="53"/>
  <c r="G7806" i="53"/>
  <c r="G7820" i="53"/>
  <c r="G7828" i="53"/>
  <c r="G7830" i="53"/>
  <c r="B7866" i="53"/>
  <c r="D7866" i="53"/>
  <c r="G15345" i="53"/>
  <c r="G15341" i="53"/>
  <c r="G7833" i="53"/>
  <c r="G7807" i="53"/>
  <c r="D7797" i="53"/>
  <c r="G7846" i="53"/>
  <c r="B7797" i="53"/>
  <c r="G1496" i="53"/>
  <c r="G1498" i="53"/>
  <c r="G1500" i="53"/>
  <c r="G1504" i="53"/>
  <c r="G15317" i="53"/>
  <c r="G15315" i="53"/>
  <c r="G1495" i="53"/>
  <c r="G1477" i="53"/>
  <c r="G1479" i="53"/>
  <c r="G1499" i="53"/>
  <c r="G1505" i="53"/>
  <c r="G1478" i="53"/>
  <c r="G1480" i="53"/>
  <c r="G1502" i="53"/>
  <c r="G1497" i="53"/>
  <c r="G1517" i="53"/>
  <c r="G1476" i="53"/>
  <c r="G1506" i="53"/>
  <c r="G15318" i="53"/>
  <c r="G15314" i="53"/>
  <c r="G1501" i="53"/>
  <c r="G1503" i="53"/>
  <c r="G1475" i="53"/>
  <c r="G1507" i="53"/>
  <c r="G1491" i="53"/>
  <c r="B1466" i="53"/>
  <c r="G15340" i="53"/>
  <c r="G15336" i="53"/>
  <c r="G2259" i="53"/>
  <c r="G2257" i="53"/>
  <c r="G2255" i="53"/>
  <c r="G2253" i="53"/>
  <c r="G2251" i="53"/>
  <c r="B1467" i="53"/>
  <c r="G15344" i="53"/>
  <c r="G15342" i="53"/>
  <c r="G15319" i="53"/>
  <c r="G15335" i="53"/>
  <c r="G15346" i="53"/>
  <c r="G15338" i="53"/>
  <c r="G15339" i="53"/>
  <c r="G15337" i="53"/>
  <c r="G15316" i="53"/>
  <c r="B15308" i="53"/>
  <c r="G15343" i="53"/>
  <c r="G15334" i="53"/>
  <c r="G15330" i="53"/>
  <c r="G15356" i="53"/>
  <c r="B15307" i="53"/>
  <c r="D15305" i="53"/>
  <c r="D15309" i="53"/>
  <c r="D15306" i="53"/>
  <c r="G2258" i="53"/>
  <c r="G2254" i="53"/>
  <c r="G2229" i="53"/>
  <c r="G2227" i="53"/>
  <c r="G2252" i="53"/>
  <c r="G2248" i="53"/>
  <c r="G2250" i="53"/>
  <c r="G2232" i="53"/>
  <c r="G2230" i="53"/>
  <c r="G2228" i="53"/>
  <c r="G2243" i="53"/>
  <c r="G2249" i="53"/>
  <c r="G2247" i="53"/>
  <c r="G2231" i="53"/>
  <c r="B2219" i="53"/>
  <c r="G2256" i="53"/>
  <c r="G2269" i="53"/>
  <c r="G1886" i="53"/>
  <c r="G1884" i="53"/>
  <c r="G1908" i="53"/>
  <c r="G1907" i="53"/>
  <c r="G1880" i="53"/>
  <c r="G1905" i="53"/>
  <c r="G1889" i="53"/>
  <c r="G1885" i="53"/>
  <c r="G1909" i="53"/>
  <c r="G1916" i="53"/>
  <c r="G1914" i="53"/>
  <c r="G1912" i="53"/>
  <c r="G1910" i="53"/>
  <c r="G1888" i="53"/>
  <c r="G1906" i="53"/>
  <c r="G1904" i="53"/>
  <c r="G1915" i="53"/>
  <c r="G1913" i="53"/>
  <c r="G1911" i="53"/>
  <c r="G1887" i="53"/>
  <c r="G1900" i="53"/>
  <c r="G1926" i="53"/>
  <c r="B4590" i="53"/>
  <c r="D4590" i="53"/>
  <c r="B4183" i="53"/>
  <c r="D4183" i="53"/>
  <c r="B4113" i="53"/>
  <c r="D4113" i="53"/>
  <c r="G17134" i="53" l="1"/>
  <c r="G17161" i="53"/>
  <c r="G12529" i="53"/>
  <c r="G12556" i="53"/>
  <c r="G13989" i="53"/>
  <c r="G13962" i="53"/>
  <c r="G10542" i="53"/>
  <c r="G10515" i="53"/>
  <c r="G13819" i="53"/>
  <c r="G13846" i="53"/>
  <c r="G13829" i="53"/>
  <c r="G13633" i="53"/>
  <c r="G13855" i="53"/>
  <c r="G13464" i="53"/>
  <c r="G13491" i="53"/>
  <c r="G13606" i="53"/>
  <c r="G12986" i="53"/>
  <c r="G12959" i="53"/>
  <c r="G11807" i="53"/>
  <c r="G11779" i="53"/>
  <c r="G21473" i="53"/>
  <c r="G21500" i="53"/>
  <c r="G9416" i="53"/>
  <c r="G9389" i="53"/>
  <c r="G8152" i="53"/>
  <c r="G8179" i="53"/>
  <c r="G7810" i="53"/>
  <c r="G7877" i="53"/>
  <c r="G7904" i="53"/>
  <c r="G7837" i="53"/>
  <c r="G15347" i="53"/>
  <c r="G1508" i="53"/>
  <c r="G15320" i="53"/>
  <c r="G1481" i="53"/>
  <c r="G2260" i="53"/>
  <c r="G2233" i="53"/>
  <c r="G1917" i="53"/>
  <c r="G1890" i="53"/>
  <c r="G1928" i="53" l="1"/>
  <c r="G1931" i="53" s="1"/>
  <c r="G1930" i="53" l="1"/>
  <c r="G1932" i="53"/>
  <c r="G1936" i="53" s="1"/>
  <c r="G1934" i="53" l="1"/>
  <c r="G1938" i="53" s="1"/>
  <c r="G1876" i="53" s="1"/>
  <c r="I65" i="1" l="1"/>
  <c r="F65" i="1"/>
  <c r="E65" i="1"/>
  <c r="A3398" i="53"/>
  <c r="B3395" i="53"/>
  <c r="F3445" i="53"/>
  <c r="G3445" i="53" s="1"/>
  <c r="D3445" i="53"/>
  <c r="B3445" i="53"/>
  <c r="F3444" i="53"/>
  <c r="G3444" i="53" s="1"/>
  <c r="D3444" i="53"/>
  <c r="B3444" i="53"/>
  <c r="F3443" i="53"/>
  <c r="G3443" i="53" s="1"/>
  <c r="D3443" i="53"/>
  <c r="B3443" i="53"/>
  <c r="F3442" i="53"/>
  <c r="G3442" i="53" s="1"/>
  <c r="D3442" i="53"/>
  <c r="B3442" i="53"/>
  <c r="F3441" i="53"/>
  <c r="G3441" i="53" s="1"/>
  <c r="D3441" i="53"/>
  <c r="B3441" i="53"/>
  <c r="F3436" i="53"/>
  <c r="E3436" i="53"/>
  <c r="D3436" i="53"/>
  <c r="B3436" i="53"/>
  <c r="F3435" i="53"/>
  <c r="E3435" i="53"/>
  <c r="D3435" i="53"/>
  <c r="B3435" i="53"/>
  <c r="F3434" i="53"/>
  <c r="E3434" i="53"/>
  <c r="D3434" i="53"/>
  <c r="B3434" i="53"/>
  <c r="F3433" i="53"/>
  <c r="E3433" i="53"/>
  <c r="D3433" i="53"/>
  <c r="B3433" i="53"/>
  <c r="F3432" i="53"/>
  <c r="E3432" i="53"/>
  <c r="D3432" i="53"/>
  <c r="B3432" i="53"/>
  <c r="F3431" i="53"/>
  <c r="E3431" i="53"/>
  <c r="D3431" i="53"/>
  <c r="B3431" i="53"/>
  <c r="F3430" i="53"/>
  <c r="E3430" i="53"/>
  <c r="D3430" i="53"/>
  <c r="B3430" i="53"/>
  <c r="F3429" i="53"/>
  <c r="E3429" i="53"/>
  <c r="D3429" i="53"/>
  <c r="B3429" i="53"/>
  <c r="F3428" i="53"/>
  <c r="E3428" i="53"/>
  <c r="D3428" i="53"/>
  <c r="B3428" i="53"/>
  <c r="F3427" i="53"/>
  <c r="E3427" i="53"/>
  <c r="D3427" i="53"/>
  <c r="B3427" i="53"/>
  <c r="F3426" i="53"/>
  <c r="E3426" i="53"/>
  <c r="D3426" i="53"/>
  <c r="B3426" i="53"/>
  <c r="F3425" i="53"/>
  <c r="E3425" i="53"/>
  <c r="D3425" i="53"/>
  <c r="B3425" i="53"/>
  <c r="F3424" i="53"/>
  <c r="E3424" i="53"/>
  <c r="D3424" i="53"/>
  <c r="B3424" i="53"/>
  <c r="F3419" i="53"/>
  <c r="G3419" i="53" s="1"/>
  <c r="B3419" i="53"/>
  <c r="F3418" i="53"/>
  <c r="G3418" i="53" s="1"/>
  <c r="B3418" i="53"/>
  <c r="F3417" i="53"/>
  <c r="G3417" i="53" s="1"/>
  <c r="B3417" i="53"/>
  <c r="F3416" i="53"/>
  <c r="G3416" i="53" s="1"/>
  <c r="B3416" i="53"/>
  <c r="F3415" i="53"/>
  <c r="G3415" i="53" s="1"/>
  <c r="B3415" i="53"/>
  <c r="F3414" i="53"/>
  <c r="G3414" i="53" s="1"/>
  <c r="B3414" i="53"/>
  <c r="F3409" i="53"/>
  <c r="E3409" i="53"/>
  <c r="D3409" i="53"/>
  <c r="B3409" i="53"/>
  <c r="F3408" i="53"/>
  <c r="E3408" i="53"/>
  <c r="D3408" i="53"/>
  <c r="B3408" i="53"/>
  <c r="F3407" i="53"/>
  <c r="E3407" i="53"/>
  <c r="D3407" i="53"/>
  <c r="B3407" i="53"/>
  <c r="F3406" i="53"/>
  <c r="E3406" i="53"/>
  <c r="D3406" i="53"/>
  <c r="B3406" i="53"/>
  <c r="F3405" i="53"/>
  <c r="E3405" i="53"/>
  <c r="D3405" i="53"/>
  <c r="B3405" i="53"/>
  <c r="F3404" i="53"/>
  <c r="E3404" i="53"/>
  <c r="D3404" i="53"/>
  <c r="B3404" i="53"/>
  <c r="E3398" i="53"/>
  <c r="E3895" i="53"/>
  <c r="A3895" i="53"/>
  <c r="H68" i="1"/>
  <c r="I68" i="1"/>
  <c r="G68" i="1"/>
  <c r="H69" i="1"/>
  <c r="I69" i="1"/>
  <c r="G69" i="1"/>
  <c r="I61" i="1"/>
  <c r="H61" i="1"/>
  <c r="G61" i="1"/>
  <c r="A3826" i="53"/>
  <c r="C668" i="55"/>
  <c r="A3825" i="53"/>
  <c r="A3537" i="53"/>
  <c r="A3536" i="53"/>
  <c r="D3536" i="53" s="1"/>
  <c r="A3541" i="53"/>
  <c r="B3541" i="53" s="1"/>
  <c r="A3540" i="53"/>
  <c r="A3539" i="53"/>
  <c r="D3539" i="53" s="1"/>
  <c r="A3538" i="53"/>
  <c r="D3538" i="53" s="1"/>
  <c r="A3533" i="53"/>
  <c r="B3533" i="53"/>
  <c r="F3589" i="53"/>
  <c r="G3589" i="53" s="1"/>
  <c r="D3589" i="53"/>
  <c r="B3589" i="53"/>
  <c r="F3588" i="53"/>
  <c r="G3588" i="53" s="1"/>
  <c r="D3588" i="53"/>
  <c r="B3588" i="53"/>
  <c r="F3587" i="53"/>
  <c r="G3587" i="53" s="1"/>
  <c r="D3587" i="53"/>
  <c r="B3587" i="53"/>
  <c r="F3586" i="53"/>
  <c r="G3586" i="53" s="1"/>
  <c r="D3586" i="53"/>
  <c r="B3586" i="53"/>
  <c r="F3585" i="53"/>
  <c r="G3585" i="53" s="1"/>
  <c r="D3585" i="53"/>
  <c r="B3585" i="53"/>
  <c r="F3580" i="53"/>
  <c r="E3580" i="53"/>
  <c r="D3580" i="53"/>
  <c r="B3580" i="53"/>
  <c r="F3579" i="53"/>
  <c r="E3579" i="53"/>
  <c r="D3579" i="53"/>
  <c r="B3579" i="53"/>
  <c r="F3578" i="53"/>
  <c r="E3578" i="53"/>
  <c r="D3578" i="53"/>
  <c r="B3578" i="53"/>
  <c r="F3577" i="53"/>
  <c r="E3577" i="53"/>
  <c r="D3577" i="53"/>
  <c r="B3577" i="53"/>
  <c r="F3576" i="53"/>
  <c r="E3576" i="53"/>
  <c r="D3576" i="53"/>
  <c r="B3576" i="53"/>
  <c r="F3575" i="53"/>
  <c r="E3575" i="53"/>
  <c r="D3575" i="53"/>
  <c r="B3575" i="53"/>
  <c r="F3574" i="53"/>
  <c r="E3574" i="53"/>
  <c r="D3574" i="53"/>
  <c r="B3574" i="53"/>
  <c r="F3573" i="53"/>
  <c r="E3573" i="53"/>
  <c r="D3573" i="53"/>
  <c r="B3573" i="53"/>
  <c r="F3572" i="53"/>
  <c r="E3572" i="53"/>
  <c r="D3572" i="53"/>
  <c r="B3572" i="53"/>
  <c r="F3571" i="53"/>
  <c r="E3571" i="53"/>
  <c r="D3571" i="53"/>
  <c r="B3571" i="53"/>
  <c r="F3570" i="53"/>
  <c r="E3570" i="53"/>
  <c r="D3570" i="53"/>
  <c r="B3570" i="53"/>
  <c r="F3569" i="53"/>
  <c r="E3569" i="53"/>
  <c r="D3569" i="53"/>
  <c r="B3569" i="53"/>
  <c r="F3568" i="53"/>
  <c r="E3568" i="53"/>
  <c r="D3568" i="53"/>
  <c r="B3568" i="53"/>
  <c r="F3563" i="53"/>
  <c r="G3563" i="53" s="1"/>
  <c r="B3563" i="53"/>
  <c r="F3562" i="53"/>
  <c r="G3562" i="53" s="1"/>
  <c r="B3562" i="53"/>
  <c r="F3561" i="53"/>
  <c r="G3561" i="53" s="1"/>
  <c r="B3561" i="53"/>
  <c r="F3560" i="53"/>
  <c r="G3560" i="53" s="1"/>
  <c r="B3560" i="53"/>
  <c r="F3559" i="53"/>
  <c r="G3559" i="53" s="1"/>
  <c r="B3559" i="53"/>
  <c r="F3558" i="53"/>
  <c r="G3558" i="53" s="1"/>
  <c r="B3558" i="53"/>
  <c r="F3553" i="53"/>
  <c r="E3553" i="53"/>
  <c r="D3553" i="53"/>
  <c r="B3553" i="53"/>
  <c r="F3552" i="53"/>
  <c r="E3552" i="53"/>
  <c r="D3552" i="53"/>
  <c r="B3552" i="53"/>
  <c r="F3551" i="53"/>
  <c r="E3551" i="53"/>
  <c r="D3551" i="53"/>
  <c r="B3551" i="53"/>
  <c r="F3550" i="53"/>
  <c r="E3550" i="53"/>
  <c r="D3550" i="53"/>
  <c r="B3550" i="53"/>
  <c r="F3549" i="53"/>
  <c r="E3549" i="53"/>
  <c r="D3549" i="53"/>
  <c r="B3549" i="53"/>
  <c r="F3548" i="53"/>
  <c r="E3548" i="53"/>
  <c r="D3548" i="53"/>
  <c r="B3548" i="53"/>
  <c r="F3543" i="53"/>
  <c r="G3543" i="53" s="1"/>
  <c r="D3543" i="53"/>
  <c r="B3543" i="53"/>
  <c r="F3542" i="53"/>
  <c r="G3542" i="53" s="1"/>
  <c r="D3542" i="53"/>
  <c r="B3542" i="53"/>
  <c r="E3539" i="53"/>
  <c r="E3538" i="53"/>
  <c r="F76" i="1"/>
  <c r="F68" i="1" s="1"/>
  <c r="E76" i="1"/>
  <c r="E68" i="1" s="1"/>
  <c r="C667" i="55"/>
  <c r="B667" i="55"/>
  <c r="A3753" i="53"/>
  <c r="D3753" i="53" s="1"/>
  <c r="C666" i="55"/>
  <c r="B666" i="55"/>
  <c r="B665" i="55"/>
  <c r="A3752" i="53"/>
  <c r="D3752" i="53" s="1"/>
  <c r="C665" i="55"/>
  <c r="B3749" i="53"/>
  <c r="F3802" i="53"/>
  <c r="G3802" i="53" s="1"/>
  <c r="D3802" i="53"/>
  <c r="B3802" i="53"/>
  <c r="F3801" i="53"/>
  <c r="G3801" i="53" s="1"/>
  <c r="D3801" i="53"/>
  <c r="B3801" i="53"/>
  <c r="F3800" i="53"/>
  <c r="G3800" i="53" s="1"/>
  <c r="D3800" i="53"/>
  <c r="B3800" i="53"/>
  <c r="F3799" i="53"/>
  <c r="G3799" i="53" s="1"/>
  <c r="D3799" i="53"/>
  <c r="B3799" i="53"/>
  <c r="F3798" i="53"/>
  <c r="G3798" i="53" s="1"/>
  <c r="D3798" i="53"/>
  <c r="B3798" i="53"/>
  <c r="F3793" i="53"/>
  <c r="E3793" i="53"/>
  <c r="D3793" i="53"/>
  <c r="B3793" i="53"/>
  <c r="F3792" i="53"/>
  <c r="E3792" i="53"/>
  <c r="D3792" i="53"/>
  <c r="B3792" i="53"/>
  <c r="F3791" i="53"/>
  <c r="E3791" i="53"/>
  <c r="D3791" i="53"/>
  <c r="B3791" i="53"/>
  <c r="F3790" i="53"/>
  <c r="E3790" i="53"/>
  <c r="D3790" i="53"/>
  <c r="B3790" i="53"/>
  <c r="F3789" i="53"/>
  <c r="E3789" i="53"/>
  <c r="D3789" i="53"/>
  <c r="B3789" i="53"/>
  <c r="F3788" i="53"/>
  <c r="E3788" i="53"/>
  <c r="D3788" i="53"/>
  <c r="B3788" i="53"/>
  <c r="F3787" i="53"/>
  <c r="E3787" i="53"/>
  <c r="D3787" i="53"/>
  <c r="B3787" i="53"/>
  <c r="F3786" i="53"/>
  <c r="E3786" i="53"/>
  <c r="D3786" i="53"/>
  <c r="B3786" i="53"/>
  <c r="F3785" i="53"/>
  <c r="E3785" i="53"/>
  <c r="D3785" i="53"/>
  <c r="B3785" i="53"/>
  <c r="F3784" i="53"/>
  <c r="E3784" i="53"/>
  <c r="D3784" i="53"/>
  <c r="B3784" i="53"/>
  <c r="F3783" i="53"/>
  <c r="E3783" i="53"/>
  <c r="D3783" i="53"/>
  <c r="B3783" i="53"/>
  <c r="F3782" i="53"/>
  <c r="E3782" i="53"/>
  <c r="D3782" i="53"/>
  <c r="B3782" i="53"/>
  <c r="F3781" i="53"/>
  <c r="E3781" i="53"/>
  <c r="D3781" i="53"/>
  <c r="B3781" i="53"/>
  <c r="F3776" i="53"/>
  <c r="G3776" i="53" s="1"/>
  <c r="B3776" i="53"/>
  <c r="F3775" i="53"/>
  <c r="G3775" i="53" s="1"/>
  <c r="B3775" i="53"/>
  <c r="F3774" i="53"/>
  <c r="G3774" i="53" s="1"/>
  <c r="B3774" i="53"/>
  <c r="F3773" i="53"/>
  <c r="G3773" i="53" s="1"/>
  <c r="B3773" i="53"/>
  <c r="F3772" i="53"/>
  <c r="G3772" i="53" s="1"/>
  <c r="B3772" i="53"/>
  <c r="F3771" i="53"/>
  <c r="G3771" i="53" s="1"/>
  <c r="B3771" i="53"/>
  <c r="F3766" i="53"/>
  <c r="E3766" i="53"/>
  <c r="D3766" i="53"/>
  <c r="B3766" i="53"/>
  <c r="F3765" i="53"/>
  <c r="E3765" i="53"/>
  <c r="D3765" i="53"/>
  <c r="B3765" i="53"/>
  <c r="F3764" i="53"/>
  <c r="E3764" i="53"/>
  <c r="D3764" i="53"/>
  <c r="B3764" i="53"/>
  <c r="F3763" i="53"/>
  <c r="E3763" i="53"/>
  <c r="D3763" i="53"/>
  <c r="B3763" i="53"/>
  <c r="F3762" i="53"/>
  <c r="E3762" i="53"/>
  <c r="D3762" i="53"/>
  <c r="B3762" i="53"/>
  <c r="F3761" i="53"/>
  <c r="E3761" i="53"/>
  <c r="D3761" i="53"/>
  <c r="B3761" i="53"/>
  <c r="F3756" i="53"/>
  <c r="G3756" i="53" s="1"/>
  <c r="D3756" i="53"/>
  <c r="B3756" i="53"/>
  <c r="D3755" i="53"/>
  <c r="B3755" i="53"/>
  <c r="A3469" i="53"/>
  <c r="C664" i="55"/>
  <c r="F59" i="1"/>
  <c r="F58" i="1"/>
  <c r="H60" i="1"/>
  <c r="H62" i="1"/>
  <c r="G63" i="1"/>
  <c r="G58" i="1" s="1"/>
  <c r="I62" i="1"/>
  <c r="E2968" i="53"/>
  <c r="A2969" i="53"/>
  <c r="A2968" i="53"/>
  <c r="D2968" i="53" s="1"/>
  <c r="F3019" i="53"/>
  <c r="G3019" i="53" s="1"/>
  <c r="D3019" i="53"/>
  <c r="B3019" i="53"/>
  <c r="F3018" i="53"/>
  <c r="G3018" i="53" s="1"/>
  <c r="D3018" i="53"/>
  <c r="B3018" i="53"/>
  <c r="F3017" i="53"/>
  <c r="G3017" i="53" s="1"/>
  <c r="D3017" i="53"/>
  <c r="B3017" i="53"/>
  <c r="F3016" i="53"/>
  <c r="G3016" i="53" s="1"/>
  <c r="D3016" i="53"/>
  <c r="B3016" i="53"/>
  <c r="F3015" i="53"/>
  <c r="G3015" i="53" s="1"/>
  <c r="D3015" i="53"/>
  <c r="B3015" i="53"/>
  <c r="F3010" i="53"/>
  <c r="E3010" i="53"/>
  <c r="D3010" i="53"/>
  <c r="B3010" i="53"/>
  <c r="F3009" i="53"/>
  <c r="E3009" i="53"/>
  <c r="D3009" i="53"/>
  <c r="B3009" i="53"/>
  <c r="F3008" i="53"/>
  <c r="E3008" i="53"/>
  <c r="D3008" i="53"/>
  <c r="B3008" i="53"/>
  <c r="F3007" i="53"/>
  <c r="E3007" i="53"/>
  <c r="D3007" i="53"/>
  <c r="B3007" i="53"/>
  <c r="F3006" i="53"/>
  <c r="E3006" i="53"/>
  <c r="D3006" i="53"/>
  <c r="B3006" i="53"/>
  <c r="F3005" i="53"/>
  <c r="E3005" i="53"/>
  <c r="D3005" i="53"/>
  <c r="B3005" i="53"/>
  <c r="F3004" i="53"/>
  <c r="E3004" i="53"/>
  <c r="D3004" i="53"/>
  <c r="B3004" i="53"/>
  <c r="F3003" i="53"/>
  <c r="E3003" i="53"/>
  <c r="D3003" i="53"/>
  <c r="B3003" i="53"/>
  <c r="F3002" i="53"/>
  <c r="E3002" i="53"/>
  <c r="D3002" i="53"/>
  <c r="B3002" i="53"/>
  <c r="F3001" i="53"/>
  <c r="E3001" i="53"/>
  <c r="D3001" i="53"/>
  <c r="B3001" i="53"/>
  <c r="F3000" i="53"/>
  <c r="E3000" i="53"/>
  <c r="D3000" i="53"/>
  <c r="B3000" i="53"/>
  <c r="F2999" i="53"/>
  <c r="E2999" i="53"/>
  <c r="D2999" i="53"/>
  <c r="B2999" i="53"/>
  <c r="F2998" i="53"/>
  <c r="E2998" i="53"/>
  <c r="D2998" i="53"/>
  <c r="B2998" i="53"/>
  <c r="F2993" i="53"/>
  <c r="G2993" i="53" s="1"/>
  <c r="B2993" i="53"/>
  <c r="F2992" i="53"/>
  <c r="G2992" i="53" s="1"/>
  <c r="B2992" i="53"/>
  <c r="F2991" i="53"/>
  <c r="G2991" i="53" s="1"/>
  <c r="B2991" i="53"/>
  <c r="F2990" i="53"/>
  <c r="G2990" i="53" s="1"/>
  <c r="B2990" i="53"/>
  <c r="F2989" i="53"/>
  <c r="G2989" i="53" s="1"/>
  <c r="B2989" i="53"/>
  <c r="F2988" i="53"/>
  <c r="G2988" i="53" s="1"/>
  <c r="B2988" i="53"/>
  <c r="F2983" i="53"/>
  <c r="E2983" i="53"/>
  <c r="D2983" i="53"/>
  <c r="B2983" i="53"/>
  <c r="F2982" i="53"/>
  <c r="E2982" i="53"/>
  <c r="D2982" i="53"/>
  <c r="B2982" i="53"/>
  <c r="F2981" i="53"/>
  <c r="E2981" i="53"/>
  <c r="D2981" i="53"/>
  <c r="B2981" i="53"/>
  <c r="F2980" i="53"/>
  <c r="E2980" i="53"/>
  <c r="D2980" i="53"/>
  <c r="B2980" i="53"/>
  <c r="F2979" i="53"/>
  <c r="E2979" i="53"/>
  <c r="D2979" i="53"/>
  <c r="B2979" i="53"/>
  <c r="F2978" i="53"/>
  <c r="E2978" i="53"/>
  <c r="D2978" i="53"/>
  <c r="B2978" i="53"/>
  <c r="F2977" i="53"/>
  <c r="E2977" i="53"/>
  <c r="D2977" i="53"/>
  <c r="B2977" i="53"/>
  <c r="F2976" i="53"/>
  <c r="E2976" i="53"/>
  <c r="D2976" i="53"/>
  <c r="B2976" i="53"/>
  <c r="F2971" i="53"/>
  <c r="G2971" i="53" s="1"/>
  <c r="D2971" i="53"/>
  <c r="B2971" i="53"/>
  <c r="F2970" i="53"/>
  <c r="G2970" i="53" s="1"/>
  <c r="D2970" i="53"/>
  <c r="B2970" i="53"/>
  <c r="H286" i="1"/>
  <c r="H285" i="1"/>
  <c r="H233" i="1"/>
  <c r="H232" i="1"/>
  <c r="G286" i="1"/>
  <c r="G285" i="1"/>
  <c r="G232" i="1"/>
  <c r="G233" i="1"/>
  <c r="I286" i="1"/>
  <c r="I285" i="1"/>
  <c r="I233" i="1"/>
  <c r="I232" i="1"/>
  <c r="E985" i="53"/>
  <c r="A985" i="53"/>
  <c r="G3548" i="53" l="1"/>
  <c r="G3550" i="53"/>
  <c r="G3552" i="53"/>
  <c r="G3434" i="53"/>
  <c r="G3404" i="53"/>
  <c r="G3427" i="53"/>
  <c r="G3446" i="53"/>
  <c r="G3405" i="53"/>
  <c r="G3409" i="53"/>
  <c r="G3426" i="53"/>
  <c r="G3429" i="53"/>
  <c r="G3431" i="53"/>
  <c r="G3433" i="53"/>
  <c r="G3407" i="53"/>
  <c r="G3570" i="53"/>
  <c r="G3574" i="53"/>
  <c r="G3428" i="53"/>
  <c r="G3432" i="53"/>
  <c r="G3406" i="53"/>
  <c r="G3408" i="53"/>
  <c r="G3435" i="53"/>
  <c r="G3424" i="53"/>
  <c r="G3430" i="53"/>
  <c r="G3436" i="53"/>
  <c r="G3425" i="53"/>
  <c r="F69" i="1"/>
  <c r="E69" i="1"/>
  <c r="B3539" i="53"/>
  <c r="G3420" i="53"/>
  <c r="B3398" i="53"/>
  <c r="G3551" i="53"/>
  <c r="D3398" i="53"/>
  <c r="G3791" i="53"/>
  <c r="G3575" i="53"/>
  <c r="G3577" i="53"/>
  <c r="G3579" i="53"/>
  <c r="G3578" i="53"/>
  <c r="G3553" i="53"/>
  <c r="G3762" i="53"/>
  <c r="F3541" i="53"/>
  <c r="G3541" i="53" s="1"/>
  <c r="G3590" i="53"/>
  <c r="G3568" i="53"/>
  <c r="G3765" i="53"/>
  <c r="G3572" i="53"/>
  <c r="G3576" i="53"/>
  <c r="G3580" i="53"/>
  <c r="G3569" i="53"/>
  <c r="G3766" i="53"/>
  <c r="G3781" i="53"/>
  <c r="G3783" i="53"/>
  <c r="G3549" i="53"/>
  <c r="G3571" i="53"/>
  <c r="G3573" i="53"/>
  <c r="B3536" i="53"/>
  <c r="D3541" i="53"/>
  <c r="D3540" i="53"/>
  <c r="G3564" i="53"/>
  <c r="G3785" i="53"/>
  <c r="G3789" i="53"/>
  <c r="G3793" i="53"/>
  <c r="B3538" i="53"/>
  <c r="G3784" i="53"/>
  <c r="G3786" i="53"/>
  <c r="G3788" i="53"/>
  <c r="G3790" i="53"/>
  <c r="B3537" i="53"/>
  <c r="D3537" i="53"/>
  <c r="B3540" i="53"/>
  <c r="G59" i="1"/>
  <c r="H58" i="1"/>
  <c r="G3803" i="53"/>
  <c r="G3764" i="53"/>
  <c r="G3782" i="53"/>
  <c r="G3792" i="53"/>
  <c r="G3761" i="53"/>
  <c r="G3763" i="53"/>
  <c r="G3787" i="53"/>
  <c r="G3777" i="53"/>
  <c r="B3752" i="53"/>
  <c r="G2979" i="53"/>
  <c r="G3000" i="53"/>
  <c r="G3006" i="53"/>
  <c r="B3754" i="53"/>
  <c r="D3754" i="53"/>
  <c r="B3753" i="53"/>
  <c r="G2978" i="53"/>
  <c r="G2980" i="53"/>
  <c r="H59" i="1"/>
  <c r="G3010" i="53"/>
  <c r="G3009" i="53"/>
  <c r="G2998" i="53"/>
  <c r="G3005" i="53"/>
  <c r="G2982" i="53"/>
  <c r="G3002" i="53"/>
  <c r="G3004" i="53"/>
  <c r="G3008" i="53"/>
  <c r="G2976" i="53"/>
  <c r="G2977" i="53"/>
  <c r="G2999" i="53"/>
  <c r="G2981" i="53"/>
  <c r="G2983" i="53"/>
  <c r="G3001" i="53"/>
  <c r="G3003" i="53"/>
  <c r="G3007" i="53"/>
  <c r="G3020" i="53"/>
  <c r="G2994" i="53"/>
  <c r="D2969" i="53"/>
  <c r="B2968" i="53"/>
  <c r="B2969" i="53"/>
  <c r="D985" i="53"/>
  <c r="B985" i="53"/>
  <c r="G3437" i="53" l="1"/>
  <c r="G3410" i="53"/>
  <c r="G3554" i="53"/>
  <c r="G3581" i="53"/>
  <c r="G3767" i="53"/>
  <c r="G3794" i="53"/>
  <c r="G2984" i="53"/>
  <c r="G3011" i="53"/>
  <c r="E63" i="1" l="1"/>
  <c r="E59" i="1" l="1"/>
  <c r="E58" i="1"/>
  <c r="E2902" i="53" l="1"/>
  <c r="E2898" i="53"/>
  <c r="E2899" i="53" s="1"/>
  <c r="A2899" i="53"/>
  <c r="A2902" i="53"/>
  <c r="E2833" i="53"/>
  <c r="A2833" i="53"/>
  <c r="A2832" i="53"/>
  <c r="C663" i="55"/>
  <c r="E2830" i="53"/>
  <c r="E2831" i="53" s="1"/>
  <c r="A2831" i="53"/>
  <c r="A2764" i="53"/>
  <c r="C662" i="55"/>
  <c r="A2761" i="53"/>
  <c r="B2761" i="53"/>
  <c r="F2811" i="53"/>
  <c r="G2811" i="53" s="1"/>
  <c r="D2811" i="53"/>
  <c r="B2811" i="53"/>
  <c r="F2810" i="53"/>
  <c r="G2810" i="53" s="1"/>
  <c r="D2810" i="53"/>
  <c r="B2810" i="53"/>
  <c r="F2809" i="53"/>
  <c r="G2809" i="53" s="1"/>
  <c r="D2809" i="53"/>
  <c r="B2809" i="53"/>
  <c r="F2808" i="53"/>
  <c r="G2808" i="53" s="1"/>
  <c r="D2808" i="53"/>
  <c r="B2808" i="53"/>
  <c r="F2807" i="53"/>
  <c r="G2807" i="53" s="1"/>
  <c r="D2807" i="53"/>
  <c r="B2807" i="53"/>
  <c r="F2802" i="53"/>
  <c r="E2802" i="53"/>
  <c r="D2802" i="53"/>
  <c r="B2802" i="53"/>
  <c r="F2801" i="53"/>
  <c r="E2801" i="53"/>
  <c r="D2801" i="53"/>
  <c r="B2801" i="53"/>
  <c r="F2800" i="53"/>
  <c r="E2800" i="53"/>
  <c r="D2800" i="53"/>
  <c r="B2800" i="53"/>
  <c r="F2799" i="53"/>
  <c r="E2799" i="53"/>
  <c r="D2799" i="53"/>
  <c r="B2799" i="53"/>
  <c r="F2798" i="53"/>
  <c r="E2798" i="53"/>
  <c r="D2798" i="53"/>
  <c r="B2798" i="53"/>
  <c r="F2797" i="53"/>
  <c r="E2797" i="53"/>
  <c r="D2797" i="53"/>
  <c r="B2797" i="53"/>
  <c r="F2796" i="53"/>
  <c r="E2796" i="53"/>
  <c r="D2796" i="53"/>
  <c r="B2796" i="53"/>
  <c r="F2795" i="53"/>
  <c r="E2795" i="53"/>
  <c r="D2795" i="53"/>
  <c r="B2795" i="53"/>
  <c r="F2794" i="53"/>
  <c r="E2794" i="53"/>
  <c r="D2794" i="53"/>
  <c r="B2794" i="53"/>
  <c r="F2793" i="53"/>
  <c r="E2793" i="53"/>
  <c r="D2793" i="53"/>
  <c r="B2793" i="53"/>
  <c r="F2792" i="53"/>
  <c r="E2792" i="53"/>
  <c r="D2792" i="53"/>
  <c r="B2792" i="53"/>
  <c r="F2791" i="53"/>
  <c r="E2791" i="53"/>
  <c r="D2791" i="53"/>
  <c r="B2791" i="53"/>
  <c r="F2790" i="53"/>
  <c r="E2790" i="53"/>
  <c r="D2790" i="53"/>
  <c r="B2790" i="53"/>
  <c r="F2785" i="53"/>
  <c r="G2785" i="53" s="1"/>
  <c r="B2785" i="53"/>
  <c r="F2784" i="53"/>
  <c r="G2784" i="53" s="1"/>
  <c r="B2784" i="53"/>
  <c r="F2783" i="53"/>
  <c r="G2783" i="53" s="1"/>
  <c r="B2783" i="53"/>
  <c r="F2782" i="53"/>
  <c r="G2782" i="53" s="1"/>
  <c r="B2782" i="53"/>
  <c r="F2781" i="53"/>
  <c r="G2781" i="53" s="1"/>
  <c r="B2781" i="53"/>
  <c r="F2780" i="53"/>
  <c r="G2780" i="53" s="1"/>
  <c r="B2780" i="53"/>
  <c r="F2775" i="53"/>
  <c r="E2775" i="53"/>
  <c r="D2775" i="53"/>
  <c r="B2775" i="53"/>
  <c r="F2774" i="53"/>
  <c r="E2774" i="53"/>
  <c r="D2774" i="53"/>
  <c r="B2774" i="53"/>
  <c r="F2773" i="53"/>
  <c r="E2773" i="53"/>
  <c r="D2773" i="53"/>
  <c r="B2773" i="53"/>
  <c r="F2772" i="53"/>
  <c r="E2772" i="53"/>
  <c r="D2772" i="53"/>
  <c r="B2772" i="53"/>
  <c r="F2771" i="53"/>
  <c r="E2771" i="53"/>
  <c r="D2771" i="53"/>
  <c r="B2771" i="53"/>
  <c r="F2770" i="53"/>
  <c r="E2770" i="53"/>
  <c r="D2770" i="53"/>
  <c r="B2770" i="53"/>
  <c r="A2765" i="53"/>
  <c r="F2765" i="53" s="1"/>
  <c r="G2765" i="53" s="1"/>
  <c r="A2699" i="53"/>
  <c r="A2698" i="53"/>
  <c r="A2633" i="53"/>
  <c r="C661" i="55"/>
  <c r="A2632" i="53"/>
  <c r="B2629" i="53"/>
  <c r="C660" i="55"/>
  <c r="F2764" i="53" l="1"/>
  <c r="G2764" i="53" s="1"/>
  <c r="G2766" i="53" s="1"/>
  <c r="G2794" i="53"/>
  <c r="G2771" i="53"/>
  <c r="G2800" i="53"/>
  <c r="G2770" i="53"/>
  <c r="G2772" i="53"/>
  <c r="G2774" i="53"/>
  <c r="G2796" i="53"/>
  <c r="G2797" i="53"/>
  <c r="D2765" i="53"/>
  <c r="G2775" i="53"/>
  <c r="B2764" i="53"/>
  <c r="G2773" i="53"/>
  <c r="G2791" i="53"/>
  <c r="G2793" i="53"/>
  <c r="G2795" i="53"/>
  <c r="G2799" i="53"/>
  <c r="G2801" i="53"/>
  <c r="G2790" i="53"/>
  <c r="G2792" i="53"/>
  <c r="G2798" i="53"/>
  <c r="G2802" i="53"/>
  <c r="D2764" i="53"/>
  <c r="G2786" i="53"/>
  <c r="G2812" i="53"/>
  <c r="B2765" i="53"/>
  <c r="G2776" i="53" l="1"/>
  <c r="G2803" i="53"/>
  <c r="G2814" i="53" l="1"/>
  <c r="J54" i="1" s="1"/>
  <c r="K54" i="1" s="1"/>
  <c r="G2816" i="53" l="1"/>
  <c r="G2817" i="53"/>
  <c r="G2818" i="53"/>
  <c r="G2822" i="53" s="1"/>
  <c r="O54" i="1"/>
  <c r="N54" i="1"/>
  <c r="M54" i="1"/>
  <c r="L54" i="1"/>
  <c r="G2820" i="53" l="1"/>
  <c r="G2824" i="53" s="1"/>
  <c r="G2761" i="53" s="1"/>
  <c r="E2422" i="53" l="1"/>
  <c r="E2421" i="53"/>
  <c r="I49" i="1"/>
  <c r="H49" i="1"/>
  <c r="G49" i="1"/>
  <c r="F49" i="1"/>
  <c r="E49" i="1"/>
  <c r="I47" i="1"/>
  <c r="H47" i="1"/>
  <c r="G47" i="1"/>
  <c r="F47" i="1"/>
  <c r="E47" i="1"/>
  <c r="H48" i="1"/>
  <c r="G48" i="1"/>
  <c r="I48" i="1"/>
  <c r="A8678" i="53" l="1"/>
  <c r="F8678" i="53" s="1"/>
  <c r="G8678" i="53" s="1"/>
  <c r="E8679" i="53"/>
  <c r="A8679" i="53"/>
  <c r="D8679" i="53" s="1"/>
  <c r="C659" i="55"/>
  <c r="A8675" i="53"/>
  <c r="B8675" i="53"/>
  <c r="F8726" i="53"/>
  <c r="G8726" i="53" s="1"/>
  <c r="D8726" i="53"/>
  <c r="B8726" i="53"/>
  <c r="F8725" i="53"/>
  <c r="G8725" i="53" s="1"/>
  <c r="D8725" i="53"/>
  <c r="B8725" i="53"/>
  <c r="F8724" i="53"/>
  <c r="G8724" i="53" s="1"/>
  <c r="D8724" i="53"/>
  <c r="B8724" i="53"/>
  <c r="F8723" i="53"/>
  <c r="G8723" i="53" s="1"/>
  <c r="D8723" i="53"/>
  <c r="B8723" i="53"/>
  <c r="F8722" i="53"/>
  <c r="G8722" i="53" s="1"/>
  <c r="D8722" i="53"/>
  <c r="B8722" i="53"/>
  <c r="F8717" i="53"/>
  <c r="E8717" i="53"/>
  <c r="D8717" i="53"/>
  <c r="B8717" i="53"/>
  <c r="F8716" i="53"/>
  <c r="E8716" i="53"/>
  <c r="D8716" i="53"/>
  <c r="B8716" i="53"/>
  <c r="F8715" i="53"/>
  <c r="E8715" i="53"/>
  <c r="D8715" i="53"/>
  <c r="B8715" i="53"/>
  <c r="F8714" i="53"/>
  <c r="E8714" i="53"/>
  <c r="D8714" i="53"/>
  <c r="B8714" i="53"/>
  <c r="F8713" i="53"/>
  <c r="E8713" i="53"/>
  <c r="D8713" i="53"/>
  <c r="B8713" i="53"/>
  <c r="F8712" i="53"/>
  <c r="E8712" i="53"/>
  <c r="D8712" i="53"/>
  <c r="B8712" i="53"/>
  <c r="F8711" i="53"/>
  <c r="E8711" i="53"/>
  <c r="D8711" i="53"/>
  <c r="B8711" i="53"/>
  <c r="F8710" i="53"/>
  <c r="E8710" i="53"/>
  <c r="D8710" i="53"/>
  <c r="B8710" i="53"/>
  <c r="F8709" i="53"/>
  <c r="E8709" i="53"/>
  <c r="D8709" i="53"/>
  <c r="B8709" i="53"/>
  <c r="F8708" i="53"/>
  <c r="E8708" i="53"/>
  <c r="D8708" i="53"/>
  <c r="B8708" i="53"/>
  <c r="F8707" i="53"/>
  <c r="E8707" i="53"/>
  <c r="D8707" i="53"/>
  <c r="B8707" i="53"/>
  <c r="F8706" i="53"/>
  <c r="E8706" i="53"/>
  <c r="D8706" i="53"/>
  <c r="B8706" i="53"/>
  <c r="F8705" i="53"/>
  <c r="E8705" i="53"/>
  <c r="D8705" i="53"/>
  <c r="B8705" i="53"/>
  <c r="F8700" i="53"/>
  <c r="G8700" i="53" s="1"/>
  <c r="B8700" i="53"/>
  <c r="F8699" i="53"/>
  <c r="G8699" i="53" s="1"/>
  <c r="B8699" i="53"/>
  <c r="F8698" i="53"/>
  <c r="G8698" i="53" s="1"/>
  <c r="B8698" i="53"/>
  <c r="F8697" i="53"/>
  <c r="G8697" i="53" s="1"/>
  <c r="B8697" i="53"/>
  <c r="F8696" i="53"/>
  <c r="G8696" i="53" s="1"/>
  <c r="B8696" i="53"/>
  <c r="F8695" i="53"/>
  <c r="G8695" i="53" s="1"/>
  <c r="B8695" i="53"/>
  <c r="F8690" i="53"/>
  <c r="E8690" i="53"/>
  <c r="D8690" i="53"/>
  <c r="B8690" i="53"/>
  <c r="F8689" i="53"/>
  <c r="E8689" i="53"/>
  <c r="D8689" i="53"/>
  <c r="B8689" i="53"/>
  <c r="F8688" i="53"/>
  <c r="E8688" i="53"/>
  <c r="D8688" i="53"/>
  <c r="B8688" i="53"/>
  <c r="F8687" i="53"/>
  <c r="E8687" i="53"/>
  <c r="D8687" i="53"/>
  <c r="B8687" i="53"/>
  <c r="F8686" i="53"/>
  <c r="E8686" i="53"/>
  <c r="D8686" i="53"/>
  <c r="B8686" i="53"/>
  <c r="F8685" i="53"/>
  <c r="E8685" i="53"/>
  <c r="D8685" i="53"/>
  <c r="B8685" i="53"/>
  <c r="F8680" i="53"/>
  <c r="G8680" i="53" s="1"/>
  <c r="D8680" i="53"/>
  <c r="B8680" i="53"/>
  <c r="E174" i="1"/>
  <c r="F174" i="1"/>
  <c r="G174" i="1"/>
  <c r="H174" i="1"/>
  <c r="I174" i="1"/>
  <c r="E173" i="1"/>
  <c r="F173" i="1"/>
  <c r="G173" i="1"/>
  <c r="H173" i="1"/>
  <c r="I173" i="1"/>
  <c r="H163" i="1"/>
  <c r="G163" i="1"/>
  <c r="I163" i="1"/>
  <c r="E163" i="1"/>
  <c r="F163" i="1"/>
  <c r="F170" i="1"/>
  <c r="E170" i="1"/>
  <c r="H169" i="1"/>
  <c r="H168" i="1"/>
  <c r="H167" i="1"/>
  <c r="H166" i="1"/>
  <c r="G169" i="1"/>
  <c r="G168" i="1"/>
  <c r="G167" i="1"/>
  <c r="G166" i="1"/>
  <c r="I169" i="1"/>
  <c r="I168" i="1"/>
  <c r="I167" i="1"/>
  <c r="I166" i="1"/>
  <c r="A8884" i="53"/>
  <c r="C658" i="55"/>
  <c r="B657" i="55"/>
  <c r="F8930" i="53"/>
  <c r="F8931" i="53"/>
  <c r="F8932" i="53"/>
  <c r="F8929" i="53"/>
  <c r="D8930" i="53"/>
  <c r="D8931" i="53"/>
  <c r="D8932" i="53"/>
  <c r="D8929" i="53"/>
  <c r="B8930" i="53"/>
  <c r="B8931" i="53"/>
  <c r="B8932" i="53"/>
  <c r="B8929" i="53"/>
  <c r="F169" i="1"/>
  <c r="F168" i="1"/>
  <c r="F167" i="1"/>
  <c r="F166" i="1"/>
  <c r="E169" i="1"/>
  <c r="E168" i="1"/>
  <c r="E167" i="1"/>
  <c r="E166" i="1"/>
  <c r="F8865" i="53"/>
  <c r="F8864" i="53"/>
  <c r="D8865" i="53"/>
  <c r="D8864" i="53"/>
  <c r="B8865" i="53"/>
  <c r="B8864" i="53"/>
  <c r="Q32" i="54"/>
  <c r="Q31" i="54"/>
  <c r="Q30" i="54"/>
  <c r="Q29" i="54"/>
  <c r="G8707" i="53" l="1"/>
  <c r="G8711" i="53"/>
  <c r="G8713" i="53"/>
  <c r="G8714" i="53"/>
  <c r="G8705" i="53"/>
  <c r="G8687" i="53"/>
  <c r="G8689" i="53"/>
  <c r="G8717" i="53"/>
  <c r="G8712" i="53"/>
  <c r="G8686" i="53"/>
  <c r="G8688" i="53"/>
  <c r="G8716" i="53"/>
  <c r="G8709" i="53"/>
  <c r="G8715" i="53"/>
  <c r="G8690" i="53"/>
  <c r="G8706" i="53"/>
  <c r="G8708" i="53"/>
  <c r="G8710" i="53"/>
  <c r="G8685" i="53"/>
  <c r="B8679" i="53"/>
  <c r="B8678" i="53"/>
  <c r="G8727" i="53"/>
  <c r="G8701" i="53"/>
  <c r="D8678" i="53"/>
  <c r="G8691" i="53" l="1"/>
  <c r="G8718" i="53"/>
  <c r="H164" i="1"/>
  <c r="H165" i="1" s="1"/>
  <c r="G164" i="1"/>
  <c r="G165" i="1" s="1"/>
  <c r="I165" i="1"/>
  <c r="I164" i="1"/>
  <c r="F165" i="1"/>
  <c r="E165" i="1"/>
  <c r="E6022" i="53"/>
  <c r="E5954" i="53"/>
  <c r="E6020" i="53"/>
  <c r="E6021" i="53" s="1"/>
  <c r="E5952" i="53"/>
  <c r="E5953" i="53" s="1"/>
  <c r="E6023" i="53"/>
  <c r="A6023" i="53"/>
  <c r="D6023" i="53" s="1"/>
  <c r="A6021" i="53"/>
  <c r="B6017" i="53"/>
  <c r="E5955" i="53"/>
  <c r="A5955" i="53"/>
  <c r="A5953" i="53"/>
  <c r="F127" i="1"/>
  <c r="E127" i="1"/>
  <c r="H127" i="1"/>
  <c r="I127" i="1"/>
  <c r="G127" i="1"/>
  <c r="A6634" i="53"/>
  <c r="A6633" i="53"/>
  <c r="C657" i="55"/>
  <c r="C656" i="55"/>
  <c r="A6977" i="53"/>
  <c r="B6977" i="53" s="1"/>
  <c r="A6975" i="53"/>
  <c r="D6975" i="53" s="1"/>
  <c r="A6976" i="53"/>
  <c r="D6976" i="53" s="1"/>
  <c r="A6974" i="53"/>
  <c r="D6974" i="53" s="1"/>
  <c r="C655" i="55"/>
  <c r="C654" i="55"/>
  <c r="C653" i="55"/>
  <c r="C652" i="55"/>
  <c r="B6971" i="53"/>
  <c r="F7023" i="53"/>
  <c r="G7023" i="53" s="1"/>
  <c r="D7023" i="53"/>
  <c r="B7023" i="53"/>
  <c r="F7022" i="53"/>
  <c r="G7022" i="53" s="1"/>
  <c r="D7022" i="53"/>
  <c r="B7022" i="53"/>
  <c r="F7021" i="53"/>
  <c r="G7021" i="53" s="1"/>
  <c r="D7021" i="53"/>
  <c r="B7021" i="53"/>
  <c r="F7020" i="53"/>
  <c r="G7020" i="53" s="1"/>
  <c r="D7020" i="53"/>
  <c r="B7020" i="53"/>
  <c r="F7019" i="53"/>
  <c r="G7019" i="53" s="1"/>
  <c r="D7019" i="53"/>
  <c r="B7019" i="53"/>
  <c r="F7014" i="53"/>
  <c r="E7014" i="53"/>
  <c r="D7014" i="53"/>
  <c r="B7014" i="53"/>
  <c r="F7013" i="53"/>
  <c r="E7013" i="53"/>
  <c r="D7013" i="53"/>
  <c r="B7013" i="53"/>
  <c r="F7012" i="53"/>
  <c r="E7012" i="53"/>
  <c r="D7012" i="53"/>
  <c r="B7012" i="53"/>
  <c r="F7011" i="53"/>
  <c r="E7011" i="53"/>
  <c r="D7011" i="53"/>
  <c r="B7011" i="53"/>
  <c r="F7010" i="53"/>
  <c r="E7010" i="53"/>
  <c r="D7010" i="53"/>
  <c r="B7010" i="53"/>
  <c r="F7009" i="53"/>
  <c r="E7009" i="53"/>
  <c r="D7009" i="53"/>
  <c r="B7009" i="53"/>
  <c r="F7008" i="53"/>
  <c r="E7008" i="53"/>
  <c r="D7008" i="53"/>
  <c r="B7008" i="53"/>
  <c r="F7007" i="53"/>
  <c r="E7007" i="53"/>
  <c r="D7007" i="53"/>
  <c r="B7007" i="53"/>
  <c r="F7006" i="53"/>
  <c r="E7006" i="53"/>
  <c r="D7006" i="53"/>
  <c r="B7006" i="53"/>
  <c r="F7005" i="53"/>
  <c r="E7005" i="53"/>
  <c r="D7005" i="53"/>
  <c r="B7005" i="53"/>
  <c r="F7004" i="53"/>
  <c r="E7004" i="53"/>
  <c r="D7004" i="53"/>
  <c r="B7004" i="53"/>
  <c r="F7003" i="53"/>
  <c r="E7003" i="53"/>
  <c r="D7003" i="53"/>
  <c r="B7003" i="53"/>
  <c r="F7002" i="53"/>
  <c r="E7002" i="53"/>
  <c r="D7002" i="53"/>
  <c r="B7002" i="53"/>
  <c r="F6997" i="53"/>
  <c r="G6997" i="53" s="1"/>
  <c r="B6997" i="53"/>
  <c r="F6996" i="53"/>
  <c r="G6996" i="53" s="1"/>
  <c r="B6996" i="53"/>
  <c r="F6995" i="53"/>
  <c r="G6995" i="53" s="1"/>
  <c r="B6995" i="53"/>
  <c r="F6994" i="53"/>
  <c r="G6994" i="53" s="1"/>
  <c r="B6994" i="53"/>
  <c r="F6993" i="53"/>
  <c r="G6993" i="53" s="1"/>
  <c r="B6993" i="53"/>
  <c r="F6992" i="53"/>
  <c r="G6992" i="53" s="1"/>
  <c r="B6992" i="53"/>
  <c r="F6987" i="53"/>
  <c r="E6987" i="53"/>
  <c r="D6987" i="53"/>
  <c r="B6987" i="53"/>
  <c r="F6986" i="53"/>
  <c r="E6986" i="53"/>
  <c r="D6986" i="53"/>
  <c r="B6986" i="53"/>
  <c r="F6985" i="53"/>
  <c r="E6985" i="53"/>
  <c r="D6985" i="53"/>
  <c r="B6985" i="53"/>
  <c r="F6984" i="53"/>
  <c r="E6984" i="53"/>
  <c r="D6984" i="53"/>
  <c r="B6984" i="53"/>
  <c r="F6983" i="53"/>
  <c r="E6983" i="53"/>
  <c r="D6983" i="53"/>
  <c r="B6983" i="53"/>
  <c r="F6982" i="53"/>
  <c r="E6982" i="53"/>
  <c r="D6982" i="53"/>
  <c r="B6982" i="53"/>
  <c r="I137" i="1"/>
  <c r="H137" i="1"/>
  <c r="G137" i="1"/>
  <c r="I136" i="1"/>
  <c r="H136" i="1"/>
  <c r="G136" i="1"/>
  <c r="F136" i="1"/>
  <c r="E136" i="1"/>
  <c r="F137" i="1"/>
  <c r="E137" i="1"/>
  <c r="H134" i="1"/>
  <c r="I134" i="1"/>
  <c r="G134" i="1"/>
  <c r="H133" i="1"/>
  <c r="H138" i="1" s="1"/>
  <c r="I133" i="1"/>
  <c r="I138" i="1" s="1"/>
  <c r="G133" i="1"/>
  <c r="G138" i="1" s="1"/>
  <c r="F135" i="1"/>
  <c r="E135" i="1"/>
  <c r="F139" i="1"/>
  <c r="E139" i="1"/>
  <c r="H139" i="1"/>
  <c r="I139" i="1"/>
  <c r="G139" i="1"/>
  <c r="H142" i="1"/>
  <c r="I142" i="1"/>
  <c r="G142" i="1"/>
  <c r="H135" i="1"/>
  <c r="I135" i="1"/>
  <c r="G135" i="1"/>
  <c r="A7181" i="53"/>
  <c r="A7180" i="53"/>
  <c r="D7180" i="53" s="1"/>
  <c r="A7179" i="53"/>
  <c r="B7179" i="53" s="1"/>
  <c r="A7110" i="53"/>
  <c r="D7110" i="53" s="1"/>
  <c r="C650" i="55"/>
  <c r="C651" i="55"/>
  <c r="A7176" i="53"/>
  <c r="B7176" i="53"/>
  <c r="F7227" i="53"/>
  <c r="G7227" i="53" s="1"/>
  <c r="D7227" i="53"/>
  <c r="B7227" i="53"/>
  <c r="F7226" i="53"/>
  <c r="G7226" i="53" s="1"/>
  <c r="D7226" i="53"/>
  <c r="B7226" i="53"/>
  <c r="F7225" i="53"/>
  <c r="G7225" i="53" s="1"/>
  <c r="D7225" i="53"/>
  <c r="B7225" i="53"/>
  <c r="F7224" i="53"/>
  <c r="G7224" i="53" s="1"/>
  <c r="D7224" i="53"/>
  <c r="B7224" i="53"/>
  <c r="F7223" i="53"/>
  <c r="G7223" i="53" s="1"/>
  <c r="D7223" i="53"/>
  <c r="B7223" i="53"/>
  <c r="F7218" i="53"/>
  <c r="E7218" i="53"/>
  <c r="D7218" i="53"/>
  <c r="B7218" i="53"/>
  <c r="F7217" i="53"/>
  <c r="E7217" i="53"/>
  <c r="D7217" i="53"/>
  <c r="B7217" i="53"/>
  <c r="F7216" i="53"/>
  <c r="E7216" i="53"/>
  <c r="D7216" i="53"/>
  <c r="B7216" i="53"/>
  <c r="F7215" i="53"/>
  <c r="E7215" i="53"/>
  <c r="D7215" i="53"/>
  <c r="B7215" i="53"/>
  <c r="F7214" i="53"/>
  <c r="E7214" i="53"/>
  <c r="D7214" i="53"/>
  <c r="B7214" i="53"/>
  <c r="F7213" i="53"/>
  <c r="E7213" i="53"/>
  <c r="D7213" i="53"/>
  <c r="B7213" i="53"/>
  <c r="F7212" i="53"/>
  <c r="E7212" i="53"/>
  <c r="D7212" i="53"/>
  <c r="B7212" i="53"/>
  <c r="F7211" i="53"/>
  <c r="E7211" i="53"/>
  <c r="D7211" i="53"/>
  <c r="B7211" i="53"/>
  <c r="F7210" i="53"/>
  <c r="E7210" i="53"/>
  <c r="D7210" i="53"/>
  <c r="B7210" i="53"/>
  <c r="F7209" i="53"/>
  <c r="E7209" i="53"/>
  <c r="D7209" i="53"/>
  <c r="B7209" i="53"/>
  <c r="F7208" i="53"/>
  <c r="E7208" i="53"/>
  <c r="D7208" i="53"/>
  <c r="B7208" i="53"/>
  <c r="F7207" i="53"/>
  <c r="E7207" i="53"/>
  <c r="D7207" i="53"/>
  <c r="B7207" i="53"/>
  <c r="F7206" i="53"/>
  <c r="E7206" i="53"/>
  <c r="D7206" i="53"/>
  <c r="B7206" i="53"/>
  <c r="F7201" i="53"/>
  <c r="G7201" i="53" s="1"/>
  <c r="B7201" i="53"/>
  <c r="F7200" i="53"/>
  <c r="G7200" i="53" s="1"/>
  <c r="B7200" i="53"/>
  <c r="F7199" i="53"/>
  <c r="G7199" i="53" s="1"/>
  <c r="B7199" i="53"/>
  <c r="F7198" i="53"/>
  <c r="G7198" i="53" s="1"/>
  <c r="B7198" i="53"/>
  <c r="F7197" i="53"/>
  <c r="G7197" i="53" s="1"/>
  <c r="B7197" i="53"/>
  <c r="F7196" i="53"/>
  <c r="G7196" i="53" s="1"/>
  <c r="B7196" i="53"/>
  <c r="F7191" i="53"/>
  <c r="E7191" i="53"/>
  <c r="D7191" i="53"/>
  <c r="B7191" i="53"/>
  <c r="F7190" i="53"/>
  <c r="E7190" i="53"/>
  <c r="D7190" i="53"/>
  <c r="B7190" i="53"/>
  <c r="F7189" i="53"/>
  <c r="E7189" i="53"/>
  <c r="D7189" i="53"/>
  <c r="B7189" i="53"/>
  <c r="F7188" i="53"/>
  <c r="E7188" i="53"/>
  <c r="D7188" i="53"/>
  <c r="B7188" i="53"/>
  <c r="F7187" i="53"/>
  <c r="E7187" i="53"/>
  <c r="D7187" i="53"/>
  <c r="B7187" i="53"/>
  <c r="F7186" i="53"/>
  <c r="E7186" i="53"/>
  <c r="D7186" i="53"/>
  <c r="B7186" i="53"/>
  <c r="A7114" i="53"/>
  <c r="A7112" i="53"/>
  <c r="D7112" i="53" s="1"/>
  <c r="A7113" i="53"/>
  <c r="A7111" i="53"/>
  <c r="D7111" i="53" s="1"/>
  <c r="C649" i="55"/>
  <c r="C648" i="55"/>
  <c r="C647" i="55"/>
  <c r="C646" i="55"/>
  <c r="A7107" i="53"/>
  <c r="B7107" i="53"/>
  <c r="F7160" i="53"/>
  <c r="G7160" i="53" s="1"/>
  <c r="D7160" i="53"/>
  <c r="B7160" i="53"/>
  <c r="F7159" i="53"/>
  <c r="G7159" i="53" s="1"/>
  <c r="D7159" i="53"/>
  <c r="B7159" i="53"/>
  <c r="F7158" i="53"/>
  <c r="G7158" i="53" s="1"/>
  <c r="D7158" i="53"/>
  <c r="B7158" i="53"/>
  <c r="F7157" i="53"/>
  <c r="G7157" i="53" s="1"/>
  <c r="D7157" i="53"/>
  <c r="B7157" i="53"/>
  <c r="F7156" i="53"/>
  <c r="G7156" i="53" s="1"/>
  <c r="D7156" i="53"/>
  <c r="B7156" i="53"/>
  <c r="F7151" i="53"/>
  <c r="E7151" i="53"/>
  <c r="D7151" i="53"/>
  <c r="B7151" i="53"/>
  <c r="F7150" i="53"/>
  <c r="E7150" i="53"/>
  <c r="D7150" i="53"/>
  <c r="B7150" i="53"/>
  <c r="F7149" i="53"/>
  <c r="E7149" i="53"/>
  <c r="D7149" i="53"/>
  <c r="B7149" i="53"/>
  <c r="F7148" i="53"/>
  <c r="E7148" i="53"/>
  <c r="D7148" i="53"/>
  <c r="B7148" i="53"/>
  <c r="F7147" i="53"/>
  <c r="E7147" i="53"/>
  <c r="D7147" i="53"/>
  <c r="B7147" i="53"/>
  <c r="F7146" i="53"/>
  <c r="E7146" i="53"/>
  <c r="D7146" i="53"/>
  <c r="B7146" i="53"/>
  <c r="F7145" i="53"/>
  <c r="E7145" i="53"/>
  <c r="D7145" i="53"/>
  <c r="B7145" i="53"/>
  <c r="F7144" i="53"/>
  <c r="E7144" i="53"/>
  <c r="D7144" i="53"/>
  <c r="B7144" i="53"/>
  <c r="F7143" i="53"/>
  <c r="E7143" i="53"/>
  <c r="D7143" i="53"/>
  <c r="B7143" i="53"/>
  <c r="F7142" i="53"/>
  <c r="E7142" i="53"/>
  <c r="D7142" i="53"/>
  <c r="B7142" i="53"/>
  <c r="F7141" i="53"/>
  <c r="E7141" i="53"/>
  <c r="D7141" i="53"/>
  <c r="B7141" i="53"/>
  <c r="F7140" i="53"/>
  <c r="E7140" i="53"/>
  <c r="D7140" i="53"/>
  <c r="B7140" i="53"/>
  <c r="F7139" i="53"/>
  <c r="E7139" i="53"/>
  <c r="D7139" i="53"/>
  <c r="B7139" i="53"/>
  <c r="F7134" i="53"/>
  <c r="G7134" i="53" s="1"/>
  <c r="B7134" i="53"/>
  <c r="F7133" i="53"/>
  <c r="G7133" i="53" s="1"/>
  <c r="B7133" i="53"/>
  <c r="F7132" i="53"/>
  <c r="G7132" i="53" s="1"/>
  <c r="B7132" i="53"/>
  <c r="F7131" i="53"/>
  <c r="G7131" i="53" s="1"/>
  <c r="B7131" i="53"/>
  <c r="F7130" i="53"/>
  <c r="G7130" i="53" s="1"/>
  <c r="B7130" i="53"/>
  <c r="F7129" i="53"/>
  <c r="G7129" i="53" s="1"/>
  <c r="B7129" i="53"/>
  <c r="F7124" i="53"/>
  <c r="E7124" i="53"/>
  <c r="D7124" i="53"/>
  <c r="B7124" i="53"/>
  <c r="F7123" i="53"/>
  <c r="E7123" i="53"/>
  <c r="D7123" i="53"/>
  <c r="B7123" i="53"/>
  <c r="F7122" i="53"/>
  <c r="E7122" i="53"/>
  <c r="D7122" i="53"/>
  <c r="B7122" i="53"/>
  <c r="F7121" i="53"/>
  <c r="E7121" i="53"/>
  <c r="D7121" i="53"/>
  <c r="B7121" i="53"/>
  <c r="F7120" i="53"/>
  <c r="E7120" i="53"/>
  <c r="D7120" i="53"/>
  <c r="B7120" i="53"/>
  <c r="F7119" i="53"/>
  <c r="E7119" i="53"/>
  <c r="D7119" i="53"/>
  <c r="B7119" i="53"/>
  <c r="A7043" i="53"/>
  <c r="A7042" i="53"/>
  <c r="D7042" i="53" s="1"/>
  <c r="A7039" i="53"/>
  <c r="B7039" i="53"/>
  <c r="F7091" i="53"/>
  <c r="G7091" i="53" s="1"/>
  <c r="D7091" i="53"/>
  <c r="B7091" i="53"/>
  <c r="F7090" i="53"/>
  <c r="G7090" i="53" s="1"/>
  <c r="D7090" i="53"/>
  <c r="B7090" i="53"/>
  <c r="F7089" i="53"/>
  <c r="G7089" i="53" s="1"/>
  <c r="D7089" i="53"/>
  <c r="B7089" i="53"/>
  <c r="F7088" i="53"/>
  <c r="G7088" i="53" s="1"/>
  <c r="D7088" i="53"/>
  <c r="B7088" i="53"/>
  <c r="F7087" i="53"/>
  <c r="G7087" i="53" s="1"/>
  <c r="D7087" i="53"/>
  <c r="B7087" i="53"/>
  <c r="F7082" i="53"/>
  <c r="E7082" i="53"/>
  <c r="D7082" i="53"/>
  <c r="B7082" i="53"/>
  <c r="F7081" i="53"/>
  <c r="E7081" i="53"/>
  <c r="D7081" i="53"/>
  <c r="B7081" i="53"/>
  <c r="F7080" i="53"/>
  <c r="E7080" i="53"/>
  <c r="D7080" i="53"/>
  <c r="B7080" i="53"/>
  <c r="F7079" i="53"/>
  <c r="E7079" i="53"/>
  <c r="D7079" i="53"/>
  <c r="B7079" i="53"/>
  <c r="F7078" i="53"/>
  <c r="E7078" i="53"/>
  <c r="D7078" i="53"/>
  <c r="B7078" i="53"/>
  <c r="F7077" i="53"/>
  <c r="E7077" i="53"/>
  <c r="D7077" i="53"/>
  <c r="B7077" i="53"/>
  <c r="F7076" i="53"/>
  <c r="E7076" i="53"/>
  <c r="D7076" i="53"/>
  <c r="B7076" i="53"/>
  <c r="F7075" i="53"/>
  <c r="E7075" i="53"/>
  <c r="D7075" i="53"/>
  <c r="B7075" i="53"/>
  <c r="F7074" i="53"/>
  <c r="E7074" i="53"/>
  <c r="D7074" i="53"/>
  <c r="B7074" i="53"/>
  <c r="F7073" i="53"/>
  <c r="E7073" i="53"/>
  <c r="D7073" i="53"/>
  <c r="B7073" i="53"/>
  <c r="F7072" i="53"/>
  <c r="E7072" i="53"/>
  <c r="D7072" i="53"/>
  <c r="B7072" i="53"/>
  <c r="F7071" i="53"/>
  <c r="E7071" i="53"/>
  <c r="D7071" i="53"/>
  <c r="B7071" i="53"/>
  <c r="F7070" i="53"/>
  <c r="E7070" i="53"/>
  <c r="D7070" i="53"/>
  <c r="B7070" i="53"/>
  <c r="F7065" i="53"/>
  <c r="G7065" i="53" s="1"/>
  <c r="B7065" i="53"/>
  <c r="F7064" i="53"/>
  <c r="G7064" i="53" s="1"/>
  <c r="B7064" i="53"/>
  <c r="F7063" i="53"/>
  <c r="G7063" i="53" s="1"/>
  <c r="B7063" i="53"/>
  <c r="F7062" i="53"/>
  <c r="G7062" i="53" s="1"/>
  <c r="B7062" i="53"/>
  <c r="F7061" i="53"/>
  <c r="G7061" i="53" s="1"/>
  <c r="B7061" i="53"/>
  <c r="F7060" i="53"/>
  <c r="G7060" i="53" s="1"/>
  <c r="B7060" i="53"/>
  <c r="F7055" i="53"/>
  <c r="E7055" i="53"/>
  <c r="D7055" i="53"/>
  <c r="B7055" i="53"/>
  <c r="F7054" i="53"/>
  <c r="E7054" i="53"/>
  <c r="D7054" i="53"/>
  <c r="B7054" i="53"/>
  <c r="F7053" i="53"/>
  <c r="E7053" i="53"/>
  <c r="D7053" i="53"/>
  <c r="B7053" i="53"/>
  <c r="F7052" i="53"/>
  <c r="E7052" i="53"/>
  <c r="D7052" i="53"/>
  <c r="B7052" i="53"/>
  <c r="F7051" i="53"/>
  <c r="E7051" i="53"/>
  <c r="D7051" i="53"/>
  <c r="B7051" i="53"/>
  <c r="F7050" i="53"/>
  <c r="E7050" i="53"/>
  <c r="D7050" i="53"/>
  <c r="B7050" i="53"/>
  <c r="F7045" i="53"/>
  <c r="G7045" i="53" s="1"/>
  <c r="D7045" i="53"/>
  <c r="B7045" i="53"/>
  <c r="F7044" i="53"/>
  <c r="G7044" i="53" s="1"/>
  <c r="A6908" i="53"/>
  <c r="A6906" i="53"/>
  <c r="B6906" i="53" s="1"/>
  <c r="A6907" i="53"/>
  <c r="D6907" i="53" s="1"/>
  <c r="A6905" i="53"/>
  <c r="B6905" i="53" s="1"/>
  <c r="C642" i="55"/>
  <c r="C643" i="55"/>
  <c r="C644" i="55"/>
  <c r="C645" i="55"/>
  <c r="A6902" i="53"/>
  <c r="B6902" i="53"/>
  <c r="F6955" i="53"/>
  <c r="G6955" i="53" s="1"/>
  <c r="D6955" i="53"/>
  <c r="B6955" i="53"/>
  <c r="F6954" i="53"/>
  <c r="G6954" i="53" s="1"/>
  <c r="D6954" i="53"/>
  <c r="B6954" i="53"/>
  <c r="F6953" i="53"/>
  <c r="G6953" i="53" s="1"/>
  <c r="D6953" i="53"/>
  <c r="B6953" i="53"/>
  <c r="F6952" i="53"/>
  <c r="G6952" i="53" s="1"/>
  <c r="D6952" i="53"/>
  <c r="B6952" i="53"/>
  <c r="F6951" i="53"/>
  <c r="G6951" i="53" s="1"/>
  <c r="D6951" i="53"/>
  <c r="B6951" i="53"/>
  <c r="F6946" i="53"/>
  <c r="E6946" i="53"/>
  <c r="D6946" i="53"/>
  <c r="B6946" i="53"/>
  <c r="F6945" i="53"/>
  <c r="E6945" i="53"/>
  <c r="D6945" i="53"/>
  <c r="B6945" i="53"/>
  <c r="F6944" i="53"/>
  <c r="E6944" i="53"/>
  <c r="D6944" i="53"/>
  <c r="B6944" i="53"/>
  <c r="F6943" i="53"/>
  <c r="E6943" i="53"/>
  <c r="D6943" i="53"/>
  <c r="B6943" i="53"/>
  <c r="F6942" i="53"/>
  <c r="E6942" i="53"/>
  <c r="D6942" i="53"/>
  <c r="B6942" i="53"/>
  <c r="F6941" i="53"/>
  <c r="E6941" i="53"/>
  <c r="D6941" i="53"/>
  <c r="B6941" i="53"/>
  <c r="F6940" i="53"/>
  <c r="E6940" i="53"/>
  <c r="D6940" i="53"/>
  <c r="B6940" i="53"/>
  <c r="F6939" i="53"/>
  <c r="E6939" i="53"/>
  <c r="D6939" i="53"/>
  <c r="B6939" i="53"/>
  <c r="F6938" i="53"/>
  <c r="E6938" i="53"/>
  <c r="D6938" i="53"/>
  <c r="B6938" i="53"/>
  <c r="F6937" i="53"/>
  <c r="E6937" i="53"/>
  <c r="D6937" i="53"/>
  <c r="B6937" i="53"/>
  <c r="F6936" i="53"/>
  <c r="E6936" i="53"/>
  <c r="D6936" i="53"/>
  <c r="B6936" i="53"/>
  <c r="F6935" i="53"/>
  <c r="E6935" i="53"/>
  <c r="D6935" i="53"/>
  <c r="B6935" i="53"/>
  <c r="F6934" i="53"/>
  <c r="E6934" i="53"/>
  <c r="D6934" i="53"/>
  <c r="B6934" i="53"/>
  <c r="F6929" i="53"/>
  <c r="G6929" i="53" s="1"/>
  <c r="B6929" i="53"/>
  <c r="F6928" i="53"/>
  <c r="G6928" i="53" s="1"/>
  <c r="B6928" i="53"/>
  <c r="F6927" i="53"/>
  <c r="G6927" i="53" s="1"/>
  <c r="B6927" i="53"/>
  <c r="F6926" i="53"/>
  <c r="G6926" i="53" s="1"/>
  <c r="B6926" i="53"/>
  <c r="F6925" i="53"/>
  <c r="G6925" i="53" s="1"/>
  <c r="B6925" i="53"/>
  <c r="F6924" i="53"/>
  <c r="G6924" i="53" s="1"/>
  <c r="B6924" i="53"/>
  <c r="F6919" i="53"/>
  <c r="E6919" i="53"/>
  <c r="D6919" i="53"/>
  <c r="B6919" i="53"/>
  <c r="F6918" i="53"/>
  <c r="E6918" i="53"/>
  <c r="D6918" i="53"/>
  <c r="B6918" i="53"/>
  <c r="F6917" i="53"/>
  <c r="E6917" i="53"/>
  <c r="D6917" i="53"/>
  <c r="B6917" i="53"/>
  <c r="F6916" i="53"/>
  <c r="E6916" i="53"/>
  <c r="D6916" i="53"/>
  <c r="B6916" i="53"/>
  <c r="F6915" i="53"/>
  <c r="E6915" i="53"/>
  <c r="D6915" i="53"/>
  <c r="B6915" i="53"/>
  <c r="F6914" i="53"/>
  <c r="E6914" i="53"/>
  <c r="D6914" i="53"/>
  <c r="B6914" i="53"/>
  <c r="F6909" i="53"/>
  <c r="G6909" i="53" s="1"/>
  <c r="D6909" i="53"/>
  <c r="B6909" i="53"/>
  <c r="F130" i="1"/>
  <c r="E130" i="1"/>
  <c r="H130" i="1"/>
  <c r="I130" i="1"/>
  <c r="G130" i="1"/>
  <c r="F140" i="1"/>
  <c r="F129" i="1" s="1"/>
  <c r="E140" i="1"/>
  <c r="E129" i="1" s="1"/>
  <c r="H140" i="1"/>
  <c r="H129" i="1" s="1"/>
  <c r="I140" i="1"/>
  <c r="I129" i="1" s="1"/>
  <c r="G140" i="1"/>
  <c r="G129" i="1" s="1"/>
  <c r="H141" i="1"/>
  <c r="I141" i="1"/>
  <c r="G141" i="1"/>
  <c r="F141" i="1"/>
  <c r="E141" i="1"/>
  <c r="A7520" i="53"/>
  <c r="A7517" i="53"/>
  <c r="B7517" i="53"/>
  <c r="F7568" i="53"/>
  <c r="G7568" i="53" s="1"/>
  <c r="D7568" i="53"/>
  <c r="B7568" i="53"/>
  <c r="F7567" i="53"/>
  <c r="G7567" i="53" s="1"/>
  <c r="D7567" i="53"/>
  <c r="B7567" i="53"/>
  <c r="F7566" i="53"/>
  <c r="G7566" i="53" s="1"/>
  <c r="D7566" i="53"/>
  <c r="B7566" i="53"/>
  <c r="F7565" i="53"/>
  <c r="G7565" i="53" s="1"/>
  <c r="D7565" i="53"/>
  <c r="B7565" i="53"/>
  <c r="F7564" i="53"/>
  <c r="G7564" i="53" s="1"/>
  <c r="D7564" i="53"/>
  <c r="B7564" i="53"/>
  <c r="F7559" i="53"/>
  <c r="E7559" i="53"/>
  <c r="D7559" i="53"/>
  <c r="B7559" i="53"/>
  <c r="F7558" i="53"/>
  <c r="E7558" i="53"/>
  <c r="D7558" i="53"/>
  <c r="B7558" i="53"/>
  <c r="F7557" i="53"/>
  <c r="E7557" i="53"/>
  <c r="D7557" i="53"/>
  <c r="B7557" i="53"/>
  <c r="F7556" i="53"/>
  <c r="E7556" i="53"/>
  <c r="D7556" i="53"/>
  <c r="B7556" i="53"/>
  <c r="F7555" i="53"/>
  <c r="E7555" i="53"/>
  <c r="D7555" i="53"/>
  <c r="B7555" i="53"/>
  <c r="F7554" i="53"/>
  <c r="E7554" i="53"/>
  <c r="D7554" i="53"/>
  <c r="B7554" i="53"/>
  <c r="F7553" i="53"/>
  <c r="E7553" i="53"/>
  <c r="D7553" i="53"/>
  <c r="B7553" i="53"/>
  <c r="F7552" i="53"/>
  <c r="E7552" i="53"/>
  <c r="D7552" i="53"/>
  <c r="B7552" i="53"/>
  <c r="F7551" i="53"/>
  <c r="E7551" i="53"/>
  <c r="D7551" i="53"/>
  <c r="B7551" i="53"/>
  <c r="F7550" i="53"/>
  <c r="E7550" i="53"/>
  <c r="D7550" i="53"/>
  <c r="B7550" i="53"/>
  <c r="F7549" i="53"/>
  <c r="E7549" i="53"/>
  <c r="D7549" i="53"/>
  <c r="B7549" i="53"/>
  <c r="F7548" i="53"/>
  <c r="E7548" i="53"/>
  <c r="D7548" i="53"/>
  <c r="B7548" i="53"/>
  <c r="F7547" i="53"/>
  <c r="E7547" i="53"/>
  <c r="D7547" i="53"/>
  <c r="B7547" i="53"/>
  <c r="F7542" i="53"/>
  <c r="G7542" i="53" s="1"/>
  <c r="B7542" i="53"/>
  <c r="F7541" i="53"/>
  <c r="G7541" i="53" s="1"/>
  <c r="B7541" i="53"/>
  <c r="F7540" i="53"/>
  <c r="G7540" i="53" s="1"/>
  <c r="B7540" i="53"/>
  <c r="F7539" i="53"/>
  <c r="G7539" i="53" s="1"/>
  <c r="B7539" i="53"/>
  <c r="F7538" i="53"/>
  <c r="G7538" i="53" s="1"/>
  <c r="B7538" i="53"/>
  <c r="F7537" i="53"/>
  <c r="G7537" i="53" s="1"/>
  <c r="B7537" i="53"/>
  <c r="F7532" i="53"/>
  <c r="E7532" i="53"/>
  <c r="D7532" i="53"/>
  <c r="B7532" i="53"/>
  <c r="F7531" i="53"/>
  <c r="E7531" i="53"/>
  <c r="D7531" i="53"/>
  <c r="B7531" i="53"/>
  <c r="F7530" i="53"/>
  <c r="E7530" i="53"/>
  <c r="D7530" i="53"/>
  <c r="B7530" i="53"/>
  <c r="F7529" i="53"/>
  <c r="E7529" i="53"/>
  <c r="D7529" i="53"/>
  <c r="B7529" i="53"/>
  <c r="F7528" i="53"/>
  <c r="E7528" i="53"/>
  <c r="D7528" i="53"/>
  <c r="B7528" i="53"/>
  <c r="F7527" i="53"/>
  <c r="E7527" i="53"/>
  <c r="D7527" i="53"/>
  <c r="B7527" i="53"/>
  <c r="F7522" i="53"/>
  <c r="G7522" i="53" s="1"/>
  <c r="D7522" i="53"/>
  <c r="B7522" i="53"/>
  <c r="F7521" i="53"/>
  <c r="G7521" i="53" s="1"/>
  <c r="D7521" i="53"/>
  <c r="B7521" i="53"/>
  <c r="A7663" i="53"/>
  <c r="A7661" i="53"/>
  <c r="A7662" i="53"/>
  <c r="B7662" i="53" s="1"/>
  <c r="A7660" i="53"/>
  <c r="D7660" i="53" s="1"/>
  <c r="A7659" i="53"/>
  <c r="B7659" i="53" s="1"/>
  <c r="A7658" i="53"/>
  <c r="A7588" i="53"/>
  <c r="B7588" i="53" s="1"/>
  <c r="A7592" i="53"/>
  <c r="D7592" i="53" s="1"/>
  <c r="A7591" i="53"/>
  <c r="B7591" i="53" s="1"/>
  <c r="A7589" i="53"/>
  <c r="A7590" i="53"/>
  <c r="B7590" i="53" s="1"/>
  <c r="A7587" i="53"/>
  <c r="C637" i="55"/>
  <c r="C638" i="55"/>
  <c r="C639" i="55"/>
  <c r="C640" i="55"/>
  <c r="C641" i="55"/>
  <c r="A7453" i="53"/>
  <c r="C636" i="55"/>
  <c r="A7655" i="53"/>
  <c r="B7655" i="53"/>
  <c r="F7709" i="53"/>
  <c r="G7709" i="53" s="1"/>
  <c r="D7709" i="53"/>
  <c r="B7709" i="53"/>
  <c r="F7708" i="53"/>
  <c r="G7708" i="53" s="1"/>
  <c r="D7708" i="53"/>
  <c r="B7708" i="53"/>
  <c r="F7707" i="53"/>
  <c r="G7707" i="53" s="1"/>
  <c r="D7707" i="53"/>
  <c r="B7707" i="53"/>
  <c r="F7706" i="53"/>
  <c r="G7706" i="53" s="1"/>
  <c r="D7706" i="53"/>
  <c r="B7706" i="53"/>
  <c r="F7705" i="53"/>
  <c r="G7705" i="53" s="1"/>
  <c r="D7705" i="53"/>
  <c r="B7705" i="53"/>
  <c r="F7700" i="53"/>
  <c r="E7700" i="53"/>
  <c r="D7700" i="53"/>
  <c r="B7700" i="53"/>
  <c r="F7699" i="53"/>
  <c r="E7699" i="53"/>
  <c r="D7699" i="53"/>
  <c r="B7699" i="53"/>
  <c r="F7698" i="53"/>
  <c r="E7698" i="53"/>
  <c r="D7698" i="53"/>
  <c r="B7698" i="53"/>
  <c r="F7697" i="53"/>
  <c r="E7697" i="53"/>
  <c r="D7697" i="53"/>
  <c r="B7697" i="53"/>
  <c r="F7696" i="53"/>
  <c r="E7696" i="53"/>
  <c r="D7696" i="53"/>
  <c r="B7696" i="53"/>
  <c r="F7695" i="53"/>
  <c r="E7695" i="53"/>
  <c r="D7695" i="53"/>
  <c r="B7695" i="53"/>
  <c r="F7694" i="53"/>
  <c r="E7694" i="53"/>
  <c r="D7694" i="53"/>
  <c r="B7694" i="53"/>
  <c r="F7693" i="53"/>
  <c r="E7693" i="53"/>
  <c r="D7693" i="53"/>
  <c r="B7693" i="53"/>
  <c r="F7692" i="53"/>
  <c r="E7692" i="53"/>
  <c r="D7692" i="53"/>
  <c r="B7692" i="53"/>
  <c r="F7691" i="53"/>
  <c r="E7691" i="53"/>
  <c r="D7691" i="53"/>
  <c r="B7691" i="53"/>
  <c r="F7690" i="53"/>
  <c r="E7690" i="53"/>
  <c r="D7690" i="53"/>
  <c r="B7690" i="53"/>
  <c r="F7689" i="53"/>
  <c r="E7689" i="53"/>
  <c r="D7689" i="53"/>
  <c r="B7689" i="53"/>
  <c r="F7688" i="53"/>
  <c r="E7688" i="53"/>
  <c r="D7688" i="53"/>
  <c r="B7688" i="53"/>
  <c r="F7683" i="53"/>
  <c r="G7683" i="53" s="1"/>
  <c r="B7683" i="53"/>
  <c r="F7682" i="53"/>
  <c r="G7682" i="53" s="1"/>
  <c r="B7682" i="53"/>
  <c r="F7681" i="53"/>
  <c r="G7681" i="53" s="1"/>
  <c r="B7681" i="53"/>
  <c r="F7680" i="53"/>
  <c r="G7680" i="53" s="1"/>
  <c r="B7680" i="53"/>
  <c r="F7679" i="53"/>
  <c r="G7679" i="53" s="1"/>
  <c r="B7679" i="53"/>
  <c r="F7678" i="53"/>
  <c r="G7678" i="53" s="1"/>
  <c r="B7678" i="53"/>
  <c r="F7673" i="53"/>
  <c r="E7673" i="53"/>
  <c r="D7673" i="53"/>
  <c r="B7673" i="53"/>
  <c r="F7672" i="53"/>
  <c r="E7672" i="53"/>
  <c r="D7672" i="53"/>
  <c r="B7672" i="53"/>
  <c r="F7671" i="53"/>
  <c r="E7671" i="53"/>
  <c r="D7671" i="53"/>
  <c r="B7671" i="53"/>
  <c r="F7670" i="53"/>
  <c r="E7670" i="53"/>
  <c r="D7670" i="53"/>
  <c r="B7670" i="53"/>
  <c r="F7669" i="53"/>
  <c r="E7669" i="53"/>
  <c r="D7669" i="53"/>
  <c r="B7669" i="53"/>
  <c r="F7668" i="53"/>
  <c r="E7668" i="53"/>
  <c r="D7668" i="53"/>
  <c r="B7668" i="53"/>
  <c r="A7584" i="53"/>
  <c r="B7584" i="53"/>
  <c r="F7639" i="53"/>
  <c r="G7639" i="53" s="1"/>
  <c r="D7639" i="53"/>
  <c r="B7639" i="53"/>
  <c r="F7638" i="53"/>
  <c r="G7638" i="53" s="1"/>
  <c r="D7638" i="53"/>
  <c r="B7638" i="53"/>
  <c r="F7637" i="53"/>
  <c r="G7637" i="53" s="1"/>
  <c r="D7637" i="53"/>
  <c r="B7637" i="53"/>
  <c r="F7636" i="53"/>
  <c r="G7636" i="53" s="1"/>
  <c r="D7636" i="53"/>
  <c r="B7636" i="53"/>
  <c r="F7635" i="53"/>
  <c r="G7635" i="53" s="1"/>
  <c r="D7635" i="53"/>
  <c r="B7635" i="53"/>
  <c r="F7630" i="53"/>
  <c r="E7630" i="53"/>
  <c r="D7630" i="53"/>
  <c r="B7630" i="53"/>
  <c r="F7629" i="53"/>
  <c r="E7629" i="53"/>
  <c r="D7629" i="53"/>
  <c r="B7629" i="53"/>
  <c r="F7628" i="53"/>
  <c r="E7628" i="53"/>
  <c r="D7628" i="53"/>
  <c r="B7628" i="53"/>
  <c r="F7627" i="53"/>
  <c r="E7627" i="53"/>
  <c r="D7627" i="53"/>
  <c r="B7627" i="53"/>
  <c r="F7626" i="53"/>
  <c r="E7626" i="53"/>
  <c r="D7626" i="53"/>
  <c r="B7626" i="53"/>
  <c r="F7625" i="53"/>
  <c r="E7625" i="53"/>
  <c r="D7625" i="53"/>
  <c r="B7625" i="53"/>
  <c r="F7624" i="53"/>
  <c r="E7624" i="53"/>
  <c r="D7624" i="53"/>
  <c r="B7624" i="53"/>
  <c r="F7623" i="53"/>
  <c r="E7623" i="53"/>
  <c r="D7623" i="53"/>
  <c r="B7623" i="53"/>
  <c r="F7622" i="53"/>
  <c r="E7622" i="53"/>
  <c r="D7622" i="53"/>
  <c r="B7622" i="53"/>
  <c r="F7621" i="53"/>
  <c r="E7621" i="53"/>
  <c r="D7621" i="53"/>
  <c r="B7621" i="53"/>
  <c r="F7620" i="53"/>
  <c r="E7620" i="53"/>
  <c r="D7620" i="53"/>
  <c r="B7620" i="53"/>
  <c r="F7619" i="53"/>
  <c r="E7619" i="53"/>
  <c r="D7619" i="53"/>
  <c r="B7619" i="53"/>
  <c r="F7618" i="53"/>
  <c r="E7618" i="53"/>
  <c r="D7618" i="53"/>
  <c r="B7618" i="53"/>
  <c r="F7613" i="53"/>
  <c r="G7613" i="53" s="1"/>
  <c r="B7613" i="53"/>
  <c r="F7612" i="53"/>
  <c r="G7612" i="53" s="1"/>
  <c r="B7612" i="53"/>
  <c r="F7611" i="53"/>
  <c r="G7611" i="53" s="1"/>
  <c r="B7611" i="53"/>
  <c r="F7610" i="53"/>
  <c r="G7610" i="53" s="1"/>
  <c r="B7610" i="53"/>
  <c r="F7609" i="53"/>
  <c r="G7609" i="53" s="1"/>
  <c r="B7609" i="53"/>
  <c r="F7608" i="53"/>
  <c r="G7608" i="53" s="1"/>
  <c r="B7608" i="53"/>
  <c r="F7603" i="53"/>
  <c r="E7603" i="53"/>
  <c r="D7603" i="53"/>
  <c r="B7603" i="53"/>
  <c r="F7602" i="53"/>
  <c r="E7602" i="53"/>
  <c r="D7602" i="53"/>
  <c r="B7602" i="53"/>
  <c r="F7601" i="53"/>
  <c r="E7601" i="53"/>
  <c r="D7601" i="53"/>
  <c r="B7601" i="53"/>
  <c r="F7600" i="53"/>
  <c r="E7600" i="53"/>
  <c r="D7600" i="53"/>
  <c r="B7600" i="53"/>
  <c r="F7599" i="53"/>
  <c r="E7599" i="53"/>
  <c r="D7599" i="53"/>
  <c r="B7599" i="53"/>
  <c r="F7598" i="53"/>
  <c r="E7598" i="53"/>
  <c r="D7598" i="53"/>
  <c r="B7598" i="53"/>
  <c r="A7450" i="53"/>
  <c r="B7450" i="53"/>
  <c r="F7501" i="53"/>
  <c r="G7501" i="53" s="1"/>
  <c r="D7501" i="53"/>
  <c r="B7501" i="53"/>
  <c r="F7500" i="53"/>
  <c r="G7500" i="53" s="1"/>
  <c r="D7500" i="53"/>
  <c r="B7500" i="53"/>
  <c r="F7499" i="53"/>
  <c r="G7499" i="53" s="1"/>
  <c r="D7499" i="53"/>
  <c r="B7499" i="53"/>
  <c r="F7498" i="53"/>
  <c r="G7498" i="53" s="1"/>
  <c r="D7498" i="53"/>
  <c r="B7498" i="53"/>
  <c r="F7497" i="53"/>
  <c r="G7497" i="53" s="1"/>
  <c r="D7497" i="53"/>
  <c r="B7497" i="53"/>
  <c r="F7492" i="53"/>
  <c r="E7492" i="53"/>
  <c r="D7492" i="53"/>
  <c r="B7492" i="53"/>
  <c r="F7491" i="53"/>
  <c r="E7491" i="53"/>
  <c r="D7491" i="53"/>
  <c r="B7491" i="53"/>
  <c r="F7490" i="53"/>
  <c r="E7490" i="53"/>
  <c r="D7490" i="53"/>
  <c r="B7490" i="53"/>
  <c r="F7489" i="53"/>
  <c r="E7489" i="53"/>
  <c r="D7489" i="53"/>
  <c r="B7489" i="53"/>
  <c r="F7488" i="53"/>
  <c r="E7488" i="53"/>
  <c r="D7488" i="53"/>
  <c r="B7488" i="53"/>
  <c r="F7487" i="53"/>
  <c r="E7487" i="53"/>
  <c r="D7487" i="53"/>
  <c r="B7487" i="53"/>
  <c r="F7486" i="53"/>
  <c r="E7486" i="53"/>
  <c r="D7486" i="53"/>
  <c r="B7486" i="53"/>
  <c r="F7485" i="53"/>
  <c r="E7485" i="53"/>
  <c r="D7485" i="53"/>
  <c r="B7485" i="53"/>
  <c r="F7484" i="53"/>
  <c r="E7484" i="53"/>
  <c r="D7484" i="53"/>
  <c r="B7484" i="53"/>
  <c r="F7483" i="53"/>
  <c r="E7483" i="53"/>
  <c r="D7483" i="53"/>
  <c r="B7483" i="53"/>
  <c r="F7482" i="53"/>
  <c r="E7482" i="53"/>
  <c r="D7482" i="53"/>
  <c r="B7482" i="53"/>
  <c r="F7481" i="53"/>
  <c r="E7481" i="53"/>
  <c r="D7481" i="53"/>
  <c r="B7481" i="53"/>
  <c r="F7480" i="53"/>
  <c r="E7480" i="53"/>
  <c r="D7480" i="53"/>
  <c r="B7480" i="53"/>
  <c r="F7475" i="53"/>
  <c r="G7475" i="53" s="1"/>
  <c r="B7475" i="53"/>
  <c r="F7474" i="53"/>
  <c r="G7474" i="53" s="1"/>
  <c r="B7474" i="53"/>
  <c r="F7473" i="53"/>
  <c r="G7473" i="53" s="1"/>
  <c r="B7473" i="53"/>
  <c r="F7472" i="53"/>
  <c r="G7472" i="53" s="1"/>
  <c r="B7472" i="53"/>
  <c r="F7471" i="53"/>
  <c r="G7471" i="53" s="1"/>
  <c r="B7471" i="53"/>
  <c r="F7470" i="53"/>
  <c r="G7470" i="53" s="1"/>
  <c r="B7470" i="53"/>
  <c r="F7465" i="53"/>
  <c r="E7465" i="53"/>
  <c r="D7465" i="53"/>
  <c r="B7465" i="53"/>
  <c r="F7464" i="53"/>
  <c r="E7464" i="53"/>
  <c r="D7464" i="53"/>
  <c r="B7464" i="53"/>
  <c r="F7463" i="53"/>
  <c r="E7463" i="53"/>
  <c r="D7463" i="53"/>
  <c r="B7463" i="53"/>
  <c r="F7462" i="53"/>
  <c r="E7462" i="53"/>
  <c r="D7462" i="53"/>
  <c r="B7462" i="53"/>
  <c r="F7461" i="53"/>
  <c r="E7461" i="53"/>
  <c r="D7461" i="53"/>
  <c r="B7461" i="53"/>
  <c r="F7460" i="53"/>
  <c r="E7460" i="53"/>
  <c r="D7460" i="53"/>
  <c r="B7460" i="53"/>
  <c r="F7455" i="53"/>
  <c r="G7455" i="53" s="1"/>
  <c r="D7455" i="53"/>
  <c r="B7455" i="53"/>
  <c r="F7454" i="53"/>
  <c r="G7454" i="53" s="1"/>
  <c r="C623" i="55"/>
  <c r="C624" i="55"/>
  <c r="C625" i="55"/>
  <c r="C626" i="55"/>
  <c r="C627" i="55"/>
  <c r="C628" i="55"/>
  <c r="C629" i="55"/>
  <c r="C630" i="55"/>
  <c r="C631" i="55"/>
  <c r="C632" i="55"/>
  <c r="C633" i="55"/>
  <c r="C634" i="55"/>
  <c r="C635" i="55"/>
  <c r="A3974" i="53"/>
  <c r="D3974" i="53" s="1"/>
  <c r="A3963" i="53"/>
  <c r="A3964" i="53"/>
  <c r="D3964" i="53" s="1"/>
  <c r="A3965" i="53"/>
  <c r="A3966" i="53"/>
  <c r="D3966" i="53" s="1"/>
  <c r="A3967" i="53"/>
  <c r="B3967" i="53" s="1"/>
  <c r="A3968" i="53"/>
  <c r="D3968" i="53" s="1"/>
  <c r="A3969" i="53"/>
  <c r="A3970" i="53"/>
  <c r="A3971" i="53"/>
  <c r="A3972" i="53"/>
  <c r="D3972" i="53" s="1"/>
  <c r="A3973" i="53"/>
  <c r="A3962" i="53"/>
  <c r="C621" i="55"/>
  <c r="C622" i="55"/>
  <c r="A7385" i="53"/>
  <c r="B7385" i="53" s="1"/>
  <c r="A7384" i="53"/>
  <c r="A7316" i="53"/>
  <c r="D7316" i="53" s="1"/>
  <c r="A7315" i="53"/>
  <c r="C619" i="55"/>
  <c r="C620" i="55"/>
  <c r="A7247" i="53"/>
  <c r="D7247" i="53" s="1"/>
  <c r="A7246" i="53"/>
  <c r="C618" i="55"/>
  <c r="C617" i="55"/>
  <c r="A7381" i="53"/>
  <c r="B7381" i="53"/>
  <c r="F7434" i="53"/>
  <c r="G7434" i="53" s="1"/>
  <c r="D7434" i="53"/>
  <c r="B7434" i="53"/>
  <c r="F7433" i="53"/>
  <c r="G7433" i="53" s="1"/>
  <c r="D7433" i="53"/>
  <c r="B7433" i="53"/>
  <c r="F7432" i="53"/>
  <c r="G7432" i="53" s="1"/>
  <c r="D7432" i="53"/>
  <c r="B7432" i="53"/>
  <c r="F7431" i="53"/>
  <c r="G7431" i="53" s="1"/>
  <c r="D7431" i="53"/>
  <c r="B7431" i="53"/>
  <c r="F7430" i="53"/>
  <c r="G7430" i="53" s="1"/>
  <c r="D7430" i="53"/>
  <c r="B7430" i="53"/>
  <c r="F7425" i="53"/>
  <c r="E7425" i="53"/>
  <c r="D7425" i="53"/>
  <c r="B7425" i="53"/>
  <c r="F7424" i="53"/>
  <c r="E7424" i="53"/>
  <c r="D7424" i="53"/>
  <c r="B7424" i="53"/>
  <c r="F7423" i="53"/>
  <c r="E7423" i="53"/>
  <c r="D7423" i="53"/>
  <c r="B7423" i="53"/>
  <c r="F7422" i="53"/>
  <c r="E7422" i="53"/>
  <c r="D7422" i="53"/>
  <c r="B7422" i="53"/>
  <c r="F7421" i="53"/>
  <c r="E7421" i="53"/>
  <c r="D7421" i="53"/>
  <c r="B7421" i="53"/>
  <c r="F7420" i="53"/>
  <c r="E7420" i="53"/>
  <c r="D7420" i="53"/>
  <c r="B7420" i="53"/>
  <c r="F7419" i="53"/>
  <c r="E7419" i="53"/>
  <c r="D7419" i="53"/>
  <c r="B7419" i="53"/>
  <c r="F7418" i="53"/>
  <c r="E7418" i="53"/>
  <c r="D7418" i="53"/>
  <c r="B7418" i="53"/>
  <c r="F7417" i="53"/>
  <c r="E7417" i="53"/>
  <c r="D7417" i="53"/>
  <c r="B7417" i="53"/>
  <c r="F7416" i="53"/>
  <c r="E7416" i="53"/>
  <c r="D7416" i="53"/>
  <c r="B7416" i="53"/>
  <c r="F7415" i="53"/>
  <c r="E7415" i="53"/>
  <c r="D7415" i="53"/>
  <c r="B7415" i="53"/>
  <c r="F7414" i="53"/>
  <c r="E7414" i="53"/>
  <c r="D7414" i="53"/>
  <c r="B7414" i="53"/>
  <c r="F7413" i="53"/>
  <c r="E7413" i="53"/>
  <c r="D7413" i="53"/>
  <c r="B7413" i="53"/>
  <c r="F7408" i="53"/>
  <c r="G7408" i="53" s="1"/>
  <c r="B7408" i="53"/>
  <c r="F7407" i="53"/>
  <c r="G7407" i="53" s="1"/>
  <c r="B7407" i="53"/>
  <c r="F7406" i="53"/>
  <c r="G7406" i="53" s="1"/>
  <c r="B7406" i="53"/>
  <c r="F7405" i="53"/>
  <c r="G7405" i="53" s="1"/>
  <c r="B7405" i="53"/>
  <c r="F7404" i="53"/>
  <c r="G7404" i="53" s="1"/>
  <c r="B7404" i="53"/>
  <c r="F7403" i="53"/>
  <c r="G7403" i="53" s="1"/>
  <c r="B7403" i="53"/>
  <c r="F7398" i="53"/>
  <c r="E7398" i="53"/>
  <c r="D7398" i="53"/>
  <c r="B7398" i="53"/>
  <c r="F7397" i="53"/>
  <c r="E7397" i="53"/>
  <c r="D7397" i="53"/>
  <c r="B7397" i="53"/>
  <c r="F7396" i="53"/>
  <c r="E7396" i="53"/>
  <c r="D7396" i="53"/>
  <c r="B7396" i="53"/>
  <c r="F7395" i="53"/>
  <c r="E7395" i="53"/>
  <c r="D7395" i="53"/>
  <c r="B7395" i="53"/>
  <c r="F7394" i="53"/>
  <c r="E7394" i="53"/>
  <c r="D7394" i="53"/>
  <c r="B7394" i="53"/>
  <c r="F7393" i="53"/>
  <c r="E7393" i="53"/>
  <c r="D7393" i="53"/>
  <c r="B7393" i="53"/>
  <c r="F7388" i="53"/>
  <c r="G7388" i="53" s="1"/>
  <c r="D7388" i="53"/>
  <c r="B7388" i="53"/>
  <c r="F7387" i="53"/>
  <c r="G7387" i="53" s="1"/>
  <c r="D7387" i="53"/>
  <c r="B7387" i="53"/>
  <c r="F7386" i="53"/>
  <c r="G7386" i="53" s="1"/>
  <c r="D7386" i="53"/>
  <c r="B7386" i="53"/>
  <c r="A7312" i="53"/>
  <c r="B7312" i="53"/>
  <c r="F7365" i="53"/>
  <c r="G7365" i="53" s="1"/>
  <c r="D7365" i="53"/>
  <c r="B7365" i="53"/>
  <c r="F7364" i="53"/>
  <c r="G7364" i="53" s="1"/>
  <c r="D7364" i="53"/>
  <c r="B7364" i="53"/>
  <c r="F7363" i="53"/>
  <c r="G7363" i="53" s="1"/>
  <c r="D7363" i="53"/>
  <c r="B7363" i="53"/>
  <c r="F7362" i="53"/>
  <c r="G7362" i="53" s="1"/>
  <c r="D7362" i="53"/>
  <c r="B7362" i="53"/>
  <c r="F7361" i="53"/>
  <c r="G7361" i="53" s="1"/>
  <c r="D7361" i="53"/>
  <c r="B7361" i="53"/>
  <c r="F7356" i="53"/>
  <c r="E7356" i="53"/>
  <c r="D7356" i="53"/>
  <c r="B7356" i="53"/>
  <c r="F7355" i="53"/>
  <c r="E7355" i="53"/>
  <c r="D7355" i="53"/>
  <c r="B7355" i="53"/>
  <c r="F7354" i="53"/>
  <c r="E7354" i="53"/>
  <c r="D7354" i="53"/>
  <c r="B7354" i="53"/>
  <c r="F7353" i="53"/>
  <c r="E7353" i="53"/>
  <c r="D7353" i="53"/>
  <c r="B7353" i="53"/>
  <c r="F7352" i="53"/>
  <c r="E7352" i="53"/>
  <c r="D7352" i="53"/>
  <c r="B7352" i="53"/>
  <c r="F7351" i="53"/>
  <c r="E7351" i="53"/>
  <c r="D7351" i="53"/>
  <c r="B7351" i="53"/>
  <c r="F7350" i="53"/>
  <c r="E7350" i="53"/>
  <c r="D7350" i="53"/>
  <c r="B7350" i="53"/>
  <c r="F7349" i="53"/>
  <c r="E7349" i="53"/>
  <c r="D7349" i="53"/>
  <c r="B7349" i="53"/>
  <c r="F7348" i="53"/>
  <c r="E7348" i="53"/>
  <c r="D7348" i="53"/>
  <c r="B7348" i="53"/>
  <c r="F7347" i="53"/>
  <c r="E7347" i="53"/>
  <c r="D7347" i="53"/>
  <c r="B7347" i="53"/>
  <c r="F7346" i="53"/>
  <c r="E7346" i="53"/>
  <c r="D7346" i="53"/>
  <c r="B7346" i="53"/>
  <c r="F7345" i="53"/>
  <c r="E7345" i="53"/>
  <c r="D7345" i="53"/>
  <c r="B7345" i="53"/>
  <c r="F7344" i="53"/>
  <c r="E7344" i="53"/>
  <c r="D7344" i="53"/>
  <c r="B7344" i="53"/>
  <c r="F7339" i="53"/>
  <c r="G7339" i="53" s="1"/>
  <c r="B7339" i="53"/>
  <c r="F7338" i="53"/>
  <c r="G7338" i="53" s="1"/>
  <c r="B7338" i="53"/>
  <c r="F7337" i="53"/>
  <c r="G7337" i="53" s="1"/>
  <c r="B7337" i="53"/>
  <c r="F7336" i="53"/>
  <c r="G7336" i="53" s="1"/>
  <c r="B7336" i="53"/>
  <c r="F7335" i="53"/>
  <c r="G7335" i="53" s="1"/>
  <c r="B7335" i="53"/>
  <c r="F7334" i="53"/>
  <c r="G7334" i="53" s="1"/>
  <c r="B7334" i="53"/>
  <c r="F7329" i="53"/>
  <c r="E7329" i="53"/>
  <c r="D7329" i="53"/>
  <c r="B7329" i="53"/>
  <c r="F7328" i="53"/>
  <c r="E7328" i="53"/>
  <c r="D7328" i="53"/>
  <c r="B7328" i="53"/>
  <c r="F7327" i="53"/>
  <c r="E7327" i="53"/>
  <c r="D7327" i="53"/>
  <c r="B7327" i="53"/>
  <c r="F7326" i="53"/>
  <c r="E7326" i="53"/>
  <c r="D7326" i="53"/>
  <c r="B7326" i="53"/>
  <c r="F7325" i="53"/>
  <c r="E7325" i="53"/>
  <c r="D7325" i="53"/>
  <c r="B7325" i="53"/>
  <c r="F7324" i="53"/>
  <c r="E7324" i="53"/>
  <c r="D7324" i="53"/>
  <c r="B7324" i="53"/>
  <c r="F7319" i="53"/>
  <c r="G7319" i="53" s="1"/>
  <c r="D7319" i="53"/>
  <c r="B7319" i="53"/>
  <c r="F7318" i="53"/>
  <c r="G7318" i="53" s="1"/>
  <c r="D7318" i="53"/>
  <c r="B7318" i="53"/>
  <c r="F7317" i="53"/>
  <c r="G7317" i="53" s="1"/>
  <c r="D7317" i="53"/>
  <c r="B7317" i="53"/>
  <c r="A7243" i="53"/>
  <c r="B7243" i="53"/>
  <c r="F7296" i="53"/>
  <c r="G7296" i="53" s="1"/>
  <c r="D7296" i="53"/>
  <c r="B7296" i="53"/>
  <c r="F7295" i="53"/>
  <c r="G7295" i="53" s="1"/>
  <c r="D7295" i="53"/>
  <c r="B7295" i="53"/>
  <c r="F7294" i="53"/>
  <c r="G7294" i="53" s="1"/>
  <c r="D7294" i="53"/>
  <c r="B7294" i="53"/>
  <c r="F7293" i="53"/>
  <c r="G7293" i="53" s="1"/>
  <c r="D7293" i="53"/>
  <c r="B7293" i="53"/>
  <c r="F7292" i="53"/>
  <c r="G7292" i="53" s="1"/>
  <c r="D7292" i="53"/>
  <c r="B7292" i="53"/>
  <c r="F7287" i="53"/>
  <c r="E7287" i="53"/>
  <c r="D7287" i="53"/>
  <c r="B7287" i="53"/>
  <c r="F7286" i="53"/>
  <c r="E7286" i="53"/>
  <c r="D7286" i="53"/>
  <c r="B7286" i="53"/>
  <c r="F7285" i="53"/>
  <c r="E7285" i="53"/>
  <c r="D7285" i="53"/>
  <c r="B7285" i="53"/>
  <c r="F7284" i="53"/>
  <c r="E7284" i="53"/>
  <c r="D7284" i="53"/>
  <c r="B7284" i="53"/>
  <c r="F7283" i="53"/>
  <c r="E7283" i="53"/>
  <c r="D7283" i="53"/>
  <c r="B7283" i="53"/>
  <c r="F7282" i="53"/>
  <c r="E7282" i="53"/>
  <c r="D7282" i="53"/>
  <c r="B7282" i="53"/>
  <c r="F7281" i="53"/>
  <c r="E7281" i="53"/>
  <c r="D7281" i="53"/>
  <c r="B7281" i="53"/>
  <c r="F7280" i="53"/>
  <c r="E7280" i="53"/>
  <c r="D7280" i="53"/>
  <c r="B7280" i="53"/>
  <c r="F7279" i="53"/>
  <c r="E7279" i="53"/>
  <c r="D7279" i="53"/>
  <c r="B7279" i="53"/>
  <c r="F7278" i="53"/>
  <c r="E7278" i="53"/>
  <c r="D7278" i="53"/>
  <c r="B7278" i="53"/>
  <c r="F7277" i="53"/>
  <c r="E7277" i="53"/>
  <c r="D7277" i="53"/>
  <c r="B7277" i="53"/>
  <c r="F7276" i="53"/>
  <c r="E7276" i="53"/>
  <c r="D7276" i="53"/>
  <c r="B7276" i="53"/>
  <c r="F7275" i="53"/>
  <c r="E7275" i="53"/>
  <c r="D7275" i="53"/>
  <c r="B7275" i="53"/>
  <c r="F7270" i="53"/>
  <c r="G7270" i="53" s="1"/>
  <c r="B7270" i="53"/>
  <c r="F7269" i="53"/>
  <c r="G7269" i="53" s="1"/>
  <c r="B7269" i="53"/>
  <c r="F7268" i="53"/>
  <c r="G7268" i="53" s="1"/>
  <c r="B7268" i="53"/>
  <c r="F7267" i="53"/>
  <c r="G7267" i="53" s="1"/>
  <c r="B7267" i="53"/>
  <c r="F7266" i="53"/>
  <c r="G7266" i="53" s="1"/>
  <c r="B7266" i="53"/>
  <c r="F7265" i="53"/>
  <c r="G7265" i="53" s="1"/>
  <c r="B7265" i="53"/>
  <c r="F7260" i="53"/>
  <c r="E7260" i="53"/>
  <c r="D7260" i="53"/>
  <c r="B7260" i="53"/>
  <c r="F7259" i="53"/>
  <c r="E7259" i="53"/>
  <c r="D7259" i="53"/>
  <c r="B7259" i="53"/>
  <c r="F7258" i="53"/>
  <c r="E7258" i="53"/>
  <c r="D7258" i="53"/>
  <c r="B7258" i="53"/>
  <c r="F7257" i="53"/>
  <c r="E7257" i="53"/>
  <c r="D7257" i="53"/>
  <c r="B7257" i="53"/>
  <c r="F7256" i="53"/>
  <c r="E7256" i="53"/>
  <c r="D7256" i="53"/>
  <c r="B7256" i="53"/>
  <c r="F7255" i="53"/>
  <c r="E7255" i="53"/>
  <c r="D7255" i="53"/>
  <c r="B7255" i="53"/>
  <c r="F7250" i="53"/>
  <c r="G7250" i="53" s="1"/>
  <c r="D7250" i="53"/>
  <c r="B7250" i="53"/>
  <c r="F7249" i="53"/>
  <c r="G7249" i="53" s="1"/>
  <c r="D7249" i="53"/>
  <c r="B7249" i="53"/>
  <c r="F7248" i="53"/>
  <c r="G7248" i="53" s="1"/>
  <c r="D7248" i="53"/>
  <c r="B7248" i="53"/>
  <c r="F7113" i="53" l="1"/>
  <c r="G7113" i="53" s="1"/>
  <c r="G6983" i="53"/>
  <c r="G7002" i="53"/>
  <c r="G7004" i="53"/>
  <c r="G7006" i="53"/>
  <c r="G7008" i="53"/>
  <c r="G7079" i="53"/>
  <c r="G7189" i="53"/>
  <c r="G6982" i="53"/>
  <c r="G6984" i="53"/>
  <c r="G6986" i="53"/>
  <c r="G7003" i="53"/>
  <c r="G7005" i="53"/>
  <c r="G7009" i="53"/>
  <c r="G7011" i="53"/>
  <c r="G7013" i="53"/>
  <c r="G6987" i="53"/>
  <c r="G7012" i="53"/>
  <c r="B6023" i="53"/>
  <c r="B6975" i="53"/>
  <c r="F7114" i="53"/>
  <c r="G7114" i="53" s="1"/>
  <c r="G7216" i="53"/>
  <c r="G6985" i="53"/>
  <c r="G7010" i="53"/>
  <c r="G7014" i="53"/>
  <c r="G7531" i="53"/>
  <c r="G7007" i="53"/>
  <c r="F6977" i="53"/>
  <c r="G6977" i="53" s="1"/>
  <c r="B6976" i="53"/>
  <c r="G6998" i="53"/>
  <c r="D6977" i="53"/>
  <c r="F6976" i="53"/>
  <c r="G6976" i="53" s="1"/>
  <c r="B7111" i="53"/>
  <c r="F7661" i="53"/>
  <c r="G7661" i="53" s="1"/>
  <c r="F7110" i="53"/>
  <c r="G7110" i="53" s="1"/>
  <c r="G7024" i="53"/>
  <c r="G7139" i="53"/>
  <c r="G7141" i="53"/>
  <c r="G7209" i="53"/>
  <c r="G7211" i="53"/>
  <c r="G7213" i="53"/>
  <c r="G7215" i="53"/>
  <c r="G7206" i="53"/>
  <c r="G7208" i="53"/>
  <c r="B6974" i="53"/>
  <c r="G7190" i="53"/>
  <c r="G7121" i="53"/>
  <c r="G7123" i="53"/>
  <c r="G7187" i="53"/>
  <c r="G7191" i="53"/>
  <c r="G7077" i="53"/>
  <c r="G7188" i="53"/>
  <c r="G7214" i="53"/>
  <c r="G7549" i="53"/>
  <c r="I131" i="1"/>
  <c r="E131" i="1"/>
  <c r="H131" i="1"/>
  <c r="G131" i="1"/>
  <c r="F131" i="1"/>
  <c r="G6914" i="53"/>
  <c r="G6916" i="53"/>
  <c r="G6918" i="53"/>
  <c r="B7042" i="53"/>
  <c r="G7207" i="53"/>
  <c r="G7186" i="53"/>
  <c r="G7147" i="53"/>
  <c r="G7149" i="53"/>
  <c r="G7217" i="53"/>
  <c r="G7210" i="53"/>
  <c r="G7212" i="53"/>
  <c r="G6942" i="53"/>
  <c r="G6944" i="53"/>
  <c r="G7218" i="53"/>
  <c r="F7658" i="53"/>
  <c r="G7658" i="53" s="1"/>
  <c r="D7179" i="53"/>
  <c r="B7180" i="53"/>
  <c r="F7111" i="53"/>
  <c r="G7111" i="53" s="1"/>
  <c r="F7180" i="53"/>
  <c r="G7180" i="53" s="1"/>
  <c r="G7202" i="53"/>
  <c r="G7228" i="53"/>
  <c r="G6934" i="53"/>
  <c r="G6936" i="53"/>
  <c r="F7179" i="53"/>
  <c r="G7179" i="53" s="1"/>
  <c r="B7181" i="53"/>
  <c r="G7070" i="53"/>
  <c r="G7072" i="53"/>
  <c r="G7140" i="53"/>
  <c r="G7142" i="53"/>
  <c r="G7144" i="53"/>
  <c r="G7146" i="53"/>
  <c r="G7148" i="53"/>
  <c r="D7181" i="53"/>
  <c r="G7078" i="53"/>
  <c r="G7080" i="53"/>
  <c r="B7112" i="53"/>
  <c r="D6905" i="53"/>
  <c r="G7052" i="53"/>
  <c r="G7054" i="53"/>
  <c r="G7071" i="53"/>
  <c r="F7112" i="53"/>
  <c r="G7112" i="53" s="1"/>
  <c r="G7143" i="53"/>
  <c r="G7145" i="53"/>
  <c r="G7151" i="53"/>
  <c r="G7161" i="53"/>
  <c r="B7114" i="53"/>
  <c r="D7114" i="53"/>
  <c r="G7553" i="53"/>
  <c r="G7555" i="53"/>
  <c r="G7557" i="53"/>
  <c r="G7074" i="53"/>
  <c r="G7076" i="53"/>
  <c r="G7150" i="53"/>
  <c r="G7120" i="53"/>
  <c r="G6940" i="53"/>
  <c r="G7073" i="53"/>
  <c r="G7075" i="53"/>
  <c r="G7122" i="53"/>
  <c r="G7124" i="53"/>
  <c r="G7396" i="53"/>
  <c r="G7398" i="53"/>
  <c r="G7051" i="53"/>
  <c r="G7053" i="53"/>
  <c r="G7119" i="53"/>
  <c r="B7113" i="53"/>
  <c r="D7113" i="53"/>
  <c r="F6908" i="53"/>
  <c r="G6908" i="53" s="1"/>
  <c r="G7135" i="53"/>
  <c r="G6915" i="53"/>
  <c r="G6938" i="53"/>
  <c r="G7081" i="53"/>
  <c r="G7082" i="53"/>
  <c r="G7055" i="53"/>
  <c r="B7110" i="53"/>
  <c r="F7590" i="53"/>
  <c r="G7590" i="53" s="1"/>
  <c r="G7548" i="53"/>
  <c r="G7050" i="53"/>
  <c r="B7661" i="53"/>
  <c r="D7661" i="53"/>
  <c r="G7092" i="53"/>
  <c r="G7066" i="53"/>
  <c r="G6917" i="53"/>
  <c r="G6946" i="53"/>
  <c r="G7529" i="53"/>
  <c r="G6919" i="53"/>
  <c r="G6935" i="53"/>
  <c r="B7044" i="53"/>
  <c r="G6937" i="53"/>
  <c r="G6939" i="53"/>
  <c r="G6941" i="53"/>
  <c r="D7044" i="53"/>
  <c r="D6906" i="53"/>
  <c r="G6943" i="53"/>
  <c r="G7530" i="53"/>
  <c r="G7532" i="53"/>
  <c r="G7552" i="53"/>
  <c r="G7554" i="53"/>
  <c r="G7556" i="53"/>
  <c r="F6906" i="53"/>
  <c r="G6906" i="53" s="1"/>
  <c r="G6945" i="53"/>
  <c r="B7043" i="53"/>
  <c r="D7043" i="53"/>
  <c r="D7590" i="53"/>
  <c r="G7547" i="53"/>
  <c r="G6930" i="53"/>
  <c r="B6908" i="53"/>
  <c r="D6908" i="53"/>
  <c r="B6907" i="53"/>
  <c r="F6907" i="53"/>
  <c r="G6907" i="53" s="1"/>
  <c r="B7520" i="53"/>
  <c r="D7520" i="53"/>
  <c r="D7591" i="53"/>
  <c r="G6956" i="53"/>
  <c r="G7559" i="53"/>
  <c r="G7527" i="53"/>
  <c r="G7550" i="53"/>
  <c r="G7543" i="53"/>
  <c r="G7558" i="53"/>
  <c r="G7528" i="53"/>
  <c r="G7551" i="53"/>
  <c r="G7569" i="53"/>
  <c r="D7662" i="53"/>
  <c r="G7598" i="53"/>
  <c r="G7600" i="53"/>
  <c r="F7660" i="53"/>
  <c r="G7660" i="53" s="1"/>
  <c r="F7591" i="53"/>
  <c r="G7591" i="53" s="1"/>
  <c r="F7662" i="53"/>
  <c r="G7662" i="53" s="1"/>
  <c r="F3970" i="53"/>
  <c r="G3970" i="53" s="1"/>
  <c r="F7453" i="53"/>
  <c r="G7453" i="53" s="1"/>
  <c r="G7456" i="53" s="1"/>
  <c r="F7663" i="53"/>
  <c r="G7663" i="53" s="1"/>
  <c r="B7663" i="53"/>
  <c r="D7663" i="53"/>
  <c r="G7414" i="53"/>
  <c r="G7461" i="53"/>
  <c r="G7484" i="53"/>
  <c r="G7490" i="53"/>
  <c r="G7688" i="53"/>
  <c r="G7692" i="53"/>
  <c r="G7694" i="53"/>
  <c r="G7696" i="53"/>
  <c r="G7698" i="53"/>
  <c r="G7691" i="53"/>
  <c r="G7693" i="53"/>
  <c r="G7695" i="53"/>
  <c r="G7697" i="53"/>
  <c r="B7660" i="53"/>
  <c r="G7619" i="53"/>
  <c r="G7625" i="53"/>
  <c r="G7627" i="53"/>
  <c r="G7669" i="53"/>
  <c r="G7671" i="53"/>
  <c r="G7690" i="53"/>
  <c r="G7668" i="53"/>
  <c r="G7670" i="53"/>
  <c r="G7672" i="53"/>
  <c r="F7587" i="53"/>
  <c r="G7587" i="53" s="1"/>
  <c r="F3969" i="53"/>
  <c r="G3969" i="53" s="1"/>
  <c r="F7592" i="53"/>
  <c r="G7592" i="53" s="1"/>
  <c r="F7589" i="53"/>
  <c r="G7589" i="53" s="1"/>
  <c r="B7592" i="53"/>
  <c r="B7589" i="53"/>
  <c r="D7589" i="53"/>
  <c r="D7588" i="53"/>
  <c r="D7659" i="53"/>
  <c r="G7699" i="53"/>
  <c r="G7599" i="53"/>
  <c r="G7601" i="53"/>
  <c r="G7603" i="53"/>
  <c r="G7626" i="53"/>
  <c r="G7628" i="53"/>
  <c r="G7630" i="53"/>
  <c r="G7492" i="53"/>
  <c r="G7673" i="53"/>
  <c r="G7689" i="53"/>
  <c r="G7700" i="53"/>
  <c r="G7460" i="53"/>
  <c r="G7462" i="53"/>
  <c r="G7464" i="53"/>
  <c r="G7621" i="53"/>
  <c r="F3965" i="53"/>
  <c r="G3965" i="53" s="1"/>
  <c r="F3971" i="53"/>
  <c r="G3971" i="53" s="1"/>
  <c r="F3973" i="53"/>
  <c r="G3973" i="53" s="1"/>
  <c r="F7247" i="53"/>
  <c r="G7247" i="53" s="1"/>
  <c r="B3974" i="53"/>
  <c r="G7710" i="53"/>
  <c r="G7684" i="53"/>
  <c r="B7658" i="53"/>
  <c r="G7623" i="53"/>
  <c r="D7658" i="53"/>
  <c r="F7316" i="53"/>
  <c r="G7316" i="53" s="1"/>
  <c r="B3965" i="53"/>
  <c r="G7483" i="53"/>
  <c r="G7485" i="53"/>
  <c r="G7487" i="53"/>
  <c r="G7489" i="53"/>
  <c r="G7640" i="53"/>
  <c r="D7587" i="53"/>
  <c r="G7629" i="53"/>
  <c r="G7618" i="53"/>
  <c r="G7480" i="53"/>
  <c r="G7482" i="53"/>
  <c r="G7486" i="53"/>
  <c r="G7602" i="53"/>
  <c r="G7620" i="53"/>
  <c r="G7622" i="53"/>
  <c r="G7624" i="53"/>
  <c r="G7614" i="53"/>
  <c r="B3966" i="53"/>
  <c r="G7465" i="53"/>
  <c r="B7587" i="53"/>
  <c r="G7256" i="53"/>
  <c r="G7258" i="53"/>
  <c r="G7260" i="53"/>
  <c r="G7275" i="53"/>
  <c r="G7277" i="53"/>
  <c r="G7417" i="53"/>
  <c r="G7419" i="53"/>
  <c r="G7421" i="53"/>
  <c r="G7423" i="53"/>
  <c r="B7454" i="53"/>
  <c r="G7491" i="53"/>
  <c r="F3966" i="53"/>
  <c r="G3966" i="53" s="1"/>
  <c r="D7454" i="53"/>
  <c r="G7488" i="53"/>
  <c r="G7463" i="53"/>
  <c r="G7481" i="53"/>
  <c r="G7502" i="53"/>
  <c r="G7476" i="53"/>
  <c r="F3968" i="53"/>
  <c r="G3968" i="53" s="1"/>
  <c r="B7453" i="53"/>
  <c r="G7350" i="53"/>
  <c r="G7354" i="53"/>
  <c r="G7324" i="53"/>
  <c r="B3969" i="53"/>
  <c r="D7453" i="53"/>
  <c r="D3969" i="53"/>
  <c r="G7348" i="53"/>
  <c r="G7397" i="53"/>
  <c r="B3973" i="53"/>
  <c r="F3974" i="53"/>
  <c r="G3974" i="53" s="1"/>
  <c r="G7328" i="53"/>
  <c r="B7316" i="53"/>
  <c r="G7345" i="53"/>
  <c r="G7413" i="53"/>
  <c r="G7415" i="53"/>
  <c r="F3964" i="53"/>
  <c r="G3964" i="53" s="1"/>
  <c r="D3967" i="53"/>
  <c r="B3970" i="53"/>
  <c r="F3972" i="53"/>
  <c r="G3972" i="53" s="1"/>
  <c r="F3967" i="53"/>
  <c r="G3967" i="53" s="1"/>
  <c r="D3970" i="53"/>
  <c r="G7393" i="53"/>
  <c r="G7395" i="53"/>
  <c r="G7425" i="53"/>
  <c r="D3965" i="53"/>
  <c r="B3968" i="53"/>
  <c r="D3973" i="53"/>
  <c r="G7329" i="53"/>
  <c r="G7344" i="53"/>
  <c r="G7346" i="53"/>
  <c r="B3971" i="53"/>
  <c r="G7416" i="53"/>
  <c r="G7422" i="53"/>
  <c r="D3971" i="53"/>
  <c r="B3972" i="53"/>
  <c r="G7394" i="53"/>
  <c r="B3964" i="53"/>
  <c r="G7351" i="53"/>
  <c r="G7353" i="53"/>
  <c r="G7418" i="53"/>
  <c r="G7420" i="53"/>
  <c r="G7282" i="53"/>
  <c r="G7325" i="53"/>
  <c r="G7327" i="53"/>
  <c r="G7424" i="53"/>
  <c r="G7283" i="53"/>
  <c r="G7287" i="53"/>
  <c r="D7385" i="53"/>
  <c r="F7385" i="53"/>
  <c r="G7385" i="53" s="1"/>
  <c r="B7247" i="53"/>
  <c r="G7435" i="53"/>
  <c r="F7384" i="53"/>
  <c r="G7384" i="53" s="1"/>
  <c r="D7384" i="53"/>
  <c r="B7384" i="53"/>
  <c r="G7409" i="53"/>
  <c r="G7284" i="53"/>
  <c r="G7286" i="53"/>
  <c r="G7352" i="53"/>
  <c r="G7356" i="53"/>
  <c r="G7281" i="53"/>
  <c r="G7347" i="53"/>
  <c r="G7349" i="53"/>
  <c r="G7355" i="53"/>
  <c r="G7255" i="53"/>
  <c r="G7257" i="53"/>
  <c r="G7259" i="53"/>
  <c r="G7276" i="53"/>
  <c r="G7326" i="53"/>
  <c r="G7366" i="53"/>
  <c r="F7315" i="53"/>
  <c r="G7315" i="53" s="1"/>
  <c r="D7315" i="53"/>
  <c r="B7315" i="53"/>
  <c r="G7340" i="53"/>
  <c r="G7279" i="53"/>
  <c r="G7285" i="53"/>
  <c r="G7278" i="53"/>
  <c r="G7280" i="53"/>
  <c r="G7297" i="53"/>
  <c r="G7271" i="53"/>
  <c r="F7246" i="53"/>
  <c r="G7246" i="53" s="1"/>
  <c r="D7246" i="53"/>
  <c r="B7246" i="53"/>
  <c r="G7115" i="53" l="1"/>
  <c r="G7015" i="53"/>
  <c r="G6988" i="53"/>
  <c r="G7192" i="53"/>
  <c r="G6920" i="53"/>
  <c r="G7219" i="53"/>
  <c r="G7056" i="53"/>
  <c r="G7152" i="53"/>
  <c r="G7125" i="53"/>
  <c r="G7083" i="53"/>
  <c r="G7533" i="53"/>
  <c r="G6947" i="53"/>
  <c r="G7560" i="53"/>
  <c r="G7701" i="53"/>
  <c r="G7674" i="53"/>
  <c r="G7604" i="53"/>
  <c r="G7251" i="53"/>
  <c r="G7631" i="53"/>
  <c r="G7466" i="53"/>
  <c r="G7493" i="53"/>
  <c r="G7320" i="53"/>
  <c r="G7399" i="53"/>
  <c r="G7426" i="53"/>
  <c r="G7330" i="53"/>
  <c r="G7389" i="53"/>
  <c r="G7357" i="53"/>
  <c r="G7261" i="53"/>
  <c r="G7288" i="53"/>
  <c r="G7163" i="53" l="1"/>
  <c r="G7166" i="53" s="1"/>
  <c r="G7504" i="53"/>
  <c r="G7508" i="53" s="1"/>
  <c r="G7512" i="53" s="1"/>
  <c r="G7368" i="53"/>
  <c r="J137" i="1" s="1"/>
  <c r="G7437" i="53"/>
  <c r="J138" i="1" s="1"/>
  <c r="G7299" i="53"/>
  <c r="J136" i="1" s="1"/>
  <c r="O136" i="1" l="1"/>
  <c r="N136" i="1"/>
  <c r="M136" i="1"/>
  <c r="K136" i="1"/>
  <c r="L136" i="1"/>
  <c r="M137" i="1"/>
  <c r="N137" i="1"/>
  <c r="O137" i="1"/>
  <c r="K137" i="1"/>
  <c r="L137" i="1"/>
  <c r="K138" i="1"/>
  <c r="L138" i="1"/>
  <c r="O138" i="1"/>
  <c r="N138" i="1"/>
  <c r="M138" i="1"/>
  <c r="G7167" i="53"/>
  <c r="G7171" i="53" s="1"/>
  <c r="G7165" i="53"/>
  <c r="J134" i="1"/>
  <c r="J139" i="1"/>
  <c r="G7506" i="53"/>
  <c r="G7507" i="53"/>
  <c r="G7370" i="53"/>
  <c r="G7371" i="53"/>
  <c r="G7372" i="53"/>
  <c r="G7376" i="53" s="1"/>
  <c r="G7439" i="53"/>
  <c r="G7440" i="53"/>
  <c r="G7441" i="53"/>
  <c r="G7445" i="53" s="1"/>
  <c r="G7302" i="53"/>
  <c r="G7303" i="53"/>
  <c r="G7307" i="53" s="1"/>
  <c r="G7301" i="53"/>
  <c r="M139" i="1" l="1"/>
  <c r="N139" i="1"/>
  <c r="O139" i="1"/>
  <c r="L139" i="1"/>
  <c r="K139" i="1"/>
  <c r="O134" i="1"/>
  <c r="K134" i="1"/>
  <c r="N134" i="1"/>
  <c r="L134" i="1"/>
  <c r="M134" i="1"/>
  <c r="G7169" i="53"/>
  <c r="G7173" i="53" s="1"/>
  <c r="G7107" i="53" s="1"/>
  <c r="G7510" i="53"/>
  <c r="G7514" i="53" s="1"/>
  <c r="G7450" i="53" s="1"/>
  <c r="G7374" i="53"/>
  <c r="G7378" i="53" s="1"/>
  <c r="G7312" i="53" s="1"/>
  <c r="G7443" i="53"/>
  <c r="G7447" i="53" s="1"/>
  <c r="G7381" i="53" s="1"/>
  <c r="G7305" i="53"/>
  <c r="G7309" i="53" s="1"/>
  <c r="G7243" i="53" s="1"/>
  <c r="A6630" i="53" l="1"/>
  <c r="B6630" i="53"/>
  <c r="F6680" i="53"/>
  <c r="G6680" i="53" s="1"/>
  <c r="D6680" i="53"/>
  <c r="B6680" i="53"/>
  <c r="F6679" i="53"/>
  <c r="G6679" i="53" s="1"/>
  <c r="D6679" i="53"/>
  <c r="B6679" i="53"/>
  <c r="F6678" i="53"/>
  <c r="G6678" i="53" s="1"/>
  <c r="D6678" i="53"/>
  <c r="B6678" i="53"/>
  <c r="F6677" i="53"/>
  <c r="G6677" i="53" s="1"/>
  <c r="D6677" i="53"/>
  <c r="B6677" i="53"/>
  <c r="F6676" i="53"/>
  <c r="G6676" i="53" s="1"/>
  <c r="D6676" i="53"/>
  <c r="B6676" i="53"/>
  <c r="F6671" i="53"/>
  <c r="E6671" i="53"/>
  <c r="D6671" i="53"/>
  <c r="B6671" i="53"/>
  <c r="F6670" i="53"/>
  <c r="E6670" i="53"/>
  <c r="D6670" i="53"/>
  <c r="B6670" i="53"/>
  <c r="F6669" i="53"/>
  <c r="E6669" i="53"/>
  <c r="D6669" i="53"/>
  <c r="B6669" i="53"/>
  <c r="F6668" i="53"/>
  <c r="E6668" i="53"/>
  <c r="D6668" i="53"/>
  <c r="B6668" i="53"/>
  <c r="F6667" i="53"/>
  <c r="E6667" i="53"/>
  <c r="D6667" i="53"/>
  <c r="B6667" i="53"/>
  <c r="F6666" i="53"/>
  <c r="E6666" i="53"/>
  <c r="D6666" i="53"/>
  <c r="B6666" i="53"/>
  <c r="F6665" i="53"/>
  <c r="E6665" i="53"/>
  <c r="D6665" i="53"/>
  <c r="B6665" i="53"/>
  <c r="F6664" i="53"/>
  <c r="E6664" i="53"/>
  <c r="D6664" i="53"/>
  <c r="B6664" i="53"/>
  <c r="F6663" i="53"/>
  <c r="E6663" i="53"/>
  <c r="D6663" i="53"/>
  <c r="B6663" i="53"/>
  <c r="F6662" i="53"/>
  <c r="E6662" i="53"/>
  <c r="D6662" i="53"/>
  <c r="B6662" i="53"/>
  <c r="F6661" i="53"/>
  <c r="E6661" i="53"/>
  <c r="D6661" i="53"/>
  <c r="B6661" i="53"/>
  <c r="F6660" i="53"/>
  <c r="E6660" i="53"/>
  <c r="D6660" i="53"/>
  <c r="B6660" i="53"/>
  <c r="F6659" i="53"/>
  <c r="E6659" i="53"/>
  <c r="D6659" i="53"/>
  <c r="B6659" i="53"/>
  <c r="F6654" i="53"/>
  <c r="G6654" i="53" s="1"/>
  <c r="B6654" i="53"/>
  <c r="F6653" i="53"/>
  <c r="G6653" i="53" s="1"/>
  <c r="B6653" i="53"/>
  <c r="F6652" i="53"/>
  <c r="G6652" i="53" s="1"/>
  <c r="B6652" i="53"/>
  <c r="F6651" i="53"/>
  <c r="G6651" i="53" s="1"/>
  <c r="B6651" i="53"/>
  <c r="F6650" i="53"/>
  <c r="G6650" i="53" s="1"/>
  <c r="B6650" i="53"/>
  <c r="F6649" i="53"/>
  <c r="G6649" i="53" s="1"/>
  <c r="B6649" i="53"/>
  <c r="F6644" i="53"/>
  <c r="E6644" i="53"/>
  <c r="D6644" i="53"/>
  <c r="B6644" i="53"/>
  <c r="F6643" i="53"/>
  <c r="E6643" i="53"/>
  <c r="D6643" i="53"/>
  <c r="B6643" i="53"/>
  <c r="F6642" i="53"/>
  <c r="E6642" i="53"/>
  <c r="D6642" i="53"/>
  <c r="B6642" i="53"/>
  <c r="F6641" i="53"/>
  <c r="E6641" i="53"/>
  <c r="D6641" i="53"/>
  <c r="B6641" i="53"/>
  <c r="F6640" i="53"/>
  <c r="E6640" i="53"/>
  <c r="D6640" i="53"/>
  <c r="B6640" i="53"/>
  <c r="F6639" i="53"/>
  <c r="E6639" i="53"/>
  <c r="D6639" i="53"/>
  <c r="B6639" i="53"/>
  <c r="F6634" i="53"/>
  <c r="G6634" i="53" s="1"/>
  <c r="D6634" i="53"/>
  <c r="B6634" i="53"/>
  <c r="B6633" i="53"/>
  <c r="A6430" i="53"/>
  <c r="E616" i="55"/>
  <c r="A6362" i="53"/>
  <c r="D6362" i="53" s="1"/>
  <c r="E615" i="55"/>
  <c r="C615" i="55" s="1"/>
  <c r="E613" i="55"/>
  <c r="C613" i="55" s="1"/>
  <c r="E614" i="55"/>
  <c r="C614" i="55" s="1"/>
  <c r="A6294" i="53"/>
  <c r="C616" i="55"/>
  <c r="A6427" i="53"/>
  <c r="B6427" i="53"/>
  <c r="F6479" i="53"/>
  <c r="G6479" i="53" s="1"/>
  <c r="D6479" i="53"/>
  <c r="B6479" i="53"/>
  <c r="F6478" i="53"/>
  <c r="G6478" i="53" s="1"/>
  <c r="D6478" i="53"/>
  <c r="B6478" i="53"/>
  <c r="F6477" i="53"/>
  <c r="G6477" i="53" s="1"/>
  <c r="D6477" i="53"/>
  <c r="B6477" i="53"/>
  <c r="F6476" i="53"/>
  <c r="G6476" i="53" s="1"/>
  <c r="D6476" i="53"/>
  <c r="B6476" i="53"/>
  <c r="F6475" i="53"/>
  <c r="G6475" i="53" s="1"/>
  <c r="D6475" i="53"/>
  <c r="B6475" i="53"/>
  <c r="F6470" i="53"/>
  <c r="E6470" i="53"/>
  <c r="D6470" i="53"/>
  <c r="B6470" i="53"/>
  <c r="F6469" i="53"/>
  <c r="E6469" i="53"/>
  <c r="D6469" i="53"/>
  <c r="B6469" i="53"/>
  <c r="F6468" i="53"/>
  <c r="E6468" i="53"/>
  <c r="D6468" i="53"/>
  <c r="B6468" i="53"/>
  <c r="F6467" i="53"/>
  <c r="E6467" i="53"/>
  <c r="D6467" i="53"/>
  <c r="B6467" i="53"/>
  <c r="F6466" i="53"/>
  <c r="E6466" i="53"/>
  <c r="D6466" i="53"/>
  <c r="B6466" i="53"/>
  <c r="F6465" i="53"/>
  <c r="E6465" i="53"/>
  <c r="D6465" i="53"/>
  <c r="B6465" i="53"/>
  <c r="F6464" i="53"/>
  <c r="E6464" i="53"/>
  <c r="D6464" i="53"/>
  <c r="B6464" i="53"/>
  <c r="F6463" i="53"/>
  <c r="E6463" i="53"/>
  <c r="D6463" i="53"/>
  <c r="B6463" i="53"/>
  <c r="F6462" i="53"/>
  <c r="E6462" i="53"/>
  <c r="D6462" i="53"/>
  <c r="B6462" i="53"/>
  <c r="F6461" i="53"/>
  <c r="E6461" i="53"/>
  <c r="D6461" i="53"/>
  <c r="B6461" i="53"/>
  <c r="F6460" i="53"/>
  <c r="E6460" i="53"/>
  <c r="D6460" i="53"/>
  <c r="B6460" i="53"/>
  <c r="F6459" i="53"/>
  <c r="E6459" i="53"/>
  <c r="D6459" i="53"/>
  <c r="B6459" i="53"/>
  <c r="F6458" i="53"/>
  <c r="E6458" i="53"/>
  <c r="D6458" i="53"/>
  <c r="B6458" i="53"/>
  <c r="F6453" i="53"/>
  <c r="G6453" i="53" s="1"/>
  <c r="B6453" i="53"/>
  <c r="F6452" i="53"/>
  <c r="G6452" i="53" s="1"/>
  <c r="B6452" i="53"/>
  <c r="F6451" i="53"/>
  <c r="G6451" i="53" s="1"/>
  <c r="B6451" i="53"/>
  <c r="F6450" i="53"/>
  <c r="G6450" i="53" s="1"/>
  <c r="B6450" i="53"/>
  <c r="F6449" i="53"/>
  <c r="G6449" i="53" s="1"/>
  <c r="B6449" i="53"/>
  <c r="F6448" i="53"/>
  <c r="G6448" i="53" s="1"/>
  <c r="B6448" i="53"/>
  <c r="F6443" i="53"/>
  <c r="E6443" i="53"/>
  <c r="D6443" i="53"/>
  <c r="B6443" i="53"/>
  <c r="F6442" i="53"/>
  <c r="E6442" i="53"/>
  <c r="D6442" i="53"/>
  <c r="B6442" i="53"/>
  <c r="F6441" i="53"/>
  <c r="E6441" i="53"/>
  <c r="D6441" i="53"/>
  <c r="B6441" i="53"/>
  <c r="F6440" i="53"/>
  <c r="E6440" i="53"/>
  <c r="D6440" i="53"/>
  <c r="B6440" i="53"/>
  <c r="F6439" i="53"/>
  <c r="E6439" i="53"/>
  <c r="D6439" i="53"/>
  <c r="B6439" i="53"/>
  <c r="F6438" i="53"/>
  <c r="E6438" i="53"/>
  <c r="D6438" i="53"/>
  <c r="B6438" i="53"/>
  <c r="F6433" i="53"/>
  <c r="G6433" i="53" s="1"/>
  <c r="D6433" i="53"/>
  <c r="B6433" i="53"/>
  <c r="F6432" i="53"/>
  <c r="G6432" i="53" s="1"/>
  <c r="D6432" i="53"/>
  <c r="B6432" i="53"/>
  <c r="F6431" i="53"/>
  <c r="G6431" i="53" s="1"/>
  <c r="D6431" i="53"/>
  <c r="B6431" i="53"/>
  <c r="A6359" i="53"/>
  <c r="B6359" i="53"/>
  <c r="F6411" i="53"/>
  <c r="G6411" i="53" s="1"/>
  <c r="D6411" i="53"/>
  <c r="B6411" i="53"/>
  <c r="F6410" i="53"/>
  <c r="G6410" i="53" s="1"/>
  <c r="D6410" i="53"/>
  <c r="B6410" i="53"/>
  <c r="F6409" i="53"/>
  <c r="G6409" i="53" s="1"/>
  <c r="D6409" i="53"/>
  <c r="B6409" i="53"/>
  <c r="F6408" i="53"/>
  <c r="G6408" i="53" s="1"/>
  <c r="D6408" i="53"/>
  <c r="B6408" i="53"/>
  <c r="F6407" i="53"/>
  <c r="G6407" i="53" s="1"/>
  <c r="D6407" i="53"/>
  <c r="B6407" i="53"/>
  <c r="F6402" i="53"/>
  <c r="E6402" i="53"/>
  <c r="D6402" i="53"/>
  <c r="B6402" i="53"/>
  <c r="F6401" i="53"/>
  <c r="E6401" i="53"/>
  <c r="D6401" i="53"/>
  <c r="B6401" i="53"/>
  <c r="F6400" i="53"/>
  <c r="E6400" i="53"/>
  <c r="D6400" i="53"/>
  <c r="B6400" i="53"/>
  <c r="F6399" i="53"/>
  <c r="E6399" i="53"/>
  <c r="D6399" i="53"/>
  <c r="B6399" i="53"/>
  <c r="F6398" i="53"/>
  <c r="E6398" i="53"/>
  <c r="D6398" i="53"/>
  <c r="B6398" i="53"/>
  <c r="F6397" i="53"/>
  <c r="E6397" i="53"/>
  <c r="D6397" i="53"/>
  <c r="B6397" i="53"/>
  <c r="F6396" i="53"/>
  <c r="E6396" i="53"/>
  <c r="D6396" i="53"/>
  <c r="B6396" i="53"/>
  <c r="F6395" i="53"/>
  <c r="E6395" i="53"/>
  <c r="D6395" i="53"/>
  <c r="B6395" i="53"/>
  <c r="F6394" i="53"/>
  <c r="E6394" i="53"/>
  <c r="D6394" i="53"/>
  <c r="B6394" i="53"/>
  <c r="F6393" i="53"/>
  <c r="E6393" i="53"/>
  <c r="D6393" i="53"/>
  <c r="B6393" i="53"/>
  <c r="F6392" i="53"/>
  <c r="E6392" i="53"/>
  <c r="D6392" i="53"/>
  <c r="B6392" i="53"/>
  <c r="F6391" i="53"/>
  <c r="E6391" i="53"/>
  <c r="D6391" i="53"/>
  <c r="B6391" i="53"/>
  <c r="F6390" i="53"/>
  <c r="E6390" i="53"/>
  <c r="D6390" i="53"/>
  <c r="B6390" i="53"/>
  <c r="F6385" i="53"/>
  <c r="G6385" i="53" s="1"/>
  <c r="B6385" i="53"/>
  <c r="F6384" i="53"/>
  <c r="G6384" i="53" s="1"/>
  <c r="B6384" i="53"/>
  <c r="F6383" i="53"/>
  <c r="G6383" i="53" s="1"/>
  <c r="B6383" i="53"/>
  <c r="F6382" i="53"/>
  <c r="G6382" i="53" s="1"/>
  <c r="B6382" i="53"/>
  <c r="F6381" i="53"/>
  <c r="G6381" i="53" s="1"/>
  <c r="B6381" i="53"/>
  <c r="F6380" i="53"/>
  <c r="G6380" i="53" s="1"/>
  <c r="B6380" i="53"/>
  <c r="F6375" i="53"/>
  <c r="E6375" i="53"/>
  <c r="D6375" i="53"/>
  <c r="B6375" i="53"/>
  <c r="F6374" i="53"/>
  <c r="E6374" i="53"/>
  <c r="D6374" i="53"/>
  <c r="B6374" i="53"/>
  <c r="F6373" i="53"/>
  <c r="E6373" i="53"/>
  <c r="D6373" i="53"/>
  <c r="B6373" i="53"/>
  <c r="F6372" i="53"/>
  <c r="E6372" i="53"/>
  <c r="D6372" i="53"/>
  <c r="B6372" i="53"/>
  <c r="F6371" i="53"/>
  <c r="E6371" i="53"/>
  <c r="D6371" i="53"/>
  <c r="B6371" i="53"/>
  <c r="F6370" i="53"/>
  <c r="E6370" i="53"/>
  <c r="D6370" i="53"/>
  <c r="B6370" i="53"/>
  <c r="F6365" i="53"/>
  <c r="G6365" i="53" s="1"/>
  <c r="D6365" i="53"/>
  <c r="B6365" i="53"/>
  <c r="F6364" i="53"/>
  <c r="G6364" i="53" s="1"/>
  <c r="D6364" i="53"/>
  <c r="B6364" i="53"/>
  <c r="F6363" i="53"/>
  <c r="G6363" i="53" s="1"/>
  <c r="D6363" i="53"/>
  <c r="B6363" i="53"/>
  <c r="A6291" i="53"/>
  <c r="B6291" i="53"/>
  <c r="F6343" i="53"/>
  <c r="G6343" i="53" s="1"/>
  <c r="D6343" i="53"/>
  <c r="B6343" i="53"/>
  <c r="F6342" i="53"/>
  <c r="G6342" i="53" s="1"/>
  <c r="D6342" i="53"/>
  <c r="B6342" i="53"/>
  <c r="F6341" i="53"/>
  <c r="G6341" i="53" s="1"/>
  <c r="D6341" i="53"/>
  <c r="B6341" i="53"/>
  <c r="F6340" i="53"/>
  <c r="G6340" i="53" s="1"/>
  <c r="D6340" i="53"/>
  <c r="B6340" i="53"/>
  <c r="F6339" i="53"/>
  <c r="G6339" i="53" s="1"/>
  <c r="D6339" i="53"/>
  <c r="B6339" i="53"/>
  <c r="F6334" i="53"/>
  <c r="E6334" i="53"/>
  <c r="D6334" i="53"/>
  <c r="B6334" i="53"/>
  <c r="F6333" i="53"/>
  <c r="E6333" i="53"/>
  <c r="D6333" i="53"/>
  <c r="B6333" i="53"/>
  <c r="F6332" i="53"/>
  <c r="E6332" i="53"/>
  <c r="D6332" i="53"/>
  <c r="B6332" i="53"/>
  <c r="F6331" i="53"/>
  <c r="E6331" i="53"/>
  <c r="D6331" i="53"/>
  <c r="B6331" i="53"/>
  <c r="F6330" i="53"/>
  <c r="E6330" i="53"/>
  <c r="D6330" i="53"/>
  <c r="B6330" i="53"/>
  <c r="F6329" i="53"/>
  <c r="E6329" i="53"/>
  <c r="D6329" i="53"/>
  <c r="B6329" i="53"/>
  <c r="F6328" i="53"/>
  <c r="E6328" i="53"/>
  <c r="D6328" i="53"/>
  <c r="B6328" i="53"/>
  <c r="F6327" i="53"/>
  <c r="E6327" i="53"/>
  <c r="D6327" i="53"/>
  <c r="B6327" i="53"/>
  <c r="F6326" i="53"/>
  <c r="E6326" i="53"/>
  <c r="D6326" i="53"/>
  <c r="B6326" i="53"/>
  <c r="F6325" i="53"/>
  <c r="E6325" i="53"/>
  <c r="D6325" i="53"/>
  <c r="B6325" i="53"/>
  <c r="F6324" i="53"/>
  <c r="E6324" i="53"/>
  <c r="D6324" i="53"/>
  <c r="B6324" i="53"/>
  <c r="F6323" i="53"/>
  <c r="E6323" i="53"/>
  <c r="D6323" i="53"/>
  <c r="B6323" i="53"/>
  <c r="F6322" i="53"/>
  <c r="E6322" i="53"/>
  <c r="D6322" i="53"/>
  <c r="B6322" i="53"/>
  <c r="F6317" i="53"/>
  <c r="G6317" i="53" s="1"/>
  <c r="B6317" i="53"/>
  <c r="F6316" i="53"/>
  <c r="G6316" i="53" s="1"/>
  <c r="B6316" i="53"/>
  <c r="F6315" i="53"/>
  <c r="G6315" i="53" s="1"/>
  <c r="B6315" i="53"/>
  <c r="F6314" i="53"/>
  <c r="G6314" i="53" s="1"/>
  <c r="B6314" i="53"/>
  <c r="F6313" i="53"/>
  <c r="G6313" i="53" s="1"/>
  <c r="B6313" i="53"/>
  <c r="F6312" i="53"/>
  <c r="G6312" i="53" s="1"/>
  <c r="B6312" i="53"/>
  <c r="F6307" i="53"/>
  <c r="E6307" i="53"/>
  <c r="D6307" i="53"/>
  <c r="B6307" i="53"/>
  <c r="F6306" i="53"/>
  <c r="E6306" i="53"/>
  <c r="D6306" i="53"/>
  <c r="B6306" i="53"/>
  <c r="F6305" i="53"/>
  <c r="E6305" i="53"/>
  <c r="D6305" i="53"/>
  <c r="B6305" i="53"/>
  <c r="F6304" i="53"/>
  <c r="E6304" i="53"/>
  <c r="D6304" i="53"/>
  <c r="B6304" i="53"/>
  <c r="F6303" i="53"/>
  <c r="E6303" i="53"/>
  <c r="D6303" i="53"/>
  <c r="B6303" i="53"/>
  <c r="F6302" i="53"/>
  <c r="E6302" i="53"/>
  <c r="D6302" i="53"/>
  <c r="B6302" i="53"/>
  <c r="F6297" i="53"/>
  <c r="G6297" i="53" s="1"/>
  <c r="D6297" i="53"/>
  <c r="B6297" i="53"/>
  <c r="F6296" i="53"/>
  <c r="G6296" i="53" s="1"/>
  <c r="D6296" i="53"/>
  <c r="B6296" i="53"/>
  <c r="F6295" i="53"/>
  <c r="G6295" i="53" s="1"/>
  <c r="D6295" i="53"/>
  <c r="B6295" i="53"/>
  <c r="B6294" i="53"/>
  <c r="A6226" i="53"/>
  <c r="A6223" i="53"/>
  <c r="B6223" i="53"/>
  <c r="F6275" i="53"/>
  <c r="G6275" i="53" s="1"/>
  <c r="D6275" i="53"/>
  <c r="B6275" i="53"/>
  <c r="F6274" i="53"/>
  <c r="G6274" i="53" s="1"/>
  <c r="D6274" i="53"/>
  <c r="B6274" i="53"/>
  <c r="F6273" i="53"/>
  <c r="G6273" i="53" s="1"/>
  <c r="D6273" i="53"/>
  <c r="B6273" i="53"/>
  <c r="F6272" i="53"/>
  <c r="G6272" i="53" s="1"/>
  <c r="D6272" i="53"/>
  <c r="B6272" i="53"/>
  <c r="F6271" i="53"/>
  <c r="G6271" i="53" s="1"/>
  <c r="D6271" i="53"/>
  <c r="B6271" i="53"/>
  <c r="F6266" i="53"/>
  <c r="E6266" i="53"/>
  <c r="D6266" i="53"/>
  <c r="B6266" i="53"/>
  <c r="F6265" i="53"/>
  <c r="E6265" i="53"/>
  <c r="D6265" i="53"/>
  <c r="B6265" i="53"/>
  <c r="F6264" i="53"/>
  <c r="E6264" i="53"/>
  <c r="D6264" i="53"/>
  <c r="B6264" i="53"/>
  <c r="F6263" i="53"/>
  <c r="E6263" i="53"/>
  <c r="D6263" i="53"/>
  <c r="B6263" i="53"/>
  <c r="F6262" i="53"/>
  <c r="E6262" i="53"/>
  <c r="D6262" i="53"/>
  <c r="B6262" i="53"/>
  <c r="F6261" i="53"/>
  <c r="E6261" i="53"/>
  <c r="D6261" i="53"/>
  <c r="B6261" i="53"/>
  <c r="F6260" i="53"/>
  <c r="E6260" i="53"/>
  <c r="D6260" i="53"/>
  <c r="B6260" i="53"/>
  <c r="F6259" i="53"/>
  <c r="E6259" i="53"/>
  <c r="D6259" i="53"/>
  <c r="B6259" i="53"/>
  <c r="F6258" i="53"/>
  <c r="E6258" i="53"/>
  <c r="D6258" i="53"/>
  <c r="B6258" i="53"/>
  <c r="F6257" i="53"/>
  <c r="E6257" i="53"/>
  <c r="D6257" i="53"/>
  <c r="B6257" i="53"/>
  <c r="F6256" i="53"/>
  <c r="E6256" i="53"/>
  <c r="D6256" i="53"/>
  <c r="B6256" i="53"/>
  <c r="F6255" i="53"/>
  <c r="E6255" i="53"/>
  <c r="D6255" i="53"/>
  <c r="B6255" i="53"/>
  <c r="F6254" i="53"/>
  <c r="E6254" i="53"/>
  <c r="D6254" i="53"/>
  <c r="B6254" i="53"/>
  <c r="F6249" i="53"/>
  <c r="G6249" i="53" s="1"/>
  <c r="B6249" i="53"/>
  <c r="F6248" i="53"/>
  <c r="G6248" i="53" s="1"/>
  <c r="B6248" i="53"/>
  <c r="F6247" i="53"/>
  <c r="G6247" i="53" s="1"/>
  <c r="B6247" i="53"/>
  <c r="F6246" i="53"/>
  <c r="G6246" i="53" s="1"/>
  <c r="B6246" i="53"/>
  <c r="F6245" i="53"/>
  <c r="G6245" i="53" s="1"/>
  <c r="B6245" i="53"/>
  <c r="F6244" i="53"/>
  <c r="G6244" i="53" s="1"/>
  <c r="B6244" i="53"/>
  <c r="F6239" i="53"/>
  <c r="E6239" i="53"/>
  <c r="D6239" i="53"/>
  <c r="B6239" i="53"/>
  <c r="F6238" i="53"/>
  <c r="E6238" i="53"/>
  <c r="D6238" i="53"/>
  <c r="B6238" i="53"/>
  <c r="F6237" i="53"/>
  <c r="E6237" i="53"/>
  <c r="D6237" i="53"/>
  <c r="B6237" i="53"/>
  <c r="F6236" i="53"/>
  <c r="E6236" i="53"/>
  <c r="D6236" i="53"/>
  <c r="B6236" i="53"/>
  <c r="F6235" i="53"/>
  <c r="E6235" i="53"/>
  <c r="D6235" i="53"/>
  <c r="B6235" i="53"/>
  <c r="F6234" i="53"/>
  <c r="E6234" i="53"/>
  <c r="D6234" i="53"/>
  <c r="B6234" i="53"/>
  <c r="F6229" i="53"/>
  <c r="G6229" i="53" s="1"/>
  <c r="D6229" i="53"/>
  <c r="B6229" i="53"/>
  <c r="F6228" i="53"/>
  <c r="G6228" i="53" s="1"/>
  <c r="D6228" i="53"/>
  <c r="B6228" i="53"/>
  <c r="F6227" i="53"/>
  <c r="G6227" i="53" s="1"/>
  <c r="D6227" i="53"/>
  <c r="B6227" i="53"/>
  <c r="E296" i="55"/>
  <c r="E297" i="55"/>
  <c r="H125" i="1"/>
  <c r="I125" i="1"/>
  <c r="G125" i="1"/>
  <c r="A6567" i="53"/>
  <c r="D6567" i="53" s="1"/>
  <c r="C612" i="55"/>
  <c r="A6564" i="53"/>
  <c r="B6564" i="53"/>
  <c r="F6614" i="53"/>
  <c r="G6614" i="53" s="1"/>
  <c r="D6614" i="53"/>
  <c r="B6614" i="53"/>
  <c r="F6613" i="53"/>
  <c r="G6613" i="53" s="1"/>
  <c r="D6613" i="53"/>
  <c r="B6613" i="53"/>
  <c r="F6612" i="53"/>
  <c r="G6612" i="53" s="1"/>
  <c r="D6612" i="53"/>
  <c r="B6612" i="53"/>
  <c r="F6611" i="53"/>
  <c r="G6611" i="53" s="1"/>
  <c r="D6611" i="53"/>
  <c r="B6611" i="53"/>
  <c r="F6610" i="53"/>
  <c r="G6610" i="53" s="1"/>
  <c r="D6610" i="53"/>
  <c r="B6610" i="53"/>
  <c r="F6605" i="53"/>
  <c r="E6605" i="53"/>
  <c r="D6605" i="53"/>
  <c r="B6605" i="53"/>
  <c r="F6604" i="53"/>
  <c r="E6604" i="53"/>
  <c r="D6604" i="53"/>
  <c r="B6604" i="53"/>
  <c r="F6603" i="53"/>
  <c r="E6603" i="53"/>
  <c r="D6603" i="53"/>
  <c r="B6603" i="53"/>
  <c r="F6602" i="53"/>
  <c r="E6602" i="53"/>
  <c r="D6602" i="53"/>
  <c r="B6602" i="53"/>
  <c r="F6601" i="53"/>
  <c r="E6601" i="53"/>
  <c r="D6601" i="53"/>
  <c r="B6601" i="53"/>
  <c r="F6600" i="53"/>
  <c r="E6600" i="53"/>
  <c r="D6600" i="53"/>
  <c r="B6600" i="53"/>
  <c r="F6599" i="53"/>
  <c r="E6599" i="53"/>
  <c r="D6599" i="53"/>
  <c r="B6599" i="53"/>
  <c r="F6598" i="53"/>
  <c r="E6598" i="53"/>
  <c r="D6598" i="53"/>
  <c r="B6598" i="53"/>
  <c r="F6597" i="53"/>
  <c r="E6597" i="53"/>
  <c r="D6597" i="53"/>
  <c r="B6597" i="53"/>
  <c r="F6596" i="53"/>
  <c r="E6596" i="53"/>
  <c r="D6596" i="53"/>
  <c r="B6596" i="53"/>
  <c r="F6595" i="53"/>
  <c r="E6595" i="53"/>
  <c r="D6595" i="53"/>
  <c r="B6595" i="53"/>
  <c r="F6594" i="53"/>
  <c r="E6594" i="53"/>
  <c r="D6594" i="53"/>
  <c r="B6594" i="53"/>
  <c r="F6593" i="53"/>
  <c r="E6593" i="53"/>
  <c r="D6593" i="53"/>
  <c r="B6593" i="53"/>
  <c r="F6588" i="53"/>
  <c r="G6588" i="53" s="1"/>
  <c r="B6588" i="53"/>
  <c r="F6587" i="53"/>
  <c r="G6587" i="53" s="1"/>
  <c r="B6587" i="53"/>
  <c r="F6586" i="53"/>
  <c r="G6586" i="53" s="1"/>
  <c r="B6586" i="53"/>
  <c r="F6585" i="53"/>
  <c r="G6585" i="53" s="1"/>
  <c r="B6585" i="53"/>
  <c r="F6584" i="53"/>
  <c r="G6584" i="53" s="1"/>
  <c r="B6584" i="53"/>
  <c r="F6583" i="53"/>
  <c r="G6583" i="53" s="1"/>
  <c r="B6583" i="53"/>
  <c r="F6578" i="53"/>
  <c r="E6578" i="53"/>
  <c r="D6578" i="53"/>
  <c r="B6578" i="53"/>
  <c r="F6577" i="53"/>
  <c r="E6577" i="53"/>
  <c r="D6577" i="53"/>
  <c r="B6577" i="53"/>
  <c r="F6576" i="53"/>
  <c r="E6576" i="53"/>
  <c r="D6576" i="53"/>
  <c r="B6576" i="53"/>
  <c r="F6575" i="53"/>
  <c r="E6575" i="53"/>
  <c r="D6575" i="53"/>
  <c r="B6575" i="53"/>
  <c r="F6574" i="53"/>
  <c r="E6574" i="53"/>
  <c r="D6574" i="53"/>
  <c r="B6574" i="53"/>
  <c r="F6573" i="53"/>
  <c r="E6573" i="53"/>
  <c r="D6573" i="53"/>
  <c r="B6573" i="53"/>
  <c r="F6568" i="53"/>
  <c r="G6568" i="53" s="1"/>
  <c r="E5749" i="53"/>
  <c r="E5748" i="53"/>
  <c r="E5409" i="53"/>
  <c r="E5410" i="53" s="1"/>
  <c r="E5408" i="53"/>
  <c r="E5341" i="53"/>
  <c r="E5342" i="53" s="1"/>
  <c r="E5340" i="53"/>
  <c r="E5273" i="53"/>
  <c r="E5274" i="53" s="1"/>
  <c r="E5272" i="53"/>
  <c r="E5205" i="53"/>
  <c r="E5204" i="53"/>
  <c r="E5137" i="53"/>
  <c r="E5136" i="53"/>
  <c r="H98" i="1"/>
  <c r="I98" i="1"/>
  <c r="G98" i="1"/>
  <c r="H97" i="1"/>
  <c r="I97" i="1"/>
  <c r="G97" i="1"/>
  <c r="B4792" i="53"/>
  <c r="C611" i="55"/>
  <c r="A4799" i="53"/>
  <c r="A4798" i="53"/>
  <c r="D4798" i="53" s="1"/>
  <c r="A4796" i="53"/>
  <c r="D4796" i="53" s="1"/>
  <c r="A4797" i="53"/>
  <c r="A4795" i="53"/>
  <c r="A4792" i="53"/>
  <c r="F4845" i="53"/>
  <c r="G4845" i="53" s="1"/>
  <c r="D4845" i="53"/>
  <c r="B4845" i="53"/>
  <c r="F4844" i="53"/>
  <c r="G4844" i="53" s="1"/>
  <c r="D4844" i="53"/>
  <c r="B4844" i="53"/>
  <c r="F4843" i="53"/>
  <c r="G4843" i="53" s="1"/>
  <c r="D4843" i="53"/>
  <c r="B4843" i="53"/>
  <c r="F4842" i="53"/>
  <c r="G4842" i="53" s="1"/>
  <c r="D4842" i="53"/>
  <c r="B4842" i="53"/>
  <c r="F4841" i="53"/>
  <c r="G4841" i="53" s="1"/>
  <c r="D4841" i="53"/>
  <c r="B4841" i="53"/>
  <c r="F4836" i="53"/>
  <c r="E4836" i="53"/>
  <c r="D4836" i="53"/>
  <c r="B4836" i="53"/>
  <c r="F4835" i="53"/>
  <c r="E4835" i="53"/>
  <c r="D4835" i="53"/>
  <c r="B4835" i="53"/>
  <c r="F4834" i="53"/>
  <c r="E4834" i="53"/>
  <c r="D4834" i="53"/>
  <c r="B4834" i="53"/>
  <c r="F4833" i="53"/>
  <c r="E4833" i="53"/>
  <c r="D4833" i="53"/>
  <c r="B4833" i="53"/>
  <c r="F4832" i="53"/>
  <c r="E4832" i="53"/>
  <c r="D4832" i="53"/>
  <c r="B4832" i="53"/>
  <c r="F4831" i="53"/>
  <c r="E4831" i="53"/>
  <c r="D4831" i="53"/>
  <c r="B4831" i="53"/>
  <c r="F4830" i="53"/>
  <c r="E4830" i="53"/>
  <c r="D4830" i="53"/>
  <c r="B4830" i="53"/>
  <c r="F4829" i="53"/>
  <c r="E4829" i="53"/>
  <c r="D4829" i="53"/>
  <c r="B4829" i="53"/>
  <c r="F4828" i="53"/>
  <c r="E4828" i="53"/>
  <c r="D4828" i="53"/>
  <c r="B4828" i="53"/>
  <c r="F4827" i="53"/>
  <c r="E4827" i="53"/>
  <c r="D4827" i="53"/>
  <c r="B4827" i="53"/>
  <c r="F4826" i="53"/>
  <c r="E4826" i="53"/>
  <c r="D4826" i="53"/>
  <c r="B4826" i="53"/>
  <c r="F4825" i="53"/>
  <c r="E4825" i="53"/>
  <c r="D4825" i="53"/>
  <c r="B4825" i="53"/>
  <c r="F4824" i="53"/>
  <c r="E4824" i="53"/>
  <c r="D4824" i="53"/>
  <c r="B4824" i="53"/>
  <c r="F4819" i="53"/>
  <c r="G4819" i="53" s="1"/>
  <c r="B4819" i="53"/>
  <c r="F4818" i="53"/>
  <c r="G4818" i="53" s="1"/>
  <c r="B4818" i="53"/>
  <c r="F4817" i="53"/>
  <c r="G4817" i="53" s="1"/>
  <c r="B4817" i="53"/>
  <c r="F4816" i="53"/>
  <c r="G4816" i="53" s="1"/>
  <c r="B4816" i="53"/>
  <c r="F4815" i="53"/>
  <c r="G4815" i="53" s="1"/>
  <c r="B4815" i="53"/>
  <c r="F4814" i="53"/>
  <c r="G4814" i="53" s="1"/>
  <c r="B4814" i="53"/>
  <c r="F4809" i="53"/>
  <c r="E4809" i="53"/>
  <c r="D4809" i="53"/>
  <c r="B4809" i="53"/>
  <c r="F4808" i="53"/>
  <c r="E4808" i="53"/>
  <c r="D4808" i="53"/>
  <c r="B4808" i="53"/>
  <c r="F4807" i="53"/>
  <c r="E4807" i="53"/>
  <c r="D4807" i="53"/>
  <c r="B4807" i="53"/>
  <c r="F4806" i="53"/>
  <c r="E4806" i="53"/>
  <c r="D4806" i="53"/>
  <c r="B4806" i="53"/>
  <c r="F4805" i="53"/>
  <c r="E4805" i="53"/>
  <c r="D4805" i="53"/>
  <c r="B4805" i="53"/>
  <c r="F4804" i="53"/>
  <c r="E4804" i="53"/>
  <c r="D4804" i="53"/>
  <c r="B4804" i="53"/>
  <c r="C607" i="55"/>
  <c r="C608" i="55"/>
  <c r="C609" i="55"/>
  <c r="C610" i="55"/>
  <c r="F7043" i="53" l="1"/>
  <c r="G7043" i="53" s="1"/>
  <c r="F7181" i="53"/>
  <c r="G7181" i="53" s="1"/>
  <c r="G7182" i="53" s="1"/>
  <c r="G7230" i="53" s="1"/>
  <c r="G6443" i="53"/>
  <c r="F4797" i="53"/>
  <c r="G4797" i="53" s="1"/>
  <c r="F4799" i="53"/>
  <c r="G4799" i="53" s="1"/>
  <c r="F6430" i="53"/>
  <c r="G6430" i="53" s="1"/>
  <c r="G6434" i="53" s="1"/>
  <c r="G6671" i="53"/>
  <c r="F4795" i="53"/>
  <c r="G4795" i="53" s="1"/>
  <c r="G6390" i="53"/>
  <c r="G6641" i="53"/>
  <c r="G6668" i="53"/>
  <c r="G6464" i="53"/>
  <c r="G6661" i="53"/>
  <c r="G6665" i="53"/>
  <c r="B6567" i="53"/>
  <c r="G6466" i="53"/>
  <c r="G6468" i="53"/>
  <c r="G6660" i="53"/>
  <c r="G6640" i="53"/>
  <c r="G6442" i="53"/>
  <c r="G6262" i="53"/>
  <c r="G6264" i="53"/>
  <c r="G6659" i="53"/>
  <c r="G6643" i="53"/>
  <c r="G6667" i="53"/>
  <c r="G6669" i="53"/>
  <c r="G6458" i="53"/>
  <c r="G6460" i="53"/>
  <c r="G6438" i="53"/>
  <c r="G6462" i="53"/>
  <c r="G6639" i="53"/>
  <c r="G6662" i="53"/>
  <c r="G6664" i="53"/>
  <c r="G6666" i="53"/>
  <c r="G6394" i="53"/>
  <c r="G6396" i="53"/>
  <c r="G6398" i="53"/>
  <c r="G6400" i="53"/>
  <c r="G6470" i="53"/>
  <c r="D6633" i="53"/>
  <c r="G6670" i="53"/>
  <c r="G6663" i="53"/>
  <c r="G6374" i="53"/>
  <c r="G6441" i="53"/>
  <c r="G6303" i="53"/>
  <c r="G6469" i="53"/>
  <c r="G6642" i="53"/>
  <c r="G6644" i="53"/>
  <c r="B6430" i="53"/>
  <c r="F6362" i="53"/>
  <c r="G6362" i="53" s="1"/>
  <c r="G6366" i="53" s="1"/>
  <c r="F6294" i="53"/>
  <c r="G6294" i="53" s="1"/>
  <c r="G6298" i="53" s="1"/>
  <c r="G6655" i="53"/>
  <c r="G6681" i="53"/>
  <c r="G6256" i="53"/>
  <c r="G6260" i="53"/>
  <c r="G6322" i="53"/>
  <c r="G6324" i="53"/>
  <c r="G6332" i="53"/>
  <c r="G6372" i="53"/>
  <c r="G6392" i="53"/>
  <c r="G6440" i="53"/>
  <c r="F6633" i="53"/>
  <c r="G6633" i="53" s="1"/>
  <c r="G6635" i="53" s="1"/>
  <c r="G6304" i="53"/>
  <c r="G6306" i="53"/>
  <c r="G6459" i="53"/>
  <c r="G6331" i="53"/>
  <c r="G6333" i="53"/>
  <c r="G6371" i="53"/>
  <c r="G6399" i="53"/>
  <c r="G6257" i="53"/>
  <c r="G6259" i="53"/>
  <c r="G6307" i="53"/>
  <c r="G6439" i="53"/>
  <c r="G6461" i="53"/>
  <c r="G6463" i="53"/>
  <c r="F6567" i="53"/>
  <c r="G6567" i="53" s="1"/>
  <c r="G6569" i="53" s="1"/>
  <c r="G6465" i="53"/>
  <c r="G6467" i="53"/>
  <c r="D6430" i="53"/>
  <c r="F6226" i="53"/>
  <c r="G6226" i="53" s="1"/>
  <c r="G6230" i="53" s="1"/>
  <c r="G6480" i="53"/>
  <c r="G6454" i="53"/>
  <c r="G6234" i="53"/>
  <c r="G6375" i="53"/>
  <c r="G6391" i="53"/>
  <c r="G6370" i="53"/>
  <c r="G6393" i="53"/>
  <c r="G6395" i="53"/>
  <c r="G6397" i="53"/>
  <c r="G6386" i="53"/>
  <c r="G6344" i="53"/>
  <c r="B6362" i="53"/>
  <c r="G6401" i="53"/>
  <c r="G6575" i="53"/>
  <c r="G6594" i="53"/>
  <c r="G6326" i="53"/>
  <c r="G6328" i="53"/>
  <c r="G6330" i="53"/>
  <c r="G6373" i="53"/>
  <c r="G6402" i="53"/>
  <c r="G6412" i="53"/>
  <c r="G6323" i="53"/>
  <c r="G6302" i="53"/>
  <c r="G6325" i="53"/>
  <c r="G6327" i="53"/>
  <c r="G6329" i="53"/>
  <c r="G6593" i="53"/>
  <c r="G6237" i="53"/>
  <c r="G6239" i="53"/>
  <c r="G6261" i="53"/>
  <c r="G6263" i="53"/>
  <c r="G6318" i="53"/>
  <c r="D6294" i="53"/>
  <c r="G6258" i="53"/>
  <c r="G6236" i="53"/>
  <c r="G6238" i="53"/>
  <c r="G6305" i="53"/>
  <c r="G6334" i="53"/>
  <c r="B6226" i="53"/>
  <c r="G6265" i="53"/>
  <c r="G4824" i="53"/>
  <c r="G4826" i="53"/>
  <c r="D6226" i="53"/>
  <c r="G6254" i="53"/>
  <c r="G6600" i="53"/>
  <c r="G6235" i="53"/>
  <c r="G6266" i="53"/>
  <c r="G4804" i="53"/>
  <c r="G4808" i="53"/>
  <c r="G6255" i="53"/>
  <c r="G6603" i="53"/>
  <c r="G6276" i="53"/>
  <c r="G6250" i="53"/>
  <c r="G6573" i="53"/>
  <c r="G6597" i="53"/>
  <c r="G6599" i="53"/>
  <c r="G4825" i="53"/>
  <c r="G6574" i="53"/>
  <c r="G6602" i="53"/>
  <c r="G6604" i="53"/>
  <c r="G6595" i="53"/>
  <c r="G6577" i="53"/>
  <c r="G6601" i="53"/>
  <c r="G6605" i="53"/>
  <c r="G4830" i="53"/>
  <c r="G6576" i="53"/>
  <c r="G6578" i="53"/>
  <c r="G6596" i="53"/>
  <c r="G6598" i="53"/>
  <c r="G6615" i="53"/>
  <c r="G6589" i="53"/>
  <c r="G4828" i="53"/>
  <c r="G4832" i="53"/>
  <c r="G4834" i="53"/>
  <c r="B6568" i="53"/>
  <c r="D6568" i="53"/>
  <c r="G4809" i="53"/>
  <c r="G4807" i="53"/>
  <c r="G4831" i="53"/>
  <c r="G4833" i="53"/>
  <c r="F4798" i="53"/>
  <c r="G4798" i="53" s="1"/>
  <c r="G4836" i="53"/>
  <c r="G4805" i="53"/>
  <c r="G4827" i="53"/>
  <c r="G4829" i="53"/>
  <c r="G4835" i="53"/>
  <c r="G4806" i="53"/>
  <c r="B4799" i="53"/>
  <c r="D4799" i="53"/>
  <c r="B4798" i="53"/>
  <c r="B4796" i="53"/>
  <c r="B4797" i="53"/>
  <c r="D4797" i="53"/>
  <c r="G4846" i="53"/>
  <c r="G4820" i="53"/>
  <c r="B4795" i="53"/>
  <c r="F4796" i="53"/>
  <c r="G4796" i="53" s="1"/>
  <c r="D4795" i="53"/>
  <c r="G4800" i="53" l="1"/>
  <c r="J135" i="1"/>
  <c r="G7232" i="53"/>
  <c r="G7233" i="53"/>
  <c r="G7234" i="53"/>
  <c r="G7238" i="53" s="1"/>
  <c r="G6672" i="53"/>
  <c r="G6444" i="53"/>
  <c r="G6471" i="53"/>
  <c r="G6645" i="53"/>
  <c r="G6403" i="53"/>
  <c r="G6376" i="53"/>
  <c r="G6335" i="53"/>
  <c r="G6240" i="53"/>
  <c r="G6308" i="53"/>
  <c r="G6267" i="53"/>
  <c r="G6579" i="53"/>
  <c r="G6606" i="53"/>
  <c r="G4837" i="53"/>
  <c r="G4810" i="53"/>
  <c r="K135" i="1" l="1"/>
  <c r="L135" i="1"/>
  <c r="M135" i="1"/>
  <c r="N135" i="1"/>
  <c r="O135" i="1"/>
  <c r="G7236" i="53"/>
  <c r="G7240" i="53" s="1"/>
  <c r="G7176" i="53" s="1"/>
  <c r="G6482" i="53"/>
  <c r="J123" i="1" s="1"/>
  <c r="L123" i="1" s="1"/>
  <c r="G6683" i="53"/>
  <c r="J127" i="1" s="1"/>
  <c r="K127" i="1" s="1"/>
  <c r="G6414" i="53"/>
  <c r="J122" i="1" s="1"/>
  <c r="M122" i="1" s="1"/>
  <c r="G6278" i="53"/>
  <c r="J120" i="1" s="1"/>
  <c r="K120" i="1" s="1"/>
  <c r="G6346" i="53"/>
  <c r="G6349" i="53" s="1"/>
  <c r="G6617" i="53"/>
  <c r="G6619" i="53" s="1"/>
  <c r="G4848" i="53"/>
  <c r="J97" i="1" s="1"/>
  <c r="G6485" i="53" l="1"/>
  <c r="G6486" i="53"/>
  <c r="G6490" i="53" s="1"/>
  <c r="K123" i="1"/>
  <c r="O123" i="1"/>
  <c r="N123" i="1"/>
  <c r="G6484" i="53"/>
  <c r="M123" i="1"/>
  <c r="G6686" i="53"/>
  <c r="G6687" i="53"/>
  <c r="G6691" i="53" s="1"/>
  <c r="K122" i="1"/>
  <c r="G6416" i="53"/>
  <c r="N120" i="1"/>
  <c r="G6281" i="53"/>
  <c r="O122" i="1"/>
  <c r="G6280" i="53"/>
  <c r="N122" i="1"/>
  <c r="G6282" i="53"/>
  <c r="G6286" i="53" s="1"/>
  <c r="L122" i="1"/>
  <c r="G6685" i="53"/>
  <c r="L127" i="1"/>
  <c r="O127" i="1"/>
  <c r="N127" i="1"/>
  <c r="M127" i="1"/>
  <c r="O120" i="1"/>
  <c r="M120" i="1"/>
  <c r="G6417" i="53"/>
  <c r="L120" i="1"/>
  <c r="G6418" i="53"/>
  <c r="G6422" i="53" s="1"/>
  <c r="J121" i="1"/>
  <c r="K121" i="1" s="1"/>
  <c r="J125" i="1"/>
  <c r="K125" i="1" s="1"/>
  <c r="G6621" i="53"/>
  <c r="G6625" i="53" s="1"/>
  <c r="G6350" i="53"/>
  <c r="G6354" i="53" s="1"/>
  <c r="G6348" i="53"/>
  <c r="G6620" i="53"/>
  <c r="G4850" i="53"/>
  <c r="G4852" i="53"/>
  <c r="G4856" i="53" s="1"/>
  <c r="G4851" i="53"/>
  <c r="L97" i="1"/>
  <c r="K97" i="1"/>
  <c r="O97" i="1"/>
  <c r="N97" i="1"/>
  <c r="M97" i="1"/>
  <c r="G6488" i="53" l="1"/>
  <c r="G6492" i="53" s="1"/>
  <c r="G6427" i="53" s="1"/>
  <c r="G6689" i="53"/>
  <c r="G6693" i="53" s="1"/>
  <c r="G6630" i="53" s="1"/>
  <c r="G6284" i="53"/>
  <c r="G6288" i="53" s="1"/>
  <c r="G6223" i="53" s="1"/>
  <c r="G6420" i="53"/>
  <c r="G6424" i="53" s="1"/>
  <c r="G6359" i="53" s="1"/>
  <c r="G6352" i="53"/>
  <c r="G6356" i="53" s="1"/>
  <c r="G6291" i="53" s="1"/>
  <c r="N121" i="1"/>
  <c r="M121" i="1"/>
  <c r="O121" i="1"/>
  <c r="L121" i="1"/>
  <c r="L125" i="1"/>
  <c r="M125" i="1"/>
  <c r="G6623" i="53"/>
  <c r="G6627" i="53" s="1"/>
  <c r="G6564" i="53" s="1"/>
  <c r="N125" i="1"/>
  <c r="O125" i="1"/>
  <c r="G4854" i="53"/>
  <c r="G4858" i="53" s="1"/>
  <c r="G4792" i="53" s="1"/>
  <c r="A5887" i="53" l="1"/>
  <c r="A5886" i="53"/>
  <c r="B5886" i="53" s="1"/>
  <c r="A5885" i="53"/>
  <c r="A5883" i="53"/>
  <c r="A5884" i="53"/>
  <c r="D5884" i="53" s="1"/>
  <c r="A5882" i="53"/>
  <c r="A5879" i="53"/>
  <c r="F5933" i="53"/>
  <c r="G5933" i="53" s="1"/>
  <c r="D5933" i="53"/>
  <c r="B5933" i="53"/>
  <c r="F5932" i="53"/>
  <c r="G5932" i="53" s="1"/>
  <c r="D5932" i="53"/>
  <c r="B5932" i="53"/>
  <c r="F5931" i="53"/>
  <c r="G5931" i="53" s="1"/>
  <c r="D5931" i="53"/>
  <c r="B5931" i="53"/>
  <c r="F5930" i="53"/>
  <c r="G5930" i="53" s="1"/>
  <c r="D5930" i="53"/>
  <c r="B5930" i="53"/>
  <c r="F5929" i="53"/>
  <c r="G5929" i="53" s="1"/>
  <c r="D5929" i="53"/>
  <c r="B5929" i="53"/>
  <c r="F5924" i="53"/>
  <c r="E5924" i="53"/>
  <c r="D5924" i="53"/>
  <c r="B5924" i="53"/>
  <c r="F5923" i="53"/>
  <c r="E5923" i="53"/>
  <c r="D5923" i="53"/>
  <c r="B5923" i="53"/>
  <c r="F5922" i="53"/>
  <c r="E5922" i="53"/>
  <c r="D5922" i="53"/>
  <c r="B5922" i="53"/>
  <c r="F5921" i="53"/>
  <c r="E5921" i="53"/>
  <c r="D5921" i="53"/>
  <c r="B5921" i="53"/>
  <c r="F5920" i="53"/>
  <c r="E5920" i="53"/>
  <c r="D5920" i="53"/>
  <c r="B5920" i="53"/>
  <c r="F5919" i="53"/>
  <c r="E5919" i="53"/>
  <c r="D5919" i="53"/>
  <c r="B5919" i="53"/>
  <c r="F5918" i="53"/>
  <c r="E5918" i="53"/>
  <c r="D5918" i="53"/>
  <c r="B5918" i="53"/>
  <c r="F5917" i="53"/>
  <c r="E5917" i="53"/>
  <c r="D5917" i="53"/>
  <c r="B5917" i="53"/>
  <c r="F5916" i="53"/>
  <c r="E5916" i="53"/>
  <c r="D5916" i="53"/>
  <c r="B5916" i="53"/>
  <c r="F5915" i="53"/>
  <c r="E5915" i="53"/>
  <c r="D5915" i="53"/>
  <c r="B5915" i="53"/>
  <c r="F5914" i="53"/>
  <c r="E5914" i="53"/>
  <c r="D5914" i="53"/>
  <c r="B5914" i="53"/>
  <c r="F5913" i="53"/>
  <c r="E5913" i="53"/>
  <c r="D5913" i="53"/>
  <c r="B5913" i="53"/>
  <c r="F5912" i="53"/>
  <c r="E5912" i="53"/>
  <c r="D5912" i="53"/>
  <c r="B5912" i="53"/>
  <c r="F5907" i="53"/>
  <c r="G5907" i="53" s="1"/>
  <c r="B5907" i="53"/>
  <c r="F5906" i="53"/>
  <c r="G5906" i="53" s="1"/>
  <c r="B5906" i="53"/>
  <c r="F5905" i="53"/>
  <c r="G5905" i="53" s="1"/>
  <c r="B5905" i="53"/>
  <c r="F5904" i="53"/>
  <c r="G5904" i="53" s="1"/>
  <c r="B5904" i="53"/>
  <c r="F5903" i="53"/>
  <c r="G5903" i="53" s="1"/>
  <c r="B5903" i="53"/>
  <c r="F5902" i="53"/>
  <c r="G5902" i="53" s="1"/>
  <c r="B5902" i="53"/>
  <c r="F5897" i="53"/>
  <c r="E5897" i="53"/>
  <c r="D5897" i="53"/>
  <c r="B5897" i="53"/>
  <c r="F5896" i="53"/>
  <c r="E5896" i="53"/>
  <c r="D5896" i="53"/>
  <c r="B5896" i="53"/>
  <c r="F5895" i="53"/>
  <c r="E5895" i="53"/>
  <c r="D5895" i="53"/>
  <c r="B5895" i="53"/>
  <c r="F5894" i="53"/>
  <c r="E5894" i="53"/>
  <c r="D5894" i="53"/>
  <c r="B5894" i="53"/>
  <c r="F5893" i="53"/>
  <c r="E5893" i="53"/>
  <c r="D5893" i="53"/>
  <c r="B5893" i="53"/>
  <c r="F5892" i="53"/>
  <c r="E5892" i="53"/>
  <c r="D5892" i="53"/>
  <c r="B5892" i="53"/>
  <c r="C601" i="55"/>
  <c r="C602" i="55"/>
  <c r="C603" i="55"/>
  <c r="C604" i="55"/>
  <c r="C605" i="55"/>
  <c r="C606" i="55"/>
  <c r="B5879" i="53"/>
  <c r="H113" i="1"/>
  <c r="I113" i="1"/>
  <c r="G113" i="1"/>
  <c r="A5750" i="53"/>
  <c r="A5749" i="53"/>
  <c r="D5749" i="53" s="1"/>
  <c r="A5748" i="53"/>
  <c r="D5748" i="53" s="1"/>
  <c r="A5745" i="53"/>
  <c r="B5745" i="53"/>
  <c r="F5796" i="53"/>
  <c r="G5796" i="53" s="1"/>
  <c r="D5796" i="53"/>
  <c r="B5796" i="53"/>
  <c r="F5795" i="53"/>
  <c r="G5795" i="53" s="1"/>
  <c r="D5795" i="53"/>
  <c r="B5795" i="53"/>
  <c r="F5794" i="53"/>
  <c r="G5794" i="53" s="1"/>
  <c r="D5794" i="53"/>
  <c r="B5794" i="53"/>
  <c r="F5793" i="53"/>
  <c r="G5793" i="53" s="1"/>
  <c r="D5793" i="53"/>
  <c r="B5793" i="53"/>
  <c r="F5792" i="53"/>
  <c r="G5792" i="53" s="1"/>
  <c r="D5792" i="53"/>
  <c r="B5792" i="53"/>
  <c r="F5787" i="53"/>
  <c r="E5787" i="53"/>
  <c r="D5787" i="53"/>
  <c r="B5787" i="53"/>
  <c r="F5786" i="53"/>
  <c r="E5786" i="53"/>
  <c r="D5786" i="53"/>
  <c r="B5786" i="53"/>
  <c r="F5785" i="53"/>
  <c r="E5785" i="53"/>
  <c r="D5785" i="53"/>
  <c r="B5785" i="53"/>
  <c r="F5784" i="53"/>
  <c r="E5784" i="53"/>
  <c r="D5784" i="53"/>
  <c r="B5784" i="53"/>
  <c r="F5783" i="53"/>
  <c r="E5783" i="53"/>
  <c r="D5783" i="53"/>
  <c r="B5783" i="53"/>
  <c r="F5782" i="53"/>
  <c r="E5782" i="53"/>
  <c r="D5782" i="53"/>
  <c r="B5782" i="53"/>
  <c r="F5781" i="53"/>
  <c r="E5781" i="53"/>
  <c r="D5781" i="53"/>
  <c r="B5781" i="53"/>
  <c r="F5780" i="53"/>
  <c r="E5780" i="53"/>
  <c r="D5780" i="53"/>
  <c r="B5780" i="53"/>
  <c r="F5779" i="53"/>
  <c r="E5779" i="53"/>
  <c r="D5779" i="53"/>
  <c r="B5779" i="53"/>
  <c r="F5778" i="53"/>
  <c r="E5778" i="53"/>
  <c r="D5778" i="53"/>
  <c r="B5778" i="53"/>
  <c r="F5777" i="53"/>
  <c r="E5777" i="53"/>
  <c r="D5777" i="53"/>
  <c r="B5777" i="53"/>
  <c r="F5776" i="53"/>
  <c r="E5776" i="53"/>
  <c r="D5776" i="53"/>
  <c r="B5776" i="53"/>
  <c r="F5775" i="53"/>
  <c r="E5775" i="53"/>
  <c r="D5775" i="53"/>
  <c r="B5775" i="53"/>
  <c r="F5770" i="53"/>
  <c r="G5770" i="53" s="1"/>
  <c r="B5770" i="53"/>
  <c r="F5769" i="53"/>
  <c r="G5769" i="53" s="1"/>
  <c r="B5769" i="53"/>
  <c r="F5768" i="53"/>
  <c r="G5768" i="53" s="1"/>
  <c r="B5768" i="53"/>
  <c r="F5767" i="53"/>
  <c r="G5767" i="53" s="1"/>
  <c r="B5767" i="53"/>
  <c r="F5766" i="53"/>
  <c r="G5766" i="53" s="1"/>
  <c r="B5766" i="53"/>
  <c r="F5765" i="53"/>
  <c r="G5765" i="53" s="1"/>
  <c r="B5765" i="53"/>
  <c r="F5760" i="53"/>
  <c r="E5760" i="53"/>
  <c r="D5760" i="53"/>
  <c r="B5760" i="53"/>
  <c r="F5759" i="53"/>
  <c r="E5759" i="53"/>
  <c r="D5759" i="53"/>
  <c r="B5759" i="53"/>
  <c r="F5758" i="53"/>
  <c r="E5758" i="53"/>
  <c r="D5758" i="53"/>
  <c r="B5758" i="53"/>
  <c r="F5757" i="53"/>
  <c r="E5757" i="53"/>
  <c r="D5757" i="53"/>
  <c r="B5757" i="53"/>
  <c r="F5756" i="53"/>
  <c r="E5756" i="53"/>
  <c r="D5756" i="53"/>
  <c r="B5756" i="53"/>
  <c r="F5755" i="53"/>
  <c r="E5755" i="53"/>
  <c r="D5755" i="53"/>
  <c r="B5755" i="53"/>
  <c r="E5750" i="53"/>
  <c r="H112" i="1"/>
  <c r="I112" i="1"/>
  <c r="G112" i="1"/>
  <c r="H109" i="1"/>
  <c r="H114" i="1" s="1"/>
  <c r="I109" i="1"/>
  <c r="I114" i="1" s="1"/>
  <c r="G109" i="1"/>
  <c r="G114" i="1" s="1"/>
  <c r="H107" i="1"/>
  <c r="I107" i="1"/>
  <c r="G107" i="1"/>
  <c r="H100" i="1"/>
  <c r="I100" i="1"/>
  <c r="G100" i="1"/>
  <c r="H101" i="1"/>
  <c r="I101" i="1"/>
  <c r="G101" i="1"/>
  <c r="A5410" i="53"/>
  <c r="D5410" i="53" s="1"/>
  <c r="A5409" i="53"/>
  <c r="D5409" i="53" s="1"/>
  <c r="A5408" i="53"/>
  <c r="D5408" i="53" s="1"/>
  <c r="A5405" i="53"/>
  <c r="B5405" i="53"/>
  <c r="F5457" i="53"/>
  <c r="G5457" i="53" s="1"/>
  <c r="D5457" i="53"/>
  <c r="B5457" i="53"/>
  <c r="F5456" i="53"/>
  <c r="G5456" i="53" s="1"/>
  <c r="D5456" i="53"/>
  <c r="B5456" i="53"/>
  <c r="F5455" i="53"/>
  <c r="G5455" i="53" s="1"/>
  <c r="D5455" i="53"/>
  <c r="B5455" i="53"/>
  <c r="F5454" i="53"/>
  <c r="G5454" i="53" s="1"/>
  <c r="D5454" i="53"/>
  <c r="B5454" i="53"/>
  <c r="F5453" i="53"/>
  <c r="G5453" i="53" s="1"/>
  <c r="D5453" i="53"/>
  <c r="B5453" i="53"/>
  <c r="F5448" i="53"/>
  <c r="E5448" i="53"/>
  <c r="D5448" i="53"/>
  <c r="B5448" i="53"/>
  <c r="F5447" i="53"/>
  <c r="E5447" i="53"/>
  <c r="D5447" i="53"/>
  <c r="B5447" i="53"/>
  <c r="F5446" i="53"/>
  <c r="E5446" i="53"/>
  <c r="D5446" i="53"/>
  <c r="B5446" i="53"/>
  <c r="F5445" i="53"/>
  <c r="E5445" i="53"/>
  <c r="D5445" i="53"/>
  <c r="B5445" i="53"/>
  <c r="F5444" i="53"/>
  <c r="E5444" i="53"/>
  <c r="D5444" i="53"/>
  <c r="B5444" i="53"/>
  <c r="F5443" i="53"/>
  <c r="E5443" i="53"/>
  <c r="D5443" i="53"/>
  <c r="B5443" i="53"/>
  <c r="F5442" i="53"/>
  <c r="E5442" i="53"/>
  <c r="D5442" i="53"/>
  <c r="B5442" i="53"/>
  <c r="F5441" i="53"/>
  <c r="E5441" i="53"/>
  <c r="D5441" i="53"/>
  <c r="B5441" i="53"/>
  <c r="F5440" i="53"/>
  <c r="E5440" i="53"/>
  <c r="D5440" i="53"/>
  <c r="B5440" i="53"/>
  <c r="F5439" i="53"/>
  <c r="E5439" i="53"/>
  <c r="D5439" i="53"/>
  <c r="B5439" i="53"/>
  <c r="F5438" i="53"/>
  <c r="E5438" i="53"/>
  <c r="D5438" i="53"/>
  <c r="B5438" i="53"/>
  <c r="F5437" i="53"/>
  <c r="E5437" i="53"/>
  <c r="D5437" i="53"/>
  <c r="B5437" i="53"/>
  <c r="F5436" i="53"/>
  <c r="E5436" i="53"/>
  <c r="D5436" i="53"/>
  <c r="B5436" i="53"/>
  <c r="F5431" i="53"/>
  <c r="G5431" i="53" s="1"/>
  <c r="B5431" i="53"/>
  <c r="F5430" i="53"/>
  <c r="G5430" i="53" s="1"/>
  <c r="B5430" i="53"/>
  <c r="F5429" i="53"/>
  <c r="G5429" i="53" s="1"/>
  <c r="B5429" i="53"/>
  <c r="F5428" i="53"/>
  <c r="G5428" i="53" s="1"/>
  <c r="B5428" i="53"/>
  <c r="F5427" i="53"/>
  <c r="G5427" i="53" s="1"/>
  <c r="B5427" i="53"/>
  <c r="F5426" i="53"/>
  <c r="G5426" i="53" s="1"/>
  <c r="B5426" i="53"/>
  <c r="F5421" i="53"/>
  <c r="E5421" i="53"/>
  <c r="D5421" i="53"/>
  <c r="B5421" i="53"/>
  <c r="F5420" i="53"/>
  <c r="E5420" i="53"/>
  <c r="D5420" i="53"/>
  <c r="B5420" i="53"/>
  <c r="F5419" i="53"/>
  <c r="E5419" i="53"/>
  <c r="D5419" i="53"/>
  <c r="B5419" i="53"/>
  <c r="F5418" i="53"/>
  <c r="E5418" i="53"/>
  <c r="D5418" i="53"/>
  <c r="B5418" i="53"/>
  <c r="F5417" i="53"/>
  <c r="E5417" i="53"/>
  <c r="D5417" i="53"/>
  <c r="B5417" i="53"/>
  <c r="F5416" i="53"/>
  <c r="E5416" i="53"/>
  <c r="D5416" i="53"/>
  <c r="B5416" i="53"/>
  <c r="F5411" i="53"/>
  <c r="G5411" i="53" s="1"/>
  <c r="D5411" i="53"/>
  <c r="B5411" i="53"/>
  <c r="A5342" i="53"/>
  <c r="D5342" i="53" s="1"/>
  <c r="A5341" i="53"/>
  <c r="A5340" i="53"/>
  <c r="B5340" i="53" s="1"/>
  <c r="A5337" i="53"/>
  <c r="B5337" i="53"/>
  <c r="F5389" i="53"/>
  <c r="G5389" i="53" s="1"/>
  <c r="D5389" i="53"/>
  <c r="B5389" i="53"/>
  <c r="F5388" i="53"/>
  <c r="G5388" i="53" s="1"/>
  <c r="D5388" i="53"/>
  <c r="B5388" i="53"/>
  <c r="F5387" i="53"/>
  <c r="G5387" i="53" s="1"/>
  <c r="D5387" i="53"/>
  <c r="B5387" i="53"/>
  <c r="F5386" i="53"/>
  <c r="G5386" i="53" s="1"/>
  <c r="D5386" i="53"/>
  <c r="B5386" i="53"/>
  <c r="F5385" i="53"/>
  <c r="G5385" i="53" s="1"/>
  <c r="D5385" i="53"/>
  <c r="B5385" i="53"/>
  <c r="F5380" i="53"/>
  <c r="E5380" i="53"/>
  <c r="D5380" i="53"/>
  <c r="B5380" i="53"/>
  <c r="F5379" i="53"/>
  <c r="E5379" i="53"/>
  <c r="D5379" i="53"/>
  <c r="B5379" i="53"/>
  <c r="F5378" i="53"/>
  <c r="E5378" i="53"/>
  <c r="D5378" i="53"/>
  <c r="B5378" i="53"/>
  <c r="F5377" i="53"/>
  <c r="E5377" i="53"/>
  <c r="D5377" i="53"/>
  <c r="B5377" i="53"/>
  <c r="F5376" i="53"/>
  <c r="E5376" i="53"/>
  <c r="D5376" i="53"/>
  <c r="B5376" i="53"/>
  <c r="F5375" i="53"/>
  <c r="E5375" i="53"/>
  <c r="D5375" i="53"/>
  <c r="B5375" i="53"/>
  <c r="F5374" i="53"/>
  <c r="E5374" i="53"/>
  <c r="D5374" i="53"/>
  <c r="B5374" i="53"/>
  <c r="F5373" i="53"/>
  <c r="E5373" i="53"/>
  <c r="D5373" i="53"/>
  <c r="B5373" i="53"/>
  <c r="F5372" i="53"/>
  <c r="E5372" i="53"/>
  <c r="D5372" i="53"/>
  <c r="B5372" i="53"/>
  <c r="F5371" i="53"/>
  <c r="E5371" i="53"/>
  <c r="D5371" i="53"/>
  <c r="B5371" i="53"/>
  <c r="F5370" i="53"/>
  <c r="E5370" i="53"/>
  <c r="D5370" i="53"/>
  <c r="B5370" i="53"/>
  <c r="F5369" i="53"/>
  <c r="E5369" i="53"/>
  <c r="D5369" i="53"/>
  <c r="B5369" i="53"/>
  <c r="F5368" i="53"/>
  <c r="E5368" i="53"/>
  <c r="D5368" i="53"/>
  <c r="B5368" i="53"/>
  <c r="F5363" i="53"/>
  <c r="G5363" i="53" s="1"/>
  <c r="B5363" i="53"/>
  <c r="F5362" i="53"/>
  <c r="G5362" i="53" s="1"/>
  <c r="B5362" i="53"/>
  <c r="F5361" i="53"/>
  <c r="G5361" i="53" s="1"/>
  <c r="B5361" i="53"/>
  <c r="F5360" i="53"/>
  <c r="G5360" i="53" s="1"/>
  <c r="B5360" i="53"/>
  <c r="F5359" i="53"/>
  <c r="G5359" i="53" s="1"/>
  <c r="B5359" i="53"/>
  <c r="F5358" i="53"/>
  <c r="G5358" i="53" s="1"/>
  <c r="B5358" i="53"/>
  <c r="F5353" i="53"/>
  <c r="E5353" i="53"/>
  <c r="D5353" i="53"/>
  <c r="B5353" i="53"/>
  <c r="F5352" i="53"/>
  <c r="E5352" i="53"/>
  <c r="D5352" i="53"/>
  <c r="B5352" i="53"/>
  <c r="F5351" i="53"/>
  <c r="E5351" i="53"/>
  <c r="D5351" i="53"/>
  <c r="B5351" i="53"/>
  <c r="F5350" i="53"/>
  <c r="E5350" i="53"/>
  <c r="D5350" i="53"/>
  <c r="B5350" i="53"/>
  <c r="F5349" i="53"/>
  <c r="E5349" i="53"/>
  <c r="D5349" i="53"/>
  <c r="B5349" i="53"/>
  <c r="F5348" i="53"/>
  <c r="E5348" i="53"/>
  <c r="D5348" i="53"/>
  <c r="B5348" i="53"/>
  <c r="F5343" i="53"/>
  <c r="G5343" i="53" s="1"/>
  <c r="D5343" i="53"/>
  <c r="B5343" i="53"/>
  <c r="A5274" i="53"/>
  <c r="A5273" i="53"/>
  <c r="A5272" i="53"/>
  <c r="A5269" i="53"/>
  <c r="B5269" i="53"/>
  <c r="F5321" i="53"/>
  <c r="G5321" i="53" s="1"/>
  <c r="D5321" i="53"/>
  <c r="B5321" i="53"/>
  <c r="F5320" i="53"/>
  <c r="G5320" i="53" s="1"/>
  <c r="D5320" i="53"/>
  <c r="B5320" i="53"/>
  <c r="F5319" i="53"/>
  <c r="G5319" i="53" s="1"/>
  <c r="D5319" i="53"/>
  <c r="B5319" i="53"/>
  <c r="F5318" i="53"/>
  <c r="G5318" i="53" s="1"/>
  <c r="D5318" i="53"/>
  <c r="B5318" i="53"/>
  <c r="F5317" i="53"/>
  <c r="G5317" i="53" s="1"/>
  <c r="D5317" i="53"/>
  <c r="B5317" i="53"/>
  <c r="F5312" i="53"/>
  <c r="E5312" i="53"/>
  <c r="D5312" i="53"/>
  <c r="B5312" i="53"/>
  <c r="F5311" i="53"/>
  <c r="E5311" i="53"/>
  <c r="D5311" i="53"/>
  <c r="B5311" i="53"/>
  <c r="F5310" i="53"/>
  <c r="E5310" i="53"/>
  <c r="D5310" i="53"/>
  <c r="B5310" i="53"/>
  <c r="F5309" i="53"/>
  <c r="E5309" i="53"/>
  <c r="D5309" i="53"/>
  <c r="B5309" i="53"/>
  <c r="F5308" i="53"/>
  <c r="E5308" i="53"/>
  <c r="D5308" i="53"/>
  <c r="B5308" i="53"/>
  <c r="F5307" i="53"/>
  <c r="E5307" i="53"/>
  <c r="D5307" i="53"/>
  <c r="B5307" i="53"/>
  <c r="F5306" i="53"/>
  <c r="E5306" i="53"/>
  <c r="D5306" i="53"/>
  <c r="B5306" i="53"/>
  <c r="F5305" i="53"/>
  <c r="E5305" i="53"/>
  <c r="D5305" i="53"/>
  <c r="B5305" i="53"/>
  <c r="F5304" i="53"/>
  <c r="E5304" i="53"/>
  <c r="D5304" i="53"/>
  <c r="B5304" i="53"/>
  <c r="F5303" i="53"/>
  <c r="E5303" i="53"/>
  <c r="D5303" i="53"/>
  <c r="B5303" i="53"/>
  <c r="F5302" i="53"/>
  <c r="E5302" i="53"/>
  <c r="D5302" i="53"/>
  <c r="B5302" i="53"/>
  <c r="F5301" i="53"/>
  <c r="E5301" i="53"/>
  <c r="D5301" i="53"/>
  <c r="B5301" i="53"/>
  <c r="F5300" i="53"/>
  <c r="E5300" i="53"/>
  <c r="D5300" i="53"/>
  <c r="B5300" i="53"/>
  <c r="F5295" i="53"/>
  <c r="G5295" i="53" s="1"/>
  <c r="B5295" i="53"/>
  <c r="F5294" i="53"/>
  <c r="G5294" i="53" s="1"/>
  <c r="B5294" i="53"/>
  <c r="F5293" i="53"/>
  <c r="G5293" i="53" s="1"/>
  <c r="B5293" i="53"/>
  <c r="F5292" i="53"/>
  <c r="G5292" i="53" s="1"/>
  <c r="B5292" i="53"/>
  <c r="F5291" i="53"/>
  <c r="G5291" i="53" s="1"/>
  <c r="B5291" i="53"/>
  <c r="F5290" i="53"/>
  <c r="G5290" i="53" s="1"/>
  <c r="B5290" i="53"/>
  <c r="F5285" i="53"/>
  <c r="E5285" i="53"/>
  <c r="D5285" i="53"/>
  <c r="B5285" i="53"/>
  <c r="F5284" i="53"/>
  <c r="E5284" i="53"/>
  <c r="D5284" i="53"/>
  <c r="B5284" i="53"/>
  <c r="F5283" i="53"/>
  <c r="E5283" i="53"/>
  <c r="D5283" i="53"/>
  <c r="B5283" i="53"/>
  <c r="F5282" i="53"/>
  <c r="E5282" i="53"/>
  <c r="D5282" i="53"/>
  <c r="B5282" i="53"/>
  <c r="F5281" i="53"/>
  <c r="E5281" i="53"/>
  <c r="D5281" i="53"/>
  <c r="B5281" i="53"/>
  <c r="F5280" i="53"/>
  <c r="E5280" i="53"/>
  <c r="D5280" i="53"/>
  <c r="B5280" i="53"/>
  <c r="F5275" i="53"/>
  <c r="G5275" i="53" s="1"/>
  <c r="D5275" i="53"/>
  <c r="B5275" i="53"/>
  <c r="A5206" i="53"/>
  <c r="D5206" i="53" s="1"/>
  <c r="A5205" i="53"/>
  <c r="D5205" i="53" s="1"/>
  <c r="A5204" i="53"/>
  <c r="A5201" i="53"/>
  <c r="B5201" i="53"/>
  <c r="F5253" i="53"/>
  <c r="G5253" i="53" s="1"/>
  <c r="D5253" i="53"/>
  <c r="B5253" i="53"/>
  <c r="F5252" i="53"/>
  <c r="G5252" i="53" s="1"/>
  <c r="D5252" i="53"/>
  <c r="B5252" i="53"/>
  <c r="F5251" i="53"/>
  <c r="G5251" i="53" s="1"/>
  <c r="D5251" i="53"/>
  <c r="B5251" i="53"/>
  <c r="F5250" i="53"/>
  <c r="G5250" i="53" s="1"/>
  <c r="D5250" i="53"/>
  <c r="B5250" i="53"/>
  <c r="F5249" i="53"/>
  <c r="G5249" i="53" s="1"/>
  <c r="D5249" i="53"/>
  <c r="B5249" i="53"/>
  <c r="F5244" i="53"/>
  <c r="E5244" i="53"/>
  <c r="D5244" i="53"/>
  <c r="B5244" i="53"/>
  <c r="F5243" i="53"/>
  <c r="E5243" i="53"/>
  <c r="D5243" i="53"/>
  <c r="B5243" i="53"/>
  <c r="F5242" i="53"/>
  <c r="E5242" i="53"/>
  <c r="D5242" i="53"/>
  <c r="B5242" i="53"/>
  <c r="F5241" i="53"/>
  <c r="E5241" i="53"/>
  <c r="D5241" i="53"/>
  <c r="B5241" i="53"/>
  <c r="F5240" i="53"/>
  <c r="E5240" i="53"/>
  <c r="D5240" i="53"/>
  <c r="B5240" i="53"/>
  <c r="F5239" i="53"/>
  <c r="E5239" i="53"/>
  <c r="D5239" i="53"/>
  <c r="B5239" i="53"/>
  <c r="F5238" i="53"/>
  <c r="E5238" i="53"/>
  <c r="D5238" i="53"/>
  <c r="B5238" i="53"/>
  <c r="F5237" i="53"/>
  <c r="E5237" i="53"/>
  <c r="D5237" i="53"/>
  <c r="B5237" i="53"/>
  <c r="F5236" i="53"/>
  <c r="E5236" i="53"/>
  <c r="D5236" i="53"/>
  <c r="B5236" i="53"/>
  <c r="F5235" i="53"/>
  <c r="E5235" i="53"/>
  <c r="D5235" i="53"/>
  <c r="B5235" i="53"/>
  <c r="F5234" i="53"/>
  <c r="E5234" i="53"/>
  <c r="D5234" i="53"/>
  <c r="B5234" i="53"/>
  <c r="F5233" i="53"/>
  <c r="E5233" i="53"/>
  <c r="D5233" i="53"/>
  <c r="B5233" i="53"/>
  <c r="F5232" i="53"/>
  <c r="E5232" i="53"/>
  <c r="D5232" i="53"/>
  <c r="B5232" i="53"/>
  <c r="F5227" i="53"/>
  <c r="G5227" i="53" s="1"/>
  <c r="B5227" i="53"/>
  <c r="F5226" i="53"/>
  <c r="G5226" i="53" s="1"/>
  <c r="B5226" i="53"/>
  <c r="F5225" i="53"/>
  <c r="G5225" i="53" s="1"/>
  <c r="B5225" i="53"/>
  <c r="F5224" i="53"/>
  <c r="G5224" i="53" s="1"/>
  <c r="B5224" i="53"/>
  <c r="F5223" i="53"/>
  <c r="G5223" i="53" s="1"/>
  <c r="B5223" i="53"/>
  <c r="F5222" i="53"/>
  <c r="G5222" i="53" s="1"/>
  <c r="B5222" i="53"/>
  <c r="F5217" i="53"/>
  <c r="E5217" i="53"/>
  <c r="D5217" i="53"/>
  <c r="B5217" i="53"/>
  <c r="F5216" i="53"/>
  <c r="E5216" i="53"/>
  <c r="D5216" i="53"/>
  <c r="B5216" i="53"/>
  <c r="F5215" i="53"/>
  <c r="E5215" i="53"/>
  <c r="D5215" i="53"/>
  <c r="B5215" i="53"/>
  <c r="F5214" i="53"/>
  <c r="E5214" i="53"/>
  <c r="D5214" i="53"/>
  <c r="B5214" i="53"/>
  <c r="F5213" i="53"/>
  <c r="E5213" i="53"/>
  <c r="D5213" i="53"/>
  <c r="B5213" i="53"/>
  <c r="F5212" i="53"/>
  <c r="E5212" i="53"/>
  <c r="D5212" i="53"/>
  <c r="B5212" i="53"/>
  <c r="F5207" i="53"/>
  <c r="G5207" i="53" s="1"/>
  <c r="D5207" i="53"/>
  <c r="B5207" i="53"/>
  <c r="E5206" i="53"/>
  <c r="A5138" i="53"/>
  <c r="A5137" i="53"/>
  <c r="A5136" i="53"/>
  <c r="A5133" i="53"/>
  <c r="B5133" i="53"/>
  <c r="F5185" i="53"/>
  <c r="G5185" i="53" s="1"/>
  <c r="D5185" i="53"/>
  <c r="B5185" i="53"/>
  <c r="F5184" i="53"/>
  <c r="G5184" i="53" s="1"/>
  <c r="D5184" i="53"/>
  <c r="B5184" i="53"/>
  <c r="F5183" i="53"/>
  <c r="G5183" i="53" s="1"/>
  <c r="D5183" i="53"/>
  <c r="B5183" i="53"/>
  <c r="F5182" i="53"/>
  <c r="G5182" i="53" s="1"/>
  <c r="D5182" i="53"/>
  <c r="B5182" i="53"/>
  <c r="F5181" i="53"/>
  <c r="G5181" i="53" s="1"/>
  <c r="D5181" i="53"/>
  <c r="B5181" i="53"/>
  <c r="F5176" i="53"/>
  <c r="E5176" i="53"/>
  <c r="D5176" i="53"/>
  <c r="B5176" i="53"/>
  <c r="F5175" i="53"/>
  <c r="E5175" i="53"/>
  <c r="D5175" i="53"/>
  <c r="B5175" i="53"/>
  <c r="F5174" i="53"/>
  <c r="E5174" i="53"/>
  <c r="D5174" i="53"/>
  <c r="B5174" i="53"/>
  <c r="F5173" i="53"/>
  <c r="E5173" i="53"/>
  <c r="D5173" i="53"/>
  <c r="B5173" i="53"/>
  <c r="F5172" i="53"/>
  <c r="E5172" i="53"/>
  <c r="D5172" i="53"/>
  <c r="B5172" i="53"/>
  <c r="F5171" i="53"/>
  <c r="E5171" i="53"/>
  <c r="D5171" i="53"/>
  <c r="B5171" i="53"/>
  <c r="F5170" i="53"/>
  <c r="E5170" i="53"/>
  <c r="D5170" i="53"/>
  <c r="B5170" i="53"/>
  <c r="F5169" i="53"/>
  <c r="E5169" i="53"/>
  <c r="D5169" i="53"/>
  <c r="B5169" i="53"/>
  <c r="F5168" i="53"/>
  <c r="E5168" i="53"/>
  <c r="D5168" i="53"/>
  <c r="B5168" i="53"/>
  <c r="F5167" i="53"/>
  <c r="E5167" i="53"/>
  <c r="D5167" i="53"/>
  <c r="B5167" i="53"/>
  <c r="F5166" i="53"/>
  <c r="E5166" i="53"/>
  <c r="D5166" i="53"/>
  <c r="B5166" i="53"/>
  <c r="F5165" i="53"/>
  <c r="E5165" i="53"/>
  <c r="D5165" i="53"/>
  <c r="B5165" i="53"/>
  <c r="F5164" i="53"/>
  <c r="E5164" i="53"/>
  <c r="D5164" i="53"/>
  <c r="B5164" i="53"/>
  <c r="F5159" i="53"/>
  <c r="G5159" i="53" s="1"/>
  <c r="B5159" i="53"/>
  <c r="F5158" i="53"/>
  <c r="G5158" i="53" s="1"/>
  <c r="B5158" i="53"/>
  <c r="F5157" i="53"/>
  <c r="G5157" i="53" s="1"/>
  <c r="B5157" i="53"/>
  <c r="F5156" i="53"/>
  <c r="G5156" i="53" s="1"/>
  <c r="B5156" i="53"/>
  <c r="F5155" i="53"/>
  <c r="G5155" i="53" s="1"/>
  <c r="B5155" i="53"/>
  <c r="F5154" i="53"/>
  <c r="G5154" i="53" s="1"/>
  <c r="B5154" i="53"/>
  <c r="F5149" i="53"/>
  <c r="E5149" i="53"/>
  <c r="D5149" i="53"/>
  <c r="B5149" i="53"/>
  <c r="F5148" i="53"/>
  <c r="E5148" i="53"/>
  <c r="D5148" i="53"/>
  <c r="B5148" i="53"/>
  <c r="F5147" i="53"/>
  <c r="E5147" i="53"/>
  <c r="D5147" i="53"/>
  <c r="B5147" i="53"/>
  <c r="F5146" i="53"/>
  <c r="E5146" i="53"/>
  <c r="D5146" i="53"/>
  <c r="B5146" i="53"/>
  <c r="F5145" i="53"/>
  <c r="E5145" i="53"/>
  <c r="D5145" i="53"/>
  <c r="B5145" i="53"/>
  <c r="F5144" i="53"/>
  <c r="E5144" i="53"/>
  <c r="D5144" i="53"/>
  <c r="B5144" i="53"/>
  <c r="F5139" i="53"/>
  <c r="G5139" i="53" s="1"/>
  <c r="D5139" i="53"/>
  <c r="B5139" i="53"/>
  <c r="E5138" i="53"/>
  <c r="E5816" i="53"/>
  <c r="E5817" i="53" s="1"/>
  <c r="E5815" i="53"/>
  <c r="E5682" i="53"/>
  <c r="E5683" i="53" s="1"/>
  <c r="E5681" i="53"/>
  <c r="E5615" i="53"/>
  <c r="E5616" i="53" s="1"/>
  <c r="E5614" i="53"/>
  <c r="E5476" i="53"/>
  <c r="E5068" i="53"/>
  <c r="E5547" i="53"/>
  <c r="E5548" i="53" s="1"/>
  <c r="E5546" i="53"/>
  <c r="E5478" i="53"/>
  <c r="E5069" i="53"/>
  <c r="E5070" i="53" s="1"/>
  <c r="A4867" i="53"/>
  <c r="A4866" i="53"/>
  <c r="A4865" i="53"/>
  <c r="A4864" i="53"/>
  <c r="E4728" i="53"/>
  <c r="A4729" i="53"/>
  <c r="C600" i="55"/>
  <c r="A5817" i="53"/>
  <c r="B5817" i="53" s="1"/>
  <c r="A5816" i="53"/>
  <c r="A5815" i="53"/>
  <c r="F113" i="1"/>
  <c r="E113" i="1"/>
  <c r="A5812" i="53"/>
  <c r="B5812" i="53"/>
  <c r="F5863" i="53"/>
  <c r="G5863" i="53" s="1"/>
  <c r="D5863" i="53"/>
  <c r="B5863" i="53"/>
  <c r="F5862" i="53"/>
  <c r="G5862" i="53" s="1"/>
  <c r="D5862" i="53"/>
  <c r="B5862" i="53"/>
  <c r="F5861" i="53"/>
  <c r="G5861" i="53" s="1"/>
  <c r="D5861" i="53"/>
  <c r="B5861" i="53"/>
  <c r="F5860" i="53"/>
  <c r="G5860" i="53" s="1"/>
  <c r="D5860" i="53"/>
  <c r="B5860" i="53"/>
  <c r="F5859" i="53"/>
  <c r="G5859" i="53" s="1"/>
  <c r="D5859" i="53"/>
  <c r="B5859" i="53"/>
  <c r="F5854" i="53"/>
  <c r="E5854" i="53"/>
  <c r="D5854" i="53"/>
  <c r="B5854" i="53"/>
  <c r="F5853" i="53"/>
  <c r="E5853" i="53"/>
  <c r="D5853" i="53"/>
  <c r="B5853" i="53"/>
  <c r="F5852" i="53"/>
  <c r="E5852" i="53"/>
  <c r="D5852" i="53"/>
  <c r="B5852" i="53"/>
  <c r="F5851" i="53"/>
  <c r="E5851" i="53"/>
  <c r="D5851" i="53"/>
  <c r="B5851" i="53"/>
  <c r="F5850" i="53"/>
  <c r="E5850" i="53"/>
  <c r="D5850" i="53"/>
  <c r="B5850" i="53"/>
  <c r="F5849" i="53"/>
  <c r="E5849" i="53"/>
  <c r="D5849" i="53"/>
  <c r="B5849" i="53"/>
  <c r="F5848" i="53"/>
  <c r="E5848" i="53"/>
  <c r="D5848" i="53"/>
  <c r="B5848" i="53"/>
  <c r="F5847" i="53"/>
  <c r="E5847" i="53"/>
  <c r="D5847" i="53"/>
  <c r="B5847" i="53"/>
  <c r="F5846" i="53"/>
  <c r="E5846" i="53"/>
  <c r="D5846" i="53"/>
  <c r="B5846" i="53"/>
  <c r="F5845" i="53"/>
  <c r="E5845" i="53"/>
  <c r="D5845" i="53"/>
  <c r="B5845" i="53"/>
  <c r="F5844" i="53"/>
  <c r="E5844" i="53"/>
  <c r="D5844" i="53"/>
  <c r="B5844" i="53"/>
  <c r="F5843" i="53"/>
  <c r="E5843" i="53"/>
  <c r="D5843" i="53"/>
  <c r="B5843" i="53"/>
  <c r="F5842" i="53"/>
  <c r="E5842" i="53"/>
  <c r="D5842" i="53"/>
  <c r="B5842" i="53"/>
  <c r="F5837" i="53"/>
  <c r="G5837" i="53" s="1"/>
  <c r="B5837" i="53"/>
  <c r="F5836" i="53"/>
  <c r="G5836" i="53" s="1"/>
  <c r="B5836" i="53"/>
  <c r="F5835" i="53"/>
  <c r="G5835" i="53" s="1"/>
  <c r="B5835" i="53"/>
  <c r="F5834" i="53"/>
  <c r="G5834" i="53" s="1"/>
  <c r="B5834" i="53"/>
  <c r="F5833" i="53"/>
  <c r="G5833" i="53" s="1"/>
  <c r="B5833" i="53"/>
  <c r="F5832" i="53"/>
  <c r="G5832" i="53" s="1"/>
  <c r="B5832" i="53"/>
  <c r="F5827" i="53"/>
  <c r="E5827" i="53"/>
  <c r="D5827" i="53"/>
  <c r="B5827" i="53"/>
  <c r="F5826" i="53"/>
  <c r="E5826" i="53"/>
  <c r="D5826" i="53"/>
  <c r="B5826" i="53"/>
  <c r="F5825" i="53"/>
  <c r="E5825" i="53"/>
  <c r="D5825" i="53"/>
  <c r="B5825" i="53"/>
  <c r="F5824" i="53"/>
  <c r="E5824" i="53"/>
  <c r="D5824" i="53"/>
  <c r="B5824" i="53"/>
  <c r="F5823" i="53"/>
  <c r="E5823" i="53"/>
  <c r="D5823" i="53"/>
  <c r="B5823" i="53"/>
  <c r="F5822" i="53"/>
  <c r="E5822" i="53"/>
  <c r="D5822" i="53"/>
  <c r="B5822" i="53"/>
  <c r="F96" i="1"/>
  <c r="E96" i="1"/>
  <c r="A5548" i="53"/>
  <c r="D5548" i="53" s="1"/>
  <c r="A5547" i="53"/>
  <c r="D5547" i="53" s="1"/>
  <c r="A5546" i="53"/>
  <c r="F109" i="1"/>
  <c r="E109" i="1"/>
  <c r="A5543" i="53"/>
  <c r="B5543" i="53"/>
  <c r="F5595" i="53"/>
  <c r="G5595" i="53" s="1"/>
  <c r="D5595" i="53"/>
  <c r="B5595" i="53"/>
  <c r="F5594" i="53"/>
  <c r="G5594" i="53" s="1"/>
  <c r="D5594" i="53"/>
  <c r="B5594" i="53"/>
  <c r="F5593" i="53"/>
  <c r="G5593" i="53" s="1"/>
  <c r="D5593" i="53"/>
  <c r="B5593" i="53"/>
  <c r="F5592" i="53"/>
  <c r="G5592" i="53" s="1"/>
  <c r="D5592" i="53"/>
  <c r="B5592" i="53"/>
  <c r="F5591" i="53"/>
  <c r="G5591" i="53" s="1"/>
  <c r="D5591" i="53"/>
  <c r="B5591" i="53"/>
  <c r="F5586" i="53"/>
  <c r="E5586" i="53"/>
  <c r="D5586" i="53"/>
  <c r="B5586" i="53"/>
  <c r="F5585" i="53"/>
  <c r="E5585" i="53"/>
  <c r="D5585" i="53"/>
  <c r="B5585" i="53"/>
  <c r="F5584" i="53"/>
  <c r="E5584" i="53"/>
  <c r="D5584" i="53"/>
  <c r="B5584" i="53"/>
  <c r="F5583" i="53"/>
  <c r="E5583" i="53"/>
  <c r="D5583" i="53"/>
  <c r="B5583" i="53"/>
  <c r="F5582" i="53"/>
  <c r="E5582" i="53"/>
  <c r="D5582" i="53"/>
  <c r="B5582" i="53"/>
  <c r="F5581" i="53"/>
  <c r="E5581" i="53"/>
  <c r="D5581" i="53"/>
  <c r="B5581" i="53"/>
  <c r="F5580" i="53"/>
  <c r="E5580" i="53"/>
  <c r="D5580" i="53"/>
  <c r="B5580" i="53"/>
  <c r="F5579" i="53"/>
  <c r="E5579" i="53"/>
  <c r="D5579" i="53"/>
  <c r="B5579" i="53"/>
  <c r="F5578" i="53"/>
  <c r="E5578" i="53"/>
  <c r="D5578" i="53"/>
  <c r="B5578" i="53"/>
  <c r="F5577" i="53"/>
  <c r="E5577" i="53"/>
  <c r="D5577" i="53"/>
  <c r="B5577" i="53"/>
  <c r="F5576" i="53"/>
  <c r="E5576" i="53"/>
  <c r="D5576" i="53"/>
  <c r="B5576" i="53"/>
  <c r="F5575" i="53"/>
  <c r="E5575" i="53"/>
  <c r="D5575" i="53"/>
  <c r="B5575" i="53"/>
  <c r="F5574" i="53"/>
  <c r="E5574" i="53"/>
  <c r="D5574" i="53"/>
  <c r="B5574" i="53"/>
  <c r="F5569" i="53"/>
  <c r="G5569" i="53" s="1"/>
  <c r="B5569" i="53"/>
  <c r="F5568" i="53"/>
  <c r="G5568" i="53" s="1"/>
  <c r="B5568" i="53"/>
  <c r="F5567" i="53"/>
  <c r="G5567" i="53" s="1"/>
  <c r="B5567" i="53"/>
  <c r="F5566" i="53"/>
  <c r="G5566" i="53" s="1"/>
  <c r="B5566" i="53"/>
  <c r="F5565" i="53"/>
  <c r="G5565" i="53" s="1"/>
  <c r="B5565" i="53"/>
  <c r="F5564" i="53"/>
  <c r="G5564" i="53" s="1"/>
  <c r="B5564" i="53"/>
  <c r="F5559" i="53"/>
  <c r="E5559" i="53"/>
  <c r="D5559" i="53"/>
  <c r="B5559" i="53"/>
  <c r="F5558" i="53"/>
  <c r="E5558" i="53"/>
  <c r="D5558" i="53"/>
  <c r="B5558" i="53"/>
  <c r="F5557" i="53"/>
  <c r="E5557" i="53"/>
  <c r="D5557" i="53"/>
  <c r="B5557" i="53"/>
  <c r="F5556" i="53"/>
  <c r="E5556" i="53"/>
  <c r="D5556" i="53"/>
  <c r="B5556" i="53"/>
  <c r="F5555" i="53"/>
  <c r="E5555" i="53"/>
  <c r="D5555" i="53"/>
  <c r="B5555" i="53"/>
  <c r="F5554" i="53"/>
  <c r="E5554" i="53"/>
  <c r="D5554" i="53"/>
  <c r="B5554" i="53"/>
  <c r="F5549" i="53"/>
  <c r="G5549" i="53" s="1"/>
  <c r="D5549" i="53"/>
  <c r="B5549" i="53"/>
  <c r="E98" i="1"/>
  <c r="F98" i="1"/>
  <c r="A4936" i="53"/>
  <c r="C599" i="55"/>
  <c r="A4935" i="53"/>
  <c r="F102" i="1"/>
  <c r="E102" i="1"/>
  <c r="A4934" i="53"/>
  <c r="D4934" i="53" s="1"/>
  <c r="A4933" i="53"/>
  <c r="D4933" i="53" s="1"/>
  <c r="A4930" i="53"/>
  <c r="B4930" i="53"/>
  <c r="F4983" i="53"/>
  <c r="G4983" i="53" s="1"/>
  <c r="D4983" i="53"/>
  <c r="B4983" i="53"/>
  <c r="F4982" i="53"/>
  <c r="G4982" i="53" s="1"/>
  <c r="D4982" i="53"/>
  <c r="B4982" i="53"/>
  <c r="F4981" i="53"/>
  <c r="G4981" i="53" s="1"/>
  <c r="D4981" i="53"/>
  <c r="B4981" i="53"/>
  <c r="F4980" i="53"/>
  <c r="G4980" i="53" s="1"/>
  <c r="D4980" i="53"/>
  <c r="B4980" i="53"/>
  <c r="F4979" i="53"/>
  <c r="G4979" i="53" s="1"/>
  <c r="D4979" i="53"/>
  <c r="B4979" i="53"/>
  <c r="F4974" i="53"/>
  <c r="E4974" i="53"/>
  <c r="D4974" i="53"/>
  <c r="B4974" i="53"/>
  <c r="F4973" i="53"/>
  <c r="E4973" i="53"/>
  <c r="D4973" i="53"/>
  <c r="B4973" i="53"/>
  <c r="F4972" i="53"/>
  <c r="E4972" i="53"/>
  <c r="D4972" i="53"/>
  <c r="B4972" i="53"/>
  <c r="F4971" i="53"/>
  <c r="E4971" i="53"/>
  <c r="D4971" i="53"/>
  <c r="B4971" i="53"/>
  <c r="F4970" i="53"/>
  <c r="E4970" i="53"/>
  <c r="D4970" i="53"/>
  <c r="B4970" i="53"/>
  <c r="F4969" i="53"/>
  <c r="E4969" i="53"/>
  <c r="D4969" i="53"/>
  <c r="B4969" i="53"/>
  <c r="F4968" i="53"/>
  <c r="E4968" i="53"/>
  <c r="D4968" i="53"/>
  <c r="B4968" i="53"/>
  <c r="F4967" i="53"/>
  <c r="E4967" i="53"/>
  <c r="D4967" i="53"/>
  <c r="B4967" i="53"/>
  <c r="F4966" i="53"/>
  <c r="E4966" i="53"/>
  <c r="D4966" i="53"/>
  <c r="B4966" i="53"/>
  <c r="F4965" i="53"/>
  <c r="E4965" i="53"/>
  <c r="D4965" i="53"/>
  <c r="B4965" i="53"/>
  <c r="F4964" i="53"/>
  <c r="E4964" i="53"/>
  <c r="D4964" i="53"/>
  <c r="B4964" i="53"/>
  <c r="F4963" i="53"/>
  <c r="E4963" i="53"/>
  <c r="D4963" i="53"/>
  <c r="B4963" i="53"/>
  <c r="F4962" i="53"/>
  <c r="E4962" i="53"/>
  <c r="D4962" i="53"/>
  <c r="B4962" i="53"/>
  <c r="F4957" i="53"/>
  <c r="G4957" i="53" s="1"/>
  <c r="B4957" i="53"/>
  <c r="F4956" i="53"/>
  <c r="G4956" i="53" s="1"/>
  <c r="B4956" i="53"/>
  <c r="F4955" i="53"/>
  <c r="G4955" i="53" s="1"/>
  <c r="B4955" i="53"/>
  <c r="F4954" i="53"/>
  <c r="G4954" i="53" s="1"/>
  <c r="B4954" i="53"/>
  <c r="F4953" i="53"/>
  <c r="G4953" i="53" s="1"/>
  <c r="B4953" i="53"/>
  <c r="F4952" i="53"/>
  <c r="G4952" i="53" s="1"/>
  <c r="B4952" i="53"/>
  <c r="F4947" i="53"/>
  <c r="E4947" i="53"/>
  <c r="D4947" i="53"/>
  <c r="B4947" i="53"/>
  <c r="F4946" i="53"/>
  <c r="E4946" i="53"/>
  <c r="D4946" i="53"/>
  <c r="B4946" i="53"/>
  <c r="F4945" i="53"/>
  <c r="E4945" i="53"/>
  <c r="D4945" i="53"/>
  <c r="B4945" i="53"/>
  <c r="F4944" i="53"/>
  <c r="E4944" i="53"/>
  <c r="D4944" i="53"/>
  <c r="B4944" i="53"/>
  <c r="F4943" i="53"/>
  <c r="E4943" i="53"/>
  <c r="D4943" i="53"/>
  <c r="B4943" i="53"/>
  <c r="F4942" i="53"/>
  <c r="E4942" i="53"/>
  <c r="D4942" i="53"/>
  <c r="B4942" i="53"/>
  <c r="F4937" i="53"/>
  <c r="G4937" i="53" s="1"/>
  <c r="D4937" i="53"/>
  <c r="B4937" i="53"/>
  <c r="F108" i="1"/>
  <c r="E108" i="1"/>
  <c r="F111" i="1"/>
  <c r="E111" i="1"/>
  <c r="A5478" i="53"/>
  <c r="A5477" i="53"/>
  <c r="D5477" i="53" s="1"/>
  <c r="A5476" i="53"/>
  <c r="A5473" i="53"/>
  <c r="B5473" i="53"/>
  <c r="F5527" i="53"/>
  <c r="G5527" i="53" s="1"/>
  <c r="D5527" i="53"/>
  <c r="B5527" i="53"/>
  <c r="F5526" i="53"/>
  <c r="G5526" i="53" s="1"/>
  <c r="D5526" i="53"/>
  <c r="B5526" i="53"/>
  <c r="F5525" i="53"/>
  <c r="G5525" i="53" s="1"/>
  <c r="D5525" i="53"/>
  <c r="B5525" i="53"/>
  <c r="F5524" i="53"/>
  <c r="G5524" i="53" s="1"/>
  <c r="D5524" i="53"/>
  <c r="B5524" i="53"/>
  <c r="F5523" i="53"/>
  <c r="G5523" i="53" s="1"/>
  <c r="D5523" i="53"/>
  <c r="B5523" i="53"/>
  <c r="F5518" i="53"/>
  <c r="E5518" i="53"/>
  <c r="D5518" i="53"/>
  <c r="B5518" i="53"/>
  <c r="F5517" i="53"/>
  <c r="E5517" i="53"/>
  <c r="D5517" i="53"/>
  <c r="B5517" i="53"/>
  <c r="F5516" i="53"/>
  <c r="E5516" i="53"/>
  <c r="D5516" i="53"/>
  <c r="B5516" i="53"/>
  <c r="F5515" i="53"/>
  <c r="E5515" i="53"/>
  <c r="D5515" i="53"/>
  <c r="B5515" i="53"/>
  <c r="F5514" i="53"/>
  <c r="E5514" i="53"/>
  <c r="D5514" i="53"/>
  <c r="B5514" i="53"/>
  <c r="F5513" i="53"/>
  <c r="E5513" i="53"/>
  <c r="D5513" i="53"/>
  <c r="B5513" i="53"/>
  <c r="F5512" i="53"/>
  <c r="E5512" i="53"/>
  <c r="D5512" i="53"/>
  <c r="B5512" i="53"/>
  <c r="F5511" i="53"/>
  <c r="E5511" i="53"/>
  <c r="D5511" i="53"/>
  <c r="B5511" i="53"/>
  <c r="F5510" i="53"/>
  <c r="E5510" i="53"/>
  <c r="D5510" i="53"/>
  <c r="B5510" i="53"/>
  <c r="F5509" i="53"/>
  <c r="E5509" i="53"/>
  <c r="D5509" i="53"/>
  <c r="B5509" i="53"/>
  <c r="F5508" i="53"/>
  <c r="E5508" i="53"/>
  <c r="D5508" i="53"/>
  <c r="B5508" i="53"/>
  <c r="F5507" i="53"/>
  <c r="E5507" i="53"/>
  <c r="D5507" i="53"/>
  <c r="B5507" i="53"/>
  <c r="F5506" i="53"/>
  <c r="E5506" i="53"/>
  <c r="D5506" i="53"/>
  <c r="B5506" i="53"/>
  <c r="F5501" i="53"/>
  <c r="G5501" i="53" s="1"/>
  <c r="B5501" i="53"/>
  <c r="F5500" i="53"/>
  <c r="G5500" i="53" s="1"/>
  <c r="B5500" i="53"/>
  <c r="F5499" i="53"/>
  <c r="G5499" i="53" s="1"/>
  <c r="B5499" i="53"/>
  <c r="F5498" i="53"/>
  <c r="G5498" i="53" s="1"/>
  <c r="B5498" i="53"/>
  <c r="F5497" i="53"/>
  <c r="G5497" i="53" s="1"/>
  <c r="B5497" i="53"/>
  <c r="F5496" i="53"/>
  <c r="G5496" i="53" s="1"/>
  <c r="B5496" i="53"/>
  <c r="F5491" i="53"/>
  <c r="E5491" i="53"/>
  <c r="D5491" i="53"/>
  <c r="B5491" i="53"/>
  <c r="F5490" i="53"/>
  <c r="E5490" i="53"/>
  <c r="D5490" i="53"/>
  <c r="B5490" i="53"/>
  <c r="F5489" i="53"/>
  <c r="E5489" i="53"/>
  <c r="D5489" i="53"/>
  <c r="B5489" i="53"/>
  <c r="F5488" i="53"/>
  <c r="E5488" i="53"/>
  <c r="D5488" i="53"/>
  <c r="B5488" i="53"/>
  <c r="F5487" i="53"/>
  <c r="E5487" i="53"/>
  <c r="D5487" i="53"/>
  <c r="B5487" i="53"/>
  <c r="F5486" i="53"/>
  <c r="E5486" i="53"/>
  <c r="D5486" i="53"/>
  <c r="B5486" i="53"/>
  <c r="F5481" i="53"/>
  <c r="G5481" i="53" s="1"/>
  <c r="D5481" i="53"/>
  <c r="B5481" i="53"/>
  <c r="F5480" i="53"/>
  <c r="G5480" i="53" s="1"/>
  <c r="D5480" i="53"/>
  <c r="B5480" i="53"/>
  <c r="F5479" i="53"/>
  <c r="G5479" i="53" s="1"/>
  <c r="D5479" i="53"/>
  <c r="B5479" i="53"/>
  <c r="A5070" i="53"/>
  <c r="A5069" i="53"/>
  <c r="A5068" i="53"/>
  <c r="B5065" i="53"/>
  <c r="F110" i="1"/>
  <c r="E110" i="1"/>
  <c r="A5616" i="53"/>
  <c r="A5615" i="53"/>
  <c r="A5614" i="53"/>
  <c r="A5683" i="53"/>
  <c r="A5682" i="53"/>
  <c r="A5681" i="53"/>
  <c r="F100" i="1"/>
  <c r="E100" i="1"/>
  <c r="F101" i="1"/>
  <c r="E101" i="1"/>
  <c r="F5882" i="53" l="1"/>
  <c r="G5882" i="53" s="1"/>
  <c r="F5887" i="53"/>
  <c r="G5887" i="53" s="1"/>
  <c r="F5883" i="53"/>
  <c r="G5883" i="53" s="1"/>
  <c r="F4936" i="53"/>
  <c r="G4936" i="53" s="1"/>
  <c r="F5885" i="53"/>
  <c r="G5885" i="53" s="1"/>
  <c r="G5920" i="53"/>
  <c r="G5379" i="53"/>
  <c r="G5370" i="53"/>
  <c r="G5372" i="53"/>
  <c r="G5374" i="53"/>
  <c r="G5378" i="53"/>
  <c r="B5408" i="53"/>
  <c r="G5912" i="53"/>
  <c r="G5348" i="53"/>
  <c r="G5421" i="53"/>
  <c r="G5436" i="53"/>
  <c r="G5442" i="53"/>
  <c r="G5444" i="53"/>
  <c r="G5755" i="53"/>
  <c r="G5894" i="53"/>
  <c r="G5896" i="53"/>
  <c r="G5921" i="53"/>
  <c r="G5922" i="53"/>
  <c r="G5915" i="53"/>
  <c r="G5893" i="53"/>
  <c r="G5914" i="53"/>
  <c r="G5302" i="53"/>
  <c r="G5443" i="53"/>
  <c r="G5445" i="53"/>
  <c r="G5447" i="53"/>
  <c r="G5776" i="53"/>
  <c r="G5778" i="53"/>
  <c r="G5780" i="53"/>
  <c r="G5782" i="53"/>
  <c r="G5784" i="53"/>
  <c r="G5786" i="53"/>
  <c r="G5144" i="53"/>
  <c r="B5205" i="53"/>
  <c r="B5749" i="53"/>
  <c r="G5756" i="53"/>
  <c r="G5758" i="53"/>
  <c r="G5924" i="53"/>
  <c r="G5913" i="53"/>
  <c r="B5887" i="53"/>
  <c r="F5884" i="53"/>
  <c r="G5884" i="53" s="1"/>
  <c r="D5887" i="53"/>
  <c r="G5895" i="53"/>
  <c r="G5897" i="53"/>
  <c r="G5908" i="53"/>
  <c r="G5934" i="53"/>
  <c r="G5351" i="53"/>
  <c r="G5416" i="53"/>
  <c r="G5418" i="53"/>
  <c r="G5775" i="53"/>
  <c r="G5781" i="53"/>
  <c r="G5783" i="53"/>
  <c r="G5923" i="53"/>
  <c r="G5280" i="53"/>
  <c r="G5284" i="53"/>
  <c r="G5301" i="53"/>
  <c r="B5409" i="53"/>
  <c r="G5916" i="53"/>
  <c r="G5918" i="53"/>
  <c r="G5757" i="53"/>
  <c r="G5759" i="53"/>
  <c r="D5882" i="53"/>
  <c r="B5882" i="53"/>
  <c r="G5892" i="53"/>
  <c r="G5917" i="53"/>
  <c r="G5919" i="53"/>
  <c r="F5886" i="53"/>
  <c r="G5886" i="53" s="1"/>
  <c r="D5886" i="53"/>
  <c r="B5885" i="53"/>
  <c r="D5885" i="53"/>
  <c r="G5169" i="53"/>
  <c r="G5171" i="53"/>
  <c r="G5369" i="53"/>
  <c r="B5410" i="53"/>
  <c r="G5438" i="53"/>
  <c r="G5440" i="53"/>
  <c r="G5760" i="53"/>
  <c r="G5458" i="53"/>
  <c r="G5214" i="53"/>
  <c r="G5216" i="53"/>
  <c r="G5420" i="53"/>
  <c r="B5884" i="53"/>
  <c r="G5307" i="53"/>
  <c r="G5311" i="53"/>
  <c r="G5446" i="53"/>
  <c r="G5448" i="53"/>
  <c r="G5777" i="53"/>
  <c r="G5779" i="53"/>
  <c r="B5883" i="53"/>
  <c r="D5340" i="53"/>
  <c r="G5417" i="53"/>
  <c r="G5419" i="53"/>
  <c r="G5437" i="53"/>
  <c r="G5439" i="53"/>
  <c r="G5441" i="53"/>
  <c r="D5883" i="53"/>
  <c r="G5232" i="53"/>
  <c r="G5285" i="53"/>
  <c r="G5352" i="53"/>
  <c r="G5785" i="53"/>
  <c r="G5787" i="53"/>
  <c r="B5341" i="53"/>
  <c r="D5341" i="53"/>
  <c r="D5138" i="53"/>
  <c r="G5797" i="53"/>
  <c r="G5771" i="53"/>
  <c r="G5432" i="53"/>
  <c r="G5304" i="53"/>
  <c r="G5306" i="53"/>
  <c r="G5308" i="53"/>
  <c r="G5310" i="53"/>
  <c r="G5380" i="53"/>
  <c r="B5204" i="53"/>
  <c r="G5282" i="53"/>
  <c r="G5349" i="53"/>
  <c r="G5371" i="53"/>
  <c r="G5373" i="53"/>
  <c r="B5750" i="53"/>
  <c r="D5204" i="53"/>
  <c r="G5234" i="53"/>
  <c r="G5240" i="53"/>
  <c r="G5242" i="53"/>
  <c r="D5274" i="53"/>
  <c r="G5353" i="53"/>
  <c r="G5375" i="53"/>
  <c r="G5377" i="53"/>
  <c r="D5750" i="53"/>
  <c r="G5368" i="53"/>
  <c r="G5350" i="53"/>
  <c r="G5281" i="53"/>
  <c r="B5748" i="53"/>
  <c r="G5300" i="53"/>
  <c r="G5376" i="53"/>
  <c r="G5390" i="53"/>
  <c r="G5364" i="53"/>
  <c r="B5273" i="53"/>
  <c r="G5826" i="53"/>
  <c r="G5212" i="53"/>
  <c r="G5244" i="53"/>
  <c r="D5273" i="53"/>
  <c r="G5309" i="53"/>
  <c r="G5322" i="53"/>
  <c r="G5233" i="53"/>
  <c r="G5239" i="53"/>
  <c r="G5283" i="53"/>
  <c r="G5848" i="53"/>
  <c r="G5145" i="53"/>
  <c r="G5147" i="53"/>
  <c r="G5164" i="53"/>
  <c r="G5243" i="53"/>
  <c r="B5342" i="53"/>
  <c r="G5238" i="53"/>
  <c r="G5303" i="53"/>
  <c r="G5305" i="53"/>
  <c r="G5312" i="53"/>
  <c r="G5296" i="53"/>
  <c r="G5146" i="53"/>
  <c r="G5215" i="53"/>
  <c r="G5217" i="53"/>
  <c r="G5235" i="53"/>
  <c r="G5237" i="53"/>
  <c r="B5272" i="53"/>
  <c r="D5272" i="53"/>
  <c r="G5241" i="53"/>
  <c r="G5166" i="53"/>
  <c r="G5168" i="53"/>
  <c r="G5170" i="53"/>
  <c r="G5174" i="53"/>
  <c r="G5176" i="53"/>
  <c r="D5137" i="53"/>
  <c r="G5236" i="53"/>
  <c r="B5274" i="53"/>
  <c r="G5213" i="53"/>
  <c r="G5160" i="53"/>
  <c r="G5228" i="53"/>
  <c r="G5254" i="53"/>
  <c r="G5148" i="53"/>
  <c r="G5173" i="53"/>
  <c r="G5175" i="53"/>
  <c r="B4936" i="53"/>
  <c r="B5138" i="53"/>
  <c r="G5172" i="53"/>
  <c r="G5149" i="53"/>
  <c r="G5165" i="53"/>
  <c r="G5167" i="53"/>
  <c r="B5206" i="53"/>
  <c r="G5186" i="53"/>
  <c r="B5137" i="53"/>
  <c r="B5136" i="53"/>
  <c r="B4933" i="53"/>
  <c r="G5576" i="53"/>
  <c r="D5136" i="53"/>
  <c r="G5854" i="53"/>
  <c r="G5853" i="53"/>
  <c r="G5558" i="53"/>
  <c r="G5842" i="53"/>
  <c r="G5844" i="53"/>
  <c r="G5846" i="53"/>
  <c r="G5822" i="53"/>
  <c r="G5824" i="53"/>
  <c r="G5852" i="53"/>
  <c r="G4942" i="53"/>
  <c r="G4944" i="53"/>
  <c r="G4971" i="53"/>
  <c r="G4973" i="53"/>
  <c r="D4936" i="53"/>
  <c r="B5548" i="53"/>
  <c r="G5554" i="53"/>
  <c r="G5823" i="53"/>
  <c r="G5825" i="53"/>
  <c r="G5827" i="53"/>
  <c r="G5849" i="53"/>
  <c r="G5851" i="53"/>
  <c r="G4962" i="53"/>
  <c r="G5555" i="53"/>
  <c r="G5850" i="53"/>
  <c r="G5577" i="53"/>
  <c r="G5579" i="53"/>
  <c r="G5578" i="53"/>
  <c r="G5580" i="53"/>
  <c r="G5843" i="53"/>
  <c r="G5845" i="53"/>
  <c r="G5847" i="53"/>
  <c r="G5838" i="53"/>
  <c r="D5815" i="53"/>
  <c r="B5815" i="53"/>
  <c r="G5864" i="53"/>
  <c r="G4967" i="53"/>
  <c r="G5584" i="53"/>
  <c r="D5817" i="53"/>
  <c r="B5816" i="53"/>
  <c r="D5816" i="53"/>
  <c r="G5516" i="53"/>
  <c r="G4964" i="53"/>
  <c r="G4966" i="53"/>
  <c r="G5490" i="53"/>
  <c r="B5477" i="53"/>
  <c r="G5489" i="53"/>
  <c r="G5491" i="53"/>
  <c r="G4943" i="53"/>
  <c r="G5557" i="53"/>
  <c r="G5575" i="53"/>
  <c r="G5507" i="53"/>
  <c r="G4968" i="53"/>
  <c r="G5508" i="53"/>
  <c r="G5559" i="53"/>
  <c r="G5581" i="53"/>
  <c r="G5583" i="53"/>
  <c r="G5586" i="53"/>
  <c r="G4969" i="53"/>
  <c r="G5574" i="53"/>
  <c r="G5585" i="53"/>
  <c r="G5556" i="53"/>
  <c r="G5582" i="53"/>
  <c r="B5547" i="53"/>
  <c r="G5596" i="53"/>
  <c r="G5570" i="53"/>
  <c r="G4946" i="53"/>
  <c r="G5509" i="53"/>
  <c r="G5515" i="53"/>
  <c r="G5511" i="53"/>
  <c r="G5510" i="53"/>
  <c r="G5512" i="53"/>
  <c r="G5514" i="53"/>
  <c r="G5518" i="53"/>
  <c r="G4970" i="53"/>
  <c r="G4972" i="53"/>
  <c r="G4974" i="53"/>
  <c r="B5546" i="53"/>
  <c r="G5488" i="53"/>
  <c r="G4945" i="53"/>
  <c r="G4947" i="53"/>
  <c r="G4963" i="53"/>
  <c r="G4965" i="53"/>
  <c r="D5546" i="53"/>
  <c r="G5513" i="53"/>
  <c r="B4935" i="53"/>
  <c r="D4935" i="53"/>
  <c r="G4984" i="53"/>
  <c r="G4958" i="53"/>
  <c r="G5487" i="53"/>
  <c r="G5506" i="53"/>
  <c r="G5517" i="53"/>
  <c r="G5486" i="53"/>
  <c r="B4934" i="53"/>
  <c r="D5478" i="53"/>
  <c r="B5478" i="53"/>
  <c r="G5502" i="53"/>
  <c r="G5528" i="53"/>
  <c r="D5476" i="53"/>
  <c r="B5476" i="53"/>
  <c r="G5898" i="53" l="1"/>
  <c r="G5761" i="53"/>
  <c r="G5449" i="53"/>
  <c r="G5422" i="53"/>
  <c r="G5888" i="53"/>
  <c r="G5925" i="53"/>
  <c r="G5150" i="53"/>
  <c r="G5313" i="53"/>
  <c r="G5788" i="53"/>
  <c r="G5354" i="53"/>
  <c r="G5381" i="53"/>
  <c r="G5177" i="53"/>
  <c r="G5286" i="53"/>
  <c r="G5245" i="53"/>
  <c r="G5218" i="53"/>
  <c r="G5828" i="53"/>
  <c r="G5492" i="53"/>
  <c r="G5855" i="53"/>
  <c r="G5560" i="53"/>
  <c r="G5587" i="53"/>
  <c r="G4975" i="53"/>
  <c r="G4948" i="53"/>
  <c r="G5519" i="53"/>
  <c r="G5936" i="53" l="1"/>
  <c r="G5940" i="53" s="1"/>
  <c r="G5944" i="53" s="1"/>
  <c r="G5939" i="53" l="1"/>
  <c r="G5938" i="53"/>
  <c r="J114" i="1"/>
  <c r="O114" i="1" s="1"/>
  <c r="G5942" i="53" l="1"/>
  <c r="G5946" i="53" s="1"/>
  <c r="G5879" i="53" s="1"/>
  <c r="M114" i="1"/>
  <c r="K114" i="1"/>
  <c r="L114" i="1"/>
  <c r="N114" i="1"/>
  <c r="E1047" i="53" l="1"/>
  <c r="E1115" i="53"/>
  <c r="E1120" i="53"/>
  <c r="E1121" i="53"/>
  <c r="E1118" i="53"/>
  <c r="E1119" i="53" s="1"/>
  <c r="A1121" i="53"/>
  <c r="A1119" i="53"/>
  <c r="E1052" i="53"/>
  <c r="E1053" i="53"/>
  <c r="E1050" i="53"/>
  <c r="E1051" i="53" s="1"/>
  <c r="A1053" i="53"/>
  <c r="A1051" i="53"/>
  <c r="E1813" i="53"/>
  <c r="F36" i="1"/>
  <c r="G36" i="1"/>
  <c r="I36" i="1"/>
  <c r="B65" i="1"/>
  <c r="A3395" i="53" s="1"/>
  <c r="H36" i="1"/>
  <c r="E36" i="1"/>
  <c r="A1814" i="53"/>
  <c r="E1677" i="53"/>
  <c r="E1679" i="53"/>
  <c r="E1675" i="53"/>
  <c r="E1676" i="53" s="1"/>
  <c r="A1679" i="53"/>
  <c r="D1679" i="53" s="1"/>
  <c r="A1678" i="53"/>
  <c r="B1678" i="53" s="1"/>
  <c r="A1677" i="53"/>
  <c r="D1677" i="53" s="1"/>
  <c r="A1676" i="53"/>
  <c r="A1675" i="53"/>
  <c r="A1672" i="53"/>
  <c r="B1672" i="53"/>
  <c r="F1725" i="53"/>
  <c r="G1725" i="53" s="1"/>
  <c r="D1725" i="53"/>
  <c r="B1725" i="53"/>
  <c r="F1724" i="53"/>
  <c r="G1724" i="53" s="1"/>
  <c r="D1724" i="53"/>
  <c r="B1724" i="53"/>
  <c r="F1723" i="53"/>
  <c r="G1723" i="53" s="1"/>
  <c r="D1723" i="53"/>
  <c r="B1723" i="53"/>
  <c r="F1722" i="53"/>
  <c r="G1722" i="53" s="1"/>
  <c r="D1722" i="53"/>
  <c r="B1722" i="53"/>
  <c r="F1721" i="53"/>
  <c r="G1721" i="53" s="1"/>
  <c r="D1721" i="53"/>
  <c r="B1721" i="53"/>
  <c r="F1716" i="53"/>
  <c r="E1716" i="53"/>
  <c r="D1716" i="53"/>
  <c r="B1716" i="53"/>
  <c r="F1715" i="53"/>
  <c r="E1715" i="53"/>
  <c r="D1715" i="53"/>
  <c r="B1715" i="53"/>
  <c r="F1714" i="53"/>
  <c r="E1714" i="53"/>
  <c r="D1714" i="53"/>
  <c r="B1714" i="53"/>
  <c r="F1713" i="53"/>
  <c r="E1713" i="53"/>
  <c r="D1713" i="53"/>
  <c r="B1713" i="53"/>
  <c r="F1712" i="53"/>
  <c r="E1712" i="53"/>
  <c r="D1712" i="53"/>
  <c r="B1712" i="53"/>
  <c r="F1711" i="53"/>
  <c r="E1711" i="53"/>
  <c r="D1711" i="53"/>
  <c r="B1711" i="53"/>
  <c r="F1710" i="53"/>
  <c r="E1710" i="53"/>
  <c r="D1710" i="53"/>
  <c r="B1710" i="53"/>
  <c r="F1709" i="53"/>
  <c r="E1709" i="53"/>
  <c r="D1709" i="53"/>
  <c r="B1709" i="53"/>
  <c r="F1708" i="53"/>
  <c r="E1708" i="53"/>
  <c r="D1708" i="53"/>
  <c r="B1708" i="53"/>
  <c r="F1707" i="53"/>
  <c r="E1707" i="53"/>
  <c r="D1707" i="53"/>
  <c r="B1707" i="53"/>
  <c r="F1706" i="53"/>
  <c r="E1706" i="53"/>
  <c r="D1706" i="53"/>
  <c r="B1706" i="53"/>
  <c r="F1705" i="53"/>
  <c r="E1705" i="53"/>
  <c r="D1705" i="53"/>
  <c r="B1705" i="53"/>
  <c r="F1704" i="53"/>
  <c r="E1704" i="53"/>
  <c r="D1704" i="53"/>
  <c r="B1704" i="53"/>
  <c r="F1699" i="53"/>
  <c r="G1699" i="53" s="1"/>
  <c r="B1699" i="53"/>
  <c r="F1698" i="53"/>
  <c r="G1698" i="53" s="1"/>
  <c r="B1698" i="53"/>
  <c r="F1697" i="53"/>
  <c r="G1697" i="53" s="1"/>
  <c r="B1697" i="53"/>
  <c r="F1696" i="53"/>
  <c r="G1696" i="53" s="1"/>
  <c r="B1696" i="53"/>
  <c r="F1695" i="53"/>
  <c r="G1695" i="53" s="1"/>
  <c r="B1695" i="53"/>
  <c r="F1694" i="53"/>
  <c r="G1694" i="53" s="1"/>
  <c r="B1694" i="53"/>
  <c r="F1689" i="53"/>
  <c r="E1689" i="53"/>
  <c r="D1689" i="53"/>
  <c r="B1689" i="53"/>
  <c r="F1688" i="53"/>
  <c r="E1688" i="53"/>
  <c r="D1688" i="53"/>
  <c r="B1688" i="53"/>
  <c r="F1687" i="53"/>
  <c r="E1687" i="53"/>
  <c r="D1687" i="53"/>
  <c r="B1687" i="53"/>
  <c r="F1686" i="53"/>
  <c r="E1686" i="53"/>
  <c r="D1686" i="53"/>
  <c r="B1686" i="53"/>
  <c r="F1685" i="53"/>
  <c r="E1685" i="53"/>
  <c r="D1685" i="53"/>
  <c r="B1685" i="53"/>
  <c r="F1684" i="53"/>
  <c r="E1684" i="53"/>
  <c r="D1684" i="53"/>
  <c r="B1684" i="53"/>
  <c r="E1746" i="53"/>
  <c r="E1610" i="53"/>
  <c r="A1610" i="53"/>
  <c r="E1748" i="53"/>
  <c r="A1748" i="53"/>
  <c r="E1745" i="53"/>
  <c r="A1747" i="53"/>
  <c r="A1746" i="53"/>
  <c r="A1745" i="53"/>
  <c r="A1609" i="53"/>
  <c r="C598" i="55"/>
  <c r="E1608" i="53"/>
  <c r="E1606" i="53"/>
  <c r="E1607" i="53" s="1"/>
  <c r="A1608" i="53"/>
  <c r="A1607" i="53"/>
  <c r="D1607" i="53" s="1"/>
  <c r="H28" i="1"/>
  <c r="I28" i="1"/>
  <c r="G28" i="1"/>
  <c r="E1256" i="53"/>
  <c r="E1255" i="53"/>
  <c r="E1187" i="53"/>
  <c r="E1186" i="53"/>
  <c r="F29" i="1"/>
  <c r="E29" i="1"/>
  <c r="E462" i="55"/>
  <c r="H24" i="1"/>
  <c r="H29" i="1" s="1"/>
  <c r="I24" i="1"/>
  <c r="I29" i="1" s="1"/>
  <c r="G24" i="1"/>
  <c r="G29" i="1" s="1"/>
  <c r="F24" i="1"/>
  <c r="E24" i="1"/>
  <c r="E984" i="53"/>
  <c r="E981" i="53"/>
  <c r="E983" i="53" s="1"/>
  <c r="E982" i="53"/>
  <c r="A982" i="53"/>
  <c r="A984" i="53"/>
  <c r="A983" i="53"/>
  <c r="A1536" i="53"/>
  <c r="A1535" i="53"/>
  <c r="E1535" i="53"/>
  <c r="E1536" i="53" s="1"/>
  <c r="E1397" i="53"/>
  <c r="E1398" i="53" s="1"/>
  <c r="A1397" i="53"/>
  <c r="A1398" i="53"/>
  <c r="E2151" i="53"/>
  <c r="E2152" i="53" s="1"/>
  <c r="A2152" i="53"/>
  <c r="E2082" i="53"/>
  <c r="E2083" i="53"/>
  <c r="A2083" i="53"/>
  <c r="E40" i="1"/>
  <c r="E38" i="1" s="1"/>
  <c r="F40" i="1"/>
  <c r="F38" i="1" s="1"/>
  <c r="G40" i="1"/>
  <c r="G38" i="1" s="1"/>
  <c r="H40" i="1"/>
  <c r="H38" i="1" s="1"/>
  <c r="I40" i="1"/>
  <c r="I38" i="1" s="1"/>
  <c r="C43" i="1"/>
  <c r="B2216" i="53" s="1"/>
  <c r="E43" i="1"/>
  <c r="F43" i="1"/>
  <c r="G43" i="1"/>
  <c r="H43" i="1"/>
  <c r="I43" i="1"/>
  <c r="E2016" i="53"/>
  <c r="E2015" i="53"/>
  <c r="E2014" i="53"/>
  <c r="A1948" i="53"/>
  <c r="E1947" i="53"/>
  <c r="A1946" i="53"/>
  <c r="C597" i="55"/>
  <c r="F1467" i="53" s="1"/>
  <c r="G1467" i="53" s="1"/>
  <c r="A2016" i="53"/>
  <c r="A2015" i="53"/>
  <c r="B2015" i="53" s="1"/>
  <c r="A2014" i="53"/>
  <c r="A2013" i="53"/>
  <c r="D2013" i="53" s="1"/>
  <c r="A2010" i="53"/>
  <c r="B2010" i="53"/>
  <c r="F2062" i="53"/>
  <c r="G2062" i="53" s="1"/>
  <c r="D2062" i="53"/>
  <c r="B2062" i="53"/>
  <c r="F2061" i="53"/>
  <c r="G2061" i="53" s="1"/>
  <c r="D2061" i="53"/>
  <c r="B2061" i="53"/>
  <c r="F2060" i="53"/>
  <c r="D2060" i="53"/>
  <c r="B2060" i="53"/>
  <c r="F2059" i="53"/>
  <c r="D2059" i="53"/>
  <c r="B2059" i="53"/>
  <c r="F2058" i="53"/>
  <c r="G2058" i="53" s="1"/>
  <c r="D2058" i="53"/>
  <c r="B2058" i="53"/>
  <c r="F2053" i="53"/>
  <c r="E2053" i="53"/>
  <c r="D2053" i="53"/>
  <c r="B2053" i="53"/>
  <c r="F2052" i="53"/>
  <c r="E2052" i="53"/>
  <c r="D2052" i="53"/>
  <c r="B2052" i="53"/>
  <c r="F2051" i="53"/>
  <c r="E2051" i="53"/>
  <c r="D2051" i="53"/>
  <c r="B2051" i="53"/>
  <c r="F2050" i="53"/>
  <c r="E2050" i="53"/>
  <c r="D2050" i="53"/>
  <c r="B2050" i="53"/>
  <c r="F2049" i="53"/>
  <c r="E2049" i="53"/>
  <c r="D2049" i="53"/>
  <c r="B2049" i="53"/>
  <c r="F2048" i="53"/>
  <c r="E2048" i="53"/>
  <c r="D2048" i="53"/>
  <c r="B2048" i="53"/>
  <c r="F2047" i="53"/>
  <c r="E2047" i="53"/>
  <c r="D2047" i="53"/>
  <c r="B2047" i="53"/>
  <c r="F2046" i="53"/>
  <c r="E2046" i="53"/>
  <c r="D2046" i="53"/>
  <c r="B2046" i="53"/>
  <c r="F2045" i="53"/>
  <c r="E2045" i="53"/>
  <c r="D2045" i="53"/>
  <c r="B2045" i="53"/>
  <c r="F2044" i="53"/>
  <c r="E2044" i="53"/>
  <c r="D2044" i="53"/>
  <c r="B2044" i="53"/>
  <c r="F2043" i="53"/>
  <c r="E2043" i="53"/>
  <c r="D2043" i="53"/>
  <c r="B2043" i="53"/>
  <c r="F2042" i="53"/>
  <c r="E2042" i="53"/>
  <c r="D2042" i="53"/>
  <c r="B2042" i="53"/>
  <c r="F2041" i="53"/>
  <c r="E2041" i="53"/>
  <c r="D2041" i="53"/>
  <c r="B2041" i="53"/>
  <c r="F2036" i="53"/>
  <c r="G2036" i="53" s="1"/>
  <c r="B2036" i="53"/>
  <c r="F2035" i="53"/>
  <c r="G2035" i="53" s="1"/>
  <c r="B2035" i="53"/>
  <c r="F2034" i="53"/>
  <c r="G2034" i="53" s="1"/>
  <c r="B2034" i="53"/>
  <c r="F2033" i="53"/>
  <c r="G2033" i="53" s="1"/>
  <c r="B2033" i="53"/>
  <c r="F2032" i="53"/>
  <c r="G2032" i="53" s="1"/>
  <c r="B2032" i="53"/>
  <c r="F2031" i="53"/>
  <c r="G2031" i="53" s="1"/>
  <c r="B2031" i="53"/>
  <c r="F2026" i="53"/>
  <c r="E2026" i="53"/>
  <c r="D2026" i="53"/>
  <c r="B2026" i="53"/>
  <c r="F2025" i="53"/>
  <c r="E2025" i="53"/>
  <c r="D2025" i="53"/>
  <c r="B2025" i="53"/>
  <c r="F2024" i="53"/>
  <c r="E2024" i="53"/>
  <c r="D2024" i="53"/>
  <c r="B2024" i="53"/>
  <c r="F2023" i="53"/>
  <c r="E2023" i="53"/>
  <c r="D2023" i="53"/>
  <c r="B2023" i="53"/>
  <c r="F2022" i="53"/>
  <c r="E2022" i="53"/>
  <c r="D2022" i="53"/>
  <c r="B2022" i="53"/>
  <c r="F2021" i="53"/>
  <c r="E2021" i="53"/>
  <c r="D2021" i="53"/>
  <c r="B2021" i="53"/>
  <c r="E596" i="55"/>
  <c r="C596" i="55" s="1"/>
  <c r="A8609" i="53"/>
  <c r="C595" i="55"/>
  <c r="F7042" i="53" s="1"/>
  <c r="G7042" i="53" s="1"/>
  <c r="G7046" i="53" s="1"/>
  <c r="G7094" i="53" s="1"/>
  <c r="J133" i="1" s="1"/>
  <c r="A8608" i="53"/>
  <c r="A8607" i="53"/>
  <c r="C594" i="55"/>
  <c r="C593" i="55"/>
  <c r="I155" i="1"/>
  <c r="H155" i="1"/>
  <c r="A8339" i="53"/>
  <c r="E192" i="55"/>
  <c r="B8336" i="53"/>
  <c r="A8274" i="53"/>
  <c r="C592" i="55"/>
  <c r="A8273" i="53"/>
  <c r="C591" i="55"/>
  <c r="L133" i="1" l="1"/>
  <c r="M133" i="1"/>
  <c r="N133" i="1"/>
  <c r="K133" i="1"/>
  <c r="O133" i="1"/>
  <c r="G7097" i="53"/>
  <c r="G7096" i="53"/>
  <c r="G7098" i="53"/>
  <c r="G7102" i="53" s="1"/>
  <c r="F8607" i="53"/>
  <c r="G8607" i="53" s="1"/>
  <c r="F1948" i="53"/>
  <c r="G1948" i="53" s="1"/>
  <c r="F1676" i="53"/>
  <c r="G1676" i="53" s="1"/>
  <c r="G1688" i="53"/>
  <c r="G1687" i="53"/>
  <c r="B1677" i="53"/>
  <c r="G1706" i="53"/>
  <c r="G1714" i="53"/>
  <c r="G1684" i="53"/>
  <c r="G1705" i="53"/>
  <c r="G1707" i="53"/>
  <c r="G1709" i="53"/>
  <c r="G1713" i="53"/>
  <c r="G1715" i="53"/>
  <c r="G1704" i="53"/>
  <c r="G1685" i="53"/>
  <c r="G1708" i="53"/>
  <c r="G1710" i="53"/>
  <c r="G1712" i="53"/>
  <c r="G1689" i="53"/>
  <c r="G1716" i="53"/>
  <c r="G1686" i="53"/>
  <c r="G1711" i="53"/>
  <c r="G1700" i="53"/>
  <c r="G1726" i="53"/>
  <c r="F1678" i="53"/>
  <c r="G1678" i="53" s="1"/>
  <c r="B1679" i="53"/>
  <c r="B1676" i="53"/>
  <c r="D1676" i="53"/>
  <c r="B1675" i="53"/>
  <c r="D1675" i="53"/>
  <c r="D1678" i="53"/>
  <c r="B1610" i="53"/>
  <c r="D1610" i="53"/>
  <c r="D1748" i="53"/>
  <c r="B1748" i="53"/>
  <c r="F1607" i="53"/>
  <c r="G1607" i="53" s="1"/>
  <c r="B1607" i="53"/>
  <c r="B982" i="53"/>
  <c r="D982" i="53"/>
  <c r="G2041" i="53"/>
  <c r="G2045" i="53"/>
  <c r="D2015" i="53"/>
  <c r="G2022" i="53"/>
  <c r="G2024" i="53"/>
  <c r="G2021" i="53"/>
  <c r="G2023" i="53"/>
  <c r="G2025" i="53"/>
  <c r="G2044" i="53"/>
  <c r="G2046" i="53"/>
  <c r="G2048" i="53"/>
  <c r="G2043" i="53"/>
  <c r="G2049" i="53"/>
  <c r="G2051" i="53"/>
  <c r="B1948" i="53"/>
  <c r="D1948" i="53"/>
  <c r="F2013" i="53"/>
  <c r="G2013" i="53" s="1"/>
  <c r="G2050" i="53"/>
  <c r="G2052" i="53"/>
  <c r="G2047" i="53"/>
  <c r="G2026" i="53"/>
  <c r="G2053" i="53"/>
  <c r="G2042" i="53"/>
  <c r="G2060" i="53"/>
  <c r="G2059" i="53"/>
  <c r="B2014" i="53"/>
  <c r="B2013" i="53"/>
  <c r="G2037" i="53"/>
  <c r="D2014" i="53"/>
  <c r="B2016" i="53"/>
  <c r="D2016" i="53"/>
  <c r="B8607" i="53"/>
  <c r="D8607" i="53"/>
  <c r="G7100" i="53" l="1"/>
  <c r="G7104" i="53" s="1"/>
  <c r="G7039" i="53" s="1"/>
  <c r="G1717" i="53"/>
  <c r="G1690" i="53"/>
  <c r="G2027" i="53"/>
  <c r="G2063" i="53"/>
  <c r="G2054" i="53"/>
  <c r="A8206" i="53" l="1"/>
  <c r="B8203" i="53"/>
  <c r="F8254" i="53"/>
  <c r="G8254" i="53" s="1"/>
  <c r="D8254" i="53"/>
  <c r="B8254" i="53"/>
  <c r="F8253" i="53"/>
  <c r="G8253" i="53" s="1"/>
  <c r="D8253" i="53"/>
  <c r="B8253" i="53"/>
  <c r="F8252" i="53"/>
  <c r="G8252" i="53" s="1"/>
  <c r="D8252" i="53"/>
  <c r="B8252" i="53"/>
  <c r="F8251" i="53"/>
  <c r="G8251" i="53" s="1"/>
  <c r="D8251" i="53"/>
  <c r="B8251" i="53"/>
  <c r="F8250" i="53"/>
  <c r="G8250" i="53" s="1"/>
  <c r="D8250" i="53"/>
  <c r="B8250" i="53"/>
  <c r="F8245" i="53"/>
  <c r="E8245" i="53"/>
  <c r="D8245" i="53"/>
  <c r="B8245" i="53"/>
  <c r="F8244" i="53"/>
  <c r="E8244" i="53"/>
  <c r="D8244" i="53"/>
  <c r="B8244" i="53"/>
  <c r="F8243" i="53"/>
  <c r="E8243" i="53"/>
  <c r="D8243" i="53"/>
  <c r="B8243" i="53"/>
  <c r="F8242" i="53"/>
  <c r="E8242" i="53"/>
  <c r="D8242" i="53"/>
  <c r="B8242" i="53"/>
  <c r="F8241" i="53"/>
  <c r="E8241" i="53"/>
  <c r="D8241" i="53"/>
  <c r="B8241" i="53"/>
  <c r="F8240" i="53"/>
  <c r="E8240" i="53"/>
  <c r="D8240" i="53"/>
  <c r="B8240" i="53"/>
  <c r="F8239" i="53"/>
  <c r="E8239" i="53"/>
  <c r="D8239" i="53"/>
  <c r="B8239" i="53"/>
  <c r="F8238" i="53"/>
  <c r="E8238" i="53"/>
  <c r="D8238" i="53"/>
  <c r="B8238" i="53"/>
  <c r="F8237" i="53"/>
  <c r="E8237" i="53"/>
  <c r="D8237" i="53"/>
  <c r="B8237" i="53"/>
  <c r="F8236" i="53"/>
  <c r="E8236" i="53"/>
  <c r="D8236" i="53"/>
  <c r="B8236" i="53"/>
  <c r="F8235" i="53"/>
  <c r="E8235" i="53"/>
  <c r="D8235" i="53"/>
  <c r="B8235" i="53"/>
  <c r="F8234" i="53"/>
  <c r="E8234" i="53"/>
  <c r="D8234" i="53"/>
  <c r="B8234" i="53"/>
  <c r="F8233" i="53"/>
  <c r="E8233" i="53"/>
  <c r="D8233" i="53"/>
  <c r="B8233" i="53"/>
  <c r="F8228" i="53"/>
  <c r="G8228" i="53" s="1"/>
  <c r="B8228" i="53"/>
  <c r="F8227" i="53"/>
  <c r="G8227" i="53" s="1"/>
  <c r="B8227" i="53"/>
  <c r="F8226" i="53"/>
  <c r="G8226" i="53" s="1"/>
  <c r="B8226" i="53"/>
  <c r="F8225" i="53"/>
  <c r="G8225" i="53" s="1"/>
  <c r="B8225" i="53"/>
  <c r="F8224" i="53"/>
  <c r="G8224" i="53" s="1"/>
  <c r="B8224" i="53"/>
  <c r="F8223" i="53"/>
  <c r="G8223" i="53" s="1"/>
  <c r="B8223" i="53"/>
  <c r="F8218" i="53"/>
  <c r="E8218" i="53"/>
  <c r="D8218" i="53"/>
  <c r="B8218" i="53"/>
  <c r="F8217" i="53"/>
  <c r="E8217" i="53"/>
  <c r="D8217" i="53"/>
  <c r="B8217" i="53"/>
  <c r="F8216" i="53"/>
  <c r="E8216" i="53"/>
  <c r="D8216" i="53"/>
  <c r="B8216" i="53"/>
  <c r="F8215" i="53"/>
  <c r="E8215" i="53"/>
  <c r="D8215" i="53"/>
  <c r="B8215" i="53"/>
  <c r="F8214" i="53"/>
  <c r="E8214" i="53"/>
  <c r="D8214" i="53"/>
  <c r="B8214" i="53"/>
  <c r="F8213" i="53"/>
  <c r="E8213" i="53"/>
  <c r="D8213" i="53"/>
  <c r="B8213" i="53"/>
  <c r="F8208" i="53"/>
  <c r="G8208" i="53" s="1"/>
  <c r="D8208" i="53"/>
  <c r="B8208" i="53"/>
  <c r="F8207" i="53"/>
  <c r="G8207" i="53" s="1"/>
  <c r="D8207" i="53"/>
  <c r="B8207" i="53"/>
  <c r="A7931" i="53"/>
  <c r="E590" i="55"/>
  <c r="C590" i="55" s="1"/>
  <c r="A8473" i="53"/>
  <c r="F8206" i="53" l="1"/>
  <c r="G8206" i="53" s="1"/>
  <c r="G8209" i="53" s="1"/>
  <c r="G8235" i="53"/>
  <c r="G8239" i="53"/>
  <c r="G8234" i="53"/>
  <c r="B8206" i="53"/>
  <c r="D8206" i="53"/>
  <c r="G8217" i="53"/>
  <c r="G8214" i="53"/>
  <c r="G8216" i="53"/>
  <c r="G8218" i="53"/>
  <c r="G8243" i="53"/>
  <c r="G8238" i="53"/>
  <c r="G8242" i="53"/>
  <c r="G8245" i="53"/>
  <c r="G8241" i="53"/>
  <c r="G8215" i="53"/>
  <c r="G8255" i="53"/>
  <c r="G8236" i="53"/>
  <c r="G8233" i="53"/>
  <c r="G8240" i="53"/>
  <c r="G8213" i="53"/>
  <c r="G8244" i="53"/>
  <c r="G8237" i="53"/>
  <c r="G8229" i="53"/>
  <c r="I160" i="1"/>
  <c r="H159" i="1"/>
  <c r="I159" i="1"/>
  <c r="H149" i="1"/>
  <c r="H148" i="1"/>
  <c r="G148" i="1"/>
  <c r="I148" i="1"/>
  <c r="H147" i="1"/>
  <c r="I147" i="1"/>
  <c r="I145" i="1"/>
  <c r="H145" i="1"/>
  <c r="F150" i="1"/>
  <c r="F155" i="1" s="1"/>
  <c r="E150" i="1"/>
  <c r="E155" i="1" s="1"/>
  <c r="F151" i="1"/>
  <c r="E151" i="1"/>
  <c r="I157" i="1"/>
  <c r="H157" i="1"/>
  <c r="G157" i="1"/>
  <c r="F157" i="1"/>
  <c r="E157" i="1"/>
  <c r="A8071" i="53"/>
  <c r="C589" i="55"/>
  <c r="F8141" i="53" s="1"/>
  <c r="G8141" i="53" s="1"/>
  <c r="A8070" i="53"/>
  <c r="A8069" i="53"/>
  <c r="C588" i="55"/>
  <c r="F8139" i="53" s="1"/>
  <c r="G8139" i="53" s="1"/>
  <c r="A8068" i="53"/>
  <c r="A8067" i="53"/>
  <c r="A8066" i="53"/>
  <c r="A8406" i="53"/>
  <c r="A8405" i="53"/>
  <c r="A8404" i="53"/>
  <c r="A5003" i="53"/>
  <c r="A5002" i="53"/>
  <c r="A7730" i="53"/>
  <c r="A7731" i="53"/>
  <c r="A7729" i="53"/>
  <c r="A7728" i="53"/>
  <c r="E7999" i="53"/>
  <c r="A8000" i="53"/>
  <c r="C587" i="55"/>
  <c r="A7999" i="53"/>
  <c r="A7998" i="53"/>
  <c r="B6" i="1"/>
  <c r="A577" i="53"/>
  <c r="A576" i="53"/>
  <c r="A575" i="53"/>
  <c r="B575" i="53" s="1"/>
  <c r="A574" i="53"/>
  <c r="D574" i="53" s="1"/>
  <c r="A573" i="53"/>
  <c r="A572" i="53"/>
  <c r="B572" i="53" s="1"/>
  <c r="A571" i="53"/>
  <c r="D571" i="53" s="1"/>
  <c r="B568" i="53"/>
  <c r="F624" i="53"/>
  <c r="G624" i="53" s="1"/>
  <c r="D624" i="53"/>
  <c r="B624" i="53"/>
  <c r="F623" i="53"/>
  <c r="G623" i="53" s="1"/>
  <c r="D623" i="53"/>
  <c r="B623" i="53"/>
  <c r="F622" i="53"/>
  <c r="G622" i="53" s="1"/>
  <c r="D622" i="53"/>
  <c r="B622" i="53"/>
  <c r="F621" i="53"/>
  <c r="G621" i="53" s="1"/>
  <c r="D621" i="53"/>
  <c r="B621" i="53"/>
  <c r="F620" i="53"/>
  <c r="G620" i="53" s="1"/>
  <c r="D620" i="53"/>
  <c r="B620" i="53"/>
  <c r="F615" i="53"/>
  <c r="E615" i="53"/>
  <c r="D615" i="53"/>
  <c r="B615" i="53"/>
  <c r="F614" i="53"/>
  <c r="E614" i="53"/>
  <c r="D614" i="53"/>
  <c r="B614" i="53"/>
  <c r="F613" i="53"/>
  <c r="E613" i="53"/>
  <c r="D613" i="53"/>
  <c r="B613" i="53"/>
  <c r="F612" i="53"/>
  <c r="E612" i="53"/>
  <c r="D612" i="53"/>
  <c r="B612" i="53"/>
  <c r="F611" i="53"/>
  <c r="E611" i="53"/>
  <c r="D611" i="53"/>
  <c r="B611" i="53"/>
  <c r="F610" i="53"/>
  <c r="E610" i="53"/>
  <c r="D610" i="53"/>
  <c r="B610" i="53"/>
  <c r="F609" i="53"/>
  <c r="E609" i="53"/>
  <c r="D609" i="53"/>
  <c r="B609" i="53"/>
  <c r="F608" i="53"/>
  <c r="E608" i="53"/>
  <c r="D608" i="53"/>
  <c r="B608" i="53"/>
  <c r="F607" i="53"/>
  <c r="E607" i="53"/>
  <c r="D607" i="53"/>
  <c r="B607" i="53"/>
  <c r="F606" i="53"/>
  <c r="E606" i="53"/>
  <c r="D606" i="53"/>
  <c r="B606" i="53"/>
  <c r="F605" i="53"/>
  <c r="E605" i="53"/>
  <c r="D605" i="53"/>
  <c r="B605" i="53"/>
  <c r="F604" i="53"/>
  <c r="E604" i="53"/>
  <c r="D604" i="53"/>
  <c r="B604" i="53"/>
  <c r="F603" i="53"/>
  <c r="E603" i="53"/>
  <c r="D603" i="53"/>
  <c r="B603" i="53"/>
  <c r="F598" i="53"/>
  <c r="G598" i="53" s="1"/>
  <c r="B598" i="53"/>
  <c r="F597" i="53"/>
  <c r="G597" i="53" s="1"/>
  <c r="B597" i="53"/>
  <c r="F596" i="53"/>
  <c r="G596" i="53" s="1"/>
  <c r="B596" i="53"/>
  <c r="F595" i="53"/>
  <c r="G595" i="53" s="1"/>
  <c r="B595" i="53"/>
  <c r="F594" i="53"/>
  <c r="G594" i="53" s="1"/>
  <c r="B594" i="53"/>
  <c r="F593" i="53"/>
  <c r="G593" i="53" s="1"/>
  <c r="B593" i="53"/>
  <c r="F592" i="53"/>
  <c r="G592" i="53" s="1"/>
  <c r="B592" i="53"/>
  <c r="F587" i="53"/>
  <c r="E587" i="53"/>
  <c r="D587" i="53"/>
  <c r="B587" i="53"/>
  <c r="F586" i="53"/>
  <c r="E586" i="53"/>
  <c r="D586" i="53"/>
  <c r="B586" i="53"/>
  <c r="F585" i="53"/>
  <c r="E585" i="53"/>
  <c r="D585" i="53"/>
  <c r="B585" i="53"/>
  <c r="F584" i="53"/>
  <c r="E584" i="53"/>
  <c r="D584" i="53"/>
  <c r="B584" i="53"/>
  <c r="F583" i="53"/>
  <c r="E583" i="53"/>
  <c r="D583" i="53"/>
  <c r="B583" i="53"/>
  <c r="F582" i="53"/>
  <c r="E582" i="53"/>
  <c r="D582" i="53"/>
  <c r="B582" i="53"/>
  <c r="A491" i="53"/>
  <c r="B491" i="53" s="1"/>
  <c r="F7866" i="53" l="1"/>
  <c r="G7866" i="53" s="1"/>
  <c r="F8138" i="53"/>
  <c r="G8138" i="53" s="1"/>
  <c r="F7798" i="53"/>
  <c r="G7798" i="53" s="1"/>
  <c r="F8069" i="53"/>
  <c r="G8069" i="53" s="1"/>
  <c r="F5750" i="53"/>
  <c r="G5750" i="53" s="1"/>
  <c r="F5342" i="53"/>
  <c r="G5342" i="53" s="1"/>
  <c r="F5410" i="53"/>
  <c r="G5410" i="53" s="1"/>
  <c r="F5138" i="53"/>
  <c r="G5138" i="53" s="1"/>
  <c r="F5274" i="53"/>
  <c r="G5274" i="53" s="1"/>
  <c r="F5206" i="53"/>
  <c r="G5206" i="53" s="1"/>
  <c r="F5817" i="53"/>
  <c r="G5817" i="53" s="1"/>
  <c r="F5548" i="53"/>
  <c r="G5548" i="53" s="1"/>
  <c r="F2016" i="53"/>
  <c r="G2016" i="53" s="1"/>
  <c r="F5478" i="53"/>
  <c r="G5478" i="53" s="1"/>
  <c r="F4935" i="53"/>
  <c r="G4935" i="53" s="1"/>
  <c r="F8071" i="53"/>
  <c r="G8071" i="53" s="1"/>
  <c r="G8219" i="53"/>
  <c r="G8246" i="53"/>
  <c r="E160" i="1"/>
  <c r="F160" i="1"/>
  <c r="E145" i="1"/>
  <c r="F145" i="1"/>
  <c r="E154" i="1"/>
  <c r="F154" i="1"/>
  <c r="H160" i="1"/>
  <c r="E159" i="1"/>
  <c r="F159" i="1"/>
  <c r="G584" i="53"/>
  <c r="B8071" i="53"/>
  <c r="D8071" i="53"/>
  <c r="B8070" i="53"/>
  <c r="D8070" i="53"/>
  <c r="B8069" i="53"/>
  <c r="D8069" i="53"/>
  <c r="G604" i="53"/>
  <c r="G608" i="53"/>
  <c r="G612" i="53"/>
  <c r="G603" i="53"/>
  <c r="G605" i="53"/>
  <c r="G607" i="53"/>
  <c r="G613" i="53"/>
  <c r="G615" i="53"/>
  <c r="G606" i="53"/>
  <c r="G587" i="53"/>
  <c r="G614" i="53"/>
  <c r="G625" i="53"/>
  <c r="G583" i="53"/>
  <c r="G609" i="53"/>
  <c r="G611" i="53"/>
  <c r="G585" i="53"/>
  <c r="G582" i="53"/>
  <c r="G610" i="53"/>
  <c r="G586" i="53"/>
  <c r="D575" i="53"/>
  <c r="B576" i="53"/>
  <c r="D576" i="53"/>
  <c r="D572" i="53"/>
  <c r="G599" i="53"/>
  <c r="B577" i="53"/>
  <c r="B571" i="53"/>
  <c r="B574" i="53"/>
  <c r="D577" i="53"/>
  <c r="B573" i="53"/>
  <c r="D573" i="53"/>
  <c r="D491" i="53"/>
  <c r="G8257" i="53" l="1"/>
  <c r="J153" i="1" s="1"/>
  <c r="G588" i="53"/>
  <c r="G616" i="53"/>
  <c r="G8259" i="53" l="1"/>
  <c r="G8261" i="53"/>
  <c r="G8265" i="53" s="1"/>
  <c r="G8260" i="53"/>
  <c r="N153" i="1"/>
  <c r="L153" i="1"/>
  <c r="M153" i="1"/>
  <c r="K153" i="1"/>
  <c r="O153" i="1"/>
  <c r="C586" i="55"/>
  <c r="I20" i="1"/>
  <c r="G20" i="1"/>
  <c r="G21" i="1"/>
  <c r="E20" i="1"/>
  <c r="H20" i="1"/>
  <c r="C585" i="55"/>
  <c r="C584" i="55"/>
  <c r="F2219" i="53" s="1"/>
  <c r="G2219" i="53" s="1"/>
  <c r="G2223" i="53" s="1"/>
  <c r="G2271" i="53" s="1"/>
  <c r="G19" i="1"/>
  <c r="F826" i="53"/>
  <c r="G826" i="53" s="1"/>
  <c r="D826" i="53"/>
  <c r="B826" i="53"/>
  <c r="Q28" i="54"/>
  <c r="Q27" i="54"/>
  <c r="A777" i="53"/>
  <c r="A776" i="53"/>
  <c r="C583" i="55"/>
  <c r="Q26" i="54"/>
  <c r="A348" i="53"/>
  <c r="C582" i="55"/>
  <c r="Q5" i="54"/>
  <c r="Q6" i="54"/>
  <c r="G2273" i="53" l="1"/>
  <c r="G2274" i="53"/>
  <c r="G2275" i="53"/>
  <c r="G2279" i="53" s="1"/>
  <c r="G8263" i="53"/>
  <c r="G8267" i="53" s="1"/>
  <c r="G8203" i="53" s="1"/>
  <c r="G2277" i="53" l="1"/>
  <c r="G2281" i="53" s="1"/>
  <c r="G2216" i="53" s="1"/>
  <c r="J43" i="1"/>
  <c r="N43" i="1" l="1"/>
  <c r="L43" i="1"/>
  <c r="O43" i="1"/>
  <c r="M43" i="1"/>
  <c r="K43" i="1"/>
  <c r="F329" i="53" l="1"/>
  <c r="G329" i="53" s="1"/>
  <c r="A279" i="53"/>
  <c r="A276" i="53"/>
  <c r="B276" i="53"/>
  <c r="D329" i="53"/>
  <c r="B329" i="53"/>
  <c r="F328" i="53"/>
  <c r="G328" i="53" s="1"/>
  <c r="D328" i="53"/>
  <c r="B328" i="53"/>
  <c r="F327" i="53"/>
  <c r="G327" i="53" s="1"/>
  <c r="D327" i="53"/>
  <c r="B327" i="53"/>
  <c r="F326" i="53"/>
  <c r="G326" i="53" s="1"/>
  <c r="D326" i="53"/>
  <c r="B326" i="53"/>
  <c r="F325" i="53"/>
  <c r="G325" i="53" s="1"/>
  <c r="D325" i="53"/>
  <c r="B325" i="53"/>
  <c r="F320" i="53"/>
  <c r="E320" i="53"/>
  <c r="D320" i="53"/>
  <c r="B320" i="53"/>
  <c r="F319" i="53"/>
  <c r="E319" i="53"/>
  <c r="D319" i="53"/>
  <c r="B319" i="53"/>
  <c r="F318" i="53"/>
  <c r="E318" i="53"/>
  <c r="D318" i="53"/>
  <c r="B318" i="53"/>
  <c r="F317" i="53"/>
  <c r="E317" i="53"/>
  <c r="D317" i="53"/>
  <c r="B317" i="53"/>
  <c r="F316" i="53"/>
  <c r="E316" i="53"/>
  <c r="D316" i="53"/>
  <c r="B316" i="53"/>
  <c r="F315" i="53"/>
  <c r="E315" i="53"/>
  <c r="D315" i="53"/>
  <c r="B315" i="53"/>
  <c r="F314" i="53"/>
  <c r="E314" i="53"/>
  <c r="D314" i="53"/>
  <c r="B314" i="53"/>
  <c r="F313" i="53"/>
  <c r="E313" i="53"/>
  <c r="D313" i="53"/>
  <c r="B313" i="53"/>
  <c r="F312" i="53"/>
  <c r="E312" i="53"/>
  <c r="D312" i="53"/>
  <c r="B312" i="53"/>
  <c r="F311" i="53"/>
  <c r="E311" i="53"/>
  <c r="D311" i="53"/>
  <c r="B311" i="53"/>
  <c r="F310" i="53"/>
  <c r="E310" i="53"/>
  <c r="D310" i="53"/>
  <c r="B310" i="53"/>
  <c r="F309" i="53"/>
  <c r="E309" i="53"/>
  <c r="D309" i="53"/>
  <c r="B309" i="53"/>
  <c r="F308" i="53"/>
  <c r="E308" i="53"/>
  <c r="D308" i="53"/>
  <c r="B308" i="53"/>
  <c r="F303" i="53"/>
  <c r="G303" i="53" s="1"/>
  <c r="B303" i="53"/>
  <c r="F302" i="53"/>
  <c r="G302" i="53" s="1"/>
  <c r="B302" i="53"/>
  <c r="F301" i="53"/>
  <c r="G301" i="53" s="1"/>
  <c r="B301" i="53"/>
  <c r="F300" i="53"/>
  <c r="G300" i="53" s="1"/>
  <c r="B300" i="53"/>
  <c r="F299" i="53"/>
  <c r="G299" i="53" s="1"/>
  <c r="B299" i="53"/>
  <c r="F298" i="53"/>
  <c r="G298" i="53" s="1"/>
  <c r="B298" i="53"/>
  <c r="F293" i="53"/>
  <c r="E293" i="53"/>
  <c r="D293" i="53"/>
  <c r="B293" i="53"/>
  <c r="F292" i="53"/>
  <c r="E292" i="53"/>
  <c r="D292" i="53"/>
  <c r="B292" i="53"/>
  <c r="F291" i="53"/>
  <c r="E291" i="53"/>
  <c r="D291" i="53"/>
  <c r="B291" i="53"/>
  <c r="F290" i="53"/>
  <c r="E290" i="53"/>
  <c r="D290" i="53"/>
  <c r="B290" i="53"/>
  <c r="F289" i="53"/>
  <c r="E289" i="53"/>
  <c r="D289" i="53"/>
  <c r="B289" i="53"/>
  <c r="F288" i="53"/>
  <c r="E288" i="53"/>
  <c r="D288" i="53"/>
  <c r="B288" i="53"/>
  <c r="F282" i="53"/>
  <c r="G282" i="53" s="1"/>
  <c r="D282" i="53"/>
  <c r="B282" i="53"/>
  <c r="F281" i="53"/>
  <c r="G281" i="53" s="1"/>
  <c r="D281" i="53"/>
  <c r="B281" i="53"/>
  <c r="F280" i="53"/>
  <c r="G280" i="53" s="1"/>
  <c r="D280" i="53"/>
  <c r="B280" i="53"/>
  <c r="C581" i="55"/>
  <c r="F11" i="1"/>
  <c r="H11" i="1"/>
  <c r="I11" i="1"/>
  <c r="A207" i="53"/>
  <c r="B207" i="53"/>
  <c r="F260" i="53"/>
  <c r="G260" i="53" s="1"/>
  <c r="D260" i="53"/>
  <c r="B260" i="53"/>
  <c r="F259" i="53"/>
  <c r="G259" i="53" s="1"/>
  <c r="D259" i="53"/>
  <c r="B259" i="53"/>
  <c r="F258" i="53"/>
  <c r="G258" i="53" s="1"/>
  <c r="D258" i="53"/>
  <c r="B258" i="53"/>
  <c r="F257" i="53"/>
  <c r="G257" i="53" s="1"/>
  <c r="D257" i="53"/>
  <c r="B257" i="53"/>
  <c r="F256" i="53"/>
  <c r="G256" i="53" s="1"/>
  <c r="D256" i="53"/>
  <c r="B256" i="53"/>
  <c r="F251" i="53"/>
  <c r="E251" i="53"/>
  <c r="D251" i="53"/>
  <c r="B251" i="53"/>
  <c r="F250" i="53"/>
  <c r="E250" i="53"/>
  <c r="D250" i="53"/>
  <c r="B250" i="53"/>
  <c r="F249" i="53"/>
  <c r="E249" i="53"/>
  <c r="D249" i="53"/>
  <c r="B249" i="53"/>
  <c r="F248" i="53"/>
  <c r="E248" i="53"/>
  <c r="D248" i="53"/>
  <c r="B248" i="53"/>
  <c r="F247" i="53"/>
  <c r="E247" i="53"/>
  <c r="D247" i="53"/>
  <c r="B247" i="53"/>
  <c r="F246" i="53"/>
  <c r="E246" i="53"/>
  <c r="D246" i="53"/>
  <c r="B246" i="53"/>
  <c r="F245" i="53"/>
  <c r="E245" i="53"/>
  <c r="D245" i="53"/>
  <c r="B245" i="53"/>
  <c r="F244" i="53"/>
  <c r="E244" i="53"/>
  <c r="D244" i="53"/>
  <c r="B244" i="53"/>
  <c r="F243" i="53"/>
  <c r="E243" i="53"/>
  <c r="D243" i="53"/>
  <c r="B243" i="53"/>
  <c r="F242" i="53"/>
  <c r="E242" i="53"/>
  <c r="D242" i="53"/>
  <c r="B242" i="53"/>
  <c r="F241" i="53"/>
  <c r="E241" i="53"/>
  <c r="D241" i="53"/>
  <c r="B241" i="53"/>
  <c r="F240" i="53"/>
  <c r="E240" i="53"/>
  <c r="D240" i="53"/>
  <c r="B240" i="53"/>
  <c r="F239" i="53"/>
  <c r="E239" i="53"/>
  <c r="D239" i="53"/>
  <c r="B239" i="53"/>
  <c r="F234" i="53"/>
  <c r="G234" i="53" s="1"/>
  <c r="B234" i="53"/>
  <c r="F233" i="53"/>
  <c r="G233" i="53" s="1"/>
  <c r="B233" i="53"/>
  <c r="F232" i="53"/>
  <c r="G232" i="53" s="1"/>
  <c r="B232" i="53"/>
  <c r="F231" i="53"/>
  <c r="G231" i="53" s="1"/>
  <c r="B231" i="53"/>
  <c r="F230" i="53"/>
  <c r="G230" i="53" s="1"/>
  <c r="B230" i="53"/>
  <c r="F229" i="53"/>
  <c r="G229" i="53" s="1"/>
  <c r="B229" i="53"/>
  <c r="F224" i="53"/>
  <c r="E224" i="53"/>
  <c r="D224" i="53"/>
  <c r="B224" i="53"/>
  <c r="F223" i="53"/>
  <c r="E223" i="53"/>
  <c r="D223" i="53"/>
  <c r="B223" i="53"/>
  <c r="F222" i="53"/>
  <c r="E222" i="53"/>
  <c r="D222" i="53"/>
  <c r="B222" i="53"/>
  <c r="F221" i="53"/>
  <c r="E221" i="53"/>
  <c r="D221" i="53"/>
  <c r="B221" i="53"/>
  <c r="F220" i="53"/>
  <c r="E220" i="53"/>
  <c r="D220" i="53"/>
  <c r="B220" i="53"/>
  <c r="F219" i="53"/>
  <c r="E219" i="53"/>
  <c r="D219" i="53"/>
  <c r="B219" i="53"/>
  <c r="F213" i="53"/>
  <c r="G213" i="53" s="1"/>
  <c r="D213" i="53"/>
  <c r="B213" i="53"/>
  <c r="F212" i="53"/>
  <c r="G212" i="53" s="1"/>
  <c r="D212" i="53"/>
  <c r="B212" i="53"/>
  <c r="F211" i="53"/>
  <c r="G211" i="53" s="1"/>
  <c r="D211" i="53"/>
  <c r="B211" i="53"/>
  <c r="A210" i="53"/>
  <c r="F210" i="53" s="1"/>
  <c r="G210" i="53" s="1"/>
  <c r="F7" i="1"/>
  <c r="F9" i="1" s="1"/>
  <c r="H7" i="1"/>
  <c r="H9" i="1" s="1"/>
  <c r="I7" i="1"/>
  <c r="I9" i="1" s="1"/>
  <c r="A67" i="53"/>
  <c r="B67" i="53"/>
  <c r="F122" i="53"/>
  <c r="G122" i="53" s="1"/>
  <c r="D122" i="53"/>
  <c r="B122" i="53"/>
  <c r="F121" i="53"/>
  <c r="G121" i="53" s="1"/>
  <c r="D121" i="53"/>
  <c r="B121" i="53"/>
  <c r="F120" i="53"/>
  <c r="G120" i="53" s="1"/>
  <c r="D120" i="53"/>
  <c r="B120" i="53"/>
  <c r="F119" i="53"/>
  <c r="G119" i="53" s="1"/>
  <c r="D119" i="53"/>
  <c r="B119" i="53"/>
  <c r="F118" i="53"/>
  <c r="G118" i="53" s="1"/>
  <c r="D118" i="53"/>
  <c r="B118" i="53"/>
  <c r="F113" i="53"/>
  <c r="E113" i="53"/>
  <c r="D113" i="53"/>
  <c r="B113" i="53"/>
  <c r="F112" i="53"/>
  <c r="E112" i="53"/>
  <c r="D112" i="53"/>
  <c r="B112" i="53"/>
  <c r="F111" i="53"/>
  <c r="E111" i="53"/>
  <c r="D111" i="53"/>
  <c r="B111" i="53"/>
  <c r="F110" i="53"/>
  <c r="E110" i="53"/>
  <c r="D110" i="53"/>
  <c r="B110" i="53"/>
  <c r="F109" i="53"/>
  <c r="E109" i="53"/>
  <c r="D109" i="53"/>
  <c r="B109" i="53"/>
  <c r="F108" i="53"/>
  <c r="E108" i="53"/>
  <c r="D108" i="53"/>
  <c r="B108" i="53"/>
  <c r="F107" i="53"/>
  <c r="E107" i="53"/>
  <c r="D107" i="53"/>
  <c r="B107" i="53"/>
  <c r="F106" i="53"/>
  <c r="E106" i="53"/>
  <c r="D106" i="53"/>
  <c r="B106" i="53"/>
  <c r="F105" i="53"/>
  <c r="E105" i="53"/>
  <c r="D105" i="53"/>
  <c r="B105" i="53"/>
  <c r="F104" i="53"/>
  <c r="E104" i="53"/>
  <c r="D104" i="53"/>
  <c r="B104" i="53"/>
  <c r="F103" i="53"/>
  <c r="E103" i="53"/>
  <c r="D103" i="53"/>
  <c r="B103" i="53"/>
  <c r="F102" i="53"/>
  <c r="E102" i="53"/>
  <c r="D102" i="53"/>
  <c r="B102" i="53"/>
  <c r="F101" i="53"/>
  <c r="E101" i="53"/>
  <c r="D101" i="53"/>
  <c r="B101" i="53"/>
  <c r="F96" i="53"/>
  <c r="G96" i="53" s="1"/>
  <c r="B96" i="53"/>
  <c r="F95" i="53"/>
  <c r="G95" i="53" s="1"/>
  <c r="B95" i="53"/>
  <c r="F94" i="53"/>
  <c r="G94" i="53" s="1"/>
  <c r="B94" i="53"/>
  <c r="F93" i="53"/>
  <c r="G93" i="53" s="1"/>
  <c r="B93" i="53"/>
  <c r="F92" i="53"/>
  <c r="G92" i="53" s="1"/>
  <c r="B92" i="53"/>
  <c r="F91" i="53"/>
  <c r="G91" i="53" s="1"/>
  <c r="B91" i="53"/>
  <c r="F86" i="53"/>
  <c r="E86" i="53"/>
  <c r="D86" i="53"/>
  <c r="B86" i="53"/>
  <c r="F85" i="53"/>
  <c r="E85" i="53"/>
  <c r="D85" i="53"/>
  <c r="B85" i="53"/>
  <c r="F84" i="53"/>
  <c r="E84" i="53"/>
  <c r="D84" i="53"/>
  <c r="B84" i="53"/>
  <c r="F83" i="53"/>
  <c r="E83" i="53"/>
  <c r="D83" i="53"/>
  <c r="B83" i="53"/>
  <c r="F82" i="53"/>
  <c r="E82" i="53"/>
  <c r="D82" i="53"/>
  <c r="B82" i="53"/>
  <c r="F81" i="53"/>
  <c r="E81" i="53"/>
  <c r="D81" i="53"/>
  <c r="B81" i="53"/>
  <c r="F73" i="53"/>
  <c r="G73" i="53" s="1"/>
  <c r="D73" i="53"/>
  <c r="B73" i="53"/>
  <c r="F72" i="53"/>
  <c r="G72" i="53" s="1"/>
  <c r="D72" i="53"/>
  <c r="B72" i="53"/>
  <c r="F71" i="53"/>
  <c r="G71" i="53" s="1"/>
  <c r="D71" i="53"/>
  <c r="B71" i="53"/>
  <c r="A70" i="53"/>
  <c r="D70" i="53" s="1"/>
  <c r="A5" i="53"/>
  <c r="C580" i="55"/>
  <c r="A2" i="53"/>
  <c r="B2" i="53"/>
  <c r="F51" i="53"/>
  <c r="G51" i="53" s="1"/>
  <c r="D51" i="53"/>
  <c r="B51" i="53"/>
  <c r="F50" i="53"/>
  <c r="G50" i="53" s="1"/>
  <c r="D50" i="53"/>
  <c r="B50" i="53"/>
  <c r="F49" i="53"/>
  <c r="G49" i="53" s="1"/>
  <c r="D49" i="53"/>
  <c r="B49" i="53"/>
  <c r="F48" i="53"/>
  <c r="G48" i="53" s="1"/>
  <c r="D48" i="53"/>
  <c r="B48" i="53"/>
  <c r="F47" i="53"/>
  <c r="G47" i="53" s="1"/>
  <c r="D47" i="53"/>
  <c r="B47" i="53"/>
  <c r="F42" i="53"/>
  <c r="E42" i="53"/>
  <c r="D42" i="53"/>
  <c r="B42" i="53"/>
  <c r="F41" i="53"/>
  <c r="E41" i="53"/>
  <c r="D41" i="53"/>
  <c r="B41" i="53"/>
  <c r="F40" i="53"/>
  <c r="E40" i="53"/>
  <c r="D40" i="53"/>
  <c r="B40" i="53"/>
  <c r="F39" i="53"/>
  <c r="E39" i="53"/>
  <c r="D39" i="53"/>
  <c r="B39" i="53"/>
  <c r="F38" i="53"/>
  <c r="E38" i="53"/>
  <c r="D38" i="53"/>
  <c r="B38" i="53"/>
  <c r="F37" i="53"/>
  <c r="E37" i="53"/>
  <c r="D37" i="53"/>
  <c r="B37" i="53"/>
  <c r="F36" i="53"/>
  <c r="E36" i="53"/>
  <c r="D36" i="53"/>
  <c r="B36" i="53"/>
  <c r="F35" i="53"/>
  <c r="E35" i="53"/>
  <c r="D35" i="53"/>
  <c r="B35" i="53"/>
  <c r="F34" i="53"/>
  <c r="E34" i="53"/>
  <c r="D34" i="53"/>
  <c r="B34" i="53"/>
  <c r="F33" i="53"/>
  <c r="E33" i="53"/>
  <c r="D33" i="53"/>
  <c r="B33" i="53"/>
  <c r="F32" i="53"/>
  <c r="E32" i="53"/>
  <c r="D32" i="53"/>
  <c r="B32" i="53"/>
  <c r="F31" i="53"/>
  <c r="E31" i="53"/>
  <c r="D31" i="53"/>
  <c r="B31" i="53"/>
  <c r="F30" i="53"/>
  <c r="E30" i="53"/>
  <c r="D30" i="53"/>
  <c r="B30" i="53"/>
  <c r="F25" i="53"/>
  <c r="G25" i="53" s="1"/>
  <c r="B25" i="53"/>
  <c r="F24" i="53"/>
  <c r="G24" i="53" s="1"/>
  <c r="B24" i="53"/>
  <c r="F23" i="53"/>
  <c r="G23" i="53" s="1"/>
  <c r="B23" i="53"/>
  <c r="F22" i="53"/>
  <c r="G22" i="53" s="1"/>
  <c r="B22" i="53"/>
  <c r="F21" i="53"/>
  <c r="G21" i="53" s="1"/>
  <c r="B21" i="53"/>
  <c r="F20" i="53"/>
  <c r="G20" i="53" s="1"/>
  <c r="B20" i="53"/>
  <c r="F15" i="53"/>
  <c r="E15" i="53"/>
  <c r="D15" i="53"/>
  <c r="B15" i="53"/>
  <c r="F14" i="53"/>
  <c r="E14" i="53"/>
  <c r="D14" i="53"/>
  <c r="B14" i="53"/>
  <c r="F13" i="53"/>
  <c r="E13" i="53"/>
  <c r="D13" i="53"/>
  <c r="B13" i="53"/>
  <c r="F12" i="53"/>
  <c r="E12" i="53"/>
  <c r="D12" i="53"/>
  <c r="B12" i="53"/>
  <c r="F11" i="53"/>
  <c r="E11" i="53"/>
  <c r="D11" i="53"/>
  <c r="B11" i="53"/>
  <c r="F10" i="53"/>
  <c r="E10" i="53"/>
  <c r="D10" i="53"/>
  <c r="B10" i="53"/>
  <c r="F279" i="53" l="1"/>
  <c r="G279" i="53" s="1"/>
  <c r="G284" i="53" s="1"/>
  <c r="G14" i="53"/>
  <c r="F5" i="53"/>
  <c r="G5" i="53" s="1"/>
  <c r="G6" i="53" s="1"/>
  <c r="G308" i="53"/>
  <c r="G245" i="53"/>
  <c r="G290" i="53"/>
  <c r="G289" i="53"/>
  <c r="G318" i="53"/>
  <c r="G240" i="53"/>
  <c r="G220" i="53"/>
  <c r="G310" i="53"/>
  <c r="G312" i="53"/>
  <c r="G314" i="53"/>
  <c r="G111" i="53"/>
  <c r="G288" i="53"/>
  <c r="G316" i="53"/>
  <c r="G219" i="53"/>
  <c r="G221" i="53"/>
  <c r="G223" i="53"/>
  <c r="G292" i="53"/>
  <c r="G247" i="53"/>
  <c r="G249" i="53"/>
  <c r="G293" i="53"/>
  <c r="G311" i="53"/>
  <c r="G313" i="53"/>
  <c r="G315" i="53"/>
  <c r="G84" i="53"/>
  <c r="B210" i="53"/>
  <c r="G319" i="53"/>
  <c r="D210" i="53"/>
  <c r="G113" i="53"/>
  <c r="G246" i="53"/>
  <c r="G248" i="53"/>
  <c r="G320" i="53"/>
  <c r="G81" i="53"/>
  <c r="G291" i="53"/>
  <c r="B279" i="53"/>
  <c r="G317" i="53"/>
  <c r="G309" i="53"/>
  <c r="D279" i="53"/>
  <c r="G304" i="53"/>
  <c r="G330" i="53"/>
  <c r="G224" i="53"/>
  <c r="G250" i="53"/>
  <c r="G239" i="53"/>
  <c r="G241" i="53"/>
  <c r="G85" i="53"/>
  <c r="G251" i="53"/>
  <c r="B70" i="53"/>
  <c r="G222" i="53"/>
  <c r="G242" i="53"/>
  <c r="G244" i="53"/>
  <c r="G243" i="53"/>
  <c r="G215" i="53"/>
  <c r="G261" i="53"/>
  <c r="G235" i="53"/>
  <c r="G36" i="53"/>
  <c r="F70" i="53"/>
  <c r="G70" i="53" s="1"/>
  <c r="G77" i="53" s="1"/>
  <c r="G82" i="53"/>
  <c r="G102" i="53"/>
  <c r="G106" i="53"/>
  <c r="G110" i="53"/>
  <c r="G86" i="53"/>
  <c r="G112" i="53"/>
  <c r="G83" i="53"/>
  <c r="G101" i="53"/>
  <c r="G103" i="53"/>
  <c r="G123" i="53"/>
  <c r="G108" i="53"/>
  <c r="G104" i="53"/>
  <c r="G105" i="53"/>
  <c r="G107" i="53"/>
  <c r="G109" i="53"/>
  <c r="G97" i="53"/>
  <c r="G37" i="53"/>
  <c r="G39" i="53"/>
  <c r="G13" i="53"/>
  <c r="G32" i="53"/>
  <c r="G38" i="53"/>
  <c r="G40" i="53"/>
  <c r="G10" i="53"/>
  <c r="G12" i="53"/>
  <c r="B5" i="53"/>
  <c r="D5" i="53"/>
  <c r="G31" i="53"/>
  <c r="G42" i="53"/>
  <c r="G11" i="53"/>
  <c r="G15" i="53"/>
  <c r="G33" i="53"/>
  <c r="G35" i="53"/>
  <c r="G52" i="53"/>
  <c r="G30" i="53"/>
  <c r="G41" i="53"/>
  <c r="G34" i="53"/>
  <c r="G26" i="53"/>
  <c r="G294" i="53" l="1"/>
  <c r="G225" i="53"/>
  <c r="G321" i="53"/>
  <c r="G87" i="53"/>
  <c r="G252" i="53"/>
  <c r="G114" i="53"/>
  <c r="G16" i="53"/>
  <c r="G43" i="53"/>
  <c r="G125" i="53" l="1"/>
  <c r="G128" i="53" s="1"/>
  <c r="G263" i="53"/>
  <c r="J9" i="1" s="1"/>
  <c r="O9" i="1" s="1"/>
  <c r="G332" i="53"/>
  <c r="J10" i="1" s="1"/>
  <c r="O10" i="1" s="1"/>
  <c r="G54" i="53"/>
  <c r="G58" i="53" s="1"/>
  <c r="G62" i="53" s="1"/>
  <c r="G129" i="53" l="1"/>
  <c r="G133" i="53" s="1"/>
  <c r="J7" i="1"/>
  <c r="O7" i="1" s="1"/>
  <c r="G127" i="53"/>
  <c r="K10" i="1"/>
  <c r="N10" i="1"/>
  <c r="L10" i="1"/>
  <c r="M10" i="1"/>
  <c r="G334" i="53"/>
  <c r="G335" i="53"/>
  <c r="G336" i="53"/>
  <c r="G340" i="53" s="1"/>
  <c r="N9" i="1"/>
  <c r="L9" i="1"/>
  <c r="G267" i="53"/>
  <c r="G271" i="53" s="1"/>
  <c r="G266" i="53"/>
  <c r="G265" i="53"/>
  <c r="G57" i="53"/>
  <c r="G56" i="53"/>
  <c r="J6" i="1"/>
  <c r="L6" i="1" s="1"/>
  <c r="G131" i="53" l="1"/>
  <c r="G135" i="53" s="1"/>
  <c r="G67" i="53" s="1"/>
  <c r="L7" i="1"/>
  <c r="N7" i="1"/>
  <c r="G338" i="53"/>
  <c r="G342" i="53" s="1"/>
  <c r="G276" i="53" s="1"/>
  <c r="G269" i="53"/>
  <c r="G273" i="53" s="1"/>
  <c r="G207" i="53" s="1"/>
  <c r="G60" i="53"/>
  <c r="G64" i="53" s="1"/>
  <c r="G2" i="53" s="1"/>
  <c r="M6" i="1"/>
  <c r="O6" i="1"/>
  <c r="K6" i="1"/>
  <c r="N6" i="1"/>
  <c r="B231" i="1"/>
  <c r="B234" i="1"/>
  <c r="B235" i="1"/>
  <c r="B236" i="1"/>
  <c r="A12938" i="53" s="1"/>
  <c r="B237" i="1"/>
  <c r="B238" i="1"/>
  <c r="B239" i="1"/>
  <c r="B240" i="1"/>
  <c r="B241" i="1"/>
  <c r="B242" i="1"/>
  <c r="B243" i="1"/>
  <c r="A13442" i="53" s="1"/>
  <c r="B244" i="1"/>
  <c r="B245" i="1"/>
  <c r="A13586" i="53" s="1"/>
  <c r="B246" i="1"/>
  <c r="B247" i="1"/>
  <c r="C398" i="55"/>
  <c r="A20597" i="53"/>
  <c r="B20597" i="53" s="1"/>
  <c r="A19415" i="53"/>
  <c r="D19415" i="53" s="1"/>
  <c r="C579" i="55"/>
  <c r="A19414" i="53"/>
  <c r="D19414" i="53" s="1"/>
  <c r="A20596" i="53"/>
  <c r="C578" i="55"/>
  <c r="E222" i="55"/>
  <c r="E451" i="55"/>
  <c r="A20595" i="53"/>
  <c r="A20592" i="53"/>
  <c r="A20590" i="53"/>
  <c r="A20589" i="53"/>
  <c r="A20586" i="53"/>
  <c r="A20451" i="53"/>
  <c r="D20451" i="53" s="1"/>
  <c r="E20451" i="53"/>
  <c r="E20450" i="53"/>
  <c r="A20450" i="53"/>
  <c r="D20450" i="53" s="1"/>
  <c r="A20449" i="53"/>
  <c r="A20448" i="53"/>
  <c r="A20447" i="53"/>
  <c r="A20232" i="53"/>
  <c r="A20080" i="53"/>
  <c r="B20080" i="53" s="1"/>
  <c r="E20074" i="53"/>
  <c r="E20072" i="53"/>
  <c r="A20005" i="53"/>
  <c r="E20004" i="53"/>
  <c r="A20004" i="53"/>
  <c r="E20002" i="53"/>
  <c r="E20001" i="53"/>
  <c r="E20000" i="53"/>
  <c r="E19933" i="53"/>
  <c r="A19933" i="53"/>
  <c r="E19931" i="53"/>
  <c r="E19932" i="53"/>
  <c r="E19930" i="53"/>
  <c r="E383" i="1"/>
  <c r="E20370" i="53"/>
  <c r="E20297" i="53"/>
  <c r="E20075" i="53"/>
  <c r="E20225" i="53"/>
  <c r="E20231" i="53"/>
  <c r="E20230" i="53"/>
  <c r="A20231" i="53"/>
  <c r="A20230" i="53"/>
  <c r="A20229" i="53"/>
  <c r="A20224" i="53"/>
  <c r="A20148" i="53"/>
  <c r="D20148" i="53" s="1"/>
  <c r="A20223" i="53"/>
  <c r="A20222" i="53"/>
  <c r="A20221" i="53"/>
  <c r="E20155" i="53"/>
  <c r="E20154" i="53"/>
  <c r="A20156" i="53"/>
  <c r="A20155" i="53"/>
  <c r="A20154" i="53"/>
  <c r="E20149" i="53"/>
  <c r="A20153" i="53"/>
  <c r="A20152" i="53"/>
  <c r="D20152" i="53" s="1"/>
  <c r="A20151" i="53"/>
  <c r="A20150" i="53"/>
  <c r="A20149" i="53"/>
  <c r="D20149" i="53" s="1"/>
  <c r="A20147" i="53"/>
  <c r="B20147" i="53" s="1"/>
  <c r="A20146" i="53"/>
  <c r="B20146" i="53" s="1"/>
  <c r="A20145" i="53"/>
  <c r="A20142" i="53"/>
  <c r="B20142" i="53"/>
  <c r="F20202" i="53"/>
  <c r="G20202" i="53" s="1"/>
  <c r="D20202" i="53"/>
  <c r="B20202" i="53"/>
  <c r="F20201" i="53"/>
  <c r="G20201" i="53" s="1"/>
  <c r="D20201" i="53"/>
  <c r="B20201" i="53"/>
  <c r="F20200" i="53"/>
  <c r="G20200" i="53" s="1"/>
  <c r="D20200" i="53"/>
  <c r="B20200" i="53"/>
  <c r="F20199" i="53"/>
  <c r="G20199" i="53" s="1"/>
  <c r="D20199" i="53"/>
  <c r="B20199" i="53"/>
  <c r="F20198" i="53"/>
  <c r="G20198" i="53" s="1"/>
  <c r="D20198" i="53"/>
  <c r="B20198" i="53"/>
  <c r="F20193" i="53"/>
  <c r="E20193" i="53"/>
  <c r="D20193" i="53"/>
  <c r="B20193" i="53"/>
  <c r="F20192" i="53"/>
  <c r="E20192" i="53"/>
  <c r="D20192" i="53"/>
  <c r="B20192" i="53"/>
  <c r="F20191" i="53"/>
  <c r="E20191" i="53"/>
  <c r="D20191" i="53"/>
  <c r="B20191" i="53"/>
  <c r="F20190" i="53"/>
  <c r="E20190" i="53"/>
  <c r="D20190" i="53"/>
  <c r="B20190" i="53"/>
  <c r="F20189" i="53"/>
  <c r="E20189" i="53"/>
  <c r="D20189" i="53"/>
  <c r="B20189" i="53"/>
  <c r="F20188" i="53"/>
  <c r="E20188" i="53"/>
  <c r="D20188" i="53"/>
  <c r="B20188" i="53"/>
  <c r="F20187" i="53"/>
  <c r="E20187" i="53"/>
  <c r="D20187" i="53"/>
  <c r="B20187" i="53"/>
  <c r="F20186" i="53"/>
  <c r="E20186" i="53"/>
  <c r="D20186" i="53"/>
  <c r="B20186" i="53"/>
  <c r="F20185" i="53"/>
  <c r="E20185" i="53"/>
  <c r="D20185" i="53"/>
  <c r="B20185" i="53"/>
  <c r="F20184" i="53"/>
  <c r="E20184" i="53"/>
  <c r="D20184" i="53"/>
  <c r="B20184" i="53"/>
  <c r="F20183" i="53"/>
  <c r="E20183" i="53"/>
  <c r="D20183" i="53"/>
  <c r="B20183" i="53"/>
  <c r="F20182" i="53"/>
  <c r="E20182" i="53"/>
  <c r="D20182" i="53"/>
  <c r="B20182" i="53"/>
  <c r="F20181" i="53"/>
  <c r="E20181" i="53"/>
  <c r="D20181" i="53"/>
  <c r="B20181" i="53"/>
  <c r="F20176" i="53"/>
  <c r="G20176" i="53" s="1"/>
  <c r="B20176" i="53"/>
  <c r="F20175" i="53"/>
  <c r="G20175" i="53" s="1"/>
  <c r="B20175" i="53"/>
  <c r="F20174" i="53"/>
  <c r="G20174" i="53" s="1"/>
  <c r="B20174" i="53"/>
  <c r="F20173" i="53"/>
  <c r="G20173" i="53" s="1"/>
  <c r="B20173" i="53"/>
  <c r="F20172" i="53"/>
  <c r="G20172" i="53" s="1"/>
  <c r="B20172" i="53"/>
  <c r="F20171" i="53"/>
  <c r="G20171" i="53" s="1"/>
  <c r="B20171" i="53"/>
  <c r="F20166" i="53"/>
  <c r="E20166" i="53"/>
  <c r="D20166" i="53"/>
  <c r="B20166" i="53"/>
  <c r="F20165" i="53"/>
  <c r="E20165" i="53"/>
  <c r="D20165" i="53"/>
  <c r="B20165" i="53"/>
  <c r="F20164" i="53"/>
  <c r="E20164" i="53"/>
  <c r="D20164" i="53"/>
  <c r="B20164" i="53"/>
  <c r="F20163" i="53"/>
  <c r="E20163" i="53"/>
  <c r="D20163" i="53"/>
  <c r="B20163" i="53"/>
  <c r="F20162" i="53"/>
  <c r="E20162" i="53"/>
  <c r="D20162" i="53"/>
  <c r="B20162" i="53"/>
  <c r="F20161" i="53"/>
  <c r="E20161" i="53"/>
  <c r="D20161" i="53"/>
  <c r="B20161" i="53"/>
  <c r="C577" i="55"/>
  <c r="A20446" i="53"/>
  <c r="C576" i="55"/>
  <c r="A20445" i="53"/>
  <c r="A20444" i="53"/>
  <c r="E19858" i="53"/>
  <c r="A19858" i="53"/>
  <c r="E19783" i="53"/>
  <c r="A19783" i="53"/>
  <c r="E19708" i="53"/>
  <c r="A19713" i="53"/>
  <c r="A19708" i="53"/>
  <c r="E19632" i="53"/>
  <c r="A19632" i="53"/>
  <c r="E19629" i="53"/>
  <c r="H372" i="1"/>
  <c r="I372" i="1"/>
  <c r="A19267" i="53"/>
  <c r="C575" i="55"/>
  <c r="A19192" i="53"/>
  <c r="C574" i="55"/>
  <c r="E19187" i="53"/>
  <c r="E19185" i="53"/>
  <c r="E19184" i="53"/>
  <c r="E16286" i="53"/>
  <c r="E16285" i="53"/>
  <c r="E16283" i="53"/>
  <c r="A18754" i="53"/>
  <c r="A18753" i="53"/>
  <c r="A18752" i="53"/>
  <c r="A18751" i="53"/>
  <c r="D18751" i="53" s="1"/>
  <c r="A18750" i="53"/>
  <c r="A18608" i="53"/>
  <c r="A18823" i="53"/>
  <c r="A18749" i="53"/>
  <c r="H364" i="1"/>
  <c r="H366" i="1"/>
  <c r="I366" i="1"/>
  <c r="G366" i="1"/>
  <c r="G363" i="1"/>
  <c r="A18465" i="53"/>
  <c r="A18328" i="53"/>
  <c r="D18328" i="53" s="1"/>
  <c r="A18327" i="53"/>
  <c r="A18326" i="53"/>
  <c r="D18326" i="53" s="1"/>
  <c r="A18325" i="53"/>
  <c r="D18325" i="53" s="1"/>
  <c r="A18324" i="53"/>
  <c r="D18324" i="53" s="1"/>
  <c r="A18321" i="53"/>
  <c r="B18321" i="53"/>
  <c r="F18375" i="53"/>
  <c r="G18375" i="53" s="1"/>
  <c r="D18375" i="53"/>
  <c r="B18375" i="53"/>
  <c r="F18374" i="53"/>
  <c r="G18374" i="53" s="1"/>
  <c r="D18374" i="53"/>
  <c r="B18374" i="53"/>
  <c r="F18373" i="53"/>
  <c r="G18373" i="53" s="1"/>
  <c r="D18373" i="53"/>
  <c r="B18373" i="53"/>
  <c r="F18372" i="53"/>
  <c r="G18372" i="53" s="1"/>
  <c r="D18372" i="53"/>
  <c r="B18372" i="53"/>
  <c r="F18371" i="53"/>
  <c r="G18371" i="53" s="1"/>
  <c r="D18371" i="53"/>
  <c r="B18371" i="53"/>
  <c r="F18366" i="53"/>
  <c r="E18366" i="53"/>
  <c r="D18366" i="53"/>
  <c r="B18366" i="53"/>
  <c r="F18365" i="53"/>
  <c r="E18365" i="53"/>
  <c r="D18365" i="53"/>
  <c r="B18365" i="53"/>
  <c r="F18364" i="53"/>
  <c r="E18364" i="53"/>
  <c r="D18364" i="53"/>
  <c r="B18364" i="53"/>
  <c r="F18363" i="53"/>
  <c r="E18363" i="53"/>
  <c r="D18363" i="53"/>
  <c r="B18363" i="53"/>
  <c r="F18362" i="53"/>
  <c r="E18362" i="53"/>
  <c r="D18362" i="53"/>
  <c r="B18362" i="53"/>
  <c r="F18361" i="53"/>
  <c r="E18361" i="53"/>
  <c r="D18361" i="53"/>
  <c r="B18361" i="53"/>
  <c r="F18360" i="53"/>
  <c r="E18360" i="53"/>
  <c r="D18360" i="53"/>
  <c r="B18360" i="53"/>
  <c r="F18359" i="53"/>
  <c r="E18359" i="53"/>
  <c r="D18359" i="53"/>
  <c r="B18359" i="53"/>
  <c r="F18358" i="53"/>
  <c r="E18358" i="53"/>
  <c r="D18358" i="53"/>
  <c r="B18358" i="53"/>
  <c r="F18357" i="53"/>
  <c r="E18357" i="53"/>
  <c r="D18357" i="53"/>
  <c r="B18357" i="53"/>
  <c r="F18356" i="53"/>
  <c r="E18356" i="53"/>
  <c r="D18356" i="53"/>
  <c r="B18356" i="53"/>
  <c r="F18355" i="53"/>
  <c r="E18355" i="53"/>
  <c r="D18355" i="53"/>
  <c r="B18355" i="53"/>
  <c r="F18354" i="53"/>
  <c r="E18354" i="53"/>
  <c r="D18354" i="53"/>
  <c r="B18354" i="53"/>
  <c r="F18349" i="53"/>
  <c r="G18349" i="53" s="1"/>
  <c r="B18349" i="53"/>
  <c r="F18348" i="53"/>
  <c r="G18348" i="53" s="1"/>
  <c r="B18348" i="53"/>
  <c r="F18347" i="53"/>
  <c r="G18347" i="53" s="1"/>
  <c r="B18347" i="53"/>
  <c r="F18346" i="53"/>
  <c r="G18346" i="53" s="1"/>
  <c r="B18346" i="53"/>
  <c r="F18345" i="53"/>
  <c r="G18345" i="53" s="1"/>
  <c r="B18345" i="53"/>
  <c r="F18344" i="53"/>
  <c r="G18344" i="53" s="1"/>
  <c r="B18344" i="53"/>
  <c r="F18339" i="53"/>
  <c r="E18339" i="53"/>
  <c r="D18339" i="53"/>
  <c r="B18339" i="53"/>
  <c r="F18338" i="53"/>
  <c r="E18338" i="53"/>
  <c r="D18338" i="53"/>
  <c r="B18338" i="53"/>
  <c r="F18337" i="53"/>
  <c r="E18337" i="53"/>
  <c r="D18337" i="53"/>
  <c r="B18337" i="53"/>
  <c r="F18336" i="53"/>
  <c r="E18336" i="53"/>
  <c r="D18336" i="53"/>
  <c r="B18336" i="53"/>
  <c r="F18335" i="53"/>
  <c r="E18335" i="53"/>
  <c r="D18335" i="53"/>
  <c r="B18335" i="53"/>
  <c r="F18334" i="53"/>
  <c r="E18334" i="53"/>
  <c r="D18334" i="53"/>
  <c r="B18334" i="53"/>
  <c r="F18329" i="53"/>
  <c r="G18329" i="53" s="1"/>
  <c r="D18329" i="53"/>
  <c r="B18329" i="53"/>
  <c r="E18327" i="53"/>
  <c r="E18256" i="53"/>
  <c r="A18255" i="53"/>
  <c r="A18256" i="53"/>
  <c r="D18256" i="53" s="1"/>
  <c r="C573" i="55"/>
  <c r="A18254" i="53"/>
  <c r="B18254" i="53" s="1"/>
  <c r="C572" i="55"/>
  <c r="C571" i="55"/>
  <c r="C570" i="55"/>
  <c r="C569" i="55"/>
  <c r="C568" i="55"/>
  <c r="A18259" i="53"/>
  <c r="A18258" i="53"/>
  <c r="D18258" i="53" s="1"/>
  <c r="A18257" i="53"/>
  <c r="A18251" i="53"/>
  <c r="B18251" i="53"/>
  <c r="F18305" i="53"/>
  <c r="G18305" i="53" s="1"/>
  <c r="D18305" i="53"/>
  <c r="B18305" i="53"/>
  <c r="F18304" i="53"/>
  <c r="G18304" i="53" s="1"/>
  <c r="D18304" i="53"/>
  <c r="B18304" i="53"/>
  <c r="F18303" i="53"/>
  <c r="G18303" i="53" s="1"/>
  <c r="D18303" i="53"/>
  <c r="B18303" i="53"/>
  <c r="F18302" i="53"/>
  <c r="G18302" i="53" s="1"/>
  <c r="D18302" i="53"/>
  <c r="B18302" i="53"/>
  <c r="F18301" i="53"/>
  <c r="G18301" i="53" s="1"/>
  <c r="D18301" i="53"/>
  <c r="B18301" i="53"/>
  <c r="F18296" i="53"/>
  <c r="E18296" i="53"/>
  <c r="D18296" i="53"/>
  <c r="B18296" i="53"/>
  <c r="F18295" i="53"/>
  <c r="E18295" i="53"/>
  <c r="D18295" i="53"/>
  <c r="B18295" i="53"/>
  <c r="F18294" i="53"/>
  <c r="E18294" i="53"/>
  <c r="D18294" i="53"/>
  <c r="B18294" i="53"/>
  <c r="F18293" i="53"/>
  <c r="E18293" i="53"/>
  <c r="D18293" i="53"/>
  <c r="B18293" i="53"/>
  <c r="F18292" i="53"/>
  <c r="E18292" i="53"/>
  <c r="D18292" i="53"/>
  <c r="B18292" i="53"/>
  <c r="F18291" i="53"/>
  <c r="E18291" i="53"/>
  <c r="D18291" i="53"/>
  <c r="B18291" i="53"/>
  <c r="F18290" i="53"/>
  <c r="E18290" i="53"/>
  <c r="D18290" i="53"/>
  <c r="B18290" i="53"/>
  <c r="F18289" i="53"/>
  <c r="E18289" i="53"/>
  <c r="D18289" i="53"/>
  <c r="B18289" i="53"/>
  <c r="F18288" i="53"/>
  <c r="E18288" i="53"/>
  <c r="D18288" i="53"/>
  <c r="B18288" i="53"/>
  <c r="F18287" i="53"/>
  <c r="E18287" i="53"/>
  <c r="D18287" i="53"/>
  <c r="B18287" i="53"/>
  <c r="F18286" i="53"/>
  <c r="E18286" i="53"/>
  <c r="D18286" i="53"/>
  <c r="B18286" i="53"/>
  <c r="F18285" i="53"/>
  <c r="E18285" i="53"/>
  <c r="D18285" i="53"/>
  <c r="B18285" i="53"/>
  <c r="F18284" i="53"/>
  <c r="E18284" i="53"/>
  <c r="D18284" i="53"/>
  <c r="B18284" i="53"/>
  <c r="F18279" i="53"/>
  <c r="G18279" i="53" s="1"/>
  <c r="B18279" i="53"/>
  <c r="F18278" i="53"/>
  <c r="G18278" i="53" s="1"/>
  <c r="B18278" i="53"/>
  <c r="F18277" i="53"/>
  <c r="G18277" i="53" s="1"/>
  <c r="B18277" i="53"/>
  <c r="F18276" i="53"/>
  <c r="G18276" i="53" s="1"/>
  <c r="B18276" i="53"/>
  <c r="F18275" i="53"/>
  <c r="G18275" i="53" s="1"/>
  <c r="B18275" i="53"/>
  <c r="F18274" i="53"/>
  <c r="G18274" i="53" s="1"/>
  <c r="B18274" i="53"/>
  <c r="F18269" i="53"/>
  <c r="E18269" i="53"/>
  <c r="D18269" i="53"/>
  <c r="B18269" i="53"/>
  <c r="F18268" i="53"/>
  <c r="E18268" i="53"/>
  <c r="D18268" i="53"/>
  <c r="B18268" i="53"/>
  <c r="F18267" i="53"/>
  <c r="E18267" i="53"/>
  <c r="D18267" i="53"/>
  <c r="B18267" i="53"/>
  <c r="F18266" i="53"/>
  <c r="E18266" i="53"/>
  <c r="D18266" i="53"/>
  <c r="B18266" i="53"/>
  <c r="F18265" i="53"/>
  <c r="E18265" i="53"/>
  <c r="D18265" i="53"/>
  <c r="B18265" i="53"/>
  <c r="F18264" i="53"/>
  <c r="E18264" i="53"/>
  <c r="D18264" i="53"/>
  <c r="B18264" i="53"/>
  <c r="A18041" i="53"/>
  <c r="C567" i="55"/>
  <c r="A17969" i="53"/>
  <c r="C566" i="55"/>
  <c r="E17970" i="53"/>
  <c r="I424" i="1"/>
  <c r="H424" i="1"/>
  <c r="G424" i="1"/>
  <c r="A22169" i="53"/>
  <c r="A22104" i="53"/>
  <c r="A22103" i="53"/>
  <c r="B22103" i="53" s="1"/>
  <c r="A22102" i="53"/>
  <c r="D22102" i="53" s="1"/>
  <c r="A22101" i="53"/>
  <c r="D22101" i="53" s="1"/>
  <c r="A22100" i="53"/>
  <c r="B22097" i="53"/>
  <c r="F22150" i="53"/>
  <c r="G22150" i="53" s="1"/>
  <c r="D22150" i="53"/>
  <c r="B22150" i="53"/>
  <c r="F22149" i="53"/>
  <c r="G22149" i="53" s="1"/>
  <c r="D22149" i="53"/>
  <c r="B22149" i="53"/>
  <c r="F22148" i="53"/>
  <c r="G22148" i="53" s="1"/>
  <c r="D22148" i="53"/>
  <c r="B22148" i="53"/>
  <c r="F22147" i="53"/>
  <c r="G22147" i="53" s="1"/>
  <c r="D22147" i="53"/>
  <c r="B22147" i="53"/>
  <c r="F22146" i="53"/>
  <c r="G22146" i="53" s="1"/>
  <c r="D22146" i="53"/>
  <c r="B22146" i="53"/>
  <c r="F22141" i="53"/>
  <c r="E22141" i="53"/>
  <c r="D22141" i="53"/>
  <c r="B22141" i="53"/>
  <c r="F22140" i="53"/>
  <c r="E22140" i="53"/>
  <c r="D22140" i="53"/>
  <c r="B22140" i="53"/>
  <c r="F22139" i="53"/>
  <c r="E22139" i="53"/>
  <c r="D22139" i="53"/>
  <c r="B22139" i="53"/>
  <c r="F22138" i="53"/>
  <c r="E22138" i="53"/>
  <c r="D22138" i="53"/>
  <c r="B22138" i="53"/>
  <c r="F22137" i="53"/>
  <c r="E22137" i="53"/>
  <c r="D22137" i="53"/>
  <c r="B22137" i="53"/>
  <c r="F22136" i="53"/>
  <c r="E22136" i="53"/>
  <c r="D22136" i="53"/>
  <c r="B22136" i="53"/>
  <c r="F22135" i="53"/>
  <c r="E22135" i="53"/>
  <c r="D22135" i="53"/>
  <c r="B22135" i="53"/>
  <c r="F22134" i="53"/>
  <c r="E22134" i="53"/>
  <c r="D22134" i="53"/>
  <c r="B22134" i="53"/>
  <c r="F22133" i="53"/>
  <c r="E22133" i="53"/>
  <c r="D22133" i="53"/>
  <c r="B22133" i="53"/>
  <c r="F22132" i="53"/>
  <c r="E22132" i="53"/>
  <c r="D22132" i="53"/>
  <c r="B22132" i="53"/>
  <c r="F22131" i="53"/>
  <c r="E22131" i="53"/>
  <c r="D22131" i="53"/>
  <c r="B22131" i="53"/>
  <c r="F22130" i="53"/>
  <c r="E22130" i="53"/>
  <c r="D22130" i="53"/>
  <c r="B22130" i="53"/>
  <c r="F22129" i="53"/>
  <c r="E22129" i="53"/>
  <c r="D22129" i="53"/>
  <c r="B22129" i="53"/>
  <c r="F22124" i="53"/>
  <c r="G22124" i="53" s="1"/>
  <c r="B22124" i="53"/>
  <c r="F22123" i="53"/>
  <c r="G22123" i="53" s="1"/>
  <c r="B22123" i="53"/>
  <c r="F22122" i="53"/>
  <c r="G22122" i="53" s="1"/>
  <c r="B22122" i="53"/>
  <c r="F22121" i="53"/>
  <c r="G22121" i="53" s="1"/>
  <c r="B22121" i="53"/>
  <c r="F22120" i="53"/>
  <c r="G22120" i="53" s="1"/>
  <c r="B22120" i="53"/>
  <c r="F22119" i="53"/>
  <c r="G22119" i="53" s="1"/>
  <c r="B22119" i="53"/>
  <c r="F22114" i="53"/>
  <c r="E22114" i="53"/>
  <c r="D22114" i="53"/>
  <c r="B22114" i="53"/>
  <c r="F22113" i="53"/>
  <c r="E22113" i="53"/>
  <c r="D22113" i="53"/>
  <c r="B22113" i="53"/>
  <c r="F22112" i="53"/>
  <c r="E22112" i="53"/>
  <c r="D22112" i="53"/>
  <c r="B22112" i="53"/>
  <c r="F22111" i="53"/>
  <c r="E22111" i="53"/>
  <c r="D22111" i="53"/>
  <c r="B22111" i="53"/>
  <c r="F22110" i="53"/>
  <c r="E22110" i="53"/>
  <c r="D22110" i="53"/>
  <c r="B22110" i="53"/>
  <c r="F22109" i="53"/>
  <c r="E22109" i="53"/>
  <c r="D22109" i="53"/>
  <c r="B22109" i="53"/>
  <c r="E22101" i="53"/>
  <c r="A22097" i="53"/>
  <c r="A18188" i="53"/>
  <c r="A18184" i="53"/>
  <c r="A18186" i="53"/>
  <c r="A18187" i="53"/>
  <c r="A18185" i="53"/>
  <c r="E18187" i="53"/>
  <c r="A18115" i="53"/>
  <c r="A22030" i="53"/>
  <c r="C565" i="55"/>
  <c r="A21958" i="53"/>
  <c r="C564" i="55"/>
  <c r="F20596" i="53" l="1"/>
  <c r="G20596" i="53" s="1"/>
  <c r="F19415" i="53"/>
  <c r="G19415" i="53" s="1"/>
  <c r="F20597" i="53"/>
  <c r="G20597" i="53" s="1"/>
  <c r="D20597" i="53"/>
  <c r="B19415" i="53"/>
  <c r="F19414" i="53"/>
  <c r="G19414" i="53" s="1"/>
  <c r="B19414" i="53"/>
  <c r="D20596" i="53"/>
  <c r="B20596" i="53"/>
  <c r="B20451" i="53"/>
  <c r="B20450" i="53"/>
  <c r="F20080" i="53"/>
  <c r="G20080" i="53" s="1"/>
  <c r="F19192" i="53"/>
  <c r="G19192" i="53" s="1"/>
  <c r="D20080" i="53"/>
  <c r="B20005" i="53"/>
  <c r="D20005" i="53"/>
  <c r="B20004" i="53"/>
  <c r="D20004" i="53"/>
  <c r="F20156" i="53"/>
  <c r="G20156" i="53" s="1"/>
  <c r="B19933" i="53"/>
  <c r="D19933" i="53"/>
  <c r="B20231" i="53"/>
  <c r="D20231" i="53"/>
  <c r="B20230" i="53"/>
  <c r="B20232" i="53"/>
  <c r="D20232" i="53"/>
  <c r="D20230" i="53"/>
  <c r="G20161" i="53"/>
  <c r="G20163" i="53"/>
  <c r="G20164" i="53"/>
  <c r="G20181" i="53"/>
  <c r="B20156" i="53"/>
  <c r="D20156" i="53"/>
  <c r="B20155" i="53"/>
  <c r="D20155" i="53"/>
  <c r="B20154" i="53"/>
  <c r="D20154" i="53"/>
  <c r="G20183" i="53"/>
  <c r="G20191" i="53"/>
  <c r="G20165" i="53"/>
  <c r="G20182" i="53"/>
  <c r="G20184" i="53"/>
  <c r="G20186" i="53"/>
  <c r="G20188" i="53"/>
  <c r="G20190" i="53"/>
  <c r="G20166" i="53"/>
  <c r="G20192" i="53"/>
  <c r="D20146" i="53"/>
  <c r="G20185" i="53"/>
  <c r="G20187" i="53"/>
  <c r="G20189" i="53"/>
  <c r="G20162" i="53"/>
  <c r="G20193" i="53"/>
  <c r="D20147" i="53"/>
  <c r="D20145" i="53"/>
  <c r="B20152" i="53"/>
  <c r="B20149" i="53"/>
  <c r="B20153" i="53"/>
  <c r="G20203" i="53"/>
  <c r="G20177" i="53"/>
  <c r="B20151" i="53"/>
  <c r="D20151" i="53"/>
  <c r="B20148" i="53"/>
  <c r="B20150" i="53"/>
  <c r="D20153" i="53"/>
  <c r="B20145" i="53"/>
  <c r="D20150" i="53"/>
  <c r="F19267" i="53"/>
  <c r="G19267" i="53" s="1"/>
  <c r="B19267" i="53"/>
  <c r="D19267" i="53"/>
  <c r="B19192" i="53"/>
  <c r="D19192" i="53"/>
  <c r="F21958" i="53"/>
  <c r="G21958" i="53" s="1"/>
  <c r="D18754" i="53"/>
  <c r="B18754" i="53"/>
  <c r="B18753" i="53"/>
  <c r="D18753" i="53"/>
  <c r="G18335" i="53"/>
  <c r="G18339" i="53"/>
  <c r="G18364" i="53"/>
  <c r="B18752" i="53"/>
  <c r="D18752" i="53"/>
  <c r="B18751" i="53"/>
  <c r="B18325" i="53"/>
  <c r="B18750" i="53"/>
  <c r="D18750" i="53"/>
  <c r="G18365" i="53"/>
  <c r="G18354" i="53"/>
  <c r="G18360" i="53"/>
  <c r="G18357" i="53"/>
  <c r="G18359" i="53"/>
  <c r="G18361" i="53"/>
  <c r="G18363" i="53"/>
  <c r="G18264" i="53"/>
  <c r="G18266" i="53"/>
  <c r="G18268" i="53"/>
  <c r="G18356" i="53"/>
  <c r="G18362" i="53"/>
  <c r="G18366" i="53"/>
  <c r="B18324" i="53"/>
  <c r="G18334" i="53"/>
  <c r="G18336" i="53"/>
  <c r="G18338" i="53"/>
  <c r="B18465" i="53"/>
  <c r="D18465" i="53"/>
  <c r="G18337" i="53"/>
  <c r="G18355" i="53"/>
  <c r="G18295" i="53"/>
  <c r="G18267" i="53"/>
  <c r="G18376" i="53"/>
  <c r="G18286" i="53"/>
  <c r="G18358" i="53"/>
  <c r="B18328" i="53"/>
  <c r="G18350" i="53"/>
  <c r="B18327" i="53"/>
  <c r="D18327" i="53"/>
  <c r="B18326" i="53"/>
  <c r="G18294" i="53"/>
  <c r="B18255" i="53"/>
  <c r="D18255" i="53"/>
  <c r="G18284" i="53"/>
  <c r="G18288" i="53"/>
  <c r="G18290" i="53"/>
  <c r="G18296" i="53"/>
  <c r="G18292" i="53"/>
  <c r="G18265" i="53"/>
  <c r="G18285" i="53"/>
  <c r="G18269" i="53"/>
  <c r="G18287" i="53"/>
  <c r="G18289" i="53"/>
  <c r="G18291" i="53"/>
  <c r="G18293" i="53"/>
  <c r="F17969" i="53"/>
  <c r="G17969" i="53" s="1"/>
  <c r="B18258" i="53"/>
  <c r="D18254" i="53"/>
  <c r="G18306" i="53"/>
  <c r="G18280" i="53"/>
  <c r="B18257" i="53"/>
  <c r="D18257" i="53"/>
  <c r="B18256" i="53"/>
  <c r="B18259" i="53"/>
  <c r="D18259" i="53"/>
  <c r="B17969" i="53"/>
  <c r="D17969" i="53"/>
  <c r="D22103" i="53"/>
  <c r="G22129" i="53"/>
  <c r="G22110" i="53"/>
  <c r="G22137" i="53"/>
  <c r="G22131" i="53"/>
  <c r="G22135" i="53"/>
  <c r="G22141" i="53"/>
  <c r="G22109" i="53"/>
  <c r="G22111" i="53"/>
  <c r="G22113" i="53"/>
  <c r="G22136" i="53"/>
  <c r="G22112" i="53"/>
  <c r="G22114" i="53"/>
  <c r="G22130" i="53"/>
  <c r="G22132" i="53"/>
  <c r="G22134" i="53"/>
  <c r="G22138" i="53"/>
  <c r="G22140" i="53"/>
  <c r="G22133" i="53"/>
  <c r="G22139" i="53"/>
  <c r="G22151" i="53"/>
  <c r="G22125" i="53"/>
  <c r="B22102" i="53"/>
  <c r="D22100" i="53"/>
  <c r="B22100" i="53"/>
  <c r="B22101" i="53"/>
  <c r="B22104" i="53"/>
  <c r="D22104" i="53"/>
  <c r="B18115" i="53"/>
  <c r="D18115" i="53"/>
  <c r="B21958" i="53"/>
  <c r="D21958" i="53"/>
  <c r="G20167" i="53" l="1"/>
  <c r="G20194" i="53"/>
  <c r="G18340" i="53"/>
  <c r="G18270" i="53"/>
  <c r="G18367" i="53"/>
  <c r="G18297" i="53"/>
  <c r="G22115" i="53"/>
  <c r="G22142" i="53"/>
  <c r="A22035" i="53" l="1"/>
  <c r="A22034" i="53"/>
  <c r="B22034" i="53" s="1"/>
  <c r="A22033" i="53"/>
  <c r="B22033" i="53" s="1"/>
  <c r="A22032" i="53"/>
  <c r="B22032" i="53" s="1"/>
  <c r="A22031" i="53"/>
  <c r="D22031" i="53" s="1"/>
  <c r="A22029" i="53"/>
  <c r="D22029" i="53" s="1"/>
  <c r="A22028" i="53"/>
  <c r="D22028" i="53" s="1"/>
  <c r="A22027" i="53"/>
  <c r="D22027" i="53" s="1"/>
  <c r="A22024" i="53"/>
  <c r="B22024" i="53"/>
  <c r="F22081" i="53"/>
  <c r="G22081" i="53" s="1"/>
  <c r="D22081" i="53"/>
  <c r="B22081" i="53"/>
  <c r="F22080" i="53"/>
  <c r="G22080" i="53" s="1"/>
  <c r="D22080" i="53"/>
  <c r="B22080" i="53"/>
  <c r="F22079" i="53"/>
  <c r="G22079" i="53" s="1"/>
  <c r="D22079" i="53"/>
  <c r="B22079" i="53"/>
  <c r="F22074" i="53"/>
  <c r="E22074" i="53"/>
  <c r="D22074" i="53"/>
  <c r="B22074" i="53"/>
  <c r="F22073" i="53"/>
  <c r="E22073" i="53"/>
  <c r="D22073" i="53"/>
  <c r="B22073" i="53"/>
  <c r="F22072" i="53"/>
  <c r="E22072" i="53"/>
  <c r="D22072" i="53"/>
  <c r="B22072" i="53"/>
  <c r="F22071" i="53"/>
  <c r="E22071" i="53"/>
  <c r="D22071" i="53"/>
  <c r="B22071" i="53"/>
  <c r="F22070" i="53"/>
  <c r="E22070" i="53"/>
  <c r="D22070" i="53"/>
  <c r="B22070" i="53"/>
  <c r="F22069" i="53"/>
  <c r="E22069" i="53"/>
  <c r="D22069" i="53"/>
  <c r="B22069" i="53"/>
  <c r="F22068" i="53"/>
  <c r="E22068" i="53"/>
  <c r="D22068" i="53"/>
  <c r="B22068" i="53"/>
  <c r="F22067" i="53"/>
  <c r="E22067" i="53"/>
  <c r="D22067" i="53"/>
  <c r="B22067" i="53"/>
  <c r="F22066" i="53"/>
  <c r="E22066" i="53"/>
  <c r="D22066" i="53"/>
  <c r="B22066" i="53"/>
  <c r="F22065" i="53"/>
  <c r="E22065" i="53"/>
  <c r="D22065" i="53"/>
  <c r="B22065" i="53"/>
  <c r="F22064" i="53"/>
  <c r="E22064" i="53"/>
  <c r="D22064" i="53"/>
  <c r="B22064" i="53"/>
  <c r="F22063" i="53"/>
  <c r="E22063" i="53"/>
  <c r="D22063" i="53"/>
  <c r="B22063" i="53"/>
  <c r="F22062" i="53"/>
  <c r="E22062" i="53"/>
  <c r="D22062" i="53"/>
  <c r="B22062" i="53"/>
  <c r="F22057" i="53"/>
  <c r="G22057" i="53" s="1"/>
  <c r="B22057" i="53"/>
  <c r="F22056" i="53"/>
  <c r="G22056" i="53" s="1"/>
  <c r="B22056" i="53"/>
  <c r="F22055" i="53"/>
  <c r="G22055" i="53" s="1"/>
  <c r="B22055" i="53"/>
  <c r="F22054" i="53"/>
  <c r="G22054" i="53" s="1"/>
  <c r="B22054" i="53"/>
  <c r="F22053" i="53"/>
  <c r="G22053" i="53" s="1"/>
  <c r="B22053" i="53"/>
  <c r="F22052" i="53"/>
  <c r="G22052" i="53" s="1"/>
  <c r="B22052" i="53"/>
  <c r="F22047" i="53"/>
  <c r="E22047" i="53"/>
  <c r="D22047" i="53"/>
  <c r="B22047" i="53"/>
  <c r="F22046" i="53"/>
  <c r="E22046" i="53"/>
  <c r="D22046" i="53"/>
  <c r="B22046" i="53"/>
  <c r="F22045" i="53"/>
  <c r="E22045" i="53"/>
  <c r="D22045" i="53"/>
  <c r="B22045" i="53"/>
  <c r="F22044" i="53"/>
  <c r="E22044" i="53"/>
  <c r="D22044" i="53"/>
  <c r="B22044" i="53"/>
  <c r="F22043" i="53"/>
  <c r="E22043" i="53"/>
  <c r="D22043" i="53"/>
  <c r="B22043" i="53"/>
  <c r="F22042" i="53"/>
  <c r="E22042" i="53"/>
  <c r="D22042" i="53"/>
  <c r="B22042" i="53"/>
  <c r="F22041" i="53"/>
  <c r="E22041" i="53"/>
  <c r="D22041" i="53"/>
  <c r="B22041" i="53"/>
  <c r="F22036" i="53"/>
  <c r="G22036" i="53" s="1"/>
  <c r="D22036" i="53"/>
  <c r="B22036" i="53"/>
  <c r="A21243" i="53"/>
  <c r="B21243" i="53" s="1"/>
  <c r="A17827" i="53"/>
  <c r="D17827" i="53" s="1"/>
  <c r="E563" i="55"/>
  <c r="C563" i="55" s="1"/>
  <c r="A17830" i="53"/>
  <c r="A17829" i="53"/>
  <c r="D17829" i="53" s="1"/>
  <c r="A17828" i="53"/>
  <c r="D17828" i="53" s="1"/>
  <c r="A17824" i="53"/>
  <c r="B17824" i="53"/>
  <c r="F17880" i="53"/>
  <c r="G17880" i="53" s="1"/>
  <c r="D17880" i="53"/>
  <c r="B17880" i="53"/>
  <c r="F17879" i="53"/>
  <c r="G17879" i="53" s="1"/>
  <c r="D17879" i="53"/>
  <c r="B17879" i="53"/>
  <c r="F17878" i="53"/>
  <c r="G17878" i="53" s="1"/>
  <c r="D17878" i="53"/>
  <c r="B17878" i="53"/>
  <c r="F17877" i="53"/>
  <c r="G17877" i="53" s="1"/>
  <c r="D17877" i="53"/>
  <c r="B17877" i="53"/>
  <c r="F17872" i="53"/>
  <c r="E17872" i="53"/>
  <c r="D17872" i="53"/>
  <c r="B17872" i="53"/>
  <c r="F17871" i="53"/>
  <c r="E17871" i="53"/>
  <c r="D17871" i="53"/>
  <c r="B17871" i="53"/>
  <c r="F17870" i="53"/>
  <c r="E17870" i="53"/>
  <c r="D17870" i="53"/>
  <c r="B17870" i="53"/>
  <c r="F17869" i="53"/>
  <c r="E17869" i="53"/>
  <c r="D17869" i="53"/>
  <c r="B17869" i="53"/>
  <c r="F17868" i="53"/>
  <c r="E17868" i="53"/>
  <c r="D17868" i="53"/>
  <c r="B17868" i="53"/>
  <c r="F17867" i="53"/>
  <c r="E17867" i="53"/>
  <c r="D17867" i="53"/>
  <c r="B17867" i="53"/>
  <c r="F17866" i="53"/>
  <c r="E17866" i="53"/>
  <c r="D17866" i="53"/>
  <c r="B17866" i="53"/>
  <c r="F17865" i="53"/>
  <c r="E17865" i="53"/>
  <c r="D17865" i="53"/>
  <c r="B17865" i="53"/>
  <c r="F17864" i="53"/>
  <c r="E17864" i="53"/>
  <c r="D17864" i="53"/>
  <c r="B17864" i="53"/>
  <c r="F17863" i="53"/>
  <c r="E17863" i="53"/>
  <c r="D17863" i="53"/>
  <c r="B17863" i="53"/>
  <c r="F17862" i="53"/>
  <c r="E17862" i="53"/>
  <c r="D17862" i="53"/>
  <c r="B17862" i="53"/>
  <c r="F17861" i="53"/>
  <c r="E17861" i="53"/>
  <c r="D17861" i="53"/>
  <c r="B17861" i="53"/>
  <c r="F17860" i="53"/>
  <c r="E17860" i="53"/>
  <c r="D17860" i="53"/>
  <c r="B17860" i="53"/>
  <c r="F17855" i="53"/>
  <c r="G17855" i="53" s="1"/>
  <c r="B17855" i="53"/>
  <c r="F17854" i="53"/>
  <c r="G17854" i="53" s="1"/>
  <c r="B17854" i="53"/>
  <c r="F17853" i="53"/>
  <c r="G17853" i="53" s="1"/>
  <c r="B17853" i="53"/>
  <c r="F17852" i="53"/>
  <c r="G17852" i="53" s="1"/>
  <c r="B17852" i="53"/>
  <c r="F17851" i="53"/>
  <c r="G17851" i="53" s="1"/>
  <c r="B17851" i="53"/>
  <c r="F17850" i="53"/>
  <c r="G17850" i="53" s="1"/>
  <c r="B17850" i="53"/>
  <c r="F17845" i="53"/>
  <c r="E17845" i="53"/>
  <c r="D17845" i="53"/>
  <c r="B17845" i="53"/>
  <c r="F17844" i="53"/>
  <c r="E17844" i="53"/>
  <c r="D17844" i="53"/>
  <c r="B17844" i="53"/>
  <c r="F17843" i="53"/>
  <c r="E17843" i="53"/>
  <c r="D17843" i="53"/>
  <c r="B17843" i="53"/>
  <c r="F17842" i="53"/>
  <c r="E17842" i="53"/>
  <c r="D17842" i="53"/>
  <c r="B17842" i="53"/>
  <c r="F17841" i="53"/>
  <c r="E17841" i="53"/>
  <c r="D17841" i="53"/>
  <c r="B17841" i="53"/>
  <c r="F17840" i="53"/>
  <c r="E17840" i="53"/>
  <c r="D17840" i="53"/>
  <c r="B17840" i="53"/>
  <c r="F17839" i="53"/>
  <c r="E17839" i="53"/>
  <c r="D17839" i="53"/>
  <c r="B17839" i="53"/>
  <c r="F17834" i="53"/>
  <c r="G17834" i="53" s="1"/>
  <c r="D17834" i="53"/>
  <c r="B17834" i="53"/>
  <c r="F17833" i="53"/>
  <c r="G17833" i="53" s="1"/>
  <c r="D17833" i="53"/>
  <c r="B17833" i="53"/>
  <c r="F17832" i="53"/>
  <c r="G17832" i="53" s="1"/>
  <c r="D17832" i="53"/>
  <c r="B17832" i="53"/>
  <c r="F17831" i="53"/>
  <c r="G17831" i="53" s="1"/>
  <c r="D17831" i="53"/>
  <c r="B17831" i="53"/>
  <c r="C562" i="55"/>
  <c r="A21247" i="53"/>
  <c r="F21247" i="53" l="1"/>
  <c r="G21247" i="53" s="1"/>
  <c r="D22032" i="53"/>
  <c r="D22034" i="53"/>
  <c r="G22069" i="53"/>
  <c r="G22073" i="53"/>
  <c r="B22028" i="53"/>
  <c r="G22063" i="53"/>
  <c r="G22074" i="53"/>
  <c r="G22042" i="53"/>
  <c r="G22044" i="53"/>
  <c r="G22046" i="53"/>
  <c r="B22029" i="53"/>
  <c r="G22045" i="53"/>
  <c r="G22068" i="53"/>
  <c r="G22072" i="53"/>
  <c r="G22047" i="53"/>
  <c r="G22064" i="53"/>
  <c r="G22070" i="53"/>
  <c r="B22031" i="53"/>
  <c r="G22071" i="53"/>
  <c r="G22062" i="53"/>
  <c r="G22066" i="53"/>
  <c r="G22041" i="53"/>
  <c r="G22043" i="53"/>
  <c r="G22065" i="53"/>
  <c r="G22067" i="53"/>
  <c r="G22058" i="53"/>
  <c r="G22082" i="53"/>
  <c r="B22030" i="53"/>
  <c r="D22033" i="53"/>
  <c r="B22027" i="53"/>
  <c r="D22030" i="53"/>
  <c r="B22035" i="53"/>
  <c r="D22035" i="53"/>
  <c r="G17839" i="53"/>
  <c r="G17861" i="53"/>
  <c r="G17869" i="53"/>
  <c r="D21243" i="53"/>
  <c r="G17842" i="53"/>
  <c r="G17871" i="53"/>
  <c r="G17840" i="53"/>
  <c r="G17845" i="53"/>
  <c r="G17870" i="53"/>
  <c r="G17865" i="53"/>
  <c r="G17881" i="53"/>
  <c r="G17841" i="53"/>
  <c r="G17860" i="53"/>
  <c r="G17862" i="53"/>
  <c r="G17866" i="53"/>
  <c r="G17868" i="53"/>
  <c r="G17844" i="53"/>
  <c r="G17872" i="53"/>
  <c r="G17864" i="53"/>
  <c r="G17843" i="53"/>
  <c r="G17863" i="53"/>
  <c r="G17867" i="53"/>
  <c r="B17827" i="53"/>
  <c r="D17830" i="53"/>
  <c r="B17830" i="53"/>
  <c r="G17856" i="53"/>
  <c r="B17828" i="53"/>
  <c r="F17827" i="53"/>
  <c r="G17827" i="53" s="1"/>
  <c r="B17829" i="53"/>
  <c r="B21247" i="53"/>
  <c r="D21247" i="53"/>
  <c r="G22048" i="53" l="1"/>
  <c r="G22075" i="53"/>
  <c r="G17846" i="53"/>
  <c r="G17873" i="53"/>
  <c r="A21314" i="53" l="1"/>
  <c r="A21322" i="53"/>
  <c r="D21322" i="53" s="1"/>
  <c r="A21321" i="53"/>
  <c r="A21320" i="53"/>
  <c r="B21320" i="53" s="1"/>
  <c r="A21319" i="53"/>
  <c r="A21318" i="53"/>
  <c r="A21317" i="53"/>
  <c r="A21316" i="53"/>
  <c r="D21316" i="53" s="1"/>
  <c r="A21315" i="53"/>
  <c r="B21315" i="53" s="1"/>
  <c r="A21313" i="53"/>
  <c r="B21313" i="53" s="1"/>
  <c r="B21310" i="53"/>
  <c r="F21366" i="53"/>
  <c r="G21366" i="53" s="1"/>
  <c r="D21366" i="53"/>
  <c r="B21366" i="53"/>
  <c r="F21365" i="53"/>
  <c r="G21365" i="53" s="1"/>
  <c r="D21365" i="53"/>
  <c r="B21365" i="53"/>
  <c r="F21360" i="53"/>
  <c r="E21360" i="53"/>
  <c r="D21360" i="53"/>
  <c r="B21360" i="53"/>
  <c r="F21359" i="53"/>
  <c r="E21359" i="53"/>
  <c r="D21359" i="53"/>
  <c r="B21359" i="53"/>
  <c r="F21358" i="53"/>
  <c r="E21358" i="53"/>
  <c r="D21358" i="53"/>
  <c r="B21358" i="53"/>
  <c r="F21357" i="53"/>
  <c r="E21357" i="53"/>
  <c r="D21357" i="53"/>
  <c r="B21357" i="53"/>
  <c r="F21356" i="53"/>
  <c r="E21356" i="53"/>
  <c r="D21356" i="53"/>
  <c r="B21356" i="53"/>
  <c r="F21355" i="53"/>
  <c r="E21355" i="53"/>
  <c r="D21355" i="53"/>
  <c r="B21355" i="53"/>
  <c r="F21354" i="53"/>
  <c r="E21354" i="53"/>
  <c r="D21354" i="53"/>
  <c r="B21354" i="53"/>
  <c r="F21353" i="53"/>
  <c r="E21353" i="53"/>
  <c r="D21353" i="53"/>
  <c r="B21353" i="53"/>
  <c r="F21352" i="53"/>
  <c r="E21352" i="53"/>
  <c r="D21352" i="53"/>
  <c r="B21352" i="53"/>
  <c r="F21351" i="53"/>
  <c r="E21351" i="53"/>
  <c r="D21351" i="53"/>
  <c r="B21351" i="53"/>
  <c r="F21350" i="53"/>
  <c r="E21350" i="53"/>
  <c r="D21350" i="53"/>
  <c r="B21350" i="53"/>
  <c r="F21349" i="53"/>
  <c r="E21349" i="53"/>
  <c r="D21349" i="53"/>
  <c r="B21349" i="53"/>
  <c r="F21348" i="53"/>
  <c r="E21348" i="53"/>
  <c r="D21348" i="53"/>
  <c r="B21348" i="53"/>
  <c r="F21343" i="53"/>
  <c r="G21343" i="53" s="1"/>
  <c r="B21343" i="53"/>
  <c r="F21342" i="53"/>
  <c r="G21342" i="53" s="1"/>
  <c r="B21342" i="53"/>
  <c r="F21341" i="53"/>
  <c r="G21341" i="53" s="1"/>
  <c r="B21341" i="53"/>
  <c r="F21340" i="53"/>
  <c r="G21340" i="53" s="1"/>
  <c r="B21340" i="53"/>
  <c r="F21339" i="53"/>
  <c r="G21339" i="53" s="1"/>
  <c r="B21339" i="53"/>
  <c r="F21338" i="53"/>
  <c r="G21338" i="53" s="1"/>
  <c r="B21338" i="53"/>
  <c r="F21333" i="53"/>
  <c r="E21333" i="53"/>
  <c r="D21333" i="53"/>
  <c r="B21333" i="53"/>
  <c r="F21332" i="53"/>
  <c r="E21332" i="53"/>
  <c r="D21332" i="53"/>
  <c r="B21332" i="53"/>
  <c r="F21331" i="53"/>
  <c r="E21331" i="53"/>
  <c r="D21331" i="53"/>
  <c r="B21331" i="53"/>
  <c r="F21330" i="53"/>
  <c r="E21330" i="53"/>
  <c r="D21330" i="53"/>
  <c r="B21330" i="53"/>
  <c r="F21329" i="53"/>
  <c r="E21329" i="53"/>
  <c r="D21329" i="53"/>
  <c r="B21329" i="53"/>
  <c r="F21328" i="53"/>
  <c r="E21328" i="53"/>
  <c r="D21328" i="53"/>
  <c r="B21328" i="53"/>
  <c r="F21327" i="53"/>
  <c r="E21327" i="53"/>
  <c r="D21327" i="53"/>
  <c r="B21327" i="53"/>
  <c r="A21310" i="53"/>
  <c r="B21322" i="53" l="1"/>
  <c r="G21332" i="53"/>
  <c r="G21327" i="53"/>
  <c r="G21329" i="53"/>
  <c r="G21331" i="53"/>
  <c r="G21333" i="53"/>
  <c r="G21349" i="53"/>
  <c r="G21351" i="53"/>
  <c r="G21359" i="53"/>
  <c r="G21350" i="53"/>
  <c r="G21354" i="53"/>
  <c r="G21328" i="53"/>
  <c r="G21330" i="53"/>
  <c r="G21358" i="53"/>
  <c r="B21316" i="53"/>
  <c r="G21344" i="53"/>
  <c r="G21353" i="53"/>
  <c r="G21355" i="53"/>
  <c r="G21357" i="53"/>
  <c r="G21348" i="53"/>
  <c r="G21352" i="53"/>
  <c r="G21356" i="53"/>
  <c r="G21360" i="53"/>
  <c r="D21314" i="53"/>
  <c r="D21320" i="53"/>
  <c r="B21319" i="53"/>
  <c r="D21319" i="53"/>
  <c r="G21367" i="53"/>
  <c r="B21318" i="53"/>
  <c r="D21318" i="53"/>
  <c r="D21315" i="53"/>
  <c r="B21321" i="53"/>
  <c r="D21313" i="53"/>
  <c r="B21317" i="53"/>
  <c r="B21314" i="53"/>
  <c r="D21317" i="53"/>
  <c r="D21321" i="53"/>
  <c r="G21334" i="53" l="1"/>
  <c r="G21361" i="53"/>
  <c r="E395" i="55" l="1"/>
  <c r="C561" i="55"/>
  <c r="F21315" i="53" s="1"/>
  <c r="G21315" i="53" s="1"/>
  <c r="C560" i="55"/>
  <c r="F21318" i="53" s="1"/>
  <c r="G21318" i="53" s="1"/>
  <c r="E183" i="55"/>
  <c r="C559" i="55"/>
  <c r="C558" i="55"/>
  <c r="A21242" i="53"/>
  <c r="C557" i="55"/>
  <c r="F21316" i="53" s="1"/>
  <c r="G21316" i="53" s="1"/>
  <c r="A21093" i="53"/>
  <c r="A21096" i="53"/>
  <c r="C556" i="55"/>
  <c r="G403" i="1"/>
  <c r="I403" i="1"/>
  <c r="H403" i="1"/>
  <c r="C555" i="55"/>
  <c r="A21168" i="53"/>
  <c r="D21168" i="53" s="1"/>
  <c r="E554" i="55"/>
  <c r="C554" i="55" s="1"/>
  <c r="A21165" i="53"/>
  <c r="B21165" i="53"/>
  <c r="F21221" i="53"/>
  <c r="G21221" i="53" s="1"/>
  <c r="D21221" i="53"/>
  <c r="B21221" i="53"/>
  <c r="F21220" i="53"/>
  <c r="G21220" i="53" s="1"/>
  <c r="D21220" i="53"/>
  <c r="B21220" i="53"/>
  <c r="F21219" i="53"/>
  <c r="G21219" i="53" s="1"/>
  <c r="D21219" i="53"/>
  <c r="B21219" i="53"/>
  <c r="F21218" i="53"/>
  <c r="G21218" i="53" s="1"/>
  <c r="D21218" i="53"/>
  <c r="B21218" i="53"/>
  <c r="F21217" i="53"/>
  <c r="G21217" i="53" s="1"/>
  <c r="D21217" i="53"/>
  <c r="B21217" i="53"/>
  <c r="F21212" i="53"/>
  <c r="E21212" i="53"/>
  <c r="D21212" i="53"/>
  <c r="B21212" i="53"/>
  <c r="F21211" i="53"/>
  <c r="E21211" i="53"/>
  <c r="D21211" i="53"/>
  <c r="B21211" i="53"/>
  <c r="F21210" i="53"/>
  <c r="E21210" i="53"/>
  <c r="D21210" i="53"/>
  <c r="B21210" i="53"/>
  <c r="F21209" i="53"/>
  <c r="E21209" i="53"/>
  <c r="D21209" i="53"/>
  <c r="B21209" i="53"/>
  <c r="F21208" i="53"/>
  <c r="E21208" i="53"/>
  <c r="D21208" i="53"/>
  <c r="B21208" i="53"/>
  <c r="F21207" i="53"/>
  <c r="E21207" i="53"/>
  <c r="D21207" i="53"/>
  <c r="B21207" i="53"/>
  <c r="F21206" i="53"/>
  <c r="E21206" i="53"/>
  <c r="D21206" i="53"/>
  <c r="B21206" i="53"/>
  <c r="F21205" i="53"/>
  <c r="E21205" i="53"/>
  <c r="D21205" i="53"/>
  <c r="B21205" i="53"/>
  <c r="F21204" i="53"/>
  <c r="E21204" i="53"/>
  <c r="D21204" i="53"/>
  <c r="B21204" i="53"/>
  <c r="F21203" i="53"/>
  <c r="E21203" i="53"/>
  <c r="D21203" i="53"/>
  <c r="B21203" i="53"/>
  <c r="F21202" i="53"/>
  <c r="E21202" i="53"/>
  <c r="D21202" i="53"/>
  <c r="B21202" i="53"/>
  <c r="F21201" i="53"/>
  <c r="E21201" i="53"/>
  <c r="D21201" i="53"/>
  <c r="B21201" i="53"/>
  <c r="F21200" i="53"/>
  <c r="E21200" i="53"/>
  <c r="D21200" i="53"/>
  <c r="B21200" i="53"/>
  <c r="F21195" i="53"/>
  <c r="G21195" i="53" s="1"/>
  <c r="B21195" i="53"/>
  <c r="F21194" i="53"/>
  <c r="G21194" i="53" s="1"/>
  <c r="B21194" i="53"/>
  <c r="F21193" i="53"/>
  <c r="G21193" i="53" s="1"/>
  <c r="B21193" i="53"/>
  <c r="F21192" i="53"/>
  <c r="G21192" i="53" s="1"/>
  <c r="B21192" i="53"/>
  <c r="F21191" i="53"/>
  <c r="G21191" i="53" s="1"/>
  <c r="B21191" i="53"/>
  <c r="F21190" i="53"/>
  <c r="G21190" i="53" s="1"/>
  <c r="B21190" i="53"/>
  <c r="F21185" i="53"/>
  <c r="E21185" i="53"/>
  <c r="D21185" i="53"/>
  <c r="B21185" i="53"/>
  <c r="F21184" i="53"/>
  <c r="E21184" i="53"/>
  <c r="D21184" i="53"/>
  <c r="B21184" i="53"/>
  <c r="F21183" i="53"/>
  <c r="E21183" i="53"/>
  <c r="D21183" i="53"/>
  <c r="B21183" i="53"/>
  <c r="F21182" i="53"/>
  <c r="E21182" i="53"/>
  <c r="D21182" i="53"/>
  <c r="B21182" i="53"/>
  <c r="F21181" i="53"/>
  <c r="E21181" i="53"/>
  <c r="D21181" i="53"/>
  <c r="B21181" i="53"/>
  <c r="F21180" i="53"/>
  <c r="E21180" i="53"/>
  <c r="D21180" i="53"/>
  <c r="B21180" i="53"/>
  <c r="F21175" i="53"/>
  <c r="G21175" i="53" s="1"/>
  <c r="D21175" i="53"/>
  <c r="B21175" i="53"/>
  <c r="F21174" i="53"/>
  <c r="G21174" i="53" s="1"/>
  <c r="D21174" i="53"/>
  <c r="B21174" i="53"/>
  <c r="F21173" i="53"/>
  <c r="G21173" i="53" s="1"/>
  <c r="D21173" i="53"/>
  <c r="B21173" i="53"/>
  <c r="F21172" i="53"/>
  <c r="G21172" i="53" s="1"/>
  <c r="D21172" i="53"/>
  <c r="B21172" i="53"/>
  <c r="F21171" i="53"/>
  <c r="G21171" i="53" s="1"/>
  <c r="D21171" i="53"/>
  <c r="B21171" i="53"/>
  <c r="F21170" i="53"/>
  <c r="G21170" i="53" s="1"/>
  <c r="D21170" i="53"/>
  <c r="B21170" i="53"/>
  <c r="F21169" i="53"/>
  <c r="G21169" i="53" s="1"/>
  <c r="D21169" i="53"/>
  <c r="B21169" i="53"/>
  <c r="B21093" i="53"/>
  <c r="F21149" i="53"/>
  <c r="G21149" i="53" s="1"/>
  <c r="D21149" i="53"/>
  <c r="B21149" i="53"/>
  <c r="F21148" i="53"/>
  <c r="G21148" i="53" s="1"/>
  <c r="D21148" i="53"/>
  <c r="B21148" i="53"/>
  <c r="F21147" i="53"/>
  <c r="G21147" i="53" s="1"/>
  <c r="D21147" i="53"/>
  <c r="B21147" i="53"/>
  <c r="F21146" i="53"/>
  <c r="G21146" i="53" s="1"/>
  <c r="D21146" i="53"/>
  <c r="B21146" i="53"/>
  <c r="F21145" i="53"/>
  <c r="G21145" i="53" s="1"/>
  <c r="D21145" i="53"/>
  <c r="B21145" i="53"/>
  <c r="F21140" i="53"/>
  <c r="E21140" i="53"/>
  <c r="D21140" i="53"/>
  <c r="B21140" i="53"/>
  <c r="F21139" i="53"/>
  <c r="E21139" i="53"/>
  <c r="D21139" i="53"/>
  <c r="B21139" i="53"/>
  <c r="F21138" i="53"/>
  <c r="E21138" i="53"/>
  <c r="D21138" i="53"/>
  <c r="B21138" i="53"/>
  <c r="F21137" i="53"/>
  <c r="E21137" i="53"/>
  <c r="D21137" i="53"/>
  <c r="B21137" i="53"/>
  <c r="F21136" i="53"/>
  <c r="E21136" i="53"/>
  <c r="D21136" i="53"/>
  <c r="B21136" i="53"/>
  <c r="F21135" i="53"/>
  <c r="E21135" i="53"/>
  <c r="D21135" i="53"/>
  <c r="B21135" i="53"/>
  <c r="F21134" i="53"/>
  <c r="E21134" i="53"/>
  <c r="D21134" i="53"/>
  <c r="B21134" i="53"/>
  <c r="F21133" i="53"/>
  <c r="E21133" i="53"/>
  <c r="D21133" i="53"/>
  <c r="B21133" i="53"/>
  <c r="F21132" i="53"/>
  <c r="E21132" i="53"/>
  <c r="D21132" i="53"/>
  <c r="B21132" i="53"/>
  <c r="F21131" i="53"/>
  <c r="E21131" i="53"/>
  <c r="D21131" i="53"/>
  <c r="B21131" i="53"/>
  <c r="F21130" i="53"/>
  <c r="E21130" i="53"/>
  <c r="D21130" i="53"/>
  <c r="B21130" i="53"/>
  <c r="F21129" i="53"/>
  <c r="E21129" i="53"/>
  <c r="D21129" i="53"/>
  <c r="B21129" i="53"/>
  <c r="F21128" i="53"/>
  <c r="E21128" i="53"/>
  <c r="D21128" i="53"/>
  <c r="B21128" i="53"/>
  <c r="F21123" i="53"/>
  <c r="G21123" i="53" s="1"/>
  <c r="B21123" i="53"/>
  <c r="F21122" i="53"/>
  <c r="G21122" i="53" s="1"/>
  <c r="B21122" i="53"/>
  <c r="F21121" i="53"/>
  <c r="G21121" i="53" s="1"/>
  <c r="B21121" i="53"/>
  <c r="F21120" i="53"/>
  <c r="G21120" i="53" s="1"/>
  <c r="B21120" i="53"/>
  <c r="F21119" i="53"/>
  <c r="G21119" i="53" s="1"/>
  <c r="B21119" i="53"/>
  <c r="F21118" i="53"/>
  <c r="G21118" i="53" s="1"/>
  <c r="B21118" i="53"/>
  <c r="F21113" i="53"/>
  <c r="E21113" i="53"/>
  <c r="D21113" i="53"/>
  <c r="B21113" i="53"/>
  <c r="F21112" i="53"/>
  <c r="E21112" i="53"/>
  <c r="D21112" i="53"/>
  <c r="B21112" i="53"/>
  <c r="F21111" i="53"/>
  <c r="E21111" i="53"/>
  <c r="D21111" i="53"/>
  <c r="B21111" i="53"/>
  <c r="F21110" i="53"/>
  <c r="E21110" i="53"/>
  <c r="D21110" i="53"/>
  <c r="B21110" i="53"/>
  <c r="F21109" i="53"/>
  <c r="E21109" i="53"/>
  <c r="D21109" i="53"/>
  <c r="B21109" i="53"/>
  <c r="F21108" i="53"/>
  <c r="E21108" i="53"/>
  <c r="D21108" i="53"/>
  <c r="B21108" i="53"/>
  <c r="F21103" i="53"/>
  <c r="G21103" i="53" s="1"/>
  <c r="D21103" i="53"/>
  <c r="B21103" i="53"/>
  <c r="F21102" i="53"/>
  <c r="G21102" i="53" s="1"/>
  <c r="D21102" i="53"/>
  <c r="B21102" i="53"/>
  <c r="F21101" i="53"/>
  <c r="G21101" i="53" s="1"/>
  <c r="D21101" i="53"/>
  <c r="B21101" i="53"/>
  <c r="F21100" i="53"/>
  <c r="G21100" i="53" s="1"/>
  <c r="D21100" i="53"/>
  <c r="B21100" i="53"/>
  <c r="F21099" i="53"/>
  <c r="G21099" i="53" s="1"/>
  <c r="D21099" i="53"/>
  <c r="B21099" i="53"/>
  <c r="F21098" i="53"/>
  <c r="G21098" i="53" s="1"/>
  <c r="D21098" i="53"/>
  <c r="B21098" i="53"/>
  <c r="F21097" i="53"/>
  <c r="G21097" i="53" s="1"/>
  <c r="D21097" i="53"/>
  <c r="B21097" i="53"/>
  <c r="A21021" i="53"/>
  <c r="B21021" i="53"/>
  <c r="F21077" i="53"/>
  <c r="G21077" i="53" s="1"/>
  <c r="D21077" i="53"/>
  <c r="B21077" i="53"/>
  <c r="F21076" i="53"/>
  <c r="G21076" i="53" s="1"/>
  <c r="D21076" i="53"/>
  <c r="B21076" i="53"/>
  <c r="F21075" i="53"/>
  <c r="G21075" i="53" s="1"/>
  <c r="D21075" i="53"/>
  <c r="B21075" i="53"/>
  <c r="F21074" i="53"/>
  <c r="G21074" i="53" s="1"/>
  <c r="D21074" i="53"/>
  <c r="B21074" i="53"/>
  <c r="F21073" i="53"/>
  <c r="G21073" i="53" s="1"/>
  <c r="D21073" i="53"/>
  <c r="B21073" i="53"/>
  <c r="F21068" i="53"/>
  <c r="E21068" i="53"/>
  <c r="D21068" i="53"/>
  <c r="B21068" i="53"/>
  <c r="F21067" i="53"/>
  <c r="E21067" i="53"/>
  <c r="D21067" i="53"/>
  <c r="B21067" i="53"/>
  <c r="F21066" i="53"/>
  <c r="E21066" i="53"/>
  <c r="D21066" i="53"/>
  <c r="B21066" i="53"/>
  <c r="F21065" i="53"/>
  <c r="E21065" i="53"/>
  <c r="D21065" i="53"/>
  <c r="B21065" i="53"/>
  <c r="F21064" i="53"/>
  <c r="E21064" i="53"/>
  <c r="D21064" i="53"/>
  <c r="B21064" i="53"/>
  <c r="F21063" i="53"/>
  <c r="E21063" i="53"/>
  <c r="D21063" i="53"/>
  <c r="B21063" i="53"/>
  <c r="F21062" i="53"/>
  <c r="E21062" i="53"/>
  <c r="D21062" i="53"/>
  <c r="B21062" i="53"/>
  <c r="F21061" i="53"/>
  <c r="E21061" i="53"/>
  <c r="D21061" i="53"/>
  <c r="B21061" i="53"/>
  <c r="F21060" i="53"/>
  <c r="E21060" i="53"/>
  <c r="D21060" i="53"/>
  <c r="B21060" i="53"/>
  <c r="F21059" i="53"/>
  <c r="E21059" i="53"/>
  <c r="D21059" i="53"/>
  <c r="B21059" i="53"/>
  <c r="F21058" i="53"/>
  <c r="E21058" i="53"/>
  <c r="D21058" i="53"/>
  <c r="B21058" i="53"/>
  <c r="F21057" i="53"/>
  <c r="E21057" i="53"/>
  <c r="D21057" i="53"/>
  <c r="B21057" i="53"/>
  <c r="F21056" i="53"/>
  <c r="E21056" i="53"/>
  <c r="D21056" i="53"/>
  <c r="B21056" i="53"/>
  <c r="F21051" i="53"/>
  <c r="G21051" i="53" s="1"/>
  <c r="B21051" i="53"/>
  <c r="F21050" i="53"/>
  <c r="G21050" i="53" s="1"/>
  <c r="B21050" i="53"/>
  <c r="F21049" i="53"/>
  <c r="G21049" i="53" s="1"/>
  <c r="B21049" i="53"/>
  <c r="F21048" i="53"/>
  <c r="G21048" i="53" s="1"/>
  <c r="B21048" i="53"/>
  <c r="F21047" i="53"/>
  <c r="G21047" i="53" s="1"/>
  <c r="B21047" i="53"/>
  <c r="F21046" i="53"/>
  <c r="G21046" i="53" s="1"/>
  <c r="B21046" i="53"/>
  <c r="F21041" i="53"/>
  <c r="E21041" i="53"/>
  <c r="D21041" i="53"/>
  <c r="B21041" i="53"/>
  <c r="F21040" i="53"/>
  <c r="E21040" i="53"/>
  <c r="D21040" i="53"/>
  <c r="B21040" i="53"/>
  <c r="F21039" i="53"/>
  <c r="E21039" i="53"/>
  <c r="D21039" i="53"/>
  <c r="B21039" i="53"/>
  <c r="F21038" i="53"/>
  <c r="E21038" i="53"/>
  <c r="D21038" i="53"/>
  <c r="B21038" i="53"/>
  <c r="F21037" i="53"/>
  <c r="E21037" i="53"/>
  <c r="D21037" i="53"/>
  <c r="B21037" i="53"/>
  <c r="F21036" i="53"/>
  <c r="E21036" i="53"/>
  <c r="D21036" i="53"/>
  <c r="B21036" i="53"/>
  <c r="F21031" i="53"/>
  <c r="G21031" i="53" s="1"/>
  <c r="D21031" i="53"/>
  <c r="B21031" i="53"/>
  <c r="F21030" i="53"/>
  <c r="G21030" i="53" s="1"/>
  <c r="D21030" i="53"/>
  <c r="B21030" i="53"/>
  <c r="F21029" i="53"/>
  <c r="G21029" i="53" s="1"/>
  <c r="D21029" i="53"/>
  <c r="B21029" i="53"/>
  <c r="F21028" i="53"/>
  <c r="G21028" i="53" s="1"/>
  <c r="D21028" i="53"/>
  <c r="B21028" i="53"/>
  <c r="F21027" i="53"/>
  <c r="G21027" i="53" s="1"/>
  <c r="D21027" i="53"/>
  <c r="B21027" i="53"/>
  <c r="F21026" i="53"/>
  <c r="G21026" i="53" s="1"/>
  <c r="D21026" i="53"/>
  <c r="B21026" i="53"/>
  <c r="F21025" i="53"/>
  <c r="G21025" i="53" s="1"/>
  <c r="D21025" i="53"/>
  <c r="B21025" i="53"/>
  <c r="F21024" i="53"/>
  <c r="G21024" i="53" s="1"/>
  <c r="D21024" i="53"/>
  <c r="B21024" i="53"/>
  <c r="A20739" i="53"/>
  <c r="A20743" i="53"/>
  <c r="A20742" i="53"/>
  <c r="A20741" i="53"/>
  <c r="C553" i="55"/>
  <c r="A20740" i="53"/>
  <c r="A20736" i="53"/>
  <c r="A20737" i="53"/>
  <c r="E20671" i="53"/>
  <c r="E20670" i="53"/>
  <c r="E20669" i="53"/>
  <c r="E20668" i="53"/>
  <c r="E20666" i="53"/>
  <c r="E20665" i="53"/>
  <c r="E20663" i="53"/>
  <c r="E20661" i="53"/>
  <c r="A21529" i="53"/>
  <c r="C552" i="55"/>
  <c r="A21528" i="53"/>
  <c r="A21527" i="53"/>
  <c r="F236" i="1"/>
  <c r="G236" i="1"/>
  <c r="H236" i="1"/>
  <c r="I236" i="1"/>
  <c r="E236" i="1"/>
  <c r="I230" i="1"/>
  <c r="I231" i="1"/>
  <c r="I283" i="1"/>
  <c r="I284" i="1"/>
  <c r="G230" i="1"/>
  <c r="G231" i="1"/>
  <c r="G283" i="1"/>
  <c r="G284" i="1"/>
  <c r="H283" i="1"/>
  <c r="H284" i="1"/>
  <c r="H287" i="1"/>
  <c r="H288" i="1"/>
  <c r="F21096" i="53" l="1"/>
  <c r="G21096" i="53" s="1"/>
  <c r="G21104" i="53" s="1"/>
  <c r="B21168" i="53"/>
  <c r="F21243" i="53"/>
  <c r="G21243" i="53" s="1"/>
  <c r="F21317" i="53"/>
  <c r="G21317" i="53" s="1"/>
  <c r="G21211" i="53"/>
  <c r="G21181" i="53"/>
  <c r="G21200" i="53"/>
  <c r="G21202" i="53"/>
  <c r="G21140" i="53"/>
  <c r="G21210" i="53"/>
  <c r="G21067" i="53"/>
  <c r="G21183" i="53"/>
  <c r="G21185" i="53"/>
  <c r="G21138" i="53"/>
  <c r="G21201" i="53"/>
  <c r="G21112" i="53"/>
  <c r="G21111" i="53"/>
  <c r="G21113" i="53"/>
  <c r="G21128" i="53"/>
  <c r="G21131" i="53"/>
  <c r="G21137" i="53"/>
  <c r="G21180" i="53"/>
  <c r="G21184" i="53"/>
  <c r="G21182" i="53"/>
  <c r="G21129" i="53"/>
  <c r="G21059" i="53"/>
  <c r="G21204" i="53"/>
  <c r="G21206" i="53"/>
  <c r="G21208" i="53"/>
  <c r="G21041" i="53"/>
  <c r="G21212" i="53"/>
  <c r="G21130" i="53"/>
  <c r="G21108" i="53"/>
  <c r="G21110" i="53"/>
  <c r="G21203" i="53"/>
  <c r="G21205" i="53"/>
  <c r="G21207" i="53"/>
  <c r="G21209" i="53"/>
  <c r="B21096" i="53"/>
  <c r="D21096" i="53"/>
  <c r="G21222" i="53"/>
  <c r="F21168" i="53"/>
  <c r="G21168" i="53" s="1"/>
  <c r="G21176" i="53" s="1"/>
  <c r="G21196" i="53"/>
  <c r="G21037" i="53"/>
  <c r="G21039" i="53"/>
  <c r="G21061" i="53"/>
  <c r="G21063" i="53"/>
  <c r="G21133" i="53"/>
  <c r="G21135" i="53"/>
  <c r="G21139" i="53"/>
  <c r="G21040" i="53"/>
  <c r="G21060" i="53"/>
  <c r="G21064" i="53"/>
  <c r="G21066" i="53"/>
  <c r="G21109" i="53"/>
  <c r="G21132" i="53"/>
  <c r="G21134" i="53"/>
  <c r="G21136" i="53"/>
  <c r="G21150" i="53"/>
  <c r="G21124" i="53"/>
  <c r="G21068" i="53"/>
  <c r="G21057" i="53"/>
  <c r="G21036" i="53"/>
  <c r="G21065" i="53"/>
  <c r="G21038" i="53"/>
  <c r="G21056" i="53"/>
  <c r="G21058" i="53"/>
  <c r="G21062" i="53"/>
  <c r="G21032" i="53"/>
  <c r="G21078" i="53"/>
  <c r="G21052" i="53"/>
  <c r="G21186" i="53" l="1"/>
  <c r="G21213" i="53"/>
  <c r="G21114" i="53"/>
  <c r="G21141" i="53"/>
  <c r="G21069" i="53"/>
  <c r="G21042" i="53"/>
  <c r="G21224" i="53" l="1"/>
  <c r="J403" i="1" s="1"/>
  <c r="M403" i="1" s="1"/>
  <c r="G21152" i="53"/>
  <c r="J402" i="1" s="1"/>
  <c r="N402" i="1" s="1"/>
  <c r="G21080" i="53"/>
  <c r="J401" i="1" s="1"/>
  <c r="L401" i="1" s="1"/>
  <c r="K403" i="1" l="1"/>
  <c r="G21227" i="53"/>
  <c r="G21226" i="53"/>
  <c r="L403" i="1"/>
  <c r="N403" i="1"/>
  <c r="O403" i="1"/>
  <c r="G21228" i="53"/>
  <c r="G21232" i="53" s="1"/>
  <c r="G21154" i="53"/>
  <c r="G21155" i="53"/>
  <c r="M402" i="1"/>
  <c r="O402" i="1"/>
  <c r="K402" i="1"/>
  <c r="G21156" i="53"/>
  <c r="G21160" i="53" s="1"/>
  <c r="L402" i="1"/>
  <c r="G21084" i="53"/>
  <c r="G21088" i="53" s="1"/>
  <c r="G21082" i="53"/>
  <c r="G21083" i="53"/>
  <c r="N401" i="1"/>
  <c r="O401" i="1"/>
  <c r="K401" i="1"/>
  <c r="M401" i="1"/>
  <c r="H234" i="1"/>
  <c r="G287" i="1"/>
  <c r="G288" i="1"/>
  <c r="G234" i="1"/>
  <c r="I234" i="1"/>
  <c r="I287" i="1"/>
  <c r="I288" i="1"/>
  <c r="A15302" i="53"/>
  <c r="E9589" i="53"/>
  <c r="E9588" i="53"/>
  <c r="E9587" i="53"/>
  <c r="E9586" i="53"/>
  <c r="E9585" i="53"/>
  <c r="A9591" i="53"/>
  <c r="A9590" i="53"/>
  <c r="B9590" i="53" s="1"/>
  <c r="A9585" i="53"/>
  <c r="B9585" i="53" s="1"/>
  <c r="A9586" i="53"/>
  <c r="A9589" i="53"/>
  <c r="A9588" i="53"/>
  <c r="A9587" i="53"/>
  <c r="B9587" i="53" s="1"/>
  <c r="B9582" i="53"/>
  <c r="F9638" i="53"/>
  <c r="G9638" i="53" s="1"/>
  <c r="D9638" i="53"/>
  <c r="B9638" i="53"/>
  <c r="F9637" i="53"/>
  <c r="G9637" i="53" s="1"/>
  <c r="D9637" i="53"/>
  <c r="B9637" i="53"/>
  <c r="F9636" i="53"/>
  <c r="G9636" i="53" s="1"/>
  <c r="D9636" i="53"/>
  <c r="B9636" i="53"/>
  <c r="F9635" i="53"/>
  <c r="G9635" i="53" s="1"/>
  <c r="D9635" i="53"/>
  <c r="B9635" i="53"/>
  <c r="F9634" i="53"/>
  <c r="G9634" i="53" s="1"/>
  <c r="D9634" i="53"/>
  <c r="B9634" i="53"/>
  <c r="F9629" i="53"/>
  <c r="E9629" i="53"/>
  <c r="D9629" i="53"/>
  <c r="B9629" i="53"/>
  <c r="F9628" i="53"/>
  <c r="E9628" i="53"/>
  <c r="D9628" i="53"/>
  <c r="B9628" i="53"/>
  <c r="F9627" i="53"/>
  <c r="E9627" i="53"/>
  <c r="D9627" i="53"/>
  <c r="B9627" i="53"/>
  <c r="F9626" i="53"/>
  <c r="E9626" i="53"/>
  <c r="D9626" i="53"/>
  <c r="B9626" i="53"/>
  <c r="F9625" i="53"/>
  <c r="E9625" i="53"/>
  <c r="D9625" i="53"/>
  <c r="B9625" i="53"/>
  <c r="F9624" i="53"/>
  <c r="E9624" i="53"/>
  <c r="D9624" i="53"/>
  <c r="B9624" i="53"/>
  <c r="F9623" i="53"/>
  <c r="E9623" i="53"/>
  <c r="D9623" i="53"/>
  <c r="B9623" i="53"/>
  <c r="F9622" i="53"/>
  <c r="E9622" i="53"/>
  <c r="D9622" i="53"/>
  <c r="B9622" i="53"/>
  <c r="F9621" i="53"/>
  <c r="E9621" i="53"/>
  <c r="D9621" i="53"/>
  <c r="B9621" i="53"/>
  <c r="F9620" i="53"/>
  <c r="E9620" i="53"/>
  <c r="D9620" i="53"/>
  <c r="B9620" i="53"/>
  <c r="F9619" i="53"/>
  <c r="E9619" i="53"/>
  <c r="D9619" i="53"/>
  <c r="B9619" i="53"/>
  <c r="F9618" i="53"/>
  <c r="E9618" i="53"/>
  <c r="D9618" i="53"/>
  <c r="B9618" i="53"/>
  <c r="F9617" i="53"/>
  <c r="E9617" i="53"/>
  <c r="D9617" i="53"/>
  <c r="B9617" i="53"/>
  <c r="F9612" i="53"/>
  <c r="G9612" i="53" s="1"/>
  <c r="B9612" i="53"/>
  <c r="F9611" i="53"/>
  <c r="G9611" i="53" s="1"/>
  <c r="B9611" i="53"/>
  <c r="F9610" i="53"/>
  <c r="G9610" i="53" s="1"/>
  <c r="B9610" i="53"/>
  <c r="F9609" i="53"/>
  <c r="G9609" i="53" s="1"/>
  <c r="B9609" i="53"/>
  <c r="F9608" i="53"/>
  <c r="G9608" i="53" s="1"/>
  <c r="B9608" i="53"/>
  <c r="F9607" i="53"/>
  <c r="G9607" i="53" s="1"/>
  <c r="B9607" i="53"/>
  <c r="F9602" i="53"/>
  <c r="E9602" i="53"/>
  <c r="D9602" i="53"/>
  <c r="B9602" i="53"/>
  <c r="F9601" i="53"/>
  <c r="E9601" i="53"/>
  <c r="D9601" i="53"/>
  <c r="B9601" i="53"/>
  <c r="F9600" i="53"/>
  <c r="E9600" i="53"/>
  <c r="D9600" i="53"/>
  <c r="B9600" i="53"/>
  <c r="F9599" i="53"/>
  <c r="E9599" i="53"/>
  <c r="D9599" i="53"/>
  <c r="B9599" i="53"/>
  <c r="F9598" i="53"/>
  <c r="E9598" i="53"/>
  <c r="D9598" i="53"/>
  <c r="B9598" i="53"/>
  <c r="F9597" i="53"/>
  <c r="E9597" i="53"/>
  <c r="D9597" i="53"/>
  <c r="B9597" i="53"/>
  <c r="F9592" i="53"/>
  <c r="G9592" i="53" s="1"/>
  <c r="D9592" i="53"/>
  <c r="B9592" i="53"/>
  <c r="A21385" i="53"/>
  <c r="A21382" i="53"/>
  <c r="B21382" i="53"/>
  <c r="F21436" i="53"/>
  <c r="G21436" i="53" s="1"/>
  <c r="D21436" i="53"/>
  <c r="B21436" i="53"/>
  <c r="F21435" i="53"/>
  <c r="G21435" i="53" s="1"/>
  <c r="D21435" i="53"/>
  <c r="B21435" i="53"/>
  <c r="F21434" i="53"/>
  <c r="G21434" i="53" s="1"/>
  <c r="D21434" i="53"/>
  <c r="B21434" i="53"/>
  <c r="F21433" i="53"/>
  <c r="G21433" i="53" s="1"/>
  <c r="D21433" i="53"/>
  <c r="B21433" i="53"/>
  <c r="F21432" i="53"/>
  <c r="G21432" i="53" s="1"/>
  <c r="D21432" i="53"/>
  <c r="B21432" i="53"/>
  <c r="F21427" i="53"/>
  <c r="E21427" i="53"/>
  <c r="D21427" i="53"/>
  <c r="B21427" i="53"/>
  <c r="F21426" i="53"/>
  <c r="E21426" i="53"/>
  <c r="D21426" i="53"/>
  <c r="B21426" i="53"/>
  <c r="F21425" i="53"/>
  <c r="E21425" i="53"/>
  <c r="D21425" i="53"/>
  <c r="B21425" i="53"/>
  <c r="F21424" i="53"/>
  <c r="E21424" i="53"/>
  <c r="D21424" i="53"/>
  <c r="B21424" i="53"/>
  <c r="F21423" i="53"/>
  <c r="E21423" i="53"/>
  <c r="D21423" i="53"/>
  <c r="B21423" i="53"/>
  <c r="F21422" i="53"/>
  <c r="E21422" i="53"/>
  <c r="D21422" i="53"/>
  <c r="B21422" i="53"/>
  <c r="F21421" i="53"/>
  <c r="E21421" i="53"/>
  <c r="D21421" i="53"/>
  <c r="B21421" i="53"/>
  <c r="F21420" i="53"/>
  <c r="E21420" i="53"/>
  <c r="D21420" i="53"/>
  <c r="B21420" i="53"/>
  <c r="F21419" i="53"/>
  <c r="E21419" i="53"/>
  <c r="D21419" i="53"/>
  <c r="B21419" i="53"/>
  <c r="F21418" i="53"/>
  <c r="E21418" i="53"/>
  <c r="D21418" i="53"/>
  <c r="B21418" i="53"/>
  <c r="F21417" i="53"/>
  <c r="E21417" i="53"/>
  <c r="D21417" i="53"/>
  <c r="B21417" i="53"/>
  <c r="F21416" i="53"/>
  <c r="E21416" i="53"/>
  <c r="D21416" i="53"/>
  <c r="B21416" i="53"/>
  <c r="F21415" i="53"/>
  <c r="E21415" i="53"/>
  <c r="D21415" i="53"/>
  <c r="B21415" i="53"/>
  <c r="F21410" i="53"/>
  <c r="G21410" i="53" s="1"/>
  <c r="B21410" i="53"/>
  <c r="F21409" i="53"/>
  <c r="G21409" i="53" s="1"/>
  <c r="B21409" i="53"/>
  <c r="F21408" i="53"/>
  <c r="G21408" i="53" s="1"/>
  <c r="B21408" i="53"/>
  <c r="F21407" i="53"/>
  <c r="G21407" i="53" s="1"/>
  <c r="B21407" i="53"/>
  <c r="F21406" i="53"/>
  <c r="G21406" i="53" s="1"/>
  <c r="B21406" i="53"/>
  <c r="F21405" i="53"/>
  <c r="G21405" i="53" s="1"/>
  <c r="B21405" i="53"/>
  <c r="F21400" i="53"/>
  <c r="E21400" i="53"/>
  <c r="D21400" i="53"/>
  <c r="B21400" i="53"/>
  <c r="F21399" i="53"/>
  <c r="E21399" i="53"/>
  <c r="D21399" i="53"/>
  <c r="B21399" i="53"/>
  <c r="F21398" i="53"/>
  <c r="E21398" i="53"/>
  <c r="D21398" i="53"/>
  <c r="B21398" i="53"/>
  <c r="F21397" i="53"/>
  <c r="E21397" i="53"/>
  <c r="D21397" i="53"/>
  <c r="B21397" i="53"/>
  <c r="F21396" i="53"/>
  <c r="E21396" i="53"/>
  <c r="D21396" i="53"/>
  <c r="B21396" i="53"/>
  <c r="F21395" i="53"/>
  <c r="E21395" i="53"/>
  <c r="D21395" i="53"/>
  <c r="B21395" i="53"/>
  <c r="F412" i="1"/>
  <c r="E412" i="1"/>
  <c r="F242" i="1"/>
  <c r="E242" i="1"/>
  <c r="F295" i="1"/>
  <c r="E295" i="1"/>
  <c r="F296" i="1"/>
  <c r="E296" i="1"/>
  <c r="F413" i="1"/>
  <c r="E413" i="1"/>
  <c r="G21230" i="53" l="1"/>
  <c r="G21234" i="53" s="1"/>
  <c r="G21165" i="53" s="1"/>
  <c r="G21158" i="53"/>
  <c r="G21162" i="53" s="1"/>
  <c r="G21093" i="53" s="1"/>
  <c r="G21086" i="53"/>
  <c r="G21090" i="53" s="1"/>
  <c r="G21021" i="53" s="1"/>
  <c r="G9598" i="53"/>
  <c r="G9619" i="53"/>
  <c r="G21396" i="53"/>
  <c r="G21398" i="53"/>
  <c r="G9597" i="53"/>
  <c r="G9599" i="53"/>
  <c r="G9600" i="53"/>
  <c r="D9585" i="53"/>
  <c r="G21416" i="53"/>
  <c r="G21426" i="53"/>
  <c r="B9591" i="53"/>
  <c r="G9626" i="53"/>
  <c r="G9601" i="53"/>
  <c r="D9591" i="53"/>
  <c r="G9621" i="53"/>
  <c r="G9625" i="53"/>
  <c r="G9618" i="53"/>
  <c r="G9617" i="53"/>
  <c r="G9627" i="53"/>
  <c r="B9586" i="53"/>
  <c r="D9586" i="53"/>
  <c r="G9629" i="53"/>
  <c r="G21417" i="53"/>
  <c r="G21425" i="53"/>
  <c r="G9602" i="53"/>
  <c r="G9620" i="53"/>
  <c r="G9622" i="53"/>
  <c r="G9624" i="53"/>
  <c r="G9628" i="53"/>
  <c r="G21397" i="53"/>
  <c r="G21399" i="53"/>
  <c r="G9623" i="53"/>
  <c r="D9588" i="53"/>
  <c r="B9588" i="53"/>
  <c r="G9639" i="53"/>
  <c r="G9613" i="53"/>
  <c r="G21423" i="53"/>
  <c r="G21427" i="53"/>
  <c r="D9587" i="53"/>
  <c r="D9590" i="53"/>
  <c r="G21419" i="53"/>
  <c r="G21395" i="53"/>
  <c r="G21421" i="53"/>
  <c r="B9589" i="53"/>
  <c r="G21400" i="53"/>
  <c r="G21418" i="53"/>
  <c r="G21420" i="53"/>
  <c r="G21422" i="53"/>
  <c r="G21424" i="53"/>
  <c r="G21437" i="53"/>
  <c r="G21415" i="53"/>
  <c r="G21411" i="53"/>
  <c r="B21385" i="53"/>
  <c r="D21385" i="53"/>
  <c r="G9603" i="53" l="1"/>
  <c r="G9630" i="53"/>
  <c r="G21401" i="53"/>
  <c r="G21428" i="53"/>
  <c r="F243" i="1" l="1"/>
  <c r="E243" i="1"/>
  <c r="A21746" i="53"/>
  <c r="A21745" i="53"/>
  <c r="A21744" i="53"/>
  <c r="A21743" i="53"/>
  <c r="A21742" i="53"/>
  <c r="A21741" i="53"/>
  <c r="A13165" i="53"/>
  <c r="B13165" i="53" l="1"/>
  <c r="D13165" i="53"/>
  <c r="A13091" i="53" l="1"/>
  <c r="E10224" i="53"/>
  <c r="B21529" i="53"/>
  <c r="C551" i="55"/>
  <c r="D21527" i="53"/>
  <c r="A21531" i="53"/>
  <c r="D21531" i="53" s="1"/>
  <c r="A21530" i="53"/>
  <c r="A21524" i="53"/>
  <c r="B21524" i="53"/>
  <c r="F21580" i="53"/>
  <c r="G21580" i="53" s="1"/>
  <c r="D21580" i="53"/>
  <c r="B21580" i="53"/>
  <c r="F21579" i="53"/>
  <c r="G21579" i="53" s="1"/>
  <c r="D21579" i="53"/>
  <c r="B21579" i="53"/>
  <c r="F21578" i="53"/>
  <c r="G21578" i="53" s="1"/>
  <c r="D21578" i="53"/>
  <c r="B21578" i="53"/>
  <c r="F21577" i="53"/>
  <c r="G21577" i="53" s="1"/>
  <c r="D21577" i="53"/>
  <c r="B21577" i="53"/>
  <c r="F21576" i="53"/>
  <c r="G21576" i="53" s="1"/>
  <c r="D21576" i="53"/>
  <c r="B21576" i="53"/>
  <c r="F21571" i="53"/>
  <c r="E21571" i="53"/>
  <c r="D21571" i="53"/>
  <c r="B21571" i="53"/>
  <c r="F21570" i="53"/>
  <c r="E21570" i="53"/>
  <c r="D21570" i="53"/>
  <c r="B21570" i="53"/>
  <c r="F21569" i="53"/>
  <c r="E21569" i="53"/>
  <c r="D21569" i="53"/>
  <c r="B21569" i="53"/>
  <c r="F21568" i="53"/>
  <c r="E21568" i="53"/>
  <c r="D21568" i="53"/>
  <c r="B21568" i="53"/>
  <c r="F21567" i="53"/>
  <c r="E21567" i="53"/>
  <c r="D21567" i="53"/>
  <c r="B21567" i="53"/>
  <c r="F21566" i="53"/>
  <c r="E21566" i="53"/>
  <c r="D21566" i="53"/>
  <c r="B21566" i="53"/>
  <c r="F21565" i="53"/>
  <c r="E21565" i="53"/>
  <c r="D21565" i="53"/>
  <c r="B21565" i="53"/>
  <c r="F21564" i="53"/>
  <c r="E21564" i="53"/>
  <c r="D21564" i="53"/>
  <c r="B21564" i="53"/>
  <c r="F21563" i="53"/>
  <c r="E21563" i="53"/>
  <c r="D21563" i="53"/>
  <c r="B21563" i="53"/>
  <c r="F21562" i="53"/>
  <c r="E21562" i="53"/>
  <c r="D21562" i="53"/>
  <c r="B21562" i="53"/>
  <c r="F21561" i="53"/>
  <c r="E21561" i="53"/>
  <c r="D21561" i="53"/>
  <c r="B21561" i="53"/>
  <c r="F21560" i="53"/>
  <c r="E21560" i="53"/>
  <c r="D21560" i="53"/>
  <c r="B21560" i="53"/>
  <c r="F21559" i="53"/>
  <c r="E21559" i="53"/>
  <c r="D21559" i="53"/>
  <c r="B21559" i="53"/>
  <c r="F21554" i="53"/>
  <c r="G21554" i="53" s="1"/>
  <c r="B21554" i="53"/>
  <c r="F21553" i="53"/>
  <c r="G21553" i="53" s="1"/>
  <c r="B21553" i="53"/>
  <c r="F21552" i="53"/>
  <c r="G21552" i="53" s="1"/>
  <c r="B21552" i="53"/>
  <c r="F21551" i="53"/>
  <c r="G21551" i="53" s="1"/>
  <c r="B21551" i="53"/>
  <c r="F21550" i="53"/>
  <c r="G21550" i="53" s="1"/>
  <c r="B21550" i="53"/>
  <c r="F21549" i="53"/>
  <c r="G21549" i="53" s="1"/>
  <c r="B21549" i="53"/>
  <c r="F21544" i="53"/>
  <c r="E21544" i="53"/>
  <c r="D21544" i="53"/>
  <c r="B21544" i="53"/>
  <c r="F21543" i="53"/>
  <c r="E21543" i="53"/>
  <c r="D21543" i="53"/>
  <c r="B21543" i="53"/>
  <c r="F21542" i="53"/>
  <c r="E21542" i="53"/>
  <c r="D21542" i="53"/>
  <c r="B21542" i="53"/>
  <c r="F21541" i="53"/>
  <c r="E21541" i="53"/>
  <c r="D21541" i="53"/>
  <c r="B21541" i="53"/>
  <c r="F21540" i="53"/>
  <c r="E21540" i="53"/>
  <c r="D21540" i="53"/>
  <c r="B21540" i="53"/>
  <c r="F21539" i="53"/>
  <c r="E21539" i="53"/>
  <c r="D21539" i="53"/>
  <c r="B21539" i="53"/>
  <c r="F21534" i="53"/>
  <c r="G21534" i="53" s="1"/>
  <c r="D21534" i="53"/>
  <c r="B21534" i="53"/>
  <c r="F21533" i="53"/>
  <c r="G21533" i="53" s="1"/>
  <c r="D21533" i="53"/>
  <c r="B21533" i="53"/>
  <c r="F21532" i="53"/>
  <c r="G21532" i="53" s="1"/>
  <c r="D21532" i="53"/>
  <c r="B21532" i="53"/>
  <c r="A10224" i="53"/>
  <c r="E9873" i="53"/>
  <c r="E429" i="55"/>
  <c r="H321" i="1"/>
  <c r="I321" i="1"/>
  <c r="G321" i="1"/>
  <c r="F321" i="1"/>
  <c r="E321" i="1"/>
  <c r="A16418" i="53"/>
  <c r="C550" i="55"/>
  <c r="H289" i="1"/>
  <c r="I289" i="1"/>
  <c r="G289" i="1"/>
  <c r="H235" i="1"/>
  <c r="I235" i="1"/>
  <c r="G235" i="1"/>
  <c r="G21562" i="53" l="1"/>
  <c r="G21560" i="53"/>
  <c r="G21566" i="53"/>
  <c r="B13091" i="53"/>
  <c r="D13091" i="53"/>
  <c r="G21543" i="53"/>
  <c r="G21544" i="53"/>
  <c r="G21570" i="53"/>
  <c r="G21540" i="53"/>
  <c r="G21567" i="53"/>
  <c r="G21569" i="53"/>
  <c r="G21564" i="53"/>
  <c r="G21539" i="53"/>
  <c r="G21568" i="53"/>
  <c r="G21541" i="53"/>
  <c r="G21559" i="53"/>
  <c r="G21561" i="53"/>
  <c r="G21563" i="53"/>
  <c r="G21565" i="53"/>
  <c r="G21542" i="53"/>
  <c r="G21571" i="53"/>
  <c r="B21531" i="53"/>
  <c r="D21528" i="53"/>
  <c r="B21528" i="53"/>
  <c r="G21581" i="53"/>
  <c r="G21555" i="53"/>
  <c r="B21527" i="53"/>
  <c r="B21530" i="53"/>
  <c r="D21530" i="53"/>
  <c r="E316" i="1"/>
  <c r="F316" i="1"/>
  <c r="H316" i="1"/>
  <c r="I316" i="1"/>
  <c r="G316" i="1"/>
  <c r="E16075" i="53"/>
  <c r="B548" i="55"/>
  <c r="B549" i="55"/>
  <c r="A15449" i="53"/>
  <c r="A15448" i="53"/>
  <c r="D15448" i="53" s="1"/>
  <c r="C549" i="55"/>
  <c r="C548" i="55"/>
  <c r="A15447" i="53"/>
  <c r="B15447" i="53" s="1"/>
  <c r="A15452" i="53"/>
  <c r="B15452" i="53" s="1"/>
  <c r="A15451" i="53"/>
  <c r="A15450" i="53"/>
  <c r="D15450" i="53" s="1"/>
  <c r="A15446" i="53"/>
  <c r="D15446" i="53" s="1"/>
  <c r="A15444" i="53"/>
  <c r="B15444" i="53" s="1"/>
  <c r="A15443" i="53"/>
  <c r="D15443" i="53" s="1"/>
  <c r="A15445" i="53"/>
  <c r="D15445" i="53" s="1"/>
  <c r="A15442" i="53"/>
  <c r="D15442" i="53" s="1"/>
  <c r="B15439" i="53"/>
  <c r="F15497" i="53"/>
  <c r="G15497" i="53" s="1"/>
  <c r="D15497" i="53"/>
  <c r="B15497" i="53"/>
  <c r="F15496" i="53"/>
  <c r="G15496" i="53" s="1"/>
  <c r="D15496" i="53"/>
  <c r="B15496" i="53"/>
  <c r="F15495" i="53"/>
  <c r="G15495" i="53" s="1"/>
  <c r="D15495" i="53"/>
  <c r="B15495" i="53"/>
  <c r="F15494" i="53"/>
  <c r="G15494" i="53" s="1"/>
  <c r="D15494" i="53"/>
  <c r="B15494" i="53"/>
  <c r="F15489" i="53"/>
  <c r="E15489" i="53"/>
  <c r="D15489" i="53"/>
  <c r="B15489" i="53"/>
  <c r="F15488" i="53"/>
  <c r="E15488" i="53"/>
  <c r="D15488" i="53"/>
  <c r="B15488" i="53"/>
  <c r="F15487" i="53"/>
  <c r="E15487" i="53"/>
  <c r="D15487" i="53"/>
  <c r="B15487" i="53"/>
  <c r="F15486" i="53"/>
  <c r="E15486" i="53"/>
  <c r="D15486" i="53"/>
  <c r="B15486" i="53"/>
  <c r="F15485" i="53"/>
  <c r="E15485" i="53"/>
  <c r="D15485" i="53"/>
  <c r="B15485" i="53"/>
  <c r="F15484" i="53"/>
  <c r="E15484" i="53"/>
  <c r="D15484" i="53"/>
  <c r="B15484" i="53"/>
  <c r="F15483" i="53"/>
  <c r="E15483" i="53"/>
  <c r="D15483" i="53"/>
  <c r="B15483" i="53"/>
  <c r="F15482" i="53"/>
  <c r="E15482" i="53"/>
  <c r="D15482" i="53"/>
  <c r="B15482" i="53"/>
  <c r="F15481" i="53"/>
  <c r="E15481" i="53"/>
  <c r="D15481" i="53"/>
  <c r="B15481" i="53"/>
  <c r="F15480" i="53"/>
  <c r="E15480" i="53"/>
  <c r="D15480" i="53"/>
  <c r="B15480" i="53"/>
  <c r="F15479" i="53"/>
  <c r="E15479" i="53"/>
  <c r="D15479" i="53"/>
  <c r="B15479" i="53"/>
  <c r="F15478" i="53"/>
  <c r="E15478" i="53"/>
  <c r="D15478" i="53"/>
  <c r="B15478" i="53"/>
  <c r="F15477" i="53"/>
  <c r="E15477" i="53"/>
  <c r="D15477" i="53"/>
  <c r="B15477" i="53"/>
  <c r="F15472" i="53"/>
  <c r="G15472" i="53" s="1"/>
  <c r="B15472" i="53"/>
  <c r="F15471" i="53"/>
  <c r="G15471" i="53" s="1"/>
  <c r="B15471" i="53"/>
  <c r="F15470" i="53"/>
  <c r="G15470" i="53" s="1"/>
  <c r="B15470" i="53"/>
  <c r="F15469" i="53"/>
  <c r="G15469" i="53" s="1"/>
  <c r="B15469" i="53"/>
  <c r="F15468" i="53"/>
  <c r="G15468" i="53" s="1"/>
  <c r="B15468" i="53"/>
  <c r="F15467" i="53"/>
  <c r="G15467" i="53" s="1"/>
  <c r="B15467" i="53"/>
  <c r="F15462" i="53"/>
  <c r="E15462" i="53"/>
  <c r="D15462" i="53"/>
  <c r="B15462" i="53"/>
  <c r="F15461" i="53"/>
  <c r="E15461" i="53"/>
  <c r="D15461" i="53"/>
  <c r="B15461" i="53"/>
  <c r="F15460" i="53"/>
  <c r="E15460" i="53"/>
  <c r="D15460" i="53"/>
  <c r="B15460" i="53"/>
  <c r="F15459" i="53"/>
  <c r="E15459" i="53"/>
  <c r="D15459" i="53"/>
  <c r="B15459" i="53"/>
  <c r="F15458" i="53"/>
  <c r="E15458" i="53"/>
  <c r="D15458" i="53"/>
  <c r="B15458" i="53"/>
  <c r="F15457" i="53"/>
  <c r="E15457" i="53"/>
  <c r="D15457" i="53"/>
  <c r="B15457" i="53"/>
  <c r="F300" i="1"/>
  <c r="I300" i="1"/>
  <c r="H300" i="1"/>
  <c r="G300" i="1"/>
  <c r="E300" i="1"/>
  <c r="H247" i="1"/>
  <c r="I247" i="1"/>
  <c r="G247" i="1"/>
  <c r="F247" i="1"/>
  <c r="E247" i="1"/>
  <c r="I298" i="1"/>
  <c r="H298" i="1"/>
  <c r="G298" i="1"/>
  <c r="I245" i="1"/>
  <c r="H245" i="1"/>
  <c r="G245" i="1"/>
  <c r="E402" i="55"/>
  <c r="A13374" i="53"/>
  <c r="I297" i="1"/>
  <c r="H297" i="1"/>
  <c r="G297" i="1"/>
  <c r="I244" i="1"/>
  <c r="H244" i="1"/>
  <c r="G244" i="1"/>
  <c r="A13518" i="53"/>
  <c r="D13518" i="53" s="1"/>
  <c r="A13515" i="53"/>
  <c r="B13515" i="53"/>
  <c r="F13570" i="53"/>
  <c r="G13570" i="53" s="1"/>
  <c r="D13570" i="53"/>
  <c r="B13570" i="53"/>
  <c r="F13569" i="53"/>
  <c r="G13569" i="53" s="1"/>
  <c r="D13569" i="53"/>
  <c r="B13569" i="53"/>
  <c r="F13568" i="53"/>
  <c r="G13568" i="53" s="1"/>
  <c r="D13568" i="53"/>
  <c r="B13568" i="53"/>
  <c r="F13567" i="53"/>
  <c r="G13567" i="53" s="1"/>
  <c r="D13567" i="53"/>
  <c r="B13567" i="53"/>
  <c r="F13566" i="53"/>
  <c r="G13566" i="53" s="1"/>
  <c r="D13566" i="53"/>
  <c r="B13566" i="53"/>
  <c r="F13561" i="53"/>
  <c r="E13561" i="53"/>
  <c r="D13561" i="53"/>
  <c r="B13561" i="53"/>
  <c r="F13560" i="53"/>
  <c r="E13560" i="53"/>
  <c r="D13560" i="53"/>
  <c r="B13560" i="53"/>
  <c r="F13559" i="53"/>
  <c r="E13559" i="53"/>
  <c r="D13559" i="53"/>
  <c r="B13559" i="53"/>
  <c r="F13558" i="53"/>
  <c r="E13558" i="53"/>
  <c r="D13558" i="53"/>
  <c r="B13558" i="53"/>
  <c r="F13557" i="53"/>
  <c r="E13557" i="53"/>
  <c r="D13557" i="53"/>
  <c r="B13557" i="53"/>
  <c r="F13556" i="53"/>
  <c r="E13556" i="53"/>
  <c r="D13556" i="53"/>
  <c r="B13556" i="53"/>
  <c r="F13555" i="53"/>
  <c r="E13555" i="53"/>
  <c r="D13555" i="53"/>
  <c r="B13555" i="53"/>
  <c r="F13554" i="53"/>
  <c r="E13554" i="53"/>
  <c r="D13554" i="53"/>
  <c r="B13554" i="53"/>
  <c r="F13553" i="53"/>
  <c r="E13553" i="53"/>
  <c r="D13553" i="53"/>
  <c r="B13553" i="53"/>
  <c r="F13552" i="53"/>
  <c r="E13552" i="53"/>
  <c r="D13552" i="53"/>
  <c r="B13552" i="53"/>
  <c r="F13551" i="53"/>
  <c r="E13551" i="53"/>
  <c r="D13551" i="53"/>
  <c r="B13551" i="53"/>
  <c r="F13550" i="53"/>
  <c r="E13550" i="53"/>
  <c r="D13550" i="53"/>
  <c r="B13550" i="53"/>
  <c r="F13549" i="53"/>
  <c r="E13549" i="53"/>
  <c r="D13549" i="53"/>
  <c r="B13549" i="53"/>
  <c r="F13544" i="53"/>
  <c r="G13544" i="53" s="1"/>
  <c r="B13544" i="53"/>
  <c r="F13543" i="53"/>
  <c r="G13543" i="53" s="1"/>
  <c r="B13543" i="53"/>
  <c r="F13542" i="53"/>
  <c r="G13542" i="53" s="1"/>
  <c r="B13542" i="53"/>
  <c r="F13541" i="53"/>
  <c r="G13541" i="53" s="1"/>
  <c r="B13541" i="53"/>
  <c r="F13540" i="53"/>
  <c r="G13540" i="53" s="1"/>
  <c r="B13540" i="53"/>
  <c r="F13539" i="53"/>
  <c r="G13539" i="53" s="1"/>
  <c r="B13539" i="53"/>
  <c r="F13534" i="53"/>
  <c r="E13534" i="53"/>
  <c r="D13534" i="53"/>
  <c r="B13534" i="53"/>
  <c r="F13533" i="53"/>
  <c r="E13533" i="53"/>
  <c r="D13533" i="53"/>
  <c r="B13533" i="53"/>
  <c r="F13532" i="53"/>
  <c r="E13532" i="53"/>
  <c r="D13532" i="53"/>
  <c r="B13532" i="53"/>
  <c r="F13531" i="53"/>
  <c r="E13531" i="53"/>
  <c r="D13531" i="53"/>
  <c r="B13531" i="53"/>
  <c r="F13530" i="53"/>
  <c r="E13530" i="53"/>
  <c r="D13530" i="53"/>
  <c r="B13530" i="53"/>
  <c r="F13529" i="53"/>
  <c r="E13529" i="53"/>
  <c r="D13529" i="53"/>
  <c r="B13529" i="53"/>
  <c r="F13524" i="53"/>
  <c r="G13524" i="53" s="1"/>
  <c r="D13524" i="53"/>
  <c r="B13524" i="53"/>
  <c r="F13523" i="53"/>
  <c r="G13523" i="53" s="1"/>
  <c r="D13523" i="53"/>
  <c r="B13523" i="53"/>
  <c r="F13522" i="53"/>
  <c r="G13522" i="53" s="1"/>
  <c r="D13522" i="53"/>
  <c r="B13522" i="53"/>
  <c r="F13521" i="53"/>
  <c r="G13521" i="53" s="1"/>
  <c r="D13521" i="53"/>
  <c r="B13521" i="53"/>
  <c r="F13520" i="53"/>
  <c r="G13520" i="53" s="1"/>
  <c r="D13520" i="53"/>
  <c r="B13520" i="53"/>
  <c r="F13519" i="53"/>
  <c r="G13519" i="53" s="1"/>
  <c r="D13519" i="53"/>
  <c r="B13519" i="53"/>
  <c r="F297" i="1"/>
  <c r="E297" i="1"/>
  <c r="F241" i="1"/>
  <c r="E241" i="1"/>
  <c r="F290" i="1"/>
  <c r="E290" i="1"/>
  <c r="E237" i="1"/>
  <c r="F293" i="1"/>
  <c r="F240" i="1"/>
  <c r="E293" i="1"/>
  <c r="F237" i="1"/>
  <c r="E240" i="1"/>
  <c r="F235" i="1"/>
  <c r="D15447" i="53" l="1"/>
  <c r="F15449" i="53"/>
  <c r="G15449" i="53" s="1"/>
  <c r="G15478" i="53"/>
  <c r="G13551" i="53"/>
  <c r="G13559" i="53"/>
  <c r="G21545" i="53"/>
  <c r="G21572" i="53"/>
  <c r="G15477" i="53"/>
  <c r="G13529" i="53"/>
  <c r="G13531" i="53"/>
  <c r="G13533" i="53"/>
  <c r="G15458" i="53"/>
  <c r="G15460" i="53"/>
  <c r="G13532" i="53"/>
  <c r="G15459" i="53"/>
  <c r="G15461" i="53"/>
  <c r="G15486" i="53"/>
  <c r="G15480" i="53"/>
  <c r="G15482" i="53"/>
  <c r="G15484" i="53"/>
  <c r="G15488" i="53"/>
  <c r="G15479" i="53"/>
  <c r="G15481" i="53"/>
  <c r="G15485" i="53"/>
  <c r="G15487" i="53"/>
  <c r="G15489" i="53"/>
  <c r="G13550" i="53"/>
  <c r="B15449" i="53"/>
  <c r="D15449" i="53"/>
  <c r="G15457" i="53"/>
  <c r="G15483" i="53"/>
  <c r="G13555" i="53"/>
  <c r="G15462" i="53"/>
  <c r="B15443" i="53"/>
  <c r="B13518" i="53"/>
  <c r="B15451" i="53"/>
  <c r="D15451" i="53"/>
  <c r="G15498" i="53"/>
  <c r="G15473" i="53"/>
  <c r="B15446" i="53"/>
  <c r="B15450" i="53"/>
  <c r="G13553" i="53"/>
  <c r="G13557" i="53"/>
  <c r="G13561" i="53"/>
  <c r="D15444" i="53"/>
  <c r="G13530" i="53"/>
  <c r="G13552" i="53"/>
  <c r="G13554" i="53"/>
  <c r="G13556" i="53"/>
  <c r="G13558" i="53"/>
  <c r="G13534" i="53"/>
  <c r="G13560" i="53"/>
  <c r="G13549" i="53"/>
  <c r="B15445" i="53"/>
  <c r="B15448" i="53"/>
  <c r="D15452" i="53"/>
  <c r="B15442" i="53"/>
  <c r="G13571" i="53"/>
  <c r="G13545" i="53"/>
  <c r="G15463" i="53" l="1"/>
  <c r="G15490" i="53"/>
  <c r="G13535" i="53"/>
  <c r="G13562" i="53"/>
  <c r="E235" i="1"/>
  <c r="E39" i="55" l="1"/>
  <c r="A23587" i="53"/>
  <c r="A23593" i="53"/>
  <c r="A23592" i="53"/>
  <c r="A23588" i="53"/>
  <c r="A23522" i="53"/>
  <c r="A23513" i="53"/>
  <c r="C547" i="55"/>
  <c r="A23518" i="53"/>
  <c r="C546" i="55"/>
  <c r="A23517" i="53"/>
  <c r="A23514" i="53"/>
  <c r="A23096" i="53"/>
  <c r="A23024" i="53"/>
  <c r="I439" i="1"/>
  <c r="H437" i="1"/>
  <c r="G437" i="1"/>
  <c r="I437" i="1"/>
  <c r="H438" i="1"/>
  <c r="I438" i="1"/>
  <c r="F438" i="1"/>
  <c r="G438" i="1"/>
  <c r="E438" i="1"/>
  <c r="B227" i="1" l="1"/>
  <c r="A12511" i="53" s="1"/>
  <c r="B228" i="1"/>
  <c r="B226" i="1"/>
  <c r="A12441" i="53" s="1"/>
  <c r="B218" i="1"/>
  <c r="B219" i="1"/>
  <c r="A12032" i="53" s="1"/>
  <c r="B220" i="1"/>
  <c r="B221" i="1"/>
  <c r="B222" i="1"/>
  <c r="B223" i="1"/>
  <c r="B224" i="1"/>
  <c r="B217" i="1"/>
  <c r="B208" i="1" l="1"/>
  <c r="B230" i="1"/>
  <c r="B209" i="1"/>
  <c r="B210" i="1"/>
  <c r="B211" i="1"/>
  <c r="B212" i="1"/>
  <c r="B213" i="1"/>
  <c r="A11764" i="53" s="1"/>
  <c r="B214" i="1"/>
  <c r="B207" i="1"/>
  <c r="B200" i="1"/>
  <c r="B201" i="1"/>
  <c r="B202" i="1"/>
  <c r="B203" i="1"/>
  <c r="B204" i="1"/>
  <c r="B205" i="1"/>
  <c r="B199" i="1"/>
  <c r="B190" i="1"/>
  <c r="B191" i="1"/>
  <c r="B192" i="1"/>
  <c r="A10497" i="53" s="1"/>
  <c r="B193" i="1"/>
  <c r="B194" i="1"/>
  <c r="A10638" i="53" s="1"/>
  <c r="B195" i="1"/>
  <c r="B196" i="1"/>
  <c r="B197" i="1"/>
  <c r="B189" i="1"/>
  <c r="F441" i="1" l="1"/>
  <c r="G441" i="1"/>
  <c r="H441" i="1"/>
  <c r="I441" i="1"/>
  <c r="E441" i="1"/>
  <c r="F444" i="1" l="1"/>
  <c r="A18464" i="53"/>
  <c r="A18463" i="53"/>
  <c r="A18462" i="53"/>
  <c r="D18462" i="53" s="1"/>
  <c r="A18461" i="53"/>
  <c r="D18461" i="53" s="1"/>
  <c r="A18460" i="53"/>
  <c r="B18460" i="53" s="1"/>
  <c r="A18457" i="53"/>
  <c r="B18457" i="53"/>
  <c r="F18516" i="53"/>
  <c r="G18516" i="53" s="1"/>
  <c r="D18516" i="53"/>
  <c r="B18516" i="53"/>
  <c r="F18515" i="53"/>
  <c r="G18515" i="53" s="1"/>
  <c r="D18515" i="53"/>
  <c r="B18515" i="53"/>
  <c r="F18514" i="53"/>
  <c r="G18514" i="53" s="1"/>
  <c r="D18514" i="53"/>
  <c r="B18514" i="53"/>
  <c r="F18513" i="53"/>
  <c r="G18513" i="53" s="1"/>
  <c r="D18513" i="53"/>
  <c r="B18513" i="53"/>
  <c r="F18512" i="53"/>
  <c r="G18512" i="53" s="1"/>
  <c r="D18512" i="53"/>
  <c r="B18512" i="53"/>
  <c r="F18511" i="53"/>
  <c r="G18511" i="53" s="1"/>
  <c r="D18511" i="53"/>
  <c r="B18511" i="53"/>
  <c r="F18506" i="53"/>
  <c r="E18506" i="53"/>
  <c r="D18506" i="53"/>
  <c r="B18506" i="53"/>
  <c r="F18505" i="53"/>
  <c r="E18505" i="53"/>
  <c r="D18505" i="53"/>
  <c r="B18505" i="53"/>
  <c r="F18504" i="53"/>
  <c r="E18504" i="53"/>
  <c r="D18504" i="53"/>
  <c r="B18504" i="53"/>
  <c r="F18503" i="53"/>
  <c r="E18503" i="53"/>
  <c r="D18503" i="53"/>
  <c r="B18503" i="53"/>
  <c r="F18502" i="53"/>
  <c r="E18502" i="53"/>
  <c r="D18502" i="53"/>
  <c r="B18502" i="53"/>
  <c r="F18501" i="53"/>
  <c r="E18501" i="53"/>
  <c r="D18501" i="53"/>
  <c r="B18501" i="53"/>
  <c r="F18500" i="53"/>
  <c r="E18500" i="53"/>
  <c r="D18500" i="53"/>
  <c r="B18500" i="53"/>
  <c r="F18499" i="53"/>
  <c r="E18499" i="53"/>
  <c r="D18499" i="53"/>
  <c r="B18499" i="53"/>
  <c r="F18498" i="53"/>
  <c r="E18498" i="53"/>
  <c r="D18498" i="53"/>
  <c r="B18498" i="53"/>
  <c r="F18497" i="53"/>
  <c r="E18497" i="53"/>
  <c r="D18497" i="53"/>
  <c r="B18497" i="53"/>
  <c r="F18496" i="53"/>
  <c r="E18496" i="53"/>
  <c r="D18496" i="53"/>
  <c r="B18496" i="53"/>
  <c r="F18495" i="53"/>
  <c r="E18495" i="53"/>
  <c r="D18495" i="53"/>
  <c r="B18495" i="53"/>
  <c r="F18494" i="53"/>
  <c r="E18494" i="53"/>
  <c r="D18494" i="53"/>
  <c r="B18494" i="53"/>
  <c r="F18489" i="53"/>
  <c r="G18489" i="53" s="1"/>
  <c r="B18489" i="53"/>
  <c r="F18488" i="53"/>
  <c r="G18488" i="53" s="1"/>
  <c r="B18488" i="53"/>
  <c r="F18487" i="53"/>
  <c r="G18487" i="53" s="1"/>
  <c r="B18487" i="53"/>
  <c r="F18486" i="53"/>
  <c r="G18486" i="53" s="1"/>
  <c r="B18486" i="53"/>
  <c r="F18485" i="53"/>
  <c r="G18485" i="53" s="1"/>
  <c r="B18485" i="53"/>
  <c r="F18484" i="53"/>
  <c r="G18484" i="53" s="1"/>
  <c r="B18484" i="53"/>
  <c r="F18479" i="53"/>
  <c r="E18479" i="53"/>
  <c r="D18479" i="53"/>
  <c r="B18479" i="53"/>
  <c r="F18478" i="53"/>
  <c r="E18478" i="53"/>
  <c r="D18478" i="53"/>
  <c r="B18478" i="53"/>
  <c r="F18477" i="53"/>
  <c r="E18477" i="53"/>
  <c r="D18477" i="53"/>
  <c r="B18477" i="53"/>
  <c r="F18476" i="53"/>
  <c r="E18476" i="53"/>
  <c r="D18476" i="53"/>
  <c r="B18476" i="53"/>
  <c r="F18475" i="53"/>
  <c r="E18475" i="53"/>
  <c r="D18475" i="53"/>
  <c r="B18475" i="53"/>
  <c r="F18474" i="53"/>
  <c r="E18474" i="53"/>
  <c r="D18474" i="53"/>
  <c r="B18474" i="53"/>
  <c r="F18473" i="53"/>
  <c r="E18473" i="53"/>
  <c r="D18473" i="53"/>
  <c r="B18473" i="53"/>
  <c r="F18466" i="53"/>
  <c r="G18466" i="53" s="1"/>
  <c r="D18466" i="53"/>
  <c r="B18466" i="53"/>
  <c r="A15099" i="53"/>
  <c r="A15098" i="53"/>
  <c r="A15374" i="53"/>
  <c r="D15374" i="53" s="1"/>
  <c r="A15371" i="53"/>
  <c r="B15371" i="53"/>
  <c r="F15423" i="53"/>
  <c r="G15423" i="53" s="1"/>
  <c r="D15423" i="53"/>
  <c r="B15423" i="53"/>
  <c r="F15422" i="53"/>
  <c r="G15422" i="53" s="1"/>
  <c r="D15422" i="53"/>
  <c r="B15422" i="53"/>
  <c r="F15421" i="53"/>
  <c r="G15421" i="53" s="1"/>
  <c r="D15421" i="53"/>
  <c r="B15421" i="53"/>
  <c r="F15420" i="53"/>
  <c r="G15420" i="53" s="1"/>
  <c r="D15420" i="53"/>
  <c r="B15420" i="53"/>
  <c r="F15419" i="53"/>
  <c r="G15419" i="53" s="1"/>
  <c r="D15419" i="53"/>
  <c r="B15419" i="53"/>
  <c r="F15414" i="53"/>
  <c r="E15414" i="53"/>
  <c r="D15414" i="53"/>
  <c r="B15414" i="53"/>
  <c r="F15413" i="53"/>
  <c r="E15413" i="53"/>
  <c r="D15413" i="53"/>
  <c r="B15413" i="53"/>
  <c r="F15412" i="53"/>
  <c r="E15412" i="53"/>
  <c r="D15412" i="53"/>
  <c r="B15412" i="53"/>
  <c r="F15411" i="53"/>
  <c r="E15411" i="53"/>
  <c r="D15411" i="53"/>
  <c r="B15411" i="53"/>
  <c r="F15410" i="53"/>
  <c r="E15410" i="53"/>
  <c r="D15410" i="53"/>
  <c r="B15410" i="53"/>
  <c r="F15409" i="53"/>
  <c r="E15409" i="53"/>
  <c r="D15409" i="53"/>
  <c r="B15409" i="53"/>
  <c r="F15408" i="53"/>
  <c r="E15408" i="53"/>
  <c r="D15408" i="53"/>
  <c r="B15408" i="53"/>
  <c r="F15407" i="53"/>
  <c r="E15407" i="53"/>
  <c r="D15407" i="53"/>
  <c r="B15407" i="53"/>
  <c r="F15406" i="53"/>
  <c r="E15406" i="53"/>
  <c r="D15406" i="53"/>
  <c r="B15406" i="53"/>
  <c r="F15405" i="53"/>
  <c r="E15405" i="53"/>
  <c r="D15405" i="53"/>
  <c r="B15405" i="53"/>
  <c r="F15404" i="53"/>
  <c r="E15404" i="53"/>
  <c r="D15404" i="53"/>
  <c r="B15404" i="53"/>
  <c r="F15403" i="53"/>
  <c r="E15403" i="53"/>
  <c r="D15403" i="53"/>
  <c r="B15403" i="53"/>
  <c r="F15402" i="53"/>
  <c r="E15402" i="53"/>
  <c r="D15402" i="53"/>
  <c r="B15402" i="53"/>
  <c r="F15397" i="53"/>
  <c r="G15397" i="53" s="1"/>
  <c r="B15397" i="53"/>
  <c r="F15396" i="53"/>
  <c r="G15396" i="53" s="1"/>
  <c r="B15396" i="53"/>
  <c r="F15395" i="53"/>
  <c r="G15395" i="53" s="1"/>
  <c r="B15395" i="53"/>
  <c r="F15394" i="53"/>
  <c r="G15394" i="53" s="1"/>
  <c r="B15394" i="53"/>
  <c r="F15393" i="53"/>
  <c r="G15393" i="53" s="1"/>
  <c r="B15393" i="53"/>
  <c r="F15392" i="53"/>
  <c r="G15392" i="53" s="1"/>
  <c r="B15392" i="53"/>
  <c r="F15391" i="53"/>
  <c r="G15391" i="53" s="1"/>
  <c r="B15391" i="53"/>
  <c r="F15386" i="53"/>
  <c r="E15386" i="53"/>
  <c r="D15386" i="53"/>
  <c r="B15386" i="53"/>
  <c r="F15385" i="53"/>
  <c r="E15385" i="53"/>
  <c r="D15385" i="53"/>
  <c r="B15385" i="53"/>
  <c r="F15384" i="53"/>
  <c r="E15384" i="53"/>
  <c r="D15384" i="53"/>
  <c r="B15384" i="53"/>
  <c r="F15383" i="53"/>
  <c r="E15383" i="53"/>
  <c r="D15383" i="53"/>
  <c r="B15383" i="53"/>
  <c r="F15382" i="53"/>
  <c r="E15382" i="53"/>
  <c r="D15382" i="53"/>
  <c r="B15382" i="53"/>
  <c r="F15381" i="53"/>
  <c r="E15381" i="53"/>
  <c r="D15381" i="53"/>
  <c r="B15381" i="53"/>
  <c r="F15376" i="53"/>
  <c r="G15376" i="53" s="1"/>
  <c r="D15376" i="53"/>
  <c r="B15376" i="53"/>
  <c r="F15375" i="53"/>
  <c r="G15375" i="53" s="1"/>
  <c r="D15375" i="53"/>
  <c r="B15375" i="53"/>
  <c r="A23234" i="53"/>
  <c r="A23233" i="53"/>
  <c r="A23661" i="53"/>
  <c r="A23599" i="53"/>
  <c r="A23598" i="53"/>
  <c r="A23597" i="53"/>
  <c r="A23596" i="53"/>
  <c r="A23595" i="53"/>
  <c r="A23594" i="53"/>
  <c r="A23591" i="53"/>
  <c r="A23590" i="53"/>
  <c r="A23589" i="53"/>
  <c r="A23521" i="53"/>
  <c r="A23520" i="53"/>
  <c r="A23519" i="53"/>
  <c r="A23516" i="53"/>
  <c r="A23515" i="53"/>
  <c r="A23442" i="53"/>
  <c r="A23372" i="53"/>
  <c r="A23371" i="53"/>
  <c r="G18497" i="53" l="1"/>
  <c r="G18503" i="53"/>
  <c r="G18501" i="53"/>
  <c r="G18474" i="53"/>
  <c r="F18460" i="53"/>
  <c r="G18460" i="53" s="1"/>
  <c r="G18475" i="53"/>
  <c r="G18479" i="53"/>
  <c r="G18498" i="53"/>
  <c r="G18500" i="53"/>
  <c r="G18504" i="53"/>
  <c r="D18460" i="53"/>
  <c r="G18496" i="53"/>
  <c r="G18476" i="53"/>
  <c r="G18478" i="53"/>
  <c r="G18502" i="53"/>
  <c r="G18506" i="53"/>
  <c r="G18473" i="53"/>
  <c r="G18495" i="53"/>
  <c r="G18477" i="53"/>
  <c r="G18499" i="53"/>
  <c r="G18505" i="53"/>
  <c r="G18494" i="53"/>
  <c r="B18462" i="53"/>
  <c r="G18517" i="53"/>
  <c r="G18490" i="53"/>
  <c r="B18464" i="53"/>
  <c r="B18461" i="53"/>
  <c r="D18464" i="53"/>
  <c r="G15382" i="53"/>
  <c r="G15384" i="53"/>
  <c r="B18463" i="53"/>
  <c r="D18463" i="53"/>
  <c r="G15383" i="53"/>
  <c r="G15385" i="53"/>
  <c r="G15408" i="53"/>
  <c r="G15405" i="53"/>
  <c r="G15403" i="53"/>
  <c r="B15374" i="53"/>
  <c r="G15412" i="53"/>
  <c r="G15402" i="53"/>
  <c r="G15404" i="53"/>
  <c r="G15414" i="53"/>
  <c r="G15413" i="53"/>
  <c r="G15381" i="53"/>
  <c r="G15407" i="53"/>
  <c r="G15409" i="53"/>
  <c r="G15411" i="53"/>
  <c r="G15386" i="53"/>
  <c r="G15406" i="53"/>
  <c r="G15410" i="53"/>
  <c r="G15424" i="53"/>
  <c r="G15398" i="53"/>
  <c r="G18480" i="53" l="1"/>
  <c r="G18507" i="53"/>
  <c r="G15415" i="53"/>
  <c r="G15387" i="53"/>
  <c r="A21672" i="53" l="1"/>
  <c r="A21671" i="53"/>
  <c r="A21670" i="53"/>
  <c r="A21669" i="53"/>
  <c r="A20808" i="53"/>
  <c r="A19114" i="53"/>
  <c r="A19113" i="53"/>
  <c r="A19112" i="53"/>
  <c r="A19111" i="53"/>
  <c r="A19110" i="53"/>
  <c r="A19109" i="53"/>
  <c r="A19043" i="53"/>
  <c r="A19042" i="53"/>
  <c r="A19041" i="53"/>
  <c r="A19040" i="53"/>
  <c r="A19039" i="53"/>
  <c r="A19038" i="53"/>
  <c r="A17972" i="53"/>
  <c r="A17971" i="53"/>
  <c r="A17970" i="53"/>
  <c r="A21604" i="53"/>
  <c r="A21603" i="53"/>
  <c r="A21602" i="53"/>
  <c r="A21601" i="53"/>
  <c r="A21600" i="53"/>
  <c r="A21599" i="53"/>
  <c r="A18684" i="53"/>
  <c r="A18683" i="53"/>
  <c r="A18682" i="53"/>
  <c r="A18681" i="53"/>
  <c r="A18680" i="53"/>
  <c r="A18679" i="53"/>
  <c r="A18541" i="53"/>
  <c r="A18540" i="53"/>
  <c r="A18539" i="53"/>
  <c r="A18538" i="53"/>
  <c r="A18537" i="53"/>
  <c r="A18536" i="53"/>
  <c r="A18535" i="53"/>
  <c r="A18394" i="53"/>
  <c r="F327" i="1"/>
  <c r="E327" i="1"/>
  <c r="A16629" i="53"/>
  <c r="A16840" i="53" l="1"/>
  <c r="B16840" i="53" s="1"/>
  <c r="A16842" i="53"/>
  <c r="B16842" i="53" s="1"/>
  <c r="E436" i="55"/>
  <c r="E420" i="55"/>
  <c r="A12309" i="53"/>
  <c r="A12308" i="53"/>
  <c r="A17404" i="53"/>
  <c r="C545" i="55"/>
  <c r="A17548" i="53"/>
  <c r="A17332" i="53"/>
  <c r="F197" i="1"/>
  <c r="E197" i="1"/>
  <c r="A14154" i="53"/>
  <c r="D14154" i="53" s="1"/>
  <c r="B14151" i="53"/>
  <c r="F14206" i="53"/>
  <c r="G14206" i="53" s="1"/>
  <c r="D14206" i="53"/>
  <c r="B14206" i="53"/>
  <c r="F14205" i="53"/>
  <c r="G14205" i="53" s="1"/>
  <c r="D14205" i="53"/>
  <c r="B14205" i="53"/>
  <c r="F14204" i="53"/>
  <c r="G14204" i="53" s="1"/>
  <c r="D14204" i="53"/>
  <c r="B14204" i="53"/>
  <c r="F14203" i="53"/>
  <c r="G14203" i="53" s="1"/>
  <c r="D14203" i="53"/>
  <c r="B14203" i="53"/>
  <c r="F14202" i="53"/>
  <c r="G14202" i="53" s="1"/>
  <c r="D14202" i="53"/>
  <c r="B14202" i="53"/>
  <c r="F14197" i="53"/>
  <c r="E14197" i="53"/>
  <c r="D14197" i="53"/>
  <c r="B14197" i="53"/>
  <c r="F14196" i="53"/>
  <c r="E14196" i="53"/>
  <c r="D14196" i="53"/>
  <c r="B14196" i="53"/>
  <c r="F14195" i="53"/>
  <c r="E14195" i="53"/>
  <c r="D14195" i="53"/>
  <c r="B14195" i="53"/>
  <c r="F14194" i="53"/>
  <c r="E14194" i="53"/>
  <c r="D14194" i="53"/>
  <c r="B14194" i="53"/>
  <c r="F14193" i="53"/>
  <c r="E14193" i="53"/>
  <c r="D14193" i="53"/>
  <c r="B14193" i="53"/>
  <c r="F14192" i="53"/>
  <c r="E14192" i="53"/>
  <c r="D14192" i="53"/>
  <c r="B14192" i="53"/>
  <c r="F14191" i="53"/>
  <c r="E14191" i="53"/>
  <c r="D14191" i="53"/>
  <c r="B14191" i="53"/>
  <c r="F14190" i="53"/>
  <c r="E14190" i="53"/>
  <c r="D14190" i="53"/>
  <c r="B14190" i="53"/>
  <c r="F14189" i="53"/>
  <c r="E14189" i="53"/>
  <c r="D14189" i="53"/>
  <c r="B14189" i="53"/>
  <c r="F14188" i="53"/>
  <c r="E14188" i="53"/>
  <c r="D14188" i="53"/>
  <c r="B14188" i="53"/>
  <c r="F14187" i="53"/>
  <c r="E14187" i="53"/>
  <c r="D14187" i="53"/>
  <c r="B14187" i="53"/>
  <c r="F14186" i="53"/>
  <c r="E14186" i="53"/>
  <c r="D14186" i="53"/>
  <c r="B14186" i="53"/>
  <c r="F14185" i="53"/>
  <c r="E14185" i="53"/>
  <c r="D14185" i="53"/>
  <c r="B14185" i="53"/>
  <c r="F14180" i="53"/>
  <c r="G14180" i="53" s="1"/>
  <c r="B14180" i="53"/>
  <c r="F14179" i="53"/>
  <c r="G14179" i="53" s="1"/>
  <c r="B14179" i="53"/>
  <c r="F14178" i="53"/>
  <c r="G14178" i="53" s="1"/>
  <c r="B14178" i="53"/>
  <c r="F14177" i="53"/>
  <c r="G14177" i="53" s="1"/>
  <c r="B14177" i="53"/>
  <c r="F14176" i="53"/>
  <c r="G14176" i="53" s="1"/>
  <c r="B14176" i="53"/>
  <c r="F14175" i="53"/>
  <c r="G14175" i="53" s="1"/>
  <c r="B14175" i="53"/>
  <c r="F14170" i="53"/>
  <c r="E14170" i="53"/>
  <c r="D14170" i="53"/>
  <c r="B14170" i="53"/>
  <c r="F14169" i="53"/>
  <c r="E14169" i="53"/>
  <c r="D14169" i="53"/>
  <c r="B14169" i="53"/>
  <c r="F14168" i="53"/>
  <c r="E14168" i="53"/>
  <c r="D14168" i="53"/>
  <c r="B14168" i="53"/>
  <c r="F14167" i="53"/>
  <c r="E14167" i="53"/>
  <c r="D14167" i="53"/>
  <c r="B14167" i="53"/>
  <c r="F14166" i="53"/>
  <c r="E14166" i="53"/>
  <c r="D14166" i="53"/>
  <c r="B14166" i="53"/>
  <c r="F14165" i="53"/>
  <c r="E14165" i="53"/>
  <c r="D14165" i="53"/>
  <c r="B14165" i="53"/>
  <c r="F14160" i="53"/>
  <c r="G14160" i="53" s="1"/>
  <c r="D14160" i="53"/>
  <c r="B14160" i="53"/>
  <c r="F14159" i="53"/>
  <c r="G14159" i="53" s="1"/>
  <c r="D14159" i="53"/>
  <c r="B14159" i="53"/>
  <c r="F14158" i="53"/>
  <c r="G14158" i="53" s="1"/>
  <c r="D14158" i="53"/>
  <c r="B14158" i="53"/>
  <c r="F14157" i="53"/>
  <c r="G14157" i="53" s="1"/>
  <c r="D14157" i="53"/>
  <c r="B14157" i="53"/>
  <c r="F14156" i="53"/>
  <c r="G14156" i="53" s="1"/>
  <c r="D14156" i="53"/>
  <c r="B14156" i="53"/>
  <c r="F14155" i="53"/>
  <c r="G14155" i="53" s="1"/>
  <c r="D14155" i="53"/>
  <c r="B14155" i="53"/>
  <c r="F196" i="1"/>
  <c r="E196" i="1"/>
  <c r="A10780" i="53"/>
  <c r="E544" i="55"/>
  <c r="C544" i="55" s="1"/>
  <c r="E190" i="55"/>
  <c r="A10710" i="53"/>
  <c r="A10709" i="53"/>
  <c r="A14086" i="53"/>
  <c r="B14086" i="53" s="1"/>
  <c r="A14085" i="53"/>
  <c r="E10569" i="53"/>
  <c r="E10571" i="53"/>
  <c r="E10573" i="53"/>
  <c r="A10573" i="53"/>
  <c r="E10290" i="53"/>
  <c r="A13877" i="53"/>
  <c r="D16840" i="53" l="1"/>
  <c r="D16842" i="53"/>
  <c r="G14188" i="53"/>
  <c r="G14190" i="53"/>
  <c r="G14192" i="53"/>
  <c r="G14194" i="53"/>
  <c r="G14170" i="53"/>
  <c r="G14185" i="53"/>
  <c r="G14189" i="53"/>
  <c r="G14191" i="53"/>
  <c r="G14193" i="53"/>
  <c r="G14167" i="53"/>
  <c r="G14169" i="53"/>
  <c r="G14197" i="53"/>
  <c r="G14186" i="53"/>
  <c r="G14168" i="53"/>
  <c r="G14166" i="53"/>
  <c r="G14196" i="53"/>
  <c r="G14165" i="53"/>
  <c r="G14187" i="53"/>
  <c r="G14195" i="53"/>
  <c r="D14086" i="53"/>
  <c r="B14154" i="53"/>
  <c r="G14207" i="53"/>
  <c r="G14181" i="53"/>
  <c r="B10573" i="53"/>
  <c r="D10573" i="53"/>
  <c r="G14198" i="53" l="1"/>
  <c r="G14171" i="53"/>
  <c r="E14085" i="53"/>
  <c r="E14084" i="53"/>
  <c r="E14083" i="53"/>
  <c r="E10572" i="53"/>
  <c r="E10570" i="53"/>
  <c r="A14017" i="53"/>
  <c r="A14015" i="53"/>
  <c r="A14016" i="53"/>
  <c r="B14016" i="53" s="1"/>
  <c r="A14014" i="53"/>
  <c r="B14014" i="53" s="1"/>
  <c r="A14013" i="53"/>
  <c r="D14013" i="53" s="1"/>
  <c r="A14010" i="53"/>
  <c r="B14010" i="53"/>
  <c r="F14063" i="53"/>
  <c r="G14063" i="53" s="1"/>
  <c r="D14063" i="53"/>
  <c r="B14063" i="53"/>
  <c r="F14062" i="53"/>
  <c r="G14062" i="53" s="1"/>
  <c r="D14062" i="53"/>
  <c r="B14062" i="53"/>
  <c r="F14061" i="53"/>
  <c r="G14061" i="53" s="1"/>
  <c r="D14061" i="53"/>
  <c r="B14061" i="53"/>
  <c r="F14060" i="53"/>
  <c r="G14060" i="53" s="1"/>
  <c r="D14060" i="53"/>
  <c r="B14060" i="53"/>
  <c r="F14059" i="53"/>
  <c r="G14059" i="53" s="1"/>
  <c r="D14059" i="53"/>
  <c r="B14059" i="53"/>
  <c r="F14054" i="53"/>
  <c r="E14054" i="53"/>
  <c r="D14054" i="53"/>
  <c r="B14054" i="53"/>
  <c r="F14053" i="53"/>
  <c r="E14053" i="53"/>
  <c r="D14053" i="53"/>
  <c r="B14053" i="53"/>
  <c r="F14052" i="53"/>
  <c r="E14052" i="53"/>
  <c r="D14052" i="53"/>
  <c r="B14052" i="53"/>
  <c r="F14051" i="53"/>
  <c r="E14051" i="53"/>
  <c r="D14051" i="53"/>
  <c r="B14051" i="53"/>
  <c r="F14050" i="53"/>
  <c r="E14050" i="53"/>
  <c r="D14050" i="53"/>
  <c r="B14050" i="53"/>
  <c r="F14049" i="53"/>
  <c r="E14049" i="53"/>
  <c r="D14049" i="53"/>
  <c r="B14049" i="53"/>
  <c r="F14048" i="53"/>
  <c r="E14048" i="53"/>
  <c r="D14048" i="53"/>
  <c r="B14048" i="53"/>
  <c r="F14047" i="53"/>
  <c r="E14047" i="53"/>
  <c r="D14047" i="53"/>
  <c r="B14047" i="53"/>
  <c r="F14046" i="53"/>
  <c r="E14046" i="53"/>
  <c r="D14046" i="53"/>
  <c r="B14046" i="53"/>
  <c r="F14045" i="53"/>
  <c r="E14045" i="53"/>
  <c r="D14045" i="53"/>
  <c r="B14045" i="53"/>
  <c r="F14044" i="53"/>
  <c r="E14044" i="53"/>
  <c r="D14044" i="53"/>
  <c r="B14044" i="53"/>
  <c r="F14043" i="53"/>
  <c r="E14043" i="53"/>
  <c r="D14043" i="53"/>
  <c r="B14043" i="53"/>
  <c r="F14042" i="53"/>
  <c r="E14042" i="53"/>
  <c r="D14042" i="53"/>
  <c r="B14042" i="53"/>
  <c r="F14037" i="53"/>
  <c r="G14037" i="53" s="1"/>
  <c r="B14037" i="53"/>
  <c r="F14036" i="53"/>
  <c r="G14036" i="53" s="1"/>
  <c r="B14036" i="53"/>
  <c r="F14035" i="53"/>
  <c r="G14035" i="53" s="1"/>
  <c r="B14035" i="53"/>
  <c r="F14034" i="53"/>
  <c r="G14034" i="53" s="1"/>
  <c r="B14034" i="53"/>
  <c r="F14033" i="53"/>
  <c r="G14033" i="53" s="1"/>
  <c r="B14033" i="53"/>
  <c r="F14032" i="53"/>
  <c r="G14032" i="53" s="1"/>
  <c r="B14032" i="53"/>
  <c r="F14027" i="53"/>
  <c r="E14027" i="53"/>
  <c r="D14027" i="53"/>
  <c r="B14027" i="53"/>
  <c r="F14026" i="53"/>
  <c r="E14026" i="53"/>
  <c r="D14026" i="53"/>
  <c r="B14026" i="53"/>
  <c r="F14025" i="53"/>
  <c r="E14025" i="53"/>
  <c r="D14025" i="53"/>
  <c r="B14025" i="53"/>
  <c r="F14024" i="53"/>
  <c r="E14024" i="53"/>
  <c r="D14024" i="53"/>
  <c r="B14024" i="53"/>
  <c r="F14023" i="53"/>
  <c r="E14023" i="53"/>
  <c r="D14023" i="53"/>
  <c r="B14023" i="53"/>
  <c r="F14022" i="53"/>
  <c r="E14022" i="53"/>
  <c r="D14022" i="53"/>
  <c r="B14022" i="53"/>
  <c r="E14015" i="53"/>
  <c r="E14014" i="53"/>
  <c r="E14013" i="53"/>
  <c r="D14014" i="53" l="1"/>
  <c r="G14023" i="53"/>
  <c r="G14025" i="53"/>
  <c r="G14022" i="53"/>
  <c r="G14043" i="53"/>
  <c r="G14045" i="53"/>
  <c r="G14047" i="53"/>
  <c r="G14052" i="53"/>
  <c r="G14049" i="53"/>
  <c r="G14048" i="53"/>
  <c r="G14044" i="53"/>
  <c r="G14038" i="53"/>
  <c r="D14016" i="53"/>
  <c r="D14015" i="53"/>
  <c r="G14051" i="53"/>
  <c r="G14053" i="53"/>
  <c r="B14015" i="53"/>
  <c r="G14024" i="53"/>
  <c r="G14026" i="53"/>
  <c r="G14042" i="53"/>
  <c r="G14046" i="53"/>
  <c r="G14050" i="53"/>
  <c r="G14054" i="53"/>
  <c r="G14027" i="53"/>
  <c r="B14017" i="53"/>
  <c r="D14017" i="53"/>
  <c r="G14064" i="53"/>
  <c r="B14013" i="53"/>
  <c r="G14028" i="53" l="1"/>
  <c r="G14055" i="53"/>
  <c r="E10437" i="53" l="1"/>
  <c r="E10433" i="53"/>
  <c r="E10431" i="53"/>
  <c r="E10429" i="53"/>
  <c r="E13879" i="53"/>
  <c r="E13878" i="53"/>
  <c r="E13877" i="53"/>
  <c r="E13876" i="53"/>
  <c r="E13875" i="53"/>
  <c r="E13874" i="53"/>
  <c r="E13873" i="53"/>
  <c r="E13880" i="53"/>
  <c r="E13881" i="53"/>
  <c r="E10367" i="53"/>
  <c r="E10366" i="53"/>
  <c r="E10368" i="53"/>
  <c r="E10365" i="53"/>
  <c r="E10364" i="53"/>
  <c r="E10363" i="53"/>
  <c r="E10362" i="53"/>
  <c r="E10361" i="53"/>
  <c r="E10360" i="53"/>
  <c r="A17479" i="53"/>
  <c r="A17478" i="53"/>
  <c r="A17477" i="53"/>
  <c r="A17476" i="53"/>
  <c r="E15166" i="53" l="1"/>
  <c r="E15236" i="53"/>
  <c r="E12725" i="53"/>
  <c r="E12652" i="53"/>
  <c r="E411" i="55"/>
  <c r="H231" i="1" l="1"/>
  <c r="A14685" i="53" l="1"/>
  <c r="A11831" i="53"/>
  <c r="E543" i="55"/>
  <c r="C543" i="55" s="1"/>
  <c r="F14698" i="53" l="1"/>
  <c r="E14698" i="53"/>
  <c r="D14698" i="53"/>
  <c r="B14698" i="53"/>
  <c r="F14634" i="53"/>
  <c r="E14634" i="53"/>
  <c r="D14634" i="53"/>
  <c r="B14634" i="53"/>
  <c r="F14571" i="53"/>
  <c r="E14571" i="53"/>
  <c r="D14571" i="53"/>
  <c r="B14571" i="53"/>
  <c r="F14508" i="53"/>
  <c r="E14508" i="53"/>
  <c r="D14508" i="53"/>
  <c r="B14508" i="53"/>
  <c r="F11848" i="53"/>
  <c r="E11848" i="53"/>
  <c r="D11848" i="53"/>
  <c r="B11848" i="53"/>
  <c r="F11713" i="53"/>
  <c r="E11713" i="53"/>
  <c r="D11713" i="53"/>
  <c r="B11713" i="53"/>
  <c r="F11649" i="53"/>
  <c r="E11649" i="53"/>
  <c r="D11649" i="53"/>
  <c r="B11649" i="53"/>
  <c r="F11585" i="53"/>
  <c r="E11585" i="53"/>
  <c r="D11585" i="53"/>
  <c r="B11585" i="53"/>
  <c r="F11523" i="53"/>
  <c r="E11523" i="53"/>
  <c r="D11523" i="53"/>
  <c r="B11523" i="53"/>
  <c r="E367" i="55"/>
  <c r="E366" i="55"/>
  <c r="E365" i="55"/>
  <c r="E363" i="55"/>
  <c r="G14634" i="53" l="1"/>
  <c r="G14698" i="53"/>
  <c r="G11848" i="53"/>
  <c r="G14571" i="53"/>
  <c r="G11713" i="53"/>
  <c r="G14508" i="53"/>
  <c r="G11649" i="53"/>
  <c r="G11585" i="53"/>
  <c r="G11523" i="53"/>
  <c r="E30" i="55"/>
  <c r="B269" i="1" l="1"/>
  <c r="A14620" i="53" s="1"/>
  <c r="B270" i="1"/>
  <c r="A14623" i="53"/>
  <c r="B14623" i="53" s="1"/>
  <c r="E542" i="55"/>
  <c r="C542" i="55" s="1"/>
  <c r="B14620" i="53"/>
  <c r="F14666" i="53"/>
  <c r="G14666" i="53" s="1"/>
  <c r="D14666" i="53"/>
  <c r="B14666" i="53"/>
  <c r="F14661" i="53"/>
  <c r="E14661" i="53"/>
  <c r="D14661" i="53"/>
  <c r="B14661" i="53"/>
  <c r="F14660" i="53"/>
  <c r="E14660" i="53"/>
  <c r="D14660" i="53"/>
  <c r="B14660" i="53"/>
  <c r="F14659" i="53"/>
  <c r="E14659" i="53"/>
  <c r="D14659" i="53"/>
  <c r="B14659" i="53"/>
  <c r="F14658" i="53"/>
  <c r="E14658" i="53"/>
  <c r="D14658" i="53"/>
  <c r="B14658" i="53"/>
  <c r="F14657" i="53"/>
  <c r="E14657" i="53"/>
  <c r="D14657" i="53"/>
  <c r="B14657" i="53"/>
  <c r="F14656" i="53"/>
  <c r="E14656" i="53"/>
  <c r="D14656" i="53"/>
  <c r="B14656" i="53"/>
  <c r="F14655" i="53"/>
  <c r="E14655" i="53"/>
  <c r="D14655" i="53"/>
  <c r="B14655" i="53"/>
  <c r="F14654" i="53"/>
  <c r="E14654" i="53"/>
  <c r="D14654" i="53"/>
  <c r="B14654" i="53"/>
  <c r="F14653" i="53"/>
  <c r="E14653" i="53"/>
  <c r="D14653" i="53"/>
  <c r="B14653" i="53"/>
  <c r="F14652" i="53"/>
  <c r="E14652" i="53"/>
  <c r="D14652" i="53"/>
  <c r="B14652" i="53"/>
  <c r="F14651" i="53"/>
  <c r="E14651" i="53"/>
  <c r="D14651" i="53"/>
  <c r="B14651" i="53"/>
  <c r="F14650" i="53"/>
  <c r="E14650" i="53"/>
  <c r="D14650" i="53"/>
  <c r="B14650" i="53"/>
  <c r="F14649" i="53"/>
  <c r="E14649" i="53"/>
  <c r="D14649" i="53"/>
  <c r="B14649" i="53"/>
  <c r="F14644" i="53"/>
  <c r="G14644" i="53" s="1"/>
  <c r="B14644" i="53"/>
  <c r="F14643" i="53"/>
  <c r="G14643" i="53" s="1"/>
  <c r="B14643" i="53"/>
  <c r="F14642" i="53"/>
  <c r="G14642" i="53" s="1"/>
  <c r="B14642" i="53"/>
  <c r="F14641" i="53"/>
  <c r="G14641" i="53" s="1"/>
  <c r="B14641" i="53"/>
  <c r="F14640" i="53"/>
  <c r="G14640" i="53" s="1"/>
  <c r="B14640" i="53"/>
  <c r="F14639" i="53"/>
  <c r="G14639" i="53" s="1"/>
  <c r="B14639" i="53"/>
  <c r="F14633" i="53"/>
  <c r="E14633" i="53"/>
  <c r="D14633" i="53"/>
  <c r="B14633" i="53"/>
  <c r="F14632" i="53"/>
  <c r="E14632" i="53"/>
  <c r="D14632" i="53"/>
  <c r="B14632" i="53"/>
  <c r="F14631" i="53"/>
  <c r="E14631" i="53"/>
  <c r="D14631" i="53"/>
  <c r="B14631" i="53"/>
  <c r="F14630" i="53"/>
  <c r="E14630" i="53"/>
  <c r="D14630" i="53"/>
  <c r="B14630" i="53"/>
  <c r="F14629" i="53"/>
  <c r="E14629" i="53"/>
  <c r="D14629" i="53"/>
  <c r="B14629" i="53"/>
  <c r="F14628" i="53"/>
  <c r="E14628" i="53"/>
  <c r="D14628" i="53"/>
  <c r="B14628" i="53"/>
  <c r="G14629" i="53" l="1"/>
  <c r="G14657" i="53"/>
  <c r="G14651" i="53"/>
  <c r="G14630" i="53"/>
  <c r="G14650" i="53"/>
  <c r="G14631" i="53"/>
  <c r="G14633" i="53"/>
  <c r="G14632" i="53"/>
  <c r="G14649" i="53"/>
  <c r="G14659" i="53"/>
  <c r="G14658" i="53"/>
  <c r="G14661" i="53"/>
  <c r="G14628" i="53"/>
  <c r="G14652" i="53"/>
  <c r="G14654" i="53"/>
  <c r="G14656" i="53"/>
  <c r="G14660" i="53"/>
  <c r="G14653" i="53"/>
  <c r="G14655" i="53"/>
  <c r="D14623" i="53"/>
  <c r="G14645" i="53"/>
  <c r="G14667" i="53"/>
  <c r="G14635" i="53" l="1"/>
  <c r="G14662" i="53"/>
  <c r="E369" i="55"/>
  <c r="E368" i="55"/>
  <c r="E52" i="55"/>
  <c r="E51" i="55"/>
  <c r="E50" i="55"/>
  <c r="E40" i="55"/>
  <c r="E31" i="55"/>
  <c r="E29" i="55"/>
  <c r="E28" i="55"/>
  <c r="E27" i="55"/>
  <c r="E46" i="55"/>
  <c r="E22" i="55"/>
  <c r="A11048" i="53"/>
  <c r="E541" i="55"/>
  <c r="C541" i="55" s="1"/>
  <c r="B11045" i="53"/>
  <c r="F11096" i="53"/>
  <c r="G11096" i="53" s="1"/>
  <c r="D11096" i="53"/>
  <c r="B11096" i="53"/>
  <c r="F11095" i="53"/>
  <c r="G11095" i="53" s="1"/>
  <c r="D11095" i="53"/>
  <c r="B11095" i="53"/>
  <c r="F11094" i="53"/>
  <c r="G11094" i="53" s="1"/>
  <c r="D11094" i="53"/>
  <c r="B11094" i="53"/>
  <c r="F11093" i="53"/>
  <c r="G11093" i="53" s="1"/>
  <c r="D11093" i="53"/>
  <c r="B11093" i="53"/>
  <c r="F11092" i="53"/>
  <c r="G11092" i="53" s="1"/>
  <c r="D11092" i="53"/>
  <c r="B11092" i="53"/>
  <c r="F11087" i="53"/>
  <c r="E11087" i="53"/>
  <c r="D11087" i="53"/>
  <c r="B11087" i="53"/>
  <c r="F11086" i="53"/>
  <c r="E11086" i="53"/>
  <c r="D11086" i="53"/>
  <c r="B11086" i="53"/>
  <c r="F11085" i="53"/>
  <c r="E11085" i="53"/>
  <c r="D11085" i="53"/>
  <c r="B11085" i="53"/>
  <c r="F11084" i="53"/>
  <c r="E11084" i="53"/>
  <c r="D11084" i="53"/>
  <c r="B11084" i="53"/>
  <c r="F11083" i="53"/>
  <c r="E11083" i="53"/>
  <c r="D11083" i="53"/>
  <c r="B11083" i="53"/>
  <c r="F11082" i="53"/>
  <c r="E11082" i="53"/>
  <c r="D11082" i="53"/>
  <c r="B11082" i="53"/>
  <c r="F11081" i="53"/>
  <c r="E11081" i="53"/>
  <c r="D11081" i="53"/>
  <c r="B11081" i="53"/>
  <c r="F11080" i="53"/>
  <c r="E11080" i="53"/>
  <c r="D11080" i="53"/>
  <c r="B11080" i="53"/>
  <c r="F11079" i="53"/>
  <c r="E11079" i="53"/>
  <c r="D11079" i="53"/>
  <c r="B11079" i="53"/>
  <c r="F11078" i="53"/>
  <c r="E11078" i="53"/>
  <c r="D11078" i="53"/>
  <c r="B11078" i="53"/>
  <c r="F11077" i="53"/>
  <c r="E11077" i="53"/>
  <c r="D11077" i="53"/>
  <c r="B11077" i="53"/>
  <c r="F11076" i="53"/>
  <c r="E11076" i="53"/>
  <c r="D11076" i="53"/>
  <c r="B11076" i="53"/>
  <c r="F11075" i="53"/>
  <c r="E11075" i="53"/>
  <c r="D11075" i="53"/>
  <c r="B11075" i="53"/>
  <c r="F11070" i="53"/>
  <c r="G11070" i="53" s="1"/>
  <c r="B11070" i="53"/>
  <c r="F11069" i="53"/>
  <c r="G11069" i="53" s="1"/>
  <c r="B11069" i="53"/>
  <c r="F11068" i="53"/>
  <c r="G11068" i="53" s="1"/>
  <c r="B11068" i="53"/>
  <c r="F11067" i="53"/>
  <c r="G11067" i="53" s="1"/>
  <c r="B11067" i="53"/>
  <c r="F11066" i="53"/>
  <c r="G11066" i="53" s="1"/>
  <c r="B11066" i="53"/>
  <c r="F11065" i="53"/>
  <c r="G11065" i="53" s="1"/>
  <c r="B11065" i="53"/>
  <c r="F11064" i="53"/>
  <c r="G11064" i="53" s="1"/>
  <c r="B11064" i="53"/>
  <c r="F11059" i="53"/>
  <c r="E11059" i="53"/>
  <c r="D11059" i="53"/>
  <c r="B11059" i="53"/>
  <c r="F11058" i="53"/>
  <c r="E11058" i="53"/>
  <c r="D11058" i="53"/>
  <c r="B11058" i="53"/>
  <c r="F11057" i="53"/>
  <c r="E11057" i="53"/>
  <c r="D11057" i="53"/>
  <c r="B11057" i="53"/>
  <c r="F11056" i="53"/>
  <c r="E11056" i="53"/>
  <c r="D11056" i="53"/>
  <c r="B11056" i="53"/>
  <c r="F11055" i="53"/>
  <c r="E11055" i="53"/>
  <c r="D11055" i="53"/>
  <c r="B11055" i="53"/>
  <c r="F11054" i="53"/>
  <c r="E11054" i="53"/>
  <c r="D11054" i="53"/>
  <c r="B11054" i="53"/>
  <c r="F11049" i="53"/>
  <c r="G11049" i="53" s="1"/>
  <c r="D11049" i="53"/>
  <c r="B11049" i="53"/>
  <c r="A505" i="53"/>
  <c r="A504" i="53"/>
  <c r="A503" i="53"/>
  <c r="A502" i="53"/>
  <c r="A501" i="53"/>
  <c r="B501" i="53" s="1"/>
  <c r="A500" i="53"/>
  <c r="A499" i="53"/>
  <c r="A498" i="53"/>
  <c r="A497" i="53"/>
  <c r="D497" i="53" s="1"/>
  <c r="A496" i="53"/>
  <c r="B496" i="53" s="1"/>
  <c r="A495" i="53"/>
  <c r="A494" i="53"/>
  <c r="A493" i="53"/>
  <c r="D493" i="53" s="1"/>
  <c r="A492" i="53"/>
  <c r="B488" i="53"/>
  <c r="F552" i="53"/>
  <c r="G552" i="53" s="1"/>
  <c r="D552" i="53"/>
  <c r="B552" i="53"/>
  <c r="F551" i="53"/>
  <c r="G551" i="53" s="1"/>
  <c r="D551" i="53"/>
  <c r="B551" i="53"/>
  <c r="F550" i="53"/>
  <c r="G550" i="53" s="1"/>
  <c r="D550" i="53"/>
  <c r="B550" i="53"/>
  <c r="F549" i="53"/>
  <c r="G549" i="53" s="1"/>
  <c r="D549" i="53"/>
  <c r="B549" i="53"/>
  <c r="F548" i="53"/>
  <c r="G548" i="53" s="1"/>
  <c r="D548" i="53"/>
  <c r="B548" i="53"/>
  <c r="F543" i="53"/>
  <c r="E543" i="53"/>
  <c r="D543" i="53"/>
  <c r="B543" i="53"/>
  <c r="F542" i="53"/>
  <c r="E542" i="53"/>
  <c r="D542" i="53"/>
  <c r="B542" i="53"/>
  <c r="F541" i="53"/>
  <c r="E541" i="53"/>
  <c r="D541" i="53"/>
  <c r="B541" i="53"/>
  <c r="F540" i="53"/>
  <c r="E540" i="53"/>
  <c r="D540" i="53"/>
  <c r="B540" i="53"/>
  <c r="F539" i="53"/>
  <c r="E539" i="53"/>
  <c r="D539" i="53"/>
  <c r="B539" i="53"/>
  <c r="F538" i="53"/>
  <c r="E538" i="53"/>
  <c r="D538" i="53"/>
  <c r="B538" i="53"/>
  <c r="F537" i="53"/>
  <c r="E537" i="53"/>
  <c r="D537" i="53"/>
  <c r="B537" i="53"/>
  <c r="F536" i="53"/>
  <c r="E536" i="53"/>
  <c r="D536" i="53"/>
  <c r="B536" i="53"/>
  <c r="F535" i="53"/>
  <c r="E535" i="53"/>
  <c r="D535" i="53"/>
  <c r="B535" i="53"/>
  <c r="F534" i="53"/>
  <c r="E534" i="53"/>
  <c r="D534" i="53"/>
  <c r="B534" i="53"/>
  <c r="F533" i="53"/>
  <c r="E533" i="53"/>
  <c r="D533" i="53"/>
  <c r="B533" i="53"/>
  <c r="F532" i="53"/>
  <c r="E532" i="53"/>
  <c r="D532" i="53"/>
  <c r="B532" i="53"/>
  <c r="F531" i="53"/>
  <c r="E531" i="53"/>
  <c r="D531" i="53"/>
  <c r="B531" i="53"/>
  <c r="F526" i="53"/>
  <c r="G526" i="53" s="1"/>
  <c r="B526" i="53"/>
  <c r="F525" i="53"/>
  <c r="G525" i="53" s="1"/>
  <c r="B525" i="53"/>
  <c r="F524" i="53"/>
  <c r="G524" i="53" s="1"/>
  <c r="B524" i="53"/>
  <c r="F523" i="53"/>
  <c r="G523" i="53" s="1"/>
  <c r="B523" i="53"/>
  <c r="F522" i="53"/>
  <c r="G522" i="53" s="1"/>
  <c r="B522" i="53"/>
  <c r="F521" i="53"/>
  <c r="G521" i="53" s="1"/>
  <c r="B521" i="53"/>
  <c r="F520" i="53"/>
  <c r="G520" i="53" s="1"/>
  <c r="B520" i="53"/>
  <c r="F515" i="53"/>
  <c r="E515" i="53"/>
  <c r="D515" i="53"/>
  <c r="B515" i="53"/>
  <c r="F514" i="53"/>
  <c r="E514" i="53"/>
  <c r="D514" i="53"/>
  <c r="B514" i="53"/>
  <c r="F513" i="53"/>
  <c r="E513" i="53"/>
  <c r="D513" i="53"/>
  <c r="B513" i="53"/>
  <c r="F512" i="53"/>
  <c r="E512" i="53"/>
  <c r="D512" i="53"/>
  <c r="B512" i="53"/>
  <c r="F511" i="53"/>
  <c r="E511" i="53"/>
  <c r="D511" i="53"/>
  <c r="B511" i="53"/>
  <c r="F510" i="53"/>
  <c r="E510" i="53"/>
  <c r="D510" i="53"/>
  <c r="B510" i="53"/>
  <c r="E492" i="53"/>
  <c r="A11045" i="53"/>
  <c r="A8203" i="53"/>
  <c r="A8336" i="53"/>
  <c r="A3749" i="53"/>
  <c r="B64" i="1"/>
  <c r="A488" i="53"/>
  <c r="A568" i="53"/>
  <c r="F201" i="1"/>
  <c r="E201" i="1"/>
  <c r="G11086" i="53" l="1"/>
  <c r="G11078" i="53"/>
  <c r="F11048" i="53"/>
  <c r="G11048" i="53" s="1"/>
  <c r="G11050" i="53" s="1"/>
  <c r="B11048" i="53"/>
  <c r="D11048" i="53"/>
  <c r="G11077" i="53"/>
  <c r="G11079" i="53"/>
  <c r="G11081" i="53"/>
  <c r="G11085" i="53"/>
  <c r="G11087" i="53"/>
  <c r="G11054" i="53"/>
  <c r="G11058" i="53"/>
  <c r="G11097" i="53"/>
  <c r="G11057" i="53"/>
  <c r="G11059" i="53"/>
  <c r="B497" i="53"/>
  <c r="G542" i="53"/>
  <c r="G538" i="53"/>
  <c r="G534" i="53"/>
  <c r="G11056" i="53"/>
  <c r="G536" i="53"/>
  <c r="G11055" i="53"/>
  <c r="D501" i="53"/>
  <c r="G11082" i="53"/>
  <c r="G11075" i="53"/>
  <c r="G11080" i="53"/>
  <c r="G11083" i="53"/>
  <c r="G11076" i="53"/>
  <c r="G11084" i="53"/>
  <c r="G11071" i="53"/>
  <c r="B505" i="53"/>
  <c r="D505" i="53"/>
  <c r="G531" i="53"/>
  <c r="G539" i="53"/>
  <c r="D504" i="53"/>
  <c r="B504" i="53"/>
  <c r="G512" i="53"/>
  <c r="G533" i="53"/>
  <c r="B493" i="53"/>
  <c r="D503" i="53"/>
  <c r="B503" i="53"/>
  <c r="G535" i="53"/>
  <c r="G537" i="53"/>
  <c r="G541" i="53"/>
  <c r="G514" i="53"/>
  <c r="G511" i="53"/>
  <c r="G513" i="53"/>
  <c r="G515" i="53"/>
  <c r="D502" i="53"/>
  <c r="B502" i="53"/>
  <c r="G532" i="53"/>
  <c r="G543" i="53"/>
  <c r="G510" i="53"/>
  <c r="G540" i="53"/>
  <c r="D500" i="53"/>
  <c r="B500" i="53"/>
  <c r="D496" i="53"/>
  <c r="D495" i="53"/>
  <c r="D499" i="53"/>
  <c r="B499" i="53"/>
  <c r="G527" i="53"/>
  <c r="G553" i="53"/>
  <c r="B498" i="53"/>
  <c r="B492" i="53"/>
  <c r="B495" i="53"/>
  <c r="D498" i="53"/>
  <c r="D492" i="53"/>
  <c r="B494" i="53"/>
  <c r="D494" i="53"/>
  <c r="B773" i="53"/>
  <c r="F825" i="53"/>
  <c r="G825" i="53" s="1"/>
  <c r="D825" i="53"/>
  <c r="B825" i="53"/>
  <c r="F824" i="53"/>
  <c r="G824" i="53" s="1"/>
  <c r="D824" i="53"/>
  <c r="B824" i="53"/>
  <c r="F823" i="53"/>
  <c r="G823" i="53" s="1"/>
  <c r="D823" i="53"/>
  <c r="B823" i="53"/>
  <c r="F822" i="53"/>
  <c r="G822" i="53" s="1"/>
  <c r="D822" i="53"/>
  <c r="B822" i="53"/>
  <c r="F821" i="53"/>
  <c r="G821" i="53" s="1"/>
  <c r="D821" i="53"/>
  <c r="B821" i="53"/>
  <c r="F816" i="53"/>
  <c r="E816" i="53"/>
  <c r="D816" i="53"/>
  <c r="B816" i="53"/>
  <c r="F815" i="53"/>
  <c r="E815" i="53"/>
  <c r="D815" i="53"/>
  <c r="B815" i="53"/>
  <c r="F814" i="53"/>
  <c r="E814" i="53"/>
  <c r="D814" i="53"/>
  <c r="B814" i="53"/>
  <c r="F813" i="53"/>
  <c r="E813" i="53"/>
  <c r="D813" i="53"/>
  <c r="B813" i="53"/>
  <c r="F812" i="53"/>
  <c r="E812" i="53"/>
  <c r="D812" i="53"/>
  <c r="B812" i="53"/>
  <c r="F811" i="53"/>
  <c r="E811" i="53"/>
  <c r="D811" i="53"/>
  <c r="B811" i="53"/>
  <c r="F810" i="53"/>
  <c r="E810" i="53"/>
  <c r="D810" i="53"/>
  <c r="B810" i="53"/>
  <c r="F809" i="53"/>
  <c r="E809" i="53"/>
  <c r="D809" i="53"/>
  <c r="B809" i="53"/>
  <c r="F808" i="53"/>
  <c r="E808" i="53"/>
  <c r="D808" i="53"/>
  <c r="B808" i="53"/>
  <c r="F807" i="53"/>
  <c r="E807" i="53"/>
  <c r="D807" i="53"/>
  <c r="B807" i="53"/>
  <c r="F806" i="53"/>
  <c r="E806" i="53"/>
  <c r="D806" i="53"/>
  <c r="B806" i="53"/>
  <c r="F805" i="53"/>
  <c r="E805" i="53"/>
  <c r="D805" i="53"/>
  <c r="B805" i="53"/>
  <c r="F804" i="53"/>
  <c r="E804" i="53"/>
  <c r="D804" i="53"/>
  <c r="B804" i="53"/>
  <c r="F799" i="53"/>
  <c r="G799" i="53" s="1"/>
  <c r="B799" i="53"/>
  <c r="F798" i="53"/>
  <c r="G798" i="53" s="1"/>
  <c r="B798" i="53"/>
  <c r="F797" i="53"/>
  <c r="G797" i="53" s="1"/>
  <c r="B797" i="53"/>
  <c r="F796" i="53"/>
  <c r="G796" i="53" s="1"/>
  <c r="B796" i="53"/>
  <c r="F795" i="53"/>
  <c r="G795" i="53" s="1"/>
  <c r="B795" i="53"/>
  <c r="F794" i="53"/>
  <c r="G794" i="53" s="1"/>
  <c r="B794" i="53"/>
  <c r="F789" i="53"/>
  <c r="E789" i="53"/>
  <c r="D789" i="53"/>
  <c r="B789" i="53"/>
  <c r="F788" i="53"/>
  <c r="E788" i="53"/>
  <c r="D788" i="53"/>
  <c r="B788" i="53"/>
  <c r="F787" i="53"/>
  <c r="E787" i="53"/>
  <c r="D787" i="53"/>
  <c r="B787" i="53"/>
  <c r="F786" i="53"/>
  <c r="E786" i="53"/>
  <c r="D786" i="53"/>
  <c r="B786" i="53"/>
  <c r="F785" i="53"/>
  <c r="E785" i="53"/>
  <c r="D785" i="53"/>
  <c r="B785" i="53"/>
  <c r="F784" i="53"/>
  <c r="E784" i="53"/>
  <c r="D784" i="53"/>
  <c r="B784" i="53"/>
  <c r="D777" i="53"/>
  <c r="B777" i="53"/>
  <c r="E18" i="1"/>
  <c r="I18" i="1"/>
  <c r="H18" i="1"/>
  <c r="G11060" i="53" l="1"/>
  <c r="G11088" i="53"/>
  <c r="G544" i="53"/>
  <c r="G516" i="53"/>
  <c r="G785" i="53"/>
  <c r="G806" i="53"/>
  <c r="G786" i="53"/>
  <c r="G788" i="53"/>
  <c r="G804" i="53"/>
  <c r="G816" i="53"/>
  <c r="G809" i="53"/>
  <c r="G811" i="53"/>
  <c r="G812" i="53"/>
  <c r="G805" i="53"/>
  <c r="G807" i="53"/>
  <c r="G813" i="53"/>
  <c r="G815" i="53"/>
  <c r="G787" i="53"/>
  <c r="G789" i="53"/>
  <c r="G784" i="53"/>
  <c r="G808" i="53"/>
  <c r="G810" i="53"/>
  <c r="G814" i="53"/>
  <c r="B776" i="53"/>
  <c r="D776" i="53"/>
  <c r="G827" i="53"/>
  <c r="G800" i="53"/>
  <c r="E16" i="1"/>
  <c r="F18" i="1"/>
  <c r="F277" i="1"/>
  <c r="E7" i="1" l="1"/>
  <c r="K7" i="1" s="1"/>
  <c r="E11" i="1"/>
  <c r="G11099" i="53"/>
  <c r="G11102" i="53" s="1"/>
  <c r="G790" i="53"/>
  <c r="G817" i="53"/>
  <c r="E9" i="1" l="1"/>
  <c r="K9" i="1" s="1"/>
  <c r="J201" i="1"/>
  <c r="M201" i="1" s="1"/>
  <c r="G11101" i="53"/>
  <c r="G11103" i="53"/>
  <c r="G11107" i="53" s="1"/>
  <c r="N201" i="1" l="1"/>
  <c r="L201" i="1"/>
  <c r="K201" i="1"/>
  <c r="O201" i="1"/>
  <c r="G11105" i="53"/>
  <c r="G11109" i="53" s="1"/>
  <c r="G11045" i="53" s="1"/>
  <c r="A17257" i="53"/>
  <c r="A17267" i="53"/>
  <c r="A17266" i="53"/>
  <c r="A17265" i="53"/>
  <c r="A17264" i="53"/>
  <c r="A17263" i="53"/>
  <c r="A17262" i="53"/>
  <c r="A17261" i="53"/>
  <c r="A17260" i="53"/>
  <c r="A17046" i="53"/>
  <c r="A16692" i="53"/>
  <c r="A16703" i="53"/>
  <c r="A16702" i="53"/>
  <c r="A16701" i="53"/>
  <c r="A16700" i="53"/>
  <c r="A16699" i="53"/>
  <c r="A16698" i="53"/>
  <c r="A16697" i="53"/>
  <c r="A16696" i="53"/>
  <c r="A16695" i="53"/>
  <c r="A16489" i="53"/>
  <c r="A16488" i="53"/>
  <c r="A16483" i="53"/>
  <c r="A16493" i="53"/>
  <c r="A16492" i="53"/>
  <c r="A16491" i="53"/>
  <c r="A16490" i="53"/>
  <c r="A16487" i="53"/>
  <c r="A16486" i="53"/>
  <c r="A16485" i="53"/>
  <c r="A16566" i="53"/>
  <c r="A16565" i="53"/>
  <c r="A16564" i="53"/>
  <c r="A16563" i="53"/>
  <c r="A16561" i="53"/>
  <c r="A16560" i="53"/>
  <c r="A16559" i="53"/>
  <c r="A16558" i="53"/>
  <c r="A16556" i="53"/>
  <c r="A16626" i="53"/>
  <c r="B16629" i="53"/>
  <c r="D16630" i="53"/>
  <c r="A16553" i="53"/>
  <c r="B16626" i="53"/>
  <c r="B16630" i="53"/>
  <c r="F16630" i="53"/>
  <c r="G16630" i="53" s="1"/>
  <c r="B16635" i="53"/>
  <c r="D16635" i="53"/>
  <c r="E16635" i="53"/>
  <c r="F16635" i="53"/>
  <c r="B16636" i="53"/>
  <c r="D16636" i="53"/>
  <c r="E16636" i="53"/>
  <c r="F16636" i="53"/>
  <c r="B16637" i="53"/>
  <c r="D16637" i="53"/>
  <c r="E16637" i="53"/>
  <c r="F16637" i="53"/>
  <c r="B16638" i="53"/>
  <c r="D16638" i="53"/>
  <c r="E16638" i="53"/>
  <c r="F16638" i="53"/>
  <c r="B16639" i="53"/>
  <c r="D16639" i="53"/>
  <c r="E16639" i="53"/>
  <c r="F16639" i="53"/>
  <c r="B16640" i="53"/>
  <c r="D16640" i="53"/>
  <c r="E16640" i="53"/>
  <c r="F16640" i="53"/>
  <c r="B16645" i="53"/>
  <c r="F16645" i="53"/>
  <c r="G16645" i="53" s="1"/>
  <c r="B16646" i="53"/>
  <c r="F16646" i="53"/>
  <c r="G16646" i="53" s="1"/>
  <c r="B16647" i="53"/>
  <c r="F16647" i="53"/>
  <c r="G16647" i="53" s="1"/>
  <c r="B16648" i="53"/>
  <c r="F16648" i="53"/>
  <c r="G16648" i="53" s="1"/>
  <c r="B16649" i="53"/>
  <c r="F16649" i="53"/>
  <c r="G16649" i="53" s="1"/>
  <c r="B16650" i="53"/>
  <c r="F16650" i="53"/>
  <c r="G16650" i="53" s="1"/>
  <c r="B16655" i="53"/>
  <c r="D16655" i="53"/>
  <c r="E16655" i="53"/>
  <c r="F16655" i="53"/>
  <c r="B16656" i="53"/>
  <c r="D16656" i="53"/>
  <c r="E16656" i="53"/>
  <c r="F16656" i="53"/>
  <c r="B16657" i="53"/>
  <c r="D16657" i="53"/>
  <c r="E16657" i="53"/>
  <c r="F16657" i="53"/>
  <c r="B16658" i="53"/>
  <c r="D16658" i="53"/>
  <c r="E16658" i="53"/>
  <c r="F16658" i="53"/>
  <c r="B16659" i="53"/>
  <c r="D16659" i="53"/>
  <c r="E16659" i="53"/>
  <c r="F16659" i="53"/>
  <c r="B16660" i="53"/>
  <c r="D16660" i="53"/>
  <c r="E16660" i="53"/>
  <c r="F16660" i="53"/>
  <c r="B16661" i="53"/>
  <c r="D16661" i="53"/>
  <c r="E16661" i="53"/>
  <c r="F16661" i="53"/>
  <c r="B16662" i="53"/>
  <c r="D16662" i="53"/>
  <c r="E16662" i="53"/>
  <c r="F16662" i="53"/>
  <c r="B16663" i="53"/>
  <c r="D16663" i="53"/>
  <c r="E16663" i="53"/>
  <c r="F16663" i="53"/>
  <c r="B16664" i="53"/>
  <c r="D16664" i="53"/>
  <c r="E16664" i="53"/>
  <c r="F16664" i="53"/>
  <c r="B16665" i="53"/>
  <c r="D16665" i="53"/>
  <c r="E16665" i="53"/>
  <c r="F16665" i="53"/>
  <c r="B16666" i="53"/>
  <c r="D16666" i="53"/>
  <c r="E16666" i="53"/>
  <c r="F16666" i="53"/>
  <c r="B16667" i="53"/>
  <c r="D16667" i="53"/>
  <c r="E16667" i="53"/>
  <c r="F16667" i="53"/>
  <c r="B16672" i="53"/>
  <c r="D16672" i="53"/>
  <c r="F16672" i="53"/>
  <c r="G16672" i="53" s="1"/>
  <c r="B16673" i="53"/>
  <c r="D16673" i="53"/>
  <c r="F16673" i="53"/>
  <c r="G16673" i="53" s="1"/>
  <c r="B16674" i="53"/>
  <c r="D16674" i="53"/>
  <c r="F16674" i="53"/>
  <c r="G16674" i="53" s="1"/>
  <c r="B16675" i="53"/>
  <c r="D16675" i="53"/>
  <c r="F16675" i="53"/>
  <c r="G16675" i="53" s="1"/>
  <c r="B16676" i="53"/>
  <c r="D16676" i="53"/>
  <c r="F16676" i="53"/>
  <c r="G16676" i="53" s="1"/>
  <c r="A16480" i="53"/>
  <c r="A15093" i="53"/>
  <c r="B15093" i="53"/>
  <c r="A14886" i="53"/>
  <c r="B14886" i="53"/>
  <c r="A14818" i="53"/>
  <c r="B14818" i="53"/>
  <c r="A14751" i="53"/>
  <c r="B14751" i="53"/>
  <c r="A14423" i="53"/>
  <c r="A14355" i="53"/>
  <c r="A14288" i="53"/>
  <c r="A14222" i="53"/>
  <c r="A13300" i="53"/>
  <c r="B13300" i="53"/>
  <c r="A13229" i="53"/>
  <c r="B13229" i="53"/>
  <c r="A13010" i="53"/>
  <c r="B13010" i="53"/>
  <c r="A12580" i="53"/>
  <c r="B11312" i="53"/>
  <c r="B11246" i="53"/>
  <c r="B11179" i="53"/>
  <c r="B11112" i="53"/>
  <c r="B10980" i="53"/>
  <c r="B10914" i="53"/>
  <c r="B10848" i="53"/>
  <c r="B10777" i="53"/>
  <c r="B10704" i="53"/>
  <c r="A14079" i="53"/>
  <c r="B14079" i="53"/>
  <c r="A13870" i="53"/>
  <c r="B13870" i="53"/>
  <c r="B10566" i="53"/>
  <c r="B10426" i="53"/>
  <c r="B10357" i="53"/>
  <c r="B10287" i="53"/>
  <c r="G16664" i="53" l="1"/>
  <c r="G16656" i="53"/>
  <c r="G16640" i="53"/>
  <c r="G16637" i="53"/>
  <c r="G16635" i="53"/>
  <c r="G16661" i="53"/>
  <c r="G16659" i="53"/>
  <c r="G16655" i="53"/>
  <c r="G16665" i="53"/>
  <c r="G16638" i="53"/>
  <c r="G16666" i="53"/>
  <c r="G16658" i="53"/>
  <c r="G16663" i="53"/>
  <c r="G16657" i="53"/>
  <c r="G16636" i="53"/>
  <c r="G16662" i="53"/>
  <c r="G16667" i="53"/>
  <c r="G16660" i="53"/>
  <c r="G16639" i="53"/>
  <c r="D16629" i="53"/>
  <c r="G16677" i="53"/>
  <c r="G16651" i="53"/>
  <c r="G16641" i="53" l="1"/>
  <c r="G16668" i="53"/>
  <c r="B12373" i="53"/>
  <c r="B12303" i="53"/>
  <c r="A12235" i="53"/>
  <c r="B12235" i="53"/>
  <c r="A12167" i="53"/>
  <c r="B12167" i="53"/>
  <c r="A12100" i="53"/>
  <c r="B12100" i="53"/>
  <c r="A11968" i="53"/>
  <c r="B11968" i="53" s="1"/>
  <c r="A11965" i="53"/>
  <c r="B11965" i="53"/>
  <c r="F12016" i="53"/>
  <c r="G12016" i="53" s="1"/>
  <c r="D12016" i="53"/>
  <c r="B12016" i="53"/>
  <c r="F12015" i="53"/>
  <c r="G12015" i="53" s="1"/>
  <c r="D12015" i="53"/>
  <c r="B12015" i="53"/>
  <c r="F12014" i="53"/>
  <c r="G12014" i="53" s="1"/>
  <c r="D12014" i="53"/>
  <c r="B12014" i="53"/>
  <c r="F12013" i="53"/>
  <c r="G12013" i="53" s="1"/>
  <c r="D12013" i="53"/>
  <c r="B12013" i="53"/>
  <c r="F12012" i="53"/>
  <c r="G12012" i="53" s="1"/>
  <c r="D12012" i="53"/>
  <c r="B12012" i="53"/>
  <c r="F12007" i="53"/>
  <c r="E12007" i="53"/>
  <c r="D12007" i="53"/>
  <c r="B12007" i="53"/>
  <c r="F12006" i="53"/>
  <c r="E12006" i="53"/>
  <c r="D12006" i="53"/>
  <c r="B12006" i="53"/>
  <c r="F12005" i="53"/>
  <c r="E12005" i="53"/>
  <c r="D12005" i="53"/>
  <c r="B12005" i="53"/>
  <c r="F12004" i="53"/>
  <c r="E12004" i="53"/>
  <c r="D12004" i="53"/>
  <c r="B12004" i="53"/>
  <c r="F12003" i="53"/>
  <c r="E12003" i="53"/>
  <c r="D12003" i="53"/>
  <c r="B12003" i="53"/>
  <c r="F12002" i="53"/>
  <c r="E12002" i="53"/>
  <c r="D12002" i="53"/>
  <c r="B12002" i="53"/>
  <c r="F12001" i="53"/>
  <c r="E12001" i="53"/>
  <c r="D12001" i="53"/>
  <c r="B12001" i="53"/>
  <c r="F12000" i="53"/>
  <c r="E12000" i="53"/>
  <c r="D12000" i="53"/>
  <c r="B12000" i="53"/>
  <c r="F11999" i="53"/>
  <c r="E11999" i="53"/>
  <c r="D11999" i="53"/>
  <c r="B11999" i="53"/>
  <c r="F11998" i="53"/>
  <c r="E11998" i="53"/>
  <c r="D11998" i="53"/>
  <c r="B11998" i="53"/>
  <c r="F11997" i="53"/>
  <c r="E11997" i="53"/>
  <c r="D11997" i="53"/>
  <c r="B11997" i="53"/>
  <c r="F11996" i="53"/>
  <c r="E11996" i="53"/>
  <c r="D11996" i="53"/>
  <c r="B11996" i="53"/>
  <c r="F11995" i="53"/>
  <c r="E11995" i="53"/>
  <c r="D11995" i="53"/>
  <c r="B11995" i="53"/>
  <c r="F11990" i="53"/>
  <c r="G11990" i="53" s="1"/>
  <c r="B11990" i="53"/>
  <c r="F11989" i="53"/>
  <c r="G11989" i="53" s="1"/>
  <c r="B11989" i="53"/>
  <c r="F11988" i="53"/>
  <c r="G11988" i="53" s="1"/>
  <c r="B11988" i="53"/>
  <c r="F11987" i="53"/>
  <c r="G11987" i="53" s="1"/>
  <c r="B11987" i="53"/>
  <c r="F11986" i="53"/>
  <c r="G11986" i="53" s="1"/>
  <c r="B11986" i="53"/>
  <c r="F11985" i="53"/>
  <c r="G11985" i="53" s="1"/>
  <c r="B11985" i="53"/>
  <c r="F11984" i="53"/>
  <c r="G11984" i="53" s="1"/>
  <c r="B11984" i="53"/>
  <c r="F11979" i="53"/>
  <c r="E11979" i="53"/>
  <c r="D11979" i="53"/>
  <c r="B11979" i="53"/>
  <c r="F11978" i="53"/>
  <c r="E11978" i="53"/>
  <c r="D11978" i="53"/>
  <c r="B11978" i="53"/>
  <c r="F11977" i="53"/>
  <c r="E11977" i="53"/>
  <c r="D11977" i="53"/>
  <c r="B11977" i="53"/>
  <c r="F11976" i="53"/>
  <c r="E11976" i="53"/>
  <c r="D11976" i="53"/>
  <c r="B11976" i="53"/>
  <c r="F11975" i="53"/>
  <c r="E11975" i="53"/>
  <c r="D11975" i="53"/>
  <c r="B11975" i="53"/>
  <c r="F11974" i="53"/>
  <c r="E11974" i="53"/>
  <c r="D11974" i="53"/>
  <c r="B11974" i="53"/>
  <c r="F11969" i="53"/>
  <c r="G11969" i="53" s="1"/>
  <c r="D11969" i="53"/>
  <c r="B11969" i="53"/>
  <c r="A11899" i="53"/>
  <c r="B11899" i="53"/>
  <c r="A12035" i="53"/>
  <c r="F23663" i="53"/>
  <c r="D23663" i="53"/>
  <c r="B23663" i="53"/>
  <c r="F23662" i="53"/>
  <c r="D23662" i="53"/>
  <c r="B23662" i="53"/>
  <c r="F23448" i="53"/>
  <c r="D23448" i="53"/>
  <c r="B23448" i="53"/>
  <c r="F23447" i="53"/>
  <c r="D23447" i="53"/>
  <c r="B23447" i="53"/>
  <c r="F23446" i="53"/>
  <c r="D23446" i="53"/>
  <c r="B23446" i="53"/>
  <c r="F23445" i="53"/>
  <c r="D23445" i="53"/>
  <c r="B23445" i="53"/>
  <c r="F23444" i="53"/>
  <c r="D23444" i="53"/>
  <c r="B23444" i="53"/>
  <c r="F23443" i="53"/>
  <c r="D23443" i="53"/>
  <c r="B23443" i="53"/>
  <c r="F23377" i="53"/>
  <c r="D23377" i="53"/>
  <c r="B23377" i="53"/>
  <c r="F23376" i="53"/>
  <c r="D23376" i="53"/>
  <c r="B23376" i="53"/>
  <c r="F23375" i="53"/>
  <c r="D23375" i="53"/>
  <c r="B23375" i="53"/>
  <c r="F23374" i="53"/>
  <c r="D23374" i="53"/>
  <c r="B23374" i="53"/>
  <c r="F23373" i="53"/>
  <c r="D23373" i="53"/>
  <c r="B23373" i="53"/>
  <c r="F23305" i="53"/>
  <c r="D23305" i="53"/>
  <c r="B23305" i="53"/>
  <c r="F20815" i="53"/>
  <c r="D20815" i="53"/>
  <c r="B20815" i="53"/>
  <c r="F20814" i="53"/>
  <c r="D20814" i="53"/>
  <c r="B20814" i="53"/>
  <c r="F20813" i="53"/>
  <c r="D20813" i="53"/>
  <c r="B20813" i="53"/>
  <c r="F20812" i="53"/>
  <c r="D20812" i="53"/>
  <c r="B20812" i="53"/>
  <c r="F20811" i="53"/>
  <c r="D20811" i="53"/>
  <c r="B20811" i="53"/>
  <c r="F20810" i="53"/>
  <c r="D20810" i="53"/>
  <c r="B20810" i="53"/>
  <c r="F20809" i="53"/>
  <c r="D20809" i="53"/>
  <c r="B20809" i="53"/>
  <c r="F21676" i="53"/>
  <c r="D21676" i="53"/>
  <c r="B21676" i="53"/>
  <c r="F21675" i="53"/>
  <c r="D21675" i="53"/>
  <c r="B21675" i="53"/>
  <c r="F21674" i="53"/>
  <c r="D21674" i="53"/>
  <c r="B21674" i="53"/>
  <c r="F21673" i="53"/>
  <c r="D21673" i="53"/>
  <c r="B21673" i="53"/>
  <c r="F19116" i="53"/>
  <c r="D19116" i="53"/>
  <c r="B19116" i="53"/>
  <c r="F19115" i="53"/>
  <c r="D19115" i="53"/>
  <c r="B19115" i="53"/>
  <c r="F18542" i="53"/>
  <c r="D18542" i="53"/>
  <c r="B18542" i="53"/>
  <c r="F17552" i="53"/>
  <c r="D17552" i="53"/>
  <c r="B17552" i="53"/>
  <c r="F17551" i="53"/>
  <c r="D17551" i="53"/>
  <c r="B17551" i="53"/>
  <c r="F17550" i="53"/>
  <c r="D17550" i="53"/>
  <c r="B17550" i="53"/>
  <c r="F17549" i="53"/>
  <c r="D17549" i="53"/>
  <c r="B17549" i="53"/>
  <c r="F17483" i="53"/>
  <c r="D17483" i="53"/>
  <c r="B17483" i="53"/>
  <c r="F17482" i="53"/>
  <c r="D17482" i="53"/>
  <c r="B17482" i="53"/>
  <c r="D17481" i="53"/>
  <c r="B17481" i="53"/>
  <c r="D17480" i="53"/>
  <c r="B17480" i="53"/>
  <c r="F17411" i="53"/>
  <c r="D17411" i="53"/>
  <c r="B17411" i="53"/>
  <c r="F17410" i="53"/>
  <c r="D17410" i="53"/>
  <c r="B17410" i="53"/>
  <c r="F17409" i="53"/>
  <c r="D17409" i="53"/>
  <c r="B17409" i="53"/>
  <c r="F17408" i="53"/>
  <c r="D17408" i="53"/>
  <c r="B17408" i="53"/>
  <c r="F17407" i="53"/>
  <c r="D17407" i="53"/>
  <c r="B17407" i="53"/>
  <c r="F17339" i="53"/>
  <c r="D17339" i="53"/>
  <c r="B17339" i="53"/>
  <c r="F17338" i="53"/>
  <c r="D17338" i="53"/>
  <c r="B17338" i="53"/>
  <c r="F17337" i="53"/>
  <c r="D17337" i="53"/>
  <c r="B17337" i="53"/>
  <c r="F17336" i="53"/>
  <c r="D17336" i="53"/>
  <c r="B17336" i="53"/>
  <c r="F17335" i="53"/>
  <c r="D17335" i="53"/>
  <c r="B17335" i="53"/>
  <c r="F17055" i="53"/>
  <c r="D17055" i="53"/>
  <c r="B17055" i="53"/>
  <c r="F17054" i="53"/>
  <c r="D17054" i="53"/>
  <c r="B17054" i="53"/>
  <c r="F17053" i="53"/>
  <c r="D17053" i="53"/>
  <c r="B17053" i="53"/>
  <c r="F17052" i="53"/>
  <c r="D17052" i="53"/>
  <c r="B17052" i="53"/>
  <c r="F17051" i="53"/>
  <c r="D17051" i="53"/>
  <c r="B17051" i="53"/>
  <c r="F17050" i="53"/>
  <c r="D17050" i="53"/>
  <c r="B17050" i="53"/>
  <c r="F14895" i="53"/>
  <c r="D14895" i="53"/>
  <c r="B14895" i="53"/>
  <c r="F14894" i="53"/>
  <c r="D14894" i="53"/>
  <c r="B14894" i="53"/>
  <c r="F14893" i="53"/>
  <c r="D14893" i="53"/>
  <c r="B14893" i="53"/>
  <c r="F14892" i="53"/>
  <c r="D14892" i="53"/>
  <c r="B14892" i="53"/>
  <c r="F14891" i="53"/>
  <c r="D14891" i="53"/>
  <c r="B14891" i="53"/>
  <c r="F14890" i="53"/>
  <c r="D14890" i="53"/>
  <c r="B14890" i="53"/>
  <c r="F14823" i="53"/>
  <c r="D14823" i="53"/>
  <c r="B14823" i="53"/>
  <c r="F14822" i="53"/>
  <c r="D14822" i="53"/>
  <c r="B14822" i="53"/>
  <c r="F14755" i="53"/>
  <c r="D14755" i="53"/>
  <c r="B14755" i="53"/>
  <c r="F14432" i="53"/>
  <c r="D14432" i="53"/>
  <c r="B14432" i="53"/>
  <c r="F14431" i="53"/>
  <c r="D14431" i="53"/>
  <c r="B14431" i="53"/>
  <c r="F14430" i="53"/>
  <c r="D14430" i="53"/>
  <c r="B14430" i="53"/>
  <c r="F14429" i="53"/>
  <c r="D14429" i="53"/>
  <c r="B14429" i="53"/>
  <c r="F14428" i="53"/>
  <c r="D14428" i="53"/>
  <c r="B14428" i="53"/>
  <c r="F14427" i="53"/>
  <c r="D14427" i="53"/>
  <c r="B14427" i="53"/>
  <c r="F14360" i="53"/>
  <c r="D14360" i="53"/>
  <c r="B14360" i="53"/>
  <c r="F14359" i="53"/>
  <c r="D14359" i="53"/>
  <c r="B14359" i="53"/>
  <c r="F14292" i="53"/>
  <c r="D14292" i="53"/>
  <c r="B14292" i="53"/>
  <c r="F13309" i="53"/>
  <c r="D13309" i="53"/>
  <c r="B13309" i="53"/>
  <c r="F13308" i="53"/>
  <c r="D13308" i="53"/>
  <c r="B13308" i="53"/>
  <c r="F13307" i="53"/>
  <c r="D13307" i="53"/>
  <c r="B13307" i="53"/>
  <c r="F13306" i="53"/>
  <c r="D13306" i="53"/>
  <c r="B13306" i="53"/>
  <c r="F13305" i="53"/>
  <c r="D13305" i="53"/>
  <c r="B13305" i="53"/>
  <c r="F13304" i="53"/>
  <c r="D13304" i="53"/>
  <c r="B13304" i="53"/>
  <c r="F13238" i="53"/>
  <c r="D13238" i="53"/>
  <c r="B13238" i="53"/>
  <c r="F13237" i="53"/>
  <c r="D13237" i="53"/>
  <c r="B13237" i="53"/>
  <c r="F13236" i="53"/>
  <c r="D13236" i="53"/>
  <c r="B13236" i="53"/>
  <c r="F13235" i="53"/>
  <c r="D13235" i="53"/>
  <c r="B13235" i="53"/>
  <c r="F13234" i="53"/>
  <c r="D13234" i="53"/>
  <c r="B13234" i="53"/>
  <c r="F13233" i="53"/>
  <c r="D13233" i="53"/>
  <c r="B13233" i="53"/>
  <c r="F13019" i="53"/>
  <c r="D13019" i="53"/>
  <c r="B13019" i="53"/>
  <c r="F13018" i="53"/>
  <c r="D13018" i="53"/>
  <c r="B13018" i="53"/>
  <c r="F13017" i="53"/>
  <c r="D13017" i="53"/>
  <c r="B13017" i="53"/>
  <c r="F13016" i="53"/>
  <c r="D13016" i="53"/>
  <c r="B13016" i="53"/>
  <c r="F13015" i="53"/>
  <c r="D13015" i="53"/>
  <c r="B13015" i="53"/>
  <c r="F13014" i="53"/>
  <c r="D13014" i="53"/>
  <c r="B13014" i="53"/>
  <c r="F12585" i="53"/>
  <c r="D12585" i="53"/>
  <c r="B12585" i="53"/>
  <c r="F12584" i="53"/>
  <c r="D12584" i="53"/>
  <c r="B12584" i="53"/>
  <c r="F11316" i="53"/>
  <c r="D11316" i="53"/>
  <c r="B11316" i="53"/>
  <c r="F11250" i="53"/>
  <c r="D11250" i="53"/>
  <c r="B11250" i="53"/>
  <c r="F11183" i="53"/>
  <c r="D11183" i="53"/>
  <c r="B11183" i="53"/>
  <c r="F11116" i="53"/>
  <c r="D11116" i="53"/>
  <c r="B11116" i="53"/>
  <c r="F10984" i="53"/>
  <c r="D10984" i="53"/>
  <c r="B10984" i="53"/>
  <c r="F10918" i="53"/>
  <c r="D10918" i="53"/>
  <c r="B10918" i="53"/>
  <c r="F10852" i="53"/>
  <c r="D10852" i="53"/>
  <c r="B10852" i="53"/>
  <c r="F10786" i="53"/>
  <c r="D10786" i="53"/>
  <c r="B10786" i="53"/>
  <c r="F10785" i="53"/>
  <c r="D10785" i="53"/>
  <c r="B10785" i="53"/>
  <c r="F10784" i="53"/>
  <c r="D10784" i="53"/>
  <c r="B10784" i="53"/>
  <c r="F10783" i="53"/>
  <c r="D10783" i="53"/>
  <c r="B10783" i="53"/>
  <c r="F10782" i="53"/>
  <c r="D10782" i="53"/>
  <c r="B10782" i="53"/>
  <c r="F10781" i="53"/>
  <c r="D10781" i="53"/>
  <c r="B10781" i="53"/>
  <c r="F10713" i="53"/>
  <c r="D10713" i="53"/>
  <c r="B10713" i="53"/>
  <c r="F10712" i="53"/>
  <c r="D10712" i="53"/>
  <c r="B10712" i="53"/>
  <c r="F12379" i="53"/>
  <c r="D12379" i="53"/>
  <c r="B12379" i="53"/>
  <c r="F12378" i="53"/>
  <c r="D12378" i="53"/>
  <c r="B12378" i="53"/>
  <c r="F12240" i="53"/>
  <c r="D12240" i="53"/>
  <c r="B12240" i="53"/>
  <c r="F12239" i="53"/>
  <c r="D12239" i="53"/>
  <c r="B12239" i="53"/>
  <c r="F12172" i="53"/>
  <c r="D12172" i="53"/>
  <c r="B12172" i="53"/>
  <c r="F12171" i="53"/>
  <c r="D12171" i="53"/>
  <c r="B12171" i="53"/>
  <c r="F12104" i="53"/>
  <c r="D12104" i="53"/>
  <c r="B12104" i="53"/>
  <c r="F12037" i="53"/>
  <c r="D12037" i="53"/>
  <c r="B12037" i="53"/>
  <c r="F12036" i="53"/>
  <c r="D12036" i="53"/>
  <c r="B12036" i="53"/>
  <c r="G11975" i="53" l="1"/>
  <c r="G11977" i="53"/>
  <c r="G11979" i="53"/>
  <c r="G11997" i="53"/>
  <c r="G12002" i="53"/>
  <c r="G12004" i="53"/>
  <c r="G12006" i="53"/>
  <c r="G11999" i="53"/>
  <c r="G12005" i="53"/>
  <c r="G12001" i="53"/>
  <c r="G11978" i="53"/>
  <c r="G12000" i="53"/>
  <c r="G12003" i="53"/>
  <c r="G12007" i="53"/>
  <c r="G11996" i="53"/>
  <c r="G11974" i="53"/>
  <c r="G11976" i="53"/>
  <c r="G11998" i="53"/>
  <c r="G11995" i="53"/>
  <c r="G11991" i="53"/>
  <c r="G12017" i="53"/>
  <c r="D11968" i="53"/>
  <c r="D12035" i="53"/>
  <c r="B12035" i="53"/>
  <c r="G11980" i="53" l="1"/>
  <c r="G12008" i="53"/>
  <c r="B443" i="1" l="1"/>
  <c r="A23368" i="53" s="1"/>
  <c r="A23439" i="53"/>
  <c r="E444" i="1"/>
  <c r="A23510" i="53"/>
  <c r="A23584" i="53"/>
  <c r="A23658" i="53"/>
  <c r="B23368" i="53"/>
  <c r="G23373" i="53"/>
  <c r="G23374" i="53"/>
  <c r="G23375" i="53"/>
  <c r="G23376" i="53"/>
  <c r="G23377" i="53"/>
  <c r="B23382" i="53"/>
  <c r="D23382" i="53"/>
  <c r="E23382" i="53"/>
  <c r="F23382" i="53"/>
  <c r="B23383" i="53"/>
  <c r="D23383" i="53"/>
  <c r="E23383" i="53"/>
  <c r="F23383" i="53"/>
  <c r="B23384" i="53"/>
  <c r="D23384" i="53"/>
  <c r="E23384" i="53"/>
  <c r="F23384" i="53"/>
  <c r="B23385" i="53"/>
  <c r="D23385" i="53"/>
  <c r="E23385" i="53"/>
  <c r="F23385" i="53"/>
  <c r="B23386" i="53"/>
  <c r="D23386" i="53"/>
  <c r="E23386" i="53"/>
  <c r="F23386" i="53"/>
  <c r="B23387" i="53"/>
  <c r="D23387" i="53"/>
  <c r="E23387" i="53"/>
  <c r="F23387" i="53"/>
  <c r="B23392" i="53"/>
  <c r="F23392" i="53"/>
  <c r="G23392" i="53" s="1"/>
  <c r="B23393" i="53"/>
  <c r="F23393" i="53"/>
  <c r="G23393" i="53" s="1"/>
  <c r="B23394" i="53"/>
  <c r="F23394" i="53"/>
  <c r="G23394" i="53" s="1"/>
  <c r="B23395" i="53"/>
  <c r="F23395" i="53"/>
  <c r="G23395" i="53" s="1"/>
  <c r="B23396" i="53"/>
  <c r="F23396" i="53"/>
  <c r="G23396" i="53" s="1"/>
  <c r="B23397" i="53"/>
  <c r="F23397" i="53"/>
  <c r="G23397" i="53" s="1"/>
  <c r="B23402" i="53"/>
  <c r="D23402" i="53"/>
  <c r="E23402" i="53"/>
  <c r="F23402" i="53"/>
  <c r="B23403" i="53"/>
  <c r="D23403" i="53"/>
  <c r="E23403" i="53"/>
  <c r="F23403" i="53"/>
  <c r="B23404" i="53"/>
  <c r="D23404" i="53"/>
  <c r="E23404" i="53"/>
  <c r="F23404" i="53"/>
  <c r="B23405" i="53"/>
  <c r="D23405" i="53"/>
  <c r="E23405" i="53"/>
  <c r="F23405" i="53"/>
  <c r="B23406" i="53"/>
  <c r="D23406" i="53"/>
  <c r="E23406" i="53"/>
  <c r="F23406" i="53"/>
  <c r="B23407" i="53"/>
  <c r="D23407" i="53"/>
  <c r="E23407" i="53"/>
  <c r="F23407" i="53"/>
  <c r="B23408" i="53"/>
  <c r="D23408" i="53"/>
  <c r="E23408" i="53"/>
  <c r="F23408" i="53"/>
  <c r="B23409" i="53"/>
  <c r="D23409" i="53"/>
  <c r="E23409" i="53"/>
  <c r="F23409" i="53"/>
  <c r="B23410" i="53"/>
  <c r="D23410" i="53"/>
  <c r="E23410" i="53"/>
  <c r="F23410" i="53"/>
  <c r="B23411" i="53"/>
  <c r="D23411" i="53"/>
  <c r="E23411" i="53"/>
  <c r="F23411" i="53"/>
  <c r="B23412" i="53"/>
  <c r="D23412" i="53"/>
  <c r="E23412" i="53"/>
  <c r="F23412" i="53"/>
  <c r="B23413" i="53"/>
  <c r="D23413" i="53"/>
  <c r="E23413" i="53"/>
  <c r="F23413" i="53"/>
  <c r="B23414" i="53"/>
  <c r="D23414" i="53"/>
  <c r="E23414" i="53"/>
  <c r="F23414" i="53"/>
  <c r="B23419" i="53"/>
  <c r="D23419" i="53"/>
  <c r="F23419" i="53"/>
  <c r="G23419" i="53" s="1"/>
  <c r="B23420" i="53"/>
  <c r="D23420" i="53"/>
  <c r="F23420" i="53"/>
  <c r="G23420" i="53" s="1"/>
  <c r="B23421" i="53"/>
  <c r="D23421" i="53"/>
  <c r="F23421" i="53"/>
  <c r="G23421" i="53" s="1"/>
  <c r="B23422" i="53"/>
  <c r="D23422" i="53"/>
  <c r="F23422" i="53"/>
  <c r="G23422" i="53" s="1"/>
  <c r="B23423" i="53"/>
  <c r="D23423" i="53"/>
  <c r="F23423" i="53"/>
  <c r="G23423" i="53" s="1"/>
  <c r="B23439" i="53"/>
  <c r="G23443" i="53"/>
  <c r="G23444" i="53"/>
  <c r="G23445" i="53"/>
  <c r="G23446" i="53"/>
  <c r="G23447" i="53"/>
  <c r="G23448" i="53"/>
  <c r="B23453" i="53"/>
  <c r="D23453" i="53"/>
  <c r="E23453" i="53"/>
  <c r="F23453" i="53"/>
  <c r="B23454" i="53"/>
  <c r="D23454" i="53"/>
  <c r="E23454" i="53"/>
  <c r="F23454" i="53"/>
  <c r="B23455" i="53"/>
  <c r="D23455" i="53"/>
  <c r="E23455" i="53"/>
  <c r="F23455" i="53"/>
  <c r="B23456" i="53"/>
  <c r="D23456" i="53"/>
  <c r="E23456" i="53"/>
  <c r="F23456" i="53"/>
  <c r="B23457" i="53"/>
  <c r="D23457" i="53"/>
  <c r="E23457" i="53"/>
  <c r="F23457" i="53"/>
  <c r="B23458" i="53"/>
  <c r="D23458" i="53"/>
  <c r="E23458" i="53"/>
  <c r="F23458" i="53"/>
  <c r="B23463" i="53"/>
  <c r="F23463" i="53"/>
  <c r="G23463" i="53" s="1"/>
  <c r="B23464" i="53"/>
  <c r="F23464" i="53"/>
  <c r="G23464" i="53" s="1"/>
  <c r="B23465" i="53"/>
  <c r="F23465" i="53"/>
  <c r="G23465" i="53" s="1"/>
  <c r="B23466" i="53"/>
  <c r="F23466" i="53"/>
  <c r="G23466" i="53" s="1"/>
  <c r="B23467" i="53"/>
  <c r="F23467" i="53"/>
  <c r="G23467" i="53" s="1"/>
  <c r="B23468" i="53"/>
  <c r="F23468" i="53"/>
  <c r="G23468" i="53" s="1"/>
  <c r="B23473" i="53"/>
  <c r="D23473" i="53"/>
  <c r="E23473" i="53"/>
  <c r="F23473" i="53"/>
  <c r="B23474" i="53"/>
  <c r="D23474" i="53"/>
  <c r="E23474" i="53"/>
  <c r="F23474" i="53"/>
  <c r="B23475" i="53"/>
  <c r="D23475" i="53"/>
  <c r="E23475" i="53"/>
  <c r="F23475" i="53"/>
  <c r="B23476" i="53"/>
  <c r="D23476" i="53"/>
  <c r="E23476" i="53"/>
  <c r="F23476" i="53"/>
  <c r="B23477" i="53"/>
  <c r="D23477" i="53"/>
  <c r="E23477" i="53"/>
  <c r="F23477" i="53"/>
  <c r="B23478" i="53"/>
  <c r="D23478" i="53"/>
  <c r="E23478" i="53"/>
  <c r="F23478" i="53"/>
  <c r="B23479" i="53"/>
  <c r="D23479" i="53"/>
  <c r="E23479" i="53"/>
  <c r="F23479" i="53"/>
  <c r="B23480" i="53"/>
  <c r="D23480" i="53"/>
  <c r="E23480" i="53"/>
  <c r="F23480" i="53"/>
  <c r="B23481" i="53"/>
  <c r="D23481" i="53"/>
  <c r="E23481" i="53"/>
  <c r="F23481" i="53"/>
  <c r="B23482" i="53"/>
  <c r="D23482" i="53"/>
  <c r="E23482" i="53"/>
  <c r="F23482" i="53"/>
  <c r="B23483" i="53"/>
  <c r="D23483" i="53"/>
  <c r="E23483" i="53"/>
  <c r="F23483" i="53"/>
  <c r="B23484" i="53"/>
  <c r="D23484" i="53"/>
  <c r="E23484" i="53"/>
  <c r="F23484" i="53"/>
  <c r="B23485" i="53"/>
  <c r="D23485" i="53"/>
  <c r="E23485" i="53"/>
  <c r="F23485" i="53"/>
  <c r="B23490" i="53"/>
  <c r="D23490" i="53"/>
  <c r="F23490" i="53"/>
  <c r="G23490" i="53" s="1"/>
  <c r="B23491" i="53"/>
  <c r="D23491" i="53"/>
  <c r="F23491" i="53"/>
  <c r="G23491" i="53" s="1"/>
  <c r="B23492" i="53"/>
  <c r="D23492" i="53"/>
  <c r="F23492" i="53"/>
  <c r="G23492" i="53" s="1"/>
  <c r="B23493" i="53"/>
  <c r="D23493" i="53"/>
  <c r="F23493" i="53"/>
  <c r="G23493" i="53" s="1"/>
  <c r="B23494" i="53"/>
  <c r="D23494" i="53"/>
  <c r="F23494" i="53"/>
  <c r="G23494" i="53" s="1"/>
  <c r="B23510" i="53"/>
  <c r="B23527" i="53"/>
  <c r="D23527" i="53"/>
  <c r="E23527" i="53"/>
  <c r="F23527" i="53"/>
  <c r="B23528" i="53"/>
  <c r="D23528" i="53"/>
  <c r="E23528" i="53"/>
  <c r="F23528" i="53"/>
  <c r="B23529" i="53"/>
  <c r="D23529" i="53"/>
  <c r="E23529" i="53"/>
  <c r="F23529" i="53"/>
  <c r="B23530" i="53"/>
  <c r="D23530" i="53"/>
  <c r="E23530" i="53"/>
  <c r="F23530" i="53"/>
  <c r="B23531" i="53"/>
  <c r="D23531" i="53"/>
  <c r="E23531" i="53"/>
  <c r="F23531" i="53"/>
  <c r="B23532" i="53"/>
  <c r="D23532" i="53"/>
  <c r="E23532" i="53"/>
  <c r="F23532" i="53"/>
  <c r="B23537" i="53"/>
  <c r="F23537" i="53"/>
  <c r="G23537" i="53" s="1"/>
  <c r="B23538" i="53"/>
  <c r="F23538" i="53"/>
  <c r="G23538" i="53" s="1"/>
  <c r="B23539" i="53"/>
  <c r="F23539" i="53"/>
  <c r="G23539" i="53" s="1"/>
  <c r="B23540" i="53"/>
  <c r="F23540" i="53"/>
  <c r="G23540" i="53" s="1"/>
  <c r="B23541" i="53"/>
  <c r="F23541" i="53"/>
  <c r="G23541" i="53" s="1"/>
  <c r="B23542" i="53"/>
  <c r="F23542" i="53"/>
  <c r="G23542" i="53" s="1"/>
  <c r="B23547" i="53"/>
  <c r="D23547" i="53"/>
  <c r="E23547" i="53"/>
  <c r="F23547" i="53"/>
  <c r="B23548" i="53"/>
  <c r="D23548" i="53"/>
  <c r="E23548" i="53"/>
  <c r="F23548" i="53"/>
  <c r="B23549" i="53"/>
  <c r="D23549" i="53"/>
  <c r="E23549" i="53"/>
  <c r="F23549" i="53"/>
  <c r="B23550" i="53"/>
  <c r="D23550" i="53"/>
  <c r="E23550" i="53"/>
  <c r="F23550" i="53"/>
  <c r="B23551" i="53"/>
  <c r="D23551" i="53"/>
  <c r="E23551" i="53"/>
  <c r="F23551" i="53"/>
  <c r="B23552" i="53"/>
  <c r="D23552" i="53"/>
  <c r="E23552" i="53"/>
  <c r="F23552" i="53"/>
  <c r="B23553" i="53"/>
  <c r="D23553" i="53"/>
  <c r="E23553" i="53"/>
  <c r="F23553" i="53"/>
  <c r="B23554" i="53"/>
  <c r="D23554" i="53"/>
  <c r="E23554" i="53"/>
  <c r="F23554" i="53"/>
  <c r="B23555" i="53"/>
  <c r="D23555" i="53"/>
  <c r="E23555" i="53"/>
  <c r="F23555" i="53"/>
  <c r="B23556" i="53"/>
  <c r="D23556" i="53"/>
  <c r="E23556" i="53"/>
  <c r="F23556" i="53"/>
  <c r="B23557" i="53"/>
  <c r="D23557" i="53"/>
  <c r="E23557" i="53"/>
  <c r="F23557" i="53"/>
  <c r="B23558" i="53"/>
  <c r="D23558" i="53"/>
  <c r="E23558" i="53"/>
  <c r="F23558" i="53"/>
  <c r="B23559" i="53"/>
  <c r="D23559" i="53"/>
  <c r="E23559" i="53"/>
  <c r="F23559" i="53"/>
  <c r="B23564" i="53"/>
  <c r="D23564" i="53"/>
  <c r="F23564" i="53"/>
  <c r="G23564" i="53" s="1"/>
  <c r="B23565" i="53"/>
  <c r="D23565" i="53"/>
  <c r="F23565" i="53"/>
  <c r="G23565" i="53" s="1"/>
  <c r="B23566" i="53"/>
  <c r="D23566" i="53"/>
  <c r="F23566" i="53"/>
  <c r="G23566" i="53" s="1"/>
  <c r="B23567" i="53"/>
  <c r="D23567" i="53"/>
  <c r="F23567" i="53"/>
  <c r="G23567" i="53" s="1"/>
  <c r="B23568" i="53"/>
  <c r="D23568" i="53"/>
  <c r="F23568" i="53"/>
  <c r="G23568" i="53" s="1"/>
  <c r="B23584" i="53"/>
  <c r="B23604" i="53"/>
  <c r="D23604" i="53"/>
  <c r="E23604" i="53"/>
  <c r="F23604" i="53"/>
  <c r="B23605" i="53"/>
  <c r="D23605" i="53"/>
  <c r="E23605" i="53"/>
  <c r="F23605" i="53"/>
  <c r="B23606" i="53"/>
  <c r="D23606" i="53"/>
  <c r="E23606" i="53"/>
  <c r="F23606" i="53"/>
  <c r="B23607" i="53"/>
  <c r="D23607" i="53"/>
  <c r="E23607" i="53"/>
  <c r="F23607" i="53"/>
  <c r="B23608" i="53"/>
  <c r="D23608" i="53"/>
  <c r="E23608" i="53"/>
  <c r="F23608" i="53"/>
  <c r="B23609" i="53"/>
  <c r="D23609" i="53"/>
  <c r="E23609" i="53"/>
  <c r="F23609" i="53"/>
  <c r="B23614" i="53"/>
  <c r="F23614" i="53"/>
  <c r="G23614" i="53" s="1"/>
  <c r="B23615" i="53"/>
  <c r="F23615" i="53"/>
  <c r="G23615" i="53" s="1"/>
  <c r="B23616" i="53"/>
  <c r="F23616" i="53"/>
  <c r="G23616" i="53" s="1"/>
  <c r="B23617" i="53"/>
  <c r="F23617" i="53"/>
  <c r="G23617" i="53" s="1"/>
  <c r="B23618" i="53"/>
  <c r="F23618" i="53"/>
  <c r="G23618" i="53" s="1"/>
  <c r="B23619" i="53"/>
  <c r="F23619" i="53"/>
  <c r="G23619" i="53" s="1"/>
  <c r="B23624" i="53"/>
  <c r="D23624" i="53"/>
  <c r="E23624" i="53"/>
  <c r="F23624" i="53"/>
  <c r="B23625" i="53"/>
  <c r="D23625" i="53"/>
  <c r="E23625" i="53"/>
  <c r="F23625" i="53"/>
  <c r="B23626" i="53"/>
  <c r="D23626" i="53"/>
  <c r="E23626" i="53"/>
  <c r="F23626" i="53"/>
  <c r="B23627" i="53"/>
  <c r="D23627" i="53"/>
  <c r="E23627" i="53"/>
  <c r="F23627" i="53"/>
  <c r="B23628" i="53"/>
  <c r="D23628" i="53"/>
  <c r="E23628" i="53"/>
  <c r="F23628" i="53"/>
  <c r="B23629" i="53"/>
  <c r="D23629" i="53"/>
  <c r="E23629" i="53"/>
  <c r="F23629" i="53"/>
  <c r="B23630" i="53"/>
  <c r="D23630" i="53"/>
  <c r="E23630" i="53"/>
  <c r="F23630" i="53"/>
  <c r="B23631" i="53"/>
  <c r="D23631" i="53"/>
  <c r="E23631" i="53"/>
  <c r="F23631" i="53"/>
  <c r="B23632" i="53"/>
  <c r="D23632" i="53"/>
  <c r="E23632" i="53"/>
  <c r="F23632" i="53"/>
  <c r="B23633" i="53"/>
  <c r="D23633" i="53"/>
  <c r="E23633" i="53"/>
  <c r="F23633" i="53"/>
  <c r="B23634" i="53"/>
  <c r="D23634" i="53"/>
  <c r="E23634" i="53"/>
  <c r="F23634" i="53"/>
  <c r="B23635" i="53"/>
  <c r="D23635" i="53"/>
  <c r="E23635" i="53"/>
  <c r="F23635" i="53"/>
  <c r="B23636" i="53"/>
  <c r="D23636" i="53"/>
  <c r="E23636" i="53"/>
  <c r="F23636" i="53"/>
  <c r="B23641" i="53"/>
  <c r="D23641" i="53"/>
  <c r="F23641" i="53"/>
  <c r="G23641" i="53" s="1"/>
  <c r="B23642" i="53"/>
  <c r="D23642" i="53"/>
  <c r="F23642" i="53"/>
  <c r="G23642" i="53" s="1"/>
  <c r="B23658" i="53"/>
  <c r="G23662" i="53"/>
  <c r="G23663" i="53"/>
  <c r="B23668" i="53"/>
  <c r="D23668" i="53"/>
  <c r="E23668" i="53"/>
  <c r="F23668" i="53"/>
  <c r="B23669" i="53"/>
  <c r="D23669" i="53"/>
  <c r="E23669" i="53"/>
  <c r="F23669" i="53"/>
  <c r="B23670" i="53"/>
  <c r="D23670" i="53"/>
  <c r="E23670" i="53"/>
  <c r="F23670" i="53"/>
  <c r="B23671" i="53"/>
  <c r="D23671" i="53"/>
  <c r="E23671" i="53"/>
  <c r="F23671" i="53"/>
  <c r="B23672" i="53"/>
  <c r="D23672" i="53"/>
  <c r="E23672" i="53"/>
  <c r="F23672" i="53"/>
  <c r="B23673" i="53"/>
  <c r="D23673" i="53"/>
  <c r="E23673" i="53"/>
  <c r="F23673" i="53"/>
  <c r="B23678" i="53"/>
  <c r="F23678" i="53"/>
  <c r="G23678" i="53" s="1"/>
  <c r="B23679" i="53"/>
  <c r="F23679" i="53"/>
  <c r="G23679" i="53" s="1"/>
  <c r="B23680" i="53"/>
  <c r="F23680" i="53"/>
  <c r="G23680" i="53" s="1"/>
  <c r="B23681" i="53"/>
  <c r="F23681" i="53"/>
  <c r="G23681" i="53" s="1"/>
  <c r="B23682" i="53"/>
  <c r="F23682" i="53"/>
  <c r="G23682" i="53" s="1"/>
  <c r="B23683" i="53"/>
  <c r="F23683" i="53"/>
  <c r="G23683" i="53" s="1"/>
  <c r="B23688" i="53"/>
  <c r="D23688" i="53"/>
  <c r="E23688" i="53"/>
  <c r="F23688" i="53"/>
  <c r="B23689" i="53"/>
  <c r="D23689" i="53"/>
  <c r="E23689" i="53"/>
  <c r="F23689" i="53"/>
  <c r="B23690" i="53"/>
  <c r="D23690" i="53"/>
  <c r="E23690" i="53"/>
  <c r="F23690" i="53"/>
  <c r="B23691" i="53"/>
  <c r="D23691" i="53"/>
  <c r="E23691" i="53"/>
  <c r="F23691" i="53"/>
  <c r="B23692" i="53"/>
  <c r="D23692" i="53"/>
  <c r="E23692" i="53"/>
  <c r="F23692" i="53"/>
  <c r="B23693" i="53"/>
  <c r="D23693" i="53"/>
  <c r="E23693" i="53"/>
  <c r="F23693" i="53"/>
  <c r="B23694" i="53"/>
  <c r="D23694" i="53"/>
  <c r="E23694" i="53"/>
  <c r="F23694" i="53"/>
  <c r="B23695" i="53"/>
  <c r="D23695" i="53"/>
  <c r="E23695" i="53"/>
  <c r="F23695" i="53"/>
  <c r="B23696" i="53"/>
  <c r="D23696" i="53"/>
  <c r="E23696" i="53"/>
  <c r="F23696" i="53"/>
  <c r="B23697" i="53"/>
  <c r="D23697" i="53"/>
  <c r="E23697" i="53"/>
  <c r="F23697" i="53"/>
  <c r="B23698" i="53"/>
  <c r="D23698" i="53"/>
  <c r="E23698" i="53"/>
  <c r="F23698" i="53"/>
  <c r="B23699" i="53"/>
  <c r="D23699" i="53"/>
  <c r="E23699" i="53"/>
  <c r="F23699" i="53"/>
  <c r="B23700" i="53"/>
  <c r="D23700" i="53"/>
  <c r="E23700" i="53"/>
  <c r="F23700" i="53"/>
  <c r="B23705" i="53"/>
  <c r="D23705" i="53"/>
  <c r="F23705" i="53"/>
  <c r="G23705" i="53" s="1"/>
  <c r="B23706" i="53"/>
  <c r="D23706" i="53"/>
  <c r="F23706" i="53"/>
  <c r="G23706" i="53" s="1"/>
  <c r="B23707" i="53"/>
  <c r="D23707" i="53"/>
  <c r="F23707" i="53"/>
  <c r="G23707" i="53" s="1"/>
  <c r="B23708" i="53"/>
  <c r="D23708" i="53"/>
  <c r="F23708" i="53"/>
  <c r="G23708" i="53" s="1"/>
  <c r="B23709" i="53"/>
  <c r="D23709" i="53"/>
  <c r="F23709" i="53"/>
  <c r="G23709" i="53" s="1"/>
  <c r="A23302" i="53"/>
  <c r="B23302" i="53"/>
  <c r="G23305" i="53"/>
  <c r="G23306" i="53" s="1"/>
  <c r="B23310" i="53"/>
  <c r="D23310" i="53"/>
  <c r="E23310" i="53"/>
  <c r="F23310" i="53"/>
  <c r="B23311" i="53"/>
  <c r="D23311" i="53"/>
  <c r="E23311" i="53"/>
  <c r="F23311" i="53"/>
  <c r="B23312" i="53"/>
  <c r="D23312" i="53"/>
  <c r="E23312" i="53"/>
  <c r="F23312" i="53"/>
  <c r="B23313" i="53"/>
  <c r="D23313" i="53"/>
  <c r="E23313" i="53"/>
  <c r="F23313" i="53"/>
  <c r="B23314" i="53"/>
  <c r="D23314" i="53"/>
  <c r="E23314" i="53"/>
  <c r="F23314" i="53"/>
  <c r="B23315" i="53"/>
  <c r="D23315" i="53"/>
  <c r="E23315" i="53"/>
  <c r="F23315" i="53"/>
  <c r="B23320" i="53"/>
  <c r="F23320" i="53"/>
  <c r="G23320" i="53" s="1"/>
  <c r="B23321" i="53"/>
  <c r="F23321" i="53"/>
  <c r="G23321" i="53" s="1"/>
  <c r="B23322" i="53"/>
  <c r="F23322" i="53"/>
  <c r="G23322" i="53" s="1"/>
  <c r="B23323" i="53"/>
  <c r="F23323" i="53"/>
  <c r="G23323" i="53" s="1"/>
  <c r="B23324" i="53"/>
  <c r="F23324" i="53"/>
  <c r="G23324" i="53" s="1"/>
  <c r="B23325" i="53"/>
  <c r="F23325" i="53"/>
  <c r="G23325" i="53" s="1"/>
  <c r="B23330" i="53"/>
  <c r="D23330" i="53"/>
  <c r="E23330" i="53"/>
  <c r="F23330" i="53"/>
  <c r="B23331" i="53"/>
  <c r="D23331" i="53"/>
  <c r="E23331" i="53"/>
  <c r="F23331" i="53"/>
  <c r="B23332" i="53"/>
  <c r="D23332" i="53"/>
  <c r="E23332" i="53"/>
  <c r="F23332" i="53"/>
  <c r="B23333" i="53"/>
  <c r="D23333" i="53"/>
  <c r="E23333" i="53"/>
  <c r="F23333" i="53"/>
  <c r="B23334" i="53"/>
  <c r="D23334" i="53"/>
  <c r="E23334" i="53"/>
  <c r="F23334" i="53"/>
  <c r="B23335" i="53"/>
  <c r="D23335" i="53"/>
  <c r="E23335" i="53"/>
  <c r="F23335" i="53"/>
  <c r="B23336" i="53"/>
  <c r="D23336" i="53"/>
  <c r="E23336" i="53"/>
  <c r="F23336" i="53"/>
  <c r="B23337" i="53"/>
  <c r="D23337" i="53"/>
  <c r="E23337" i="53"/>
  <c r="F23337" i="53"/>
  <c r="B23338" i="53"/>
  <c r="D23338" i="53"/>
  <c r="E23338" i="53"/>
  <c r="F23338" i="53"/>
  <c r="B23339" i="53"/>
  <c r="D23339" i="53"/>
  <c r="E23339" i="53"/>
  <c r="F23339" i="53"/>
  <c r="B23340" i="53"/>
  <c r="D23340" i="53"/>
  <c r="E23340" i="53"/>
  <c r="F23340" i="53"/>
  <c r="B23341" i="53"/>
  <c r="D23341" i="53"/>
  <c r="E23341" i="53"/>
  <c r="F23341" i="53"/>
  <c r="B23342" i="53"/>
  <c r="D23342" i="53"/>
  <c r="E23342" i="53"/>
  <c r="F23342" i="53"/>
  <c r="B23347" i="53"/>
  <c r="D23347" i="53"/>
  <c r="F23347" i="53"/>
  <c r="G23347" i="53" s="1"/>
  <c r="B23348" i="53"/>
  <c r="D23348" i="53"/>
  <c r="F23348" i="53"/>
  <c r="G23348" i="53" s="1"/>
  <c r="B23349" i="53"/>
  <c r="D23349" i="53"/>
  <c r="F23349" i="53"/>
  <c r="G23349" i="53" s="1"/>
  <c r="B23350" i="53"/>
  <c r="D23350" i="53"/>
  <c r="F23350" i="53"/>
  <c r="G23350" i="53" s="1"/>
  <c r="B23351" i="53"/>
  <c r="D23351" i="53"/>
  <c r="F23351" i="53"/>
  <c r="G23351" i="53" s="1"/>
  <c r="B23352" i="53"/>
  <c r="D23352" i="53"/>
  <c r="F23352" i="53"/>
  <c r="G23352" i="53" s="1"/>
  <c r="A23230" i="53"/>
  <c r="B23230" i="53"/>
  <c r="B23244" i="53"/>
  <c r="D23244" i="53"/>
  <c r="E23244" i="53"/>
  <c r="F23244" i="53"/>
  <c r="B23245" i="53"/>
  <c r="D23245" i="53"/>
  <c r="E23245" i="53"/>
  <c r="F23245" i="53"/>
  <c r="B23246" i="53"/>
  <c r="D23246" i="53"/>
  <c r="E23246" i="53"/>
  <c r="F23246" i="53"/>
  <c r="B23247" i="53"/>
  <c r="D23247" i="53"/>
  <c r="E23247" i="53"/>
  <c r="F23247" i="53"/>
  <c r="B23248" i="53"/>
  <c r="D23248" i="53"/>
  <c r="E23248" i="53"/>
  <c r="F23248" i="53"/>
  <c r="B23249" i="53"/>
  <c r="D23249" i="53"/>
  <c r="E23249" i="53"/>
  <c r="F23249" i="53"/>
  <c r="B23254" i="53"/>
  <c r="F23254" i="53"/>
  <c r="G23254" i="53" s="1"/>
  <c r="B23255" i="53"/>
  <c r="F23255" i="53"/>
  <c r="G23255" i="53" s="1"/>
  <c r="B23256" i="53"/>
  <c r="F23256" i="53"/>
  <c r="G23256" i="53" s="1"/>
  <c r="B23257" i="53"/>
  <c r="F23257" i="53"/>
  <c r="G23257" i="53" s="1"/>
  <c r="B23258" i="53"/>
  <c r="F23258" i="53"/>
  <c r="G23258" i="53" s="1"/>
  <c r="B23259" i="53"/>
  <c r="F23259" i="53"/>
  <c r="G23259" i="53" s="1"/>
  <c r="B23260" i="53"/>
  <c r="E23260" i="53"/>
  <c r="F23260" i="53"/>
  <c r="B23265" i="53"/>
  <c r="D23265" i="53"/>
  <c r="E23265" i="53"/>
  <c r="F23265" i="53"/>
  <c r="B23266" i="53"/>
  <c r="D23266" i="53"/>
  <c r="E23266" i="53"/>
  <c r="F23266" i="53"/>
  <c r="B23267" i="53"/>
  <c r="D23267" i="53"/>
  <c r="E23267" i="53"/>
  <c r="F23267" i="53"/>
  <c r="B23268" i="53"/>
  <c r="D23268" i="53"/>
  <c r="E23268" i="53"/>
  <c r="F23268" i="53"/>
  <c r="B23269" i="53"/>
  <c r="D23269" i="53"/>
  <c r="E23269" i="53"/>
  <c r="F23269" i="53"/>
  <c r="B23270" i="53"/>
  <c r="D23270" i="53"/>
  <c r="E23270" i="53"/>
  <c r="F23270" i="53"/>
  <c r="B23271" i="53"/>
  <c r="D23271" i="53"/>
  <c r="E23271" i="53"/>
  <c r="F23271" i="53"/>
  <c r="B23272" i="53"/>
  <c r="D23272" i="53"/>
  <c r="E23272" i="53"/>
  <c r="F23272" i="53"/>
  <c r="B23273" i="53"/>
  <c r="D23273" i="53"/>
  <c r="E23273" i="53"/>
  <c r="F23273" i="53"/>
  <c r="B23274" i="53"/>
  <c r="D23274" i="53"/>
  <c r="E23274" i="53"/>
  <c r="F23274" i="53"/>
  <c r="B23275" i="53"/>
  <c r="D23275" i="53"/>
  <c r="E23275" i="53"/>
  <c r="F23275" i="53"/>
  <c r="B23276" i="53"/>
  <c r="D23276" i="53"/>
  <c r="E23276" i="53"/>
  <c r="F23276" i="53"/>
  <c r="B23277" i="53"/>
  <c r="D23277" i="53"/>
  <c r="E23277" i="53"/>
  <c r="F23277" i="53"/>
  <c r="B23282" i="53"/>
  <c r="D23282" i="53"/>
  <c r="F23282" i="53"/>
  <c r="G23282" i="53" s="1"/>
  <c r="B23283" i="53"/>
  <c r="D23283" i="53"/>
  <c r="F23283" i="53"/>
  <c r="G23283" i="53" s="1"/>
  <c r="B23284" i="53"/>
  <c r="D23284" i="53"/>
  <c r="F23284" i="53"/>
  <c r="G23284" i="53" s="1"/>
  <c r="B23285" i="53"/>
  <c r="D23285" i="53"/>
  <c r="F23285" i="53"/>
  <c r="G23285" i="53" s="1"/>
  <c r="B23286" i="53"/>
  <c r="D23286" i="53"/>
  <c r="F23286" i="53"/>
  <c r="G23286" i="53" s="1"/>
  <c r="G23529" i="53" l="1"/>
  <c r="G23631" i="53"/>
  <c r="G23604" i="53"/>
  <c r="G23413" i="53"/>
  <c r="G23411" i="53"/>
  <c r="G23409" i="53"/>
  <c r="G23405" i="53"/>
  <c r="G23386" i="53"/>
  <c r="G23342" i="53"/>
  <c r="G23338" i="53"/>
  <c r="G23636" i="53"/>
  <c r="G23634" i="53"/>
  <c r="G23632" i="53"/>
  <c r="G23412" i="53"/>
  <c r="G23410" i="53"/>
  <c r="G23698" i="53"/>
  <c r="G23672" i="53"/>
  <c r="G23670" i="53"/>
  <c r="G23454" i="53"/>
  <c r="G23406" i="53"/>
  <c r="G23310" i="53"/>
  <c r="G23311" i="53"/>
  <c r="G23271" i="53"/>
  <c r="G23485" i="53"/>
  <c r="G23276" i="53"/>
  <c r="G23270" i="53"/>
  <c r="G23266" i="53"/>
  <c r="G23547" i="53"/>
  <c r="G23528" i="53"/>
  <c r="G23483" i="53"/>
  <c r="G23481" i="53"/>
  <c r="G23480" i="53"/>
  <c r="G23696" i="53"/>
  <c r="G23692" i="53"/>
  <c r="G23688" i="53"/>
  <c r="G23248" i="53"/>
  <c r="G23630" i="53"/>
  <c r="G23479" i="53"/>
  <c r="G23554" i="53"/>
  <c r="G23552" i="53"/>
  <c r="G23387" i="53"/>
  <c r="G23383" i="53"/>
  <c r="G23697" i="53"/>
  <c r="G23693" i="53"/>
  <c r="G23691" i="53"/>
  <c r="G23689" i="53"/>
  <c r="G23635" i="53"/>
  <c r="G23625" i="53"/>
  <c r="G23555" i="53"/>
  <c r="G23453" i="53"/>
  <c r="G23527" i="53"/>
  <c r="G23671" i="53"/>
  <c r="G23424" i="53"/>
  <c r="G23274" i="53"/>
  <c r="G23336" i="53"/>
  <c r="G23334" i="53"/>
  <c r="G23628" i="53"/>
  <c r="G23626" i="53"/>
  <c r="G23624" i="53"/>
  <c r="G23606" i="53"/>
  <c r="G23553" i="53"/>
  <c r="G23551" i="53"/>
  <c r="G23557" i="53"/>
  <c r="G23532" i="53"/>
  <c r="G23414" i="53"/>
  <c r="G23341" i="53"/>
  <c r="G23668" i="53"/>
  <c r="G23629" i="53"/>
  <c r="G23609" i="53"/>
  <c r="G23607" i="53"/>
  <c r="G23605" i="53"/>
  <c r="G23495" i="53"/>
  <c r="G23482" i="53"/>
  <c r="G23478" i="53"/>
  <c r="G23474" i="53"/>
  <c r="G23690" i="53"/>
  <c r="G23550" i="53"/>
  <c r="G23548" i="53"/>
  <c r="G23457" i="53"/>
  <c r="D23234" i="53"/>
  <c r="B23234" i="53"/>
  <c r="D23597" i="53"/>
  <c r="B23597" i="53"/>
  <c r="D23591" i="53"/>
  <c r="B23591" i="53"/>
  <c r="D23516" i="53"/>
  <c r="B23516" i="53"/>
  <c r="D23521" i="53"/>
  <c r="B23521" i="53"/>
  <c r="D23515" i="53"/>
  <c r="B23515" i="53"/>
  <c r="D23661" i="53"/>
  <c r="B23661" i="53"/>
  <c r="D23235" i="53"/>
  <c r="B23235" i="53"/>
  <c r="D23595" i="53"/>
  <c r="B23595" i="53"/>
  <c r="D23589" i="53"/>
  <c r="B23589" i="53"/>
  <c r="D23520" i="53"/>
  <c r="B23520" i="53"/>
  <c r="B23514" i="53"/>
  <c r="D23514" i="53"/>
  <c r="D23522" i="53"/>
  <c r="B23522" i="53"/>
  <c r="D23233" i="53"/>
  <c r="B23233" i="53"/>
  <c r="D23594" i="53"/>
  <c r="B23594" i="53"/>
  <c r="D23588" i="53"/>
  <c r="B23588" i="53"/>
  <c r="D23519" i="53"/>
  <c r="B23519" i="53"/>
  <c r="D23513" i="53"/>
  <c r="B23513" i="53"/>
  <c r="D23596" i="53"/>
  <c r="B23596" i="53"/>
  <c r="B23593" i="53"/>
  <c r="D23593" i="53"/>
  <c r="D23587" i="53"/>
  <c r="B23587" i="53"/>
  <c r="D23518" i="53"/>
  <c r="B23518" i="53"/>
  <c r="D23372" i="53"/>
  <c r="B23372" i="53"/>
  <c r="D23598" i="53"/>
  <c r="B23598" i="53"/>
  <c r="B23442" i="53"/>
  <c r="D23442" i="53"/>
  <c r="D23590" i="53"/>
  <c r="B23590" i="53"/>
  <c r="D23599" i="53"/>
  <c r="B23599" i="53"/>
  <c r="D23592" i="53"/>
  <c r="B23592" i="53"/>
  <c r="D23517" i="53"/>
  <c r="B23517" i="53"/>
  <c r="D23371" i="53"/>
  <c r="B23371" i="53"/>
  <c r="G23247" i="53"/>
  <c r="G23312" i="53"/>
  <c r="G23699" i="53"/>
  <c r="G23627" i="53"/>
  <c r="G23484" i="53"/>
  <c r="G23385" i="53"/>
  <c r="G23669" i="53"/>
  <c r="G23408" i="53"/>
  <c r="G23332" i="53"/>
  <c r="G23330" i="53"/>
  <c r="G23695" i="53"/>
  <c r="G23608" i="53"/>
  <c r="G23559" i="53"/>
  <c r="G23530" i="53"/>
  <c r="G23476" i="53"/>
  <c r="G23458" i="53"/>
  <c r="G23456" i="53"/>
  <c r="G23404" i="53"/>
  <c r="G23402" i="53"/>
  <c r="G23710" i="53"/>
  <c r="G23272" i="53"/>
  <c r="G23313" i="53"/>
  <c r="G23700" i="53"/>
  <c r="G23643" i="53"/>
  <c r="G23398" i="53"/>
  <c r="G23384" i="53"/>
  <c r="G23382" i="53"/>
  <c r="G23268" i="53"/>
  <c r="G23339" i="53"/>
  <c r="G23337" i="53"/>
  <c r="G23633" i="53"/>
  <c r="G23407" i="53"/>
  <c r="G23335" i="53"/>
  <c r="G23333" i="53"/>
  <c r="G23331" i="53"/>
  <c r="G23694" i="53"/>
  <c r="G23673" i="53"/>
  <c r="G23558" i="53"/>
  <c r="G23556" i="53"/>
  <c r="G23549" i="53"/>
  <c r="G23531" i="53"/>
  <c r="G23477" i="53"/>
  <c r="G23475" i="53"/>
  <c r="G23473" i="53"/>
  <c r="G23455" i="53"/>
  <c r="G23403" i="53"/>
  <c r="G23569" i="53"/>
  <c r="G23620" i="53"/>
  <c r="G23543" i="53"/>
  <c r="G23684" i="53"/>
  <c r="G23469" i="53"/>
  <c r="G23273" i="53"/>
  <c r="G23353" i="53"/>
  <c r="G23314" i="53"/>
  <c r="G23260" i="53"/>
  <c r="G23340" i="53"/>
  <c r="G23277" i="53"/>
  <c r="G23275" i="53"/>
  <c r="G23315" i="53"/>
  <c r="G23326" i="53"/>
  <c r="G23269" i="53"/>
  <c r="G23267" i="53"/>
  <c r="G23249" i="53"/>
  <c r="G23265" i="53"/>
  <c r="G23245" i="53"/>
  <c r="G23287" i="53"/>
  <c r="G23246" i="53"/>
  <c r="G23244" i="53"/>
  <c r="G23261" i="53"/>
  <c r="E436" i="1"/>
  <c r="G23610" i="53" l="1"/>
  <c r="G23533" i="53"/>
  <c r="G23560" i="53"/>
  <c r="G23343" i="53"/>
  <c r="G23486" i="53"/>
  <c r="G23701" i="53"/>
  <c r="G23316" i="53"/>
  <c r="G23459" i="53"/>
  <c r="G23388" i="53"/>
  <c r="G23637" i="53"/>
  <c r="G23674" i="53"/>
  <c r="G23415" i="53"/>
  <c r="G23250" i="53"/>
  <c r="G23278" i="53"/>
  <c r="B20441" i="53"/>
  <c r="E20445" i="53"/>
  <c r="B20456" i="53"/>
  <c r="D20456" i="53"/>
  <c r="E20456" i="53"/>
  <c r="F20456" i="53"/>
  <c r="B20457" i="53"/>
  <c r="D20457" i="53"/>
  <c r="E20457" i="53"/>
  <c r="F20457" i="53"/>
  <c r="B20458" i="53"/>
  <c r="D20458" i="53"/>
  <c r="E20458" i="53"/>
  <c r="F20458" i="53"/>
  <c r="B20459" i="53"/>
  <c r="D20459" i="53"/>
  <c r="E20459" i="53"/>
  <c r="F20459" i="53"/>
  <c r="B20460" i="53"/>
  <c r="D20460" i="53"/>
  <c r="E20460" i="53"/>
  <c r="F20460" i="53"/>
  <c r="B20461" i="53"/>
  <c r="D20461" i="53"/>
  <c r="E20461" i="53"/>
  <c r="F20461" i="53"/>
  <c r="B20466" i="53"/>
  <c r="F20466" i="53"/>
  <c r="G20466" i="53" s="1"/>
  <c r="B20467" i="53"/>
  <c r="F20467" i="53"/>
  <c r="G20467" i="53" s="1"/>
  <c r="B20468" i="53"/>
  <c r="F20468" i="53"/>
  <c r="G20468" i="53" s="1"/>
  <c r="B20469" i="53"/>
  <c r="F20469" i="53"/>
  <c r="G20469" i="53" s="1"/>
  <c r="B20470" i="53"/>
  <c r="F20470" i="53"/>
  <c r="G20470" i="53" s="1"/>
  <c r="B20471" i="53"/>
  <c r="F20471" i="53"/>
  <c r="G20471" i="53" s="1"/>
  <c r="B20476" i="53"/>
  <c r="D20476" i="53"/>
  <c r="E20476" i="53"/>
  <c r="F20476" i="53"/>
  <c r="B20477" i="53"/>
  <c r="D20477" i="53"/>
  <c r="E20477" i="53"/>
  <c r="F20477" i="53"/>
  <c r="B20478" i="53"/>
  <c r="D20478" i="53"/>
  <c r="E20478" i="53"/>
  <c r="F20478" i="53"/>
  <c r="B20479" i="53"/>
  <c r="D20479" i="53"/>
  <c r="E20479" i="53"/>
  <c r="F20479" i="53"/>
  <c r="B20480" i="53"/>
  <c r="D20480" i="53"/>
  <c r="E20480" i="53"/>
  <c r="F20480" i="53"/>
  <c r="B20481" i="53"/>
  <c r="D20481" i="53"/>
  <c r="E20481" i="53"/>
  <c r="F20481" i="53"/>
  <c r="B20482" i="53"/>
  <c r="D20482" i="53"/>
  <c r="E20482" i="53"/>
  <c r="F20482" i="53"/>
  <c r="B20483" i="53"/>
  <c r="D20483" i="53"/>
  <c r="E20483" i="53"/>
  <c r="F20483" i="53"/>
  <c r="B20484" i="53"/>
  <c r="D20484" i="53"/>
  <c r="E20484" i="53"/>
  <c r="F20484" i="53"/>
  <c r="B20485" i="53"/>
  <c r="D20485" i="53"/>
  <c r="E20485" i="53"/>
  <c r="F20485" i="53"/>
  <c r="B20486" i="53"/>
  <c r="D20486" i="53"/>
  <c r="E20486" i="53"/>
  <c r="F20486" i="53"/>
  <c r="B20487" i="53"/>
  <c r="D20487" i="53"/>
  <c r="E20487" i="53"/>
  <c r="F20487" i="53"/>
  <c r="B20488" i="53"/>
  <c r="D20488" i="53"/>
  <c r="E20488" i="53"/>
  <c r="F20488" i="53"/>
  <c r="B20493" i="53"/>
  <c r="D20493" i="53"/>
  <c r="F20493" i="53"/>
  <c r="G20493" i="53" s="1"/>
  <c r="B20494" i="53"/>
  <c r="D20494" i="53"/>
  <c r="F20494" i="53"/>
  <c r="G20494" i="53" s="1"/>
  <c r="B20495" i="53"/>
  <c r="D20495" i="53"/>
  <c r="F20495" i="53"/>
  <c r="G20495" i="53" s="1"/>
  <c r="B20496" i="53"/>
  <c r="D20496" i="53"/>
  <c r="F20496" i="53"/>
  <c r="G20496" i="53" s="1"/>
  <c r="B20497" i="53"/>
  <c r="D20497" i="53"/>
  <c r="F20497" i="53"/>
  <c r="G20497" i="53" s="1"/>
  <c r="A20441" i="53"/>
  <c r="B20805" i="53"/>
  <c r="G20809" i="53"/>
  <c r="G20810" i="53"/>
  <c r="G20811" i="53"/>
  <c r="G20812" i="53"/>
  <c r="G20813" i="53"/>
  <c r="G20814" i="53"/>
  <c r="G20815" i="53"/>
  <c r="B20820" i="53"/>
  <c r="D20820" i="53"/>
  <c r="E20820" i="53"/>
  <c r="F20820" i="53"/>
  <c r="B20821" i="53"/>
  <c r="D20821" i="53"/>
  <c r="E20821" i="53"/>
  <c r="F20821" i="53"/>
  <c r="B20822" i="53"/>
  <c r="D20822" i="53"/>
  <c r="E20822" i="53"/>
  <c r="F20822" i="53"/>
  <c r="B20823" i="53"/>
  <c r="D20823" i="53"/>
  <c r="E20823" i="53"/>
  <c r="F20823" i="53"/>
  <c r="B20824" i="53"/>
  <c r="D20824" i="53"/>
  <c r="E20824" i="53"/>
  <c r="F20824" i="53"/>
  <c r="B20825" i="53"/>
  <c r="D20825" i="53"/>
  <c r="E20825" i="53"/>
  <c r="F20825" i="53"/>
  <c r="B20830" i="53"/>
  <c r="F20830" i="53"/>
  <c r="G20830" i="53" s="1"/>
  <c r="B20831" i="53"/>
  <c r="F20831" i="53"/>
  <c r="G20831" i="53" s="1"/>
  <c r="B20832" i="53"/>
  <c r="F20832" i="53"/>
  <c r="G20832" i="53" s="1"/>
  <c r="B20833" i="53"/>
  <c r="F20833" i="53"/>
  <c r="G20833" i="53" s="1"/>
  <c r="B20834" i="53"/>
  <c r="F20834" i="53"/>
  <c r="G20834" i="53" s="1"/>
  <c r="B20835" i="53"/>
  <c r="F20835" i="53"/>
  <c r="G20835" i="53" s="1"/>
  <c r="B20840" i="53"/>
  <c r="D20840" i="53"/>
  <c r="E20840" i="53"/>
  <c r="F20840" i="53"/>
  <c r="B20841" i="53"/>
  <c r="D20841" i="53"/>
  <c r="E20841" i="53"/>
  <c r="F20841" i="53"/>
  <c r="B20842" i="53"/>
  <c r="D20842" i="53"/>
  <c r="E20842" i="53"/>
  <c r="F20842" i="53"/>
  <c r="B20843" i="53"/>
  <c r="D20843" i="53"/>
  <c r="E20843" i="53"/>
  <c r="F20843" i="53"/>
  <c r="B20844" i="53"/>
  <c r="D20844" i="53"/>
  <c r="E20844" i="53"/>
  <c r="F20844" i="53"/>
  <c r="B20845" i="53"/>
  <c r="D20845" i="53"/>
  <c r="E20845" i="53"/>
  <c r="F20845" i="53"/>
  <c r="B20846" i="53"/>
  <c r="D20846" i="53"/>
  <c r="E20846" i="53"/>
  <c r="F20846" i="53"/>
  <c r="B20847" i="53"/>
  <c r="D20847" i="53"/>
  <c r="E20847" i="53"/>
  <c r="F20847" i="53"/>
  <c r="B20848" i="53"/>
  <c r="D20848" i="53"/>
  <c r="E20848" i="53"/>
  <c r="F20848" i="53"/>
  <c r="B20849" i="53"/>
  <c r="D20849" i="53"/>
  <c r="E20849" i="53"/>
  <c r="F20849" i="53"/>
  <c r="B20850" i="53"/>
  <c r="D20850" i="53"/>
  <c r="E20850" i="53"/>
  <c r="F20850" i="53"/>
  <c r="B20851" i="53"/>
  <c r="D20851" i="53"/>
  <c r="E20851" i="53"/>
  <c r="F20851" i="53"/>
  <c r="B20852" i="53"/>
  <c r="D20852" i="53"/>
  <c r="E20852" i="53"/>
  <c r="F20852" i="53"/>
  <c r="B20857" i="53"/>
  <c r="D20857" i="53"/>
  <c r="F20857" i="53"/>
  <c r="G20857" i="53" s="1"/>
  <c r="B20858" i="53"/>
  <c r="D20858" i="53"/>
  <c r="F20858" i="53"/>
  <c r="G20858" i="53" s="1"/>
  <c r="B20859" i="53"/>
  <c r="D20859" i="53"/>
  <c r="F20859" i="53"/>
  <c r="G20859" i="53" s="1"/>
  <c r="B20860" i="53"/>
  <c r="D20860" i="53"/>
  <c r="F20860" i="53"/>
  <c r="G20860" i="53" s="1"/>
  <c r="B20861" i="53"/>
  <c r="D20861" i="53"/>
  <c r="F20861" i="53"/>
  <c r="G20861" i="53" s="1"/>
  <c r="A20805" i="53"/>
  <c r="F372" i="1"/>
  <c r="E372" i="1"/>
  <c r="B19106" i="53"/>
  <c r="G19115" i="53"/>
  <c r="G19116" i="53"/>
  <c r="B19121" i="53"/>
  <c r="D19121" i="53"/>
  <c r="E19121" i="53"/>
  <c r="F19121" i="53"/>
  <c r="B19122" i="53"/>
  <c r="D19122" i="53"/>
  <c r="E19122" i="53"/>
  <c r="F19122" i="53"/>
  <c r="B19123" i="53"/>
  <c r="D19123" i="53"/>
  <c r="E19123" i="53"/>
  <c r="F19123" i="53"/>
  <c r="B19124" i="53"/>
  <c r="D19124" i="53"/>
  <c r="E19124" i="53"/>
  <c r="F19124" i="53"/>
  <c r="B19125" i="53"/>
  <c r="D19125" i="53"/>
  <c r="E19125" i="53"/>
  <c r="F19125" i="53"/>
  <c r="B19126" i="53"/>
  <c r="D19126" i="53"/>
  <c r="E19126" i="53"/>
  <c r="F19126" i="53"/>
  <c r="B19127" i="53"/>
  <c r="D19127" i="53"/>
  <c r="E19127" i="53"/>
  <c r="F19127" i="53"/>
  <c r="B19132" i="53"/>
  <c r="F19132" i="53"/>
  <c r="G19132" i="53" s="1"/>
  <c r="B19133" i="53"/>
  <c r="F19133" i="53"/>
  <c r="G19133" i="53" s="1"/>
  <c r="B19134" i="53"/>
  <c r="F19134" i="53"/>
  <c r="G19134" i="53" s="1"/>
  <c r="B19135" i="53"/>
  <c r="F19135" i="53"/>
  <c r="G19135" i="53" s="1"/>
  <c r="B19136" i="53"/>
  <c r="F19136" i="53"/>
  <c r="G19136" i="53" s="1"/>
  <c r="B19137" i="53"/>
  <c r="F19137" i="53"/>
  <c r="G19137" i="53" s="1"/>
  <c r="B19142" i="53"/>
  <c r="D19142" i="53"/>
  <c r="E19142" i="53"/>
  <c r="F19142" i="53"/>
  <c r="B19143" i="53"/>
  <c r="D19143" i="53"/>
  <c r="E19143" i="53"/>
  <c r="F19143" i="53"/>
  <c r="B19144" i="53"/>
  <c r="D19144" i="53"/>
  <c r="E19144" i="53"/>
  <c r="F19144" i="53"/>
  <c r="B19145" i="53"/>
  <c r="D19145" i="53"/>
  <c r="E19145" i="53"/>
  <c r="F19145" i="53"/>
  <c r="B19146" i="53"/>
  <c r="D19146" i="53"/>
  <c r="E19146" i="53"/>
  <c r="F19146" i="53"/>
  <c r="B19147" i="53"/>
  <c r="D19147" i="53"/>
  <c r="E19147" i="53"/>
  <c r="F19147" i="53"/>
  <c r="B19148" i="53"/>
  <c r="D19148" i="53"/>
  <c r="E19148" i="53"/>
  <c r="F19148" i="53"/>
  <c r="B19149" i="53"/>
  <c r="D19149" i="53"/>
  <c r="E19149" i="53"/>
  <c r="F19149" i="53"/>
  <c r="B19150" i="53"/>
  <c r="D19150" i="53"/>
  <c r="E19150" i="53"/>
  <c r="F19150" i="53"/>
  <c r="B19151" i="53"/>
  <c r="D19151" i="53"/>
  <c r="E19151" i="53"/>
  <c r="F19151" i="53"/>
  <c r="B19152" i="53"/>
  <c r="D19152" i="53"/>
  <c r="E19152" i="53"/>
  <c r="F19152" i="53"/>
  <c r="B19153" i="53"/>
  <c r="D19153" i="53"/>
  <c r="E19153" i="53"/>
  <c r="F19153" i="53"/>
  <c r="B19154" i="53"/>
  <c r="D19154" i="53"/>
  <c r="E19154" i="53"/>
  <c r="F19154" i="53"/>
  <c r="B19159" i="53"/>
  <c r="D19159" i="53"/>
  <c r="F19159" i="53"/>
  <c r="G19159" i="53" s="1"/>
  <c r="B19160" i="53"/>
  <c r="D19160" i="53"/>
  <c r="F19160" i="53"/>
  <c r="G19160" i="53" s="1"/>
  <c r="B19161" i="53"/>
  <c r="D19161" i="53"/>
  <c r="F19161" i="53"/>
  <c r="G19161" i="53" s="1"/>
  <c r="B19162" i="53"/>
  <c r="D19162" i="53"/>
  <c r="F19162" i="53"/>
  <c r="G19162" i="53" s="1"/>
  <c r="B19163" i="53"/>
  <c r="D19163" i="53"/>
  <c r="F19163" i="53"/>
  <c r="G19163" i="53" s="1"/>
  <c r="A19106" i="53"/>
  <c r="B19035" i="53"/>
  <c r="B19048" i="53"/>
  <c r="D19048" i="53"/>
  <c r="E19048" i="53"/>
  <c r="F19048" i="53"/>
  <c r="B19049" i="53"/>
  <c r="D19049" i="53"/>
  <c r="E19049" i="53"/>
  <c r="F19049" i="53"/>
  <c r="B19050" i="53"/>
  <c r="D19050" i="53"/>
  <c r="E19050" i="53"/>
  <c r="F19050" i="53"/>
  <c r="B19051" i="53"/>
  <c r="D19051" i="53"/>
  <c r="E19051" i="53"/>
  <c r="F19051" i="53"/>
  <c r="B19052" i="53"/>
  <c r="D19052" i="53"/>
  <c r="E19052" i="53"/>
  <c r="F19052" i="53"/>
  <c r="B19053" i="53"/>
  <c r="D19053" i="53"/>
  <c r="E19053" i="53"/>
  <c r="F19053" i="53"/>
  <c r="B19054" i="53"/>
  <c r="D19054" i="53"/>
  <c r="E19054" i="53"/>
  <c r="F19054" i="53"/>
  <c r="B19059" i="53"/>
  <c r="F19059" i="53"/>
  <c r="G19059" i="53" s="1"/>
  <c r="B19060" i="53"/>
  <c r="F19060" i="53"/>
  <c r="G19060" i="53" s="1"/>
  <c r="B19061" i="53"/>
  <c r="F19061" i="53"/>
  <c r="G19061" i="53" s="1"/>
  <c r="B19062" i="53"/>
  <c r="F19062" i="53"/>
  <c r="G19062" i="53" s="1"/>
  <c r="B19063" i="53"/>
  <c r="F19063" i="53"/>
  <c r="G19063" i="53" s="1"/>
  <c r="B19064" i="53"/>
  <c r="F19064" i="53"/>
  <c r="G19064" i="53" s="1"/>
  <c r="B19069" i="53"/>
  <c r="D19069" i="53"/>
  <c r="E19069" i="53"/>
  <c r="F19069" i="53"/>
  <c r="B19070" i="53"/>
  <c r="D19070" i="53"/>
  <c r="E19070" i="53"/>
  <c r="F19070" i="53"/>
  <c r="B19071" i="53"/>
  <c r="D19071" i="53"/>
  <c r="E19071" i="53"/>
  <c r="F19071" i="53"/>
  <c r="B19072" i="53"/>
  <c r="D19072" i="53"/>
  <c r="E19072" i="53"/>
  <c r="F19072" i="53"/>
  <c r="B19073" i="53"/>
  <c r="D19073" i="53"/>
  <c r="E19073" i="53"/>
  <c r="F19073" i="53"/>
  <c r="B19074" i="53"/>
  <c r="D19074" i="53"/>
  <c r="E19074" i="53"/>
  <c r="F19074" i="53"/>
  <c r="B19075" i="53"/>
  <c r="D19075" i="53"/>
  <c r="E19075" i="53"/>
  <c r="F19075" i="53"/>
  <c r="B19076" i="53"/>
  <c r="D19076" i="53"/>
  <c r="E19076" i="53"/>
  <c r="F19076" i="53"/>
  <c r="B19077" i="53"/>
  <c r="D19077" i="53"/>
  <c r="E19077" i="53"/>
  <c r="F19077" i="53"/>
  <c r="B19078" i="53"/>
  <c r="D19078" i="53"/>
  <c r="E19078" i="53"/>
  <c r="F19078" i="53"/>
  <c r="B19079" i="53"/>
  <c r="D19079" i="53"/>
  <c r="E19079" i="53"/>
  <c r="F19079" i="53"/>
  <c r="B19080" i="53"/>
  <c r="D19080" i="53"/>
  <c r="E19080" i="53"/>
  <c r="F19080" i="53"/>
  <c r="B19081" i="53"/>
  <c r="D19081" i="53"/>
  <c r="E19081" i="53"/>
  <c r="F19081" i="53"/>
  <c r="B19086" i="53"/>
  <c r="D19086" i="53"/>
  <c r="F19086" i="53"/>
  <c r="G19086" i="53" s="1"/>
  <c r="B19087" i="53"/>
  <c r="D19087" i="53"/>
  <c r="F19087" i="53"/>
  <c r="G19087" i="53" s="1"/>
  <c r="B19088" i="53"/>
  <c r="D19088" i="53"/>
  <c r="F19088" i="53"/>
  <c r="G19088" i="53" s="1"/>
  <c r="B19089" i="53"/>
  <c r="D19089" i="53"/>
  <c r="F19089" i="53"/>
  <c r="G19089" i="53" s="1"/>
  <c r="B19090" i="53"/>
  <c r="D19090" i="53"/>
  <c r="F19090" i="53"/>
  <c r="G19090" i="53" s="1"/>
  <c r="B370" i="1"/>
  <c r="A19035" i="53" s="1"/>
  <c r="B21666" i="53"/>
  <c r="G21673" i="53"/>
  <c r="G21674" i="53"/>
  <c r="G21675" i="53"/>
  <c r="G21676" i="53"/>
  <c r="B21681" i="53"/>
  <c r="D21681" i="53"/>
  <c r="E21681" i="53"/>
  <c r="F21681" i="53"/>
  <c r="B21682" i="53"/>
  <c r="D21682" i="53"/>
  <c r="E21682" i="53"/>
  <c r="F21682" i="53"/>
  <c r="B21683" i="53"/>
  <c r="D21683" i="53"/>
  <c r="E21683" i="53"/>
  <c r="F21683" i="53"/>
  <c r="B21684" i="53"/>
  <c r="D21684" i="53"/>
  <c r="E21684" i="53"/>
  <c r="F21684" i="53"/>
  <c r="B21685" i="53"/>
  <c r="D21685" i="53"/>
  <c r="E21685" i="53"/>
  <c r="F21685" i="53"/>
  <c r="B21686" i="53"/>
  <c r="D21686" i="53"/>
  <c r="E21686" i="53"/>
  <c r="F21686" i="53"/>
  <c r="B21691" i="53"/>
  <c r="F21691" i="53"/>
  <c r="G21691" i="53" s="1"/>
  <c r="B21692" i="53"/>
  <c r="F21692" i="53"/>
  <c r="G21692" i="53" s="1"/>
  <c r="B21693" i="53"/>
  <c r="F21693" i="53"/>
  <c r="G21693" i="53" s="1"/>
  <c r="B21694" i="53"/>
  <c r="F21694" i="53"/>
  <c r="G21694" i="53" s="1"/>
  <c r="B21695" i="53"/>
  <c r="F21695" i="53"/>
  <c r="G21695" i="53" s="1"/>
  <c r="B21696" i="53"/>
  <c r="F21696" i="53"/>
  <c r="G21696" i="53" s="1"/>
  <c r="B21701" i="53"/>
  <c r="D21701" i="53"/>
  <c r="E21701" i="53"/>
  <c r="F21701" i="53"/>
  <c r="B21702" i="53"/>
  <c r="D21702" i="53"/>
  <c r="E21702" i="53"/>
  <c r="F21702" i="53"/>
  <c r="B21703" i="53"/>
  <c r="D21703" i="53"/>
  <c r="E21703" i="53"/>
  <c r="F21703" i="53"/>
  <c r="B21704" i="53"/>
  <c r="D21704" i="53"/>
  <c r="E21704" i="53"/>
  <c r="F21704" i="53"/>
  <c r="B21705" i="53"/>
  <c r="D21705" i="53"/>
  <c r="E21705" i="53"/>
  <c r="F21705" i="53"/>
  <c r="B21706" i="53"/>
  <c r="D21706" i="53"/>
  <c r="E21706" i="53"/>
  <c r="F21706" i="53"/>
  <c r="B21707" i="53"/>
  <c r="D21707" i="53"/>
  <c r="E21707" i="53"/>
  <c r="F21707" i="53"/>
  <c r="B21708" i="53"/>
  <c r="D21708" i="53"/>
  <c r="E21708" i="53"/>
  <c r="F21708" i="53"/>
  <c r="B21709" i="53"/>
  <c r="D21709" i="53"/>
  <c r="E21709" i="53"/>
  <c r="F21709" i="53"/>
  <c r="B21710" i="53"/>
  <c r="D21710" i="53"/>
  <c r="E21710" i="53"/>
  <c r="F21710" i="53"/>
  <c r="B21711" i="53"/>
  <c r="D21711" i="53"/>
  <c r="E21711" i="53"/>
  <c r="F21711" i="53"/>
  <c r="B21712" i="53"/>
  <c r="D21712" i="53"/>
  <c r="E21712" i="53"/>
  <c r="F21712" i="53"/>
  <c r="B21713" i="53"/>
  <c r="D21713" i="53"/>
  <c r="E21713" i="53"/>
  <c r="F21713" i="53"/>
  <c r="B21718" i="53"/>
  <c r="D21718" i="53"/>
  <c r="F21718" i="53"/>
  <c r="G21718" i="53" s="1"/>
  <c r="B21719" i="53"/>
  <c r="D21719" i="53"/>
  <c r="F21719" i="53"/>
  <c r="G21719" i="53" s="1"/>
  <c r="B21720" i="53"/>
  <c r="D21720" i="53"/>
  <c r="F21720" i="53"/>
  <c r="G21720" i="53" s="1"/>
  <c r="B21721" i="53"/>
  <c r="D21721" i="53"/>
  <c r="F21721" i="53"/>
  <c r="G21721" i="53" s="1"/>
  <c r="B21722" i="53"/>
  <c r="D21722" i="53"/>
  <c r="F21722" i="53"/>
  <c r="G21722" i="53" s="1"/>
  <c r="A21666" i="53"/>
  <c r="B21596" i="53"/>
  <c r="E21603" i="53"/>
  <c r="E21604" i="53"/>
  <c r="B21609" i="53"/>
  <c r="D21609" i="53"/>
  <c r="E21609" i="53"/>
  <c r="F21609" i="53"/>
  <c r="B21610" i="53"/>
  <c r="D21610" i="53"/>
  <c r="E21610" i="53"/>
  <c r="F21610" i="53"/>
  <c r="B21611" i="53"/>
  <c r="D21611" i="53"/>
  <c r="E21611" i="53"/>
  <c r="F21611" i="53"/>
  <c r="B21612" i="53"/>
  <c r="D21612" i="53"/>
  <c r="E21612" i="53"/>
  <c r="F21612" i="53"/>
  <c r="B21613" i="53"/>
  <c r="D21613" i="53"/>
  <c r="E21613" i="53"/>
  <c r="F21613" i="53"/>
  <c r="B21614" i="53"/>
  <c r="D21614" i="53"/>
  <c r="E21614" i="53"/>
  <c r="F21614" i="53"/>
  <c r="B21619" i="53"/>
  <c r="F21619" i="53"/>
  <c r="G21619" i="53" s="1"/>
  <c r="B21620" i="53"/>
  <c r="F21620" i="53"/>
  <c r="G21620" i="53" s="1"/>
  <c r="B21621" i="53"/>
  <c r="F21621" i="53"/>
  <c r="G21621" i="53" s="1"/>
  <c r="B21622" i="53"/>
  <c r="F21622" i="53"/>
  <c r="G21622" i="53" s="1"/>
  <c r="B21623" i="53"/>
  <c r="F21623" i="53"/>
  <c r="G21623" i="53" s="1"/>
  <c r="B21624" i="53"/>
  <c r="F21624" i="53"/>
  <c r="G21624" i="53" s="1"/>
  <c r="B21629" i="53"/>
  <c r="D21629" i="53"/>
  <c r="E21629" i="53"/>
  <c r="F21629" i="53"/>
  <c r="B21630" i="53"/>
  <c r="D21630" i="53"/>
  <c r="E21630" i="53"/>
  <c r="F21630" i="53"/>
  <c r="B21631" i="53"/>
  <c r="D21631" i="53"/>
  <c r="E21631" i="53"/>
  <c r="F21631" i="53"/>
  <c r="B21632" i="53"/>
  <c r="D21632" i="53"/>
  <c r="E21632" i="53"/>
  <c r="F21632" i="53"/>
  <c r="B21633" i="53"/>
  <c r="D21633" i="53"/>
  <c r="E21633" i="53"/>
  <c r="F21633" i="53"/>
  <c r="B21634" i="53"/>
  <c r="D21634" i="53"/>
  <c r="E21634" i="53"/>
  <c r="F21634" i="53"/>
  <c r="B21635" i="53"/>
  <c r="D21635" i="53"/>
  <c r="E21635" i="53"/>
  <c r="F21635" i="53"/>
  <c r="B21636" i="53"/>
  <c r="D21636" i="53"/>
  <c r="E21636" i="53"/>
  <c r="F21636" i="53"/>
  <c r="B21637" i="53"/>
  <c r="D21637" i="53"/>
  <c r="E21637" i="53"/>
  <c r="F21637" i="53"/>
  <c r="B21638" i="53"/>
  <c r="D21638" i="53"/>
  <c r="E21638" i="53"/>
  <c r="F21638" i="53"/>
  <c r="B21639" i="53"/>
  <c r="D21639" i="53"/>
  <c r="E21639" i="53"/>
  <c r="F21639" i="53"/>
  <c r="B21640" i="53"/>
  <c r="D21640" i="53"/>
  <c r="E21640" i="53"/>
  <c r="F21640" i="53"/>
  <c r="B21641" i="53"/>
  <c r="D21641" i="53"/>
  <c r="E21641" i="53"/>
  <c r="F21641" i="53"/>
  <c r="B21646" i="53"/>
  <c r="D21646" i="53"/>
  <c r="F21646" i="53"/>
  <c r="G21646" i="53" s="1"/>
  <c r="B21647" i="53"/>
  <c r="D21647" i="53"/>
  <c r="F21647" i="53"/>
  <c r="G21647" i="53" s="1"/>
  <c r="B21648" i="53"/>
  <c r="D21648" i="53"/>
  <c r="F21648" i="53"/>
  <c r="G21648" i="53" s="1"/>
  <c r="B21649" i="53"/>
  <c r="D21649" i="53"/>
  <c r="F21649" i="53"/>
  <c r="G21649" i="53" s="1"/>
  <c r="B21650" i="53"/>
  <c r="D21650" i="53"/>
  <c r="F21650" i="53"/>
  <c r="G21650" i="53" s="1"/>
  <c r="B18676" i="53"/>
  <c r="E18683" i="53"/>
  <c r="E18684" i="53"/>
  <c r="B18689" i="53"/>
  <c r="D18689" i="53"/>
  <c r="E18689" i="53"/>
  <c r="F18689" i="53"/>
  <c r="B18690" i="53"/>
  <c r="D18690" i="53"/>
  <c r="E18690" i="53"/>
  <c r="F18690" i="53"/>
  <c r="B18691" i="53"/>
  <c r="D18691" i="53"/>
  <c r="E18691" i="53"/>
  <c r="F18691" i="53"/>
  <c r="B18692" i="53"/>
  <c r="D18692" i="53"/>
  <c r="E18692" i="53"/>
  <c r="F18692" i="53"/>
  <c r="B18693" i="53"/>
  <c r="D18693" i="53"/>
  <c r="E18693" i="53"/>
  <c r="F18693" i="53"/>
  <c r="B18694" i="53"/>
  <c r="D18694" i="53"/>
  <c r="E18694" i="53"/>
  <c r="F18694" i="53"/>
  <c r="B18699" i="53"/>
  <c r="F18699" i="53"/>
  <c r="G18699" i="53" s="1"/>
  <c r="B18700" i="53"/>
  <c r="F18700" i="53"/>
  <c r="G18700" i="53" s="1"/>
  <c r="B18701" i="53"/>
  <c r="F18701" i="53"/>
  <c r="G18701" i="53" s="1"/>
  <c r="B18702" i="53"/>
  <c r="F18702" i="53"/>
  <c r="G18702" i="53" s="1"/>
  <c r="B18703" i="53"/>
  <c r="F18703" i="53"/>
  <c r="G18703" i="53" s="1"/>
  <c r="B18704" i="53"/>
  <c r="F18704" i="53"/>
  <c r="G18704" i="53" s="1"/>
  <c r="B18709" i="53"/>
  <c r="D18709" i="53"/>
  <c r="E18709" i="53"/>
  <c r="F18709" i="53"/>
  <c r="B18710" i="53"/>
  <c r="D18710" i="53"/>
  <c r="E18710" i="53"/>
  <c r="F18710" i="53"/>
  <c r="B18711" i="53"/>
  <c r="D18711" i="53"/>
  <c r="E18711" i="53"/>
  <c r="F18711" i="53"/>
  <c r="B18712" i="53"/>
  <c r="D18712" i="53"/>
  <c r="E18712" i="53"/>
  <c r="F18712" i="53"/>
  <c r="B18713" i="53"/>
  <c r="D18713" i="53"/>
  <c r="E18713" i="53"/>
  <c r="F18713" i="53"/>
  <c r="B18714" i="53"/>
  <c r="D18714" i="53"/>
  <c r="E18714" i="53"/>
  <c r="F18714" i="53"/>
  <c r="B18715" i="53"/>
  <c r="D18715" i="53"/>
  <c r="E18715" i="53"/>
  <c r="F18715" i="53"/>
  <c r="B18716" i="53"/>
  <c r="D18716" i="53"/>
  <c r="E18716" i="53"/>
  <c r="F18716" i="53"/>
  <c r="B18717" i="53"/>
  <c r="D18717" i="53"/>
  <c r="E18717" i="53"/>
  <c r="F18717" i="53"/>
  <c r="B18718" i="53"/>
  <c r="D18718" i="53"/>
  <c r="E18718" i="53"/>
  <c r="F18718" i="53"/>
  <c r="B18719" i="53"/>
  <c r="D18719" i="53"/>
  <c r="E18719" i="53"/>
  <c r="F18719" i="53"/>
  <c r="B18720" i="53"/>
  <c r="D18720" i="53"/>
  <c r="E18720" i="53"/>
  <c r="F18720" i="53"/>
  <c r="B18721" i="53"/>
  <c r="D18721" i="53"/>
  <c r="E18721" i="53"/>
  <c r="F18721" i="53"/>
  <c r="B18726" i="53"/>
  <c r="D18726" i="53"/>
  <c r="F18726" i="53"/>
  <c r="G18726" i="53" s="1"/>
  <c r="B18727" i="53"/>
  <c r="D18727" i="53"/>
  <c r="F18727" i="53"/>
  <c r="G18727" i="53" s="1"/>
  <c r="B18728" i="53"/>
  <c r="D18728" i="53"/>
  <c r="F18728" i="53"/>
  <c r="G18728" i="53" s="1"/>
  <c r="B18729" i="53"/>
  <c r="D18729" i="53"/>
  <c r="F18729" i="53"/>
  <c r="G18729" i="53" s="1"/>
  <c r="B18730" i="53"/>
  <c r="D18730" i="53"/>
  <c r="F18730" i="53"/>
  <c r="G18730" i="53" s="1"/>
  <c r="B18391" i="53"/>
  <c r="B18400" i="53"/>
  <c r="D18400" i="53"/>
  <c r="E18400" i="53"/>
  <c r="F18400" i="53"/>
  <c r="B18401" i="53"/>
  <c r="D18401" i="53"/>
  <c r="E18401" i="53"/>
  <c r="F18401" i="53"/>
  <c r="B18402" i="53"/>
  <c r="D18402" i="53"/>
  <c r="E18402" i="53"/>
  <c r="F18402" i="53"/>
  <c r="B18403" i="53"/>
  <c r="D18403" i="53"/>
  <c r="E18403" i="53"/>
  <c r="F18403" i="53"/>
  <c r="B18404" i="53"/>
  <c r="D18404" i="53"/>
  <c r="E18404" i="53"/>
  <c r="F18404" i="53"/>
  <c r="B18405" i="53"/>
  <c r="D18405" i="53"/>
  <c r="E18405" i="53"/>
  <c r="F18405" i="53"/>
  <c r="B18410" i="53"/>
  <c r="F18410" i="53"/>
  <c r="G18410" i="53" s="1"/>
  <c r="B18411" i="53"/>
  <c r="F18411" i="53"/>
  <c r="G18411" i="53" s="1"/>
  <c r="B18412" i="53"/>
  <c r="F18412" i="53"/>
  <c r="G18412" i="53" s="1"/>
  <c r="B18413" i="53"/>
  <c r="F18413" i="53"/>
  <c r="G18413" i="53" s="1"/>
  <c r="B18414" i="53"/>
  <c r="F18414" i="53"/>
  <c r="G18414" i="53" s="1"/>
  <c r="B18415" i="53"/>
  <c r="F18415" i="53"/>
  <c r="G18415" i="53" s="1"/>
  <c r="B18420" i="53"/>
  <c r="D18420" i="53"/>
  <c r="E18420" i="53"/>
  <c r="F18420" i="53"/>
  <c r="B18421" i="53"/>
  <c r="D18421" i="53"/>
  <c r="E18421" i="53"/>
  <c r="F18421" i="53"/>
  <c r="B18422" i="53"/>
  <c r="D18422" i="53"/>
  <c r="E18422" i="53"/>
  <c r="F18422" i="53"/>
  <c r="B18423" i="53"/>
  <c r="D18423" i="53"/>
  <c r="E18423" i="53"/>
  <c r="F18423" i="53"/>
  <c r="B18424" i="53"/>
  <c r="D18424" i="53"/>
  <c r="E18424" i="53"/>
  <c r="F18424" i="53"/>
  <c r="B18425" i="53"/>
  <c r="D18425" i="53"/>
  <c r="E18425" i="53"/>
  <c r="F18425" i="53"/>
  <c r="B18426" i="53"/>
  <c r="D18426" i="53"/>
  <c r="E18426" i="53"/>
  <c r="F18426" i="53"/>
  <c r="B18427" i="53"/>
  <c r="D18427" i="53"/>
  <c r="E18427" i="53"/>
  <c r="F18427" i="53"/>
  <c r="B18428" i="53"/>
  <c r="D18428" i="53"/>
  <c r="E18428" i="53"/>
  <c r="F18428" i="53"/>
  <c r="B18429" i="53"/>
  <c r="D18429" i="53"/>
  <c r="E18429" i="53"/>
  <c r="F18429" i="53"/>
  <c r="B18430" i="53"/>
  <c r="D18430" i="53"/>
  <c r="E18430" i="53"/>
  <c r="F18430" i="53"/>
  <c r="B18431" i="53"/>
  <c r="D18431" i="53"/>
  <c r="E18431" i="53"/>
  <c r="F18431" i="53"/>
  <c r="B18432" i="53"/>
  <c r="D18432" i="53"/>
  <c r="E18432" i="53"/>
  <c r="F18432" i="53"/>
  <c r="B18437" i="53"/>
  <c r="D18437" i="53"/>
  <c r="F18437" i="53"/>
  <c r="G18437" i="53" s="1"/>
  <c r="B18438" i="53"/>
  <c r="D18438" i="53"/>
  <c r="F18438" i="53"/>
  <c r="G18438" i="53" s="1"/>
  <c r="B18439" i="53"/>
  <c r="D18439" i="53"/>
  <c r="F18439" i="53"/>
  <c r="G18439" i="53" s="1"/>
  <c r="B18440" i="53"/>
  <c r="D18440" i="53"/>
  <c r="F18440" i="53"/>
  <c r="G18440" i="53" s="1"/>
  <c r="B18441" i="53"/>
  <c r="D18441" i="53"/>
  <c r="F18441" i="53"/>
  <c r="G18441" i="53" s="1"/>
  <c r="B18532" i="53"/>
  <c r="G18542" i="53"/>
  <c r="B18547" i="53"/>
  <c r="D18547" i="53"/>
  <c r="E18547" i="53"/>
  <c r="F18547" i="53"/>
  <c r="B18548" i="53"/>
  <c r="D18548" i="53"/>
  <c r="E18548" i="53"/>
  <c r="F18548" i="53"/>
  <c r="B18549" i="53"/>
  <c r="D18549" i="53"/>
  <c r="E18549" i="53"/>
  <c r="F18549" i="53"/>
  <c r="B18550" i="53"/>
  <c r="D18550" i="53"/>
  <c r="E18550" i="53"/>
  <c r="F18550" i="53"/>
  <c r="B18551" i="53"/>
  <c r="D18551" i="53"/>
  <c r="E18551" i="53"/>
  <c r="F18551" i="53"/>
  <c r="B18552" i="53"/>
  <c r="D18552" i="53"/>
  <c r="E18552" i="53"/>
  <c r="F18552" i="53"/>
  <c r="B18557" i="53"/>
  <c r="F18557" i="53"/>
  <c r="G18557" i="53" s="1"/>
  <c r="B18558" i="53"/>
  <c r="F18558" i="53"/>
  <c r="G18558" i="53" s="1"/>
  <c r="B18559" i="53"/>
  <c r="F18559" i="53"/>
  <c r="G18559" i="53" s="1"/>
  <c r="B18560" i="53"/>
  <c r="F18560" i="53"/>
  <c r="G18560" i="53" s="1"/>
  <c r="B18561" i="53"/>
  <c r="F18561" i="53"/>
  <c r="G18561" i="53" s="1"/>
  <c r="B18562" i="53"/>
  <c r="F18562" i="53"/>
  <c r="G18562" i="53" s="1"/>
  <c r="B18567" i="53"/>
  <c r="D18567" i="53"/>
  <c r="E18567" i="53"/>
  <c r="F18567" i="53"/>
  <c r="B18568" i="53"/>
  <c r="D18568" i="53"/>
  <c r="E18568" i="53"/>
  <c r="F18568" i="53"/>
  <c r="B18569" i="53"/>
  <c r="D18569" i="53"/>
  <c r="E18569" i="53"/>
  <c r="F18569" i="53"/>
  <c r="B18570" i="53"/>
  <c r="D18570" i="53"/>
  <c r="E18570" i="53"/>
  <c r="F18570" i="53"/>
  <c r="B18571" i="53"/>
  <c r="D18571" i="53"/>
  <c r="E18571" i="53"/>
  <c r="F18571" i="53"/>
  <c r="B18572" i="53"/>
  <c r="D18572" i="53"/>
  <c r="E18572" i="53"/>
  <c r="F18572" i="53"/>
  <c r="B18573" i="53"/>
  <c r="D18573" i="53"/>
  <c r="E18573" i="53"/>
  <c r="F18573" i="53"/>
  <c r="B18574" i="53"/>
  <c r="D18574" i="53"/>
  <c r="E18574" i="53"/>
  <c r="F18574" i="53"/>
  <c r="B18575" i="53"/>
  <c r="D18575" i="53"/>
  <c r="E18575" i="53"/>
  <c r="F18575" i="53"/>
  <c r="B18576" i="53"/>
  <c r="D18576" i="53"/>
  <c r="E18576" i="53"/>
  <c r="F18576" i="53"/>
  <c r="B18577" i="53"/>
  <c r="D18577" i="53"/>
  <c r="E18577" i="53"/>
  <c r="F18577" i="53"/>
  <c r="B18578" i="53"/>
  <c r="D18578" i="53"/>
  <c r="E18578" i="53"/>
  <c r="F18578" i="53"/>
  <c r="B18579" i="53"/>
  <c r="D18579" i="53"/>
  <c r="E18579" i="53"/>
  <c r="F18579" i="53"/>
  <c r="B18584" i="53"/>
  <c r="D18584" i="53"/>
  <c r="F18584" i="53"/>
  <c r="G18584" i="53" s="1"/>
  <c r="B18585" i="53"/>
  <c r="D18585" i="53"/>
  <c r="F18585" i="53"/>
  <c r="G18585" i="53" s="1"/>
  <c r="B18586" i="53"/>
  <c r="D18586" i="53"/>
  <c r="F18586" i="53"/>
  <c r="G18586" i="53" s="1"/>
  <c r="B18587" i="53"/>
  <c r="D18587" i="53"/>
  <c r="F18587" i="53"/>
  <c r="G18587" i="53" s="1"/>
  <c r="B18588" i="53"/>
  <c r="D18588" i="53"/>
  <c r="F18588" i="53"/>
  <c r="G18588" i="53" s="1"/>
  <c r="A21596" i="53"/>
  <c r="A18676" i="53"/>
  <c r="B359" i="1"/>
  <c r="A18391" i="53" s="1"/>
  <c r="A18532" i="53"/>
  <c r="B352" i="1"/>
  <c r="A17966" i="53" s="1"/>
  <c r="B17966" i="53"/>
  <c r="B17981" i="53"/>
  <c r="D17981" i="53"/>
  <c r="E17981" i="53"/>
  <c r="F17981" i="53"/>
  <c r="B17982" i="53"/>
  <c r="D17982" i="53"/>
  <c r="E17982" i="53"/>
  <c r="F17982" i="53"/>
  <c r="B17983" i="53"/>
  <c r="D17983" i="53"/>
  <c r="E17983" i="53"/>
  <c r="F17983" i="53"/>
  <c r="B17984" i="53"/>
  <c r="D17984" i="53"/>
  <c r="E17984" i="53"/>
  <c r="F17984" i="53"/>
  <c r="B17985" i="53"/>
  <c r="D17985" i="53"/>
  <c r="E17985" i="53"/>
  <c r="F17985" i="53"/>
  <c r="B17986" i="53"/>
  <c r="D17986" i="53"/>
  <c r="E17986" i="53"/>
  <c r="F17986" i="53"/>
  <c r="B17991" i="53"/>
  <c r="F17991" i="53"/>
  <c r="G17991" i="53" s="1"/>
  <c r="B17992" i="53"/>
  <c r="F17992" i="53"/>
  <c r="G17992" i="53" s="1"/>
  <c r="B17993" i="53"/>
  <c r="F17993" i="53"/>
  <c r="G17993" i="53" s="1"/>
  <c r="B17994" i="53"/>
  <c r="F17994" i="53"/>
  <c r="G17994" i="53" s="1"/>
  <c r="B17995" i="53"/>
  <c r="F17995" i="53"/>
  <c r="G17995" i="53" s="1"/>
  <c r="B17996" i="53"/>
  <c r="F17996" i="53"/>
  <c r="G17996" i="53" s="1"/>
  <c r="B18001" i="53"/>
  <c r="D18001" i="53"/>
  <c r="E18001" i="53"/>
  <c r="F18001" i="53"/>
  <c r="B18002" i="53"/>
  <c r="D18002" i="53"/>
  <c r="E18002" i="53"/>
  <c r="F18002" i="53"/>
  <c r="B18003" i="53"/>
  <c r="D18003" i="53"/>
  <c r="E18003" i="53"/>
  <c r="F18003" i="53"/>
  <c r="B18004" i="53"/>
  <c r="D18004" i="53"/>
  <c r="E18004" i="53"/>
  <c r="F18004" i="53"/>
  <c r="B18005" i="53"/>
  <c r="D18005" i="53"/>
  <c r="E18005" i="53"/>
  <c r="F18005" i="53"/>
  <c r="B18006" i="53"/>
  <c r="D18006" i="53"/>
  <c r="E18006" i="53"/>
  <c r="F18006" i="53"/>
  <c r="B18007" i="53"/>
  <c r="D18007" i="53"/>
  <c r="E18007" i="53"/>
  <c r="F18007" i="53"/>
  <c r="B18008" i="53"/>
  <c r="D18008" i="53"/>
  <c r="E18008" i="53"/>
  <c r="F18008" i="53"/>
  <c r="B18009" i="53"/>
  <c r="D18009" i="53"/>
  <c r="E18009" i="53"/>
  <c r="F18009" i="53"/>
  <c r="B18010" i="53"/>
  <c r="D18010" i="53"/>
  <c r="E18010" i="53"/>
  <c r="F18010" i="53"/>
  <c r="B18011" i="53"/>
  <c r="D18011" i="53"/>
  <c r="E18011" i="53"/>
  <c r="F18011" i="53"/>
  <c r="B18012" i="53"/>
  <c r="D18012" i="53"/>
  <c r="E18012" i="53"/>
  <c r="F18012" i="53"/>
  <c r="B18013" i="53"/>
  <c r="D18013" i="53"/>
  <c r="E18013" i="53"/>
  <c r="F18013" i="53"/>
  <c r="B18018" i="53"/>
  <c r="D18018" i="53"/>
  <c r="F18018" i="53"/>
  <c r="G18018" i="53" s="1"/>
  <c r="B18019" i="53"/>
  <c r="D18019" i="53"/>
  <c r="F18019" i="53"/>
  <c r="G18019" i="53" s="1"/>
  <c r="B18020" i="53"/>
  <c r="D18020" i="53"/>
  <c r="F18020" i="53"/>
  <c r="G18020" i="53" s="1"/>
  <c r="B18021" i="53"/>
  <c r="D18021" i="53"/>
  <c r="F18021" i="53"/>
  <c r="G18021" i="53" s="1"/>
  <c r="B18022" i="53"/>
  <c r="D18022" i="53"/>
  <c r="F18022" i="53"/>
  <c r="G18022" i="53" s="1"/>
  <c r="B340" i="1"/>
  <c r="A17329" i="53" s="1"/>
  <c r="A17401" i="53"/>
  <c r="A17473" i="53"/>
  <c r="A17545" i="53"/>
  <c r="B17329" i="53"/>
  <c r="A17333" i="53"/>
  <c r="A17334" i="53"/>
  <c r="G17335" i="53"/>
  <c r="G17336" i="53"/>
  <c r="G17337" i="53"/>
  <c r="G17338" i="53"/>
  <c r="G17339" i="53"/>
  <c r="B17344" i="53"/>
  <c r="D17344" i="53"/>
  <c r="E17344" i="53"/>
  <c r="F17344" i="53"/>
  <c r="B17345" i="53"/>
  <c r="D17345" i="53"/>
  <c r="E17345" i="53"/>
  <c r="F17345" i="53"/>
  <c r="B17346" i="53"/>
  <c r="D17346" i="53"/>
  <c r="E17346" i="53"/>
  <c r="F17346" i="53"/>
  <c r="B17347" i="53"/>
  <c r="D17347" i="53"/>
  <c r="E17347" i="53"/>
  <c r="F17347" i="53"/>
  <c r="B17348" i="53"/>
  <c r="D17348" i="53"/>
  <c r="E17348" i="53"/>
  <c r="F17348" i="53"/>
  <c r="B17349" i="53"/>
  <c r="D17349" i="53"/>
  <c r="E17349" i="53"/>
  <c r="F17349" i="53"/>
  <c r="B17354" i="53"/>
  <c r="F17354" i="53"/>
  <c r="G17354" i="53" s="1"/>
  <c r="B17355" i="53"/>
  <c r="F17355" i="53"/>
  <c r="G17355" i="53" s="1"/>
  <c r="B17356" i="53"/>
  <c r="F17356" i="53"/>
  <c r="G17356" i="53" s="1"/>
  <c r="B17357" i="53"/>
  <c r="F17357" i="53"/>
  <c r="G17357" i="53" s="1"/>
  <c r="B17358" i="53"/>
  <c r="F17358" i="53"/>
  <c r="G17358" i="53" s="1"/>
  <c r="B17359" i="53"/>
  <c r="F17359" i="53"/>
  <c r="G17359" i="53" s="1"/>
  <c r="B17364" i="53"/>
  <c r="D17364" i="53"/>
  <c r="E17364" i="53"/>
  <c r="F17364" i="53"/>
  <c r="B17365" i="53"/>
  <c r="D17365" i="53"/>
  <c r="E17365" i="53"/>
  <c r="F17365" i="53"/>
  <c r="B17366" i="53"/>
  <c r="D17366" i="53"/>
  <c r="E17366" i="53"/>
  <c r="F17366" i="53"/>
  <c r="B17367" i="53"/>
  <c r="D17367" i="53"/>
  <c r="E17367" i="53"/>
  <c r="F17367" i="53"/>
  <c r="B17368" i="53"/>
  <c r="D17368" i="53"/>
  <c r="E17368" i="53"/>
  <c r="F17368" i="53"/>
  <c r="B17369" i="53"/>
  <c r="D17369" i="53"/>
  <c r="E17369" i="53"/>
  <c r="F17369" i="53"/>
  <c r="B17370" i="53"/>
  <c r="D17370" i="53"/>
  <c r="E17370" i="53"/>
  <c r="F17370" i="53"/>
  <c r="B17371" i="53"/>
  <c r="D17371" i="53"/>
  <c r="E17371" i="53"/>
  <c r="F17371" i="53"/>
  <c r="B17372" i="53"/>
  <c r="D17372" i="53"/>
  <c r="E17372" i="53"/>
  <c r="F17372" i="53"/>
  <c r="B17373" i="53"/>
  <c r="D17373" i="53"/>
  <c r="E17373" i="53"/>
  <c r="F17373" i="53"/>
  <c r="B17374" i="53"/>
  <c r="D17374" i="53"/>
  <c r="E17374" i="53"/>
  <c r="F17374" i="53"/>
  <c r="B17375" i="53"/>
  <c r="D17375" i="53"/>
  <c r="E17375" i="53"/>
  <c r="F17375" i="53"/>
  <c r="B17376" i="53"/>
  <c r="D17376" i="53"/>
  <c r="E17376" i="53"/>
  <c r="F17376" i="53"/>
  <c r="B17381" i="53"/>
  <c r="D17381" i="53"/>
  <c r="F17381" i="53"/>
  <c r="G17381" i="53" s="1"/>
  <c r="B17382" i="53"/>
  <c r="D17382" i="53"/>
  <c r="F17382" i="53"/>
  <c r="G17382" i="53" s="1"/>
  <c r="B17383" i="53"/>
  <c r="D17383" i="53"/>
  <c r="F17383" i="53"/>
  <c r="G17383" i="53" s="1"/>
  <c r="B17384" i="53"/>
  <c r="D17384" i="53"/>
  <c r="F17384" i="53"/>
  <c r="G17384" i="53" s="1"/>
  <c r="B17385" i="53"/>
  <c r="D17385" i="53"/>
  <c r="F17385" i="53"/>
  <c r="G17385" i="53" s="1"/>
  <c r="B17401" i="53"/>
  <c r="A17405" i="53"/>
  <c r="A17406" i="53"/>
  <c r="G17407" i="53"/>
  <c r="G17408" i="53"/>
  <c r="G17409" i="53"/>
  <c r="G17410" i="53"/>
  <c r="G17411" i="53"/>
  <c r="B17416" i="53"/>
  <c r="D17416" i="53"/>
  <c r="E17416" i="53"/>
  <c r="F17416" i="53"/>
  <c r="B17417" i="53"/>
  <c r="D17417" i="53"/>
  <c r="E17417" i="53"/>
  <c r="F17417" i="53"/>
  <c r="B17418" i="53"/>
  <c r="D17418" i="53"/>
  <c r="E17418" i="53"/>
  <c r="F17418" i="53"/>
  <c r="B17419" i="53"/>
  <c r="D17419" i="53"/>
  <c r="E17419" i="53"/>
  <c r="F17419" i="53"/>
  <c r="B17420" i="53"/>
  <c r="D17420" i="53"/>
  <c r="E17420" i="53"/>
  <c r="F17420" i="53"/>
  <c r="B17421" i="53"/>
  <c r="D17421" i="53"/>
  <c r="E17421" i="53"/>
  <c r="F17421" i="53"/>
  <c r="B17426" i="53"/>
  <c r="F17426" i="53"/>
  <c r="G17426" i="53" s="1"/>
  <c r="B17427" i="53"/>
  <c r="F17427" i="53"/>
  <c r="G17427" i="53" s="1"/>
  <c r="B17428" i="53"/>
  <c r="F17428" i="53"/>
  <c r="G17428" i="53" s="1"/>
  <c r="B17429" i="53"/>
  <c r="F17429" i="53"/>
  <c r="G17429" i="53" s="1"/>
  <c r="B17430" i="53"/>
  <c r="F17430" i="53"/>
  <c r="G17430" i="53" s="1"/>
  <c r="B17431" i="53"/>
  <c r="F17431" i="53"/>
  <c r="G17431" i="53" s="1"/>
  <c r="B17436" i="53"/>
  <c r="D17436" i="53"/>
  <c r="E17436" i="53"/>
  <c r="F17436" i="53"/>
  <c r="B17437" i="53"/>
  <c r="D17437" i="53"/>
  <c r="E17437" i="53"/>
  <c r="F17437" i="53"/>
  <c r="B17438" i="53"/>
  <c r="D17438" i="53"/>
  <c r="E17438" i="53"/>
  <c r="F17438" i="53"/>
  <c r="B17439" i="53"/>
  <c r="D17439" i="53"/>
  <c r="E17439" i="53"/>
  <c r="F17439" i="53"/>
  <c r="B17440" i="53"/>
  <c r="D17440" i="53"/>
  <c r="E17440" i="53"/>
  <c r="F17440" i="53"/>
  <c r="B17441" i="53"/>
  <c r="D17441" i="53"/>
  <c r="E17441" i="53"/>
  <c r="F17441" i="53"/>
  <c r="B17442" i="53"/>
  <c r="D17442" i="53"/>
  <c r="E17442" i="53"/>
  <c r="F17442" i="53"/>
  <c r="B17443" i="53"/>
  <c r="D17443" i="53"/>
  <c r="E17443" i="53"/>
  <c r="F17443" i="53"/>
  <c r="B17444" i="53"/>
  <c r="D17444" i="53"/>
  <c r="E17444" i="53"/>
  <c r="F17444" i="53"/>
  <c r="B17445" i="53"/>
  <c r="D17445" i="53"/>
  <c r="E17445" i="53"/>
  <c r="F17445" i="53"/>
  <c r="B17446" i="53"/>
  <c r="D17446" i="53"/>
  <c r="E17446" i="53"/>
  <c r="F17446" i="53"/>
  <c r="B17447" i="53"/>
  <c r="D17447" i="53"/>
  <c r="E17447" i="53"/>
  <c r="F17447" i="53"/>
  <c r="B17448" i="53"/>
  <c r="D17448" i="53"/>
  <c r="E17448" i="53"/>
  <c r="F17448" i="53"/>
  <c r="B17453" i="53"/>
  <c r="D17453" i="53"/>
  <c r="F17453" i="53"/>
  <c r="G17453" i="53" s="1"/>
  <c r="B17454" i="53"/>
  <c r="D17454" i="53"/>
  <c r="F17454" i="53"/>
  <c r="G17454" i="53" s="1"/>
  <c r="B17455" i="53"/>
  <c r="D17455" i="53"/>
  <c r="F17455" i="53"/>
  <c r="G17455" i="53" s="1"/>
  <c r="B17456" i="53"/>
  <c r="D17456" i="53"/>
  <c r="F17456" i="53"/>
  <c r="G17456" i="53" s="1"/>
  <c r="B17457" i="53"/>
  <c r="D17457" i="53"/>
  <c r="F17457" i="53"/>
  <c r="G17457" i="53" s="1"/>
  <c r="B17473" i="53"/>
  <c r="G17482" i="53"/>
  <c r="G17483" i="53"/>
  <c r="B17488" i="53"/>
  <c r="D17488" i="53"/>
  <c r="E17488" i="53"/>
  <c r="F17488" i="53"/>
  <c r="B17489" i="53"/>
  <c r="D17489" i="53"/>
  <c r="E17489" i="53"/>
  <c r="F17489" i="53"/>
  <c r="B17490" i="53"/>
  <c r="D17490" i="53"/>
  <c r="E17490" i="53"/>
  <c r="F17490" i="53"/>
  <c r="B17491" i="53"/>
  <c r="D17491" i="53"/>
  <c r="E17491" i="53"/>
  <c r="F17491" i="53"/>
  <c r="B17492" i="53"/>
  <c r="D17492" i="53"/>
  <c r="E17492" i="53"/>
  <c r="F17492" i="53"/>
  <c r="B17493" i="53"/>
  <c r="D17493" i="53"/>
  <c r="E17493" i="53"/>
  <c r="F17493" i="53"/>
  <c r="B17498" i="53"/>
  <c r="F17498" i="53"/>
  <c r="G17498" i="53" s="1"/>
  <c r="B17499" i="53"/>
  <c r="F17499" i="53"/>
  <c r="G17499" i="53" s="1"/>
  <c r="B17500" i="53"/>
  <c r="F17500" i="53"/>
  <c r="G17500" i="53" s="1"/>
  <c r="B17501" i="53"/>
  <c r="F17501" i="53"/>
  <c r="G17501" i="53" s="1"/>
  <c r="B17502" i="53"/>
  <c r="F17502" i="53"/>
  <c r="G17502" i="53" s="1"/>
  <c r="B17503" i="53"/>
  <c r="F17503" i="53"/>
  <c r="G17503" i="53" s="1"/>
  <c r="B17508" i="53"/>
  <c r="D17508" i="53"/>
  <c r="E17508" i="53"/>
  <c r="F17508" i="53"/>
  <c r="B17509" i="53"/>
  <c r="D17509" i="53"/>
  <c r="E17509" i="53"/>
  <c r="F17509" i="53"/>
  <c r="B17510" i="53"/>
  <c r="D17510" i="53"/>
  <c r="E17510" i="53"/>
  <c r="F17510" i="53"/>
  <c r="B17511" i="53"/>
  <c r="D17511" i="53"/>
  <c r="E17511" i="53"/>
  <c r="F17511" i="53"/>
  <c r="B17512" i="53"/>
  <c r="D17512" i="53"/>
  <c r="E17512" i="53"/>
  <c r="F17512" i="53"/>
  <c r="B17513" i="53"/>
  <c r="D17513" i="53"/>
  <c r="E17513" i="53"/>
  <c r="F17513" i="53"/>
  <c r="B17514" i="53"/>
  <c r="D17514" i="53"/>
  <c r="E17514" i="53"/>
  <c r="F17514" i="53"/>
  <c r="B17515" i="53"/>
  <c r="D17515" i="53"/>
  <c r="E17515" i="53"/>
  <c r="F17515" i="53"/>
  <c r="B17516" i="53"/>
  <c r="D17516" i="53"/>
  <c r="E17516" i="53"/>
  <c r="F17516" i="53"/>
  <c r="B17517" i="53"/>
  <c r="D17517" i="53"/>
  <c r="E17517" i="53"/>
  <c r="F17517" i="53"/>
  <c r="B17518" i="53"/>
  <c r="D17518" i="53"/>
  <c r="E17518" i="53"/>
  <c r="F17518" i="53"/>
  <c r="B17519" i="53"/>
  <c r="D17519" i="53"/>
  <c r="E17519" i="53"/>
  <c r="F17519" i="53"/>
  <c r="B17520" i="53"/>
  <c r="D17520" i="53"/>
  <c r="E17520" i="53"/>
  <c r="F17520" i="53"/>
  <c r="B17525" i="53"/>
  <c r="D17525" i="53"/>
  <c r="F17525" i="53"/>
  <c r="G17525" i="53" s="1"/>
  <c r="B17526" i="53"/>
  <c r="D17526" i="53"/>
  <c r="F17526" i="53"/>
  <c r="G17526" i="53" s="1"/>
  <c r="B17527" i="53"/>
  <c r="D17527" i="53"/>
  <c r="F17527" i="53"/>
  <c r="G17527" i="53" s="1"/>
  <c r="B17528" i="53"/>
  <c r="D17528" i="53"/>
  <c r="F17528" i="53"/>
  <c r="G17528" i="53" s="1"/>
  <c r="B17529" i="53"/>
  <c r="D17529" i="53"/>
  <c r="F17529" i="53"/>
  <c r="G17529" i="53" s="1"/>
  <c r="B17545" i="53"/>
  <c r="G17549" i="53"/>
  <c r="G17550" i="53"/>
  <c r="G17551" i="53"/>
  <c r="G17552" i="53"/>
  <c r="B17557" i="53"/>
  <c r="D17557" i="53"/>
  <c r="E17557" i="53"/>
  <c r="F17557" i="53"/>
  <c r="B17558" i="53"/>
  <c r="D17558" i="53"/>
  <c r="E17558" i="53"/>
  <c r="F17558" i="53"/>
  <c r="B17559" i="53"/>
  <c r="D17559" i="53"/>
  <c r="E17559" i="53"/>
  <c r="F17559" i="53"/>
  <c r="B17560" i="53"/>
  <c r="D17560" i="53"/>
  <c r="E17560" i="53"/>
  <c r="F17560" i="53"/>
  <c r="B17561" i="53"/>
  <c r="D17561" i="53"/>
  <c r="E17561" i="53"/>
  <c r="F17561" i="53"/>
  <c r="B17562" i="53"/>
  <c r="D17562" i="53"/>
  <c r="E17562" i="53"/>
  <c r="F17562" i="53"/>
  <c r="B17567" i="53"/>
  <c r="F17567" i="53"/>
  <c r="G17567" i="53" s="1"/>
  <c r="B17568" i="53"/>
  <c r="F17568" i="53"/>
  <c r="G17568" i="53" s="1"/>
  <c r="B17569" i="53"/>
  <c r="F17569" i="53"/>
  <c r="G17569" i="53" s="1"/>
  <c r="B17570" i="53"/>
  <c r="F17570" i="53"/>
  <c r="G17570" i="53" s="1"/>
  <c r="B17571" i="53"/>
  <c r="F17571" i="53"/>
  <c r="G17571" i="53" s="1"/>
  <c r="B17572" i="53"/>
  <c r="F17572" i="53"/>
  <c r="G17572" i="53" s="1"/>
  <c r="B17577" i="53"/>
  <c r="D17577" i="53"/>
  <c r="E17577" i="53"/>
  <c r="F17577" i="53"/>
  <c r="B17578" i="53"/>
  <c r="D17578" i="53"/>
  <c r="E17578" i="53"/>
  <c r="F17578" i="53"/>
  <c r="B17579" i="53"/>
  <c r="D17579" i="53"/>
  <c r="E17579" i="53"/>
  <c r="F17579" i="53"/>
  <c r="B17580" i="53"/>
  <c r="D17580" i="53"/>
  <c r="E17580" i="53"/>
  <c r="F17580" i="53"/>
  <c r="B17581" i="53"/>
  <c r="D17581" i="53"/>
  <c r="E17581" i="53"/>
  <c r="F17581" i="53"/>
  <c r="B17582" i="53"/>
  <c r="D17582" i="53"/>
  <c r="E17582" i="53"/>
  <c r="F17582" i="53"/>
  <c r="B17583" i="53"/>
  <c r="D17583" i="53"/>
  <c r="E17583" i="53"/>
  <c r="F17583" i="53"/>
  <c r="B17584" i="53"/>
  <c r="D17584" i="53"/>
  <c r="E17584" i="53"/>
  <c r="F17584" i="53"/>
  <c r="B17585" i="53"/>
  <c r="D17585" i="53"/>
  <c r="E17585" i="53"/>
  <c r="F17585" i="53"/>
  <c r="B17586" i="53"/>
  <c r="D17586" i="53"/>
  <c r="E17586" i="53"/>
  <c r="F17586" i="53"/>
  <c r="B17587" i="53"/>
  <c r="D17587" i="53"/>
  <c r="E17587" i="53"/>
  <c r="F17587" i="53"/>
  <c r="B17588" i="53"/>
  <c r="D17588" i="53"/>
  <c r="E17588" i="53"/>
  <c r="F17588" i="53"/>
  <c r="B17589" i="53"/>
  <c r="D17589" i="53"/>
  <c r="E17589" i="53"/>
  <c r="F17589" i="53"/>
  <c r="B17594" i="53"/>
  <c r="D17594" i="53"/>
  <c r="F17594" i="53"/>
  <c r="G17594" i="53" s="1"/>
  <c r="B17595" i="53"/>
  <c r="D17595" i="53"/>
  <c r="F17595" i="53"/>
  <c r="G17595" i="53" s="1"/>
  <c r="B17596" i="53"/>
  <c r="D17596" i="53"/>
  <c r="F17596" i="53"/>
  <c r="G17596" i="53" s="1"/>
  <c r="B17597" i="53"/>
  <c r="D17597" i="53"/>
  <c r="F17597" i="53"/>
  <c r="G17597" i="53" s="1"/>
  <c r="B17598" i="53"/>
  <c r="D17598" i="53"/>
  <c r="F17598" i="53"/>
  <c r="G17598" i="53" s="1"/>
  <c r="B17046" i="53"/>
  <c r="G17050" i="53"/>
  <c r="G17051" i="53"/>
  <c r="G17052" i="53"/>
  <c r="G17053" i="53"/>
  <c r="G17054" i="53"/>
  <c r="G17055" i="53"/>
  <c r="B17060" i="53"/>
  <c r="D17060" i="53"/>
  <c r="E17060" i="53"/>
  <c r="F17060" i="53"/>
  <c r="B17061" i="53"/>
  <c r="D17061" i="53"/>
  <c r="E17061" i="53"/>
  <c r="F17061" i="53"/>
  <c r="B17062" i="53"/>
  <c r="D17062" i="53"/>
  <c r="E17062" i="53"/>
  <c r="F17062" i="53"/>
  <c r="B17063" i="53"/>
  <c r="D17063" i="53"/>
  <c r="E17063" i="53"/>
  <c r="F17063" i="53"/>
  <c r="B17064" i="53"/>
  <c r="D17064" i="53"/>
  <c r="E17064" i="53"/>
  <c r="F17064" i="53"/>
  <c r="B17065" i="53"/>
  <c r="D17065" i="53"/>
  <c r="E17065" i="53"/>
  <c r="F17065" i="53"/>
  <c r="B17070" i="53"/>
  <c r="F17070" i="53"/>
  <c r="G17070" i="53" s="1"/>
  <c r="B17071" i="53"/>
  <c r="F17071" i="53"/>
  <c r="G17071" i="53" s="1"/>
  <c r="B17072" i="53"/>
  <c r="F17072" i="53"/>
  <c r="G17072" i="53" s="1"/>
  <c r="B17073" i="53"/>
  <c r="F17073" i="53"/>
  <c r="G17073" i="53" s="1"/>
  <c r="B17074" i="53"/>
  <c r="F17074" i="53"/>
  <c r="G17074" i="53" s="1"/>
  <c r="B17075" i="53"/>
  <c r="F17075" i="53"/>
  <c r="G17075" i="53" s="1"/>
  <c r="B17080" i="53"/>
  <c r="D17080" i="53"/>
  <c r="E17080" i="53"/>
  <c r="F17080" i="53"/>
  <c r="B17081" i="53"/>
  <c r="D17081" i="53"/>
  <c r="E17081" i="53"/>
  <c r="F17081" i="53"/>
  <c r="B17082" i="53"/>
  <c r="D17082" i="53"/>
  <c r="E17082" i="53"/>
  <c r="F17082" i="53"/>
  <c r="B17083" i="53"/>
  <c r="D17083" i="53"/>
  <c r="E17083" i="53"/>
  <c r="F17083" i="53"/>
  <c r="B17084" i="53"/>
  <c r="D17084" i="53"/>
  <c r="E17084" i="53"/>
  <c r="F17084" i="53"/>
  <c r="B17085" i="53"/>
  <c r="D17085" i="53"/>
  <c r="E17085" i="53"/>
  <c r="F17085" i="53"/>
  <c r="B17086" i="53"/>
  <c r="D17086" i="53"/>
  <c r="E17086" i="53"/>
  <c r="F17086" i="53"/>
  <c r="B17087" i="53"/>
  <c r="D17087" i="53"/>
  <c r="E17087" i="53"/>
  <c r="F17087" i="53"/>
  <c r="B17088" i="53"/>
  <c r="D17088" i="53"/>
  <c r="E17088" i="53"/>
  <c r="F17088" i="53"/>
  <c r="B17089" i="53"/>
  <c r="D17089" i="53"/>
  <c r="E17089" i="53"/>
  <c r="F17089" i="53"/>
  <c r="B17090" i="53"/>
  <c r="D17090" i="53"/>
  <c r="E17090" i="53"/>
  <c r="F17090" i="53"/>
  <c r="B17091" i="53"/>
  <c r="D17091" i="53"/>
  <c r="E17091" i="53"/>
  <c r="F17091" i="53"/>
  <c r="B17092" i="53"/>
  <c r="D17092" i="53"/>
  <c r="E17092" i="53"/>
  <c r="F17092" i="53"/>
  <c r="B17097" i="53"/>
  <c r="D17097" i="53"/>
  <c r="F17097" i="53"/>
  <c r="G17097" i="53" s="1"/>
  <c r="B17098" i="53"/>
  <c r="D17098" i="53"/>
  <c r="F17098" i="53"/>
  <c r="G17098" i="53" s="1"/>
  <c r="B17099" i="53"/>
  <c r="D17099" i="53"/>
  <c r="F17099" i="53"/>
  <c r="G17099" i="53" s="1"/>
  <c r="B17100" i="53"/>
  <c r="D17100" i="53"/>
  <c r="F17100" i="53"/>
  <c r="G17100" i="53" s="1"/>
  <c r="B17101" i="53"/>
  <c r="D17101" i="53"/>
  <c r="F17101" i="53"/>
  <c r="G17101" i="53" s="1"/>
  <c r="B17257" i="53"/>
  <c r="E17266" i="53"/>
  <c r="B17272" i="53"/>
  <c r="D17272" i="53"/>
  <c r="E17272" i="53"/>
  <c r="F17272" i="53"/>
  <c r="B17273" i="53"/>
  <c r="D17273" i="53"/>
  <c r="E17273" i="53"/>
  <c r="F17273" i="53"/>
  <c r="B17274" i="53"/>
  <c r="D17274" i="53"/>
  <c r="E17274" i="53"/>
  <c r="F17274" i="53"/>
  <c r="B17275" i="53"/>
  <c r="D17275" i="53"/>
  <c r="E17275" i="53"/>
  <c r="F17275" i="53"/>
  <c r="B17276" i="53"/>
  <c r="D17276" i="53"/>
  <c r="E17276" i="53"/>
  <c r="F17276" i="53"/>
  <c r="B17277" i="53"/>
  <c r="D17277" i="53"/>
  <c r="E17277" i="53"/>
  <c r="F17277" i="53"/>
  <c r="B17282" i="53"/>
  <c r="F17282" i="53"/>
  <c r="G17282" i="53" s="1"/>
  <c r="B17283" i="53"/>
  <c r="F17283" i="53"/>
  <c r="G17283" i="53" s="1"/>
  <c r="B17284" i="53"/>
  <c r="F17284" i="53"/>
  <c r="G17284" i="53" s="1"/>
  <c r="B17285" i="53"/>
  <c r="F17285" i="53"/>
  <c r="G17285" i="53" s="1"/>
  <c r="B17286" i="53"/>
  <c r="F17286" i="53"/>
  <c r="G17286" i="53" s="1"/>
  <c r="B17287" i="53"/>
  <c r="F17287" i="53"/>
  <c r="G17287" i="53" s="1"/>
  <c r="B17292" i="53"/>
  <c r="D17292" i="53"/>
  <c r="E17292" i="53"/>
  <c r="F17292" i="53"/>
  <c r="B17293" i="53"/>
  <c r="D17293" i="53"/>
  <c r="E17293" i="53"/>
  <c r="F17293" i="53"/>
  <c r="B17294" i="53"/>
  <c r="D17294" i="53"/>
  <c r="E17294" i="53"/>
  <c r="F17294" i="53"/>
  <c r="B17295" i="53"/>
  <c r="D17295" i="53"/>
  <c r="E17295" i="53"/>
  <c r="F17295" i="53"/>
  <c r="B17296" i="53"/>
  <c r="D17296" i="53"/>
  <c r="E17296" i="53"/>
  <c r="F17296" i="53"/>
  <c r="B17297" i="53"/>
  <c r="D17297" i="53"/>
  <c r="E17297" i="53"/>
  <c r="F17297" i="53"/>
  <c r="B17298" i="53"/>
  <c r="D17298" i="53"/>
  <c r="E17298" i="53"/>
  <c r="F17298" i="53"/>
  <c r="B17299" i="53"/>
  <c r="D17299" i="53"/>
  <c r="E17299" i="53"/>
  <c r="F17299" i="53"/>
  <c r="B17300" i="53"/>
  <c r="D17300" i="53"/>
  <c r="E17300" i="53"/>
  <c r="F17300" i="53"/>
  <c r="B17301" i="53"/>
  <c r="D17301" i="53"/>
  <c r="E17301" i="53"/>
  <c r="F17301" i="53"/>
  <c r="B17302" i="53"/>
  <c r="D17302" i="53"/>
  <c r="E17302" i="53"/>
  <c r="F17302" i="53"/>
  <c r="B17303" i="53"/>
  <c r="D17303" i="53"/>
  <c r="E17303" i="53"/>
  <c r="F17303" i="53"/>
  <c r="B17304" i="53"/>
  <c r="D17304" i="53"/>
  <c r="E17304" i="53"/>
  <c r="F17304" i="53"/>
  <c r="B17309" i="53"/>
  <c r="D17309" i="53"/>
  <c r="F17309" i="53"/>
  <c r="G17309" i="53" s="1"/>
  <c r="B17310" i="53"/>
  <c r="D17310" i="53"/>
  <c r="F17310" i="53"/>
  <c r="G17310" i="53" s="1"/>
  <c r="B17311" i="53"/>
  <c r="D17311" i="53"/>
  <c r="F17311" i="53"/>
  <c r="G17311" i="53" s="1"/>
  <c r="B17312" i="53"/>
  <c r="D17312" i="53"/>
  <c r="F17312" i="53"/>
  <c r="G17312" i="53" s="1"/>
  <c r="B17313" i="53"/>
  <c r="D17313" i="53"/>
  <c r="F17313" i="53"/>
  <c r="G17313" i="53" s="1"/>
  <c r="B16480" i="53"/>
  <c r="A16484" i="53"/>
  <c r="E16484" i="53"/>
  <c r="B16498" i="53"/>
  <c r="D16498" i="53"/>
  <c r="E16498" i="53"/>
  <c r="F16498" i="53"/>
  <c r="B16499" i="53"/>
  <c r="D16499" i="53"/>
  <c r="E16499" i="53"/>
  <c r="F16499" i="53"/>
  <c r="B16500" i="53"/>
  <c r="D16500" i="53"/>
  <c r="E16500" i="53"/>
  <c r="F16500" i="53"/>
  <c r="B16501" i="53"/>
  <c r="D16501" i="53"/>
  <c r="E16501" i="53"/>
  <c r="F16501" i="53"/>
  <c r="B16502" i="53"/>
  <c r="D16502" i="53"/>
  <c r="E16502" i="53"/>
  <c r="F16502" i="53"/>
  <c r="B16503" i="53"/>
  <c r="D16503" i="53"/>
  <c r="E16503" i="53"/>
  <c r="F16503" i="53"/>
  <c r="B16508" i="53"/>
  <c r="F16508" i="53"/>
  <c r="G16508" i="53" s="1"/>
  <c r="B16509" i="53"/>
  <c r="F16509" i="53"/>
  <c r="G16509" i="53" s="1"/>
  <c r="B16510" i="53"/>
  <c r="F16510" i="53"/>
  <c r="G16510" i="53" s="1"/>
  <c r="B16511" i="53"/>
  <c r="F16511" i="53"/>
  <c r="G16511" i="53" s="1"/>
  <c r="B16512" i="53"/>
  <c r="F16512" i="53"/>
  <c r="G16512" i="53" s="1"/>
  <c r="B16513" i="53"/>
  <c r="F16513" i="53"/>
  <c r="G16513" i="53" s="1"/>
  <c r="B16514" i="53"/>
  <c r="F16514" i="53"/>
  <c r="G16514" i="53" s="1"/>
  <c r="B16519" i="53"/>
  <c r="D16519" i="53"/>
  <c r="E16519" i="53"/>
  <c r="F16519" i="53"/>
  <c r="B16520" i="53"/>
  <c r="D16520" i="53"/>
  <c r="E16520" i="53"/>
  <c r="F16520" i="53"/>
  <c r="B16521" i="53"/>
  <c r="D16521" i="53"/>
  <c r="E16521" i="53"/>
  <c r="F16521" i="53"/>
  <c r="B16522" i="53"/>
  <c r="D16522" i="53"/>
  <c r="E16522" i="53"/>
  <c r="F16522" i="53"/>
  <c r="B16523" i="53"/>
  <c r="D16523" i="53"/>
  <c r="E16523" i="53"/>
  <c r="F16523" i="53"/>
  <c r="B16524" i="53"/>
  <c r="D16524" i="53"/>
  <c r="E16524" i="53"/>
  <c r="F16524" i="53"/>
  <c r="B16525" i="53"/>
  <c r="D16525" i="53"/>
  <c r="E16525" i="53"/>
  <c r="F16525" i="53"/>
  <c r="B16526" i="53"/>
  <c r="D16526" i="53"/>
  <c r="E16526" i="53"/>
  <c r="F16526" i="53"/>
  <c r="B16527" i="53"/>
  <c r="D16527" i="53"/>
  <c r="E16527" i="53"/>
  <c r="F16527" i="53"/>
  <c r="B16528" i="53"/>
  <c r="D16528" i="53"/>
  <c r="E16528" i="53"/>
  <c r="F16528" i="53"/>
  <c r="B16529" i="53"/>
  <c r="D16529" i="53"/>
  <c r="E16529" i="53"/>
  <c r="F16529" i="53"/>
  <c r="B16530" i="53"/>
  <c r="D16530" i="53"/>
  <c r="E16530" i="53"/>
  <c r="F16530" i="53"/>
  <c r="B16531" i="53"/>
  <c r="D16531" i="53"/>
  <c r="E16531" i="53"/>
  <c r="F16531" i="53"/>
  <c r="B16536" i="53"/>
  <c r="D16536" i="53"/>
  <c r="F16536" i="53"/>
  <c r="G16536" i="53" s="1"/>
  <c r="B16537" i="53"/>
  <c r="D16537" i="53"/>
  <c r="F16537" i="53"/>
  <c r="G16537" i="53" s="1"/>
  <c r="B16553" i="53"/>
  <c r="A16557" i="53"/>
  <c r="E16557" i="53"/>
  <c r="A16562" i="53"/>
  <c r="B16571" i="53"/>
  <c r="D16571" i="53"/>
  <c r="E16571" i="53"/>
  <c r="F16571" i="53"/>
  <c r="B16572" i="53"/>
  <c r="D16572" i="53"/>
  <c r="E16572" i="53"/>
  <c r="F16572" i="53"/>
  <c r="B16573" i="53"/>
  <c r="D16573" i="53"/>
  <c r="E16573" i="53"/>
  <c r="F16573" i="53"/>
  <c r="B16574" i="53"/>
  <c r="D16574" i="53"/>
  <c r="E16574" i="53"/>
  <c r="F16574" i="53"/>
  <c r="B16575" i="53"/>
  <c r="D16575" i="53"/>
  <c r="E16575" i="53"/>
  <c r="F16575" i="53"/>
  <c r="B16576" i="53"/>
  <c r="D16576" i="53"/>
  <c r="E16576" i="53"/>
  <c r="F16576" i="53"/>
  <c r="B16581" i="53"/>
  <c r="F16581" i="53"/>
  <c r="G16581" i="53" s="1"/>
  <c r="B16582" i="53"/>
  <c r="F16582" i="53"/>
  <c r="G16582" i="53" s="1"/>
  <c r="B16583" i="53"/>
  <c r="F16583" i="53"/>
  <c r="G16583" i="53" s="1"/>
  <c r="B16584" i="53"/>
  <c r="F16584" i="53"/>
  <c r="G16584" i="53" s="1"/>
  <c r="B16585" i="53"/>
  <c r="F16585" i="53"/>
  <c r="G16585" i="53" s="1"/>
  <c r="B16586" i="53"/>
  <c r="F16586" i="53"/>
  <c r="G16586" i="53" s="1"/>
  <c r="B16587" i="53"/>
  <c r="F16587" i="53"/>
  <c r="G16587" i="53" s="1"/>
  <c r="B16592" i="53"/>
  <c r="D16592" i="53"/>
  <c r="E16592" i="53"/>
  <c r="F16592" i="53"/>
  <c r="B16593" i="53"/>
  <c r="D16593" i="53"/>
  <c r="E16593" i="53"/>
  <c r="F16593" i="53"/>
  <c r="B16594" i="53"/>
  <c r="D16594" i="53"/>
  <c r="E16594" i="53"/>
  <c r="F16594" i="53"/>
  <c r="B16595" i="53"/>
  <c r="D16595" i="53"/>
  <c r="E16595" i="53"/>
  <c r="F16595" i="53"/>
  <c r="B16596" i="53"/>
  <c r="D16596" i="53"/>
  <c r="E16596" i="53"/>
  <c r="F16596" i="53"/>
  <c r="B16597" i="53"/>
  <c r="D16597" i="53"/>
  <c r="E16597" i="53"/>
  <c r="F16597" i="53"/>
  <c r="B16598" i="53"/>
  <c r="D16598" i="53"/>
  <c r="E16598" i="53"/>
  <c r="F16598" i="53"/>
  <c r="B16599" i="53"/>
  <c r="D16599" i="53"/>
  <c r="E16599" i="53"/>
  <c r="F16599" i="53"/>
  <c r="B16600" i="53"/>
  <c r="D16600" i="53"/>
  <c r="E16600" i="53"/>
  <c r="F16600" i="53"/>
  <c r="B16601" i="53"/>
  <c r="D16601" i="53"/>
  <c r="E16601" i="53"/>
  <c r="F16601" i="53"/>
  <c r="B16602" i="53"/>
  <c r="D16602" i="53"/>
  <c r="E16602" i="53"/>
  <c r="F16602" i="53"/>
  <c r="B16603" i="53"/>
  <c r="D16603" i="53"/>
  <c r="E16603" i="53"/>
  <c r="F16603" i="53"/>
  <c r="B16604" i="53"/>
  <c r="D16604" i="53"/>
  <c r="E16604" i="53"/>
  <c r="F16604" i="53"/>
  <c r="B16609" i="53"/>
  <c r="D16609" i="53"/>
  <c r="F16609" i="53"/>
  <c r="G16609" i="53" s="1"/>
  <c r="B16610" i="53"/>
  <c r="D16610" i="53"/>
  <c r="F16610" i="53"/>
  <c r="G16610" i="53" s="1"/>
  <c r="B16692" i="53"/>
  <c r="E16702" i="53"/>
  <c r="E16703" i="53"/>
  <c r="B16709" i="53"/>
  <c r="D16709" i="53"/>
  <c r="E16709" i="53"/>
  <c r="F16709" i="53"/>
  <c r="B16710" i="53"/>
  <c r="D16710" i="53"/>
  <c r="E16710" i="53"/>
  <c r="F16710" i="53"/>
  <c r="B16711" i="53"/>
  <c r="D16711" i="53"/>
  <c r="E16711" i="53"/>
  <c r="F16711" i="53"/>
  <c r="B16712" i="53"/>
  <c r="D16712" i="53"/>
  <c r="E16712" i="53"/>
  <c r="F16712" i="53"/>
  <c r="B16713" i="53"/>
  <c r="D16713" i="53"/>
  <c r="E16713" i="53"/>
  <c r="F16713" i="53"/>
  <c r="B16714" i="53"/>
  <c r="D16714" i="53"/>
  <c r="E16714" i="53"/>
  <c r="F16714" i="53"/>
  <c r="B16719" i="53"/>
  <c r="F16719" i="53"/>
  <c r="G16719" i="53" s="1"/>
  <c r="B16720" i="53"/>
  <c r="F16720" i="53"/>
  <c r="G16720" i="53" s="1"/>
  <c r="B16721" i="53"/>
  <c r="F16721" i="53"/>
  <c r="G16721" i="53" s="1"/>
  <c r="B16722" i="53"/>
  <c r="F16722" i="53"/>
  <c r="G16722" i="53" s="1"/>
  <c r="B16723" i="53"/>
  <c r="F16723" i="53"/>
  <c r="G16723" i="53" s="1"/>
  <c r="B16724" i="53"/>
  <c r="F16724" i="53"/>
  <c r="G16724" i="53" s="1"/>
  <c r="B16729" i="53"/>
  <c r="D16729" i="53"/>
  <c r="E16729" i="53"/>
  <c r="F16729" i="53"/>
  <c r="B16730" i="53"/>
  <c r="D16730" i="53"/>
  <c r="E16730" i="53"/>
  <c r="F16730" i="53"/>
  <c r="B16731" i="53"/>
  <c r="D16731" i="53"/>
  <c r="E16731" i="53"/>
  <c r="F16731" i="53"/>
  <c r="B16732" i="53"/>
  <c r="D16732" i="53"/>
  <c r="E16732" i="53"/>
  <c r="F16732" i="53"/>
  <c r="B16733" i="53"/>
  <c r="D16733" i="53"/>
  <c r="E16733" i="53"/>
  <c r="F16733" i="53"/>
  <c r="B16734" i="53"/>
  <c r="D16734" i="53"/>
  <c r="E16734" i="53"/>
  <c r="F16734" i="53"/>
  <c r="B16735" i="53"/>
  <c r="D16735" i="53"/>
  <c r="E16735" i="53"/>
  <c r="F16735" i="53"/>
  <c r="B16736" i="53"/>
  <c r="D16736" i="53"/>
  <c r="E16736" i="53"/>
  <c r="F16736" i="53"/>
  <c r="B16737" i="53"/>
  <c r="D16737" i="53"/>
  <c r="E16737" i="53"/>
  <c r="F16737" i="53"/>
  <c r="B16738" i="53"/>
  <c r="D16738" i="53"/>
  <c r="E16738" i="53"/>
  <c r="F16738" i="53"/>
  <c r="B16739" i="53"/>
  <c r="D16739" i="53"/>
  <c r="E16739" i="53"/>
  <c r="F16739" i="53"/>
  <c r="B16740" i="53"/>
  <c r="D16740" i="53"/>
  <c r="E16740" i="53"/>
  <c r="F16740" i="53"/>
  <c r="B16741" i="53"/>
  <c r="D16741" i="53"/>
  <c r="E16741" i="53"/>
  <c r="F16741" i="53"/>
  <c r="B16746" i="53"/>
  <c r="D16746" i="53"/>
  <c r="F16746" i="53"/>
  <c r="G16746" i="53" s="1"/>
  <c r="B16747" i="53"/>
  <c r="D16747" i="53"/>
  <c r="F16747" i="53"/>
  <c r="G16747" i="53" s="1"/>
  <c r="B16748" i="53"/>
  <c r="D16748" i="53"/>
  <c r="F16748" i="53"/>
  <c r="G16748" i="53" s="1"/>
  <c r="B16749" i="53"/>
  <c r="D16749" i="53"/>
  <c r="F16749" i="53"/>
  <c r="G16749" i="53" s="1"/>
  <c r="B16750" i="53"/>
  <c r="D16750" i="53"/>
  <c r="F16750" i="53"/>
  <c r="G16750" i="53" s="1"/>
  <c r="A15096" i="53"/>
  <c r="A15097" i="53"/>
  <c r="A15100" i="53"/>
  <c r="A15101" i="53"/>
  <c r="A15102" i="53"/>
  <c r="B15107" i="53"/>
  <c r="D15107" i="53"/>
  <c r="E15107" i="53"/>
  <c r="F15107" i="53"/>
  <c r="B15108" i="53"/>
  <c r="D15108" i="53"/>
  <c r="E15108" i="53"/>
  <c r="F15108" i="53"/>
  <c r="B15109" i="53"/>
  <c r="D15109" i="53"/>
  <c r="E15109" i="53"/>
  <c r="F15109" i="53"/>
  <c r="B15110" i="53"/>
  <c r="D15110" i="53"/>
  <c r="E15110" i="53"/>
  <c r="F15110" i="53"/>
  <c r="B15111" i="53"/>
  <c r="D15111" i="53"/>
  <c r="E15111" i="53"/>
  <c r="F15111" i="53"/>
  <c r="B15112" i="53"/>
  <c r="D15112" i="53"/>
  <c r="E15112" i="53"/>
  <c r="F15112" i="53"/>
  <c r="B15113" i="53"/>
  <c r="D15113" i="53"/>
  <c r="E15113" i="53"/>
  <c r="F15113" i="53"/>
  <c r="B15118" i="53"/>
  <c r="F15118" i="53"/>
  <c r="G15118" i="53" s="1"/>
  <c r="B15119" i="53"/>
  <c r="F15119" i="53"/>
  <c r="G15119" i="53" s="1"/>
  <c r="B15120" i="53"/>
  <c r="F15120" i="53"/>
  <c r="G15120" i="53" s="1"/>
  <c r="B15121" i="53"/>
  <c r="F15121" i="53"/>
  <c r="G15121" i="53" s="1"/>
  <c r="B15122" i="53"/>
  <c r="F15122" i="53"/>
  <c r="G15122" i="53" s="1"/>
  <c r="B15123" i="53"/>
  <c r="F15123" i="53"/>
  <c r="G15123" i="53" s="1"/>
  <c r="B15128" i="53"/>
  <c r="D15128" i="53"/>
  <c r="E15128" i="53"/>
  <c r="F15128" i="53"/>
  <c r="B15129" i="53"/>
  <c r="D15129" i="53"/>
  <c r="E15129" i="53"/>
  <c r="F15129" i="53"/>
  <c r="B15130" i="53"/>
  <c r="D15130" i="53"/>
  <c r="E15130" i="53"/>
  <c r="F15130" i="53"/>
  <c r="B15131" i="53"/>
  <c r="D15131" i="53"/>
  <c r="E15131" i="53"/>
  <c r="F15131" i="53"/>
  <c r="B15132" i="53"/>
  <c r="D15132" i="53"/>
  <c r="E15132" i="53"/>
  <c r="F15132" i="53"/>
  <c r="B15133" i="53"/>
  <c r="D15133" i="53"/>
  <c r="E15133" i="53"/>
  <c r="F15133" i="53"/>
  <c r="B15134" i="53"/>
  <c r="D15134" i="53"/>
  <c r="E15134" i="53"/>
  <c r="F15134" i="53"/>
  <c r="B15135" i="53"/>
  <c r="D15135" i="53"/>
  <c r="E15135" i="53"/>
  <c r="F15135" i="53"/>
  <c r="B15136" i="53"/>
  <c r="D15136" i="53"/>
  <c r="E15136" i="53"/>
  <c r="F15136" i="53"/>
  <c r="B15137" i="53"/>
  <c r="D15137" i="53"/>
  <c r="E15137" i="53"/>
  <c r="F15137" i="53"/>
  <c r="B15138" i="53"/>
  <c r="D15138" i="53"/>
  <c r="E15138" i="53"/>
  <c r="F15138" i="53"/>
  <c r="B15139" i="53"/>
  <c r="D15139" i="53"/>
  <c r="E15139" i="53"/>
  <c r="F15139" i="53"/>
  <c r="B15140" i="53"/>
  <c r="D15140" i="53"/>
  <c r="E15140" i="53"/>
  <c r="F15140" i="53"/>
  <c r="B15145" i="53"/>
  <c r="D15145" i="53"/>
  <c r="F15145" i="53"/>
  <c r="G15145" i="53" s="1"/>
  <c r="B15146" i="53"/>
  <c r="D15146" i="53"/>
  <c r="F15146" i="53"/>
  <c r="G15146" i="53" s="1"/>
  <c r="B12580" i="53"/>
  <c r="A12583" i="53"/>
  <c r="G12584" i="53"/>
  <c r="G12585" i="53"/>
  <c r="B12590" i="53"/>
  <c r="D12590" i="53"/>
  <c r="E12590" i="53"/>
  <c r="F12590" i="53"/>
  <c r="B12591" i="53"/>
  <c r="D12591" i="53"/>
  <c r="E12591" i="53"/>
  <c r="F12591" i="53"/>
  <c r="B12592" i="53"/>
  <c r="D12592" i="53"/>
  <c r="E12592" i="53"/>
  <c r="F12592" i="53"/>
  <c r="B12593" i="53"/>
  <c r="D12593" i="53"/>
  <c r="E12593" i="53"/>
  <c r="F12593" i="53"/>
  <c r="B12594" i="53"/>
  <c r="D12594" i="53"/>
  <c r="E12594" i="53"/>
  <c r="F12594" i="53"/>
  <c r="B12595" i="53"/>
  <c r="D12595" i="53"/>
  <c r="E12595" i="53"/>
  <c r="F12595" i="53"/>
  <c r="B12596" i="53"/>
  <c r="D12596" i="53"/>
  <c r="E12596" i="53"/>
  <c r="F12596" i="53"/>
  <c r="B12601" i="53"/>
  <c r="F12601" i="53"/>
  <c r="G12601" i="53" s="1"/>
  <c r="B12602" i="53"/>
  <c r="F12602" i="53"/>
  <c r="G12602" i="53" s="1"/>
  <c r="B12603" i="53"/>
  <c r="F12603" i="53"/>
  <c r="G12603" i="53" s="1"/>
  <c r="B12604" i="53"/>
  <c r="F12604" i="53"/>
  <c r="G12604" i="53" s="1"/>
  <c r="B12605" i="53"/>
  <c r="F12605" i="53"/>
  <c r="G12605" i="53" s="1"/>
  <c r="B12606" i="53"/>
  <c r="F12606" i="53"/>
  <c r="G12606" i="53" s="1"/>
  <c r="B12611" i="53"/>
  <c r="D12611" i="53"/>
  <c r="E12611" i="53"/>
  <c r="F12611" i="53"/>
  <c r="B12612" i="53"/>
  <c r="D12612" i="53"/>
  <c r="E12612" i="53"/>
  <c r="F12612" i="53"/>
  <c r="B12613" i="53"/>
  <c r="D12613" i="53"/>
  <c r="E12613" i="53"/>
  <c r="F12613" i="53"/>
  <c r="B12614" i="53"/>
  <c r="D12614" i="53"/>
  <c r="E12614" i="53"/>
  <c r="F12614" i="53"/>
  <c r="B12615" i="53"/>
  <c r="D12615" i="53"/>
  <c r="E12615" i="53"/>
  <c r="F12615" i="53"/>
  <c r="B12616" i="53"/>
  <c r="D12616" i="53"/>
  <c r="E12616" i="53"/>
  <c r="F12616" i="53"/>
  <c r="B12617" i="53"/>
  <c r="D12617" i="53"/>
  <c r="E12617" i="53"/>
  <c r="F12617" i="53"/>
  <c r="B12618" i="53"/>
  <c r="D12618" i="53"/>
  <c r="E12618" i="53"/>
  <c r="F12618" i="53"/>
  <c r="B12619" i="53"/>
  <c r="D12619" i="53"/>
  <c r="E12619" i="53"/>
  <c r="F12619" i="53"/>
  <c r="B12620" i="53"/>
  <c r="D12620" i="53"/>
  <c r="E12620" i="53"/>
  <c r="F12620" i="53"/>
  <c r="B12621" i="53"/>
  <c r="D12621" i="53"/>
  <c r="E12621" i="53"/>
  <c r="F12621" i="53"/>
  <c r="B12622" i="53"/>
  <c r="D12622" i="53"/>
  <c r="E12622" i="53"/>
  <c r="F12622" i="53"/>
  <c r="B12623" i="53"/>
  <c r="D12623" i="53"/>
  <c r="E12623" i="53"/>
  <c r="F12623" i="53"/>
  <c r="B12628" i="53"/>
  <c r="D12628" i="53"/>
  <c r="F12628" i="53"/>
  <c r="G12628" i="53" s="1"/>
  <c r="B12629" i="53"/>
  <c r="D12629" i="53"/>
  <c r="F12629" i="53"/>
  <c r="G12629" i="53" s="1"/>
  <c r="B12630" i="53"/>
  <c r="D12630" i="53"/>
  <c r="F12630" i="53"/>
  <c r="G12630" i="53" s="1"/>
  <c r="B12631" i="53"/>
  <c r="D12631" i="53"/>
  <c r="F12631" i="53"/>
  <c r="G12631" i="53" s="1"/>
  <c r="B12632" i="53"/>
  <c r="D12632" i="53"/>
  <c r="F12632" i="53"/>
  <c r="G12632" i="53" s="1"/>
  <c r="A14754" i="53"/>
  <c r="G14755" i="53"/>
  <c r="B14760" i="53"/>
  <c r="D14760" i="53"/>
  <c r="E14760" i="53"/>
  <c r="F14760" i="53"/>
  <c r="B14761" i="53"/>
  <c r="D14761" i="53"/>
  <c r="E14761" i="53"/>
  <c r="F14761" i="53"/>
  <c r="B14762" i="53"/>
  <c r="D14762" i="53"/>
  <c r="E14762" i="53"/>
  <c r="F14762" i="53"/>
  <c r="B14763" i="53"/>
  <c r="D14763" i="53"/>
  <c r="E14763" i="53"/>
  <c r="F14763" i="53"/>
  <c r="B14764" i="53"/>
  <c r="D14764" i="53"/>
  <c r="E14764" i="53"/>
  <c r="F14764" i="53"/>
  <c r="B14765" i="53"/>
  <c r="D14765" i="53"/>
  <c r="E14765" i="53"/>
  <c r="F14765" i="53"/>
  <c r="B14770" i="53"/>
  <c r="F14770" i="53"/>
  <c r="G14770" i="53" s="1"/>
  <c r="B14771" i="53"/>
  <c r="F14771" i="53"/>
  <c r="G14771" i="53" s="1"/>
  <c r="B14772" i="53"/>
  <c r="F14772" i="53"/>
  <c r="G14772" i="53" s="1"/>
  <c r="B14773" i="53"/>
  <c r="F14773" i="53"/>
  <c r="G14773" i="53" s="1"/>
  <c r="B14774" i="53"/>
  <c r="F14774" i="53"/>
  <c r="G14774" i="53" s="1"/>
  <c r="B14775" i="53"/>
  <c r="F14775" i="53"/>
  <c r="G14775" i="53" s="1"/>
  <c r="B14776" i="53"/>
  <c r="F14776" i="53"/>
  <c r="G14776" i="53" s="1"/>
  <c r="B14781" i="53"/>
  <c r="D14781" i="53"/>
  <c r="E14781" i="53"/>
  <c r="F14781" i="53"/>
  <c r="B14782" i="53"/>
  <c r="D14782" i="53"/>
  <c r="E14782" i="53"/>
  <c r="F14782" i="53"/>
  <c r="B14783" i="53"/>
  <c r="D14783" i="53"/>
  <c r="E14783" i="53"/>
  <c r="F14783" i="53"/>
  <c r="B14784" i="53"/>
  <c r="D14784" i="53"/>
  <c r="E14784" i="53"/>
  <c r="F14784" i="53"/>
  <c r="B14785" i="53"/>
  <c r="D14785" i="53"/>
  <c r="E14785" i="53"/>
  <c r="F14785" i="53"/>
  <c r="B14786" i="53"/>
  <c r="D14786" i="53"/>
  <c r="E14786" i="53"/>
  <c r="F14786" i="53"/>
  <c r="B14787" i="53"/>
  <c r="D14787" i="53"/>
  <c r="E14787" i="53"/>
  <c r="F14787" i="53"/>
  <c r="B14788" i="53"/>
  <c r="D14788" i="53"/>
  <c r="E14788" i="53"/>
  <c r="F14788" i="53"/>
  <c r="B14789" i="53"/>
  <c r="D14789" i="53"/>
  <c r="E14789" i="53"/>
  <c r="F14789" i="53"/>
  <c r="B14790" i="53"/>
  <c r="D14790" i="53"/>
  <c r="E14790" i="53"/>
  <c r="F14790" i="53"/>
  <c r="B14791" i="53"/>
  <c r="D14791" i="53"/>
  <c r="E14791" i="53"/>
  <c r="F14791" i="53"/>
  <c r="B14792" i="53"/>
  <c r="D14792" i="53"/>
  <c r="E14792" i="53"/>
  <c r="F14792" i="53"/>
  <c r="B14793" i="53"/>
  <c r="D14793" i="53"/>
  <c r="E14793" i="53"/>
  <c r="F14793" i="53"/>
  <c r="B14798" i="53"/>
  <c r="D14798" i="53"/>
  <c r="F14798" i="53"/>
  <c r="G14798" i="53" s="1"/>
  <c r="B14799" i="53"/>
  <c r="D14799" i="53"/>
  <c r="F14799" i="53"/>
  <c r="G14799" i="53" s="1"/>
  <c r="B14800" i="53"/>
  <c r="D14800" i="53"/>
  <c r="F14800" i="53"/>
  <c r="G14800" i="53" s="1"/>
  <c r="B14801" i="53"/>
  <c r="D14801" i="53"/>
  <c r="F14801" i="53"/>
  <c r="G14801" i="53" s="1"/>
  <c r="B14802" i="53"/>
  <c r="D14802" i="53"/>
  <c r="F14802" i="53"/>
  <c r="G14802" i="53" s="1"/>
  <c r="A14821" i="53"/>
  <c r="G14822" i="53"/>
  <c r="G14823" i="53"/>
  <c r="B14828" i="53"/>
  <c r="D14828" i="53"/>
  <c r="E14828" i="53"/>
  <c r="F14828" i="53"/>
  <c r="B14829" i="53"/>
  <c r="D14829" i="53"/>
  <c r="E14829" i="53"/>
  <c r="F14829" i="53"/>
  <c r="B14830" i="53"/>
  <c r="D14830" i="53"/>
  <c r="E14830" i="53"/>
  <c r="F14830" i="53"/>
  <c r="B14831" i="53"/>
  <c r="D14831" i="53"/>
  <c r="E14831" i="53"/>
  <c r="F14831" i="53"/>
  <c r="B14832" i="53"/>
  <c r="D14832" i="53"/>
  <c r="E14832" i="53"/>
  <c r="F14832" i="53"/>
  <c r="B14833" i="53"/>
  <c r="D14833" i="53"/>
  <c r="E14833" i="53"/>
  <c r="F14833" i="53"/>
  <c r="B14838" i="53"/>
  <c r="F14838" i="53"/>
  <c r="G14838" i="53" s="1"/>
  <c r="B14839" i="53"/>
  <c r="F14839" i="53"/>
  <c r="G14839" i="53" s="1"/>
  <c r="B14840" i="53"/>
  <c r="F14840" i="53"/>
  <c r="G14840" i="53" s="1"/>
  <c r="B14841" i="53"/>
  <c r="F14841" i="53"/>
  <c r="G14841" i="53" s="1"/>
  <c r="B14842" i="53"/>
  <c r="F14842" i="53"/>
  <c r="G14842" i="53" s="1"/>
  <c r="B14843" i="53"/>
  <c r="F14843" i="53"/>
  <c r="G14843" i="53" s="1"/>
  <c r="B14844" i="53"/>
  <c r="F14844" i="53"/>
  <c r="G14844" i="53" s="1"/>
  <c r="B14849" i="53"/>
  <c r="D14849" i="53"/>
  <c r="E14849" i="53"/>
  <c r="F14849" i="53"/>
  <c r="B14850" i="53"/>
  <c r="D14850" i="53"/>
  <c r="E14850" i="53"/>
  <c r="F14850" i="53"/>
  <c r="B14851" i="53"/>
  <c r="D14851" i="53"/>
  <c r="E14851" i="53"/>
  <c r="F14851" i="53"/>
  <c r="B14852" i="53"/>
  <c r="D14852" i="53"/>
  <c r="E14852" i="53"/>
  <c r="F14852" i="53"/>
  <c r="B14853" i="53"/>
  <c r="D14853" i="53"/>
  <c r="E14853" i="53"/>
  <c r="F14853" i="53"/>
  <c r="B14854" i="53"/>
  <c r="D14854" i="53"/>
  <c r="E14854" i="53"/>
  <c r="F14854" i="53"/>
  <c r="B14855" i="53"/>
  <c r="D14855" i="53"/>
  <c r="E14855" i="53"/>
  <c r="F14855" i="53"/>
  <c r="B14856" i="53"/>
  <c r="D14856" i="53"/>
  <c r="E14856" i="53"/>
  <c r="F14856" i="53"/>
  <c r="B14857" i="53"/>
  <c r="D14857" i="53"/>
  <c r="E14857" i="53"/>
  <c r="F14857" i="53"/>
  <c r="B14858" i="53"/>
  <c r="D14858" i="53"/>
  <c r="E14858" i="53"/>
  <c r="F14858" i="53"/>
  <c r="B14859" i="53"/>
  <c r="D14859" i="53"/>
  <c r="E14859" i="53"/>
  <c r="F14859" i="53"/>
  <c r="B14860" i="53"/>
  <c r="D14860" i="53"/>
  <c r="E14860" i="53"/>
  <c r="F14860" i="53"/>
  <c r="B14861" i="53"/>
  <c r="D14861" i="53"/>
  <c r="E14861" i="53"/>
  <c r="F14861" i="53"/>
  <c r="B14866" i="53"/>
  <c r="D14866" i="53"/>
  <c r="F14866" i="53"/>
  <c r="G14866" i="53" s="1"/>
  <c r="B14867" i="53"/>
  <c r="D14867" i="53"/>
  <c r="F14867" i="53"/>
  <c r="G14867" i="53" s="1"/>
  <c r="B14868" i="53"/>
  <c r="D14868" i="53"/>
  <c r="F14868" i="53"/>
  <c r="G14868" i="53" s="1"/>
  <c r="B14869" i="53"/>
  <c r="D14869" i="53"/>
  <c r="F14869" i="53"/>
  <c r="G14869" i="53" s="1"/>
  <c r="B14870" i="53"/>
  <c r="D14870" i="53"/>
  <c r="F14870" i="53"/>
  <c r="G14870" i="53" s="1"/>
  <c r="A14889" i="53"/>
  <c r="G14890" i="53"/>
  <c r="G14891" i="53"/>
  <c r="G14892" i="53"/>
  <c r="G14893" i="53"/>
  <c r="G14894" i="53"/>
  <c r="G14895" i="53"/>
  <c r="B14900" i="53"/>
  <c r="D14900" i="53"/>
  <c r="E14900" i="53"/>
  <c r="F14900" i="53"/>
  <c r="B14901" i="53"/>
  <c r="D14901" i="53"/>
  <c r="E14901" i="53"/>
  <c r="F14901" i="53"/>
  <c r="B14902" i="53"/>
  <c r="D14902" i="53"/>
  <c r="E14902" i="53"/>
  <c r="F14902" i="53"/>
  <c r="B14903" i="53"/>
  <c r="D14903" i="53"/>
  <c r="E14903" i="53"/>
  <c r="F14903" i="53"/>
  <c r="B14904" i="53"/>
  <c r="D14904" i="53"/>
  <c r="E14904" i="53"/>
  <c r="F14904" i="53"/>
  <c r="B14905" i="53"/>
  <c r="D14905" i="53"/>
  <c r="E14905" i="53"/>
  <c r="F14905" i="53"/>
  <c r="B14910" i="53"/>
  <c r="F14910" i="53"/>
  <c r="G14910" i="53" s="1"/>
  <c r="B14911" i="53"/>
  <c r="F14911" i="53"/>
  <c r="G14911" i="53" s="1"/>
  <c r="B14912" i="53"/>
  <c r="F14912" i="53"/>
  <c r="G14912" i="53" s="1"/>
  <c r="B14913" i="53"/>
  <c r="F14913" i="53"/>
  <c r="G14913" i="53" s="1"/>
  <c r="B14914" i="53"/>
  <c r="F14914" i="53"/>
  <c r="G14914" i="53" s="1"/>
  <c r="B14915" i="53"/>
  <c r="F14915" i="53"/>
  <c r="G14915" i="53" s="1"/>
  <c r="B14916" i="53"/>
  <c r="F14916" i="53"/>
  <c r="G14916" i="53" s="1"/>
  <c r="B14921" i="53"/>
  <c r="D14921" i="53"/>
  <c r="E14921" i="53"/>
  <c r="F14921" i="53"/>
  <c r="B14922" i="53"/>
  <c r="D14922" i="53"/>
  <c r="E14922" i="53"/>
  <c r="F14922" i="53"/>
  <c r="B14923" i="53"/>
  <c r="D14923" i="53"/>
  <c r="E14923" i="53"/>
  <c r="F14923" i="53"/>
  <c r="B14924" i="53"/>
  <c r="D14924" i="53"/>
  <c r="E14924" i="53"/>
  <c r="F14924" i="53"/>
  <c r="B14925" i="53"/>
  <c r="D14925" i="53"/>
  <c r="E14925" i="53"/>
  <c r="F14925" i="53"/>
  <c r="B14926" i="53"/>
  <c r="D14926" i="53"/>
  <c r="E14926" i="53"/>
  <c r="F14926" i="53"/>
  <c r="B14927" i="53"/>
  <c r="D14927" i="53"/>
  <c r="E14927" i="53"/>
  <c r="F14927" i="53"/>
  <c r="B14928" i="53"/>
  <c r="D14928" i="53"/>
  <c r="E14928" i="53"/>
  <c r="F14928" i="53"/>
  <c r="B14929" i="53"/>
  <c r="D14929" i="53"/>
  <c r="E14929" i="53"/>
  <c r="F14929" i="53"/>
  <c r="B14930" i="53"/>
  <c r="D14930" i="53"/>
  <c r="E14930" i="53"/>
  <c r="F14930" i="53"/>
  <c r="B14931" i="53"/>
  <c r="D14931" i="53"/>
  <c r="E14931" i="53"/>
  <c r="F14931" i="53"/>
  <c r="B14932" i="53"/>
  <c r="D14932" i="53"/>
  <c r="E14932" i="53"/>
  <c r="F14932" i="53"/>
  <c r="B14933" i="53"/>
  <c r="D14933" i="53"/>
  <c r="E14933" i="53"/>
  <c r="F14933" i="53"/>
  <c r="B14938" i="53"/>
  <c r="D14938" i="53"/>
  <c r="F14938" i="53"/>
  <c r="G14938" i="53" s="1"/>
  <c r="B14939" i="53"/>
  <c r="D14939" i="53"/>
  <c r="F14939" i="53"/>
  <c r="G14939" i="53" s="1"/>
  <c r="B14940" i="53"/>
  <c r="D14940" i="53"/>
  <c r="F14940" i="53"/>
  <c r="G14940" i="53" s="1"/>
  <c r="B14941" i="53"/>
  <c r="D14941" i="53"/>
  <c r="F14941" i="53"/>
  <c r="G14941" i="53" s="1"/>
  <c r="B14942" i="53"/>
  <c r="D14942" i="53"/>
  <c r="F14942" i="53"/>
  <c r="G14942" i="53" s="1"/>
  <c r="E277" i="1"/>
  <c r="E264" i="1"/>
  <c r="B14222" i="53"/>
  <c r="A14225" i="53"/>
  <c r="B14230" i="53"/>
  <c r="D14230" i="53"/>
  <c r="E14230" i="53"/>
  <c r="F14230" i="53"/>
  <c r="B14231" i="53"/>
  <c r="D14231" i="53"/>
  <c r="E14231" i="53"/>
  <c r="F14231" i="53"/>
  <c r="B14232" i="53"/>
  <c r="D14232" i="53"/>
  <c r="E14232" i="53"/>
  <c r="F14232" i="53"/>
  <c r="B14233" i="53"/>
  <c r="D14233" i="53"/>
  <c r="E14233" i="53"/>
  <c r="F14233" i="53"/>
  <c r="B14234" i="53"/>
  <c r="D14234" i="53"/>
  <c r="E14234" i="53"/>
  <c r="F14234" i="53"/>
  <c r="B14235" i="53"/>
  <c r="D14235" i="53"/>
  <c r="E14235" i="53"/>
  <c r="F14235" i="53"/>
  <c r="B14240" i="53"/>
  <c r="F14240" i="53"/>
  <c r="G14240" i="53" s="1"/>
  <c r="B14241" i="53"/>
  <c r="F14241" i="53"/>
  <c r="G14241" i="53" s="1"/>
  <c r="B14242" i="53"/>
  <c r="F14242" i="53"/>
  <c r="G14242" i="53" s="1"/>
  <c r="B14243" i="53"/>
  <c r="F14243" i="53"/>
  <c r="G14243" i="53" s="1"/>
  <c r="B14244" i="53"/>
  <c r="F14244" i="53"/>
  <c r="G14244" i="53" s="1"/>
  <c r="B14245" i="53"/>
  <c r="F14245" i="53"/>
  <c r="G14245" i="53" s="1"/>
  <c r="B14246" i="53"/>
  <c r="F14246" i="53"/>
  <c r="G14246" i="53" s="1"/>
  <c r="B14251" i="53"/>
  <c r="D14251" i="53"/>
  <c r="E14251" i="53"/>
  <c r="F14251" i="53"/>
  <c r="B14252" i="53"/>
  <c r="D14252" i="53"/>
  <c r="E14252" i="53"/>
  <c r="F14252" i="53"/>
  <c r="B14253" i="53"/>
  <c r="D14253" i="53"/>
  <c r="E14253" i="53"/>
  <c r="F14253" i="53"/>
  <c r="B14254" i="53"/>
  <c r="D14254" i="53"/>
  <c r="E14254" i="53"/>
  <c r="F14254" i="53"/>
  <c r="B14255" i="53"/>
  <c r="D14255" i="53"/>
  <c r="E14255" i="53"/>
  <c r="F14255" i="53"/>
  <c r="B14256" i="53"/>
  <c r="D14256" i="53"/>
  <c r="E14256" i="53"/>
  <c r="F14256" i="53"/>
  <c r="B14257" i="53"/>
  <c r="D14257" i="53"/>
  <c r="E14257" i="53"/>
  <c r="F14257" i="53"/>
  <c r="B14258" i="53"/>
  <c r="D14258" i="53"/>
  <c r="E14258" i="53"/>
  <c r="F14258" i="53"/>
  <c r="B14259" i="53"/>
  <c r="D14259" i="53"/>
  <c r="E14259" i="53"/>
  <c r="F14259" i="53"/>
  <c r="B14260" i="53"/>
  <c r="D14260" i="53"/>
  <c r="E14260" i="53"/>
  <c r="F14260" i="53"/>
  <c r="B14261" i="53"/>
  <c r="D14261" i="53"/>
  <c r="E14261" i="53"/>
  <c r="F14261" i="53"/>
  <c r="B14262" i="53"/>
  <c r="D14262" i="53"/>
  <c r="E14262" i="53"/>
  <c r="F14262" i="53"/>
  <c r="B14263" i="53"/>
  <c r="D14263" i="53"/>
  <c r="E14263" i="53"/>
  <c r="F14263" i="53"/>
  <c r="B14268" i="53"/>
  <c r="D14268" i="53"/>
  <c r="F14268" i="53"/>
  <c r="G14268" i="53" s="1"/>
  <c r="B14269" i="53"/>
  <c r="D14269" i="53"/>
  <c r="F14269" i="53"/>
  <c r="G14269" i="53" s="1"/>
  <c r="B14270" i="53"/>
  <c r="D14270" i="53"/>
  <c r="F14270" i="53"/>
  <c r="G14270" i="53" s="1"/>
  <c r="B14271" i="53"/>
  <c r="D14271" i="53"/>
  <c r="F14271" i="53"/>
  <c r="G14271" i="53" s="1"/>
  <c r="B14272" i="53"/>
  <c r="D14272" i="53"/>
  <c r="F14272" i="53"/>
  <c r="G14272" i="53" s="1"/>
  <c r="B14288" i="53"/>
  <c r="A14291" i="53"/>
  <c r="G14292" i="53"/>
  <c r="B14297" i="53"/>
  <c r="D14297" i="53"/>
  <c r="E14297" i="53"/>
  <c r="F14297" i="53"/>
  <c r="B14298" i="53"/>
  <c r="D14298" i="53"/>
  <c r="E14298" i="53"/>
  <c r="F14298" i="53"/>
  <c r="B14299" i="53"/>
  <c r="D14299" i="53"/>
  <c r="E14299" i="53"/>
  <c r="F14299" i="53"/>
  <c r="B14300" i="53"/>
  <c r="D14300" i="53"/>
  <c r="E14300" i="53"/>
  <c r="F14300" i="53"/>
  <c r="B14301" i="53"/>
  <c r="D14301" i="53"/>
  <c r="E14301" i="53"/>
  <c r="F14301" i="53"/>
  <c r="B14302" i="53"/>
  <c r="D14302" i="53"/>
  <c r="E14302" i="53"/>
  <c r="F14302" i="53"/>
  <c r="B14307" i="53"/>
  <c r="F14307" i="53"/>
  <c r="G14307" i="53" s="1"/>
  <c r="B14308" i="53"/>
  <c r="F14308" i="53"/>
  <c r="G14308" i="53" s="1"/>
  <c r="B14309" i="53"/>
  <c r="F14309" i="53"/>
  <c r="G14309" i="53" s="1"/>
  <c r="B14310" i="53"/>
  <c r="F14310" i="53"/>
  <c r="G14310" i="53" s="1"/>
  <c r="B14311" i="53"/>
  <c r="F14311" i="53"/>
  <c r="G14311" i="53" s="1"/>
  <c r="B14312" i="53"/>
  <c r="F14312" i="53"/>
  <c r="G14312" i="53" s="1"/>
  <c r="B14313" i="53"/>
  <c r="F14313" i="53"/>
  <c r="G14313" i="53" s="1"/>
  <c r="B14318" i="53"/>
  <c r="D14318" i="53"/>
  <c r="E14318" i="53"/>
  <c r="F14318" i="53"/>
  <c r="B14319" i="53"/>
  <c r="D14319" i="53"/>
  <c r="E14319" i="53"/>
  <c r="F14319" i="53"/>
  <c r="B14320" i="53"/>
  <c r="D14320" i="53"/>
  <c r="E14320" i="53"/>
  <c r="F14320" i="53"/>
  <c r="B14321" i="53"/>
  <c r="D14321" i="53"/>
  <c r="E14321" i="53"/>
  <c r="F14321" i="53"/>
  <c r="B14322" i="53"/>
  <c r="D14322" i="53"/>
  <c r="E14322" i="53"/>
  <c r="F14322" i="53"/>
  <c r="B14323" i="53"/>
  <c r="D14323" i="53"/>
  <c r="E14323" i="53"/>
  <c r="F14323" i="53"/>
  <c r="B14324" i="53"/>
  <c r="D14324" i="53"/>
  <c r="E14324" i="53"/>
  <c r="F14324" i="53"/>
  <c r="B14325" i="53"/>
  <c r="D14325" i="53"/>
  <c r="E14325" i="53"/>
  <c r="F14325" i="53"/>
  <c r="B14326" i="53"/>
  <c r="D14326" i="53"/>
  <c r="E14326" i="53"/>
  <c r="F14326" i="53"/>
  <c r="B14327" i="53"/>
  <c r="D14327" i="53"/>
  <c r="E14327" i="53"/>
  <c r="F14327" i="53"/>
  <c r="B14328" i="53"/>
  <c r="D14328" i="53"/>
  <c r="E14328" i="53"/>
  <c r="F14328" i="53"/>
  <c r="B14329" i="53"/>
  <c r="D14329" i="53"/>
  <c r="E14329" i="53"/>
  <c r="F14329" i="53"/>
  <c r="B14330" i="53"/>
  <c r="D14330" i="53"/>
  <c r="E14330" i="53"/>
  <c r="F14330" i="53"/>
  <c r="B14335" i="53"/>
  <c r="D14335" i="53"/>
  <c r="F14335" i="53"/>
  <c r="G14335" i="53" s="1"/>
  <c r="B14336" i="53"/>
  <c r="D14336" i="53"/>
  <c r="F14336" i="53"/>
  <c r="G14336" i="53" s="1"/>
  <c r="B14337" i="53"/>
  <c r="D14337" i="53"/>
  <c r="F14337" i="53"/>
  <c r="G14337" i="53" s="1"/>
  <c r="B14338" i="53"/>
  <c r="D14338" i="53"/>
  <c r="F14338" i="53"/>
  <c r="G14338" i="53" s="1"/>
  <c r="B14339" i="53"/>
  <c r="D14339" i="53"/>
  <c r="F14339" i="53"/>
  <c r="G14339" i="53" s="1"/>
  <c r="B14355" i="53"/>
  <c r="A14358" i="53"/>
  <c r="G14359" i="53"/>
  <c r="G14360" i="53"/>
  <c r="B14365" i="53"/>
  <c r="D14365" i="53"/>
  <c r="E14365" i="53"/>
  <c r="F14365" i="53"/>
  <c r="B14366" i="53"/>
  <c r="D14366" i="53"/>
  <c r="E14366" i="53"/>
  <c r="F14366" i="53"/>
  <c r="B14367" i="53"/>
  <c r="D14367" i="53"/>
  <c r="E14367" i="53"/>
  <c r="F14367" i="53"/>
  <c r="B14368" i="53"/>
  <c r="D14368" i="53"/>
  <c r="E14368" i="53"/>
  <c r="F14368" i="53"/>
  <c r="B14369" i="53"/>
  <c r="D14369" i="53"/>
  <c r="E14369" i="53"/>
  <c r="F14369" i="53"/>
  <c r="B14370" i="53"/>
  <c r="D14370" i="53"/>
  <c r="E14370" i="53"/>
  <c r="F14370" i="53"/>
  <c r="B14375" i="53"/>
  <c r="F14375" i="53"/>
  <c r="G14375" i="53" s="1"/>
  <c r="B14376" i="53"/>
  <c r="F14376" i="53"/>
  <c r="G14376" i="53" s="1"/>
  <c r="B14377" i="53"/>
  <c r="F14377" i="53"/>
  <c r="G14377" i="53" s="1"/>
  <c r="B14378" i="53"/>
  <c r="F14378" i="53"/>
  <c r="G14378" i="53" s="1"/>
  <c r="B14379" i="53"/>
  <c r="F14379" i="53"/>
  <c r="G14379" i="53" s="1"/>
  <c r="B14380" i="53"/>
  <c r="F14380" i="53"/>
  <c r="G14380" i="53" s="1"/>
  <c r="B14381" i="53"/>
  <c r="F14381" i="53"/>
  <c r="G14381" i="53" s="1"/>
  <c r="B14386" i="53"/>
  <c r="D14386" i="53"/>
  <c r="E14386" i="53"/>
  <c r="F14386" i="53"/>
  <c r="B14387" i="53"/>
  <c r="D14387" i="53"/>
  <c r="E14387" i="53"/>
  <c r="F14387" i="53"/>
  <c r="B14388" i="53"/>
  <c r="D14388" i="53"/>
  <c r="E14388" i="53"/>
  <c r="F14388" i="53"/>
  <c r="B14389" i="53"/>
  <c r="D14389" i="53"/>
  <c r="E14389" i="53"/>
  <c r="F14389" i="53"/>
  <c r="B14390" i="53"/>
  <c r="D14390" i="53"/>
  <c r="E14390" i="53"/>
  <c r="F14390" i="53"/>
  <c r="B14391" i="53"/>
  <c r="D14391" i="53"/>
  <c r="E14391" i="53"/>
  <c r="F14391" i="53"/>
  <c r="B14392" i="53"/>
  <c r="D14392" i="53"/>
  <c r="E14392" i="53"/>
  <c r="F14392" i="53"/>
  <c r="B14393" i="53"/>
  <c r="D14393" i="53"/>
  <c r="E14393" i="53"/>
  <c r="F14393" i="53"/>
  <c r="B14394" i="53"/>
  <c r="D14394" i="53"/>
  <c r="E14394" i="53"/>
  <c r="F14394" i="53"/>
  <c r="B14395" i="53"/>
  <c r="D14395" i="53"/>
  <c r="E14395" i="53"/>
  <c r="F14395" i="53"/>
  <c r="B14396" i="53"/>
  <c r="D14396" i="53"/>
  <c r="E14396" i="53"/>
  <c r="F14396" i="53"/>
  <c r="B14397" i="53"/>
  <c r="D14397" i="53"/>
  <c r="E14397" i="53"/>
  <c r="F14397" i="53"/>
  <c r="B14398" i="53"/>
  <c r="D14398" i="53"/>
  <c r="E14398" i="53"/>
  <c r="F14398" i="53"/>
  <c r="B14403" i="53"/>
  <c r="D14403" i="53"/>
  <c r="F14403" i="53"/>
  <c r="G14403" i="53" s="1"/>
  <c r="B14404" i="53"/>
  <c r="D14404" i="53"/>
  <c r="F14404" i="53"/>
  <c r="G14404" i="53" s="1"/>
  <c r="B14405" i="53"/>
  <c r="D14405" i="53"/>
  <c r="F14405" i="53"/>
  <c r="G14405" i="53" s="1"/>
  <c r="B14406" i="53"/>
  <c r="D14406" i="53"/>
  <c r="F14406" i="53"/>
  <c r="G14406" i="53" s="1"/>
  <c r="B14407" i="53"/>
  <c r="D14407" i="53"/>
  <c r="F14407" i="53"/>
  <c r="G14407" i="53" s="1"/>
  <c r="B14423" i="53"/>
  <c r="A14426" i="53"/>
  <c r="G14427" i="53"/>
  <c r="G14428" i="53"/>
  <c r="G14429" i="53"/>
  <c r="G14430" i="53"/>
  <c r="G14431" i="53"/>
  <c r="G14432" i="53"/>
  <c r="B14437" i="53"/>
  <c r="D14437" i="53"/>
  <c r="E14437" i="53"/>
  <c r="F14437" i="53"/>
  <c r="B14438" i="53"/>
  <c r="D14438" i="53"/>
  <c r="E14438" i="53"/>
  <c r="F14438" i="53"/>
  <c r="B14439" i="53"/>
  <c r="D14439" i="53"/>
  <c r="E14439" i="53"/>
  <c r="F14439" i="53"/>
  <c r="B14440" i="53"/>
  <c r="D14440" i="53"/>
  <c r="E14440" i="53"/>
  <c r="F14440" i="53"/>
  <c r="B14441" i="53"/>
  <c r="D14441" i="53"/>
  <c r="E14441" i="53"/>
  <c r="F14441" i="53"/>
  <c r="B14442" i="53"/>
  <c r="D14442" i="53"/>
  <c r="E14442" i="53"/>
  <c r="F14442" i="53"/>
  <c r="B14447" i="53"/>
  <c r="F14447" i="53"/>
  <c r="G14447" i="53" s="1"/>
  <c r="B14448" i="53"/>
  <c r="F14448" i="53"/>
  <c r="G14448" i="53" s="1"/>
  <c r="B14449" i="53"/>
  <c r="F14449" i="53"/>
  <c r="G14449" i="53" s="1"/>
  <c r="B14450" i="53"/>
  <c r="F14450" i="53"/>
  <c r="G14450" i="53" s="1"/>
  <c r="B14451" i="53"/>
  <c r="F14451" i="53"/>
  <c r="G14451" i="53" s="1"/>
  <c r="B14452" i="53"/>
  <c r="F14452" i="53"/>
  <c r="G14452" i="53" s="1"/>
  <c r="B14457" i="53"/>
  <c r="D14457" i="53"/>
  <c r="E14457" i="53"/>
  <c r="F14457" i="53"/>
  <c r="B14458" i="53"/>
  <c r="D14458" i="53"/>
  <c r="E14458" i="53"/>
  <c r="F14458" i="53"/>
  <c r="B14459" i="53"/>
  <c r="D14459" i="53"/>
  <c r="E14459" i="53"/>
  <c r="F14459" i="53"/>
  <c r="B14460" i="53"/>
  <c r="D14460" i="53"/>
  <c r="E14460" i="53"/>
  <c r="F14460" i="53"/>
  <c r="B14461" i="53"/>
  <c r="D14461" i="53"/>
  <c r="E14461" i="53"/>
  <c r="F14461" i="53"/>
  <c r="B14462" i="53"/>
  <c r="D14462" i="53"/>
  <c r="E14462" i="53"/>
  <c r="F14462" i="53"/>
  <c r="B14463" i="53"/>
  <c r="D14463" i="53"/>
  <c r="E14463" i="53"/>
  <c r="F14463" i="53"/>
  <c r="B14464" i="53"/>
  <c r="D14464" i="53"/>
  <c r="E14464" i="53"/>
  <c r="F14464" i="53"/>
  <c r="B14465" i="53"/>
  <c r="D14465" i="53"/>
  <c r="E14465" i="53"/>
  <c r="F14465" i="53"/>
  <c r="B14466" i="53"/>
  <c r="D14466" i="53"/>
  <c r="E14466" i="53"/>
  <c r="F14466" i="53"/>
  <c r="B14467" i="53"/>
  <c r="D14467" i="53"/>
  <c r="E14467" i="53"/>
  <c r="F14467" i="53"/>
  <c r="B14468" i="53"/>
  <c r="D14468" i="53"/>
  <c r="E14468" i="53"/>
  <c r="F14468" i="53"/>
  <c r="B14469" i="53"/>
  <c r="D14469" i="53"/>
  <c r="E14469" i="53"/>
  <c r="F14469" i="53"/>
  <c r="B14474" i="53"/>
  <c r="D14474" i="53"/>
  <c r="F14474" i="53"/>
  <c r="G14474" i="53" s="1"/>
  <c r="B14475" i="53"/>
  <c r="D14475" i="53"/>
  <c r="F14475" i="53"/>
  <c r="G14475" i="53" s="1"/>
  <c r="B14476" i="53"/>
  <c r="D14476" i="53"/>
  <c r="F14476" i="53"/>
  <c r="G14476" i="53" s="1"/>
  <c r="B14477" i="53"/>
  <c r="D14477" i="53"/>
  <c r="F14477" i="53"/>
  <c r="G14477" i="53" s="1"/>
  <c r="B14478" i="53"/>
  <c r="D14478" i="53"/>
  <c r="F14478" i="53"/>
  <c r="G14478" i="53" s="1"/>
  <c r="A13013" i="53"/>
  <c r="G13014" i="53"/>
  <c r="G13015" i="53"/>
  <c r="G13016" i="53"/>
  <c r="G13017" i="53"/>
  <c r="G13018" i="53"/>
  <c r="G13019" i="53"/>
  <c r="B13024" i="53"/>
  <c r="D13024" i="53"/>
  <c r="E13024" i="53"/>
  <c r="F13024" i="53"/>
  <c r="B13025" i="53"/>
  <c r="D13025" i="53"/>
  <c r="E13025" i="53"/>
  <c r="F13025" i="53"/>
  <c r="B13026" i="53"/>
  <c r="D13026" i="53"/>
  <c r="E13026" i="53"/>
  <c r="F13026" i="53"/>
  <c r="B13027" i="53"/>
  <c r="D13027" i="53"/>
  <c r="E13027" i="53"/>
  <c r="F13027" i="53"/>
  <c r="B13028" i="53"/>
  <c r="D13028" i="53"/>
  <c r="E13028" i="53"/>
  <c r="F13028" i="53"/>
  <c r="B13029" i="53"/>
  <c r="D13029" i="53"/>
  <c r="E13029" i="53"/>
  <c r="F13029" i="53"/>
  <c r="B13034" i="53"/>
  <c r="F13034" i="53"/>
  <c r="G13034" i="53" s="1"/>
  <c r="B13035" i="53"/>
  <c r="F13035" i="53"/>
  <c r="G13035" i="53" s="1"/>
  <c r="B13036" i="53"/>
  <c r="F13036" i="53"/>
  <c r="G13036" i="53" s="1"/>
  <c r="B13037" i="53"/>
  <c r="F13037" i="53"/>
  <c r="G13037" i="53" s="1"/>
  <c r="B13038" i="53"/>
  <c r="F13038" i="53"/>
  <c r="G13038" i="53" s="1"/>
  <c r="B13039" i="53"/>
  <c r="F13039" i="53"/>
  <c r="G13039" i="53" s="1"/>
  <c r="B13044" i="53"/>
  <c r="D13044" i="53"/>
  <c r="E13044" i="53"/>
  <c r="F13044" i="53"/>
  <c r="B13045" i="53"/>
  <c r="D13045" i="53"/>
  <c r="E13045" i="53"/>
  <c r="F13045" i="53"/>
  <c r="B13046" i="53"/>
  <c r="D13046" i="53"/>
  <c r="E13046" i="53"/>
  <c r="F13046" i="53"/>
  <c r="B13047" i="53"/>
  <c r="D13047" i="53"/>
  <c r="E13047" i="53"/>
  <c r="F13047" i="53"/>
  <c r="B13048" i="53"/>
  <c r="D13048" i="53"/>
  <c r="E13048" i="53"/>
  <c r="F13048" i="53"/>
  <c r="B13049" i="53"/>
  <c r="D13049" i="53"/>
  <c r="E13049" i="53"/>
  <c r="F13049" i="53"/>
  <c r="B13050" i="53"/>
  <c r="D13050" i="53"/>
  <c r="E13050" i="53"/>
  <c r="F13050" i="53"/>
  <c r="B13051" i="53"/>
  <c r="D13051" i="53"/>
  <c r="E13051" i="53"/>
  <c r="F13051" i="53"/>
  <c r="B13052" i="53"/>
  <c r="D13052" i="53"/>
  <c r="E13052" i="53"/>
  <c r="F13052" i="53"/>
  <c r="B13053" i="53"/>
  <c r="D13053" i="53"/>
  <c r="E13053" i="53"/>
  <c r="F13053" i="53"/>
  <c r="B13054" i="53"/>
  <c r="D13054" i="53"/>
  <c r="E13054" i="53"/>
  <c r="F13054" i="53"/>
  <c r="B13055" i="53"/>
  <c r="D13055" i="53"/>
  <c r="E13055" i="53"/>
  <c r="F13055" i="53"/>
  <c r="B13056" i="53"/>
  <c r="D13056" i="53"/>
  <c r="E13056" i="53"/>
  <c r="F13056" i="53"/>
  <c r="B13061" i="53"/>
  <c r="D13061" i="53"/>
  <c r="F13061" i="53"/>
  <c r="G13061" i="53" s="1"/>
  <c r="B13062" i="53"/>
  <c r="D13062" i="53"/>
  <c r="F13062" i="53"/>
  <c r="G13062" i="53" s="1"/>
  <c r="B13063" i="53"/>
  <c r="D13063" i="53"/>
  <c r="F13063" i="53"/>
  <c r="G13063" i="53" s="1"/>
  <c r="B13064" i="53"/>
  <c r="D13064" i="53"/>
  <c r="F13064" i="53"/>
  <c r="G13064" i="53" s="1"/>
  <c r="B13065" i="53"/>
  <c r="D13065" i="53"/>
  <c r="F13065" i="53"/>
  <c r="G13065" i="53" s="1"/>
  <c r="A13232" i="53"/>
  <c r="G13233" i="53"/>
  <c r="G13234" i="53"/>
  <c r="G13235" i="53"/>
  <c r="G13236" i="53"/>
  <c r="G13237" i="53"/>
  <c r="G13238" i="53"/>
  <c r="B13243" i="53"/>
  <c r="D13243" i="53"/>
  <c r="E13243" i="53"/>
  <c r="F13243" i="53"/>
  <c r="B13244" i="53"/>
  <c r="D13244" i="53"/>
  <c r="E13244" i="53"/>
  <c r="F13244" i="53"/>
  <c r="B13245" i="53"/>
  <c r="D13245" i="53"/>
  <c r="E13245" i="53"/>
  <c r="F13245" i="53"/>
  <c r="B13246" i="53"/>
  <c r="D13246" i="53"/>
  <c r="E13246" i="53"/>
  <c r="F13246" i="53"/>
  <c r="B13247" i="53"/>
  <c r="D13247" i="53"/>
  <c r="E13247" i="53"/>
  <c r="F13247" i="53"/>
  <c r="B13248" i="53"/>
  <c r="D13248" i="53"/>
  <c r="E13248" i="53"/>
  <c r="F13248" i="53"/>
  <c r="B13253" i="53"/>
  <c r="F13253" i="53"/>
  <c r="G13253" i="53" s="1"/>
  <c r="B13254" i="53"/>
  <c r="F13254" i="53"/>
  <c r="G13254" i="53" s="1"/>
  <c r="B13255" i="53"/>
  <c r="F13255" i="53"/>
  <c r="G13255" i="53" s="1"/>
  <c r="B13256" i="53"/>
  <c r="F13256" i="53"/>
  <c r="G13256" i="53" s="1"/>
  <c r="B13257" i="53"/>
  <c r="F13257" i="53"/>
  <c r="G13257" i="53" s="1"/>
  <c r="B13258" i="53"/>
  <c r="F13258" i="53"/>
  <c r="G13258" i="53" s="1"/>
  <c r="B13263" i="53"/>
  <c r="D13263" i="53"/>
  <c r="E13263" i="53"/>
  <c r="F13263" i="53"/>
  <c r="B13264" i="53"/>
  <c r="D13264" i="53"/>
  <c r="E13264" i="53"/>
  <c r="F13264" i="53"/>
  <c r="B13265" i="53"/>
  <c r="D13265" i="53"/>
  <c r="E13265" i="53"/>
  <c r="F13265" i="53"/>
  <c r="B13266" i="53"/>
  <c r="D13266" i="53"/>
  <c r="E13266" i="53"/>
  <c r="F13266" i="53"/>
  <c r="B13267" i="53"/>
  <c r="D13267" i="53"/>
  <c r="E13267" i="53"/>
  <c r="F13267" i="53"/>
  <c r="B13268" i="53"/>
  <c r="D13268" i="53"/>
  <c r="E13268" i="53"/>
  <c r="F13268" i="53"/>
  <c r="B13269" i="53"/>
  <c r="D13269" i="53"/>
  <c r="E13269" i="53"/>
  <c r="F13269" i="53"/>
  <c r="B13270" i="53"/>
  <c r="D13270" i="53"/>
  <c r="E13270" i="53"/>
  <c r="F13270" i="53"/>
  <c r="B13271" i="53"/>
  <c r="D13271" i="53"/>
  <c r="E13271" i="53"/>
  <c r="F13271" i="53"/>
  <c r="B13272" i="53"/>
  <c r="D13272" i="53"/>
  <c r="E13272" i="53"/>
  <c r="F13272" i="53"/>
  <c r="B13273" i="53"/>
  <c r="D13273" i="53"/>
  <c r="E13273" i="53"/>
  <c r="F13273" i="53"/>
  <c r="B13274" i="53"/>
  <c r="D13274" i="53"/>
  <c r="E13274" i="53"/>
  <c r="F13274" i="53"/>
  <c r="B13275" i="53"/>
  <c r="D13275" i="53"/>
  <c r="E13275" i="53"/>
  <c r="F13275" i="53"/>
  <c r="B13280" i="53"/>
  <c r="D13280" i="53"/>
  <c r="F13280" i="53"/>
  <c r="G13280" i="53" s="1"/>
  <c r="B13281" i="53"/>
  <c r="D13281" i="53"/>
  <c r="F13281" i="53"/>
  <c r="G13281" i="53" s="1"/>
  <c r="B13282" i="53"/>
  <c r="D13282" i="53"/>
  <c r="F13282" i="53"/>
  <c r="G13282" i="53" s="1"/>
  <c r="B13283" i="53"/>
  <c r="D13283" i="53"/>
  <c r="F13283" i="53"/>
  <c r="G13283" i="53" s="1"/>
  <c r="B13284" i="53"/>
  <c r="D13284" i="53"/>
  <c r="F13284" i="53"/>
  <c r="G13284" i="53" s="1"/>
  <c r="A13303" i="53"/>
  <c r="G13304" i="53"/>
  <c r="G13305" i="53"/>
  <c r="G13306" i="53"/>
  <c r="G13307" i="53"/>
  <c r="G13308" i="53"/>
  <c r="G13309" i="53"/>
  <c r="B13314" i="53"/>
  <c r="D13314" i="53"/>
  <c r="E13314" i="53"/>
  <c r="F13314" i="53"/>
  <c r="B13315" i="53"/>
  <c r="D13315" i="53"/>
  <c r="E13315" i="53"/>
  <c r="F13315" i="53"/>
  <c r="B13316" i="53"/>
  <c r="D13316" i="53"/>
  <c r="E13316" i="53"/>
  <c r="F13316" i="53"/>
  <c r="B13317" i="53"/>
  <c r="D13317" i="53"/>
  <c r="E13317" i="53"/>
  <c r="F13317" i="53"/>
  <c r="B13318" i="53"/>
  <c r="D13318" i="53"/>
  <c r="E13318" i="53"/>
  <c r="F13318" i="53"/>
  <c r="B13319" i="53"/>
  <c r="D13319" i="53"/>
  <c r="E13319" i="53"/>
  <c r="F13319" i="53"/>
  <c r="B13324" i="53"/>
  <c r="F13324" i="53"/>
  <c r="G13324" i="53" s="1"/>
  <c r="B13325" i="53"/>
  <c r="F13325" i="53"/>
  <c r="G13325" i="53" s="1"/>
  <c r="B13326" i="53"/>
  <c r="F13326" i="53"/>
  <c r="G13326" i="53" s="1"/>
  <c r="B13327" i="53"/>
  <c r="F13327" i="53"/>
  <c r="G13327" i="53" s="1"/>
  <c r="B13328" i="53"/>
  <c r="F13328" i="53"/>
  <c r="G13328" i="53" s="1"/>
  <c r="B13329" i="53"/>
  <c r="F13329" i="53"/>
  <c r="G13329" i="53" s="1"/>
  <c r="B13334" i="53"/>
  <c r="D13334" i="53"/>
  <c r="E13334" i="53"/>
  <c r="F13334" i="53"/>
  <c r="B13335" i="53"/>
  <c r="D13335" i="53"/>
  <c r="E13335" i="53"/>
  <c r="F13335" i="53"/>
  <c r="B13336" i="53"/>
  <c r="D13336" i="53"/>
  <c r="E13336" i="53"/>
  <c r="F13336" i="53"/>
  <c r="B13337" i="53"/>
  <c r="D13337" i="53"/>
  <c r="E13337" i="53"/>
  <c r="F13337" i="53"/>
  <c r="B13338" i="53"/>
  <c r="D13338" i="53"/>
  <c r="E13338" i="53"/>
  <c r="F13338" i="53"/>
  <c r="B13339" i="53"/>
  <c r="D13339" i="53"/>
  <c r="E13339" i="53"/>
  <c r="F13339" i="53"/>
  <c r="B13340" i="53"/>
  <c r="D13340" i="53"/>
  <c r="E13340" i="53"/>
  <c r="F13340" i="53"/>
  <c r="B13341" i="53"/>
  <c r="D13341" i="53"/>
  <c r="E13341" i="53"/>
  <c r="F13341" i="53"/>
  <c r="B13342" i="53"/>
  <c r="D13342" i="53"/>
  <c r="E13342" i="53"/>
  <c r="F13342" i="53"/>
  <c r="B13343" i="53"/>
  <c r="D13343" i="53"/>
  <c r="E13343" i="53"/>
  <c r="F13343" i="53"/>
  <c r="B13344" i="53"/>
  <c r="D13344" i="53"/>
  <c r="E13344" i="53"/>
  <c r="F13344" i="53"/>
  <c r="B13345" i="53"/>
  <c r="D13345" i="53"/>
  <c r="E13345" i="53"/>
  <c r="F13345" i="53"/>
  <c r="B13346" i="53"/>
  <c r="D13346" i="53"/>
  <c r="E13346" i="53"/>
  <c r="F13346" i="53"/>
  <c r="B13351" i="53"/>
  <c r="D13351" i="53"/>
  <c r="F13351" i="53"/>
  <c r="G13351" i="53" s="1"/>
  <c r="B13352" i="53"/>
  <c r="D13352" i="53"/>
  <c r="F13352" i="53"/>
  <c r="G13352" i="53" s="1"/>
  <c r="B13353" i="53"/>
  <c r="D13353" i="53"/>
  <c r="F13353" i="53"/>
  <c r="G13353" i="53" s="1"/>
  <c r="B13354" i="53"/>
  <c r="D13354" i="53"/>
  <c r="F13354" i="53"/>
  <c r="G13354" i="53" s="1"/>
  <c r="B13355" i="53"/>
  <c r="D13355" i="53"/>
  <c r="F13355" i="53"/>
  <c r="G13355" i="53" s="1"/>
  <c r="G23355" i="53" l="1"/>
  <c r="J441" i="1" s="1"/>
  <c r="G20480" i="53"/>
  <c r="D13232" i="53"/>
  <c r="B13232" i="53"/>
  <c r="B14358" i="53"/>
  <c r="D14358" i="53"/>
  <c r="D14754" i="53"/>
  <c r="B14754" i="53"/>
  <c r="D15098" i="53"/>
  <c r="B15098" i="53"/>
  <c r="D16699" i="53"/>
  <c r="B16699" i="53"/>
  <c r="D16563" i="53"/>
  <c r="B16563" i="53"/>
  <c r="D16556" i="53"/>
  <c r="B16556" i="53"/>
  <c r="B16488" i="53"/>
  <c r="D16488" i="53"/>
  <c r="D17263" i="53"/>
  <c r="B17263" i="53"/>
  <c r="D17478" i="53"/>
  <c r="B17478" i="53"/>
  <c r="D17406" i="53"/>
  <c r="B17406" i="53"/>
  <c r="D17334" i="53"/>
  <c r="B17334" i="53"/>
  <c r="D17971" i="53"/>
  <c r="B17971" i="53"/>
  <c r="B19039" i="53"/>
  <c r="D19039" i="53"/>
  <c r="D20444" i="53"/>
  <c r="B20444" i="53"/>
  <c r="B14291" i="53"/>
  <c r="D14291" i="53"/>
  <c r="D15097" i="53"/>
  <c r="B15097" i="53"/>
  <c r="D16698" i="53"/>
  <c r="B16698" i="53"/>
  <c r="D16562" i="53"/>
  <c r="B16562" i="53"/>
  <c r="D16487" i="53"/>
  <c r="B16487" i="53"/>
  <c r="D17262" i="53"/>
  <c r="B17262" i="53"/>
  <c r="D17477" i="53"/>
  <c r="B17477" i="53"/>
  <c r="B17405" i="53"/>
  <c r="D17405" i="53"/>
  <c r="D17333" i="53"/>
  <c r="B17333" i="53"/>
  <c r="D17970" i="53"/>
  <c r="B17970" i="53"/>
  <c r="D18541" i="53"/>
  <c r="B18541" i="53"/>
  <c r="D18683" i="53"/>
  <c r="B18683" i="53"/>
  <c r="D21603" i="53"/>
  <c r="B21603" i="53"/>
  <c r="D19038" i="53"/>
  <c r="B19038" i="53"/>
  <c r="D19114" i="53"/>
  <c r="B19114" i="53"/>
  <c r="B14225" i="53"/>
  <c r="D14225" i="53"/>
  <c r="D15096" i="53"/>
  <c r="B15096" i="53"/>
  <c r="D16697" i="53"/>
  <c r="B16697" i="53"/>
  <c r="B16561" i="53"/>
  <c r="D16561" i="53"/>
  <c r="B16486" i="53"/>
  <c r="D16486" i="53"/>
  <c r="D17261" i="53"/>
  <c r="B17261" i="53"/>
  <c r="D17049" i="53"/>
  <c r="B17049" i="53"/>
  <c r="D17548" i="53"/>
  <c r="B17548" i="53"/>
  <c r="B17476" i="53"/>
  <c r="D17476" i="53"/>
  <c r="D17404" i="53"/>
  <c r="B17404" i="53"/>
  <c r="B17332" i="53"/>
  <c r="D17332" i="53"/>
  <c r="B18540" i="53"/>
  <c r="D18540" i="53"/>
  <c r="D18682" i="53"/>
  <c r="B18682" i="53"/>
  <c r="D21602" i="53"/>
  <c r="B21602" i="53"/>
  <c r="D19113" i="53"/>
  <c r="B19113" i="53"/>
  <c r="D20808" i="53"/>
  <c r="B20808" i="53"/>
  <c r="D20449" i="53"/>
  <c r="B20449" i="53"/>
  <c r="D12583" i="53"/>
  <c r="B12583" i="53"/>
  <c r="D16703" i="53"/>
  <c r="B16703" i="53"/>
  <c r="B16696" i="53"/>
  <c r="D16696" i="53"/>
  <c r="B16560" i="53"/>
  <c r="D16560" i="53"/>
  <c r="D16493" i="53"/>
  <c r="B16493" i="53"/>
  <c r="D16485" i="53"/>
  <c r="B16485" i="53"/>
  <c r="B17267" i="53"/>
  <c r="D17267" i="53"/>
  <c r="D17260" i="53"/>
  <c r="B17260" i="53"/>
  <c r="D18539" i="53"/>
  <c r="B18539" i="53"/>
  <c r="D18681" i="53"/>
  <c r="B18681" i="53"/>
  <c r="B21601" i="53"/>
  <c r="D21601" i="53"/>
  <c r="B21672" i="53"/>
  <c r="D21672" i="53"/>
  <c r="B19112" i="53"/>
  <c r="D19112" i="53"/>
  <c r="D20448" i="53"/>
  <c r="B20448" i="53"/>
  <c r="B15102" i="53"/>
  <c r="D15102" i="53"/>
  <c r="D16695" i="53"/>
  <c r="B16695" i="53"/>
  <c r="D16559" i="53"/>
  <c r="B16559" i="53"/>
  <c r="D16492" i="53"/>
  <c r="B16492" i="53"/>
  <c r="D18538" i="53"/>
  <c r="B18538" i="53"/>
  <c r="F18395" i="53"/>
  <c r="G18395" i="53" s="1"/>
  <c r="D18395" i="53"/>
  <c r="B18395" i="53"/>
  <c r="D18680" i="53"/>
  <c r="B18680" i="53"/>
  <c r="D21600" i="53"/>
  <c r="B21600" i="53"/>
  <c r="D21671" i="53"/>
  <c r="B21671" i="53"/>
  <c r="D19043" i="53"/>
  <c r="B19043" i="53"/>
  <c r="D19111" i="53"/>
  <c r="B19111" i="53"/>
  <c r="B20447" i="53"/>
  <c r="D20447" i="53"/>
  <c r="D15101" i="53"/>
  <c r="B15101" i="53"/>
  <c r="B16702" i="53"/>
  <c r="D16702" i="53"/>
  <c r="B16566" i="53"/>
  <c r="D16566" i="53"/>
  <c r="B16558" i="53"/>
  <c r="D16558" i="53"/>
  <c r="D16491" i="53"/>
  <c r="B16491" i="53"/>
  <c r="B16484" i="53"/>
  <c r="D16484" i="53"/>
  <c r="B17266" i="53"/>
  <c r="D17266" i="53"/>
  <c r="D18537" i="53"/>
  <c r="B18537" i="53"/>
  <c r="D18394" i="53"/>
  <c r="B18394" i="53"/>
  <c r="B18679" i="53"/>
  <c r="D18679" i="53"/>
  <c r="D21599" i="53"/>
  <c r="B21599" i="53"/>
  <c r="B21670" i="53"/>
  <c r="D21670" i="53"/>
  <c r="B19042" i="53"/>
  <c r="D19042" i="53"/>
  <c r="B19110" i="53"/>
  <c r="D19110" i="53"/>
  <c r="D20446" i="53"/>
  <c r="B20446" i="53"/>
  <c r="D14889" i="53"/>
  <c r="B14889" i="53"/>
  <c r="B15100" i="53"/>
  <c r="D15100" i="53"/>
  <c r="D16701" i="53"/>
  <c r="B16701" i="53"/>
  <c r="D16565" i="53"/>
  <c r="B16565" i="53"/>
  <c r="B16490" i="53"/>
  <c r="D16490" i="53"/>
  <c r="D16483" i="53"/>
  <c r="B16483" i="53"/>
  <c r="B17265" i="53"/>
  <c r="D17265" i="53"/>
  <c r="D18536" i="53"/>
  <c r="B18536" i="53"/>
  <c r="D21669" i="53"/>
  <c r="B21669" i="53"/>
  <c r="D19041" i="53"/>
  <c r="B19041" i="53"/>
  <c r="D19109" i="53"/>
  <c r="B19109" i="53"/>
  <c r="D13303" i="53"/>
  <c r="B13303" i="53"/>
  <c r="D13013" i="53"/>
  <c r="B13013" i="53"/>
  <c r="B14426" i="53"/>
  <c r="D14426" i="53"/>
  <c r="D14821" i="53"/>
  <c r="B14821" i="53"/>
  <c r="D15099" i="53"/>
  <c r="B15099" i="53"/>
  <c r="B16700" i="53"/>
  <c r="D16700" i="53"/>
  <c r="B16564" i="53"/>
  <c r="D16564" i="53"/>
  <c r="D16557" i="53"/>
  <c r="B16557" i="53"/>
  <c r="D16489" i="53"/>
  <c r="B16489" i="53"/>
  <c r="D17264" i="53"/>
  <c r="B17264" i="53"/>
  <c r="B17479" i="53"/>
  <c r="D17479" i="53"/>
  <c r="B17972" i="53"/>
  <c r="D17972" i="53"/>
  <c r="B18535" i="53"/>
  <c r="D18535" i="53"/>
  <c r="B18684" i="53"/>
  <c r="D18684" i="53"/>
  <c r="D21604" i="53"/>
  <c r="B21604" i="53"/>
  <c r="D19040" i="53"/>
  <c r="B19040" i="53"/>
  <c r="D20445" i="53"/>
  <c r="B20445" i="53"/>
  <c r="G19126" i="53"/>
  <c r="G19124" i="53"/>
  <c r="G20488" i="53"/>
  <c r="G20482" i="53"/>
  <c r="G19150" i="53"/>
  <c r="G19148" i="53"/>
  <c r="G20481" i="53"/>
  <c r="G20460" i="53"/>
  <c r="G21683" i="53"/>
  <c r="G20459" i="53"/>
  <c r="G19144" i="53"/>
  <c r="G20478" i="53"/>
  <c r="G20476" i="53"/>
  <c r="G20458" i="53"/>
  <c r="G20456" i="53"/>
  <c r="G20472" i="53"/>
  <c r="G20487" i="53"/>
  <c r="G20485" i="53"/>
  <c r="G20483" i="53"/>
  <c r="G20479" i="53"/>
  <c r="G20477" i="53"/>
  <c r="G20461" i="53"/>
  <c r="G20457" i="53"/>
  <c r="G20852" i="53"/>
  <c r="G20844" i="53"/>
  <c r="G20486" i="53"/>
  <c r="G20484" i="53"/>
  <c r="G20498" i="53"/>
  <c r="G19127" i="53"/>
  <c r="G19123" i="53"/>
  <c r="G20825" i="53"/>
  <c r="G20823" i="53"/>
  <c r="G19054" i="53"/>
  <c r="G19052" i="53"/>
  <c r="G20851" i="53"/>
  <c r="G20849" i="53"/>
  <c r="G20847" i="53"/>
  <c r="G20843" i="53"/>
  <c r="G20841" i="53"/>
  <c r="G21710" i="53"/>
  <c r="G21638" i="53"/>
  <c r="G19071" i="53"/>
  <c r="G19154" i="53"/>
  <c r="G19080" i="53"/>
  <c r="G20824" i="53"/>
  <c r="G19147" i="53"/>
  <c r="G19145" i="53"/>
  <c r="G20850" i="53"/>
  <c r="G20848" i="53"/>
  <c r="G21681" i="53"/>
  <c r="G20846" i="53"/>
  <c r="G20842" i="53"/>
  <c r="G20840" i="53"/>
  <c r="G20822" i="53"/>
  <c r="G20820" i="53"/>
  <c r="G21633" i="53"/>
  <c r="G21631" i="53"/>
  <c r="G21629" i="53"/>
  <c r="G19072" i="53"/>
  <c r="G19152" i="53"/>
  <c r="G19122" i="53"/>
  <c r="G17447" i="53"/>
  <c r="G19049" i="53"/>
  <c r="G18401" i="53"/>
  <c r="G21701" i="53"/>
  <c r="G21684" i="53"/>
  <c r="G19142" i="53"/>
  <c r="G20845" i="53"/>
  <c r="G20821" i="53"/>
  <c r="G21613" i="53"/>
  <c r="G19075" i="53"/>
  <c r="G19153" i="53"/>
  <c r="G19125" i="53"/>
  <c r="G19121" i="53"/>
  <c r="G20836" i="53"/>
  <c r="G20862" i="53"/>
  <c r="G19079" i="53"/>
  <c r="G19146" i="53"/>
  <c r="G19074" i="53"/>
  <c r="G19048" i="53"/>
  <c r="G19151" i="53"/>
  <c r="G19149" i="53"/>
  <c r="G21709" i="53"/>
  <c r="G21707" i="53"/>
  <c r="G21705" i="53"/>
  <c r="G21703" i="53"/>
  <c r="G18427" i="53"/>
  <c r="G21636" i="53"/>
  <c r="G21632" i="53"/>
  <c r="G21630" i="53"/>
  <c r="G19143" i="53"/>
  <c r="G19164" i="53"/>
  <c r="G19138" i="53"/>
  <c r="G21685" i="53"/>
  <c r="G18404" i="53"/>
  <c r="G19073" i="53"/>
  <c r="G19069" i="53"/>
  <c r="G17274" i="53"/>
  <c r="G14398" i="53"/>
  <c r="G17582" i="53"/>
  <c r="G18713" i="53"/>
  <c r="G18711" i="53"/>
  <c r="G18709" i="53"/>
  <c r="G21639" i="53"/>
  <c r="G21686" i="53"/>
  <c r="G19078" i="53"/>
  <c r="G19076" i="53"/>
  <c r="G19065" i="53"/>
  <c r="G19053" i="53"/>
  <c r="G19051" i="53"/>
  <c r="G21712" i="53"/>
  <c r="G21682" i="53"/>
  <c r="G19070" i="53"/>
  <c r="G21612" i="53"/>
  <c r="G21708" i="53"/>
  <c r="G21702" i="53"/>
  <c r="G19081" i="53"/>
  <c r="G19077" i="53"/>
  <c r="G19050" i="53"/>
  <c r="G19091" i="53"/>
  <c r="G17438" i="53"/>
  <c r="G18010" i="53"/>
  <c r="G18004" i="53"/>
  <c r="G21713" i="53"/>
  <c r="G21711" i="53"/>
  <c r="G18718" i="53"/>
  <c r="G18710" i="53"/>
  <c r="G18691" i="53"/>
  <c r="G21614" i="53"/>
  <c r="G17586" i="53"/>
  <c r="G21640" i="53"/>
  <c r="G21697" i="53"/>
  <c r="G17519" i="53"/>
  <c r="G17986" i="53"/>
  <c r="G21723" i="53"/>
  <c r="G18575" i="53"/>
  <c r="G18573" i="53"/>
  <c r="G18567" i="53"/>
  <c r="G21634" i="53"/>
  <c r="G18721" i="53"/>
  <c r="G18694" i="53"/>
  <c r="G18692" i="53"/>
  <c r="G21641" i="53"/>
  <c r="G21611" i="53"/>
  <c r="G21609" i="53"/>
  <c r="G21706" i="53"/>
  <c r="G21704" i="53"/>
  <c r="G17557" i="53"/>
  <c r="G18712" i="53"/>
  <c r="G21651" i="53"/>
  <c r="G17416" i="53"/>
  <c r="G18717" i="53"/>
  <c r="G18715" i="53"/>
  <c r="G18552" i="53"/>
  <c r="G18550" i="53"/>
  <c r="G17419" i="53"/>
  <c r="G17417" i="53"/>
  <c r="G17375" i="53"/>
  <c r="G17365" i="53"/>
  <c r="G18013" i="53"/>
  <c r="G18009" i="53"/>
  <c r="G18007" i="53"/>
  <c r="G18003" i="53"/>
  <c r="G18572" i="53"/>
  <c r="G18432" i="53"/>
  <c r="G18430" i="53"/>
  <c r="G18428" i="53"/>
  <c r="G18426" i="53"/>
  <c r="G18424" i="53"/>
  <c r="G18720" i="53"/>
  <c r="G21637" i="53"/>
  <c r="G21635" i="53"/>
  <c r="G18549" i="53"/>
  <c r="G21610" i="53"/>
  <c r="G21625" i="53"/>
  <c r="G17514" i="53"/>
  <c r="G17510" i="53"/>
  <c r="G17489" i="53"/>
  <c r="G18579" i="53"/>
  <c r="G18551" i="53"/>
  <c r="G18547" i="53"/>
  <c r="G18693" i="53"/>
  <c r="G17299" i="53"/>
  <c r="G17297" i="53"/>
  <c r="G17295" i="53"/>
  <c r="G17374" i="53"/>
  <c r="G18002" i="53"/>
  <c r="G18569" i="53"/>
  <c r="G18705" i="53"/>
  <c r="G17347" i="53"/>
  <c r="G18689" i="53"/>
  <c r="G18578" i="53"/>
  <c r="G18576" i="53"/>
  <c r="G18548" i="53"/>
  <c r="G18716" i="53"/>
  <c r="G18714" i="53"/>
  <c r="G17081" i="53"/>
  <c r="G17060" i="53"/>
  <c r="G18570" i="53"/>
  <c r="G18719" i="53"/>
  <c r="G18690" i="53"/>
  <c r="G17348" i="53"/>
  <c r="G17344" i="53"/>
  <c r="G17982" i="53"/>
  <c r="G18423" i="53"/>
  <c r="G18421" i="53"/>
  <c r="G18731" i="53"/>
  <c r="G17063" i="53"/>
  <c r="G17300" i="53"/>
  <c r="G17292" i="53"/>
  <c r="G17437" i="53"/>
  <c r="G18577" i="53"/>
  <c r="G18431" i="53"/>
  <c r="G18429" i="53"/>
  <c r="G18405" i="53"/>
  <c r="G18403" i="53"/>
  <c r="G17420" i="53"/>
  <c r="G17981" i="53"/>
  <c r="G18425" i="53"/>
  <c r="G17273" i="53"/>
  <c r="G17585" i="53"/>
  <c r="G17515" i="53"/>
  <c r="G17442" i="53"/>
  <c r="G17440" i="53"/>
  <c r="G18571" i="53"/>
  <c r="G17062" i="53"/>
  <c r="G18589" i="53"/>
  <c r="G18442" i="53"/>
  <c r="G17560" i="53"/>
  <c r="G18574" i="53"/>
  <c r="G18422" i="53"/>
  <c r="G18420" i="53"/>
  <c r="G18402" i="53"/>
  <c r="G18400" i="53"/>
  <c r="G17376" i="53"/>
  <c r="G18563" i="53"/>
  <c r="G17518" i="53"/>
  <c r="G17443" i="53"/>
  <c r="G18012" i="53"/>
  <c r="G18006" i="53"/>
  <c r="G18568" i="53"/>
  <c r="G18416" i="53"/>
  <c r="G17088" i="53"/>
  <c r="G17086" i="53"/>
  <c r="G17084" i="53"/>
  <c r="G17588" i="53"/>
  <c r="G17436" i="53"/>
  <c r="G18011" i="53"/>
  <c r="G17984" i="53"/>
  <c r="G17386" i="53"/>
  <c r="G17080" i="53"/>
  <c r="G17578" i="53"/>
  <c r="G17558" i="53"/>
  <c r="G17517" i="53"/>
  <c r="G17373" i="53"/>
  <c r="G17371" i="53"/>
  <c r="G17367" i="53"/>
  <c r="G18005" i="53"/>
  <c r="G17997" i="53"/>
  <c r="G18023" i="53"/>
  <c r="G17087" i="53"/>
  <c r="G17085" i="53"/>
  <c r="G17083" i="53"/>
  <c r="G17589" i="53"/>
  <c r="G17587" i="53"/>
  <c r="G17492" i="53"/>
  <c r="G17490" i="53"/>
  <c r="G17488" i="53"/>
  <c r="G18001" i="53"/>
  <c r="G17985" i="53"/>
  <c r="G17983" i="53"/>
  <c r="G15108" i="53"/>
  <c r="G17301" i="53"/>
  <c r="G17583" i="53"/>
  <c r="G17577" i="53"/>
  <c r="G17559" i="53"/>
  <c r="G17512" i="53"/>
  <c r="G17446" i="53"/>
  <c r="G17444" i="53"/>
  <c r="G17370" i="53"/>
  <c r="G17366" i="53"/>
  <c r="G18008" i="53"/>
  <c r="G17599" i="53"/>
  <c r="G17089" i="53"/>
  <c r="G17584" i="53"/>
  <c r="G17520" i="53"/>
  <c r="G17513" i="53"/>
  <c r="G17511" i="53"/>
  <c r="G17493" i="53"/>
  <c r="G17364" i="53"/>
  <c r="G17580" i="53"/>
  <c r="G17562" i="53"/>
  <c r="G17516" i="53"/>
  <c r="G17509" i="53"/>
  <c r="G17491" i="53"/>
  <c r="G17346" i="53"/>
  <c r="G17418" i="53"/>
  <c r="G17369" i="53"/>
  <c r="G13346" i="53"/>
  <c r="G17090" i="53"/>
  <c r="G17445" i="53"/>
  <c r="G17349" i="53"/>
  <c r="G17302" i="53"/>
  <c r="G17298" i="53"/>
  <c r="G17296" i="53"/>
  <c r="G17561" i="53"/>
  <c r="G17508" i="53"/>
  <c r="G17448" i="53"/>
  <c r="G17441" i="53"/>
  <c r="G17439" i="53"/>
  <c r="G17421" i="53"/>
  <c r="G17372" i="53"/>
  <c r="G17345" i="53"/>
  <c r="G17581" i="53"/>
  <c r="G17579" i="53"/>
  <c r="G17368" i="53"/>
  <c r="G17504" i="53"/>
  <c r="G17360" i="53"/>
  <c r="G17458" i="53"/>
  <c r="G17530" i="53"/>
  <c r="G17432" i="53"/>
  <c r="G17573" i="53"/>
  <c r="G17276" i="53"/>
  <c r="G17065" i="53"/>
  <c r="G16735" i="53"/>
  <c r="G17294" i="53"/>
  <c r="G17272" i="53"/>
  <c r="G17092" i="53"/>
  <c r="G17061" i="53"/>
  <c r="G17303" i="53"/>
  <c r="G17277" i="53"/>
  <c r="G17275" i="53"/>
  <c r="G17082" i="53"/>
  <c r="G17064" i="53"/>
  <c r="G17293" i="53"/>
  <c r="G17304" i="53"/>
  <c r="G17091" i="53"/>
  <c r="G17314" i="53"/>
  <c r="G17076" i="53"/>
  <c r="G17288" i="53"/>
  <c r="G17102" i="53"/>
  <c r="G16601" i="53"/>
  <c r="G16599" i="53"/>
  <c r="G16593" i="53"/>
  <c r="G15139" i="53"/>
  <c r="G16714" i="53"/>
  <c r="G16712" i="53"/>
  <c r="G16740" i="53"/>
  <c r="G16736" i="53"/>
  <c r="G16731" i="53"/>
  <c r="G16576" i="53"/>
  <c r="G16574" i="53"/>
  <c r="G16529" i="53"/>
  <c r="G16527" i="53"/>
  <c r="G16521" i="53"/>
  <c r="G16502" i="53"/>
  <c r="G14468" i="53"/>
  <c r="G15138" i="53"/>
  <c r="G15136" i="53"/>
  <c r="G16600" i="53"/>
  <c r="G16598" i="53"/>
  <c r="G16592" i="53"/>
  <c r="G16575" i="53"/>
  <c r="G16573" i="53"/>
  <c r="G16571" i="53"/>
  <c r="G16522" i="53"/>
  <c r="G16520" i="53"/>
  <c r="G16501" i="53"/>
  <c r="G13337" i="53"/>
  <c r="G14438" i="53"/>
  <c r="G15135" i="53"/>
  <c r="G16713" i="53"/>
  <c r="G16711" i="53"/>
  <c r="G16709" i="53"/>
  <c r="G16530" i="53"/>
  <c r="G14300" i="53"/>
  <c r="G15134" i="53"/>
  <c r="G16739" i="53"/>
  <c r="G16572" i="53"/>
  <c r="G16603" i="53"/>
  <c r="G16597" i="53"/>
  <c r="G16595" i="53"/>
  <c r="G16710" i="53"/>
  <c r="G16500" i="53"/>
  <c r="G12591" i="53"/>
  <c r="G15131" i="53"/>
  <c r="G16732" i="53"/>
  <c r="G16611" i="53"/>
  <c r="G16604" i="53"/>
  <c r="G14368" i="53"/>
  <c r="G13319" i="53"/>
  <c r="G14469" i="53"/>
  <c r="G14467" i="53"/>
  <c r="G14465" i="53"/>
  <c r="G14463" i="53"/>
  <c r="G14852" i="53"/>
  <c r="G14762" i="53"/>
  <c r="G12623" i="53"/>
  <c r="G12621" i="53"/>
  <c r="G12594" i="53"/>
  <c r="G15129" i="53"/>
  <c r="G16733" i="53"/>
  <c r="G16602" i="53"/>
  <c r="G14787" i="53"/>
  <c r="G16531" i="53"/>
  <c r="G16498" i="53"/>
  <c r="G14900" i="53"/>
  <c r="G14370" i="53"/>
  <c r="G14252" i="53"/>
  <c r="G15112" i="53"/>
  <c r="G15110" i="53"/>
  <c r="G16738" i="53"/>
  <c r="G16729" i="53"/>
  <c r="G14855" i="53"/>
  <c r="G14926" i="53"/>
  <c r="G12612" i="53"/>
  <c r="G16596" i="53"/>
  <c r="G16525" i="53"/>
  <c r="G16523" i="53"/>
  <c r="G16503" i="53"/>
  <c r="G16741" i="53"/>
  <c r="G16734" i="53"/>
  <c r="G16594" i="53"/>
  <c r="G16519" i="53"/>
  <c r="G16499" i="53"/>
  <c r="G16538" i="53"/>
  <c r="G14902" i="53"/>
  <c r="G15113" i="53"/>
  <c r="G15111" i="53"/>
  <c r="G15109" i="53"/>
  <c r="G16737" i="53"/>
  <c r="G16730" i="53"/>
  <c r="G16528" i="53"/>
  <c r="G16526" i="53"/>
  <c r="G16524" i="53"/>
  <c r="G16588" i="53"/>
  <c r="G16725" i="53"/>
  <c r="G16515" i="53"/>
  <c r="G16751" i="53"/>
  <c r="G14233" i="53"/>
  <c r="G13315" i="53"/>
  <c r="G14263" i="53"/>
  <c r="G14261" i="53"/>
  <c r="G14255" i="53"/>
  <c r="G14253" i="53"/>
  <c r="G14251" i="53"/>
  <c r="G14234" i="53"/>
  <c r="G14788" i="53"/>
  <c r="G12595" i="53"/>
  <c r="G14297" i="53"/>
  <c r="G14927" i="53"/>
  <c r="G12617" i="53"/>
  <c r="G15132" i="53"/>
  <c r="G15107" i="53"/>
  <c r="G15130" i="53"/>
  <c r="G15128" i="53"/>
  <c r="G14464" i="53"/>
  <c r="G12611" i="53"/>
  <c r="G14388" i="53"/>
  <c r="G14386" i="53"/>
  <c r="G14924" i="53"/>
  <c r="G14922" i="53"/>
  <c r="G14903" i="53"/>
  <c r="G14901" i="53"/>
  <c r="G14789" i="53"/>
  <c r="G14783" i="53"/>
  <c r="G14781" i="53"/>
  <c r="G12596" i="53"/>
  <c r="G15137" i="53"/>
  <c r="G14462" i="53"/>
  <c r="G14458" i="53"/>
  <c r="G14328" i="53"/>
  <c r="G14235" i="53"/>
  <c r="G14860" i="53"/>
  <c r="G14765" i="53"/>
  <c r="G12620" i="53"/>
  <c r="G12618" i="53"/>
  <c r="G12616" i="53"/>
  <c r="G12614" i="53"/>
  <c r="G15133" i="53"/>
  <c r="G14861" i="53"/>
  <c r="G14851" i="53"/>
  <c r="G15140" i="53"/>
  <c r="G15124" i="53"/>
  <c r="G15147" i="53"/>
  <c r="G13271" i="53"/>
  <c r="G13269" i="53"/>
  <c r="G14441" i="53"/>
  <c r="G14831" i="53"/>
  <c r="G12622" i="53"/>
  <c r="G12633" i="53"/>
  <c r="G14904" i="53"/>
  <c r="G14859" i="53"/>
  <c r="G14857" i="53"/>
  <c r="G14793" i="53"/>
  <c r="G12592" i="53"/>
  <c r="G12590" i="53"/>
  <c r="G14396" i="53"/>
  <c r="G14392" i="53"/>
  <c r="G14318" i="53"/>
  <c r="G14931" i="53"/>
  <c r="G14929" i="53"/>
  <c r="G14923" i="53"/>
  <c r="G14921" i="53"/>
  <c r="G14832" i="53"/>
  <c r="G14828" i="53"/>
  <c r="G14760" i="53"/>
  <c r="G13245" i="53"/>
  <c r="G14389" i="53"/>
  <c r="G14387" i="53"/>
  <c r="G14854" i="53"/>
  <c r="G12619" i="53"/>
  <c r="G12615" i="53"/>
  <c r="G12613" i="53"/>
  <c r="G12593" i="53"/>
  <c r="G12607" i="53"/>
  <c r="G14325" i="53"/>
  <c r="G14323" i="53"/>
  <c r="G14321" i="53"/>
  <c r="G14319" i="53"/>
  <c r="G14298" i="53"/>
  <c r="G14933" i="53"/>
  <c r="G14905" i="53"/>
  <c r="G14850" i="53"/>
  <c r="G14830" i="53"/>
  <c r="G14786" i="53"/>
  <c r="G14784" i="53"/>
  <c r="G14782" i="53"/>
  <c r="G13027" i="53"/>
  <c r="G14437" i="53"/>
  <c r="G13265" i="53"/>
  <c r="G14390" i="53"/>
  <c r="G14366" i="53"/>
  <c r="G14262" i="53"/>
  <c r="G14254" i="53"/>
  <c r="G14925" i="53"/>
  <c r="G14853" i="53"/>
  <c r="G14833" i="53"/>
  <c r="G14791" i="53"/>
  <c r="G14763" i="53"/>
  <c r="G14761" i="53"/>
  <c r="G13029" i="53"/>
  <c r="G13024" i="53"/>
  <c r="G14326" i="53"/>
  <c r="G14324" i="53"/>
  <c r="G14322" i="53"/>
  <c r="G14301" i="53"/>
  <c r="G14932" i="53"/>
  <c r="G14849" i="53"/>
  <c r="G14829" i="53"/>
  <c r="G14785" i="53"/>
  <c r="G14369" i="53"/>
  <c r="G13272" i="53"/>
  <c r="G13264" i="53"/>
  <c r="G14397" i="53"/>
  <c r="G14367" i="53"/>
  <c r="G14930" i="53"/>
  <c r="G14928" i="53"/>
  <c r="G14858" i="53"/>
  <c r="G14856" i="53"/>
  <c r="G14792" i="53"/>
  <c r="G14790" i="53"/>
  <c r="G14764" i="53"/>
  <c r="G14943" i="53"/>
  <c r="G14917" i="53"/>
  <c r="G14871" i="53"/>
  <c r="G14845" i="53"/>
  <c r="G14803" i="53"/>
  <c r="G14777" i="53"/>
  <c r="G14479" i="53"/>
  <c r="G14460" i="53"/>
  <c r="G14442" i="53"/>
  <c r="G14440" i="53"/>
  <c r="G14329" i="53"/>
  <c r="G14327" i="53"/>
  <c r="G14320" i="53"/>
  <c r="G14273" i="53"/>
  <c r="G14340" i="53"/>
  <c r="G14260" i="53"/>
  <c r="G14258" i="53"/>
  <c r="G14256" i="53"/>
  <c r="G14394" i="53"/>
  <c r="G14365" i="53"/>
  <c r="G14232" i="53"/>
  <c r="G14230" i="53"/>
  <c r="G14299" i="53"/>
  <c r="G14461" i="53"/>
  <c r="G14459" i="53"/>
  <c r="G14457" i="53"/>
  <c r="G14453" i="53"/>
  <c r="G14439" i="53"/>
  <c r="G14330" i="53"/>
  <c r="G14259" i="53"/>
  <c r="G14257" i="53"/>
  <c r="G14466" i="53"/>
  <c r="G14395" i="53"/>
  <c r="G14393" i="53"/>
  <c r="G14391" i="53"/>
  <c r="G14302" i="53"/>
  <c r="G14231" i="53"/>
  <c r="G14408" i="53"/>
  <c r="G14314" i="53"/>
  <c r="G14247" i="53"/>
  <c r="G14382" i="53"/>
  <c r="G13345" i="53"/>
  <c r="G13335" i="53"/>
  <c r="G13053" i="53"/>
  <c r="G13045" i="53"/>
  <c r="G13248" i="53"/>
  <c r="G13340" i="53"/>
  <c r="G13336" i="53"/>
  <c r="G13334" i="53"/>
  <c r="G13050" i="53"/>
  <c r="G13048" i="53"/>
  <c r="G13046" i="53"/>
  <c r="G13263" i="53"/>
  <c r="G13246" i="53"/>
  <c r="G13056" i="53"/>
  <c r="G13054" i="53"/>
  <c r="G13052" i="53"/>
  <c r="G13244" i="53"/>
  <c r="G13338" i="53"/>
  <c r="G13270" i="53"/>
  <c r="G13268" i="53"/>
  <c r="G13266" i="53"/>
  <c r="G13066" i="53"/>
  <c r="G13049" i="53"/>
  <c r="G13047" i="53"/>
  <c r="G13314" i="53"/>
  <c r="G13341" i="53"/>
  <c r="G13273" i="53"/>
  <c r="G13344" i="53"/>
  <c r="G13342" i="53"/>
  <c r="G13317" i="53"/>
  <c r="G13025" i="53"/>
  <c r="G13275" i="53"/>
  <c r="G13028" i="53"/>
  <c r="G13247" i="53"/>
  <c r="G13343" i="53"/>
  <c r="G13318" i="53"/>
  <c r="G13316" i="53"/>
  <c r="G13267" i="53"/>
  <c r="G13259" i="53"/>
  <c r="G13243" i="53"/>
  <c r="G13055" i="53"/>
  <c r="G13044" i="53"/>
  <c r="G13026" i="53"/>
  <c r="G13339" i="53"/>
  <c r="G13274" i="53"/>
  <c r="G13051" i="53"/>
  <c r="G13285" i="53"/>
  <c r="G13040" i="53"/>
  <c r="G13330" i="53"/>
  <c r="G13356" i="53"/>
  <c r="G23357" i="53" l="1"/>
  <c r="G23358" i="53"/>
  <c r="G23359" i="53"/>
  <c r="G23363" i="53" s="1"/>
  <c r="G12597" i="53"/>
  <c r="K441" i="1"/>
  <c r="L441" i="1"/>
  <c r="M441" i="1"/>
  <c r="O441" i="1"/>
  <c r="N441" i="1"/>
  <c r="G20489" i="53"/>
  <c r="G20462" i="53"/>
  <c r="G21687" i="53"/>
  <c r="G19128" i="53"/>
  <c r="G20853" i="53"/>
  <c r="G19155" i="53"/>
  <c r="G20826" i="53"/>
  <c r="G21615" i="53"/>
  <c r="G21642" i="53"/>
  <c r="G19082" i="53"/>
  <c r="G18722" i="53"/>
  <c r="G19055" i="53"/>
  <c r="G18553" i="53"/>
  <c r="G21714" i="53"/>
  <c r="G18433" i="53"/>
  <c r="G18406" i="53"/>
  <c r="G18580" i="53"/>
  <c r="G18014" i="53"/>
  <c r="G17093" i="53"/>
  <c r="G17494" i="53"/>
  <c r="G18695" i="53"/>
  <c r="G17422" i="53"/>
  <c r="G17350" i="53"/>
  <c r="G17987" i="53"/>
  <c r="G17521" i="53"/>
  <c r="G17563" i="53"/>
  <c r="G17377" i="53"/>
  <c r="G17066" i="53"/>
  <c r="G17590" i="53"/>
  <c r="G17449" i="53"/>
  <c r="G16715" i="53"/>
  <c r="G17278" i="53"/>
  <c r="G17305" i="53"/>
  <c r="G16577" i="53"/>
  <c r="G16504" i="53"/>
  <c r="G16605" i="53"/>
  <c r="G14834" i="53"/>
  <c r="G15114" i="53"/>
  <c r="G16742" i="53"/>
  <c r="G16532" i="53"/>
  <c r="G15141" i="53"/>
  <c r="G14443" i="53"/>
  <c r="G14766" i="53"/>
  <c r="G14906" i="53"/>
  <c r="G12624" i="53"/>
  <c r="G14236" i="53"/>
  <c r="G14264" i="53"/>
  <c r="G14934" i="53"/>
  <c r="G14303" i="53"/>
  <c r="G14470" i="53"/>
  <c r="G14862" i="53"/>
  <c r="G14794" i="53"/>
  <c r="G14331" i="53"/>
  <c r="G13030" i="53"/>
  <c r="G14399" i="53"/>
  <c r="G14371" i="53"/>
  <c r="G13347" i="53"/>
  <c r="G13249" i="53"/>
  <c r="G13320" i="53"/>
  <c r="G13276" i="53"/>
  <c r="G13057" i="53"/>
  <c r="G23361" i="53" l="1"/>
  <c r="G23365" i="53" s="1"/>
  <c r="G23302" i="53" s="1"/>
  <c r="A11902" i="53" l="1"/>
  <c r="B11907" i="53"/>
  <c r="D11907" i="53"/>
  <c r="E11907" i="53"/>
  <c r="F11907" i="53"/>
  <c r="B11908" i="53"/>
  <c r="D11908" i="53"/>
  <c r="E11908" i="53"/>
  <c r="F11908" i="53"/>
  <c r="B11909" i="53"/>
  <c r="D11909" i="53"/>
  <c r="E11909" i="53"/>
  <c r="F11909" i="53"/>
  <c r="B11910" i="53"/>
  <c r="D11910" i="53"/>
  <c r="E11910" i="53"/>
  <c r="F11910" i="53"/>
  <c r="B11911" i="53"/>
  <c r="D11911" i="53"/>
  <c r="E11911" i="53"/>
  <c r="F11911" i="53"/>
  <c r="B11912" i="53"/>
  <c r="D11912" i="53"/>
  <c r="E11912" i="53"/>
  <c r="F11912" i="53"/>
  <c r="B11917" i="53"/>
  <c r="F11917" i="53"/>
  <c r="G11917" i="53" s="1"/>
  <c r="B11918" i="53"/>
  <c r="F11918" i="53"/>
  <c r="G11918" i="53" s="1"/>
  <c r="B11919" i="53"/>
  <c r="F11919" i="53"/>
  <c r="G11919" i="53" s="1"/>
  <c r="B11920" i="53"/>
  <c r="F11920" i="53"/>
  <c r="G11920" i="53" s="1"/>
  <c r="B11921" i="53"/>
  <c r="F11921" i="53"/>
  <c r="G11921" i="53" s="1"/>
  <c r="B11922" i="53"/>
  <c r="F11922" i="53"/>
  <c r="G11922" i="53" s="1"/>
  <c r="B11923" i="53"/>
  <c r="F11923" i="53"/>
  <c r="G11923" i="53" s="1"/>
  <c r="B11928" i="53"/>
  <c r="D11928" i="53"/>
  <c r="E11928" i="53"/>
  <c r="F11928" i="53"/>
  <c r="B11929" i="53"/>
  <c r="D11929" i="53"/>
  <c r="E11929" i="53"/>
  <c r="F11929" i="53"/>
  <c r="B11930" i="53"/>
  <c r="D11930" i="53"/>
  <c r="E11930" i="53"/>
  <c r="F11930" i="53"/>
  <c r="B11931" i="53"/>
  <c r="D11931" i="53"/>
  <c r="E11931" i="53"/>
  <c r="F11931" i="53"/>
  <c r="B11932" i="53"/>
  <c r="D11932" i="53"/>
  <c r="E11932" i="53"/>
  <c r="F11932" i="53"/>
  <c r="B11933" i="53"/>
  <c r="D11933" i="53"/>
  <c r="E11933" i="53"/>
  <c r="F11933" i="53"/>
  <c r="B11934" i="53"/>
  <c r="D11934" i="53"/>
  <c r="E11934" i="53"/>
  <c r="F11934" i="53"/>
  <c r="B11935" i="53"/>
  <c r="D11935" i="53"/>
  <c r="E11935" i="53"/>
  <c r="F11935" i="53"/>
  <c r="B11936" i="53"/>
  <c r="D11936" i="53"/>
  <c r="E11936" i="53"/>
  <c r="F11936" i="53"/>
  <c r="B11937" i="53"/>
  <c r="D11937" i="53"/>
  <c r="E11937" i="53"/>
  <c r="F11937" i="53"/>
  <c r="B11938" i="53"/>
  <c r="D11938" i="53"/>
  <c r="E11938" i="53"/>
  <c r="F11938" i="53"/>
  <c r="B11939" i="53"/>
  <c r="D11939" i="53"/>
  <c r="E11939" i="53"/>
  <c r="F11939" i="53"/>
  <c r="B11940" i="53"/>
  <c r="D11940" i="53"/>
  <c r="E11940" i="53"/>
  <c r="F11940" i="53"/>
  <c r="B11945" i="53"/>
  <c r="D11945" i="53"/>
  <c r="F11945" i="53"/>
  <c r="G11945" i="53" s="1"/>
  <c r="B11946" i="53"/>
  <c r="D11946" i="53"/>
  <c r="F11946" i="53"/>
  <c r="G11946" i="53" s="1"/>
  <c r="B11947" i="53"/>
  <c r="D11947" i="53"/>
  <c r="F11947" i="53"/>
  <c r="G11947" i="53" s="1"/>
  <c r="B11948" i="53"/>
  <c r="D11948" i="53"/>
  <c r="F11948" i="53"/>
  <c r="G11948" i="53" s="1"/>
  <c r="B11949" i="53"/>
  <c r="D11949" i="53"/>
  <c r="F11949" i="53"/>
  <c r="G11949" i="53" s="1"/>
  <c r="G12036" i="53"/>
  <c r="G12037" i="53"/>
  <c r="B12042" i="53"/>
  <c r="D12042" i="53"/>
  <c r="E12042" i="53"/>
  <c r="F12042" i="53"/>
  <c r="B12043" i="53"/>
  <c r="D12043" i="53"/>
  <c r="E12043" i="53"/>
  <c r="F12043" i="53"/>
  <c r="B12044" i="53"/>
  <c r="D12044" i="53"/>
  <c r="E12044" i="53"/>
  <c r="F12044" i="53"/>
  <c r="B12045" i="53"/>
  <c r="D12045" i="53"/>
  <c r="E12045" i="53"/>
  <c r="F12045" i="53"/>
  <c r="B12046" i="53"/>
  <c r="D12046" i="53"/>
  <c r="E12046" i="53"/>
  <c r="F12046" i="53"/>
  <c r="B12047" i="53"/>
  <c r="D12047" i="53"/>
  <c r="E12047" i="53"/>
  <c r="F12047" i="53"/>
  <c r="B12052" i="53"/>
  <c r="F12052" i="53"/>
  <c r="G12052" i="53" s="1"/>
  <c r="B12053" i="53"/>
  <c r="F12053" i="53"/>
  <c r="G12053" i="53" s="1"/>
  <c r="B12054" i="53"/>
  <c r="F12054" i="53"/>
  <c r="G12054" i="53" s="1"/>
  <c r="B12055" i="53"/>
  <c r="F12055" i="53"/>
  <c r="G12055" i="53" s="1"/>
  <c r="B12056" i="53"/>
  <c r="F12056" i="53"/>
  <c r="G12056" i="53" s="1"/>
  <c r="B12057" i="53"/>
  <c r="F12057" i="53"/>
  <c r="G12057" i="53" s="1"/>
  <c r="B12058" i="53"/>
  <c r="F12058" i="53"/>
  <c r="G12058" i="53" s="1"/>
  <c r="B12063" i="53"/>
  <c r="D12063" i="53"/>
  <c r="E12063" i="53"/>
  <c r="F12063" i="53"/>
  <c r="B12064" i="53"/>
  <c r="D12064" i="53"/>
  <c r="E12064" i="53"/>
  <c r="F12064" i="53"/>
  <c r="B12065" i="53"/>
  <c r="D12065" i="53"/>
  <c r="E12065" i="53"/>
  <c r="F12065" i="53"/>
  <c r="B12066" i="53"/>
  <c r="D12066" i="53"/>
  <c r="E12066" i="53"/>
  <c r="F12066" i="53"/>
  <c r="B12067" i="53"/>
  <c r="D12067" i="53"/>
  <c r="E12067" i="53"/>
  <c r="F12067" i="53"/>
  <c r="B12068" i="53"/>
  <c r="D12068" i="53"/>
  <c r="E12068" i="53"/>
  <c r="F12068" i="53"/>
  <c r="B12069" i="53"/>
  <c r="D12069" i="53"/>
  <c r="E12069" i="53"/>
  <c r="F12069" i="53"/>
  <c r="B12070" i="53"/>
  <c r="D12070" i="53"/>
  <c r="E12070" i="53"/>
  <c r="F12070" i="53"/>
  <c r="B12071" i="53"/>
  <c r="D12071" i="53"/>
  <c r="E12071" i="53"/>
  <c r="F12071" i="53"/>
  <c r="B12072" i="53"/>
  <c r="D12072" i="53"/>
  <c r="E12072" i="53"/>
  <c r="F12072" i="53"/>
  <c r="B12073" i="53"/>
  <c r="D12073" i="53"/>
  <c r="E12073" i="53"/>
  <c r="F12073" i="53"/>
  <c r="B12074" i="53"/>
  <c r="D12074" i="53"/>
  <c r="E12074" i="53"/>
  <c r="F12074" i="53"/>
  <c r="B12075" i="53"/>
  <c r="D12075" i="53"/>
  <c r="E12075" i="53"/>
  <c r="F12075" i="53"/>
  <c r="B12080" i="53"/>
  <c r="D12080" i="53"/>
  <c r="F12080" i="53"/>
  <c r="G12080" i="53" s="1"/>
  <c r="B12081" i="53"/>
  <c r="D12081" i="53"/>
  <c r="F12081" i="53"/>
  <c r="G12081" i="53" s="1"/>
  <c r="B12082" i="53"/>
  <c r="D12082" i="53"/>
  <c r="F12082" i="53"/>
  <c r="G12082" i="53" s="1"/>
  <c r="B12083" i="53"/>
  <c r="D12083" i="53"/>
  <c r="F12083" i="53"/>
  <c r="G12083" i="53" s="1"/>
  <c r="B12084" i="53"/>
  <c r="D12084" i="53"/>
  <c r="F12084" i="53"/>
  <c r="G12084" i="53" s="1"/>
  <c r="A12103" i="53"/>
  <c r="G12104" i="53"/>
  <c r="B12109" i="53"/>
  <c r="D12109" i="53"/>
  <c r="E12109" i="53"/>
  <c r="F12109" i="53"/>
  <c r="B12110" i="53"/>
  <c r="D12110" i="53"/>
  <c r="E12110" i="53"/>
  <c r="F12110" i="53"/>
  <c r="B12111" i="53"/>
  <c r="D12111" i="53"/>
  <c r="E12111" i="53"/>
  <c r="F12111" i="53"/>
  <c r="B12112" i="53"/>
  <c r="D12112" i="53"/>
  <c r="E12112" i="53"/>
  <c r="F12112" i="53"/>
  <c r="B12113" i="53"/>
  <c r="D12113" i="53"/>
  <c r="E12113" i="53"/>
  <c r="F12113" i="53"/>
  <c r="B12114" i="53"/>
  <c r="D12114" i="53"/>
  <c r="E12114" i="53"/>
  <c r="F12114" i="53"/>
  <c r="B12119" i="53"/>
  <c r="F12119" i="53"/>
  <c r="G12119" i="53" s="1"/>
  <c r="B12120" i="53"/>
  <c r="F12120" i="53"/>
  <c r="G12120" i="53" s="1"/>
  <c r="B12121" i="53"/>
  <c r="F12121" i="53"/>
  <c r="G12121" i="53" s="1"/>
  <c r="B12122" i="53"/>
  <c r="F12122" i="53"/>
  <c r="G12122" i="53" s="1"/>
  <c r="B12123" i="53"/>
  <c r="F12123" i="53"/>
  <c r="G12123" i="53" s="1"/>
  <c r="B12124" i="53"/>
  <c r="F12124" i="53"/>
  <c r="G12124" i="53" s="1"/>
  <c r="B12125" i="53"/>
  <c r="F12125" i="53"/>
  <c r="G12125" i="53" s="1"/>
  <c r="B12130" i="53"/>
  <c r="D12130" i="53"/>
  <c r="E12130" i="53"/>
  <c r="F12130" i="53"/>
  <c r="B12131" i="53"/>
  <c r="D12131" i="53"/>
  <c r="E12131" i="53"/>
  <c r="F12131" i="53"/>
  <c r="B12132" i="53"/>
  <c r="D12132" i="53"/>
  <c r="E12132" i="53"/>
  <c r="F12132" i="53"/>
  <c r="B12133" i="53"/>
  <c r="D12133" i="53"/>
  <c r="E12133" i="53"/>
  <c r="F12133" i="53"/>
  <c r="B12134" i="53"/>
  <c r="D12134" i="53"/>
  <c r="E12134" i="53"/>
  <c r="F12134" i="53"/>
  <c r="B12135" i="53"/>
  <c r="D12135" i="53"/>
  <c r="E12135" i="53"/>
  <c r="F12135" i="53"/>
  <c r="B12136" i="53"/>
  <c r="D12136" i="53"/>
  <c r="E12136" i="53"/>
  <c r="F12136" i="53"/>
  <c r="B12137" i="53"/>
  <c r="D12137" i="53"/>
  <c r="E12137" i="53"/>
  <c r="F12137" i="53"/>
  <c r="B12138" i="53"/>
  <c r="D12138" i="53"/>
  <c r="E12138" i="53"/>
  <c r="F12138" i="53"/>
  <c r="B12139" i="53"/>
  <c r="D12139" i="53"/>
  <c r="E12139" i="53"/>
  <c r="F12139" i="53"/>
  <c r="B12140" i="53"/>
  <c r="D12140" i="53"/>
  <c r="E12140" i="53"/>
  <c r="F12140" i="53"/>
  <c r="B12141" i="53"/>
  <c r="D12141" i="53"/>
  <c r="E12141" i="53"/>
  <c r="F12141" i="53"/>
  <c r="B12142" i="53"/>
  <c r="D12142" i="53"/>
  <c r="E12142" i="53"/>
  <c r="F12142" i="53"/>
  <c r="B12147" i="53"/>
  <c r="D12147" i="53"/>
  <c r="F12147" i="53"/>
  <c r="G12147" i="53" s="1"/>
  <c r="B12148" i="53"/>
  <c r="D12148" i="53"/>
  <c r="F12148" i="53"/>
  <c r="G12148" i="53" s="1"/>
  <c r="B12149" i="53"/>
  <c r="D12149" i="53"/>
  <c r="F12149" i="53"/>
  <c r="G12149" i="53" s="1"/>
  <c r="B12150" i="53"/>
  <c r="D12150" i="53"/>
  <c r="F12150" i="53"/>
  <c r="G12150" i="53" s="1"/>
  <c r="B12151" i="53"/>
  <c r="D12151" i="53"/>
  <c r="F12151" i="53"/>
  <c r="G12151" i="53" s="1"/>
  <c r="A12170" i="53"/>
  <c r="G12171" i="53"/>
  <c r="G12172" i="53"/>
  <c r="B12177" i="53"/>
  <c r="D12177" i="53"/>
  <c r="E12177" i="53"/>
  <c r="F12177" i="53"/>
  <c r="B12178" i="53"/>
  <c r="D12178" i="53"/>
  <c r="E12178" i="53"/>
  <c r="F12178" i="53"/>
  <c r="B12179" i="53"/>
  <c r="D12179" i="53"/>
  <c r="E12179" i="53"/>
  <c r="F12179" i="53"/>
  <c r="B12180" i="53"/>
  <c r="D12180" i="53"/>
  <c r="E12180" i="53"/>
  <c r="F12180" i="53"/>
  <c r="B12181" i="53"/>
  <c r="D12181" i="53"/>
  <c r="E12181" i="53"/>
  <c r="F12181" i="53"/>
  <c r="B12182" i="53"/>
  <c r="D12182" i="53"/>
  <c r="E12182" i="53"/>
  <c r="F12182" i="53"/>
  <c r="B12187" i="53"/>
  <c r="F12187" i="53"/>
  <c r="G12187" i="53" s="1"/>
  <c r="B12188" i="53"/>
  <c r="F12188" i="53"/>
  <c r="G12188" i="53" s="1"/>
  <c r="B12189" i="53"/>
  <c r="F12189" i="53"/>
  <c r="G12189" i="53" s="1"/>
  <c r="B12190" i="53"/>
  <c r="F12190" i="53"/>
  <c r="G12190" i="53" s="1"/>
  <c r="B12191" i="53"/>
  <c r="F12191" i="53"/>
  <c r="G12191" i="53" s="1"/>
  <c r="B12192" i="53"/>
  <c r="F12192" i="53"/>
  <c r="G12192" i="53" s="1"/>
  <c r="B12193" i="53"/>
  <c r="F12193" i="53"/>
  <c r="G12193" i="53" s="1"/>
  <c r="B12198" i="53"/>
  <c r="D12198" i="53"/>
  <c r="E12198" i="53"/>
  <c r="F12198" i="53"/>
  <c r="B12199" i="53"/>
  <c r="D12199" i="53"/>
  <c r="E12199" i="53"/>
  <c r="F12199" i="53"/>
  <c r="B12200" i="53"/>
  <c r="D12200" i="53"/>
  <c r="E12200" i="53"/>
  <c r="F12200" i="53"/>
  <c r="B12201" i="53"/>
  <c r="D12201" i="53"/>
  <c r="E12201" i="53"/>
  <c r="F12201" i="53"/>
  <c r="B12202" i="53"/>
  <c r="D12202" i="53"/>
  <c r="E12202" i="53"/>
  <c r="F12202" i="53"/>
  <c r="B12203" i="53"/>
  <c r="D12203" i="53"/>
  <c r="E12203" i="53"/>
  <c r="F12203" i="53"/>
  <c r="B12204" i="53"/>
  <c r="D12204" i="53"/>
  <c r="E12204" i="53"/>
  <c r="F12204" i="53"/>
  <c r="B12205" i="53"/>
  <c r="D12205" i="53"/>
  <c r="E12205" i="53"/>
  <c r="F12205" i="53"/>
  <c r="B12206" i="53"/>
  <c r="D12206" i="53"/>
  <c r="E12206" i="53"/>
  <c r="F12206" i="53"/>
  <c r="B12207" i="53"/>
  <c r="D12207" i="53"/>
  <c r="E12207" i="53"/>
  <c r="F12207" i="53"/>
  <c r="B12208" i="53"/>
  <c r="D12208" i="53"/>
  <c r="E12208" i="53"/>
  <c r="F12208" i="53"/>
  <c r="B12209" i="53"/>
  <c r="D12209" i="53"/>
  <c r="E12209" i="53"/>
  <c r="F12209" i="53"/>
  <c r="B12210" i="53"/>
  <c r="D12210" i="53"/>
  <c r="E12210" i="53"/>
  <c r="F12210" i="53"/>
  <c r="B12215" i="53"/>
  <c r="D12215" i="53"/>
  <c r="F12215" i="53"/>
  <c r="G12215" i="53" s="1"/>
  <c r="B12216" i="53"/>
  <c r="D12216" i="53"/>
  <c r="F12216" i="53"/>
  <c r="G12216" i="53" s="1"/>
  <c r="B12217" i="53"/>
  <c r="D12217" i="53"/>
  <c r="F12217" i="53"/>
  <c r="G12217" i="53" s="1"/>
  <c r="B12218" i="53"/>
  <c r="D12218" i="53"/>
  <c r="F12218" i="53"/>
  <c r="G12218" i="53" s="1"/>
  <c r="B12219" i="53"/>
  <c r="D12219" i="53"/>
  <c r="F12219" i="53"/>
  <c r="G12219" i="53" s="1"/>
  <c r="A12238" i="53"/>
  <c r="G12239" i="53"/>
  <c r="G12240" i="53"/>
  <c r="B12245" i="53"/>
  <c r="D12245" i="53"/>
  <c r="E12245" i="53"/>
  <c r="F12245" i="53"/>
  <c r="B12246" i="53"/>
  <c r="D12246" i="53"/>
  <c r="E12246" i="53"/>
  <c r="F12246" i="53"/>
  <c r="B12247" i="53"/>
  <c r="D12247" i="53"/>
  <c r="E12247" i="53"/>
  <c r="F12247" i="53"/>
  <c r="B12248" i="53"/>
  <c r="D12248" i="53"/>
  <c r="E12248" i="53"/>
  <c r="F12248" i="53"/>
  <c r="B12249" i="53"/>
  <c r="D12249" i="53"/>
  <c r="E12249" i="53"/>
  <c r="F12249" i="53"/>
  <c r="B12250" i="53"/>
  <c r="D12250" i="53"/>
  <c r="E12250" i="53"/>
  <c r="F12250" i="53"/>
  <c r="B12255" i="53"/>
  <c r="F12255" i="53"/>
  <c r="G12255" i="53" s="1"/>
  <c r="B12256" i="53"/>
  <c r="F12256" i="53"/>
  <c r="G12256" i="53" s="1"/>
  <c r="B12257" i="53"/>
  <c r="F12257" i="53"/>
  <c r="G12257" i="53" s="1"/>
  <c r="B12258" i="53"/>
  <c r="F12258" i="53"/>
  <c r="G12258" i="53" s="1"/>
  <c r="B12259" i="53"/>
  <c r="F12259" i="53"/>
  <c r="G12259" i="53" s="1"/>
  <c r="B12260" i="53"/>
  <c r="F12260" i="53"/>
  <c r="G12260" i="53" s="1"/>
  <c r="B12261" i="53"/>
  <c r="F12261" i="53"/>
  <c r="G12261" i="53" s="1"/>
  <c r="B12266" i="53"/>
  <c r="D12266" i="53"/>
  <c r="E12266" i="53"/>
  <c r="F12266" i="53"/>
  <c r="B12267" i="53"/>
  <c r="D12267" i="53"/>
  <c r="E12267" i="53"/>
  <c r="F12267" i="53"/>
  <c r="B12268" i="53"/>
  <c r="D12268" i="53"/>
  <c r="E12268" i="53"/>
  <c r="F12268" i="53"/>
  <c r="B12269" i="53"/>
  <c r="D12269" i="53"/>
  <c r="E12269" i="53"/>
  <c r="F12269" i="53"/>
  <c r="B12270" i="53"/>
  <c r="D12270" i="53"/>
  <c r="E12270" i="53"/>
  <c r="F12270" i="53"/>
  <c r="B12271" i="53"/>
  <c r="D12271" i="53"/>
  <c r="E12271" i="53"/>
  <c r="F12271" i="53"/>
  <c r="B12272" i="53"/>
  <c r="D12272" i="53"/>
  <c r="E12272" i="53"/>
  <c r="F12272" i="53"/>
  <c r="B12273" i="53"/>
  <c r="D12273" i="53"/>
  <c r="E12273" i="53"/>
  <c r="F12273" i="53"/>
  <c r="B12274" i="53"/>
  <c r="D12274" i="53"/>
  <c r="E12274" i="53"/>
  <c r="F12274" i="53"/>
  <c r="B12275" i="53"/>
  <c r="D12275" i="53"/>
  <c r="E12275" i="53"/>
  <c r="F12275" i="53"/>
  <c r="B12276" i="53"/>
  <c r="D12276" i="53"/>
  <c r="E12276" i="53"/>
  <c r="F12276" i="53"/>
  <c r="B12277" i="53"/>
  <c r="D12277" i="53"/>
  <c r="E12277" i="53"/>
  <c r="F12277" i="53"/>
  <c r="B12278" i="53"/>
  <c r="D12278" i="53"/>
  <c r="E12278" i="53"/>
  <c r="F12278" i="53"/>
  <c r="B12283" i="53"/>
  <c r="D12283" i="53"/>
  <c r="F12283" i="53"/>
  <c r="G12283" i="53" s="1"/>
  <c r="B12284" i="53"/>
  <c r="D12284" i="53"/>
  <c r="F12284" i="53"/>
  <c r="G12284" i="53" s="1"/>
  <c r="B12285" i="53"/>
  <c r="D12285" i="53"/>
  <c r="F12285" i="53"/>
  <c r="G12285" i="53" s="1"/>
  <c r="B12286" i="53"/>
  <c r="D12286" i="53"/>
  <c r="F12286" i="53"/>
  <c r="G12286" i="53" s="1"/>
  <c r="B12287" i="53"/>
  <c r="D12287" i="53"/>
  <c r="F12287" i="53"/>
  <c r="G12287" i="53" s="1"/>
  <c r="E12303" i="53"/>
  <c r="A12306" i="53"/>
  <c r="A12307" i="53"/>
  <c r="A12310" i="53"/>
  <c r="A12311" i="53"/>
  <c r="A12312" i="53"/>
  <c r="B12317" i="53"/>
  <c r="D12317" i="53"/>
  <c r="E12317" i="53"/>
  <c r="F12317" i="53"/>
  <c r="B12318" i="53"/>
  <c r="D12318" i="53"/>
  <c r="E12318" i="53"/>
  <c r="F12318" i="53"/>
  <c r="B12319" i="53"/>
  <c r="D12319" i="53"/>
  <c r="E12319" i="53"/>
  <c r="F12319" i="53"/>
  <c r="B12320" i="53"/>
  <c r="D12320" i="53"/>
  <c r="E12320" i="53"/>
  <c r="F12320" i="53"/>
  <c r="B12321" i="53"/>
  <c r="D12321" i="53"/>
  <c r="E12321" i="53"/>
  <c r="F12321" i="53"/>
  <c r="B12322" i="53"/>
  <c r="D12322" i="53"/>
  <c r="E12322" i="53"/>
  <c r="F12322" i="53"/>
  <c r="B12327" i="53"/>
  <c r="F12327" i="53"/>
  <c r="B12328" i="53"/>
  <c r="F12328" i="53"/>
  <c r="B12329" i="53"/>
  <c r="F12329" i="53"/>
  <c r="B12330" i="53"/>
  <c r="F12330" i="53"/>
  <c r="B12331" i="53"/>
  <c r="F12331" i="53"/>
  <c r="B12332" i="53"/>
  <c r="F12332" i="53"/>
  <c r="B12337" i="53"/>
  <c r="D12337" i="53"/>
  <c r="E12337" i="53"/>
  <c r="F12337" i="53"/>
  <c r="B12338" i="53"/>
  <c r="D12338" i="53"/>
  <c r="E12338" i="53"/>
  <c r="F12338" i="53"/>
  <c r="B12339" i="53"/>
  <c r="D12339" i="53"/>
  <c r="E12339" i="53"/>
  <c r="F12339" i="53"/>
  <c r="B12340" i="53"/>
  <c r="D12340" i="53"/>
  <c r="E12340" i="53"/>
  <c r="F12340" i="53"/>
  <c r="B12341" i="53"/>
  <c r="D12341" i="53"/>
  <c r="E12341" i="53"/>
  <c r="F12341" i="53"/>
  <c r="B12342" i="53"/>
  <c r="D12342" i="53"/>
  <c r="E12342" i="53"/>
  <c r="F12342" i="53"/>
  <c r="B12343" i="53"/>
  <c r="D12343" i="53"/>
  <c r="E12343" i="53"/>
  <c r="F12343" i="53"/>
  <c r="B12344" i="53"/>
  <c r="D12344" i="53"/>
  <c r="E12344" i="53"/>
  <c r="F12344" i="53"/>
  <c r="B12345" i="53"/>
  <c r="D12345" i="53"/>
  <c r="E12345" i="53"/>
  <c r="F12345" i="53"/>
  <c r="B12346" i="53"/>
  <c r="D12346" i="53"/>
  <c r="E12346" i="53"/>
  <c r="F12346" i="53"/>
  <c r="B12347" i="53"/>
  <c r="D12347" i="53"/>
  <c r="E12347" i="53"/>
  <c r="F12347" i="53"/>
  <c r="B12348" i="53"/>
  <c r="D12348" i="53"/>
  <c r="E12348" i="53"/>
  <c r="F12348" i="53"/>
  <c r="B12349" i="53"/>
  <c r="D12349" i="53"/>
  <c r="E12349" i="53"/>
  <c r="F12349" i="53"/>
  <c r="B12354" i="53"/>
  <c r="D12354" i="53"/>
  <c r="F12354" i="53"/>
  <c r="B12355" i="53"/>
  <c r="D12355" i="53"/>
  <c r="F12355" i="53"/>
  <c r="B12356" i="53"/>
  <c r="D12356" i="53"/>
  <c r="F12356" i="53"/>
  <c r="B12357" i="53"/>
  <c r="D12357" i="53"/>
  <c r="F12357" i="53"/>
  <c r="A12376" i="53"/>
  <c r="A12377" i="53"/>
  <c r="G12378" i="53"/>
  <c r="G12379" i="53"/>
  <c r="B12384" i="53"/>
  <c r="D12384" i="53"/>
  <c r="E12384" i="53"/>
  <c r="F12384" i="53"/>
  <c r="B12385" i="53"/>
  <c r="D12385" i="53"/>
  <c r="E12385" i="53"/>
  <c r="F12385" i="53"/>
  <c r="B12386" i="53"/>
  <c r="D12386" i="53"/>
  <c r="E12386" i="53"/>
  <c r="F12386" i="53"/>
  <c r="B12387" i="53"/>
  <c r="D12387" i="53"/>
  <c r="E12387" i="53"/>
  <c r="F12387" i="53"/>
  <c r="B12388" i="53"/>
  <c r="D12388" i="53"/>
  <c r="E12388" i="53"/>
  <c r="F12388" i="53"/>
  <c r="B12389" i="53"/>
  <c r="D12389" i="53"/>
  <c r="E12389" i="53"/>
  <c r="F12389" i="53"/>
  <c r="B12394" i="53"/>
  <c r="F12394" i="53"/>
  <c r="G12394" i="53" s="1"/>
  <c r="B12395" i="53"/>
  <c r="F12395" i="53"/>
  <c r="G12395" i="53" s="1"/>
  <c r="B12396" i="53"/>
  <c r="F12396" i="53"/>
  <c r="G12396" i="53" s="1"/>
  <c r="B12397" i="53"/>
  <c r="F12397" i="53"/>
  <c r="G12397" i="53" s="1"/>
  <c r="B12398" i="53"/>
  <c r="F12398" i="53"/>
  <c r="G12398" i="53" s="1"/>
  <c r="B12399" i="53"/>
  <c r="F12399" i="53"/>
  <c r="G12399" i="53" s="1"/>
  <c r="B12404" i="53"/>
  <c r="D12404" i="53"/>
  <c r="E12404" i="53"/>
  <c r="F12404" i="53"/>
  <c r="B12405" i="53"/>
  <c r="D12405" i="53"/>
  <c r="E12405" i="53"/>
  <c r="F12405" i="53"/>
  <c r="B12406" i="53"/>
  <c r="D12406" i="53"/>
  <c r="E12406" i="53"/>
  <c r="F12406" i="53"/>
  <c r="B12407" i="53"/>
  <c r="D12407" i="53"/>
  <c r="E12407" i="53"/>
  <c r="F12407" i="53"/>
  <c r="B12408" i="53"/>
  <c r="D12408" i="53"/>
  <c r="E12408" i="53"/>
  <c r="F12408" i="53"/>
  <c r="B12409" i="53"/>
  <c r="D12409" i="53"/>
  <c r="E12409" i="53"/>
  <c r="F12409" i="53"/>
  <c r="B12410" i="53"/>
  <c r="D12410" i="53"/>
  <c r="E12410" i="53"/>
  <c r="F12410" i="53"/>
  <c r="B12411" i="53"/>
  <c r="D12411" i="53"/>
  <c r="E12411" i="53"/>
  <c r="F12411" i="53"/>
  <c r="B12412" i="53"/>
  <c r="D12412" i="53"/>
  <c r="E12412" i="53"/>
  <c r="F12412" i="53"/>
  <c r="B12413" i="53"/>
  <c r="D12413" i="53"/>
  <c r="E12413" i="53"/>
  <c r="F12413" i="53"/>
  <c r="B12414" i="53"/>
  <c r="D12414" i="53"/>
  <c r="E12414" i="53"/>
  <c r="F12414" i="53"/>
  <c r="B12415" i="53"/>
  <c r="D12415" i="53"/>
  <c r="E12415" i="53"/>
  <c r="F12415" i="53"/>
  <c r="B12416" i="53"/>
  <c r="D12416" i="53"/>
  <c r="E12416" i="53"/>
  <c r="F12416" i="53"/>
  <c r="B12421" i="53"/>
  <c r="D12421" i="53"/>
  <c r="F12421" i="53"/>
  <c r="G12421" i="53" s="1"/>
  <c r="B12422" i="53"/>
  <c r="D12422" i="53"/>
  <c r="F12422" i="53"/>
  <c r="G12422" i="53" s="1"/>
  <c r="B12423" i="53"/>
  <c r="D12423" i="53"/>
  <c r="F12423" i="53"/>
  <c r="G12423" i="53" s="1"/>
  <c r="B12424" i="53"/>
  <c r="D12424" i="53"/>
  <c r="F12424" i="53"/>
  <c r="G12424" i="53" s="1"/>
  <c r="B12425" i="53"/>
  <c r="D12425" i="53"/>
  <c r="F12425" i="53"/>
  <c r="G12425" i="53" s="1"/>
  <c r="A10917" i="53"/>
  <c r="G10918" i="53"/>
  <c r="B10923" i="53"/>
  <c r="D10923" i="53"/>
  <c r="E10923" i="53"/>
  <c r="F10923" i="53"/>
  <c r="B10924" i="53"/>
  <c r="D10924" i="53"/>
  <c r="E10924" i="53"/>
  <c r="F10924" i="53"/>
  <c r="B10925" i="53"/>
  <c r="D10925" i="53"/>
  <c r="E10925" i="53"/>
  <c r="F10925" i="53"/>
  <c r="B10926" i="53"/>
  <c r="D10926" i="53"/>
  <c r="E10926" i="53"/>
  <c r="F10926" i="53"/>
  <c r="B10927" i="53"/>
  <c r="D10927" i="53"/>
  <c r="E10927" i="53"/>
  <c r="F10927" i="53"/>
  <c r="B10928" i="53"/>
  <c r="D10928" i="53"/>
  <c r="E10928" i="53"/>
  <c r="F10928" i="53"/>
  <c r="B10929" i="53"/>
  <c r="D10929" i="53"/>
  <c r="E10929" i="53"/>
  <c r="F10929" i="53"/>
  <c r="B10930" i="53"/>
  <c r="D10930" i="53"/>
  <c r="E10930" i="53"/>
  <c r="F10930" i="53"/>
  <c r="B10935" i="53"/>
  <c r="F10935" i="53"/>
  <c r="G10935" i="53" s="1"/>
  <c r="B10936" i="53"/>
  <c r="F10936" i="53"/>
  <c r="G10936" i="53" s="1"/>
  <c r="B10937" i="53"/>
  <c r="F10937" i="53"/>
  <c r="G10937" i="53" s="1"/>
  <c r="B10938" i="53"/>
  <c r="F10938" i="53"/>
  <c r="G10938" i="53" s="1"/>
  <c r="B10939" i="53"/>
  <c r="F10939" i="53"/>
  <c r="G10939" i="53" s="1"/>
  <c r="B10940" i="53"/>
  <c r="F10940" i="53"/>
  <c r="G10940" i="53" s="1"/>
  <c r="B10945" i="53"/>
  <c r="D10945" i="53"/>
  <c r="E10945" i="53"/>
  <c r="F10945" i="53"/>
  <c r="B10946" i="53"/>
  <c r="D10946" i="53"/>
  <c r="E10946" i="53"/>
  <c r="F10946" i="53"/>
  <c r="B10947" i="53"/>
  <c r="D10947" i="53"/>
  <c r="E10947" i="53"/>
  <c r="F10947" i="53"/>
  <c r="B10948" i="53"/>
  <c r="D10948" i="53"/>
  <c r="E10948" i="53"/>
  <c r="F10948" i="53"/>
  <c r="B10949" i="53"/>
  <c r="D10949" i="53"/>
  <c r="E10949" i="53"/>
  <c r="F10949" i="53"/>
  <c r="B10950" i="53"/>
  <c r="D10950" i="53"/>
  <c r="E10950" i="53"/>
  <c r="F10950" i="53"/>
  <c r="B10951" i="53"/>
  <c r="D10951" i="53"/>
  <c r="E10951" i="53"/>
  <c r="F10951" i="53"/>
  <c r="B10952" i="53"/>
  <c r="D10952" i="53"/>
  <c r="E10952" i="53"/>
  <c r="F10952" i="53"/>
  <c r="B10953" i="53"/>
  <c r="D10953" i="53"/>
  <c r="E10953" i="53"/>
  <c r="F10953" i="53"/>
  <c r="B10954" i="53"/>
  <c r="D10954" i="53"/>
  <c r="E10954" i="53"/>
  <c r="F10954" i="53"/>
  <c r="B10955" i="53"/>
  <c r="D10955" i="53"/>
  <c r="E10955" i="53"/>
  <c r="F10955" i="53"/>
  <c r="B10956" i="53"/>
  <c r="D10956" i="53"/>
  <c r="E10956" i="53"/>
  <c r="F10956" i="53"/>
  <c r="B10957" i="53"/>
  <c r="D10957" i="53"/>
  <c r="E10957" i="53"/>
  <c r="F10957" i="53"/>
  <c r="B10962" i="53"/>
  <c r="D10962" i="53"/>
  <c r="F10962" i="53"/>
  <c r="G10962" i="53" s="1"/>
  <c r="B10963" i="53"/>
  <c r="D10963" i="53"/>
  <c r="F10963" i="53"/>
  <c r="G10963" i="53" s="1"/>
  <c r="B10964" i="53"/>
  <c r="D10964" i="53"/>
  <c r="F10964" i="53"/>
  <c r="G10964" i="53" s="1"/>
  <c r="A10983" i="53"/>
  <c r="G10984" i="53"/>
  <c r="B10989" i="53"/>
  <c r="D10989" i="53"/>
  <c r="E10989" i="53"/>
  <c r="F10989" i="53"/>
  <c r="B10990" i="53"/>
  <c r="D10990" i="53"/>
  <c r="E10990" i="53"/>
  <c r="F10990" i="53"/>
  <c r="B10991" i="53"/>
  <c r="D10991" i="53"/>
  <c r="E10991" i="53"/>
  <c r="F10991" i="53"/>
  <c r="B10992" i="53"/>
  <c r="D10992" i="53"/>
  <c r="E10992" i="53"/>
  <c r="F10992" i="53"/>
  <c r="B10993" i="53"/>
  <c r="D10993" i="53"/>
  <c r="E10993" i="53"/>
  <c r="F10993" i="53"/>
  <c r="B10994" i="53"/>
  <c r="D10994" i="53"/>
  <c r="E10994" i="53"/>
  <c r="F10994" i="53"/>
  <c r="B10999" i="53"/>
  <c r="F10999" i="53"/>
  <c r="G10999" i="53" s="1"/>
  <c r="B11000" i="53"/>
  <c r="F11000" i="53"/>
  <c r="G11000" i="53" s="1"/>
  <c r="B11001" i="53"/>
  <c r="F11001" i="53"/>
  <c r="G11001" i="53" s="1"/>
  <c r="B11002" i="53"/>
  <c r="F11002" i="53"/>
  <c r="G11002" i="53" s="1"/>
  <c r="B11003" i="53"/>
  <c r="F11003" i="53"/>
  <c r="G11003" i="53" s="1"/>
  <c r="B11004" i="53"/>
  <c r="F11004" i="53"/>
  <c r="G11004" i="53" s="1"/>
  <c r="B11005" i="53"/>
  <c r="F11005" i="53"/>
  <c r="G11005" i="53" s="1"/>
  <c r="B11010" i="53"/>
  <c r="D11010" i="53"/>
  <c r="E11010" i="53"/>
  <c r="F11010" i="53"/>
  <c r="B11011" i="53"/>
  <c r="D11011" i="53"/>
  <c r="E11011" i="53"/>
  <c r="F11011" i="53"/>
  <c r="B11012" i="53"/>
  <c r="D11012" i="53"/>
  <c r="E11012" i="53"/>
  <c r="F11012" i="53"/>
  <c r="B11013" i="53"/>
  <c r="D11013" i="53"/>
  <c r="E11013" i="53"/>
  <c r="F11013" i="53"/>
  <c r="B11014" i="53"/>
  <c r="D11014" i="53"/>
  <c r="E11014" i="53"/>
  <c r="F11014" i="53"/>
  <c r="B11015" i="53"/>
  <c r="D11015" i="53"/>
  <c r="E11015" i="53"/>
  <c r="F11015" i="53"/>
  <c r="B11016" i="53"/>
  <c r="D11016" i="53"/>
  <c r="E11016" i="53"/>
  <c r="F11016" i="53"/>
  <c r="B11017" i="53"/>
  <c r="D11017" i="53"/>
  <c r="E11017" i="53"/>
  <c r="F11017" i="53"/>
  <c r="B11018" i="53"/>
  <c r="D11018" i="53"/>
  <c r="E11018" i="53"/>
  <c r="F11018" i="53"/>
  <c r="B11019" i="53"/>
  <c r="D11019" i="53"/>
  <c r="E11019" i="53"/>
  <c r="F11019" i="53"/>
  <c r="B11020" i="53"/>
  <c r="D11020" i="53"/>
  <c r="E11020" i="53"/>
  <c r="F11020" i="53"/>
  <c r="B11021" i="53"/>
  <c r="D11021" i="53"/>
  <c r="E11021" i="53"/>
  <c r="F11021" i="53"/>
  <c r="B11022" i="53"/>
  <c r="D11022" i="53"/>
  <c r="E11022" i="53"/>
  <c r="F11022" i="53"/>
  <c r="B11027" i="53"/>
  <c r="D11027" i="53"/>
  <c r="F11027" i="53"/>
  <c r="G11027" i="53" s="1"/>
  <c r="B11028" i="53"/>
  <c r="D11028" i="53"/>
  <c r="F11028" i="53"/>
  <c r="G11028" i="53" s="1"/>
  <c r="B11029" i="53"/>
  <c r="D11029" i="53"/>
  <c r="F11029" i="53"/>
  <c r="G11029" i="53" s="1"/>
  <c r="A11115" i="53"/>
  <c r="G11116" i="53"/>
  <c r="B11121" i="53"/>
  <c r="D11121" i="53"/>
  <c r="E11121" i="53"/>
  <c r="F11121" i="53"/>
  <c r="B11122" i="53"/>
  <c r="D11122" i="53"/>
  <c r="E11122" i="53"/>
  <c r="F11122" i="53"/>
  <c r="B11123" i="53"/>
  <c r="D11123" i="53"/>
  <c r="E11123" i="53"/>
  <c r="F11123" i="53"/>
  <c r="B11124" i="53"/>
  <c r="D11124" i="53"/>
  <c r="E11124" i="53"/>
  <c r="F11124" i="53"/>
  <c r="B11125" i="53"/>
  <c r="D11125" i="53"/>
  <c r="E11125" i="53"/>
  <c r="F11125" i="53"/>
  <c r="B11126" i="53"/>
  <c r="D11126" i="53"/>
  <c r="E11126" i="53"/>
  <c r="F11126" i="53"/>
  <c r="B11131" i="53"/>
  <c r="F11131" i="53"/>
  <c r="G11131" i="53" s="1"/>
  <c r="B11132" i="53"/>
  <c r="F11132" i="53"/>
  <c r="G11132" i="53" s="1"/>
  <c r="B11133" i="53"/>
  <c r="F11133" i="53"/>
  <c r="G11133" i="53" s="1"/>
  <c r="B11134" i="53"/>
  <c r="F11134" i="53"/>
  <c r="G11134" i="53" s="1"/>
  <c r="B11135" i="53"/>
  <c r="F11135" i="53"/>
  <c r="G11135" i="53" s="1"/>
  <c r="B11136" i="53"/>
  <c r="F11136" i="53"/>
  <c r="G11136" i="53" s="1"/>
  <c r="B11137" i="53"/>
  <c r="F11137" i="53"/>
  <c r="G11137" i="53" s="1"/>
  <c r="B11142" i="53"/>
  <c r="D11142" i="53"/>
  <c r="E11142" i="53"/>
  <c r="F11142" i="53"/>
  <c r="B11143" i="53"/>
  <c r="D11143" i="53"/>
  <c r="E11143" i="53"/>
  <c r="F11143" i="53"/>
  <c r="B11144" i="53"/>
  <c r="D11144" i="53"/>
  <c r="E11144" i="53"/>
  <c r="F11144" i="53"/>
  <c r="B11145" i="53"/>
  <c r="D11145" i="53"/>
  <c r="E11145" i="53"/>
  <c r="F11145" i="53"/>
  <c r="B11146" i="53"/>
  <c r="D11146" i="53"/>
  <c r="E11146" i="53"/>
  <c r="F11146" i="53"/>
  <c r="B11147" i="53"/>
  <c r="D11147" i="53"/>
  <c r="E11147" i="53"/>
  <c r="F11147" i="53"/>
  <c r="B11148" i="53"/>
  <c r="D11148" i="53"/>
  <c r="E11148" i="53"/>
  <c r="F11148" i="53"/>
  <c r="B11149" i="53"/>
  <c r="D11149" i="53"/>
  <c r="E11149" i="53"/>
  <c r="F11149" i="53"/>
  <c r="B11150" i="53"/>
  <c r="D11150" i="53"/>
  <c r="E11150" i="53"/>
  <c r="F11150" i="53"/>
  <c r="B11151" i="53"/>
  <c r="D11151" i="53"/>
  <c r="E11151" i="53"/>
  <c r="F11151" i="53"/>
  <c r="B11152" i="53"/>
  <c r="D11152" i="53"/>
  <c r="E11152" i="53"/>
  <c r="F11152" i="53"/>
  <c r="B11153" i="53"/>
  <c r="D11153" i="53"/>
  <c r="E11153" i="53"/>
  <c r="F11153" i="53"/>
  <c r="B11154" i="53"/>
  <c r="D11154" i="53"/>
  <c r="E11154" i="53"/>
  <c r="F11154" i="53"/>
  <c r="B11159" i="53"/>
  <c r="D11159" i="53"/>
  <c r="F11159" i="53"/>
  <c r="G11159" i="53" s="1"/>
  <c r="B11160" i="53"/>
  <c r="D11160" i="53"/>
  <c r="F11160" i="53"/>
  <c r="G11160" i="53" s="1"/>
  <c r="B11161" i="53"/>
  <c r="D11161" i="53"/>
  <c r="F11161" i="53"/>
  <c r="G11161" i="53" s="1"/>
  <c r="B11162" i="53"/>
  <c r="D11162" i="53"/>
  <c r="F11162" i="53"/>
  <c r="G11162" i="53" s="1"/>
  <c r="B11163" i="53"/>
  <c r="D11163" i="53"/>
  <c r="F11163" i="53"/>
  <c r="G11163" i="53" s="1"/>
  <c r="A11182" i="53"/>
  <c r="G11183" i="53"/>
  <c r="B11188" i="53"/>
  <c r="D11188" i="53"/>
  <c r="E11188" i="53"/>
  <c r="F11188" i="53"/>
  <c r="B11189" i="53"/>
  <c r="D11189" i="53"/>
  <c r="E11189" i="53"/>
  <c r="F11189" i="53"/>
  <c r="B11190" i="53"/>
  <c r="D11190" i="53"/>
  <c r="E11190" i="53"/>
  <c r="F11190" i="53"/>
  <c r="B11191" i="53"/>
  <c r="D11191" i="53"/>
  <c r="E11191" i="53"/>
  <c r="F11191" i="53"/>
  <c r="B11192" i="53"/>
  <c r="D11192" i="53"/>
  <c r="E11192" i="53"/>
  <c r="F11192" i="53"/>
  <c r="B11193" i="53"/>
  <c r="D11193" i="53"/>
  <c r="E11193" i="53"/>
  <c r="F11193" i="53"/>
  <c r="B11198" i="53"/>
  <c r="F11198" i="53"/>
  <c r="G11198" i="53" s="1"/>
  <c r="B11199" i="53"/>
  <c r="F11199" i="53"/>
  <c r="G11199" i="53" s="1"/>
  <c r="B11200" i="53"/>
  <c r="F11200" i="53"/>
  <c r="G11200" i="53" s="1"/>
  <c r="B11201" i="53"/>
  <c r="F11201" i="53"/>
  <c r="G11201" i="53" s="1"/>
  <c r="B11202" i="53"/>
  <c r="F11202" i="53"/>
  <c r="G11202" i="53" s="1"/>
  <c r="B11203" i="53"/>
  <c r="F11203" i="53"/>
  <c r="G11203" i="53" s="1"/>
  <c r="B11204" i="53"/>
  <c r="F11204" i="53"/>
  <c r="G11204" i="53" s="1"/>
  <c r="B11209" i="53"/>
  <c r="D11209" i="53"/>
  <c r="E11209" i="53"/>
  <c r="F11209" i="53"/>
  <c r="B11210" i="53"/>
  <c r="D11210" i="53"/>
  <c r="E11210" i="53"/>
  <c r="F11210" i="53"/>
  <c r="B11211" i="53"/>
  <c r="D11211" i="53"/>
  <c r="E11211" i="53"/>
  <c r="F11211" i="53"/>
  <c r="B11212" i="53"/>
  <c r="D11212" i="53"/>
  <c r="E11212" i="53"/>
  <c r="F11212" i="53"/>
  <c r="B11213" i="53"/>
  <c r="D11213" i="53"/>
  <c r="E11213" i="53"/>
  <c r="F11213" i="53"/>
  <c r="B11214" i="53"/>
  <c r="D11214" i="53"/>
  <c r="E11214" i="53"/>
  <c r="F11214" i="53"/>
  <c r="B11215" i="53"/>
  <c r="D11215" i="53"/>
  <c r="E11215" i="53"/>
  <c r="F11215" i="53"/>
  <c r="B11216" i="53"/>
  <c r="D11216" i="53"/>
  <c r="E11216" i="53"/>
  <c r="F11216" i="53"/>
  <c r="B11217" i="53"/>
  <c r="D11217" i="53"/>
  <c r="E11217" i="53"/>
  <c r="F11217" i="53"/>
  <c r="B11218" i="53"/>
  <c r="D11218" i="53"/>
  <c r="E11218" i="53"/>
  <c r="F11218" i="53"/>
  <c r="B11219" i="53"/>
  <c r="D11219" i="53"/>
  <c r="E11219" i="53"/>
  <c r="F11219" i="53"/>
  <c r="B11220" i="53"/>
  <c r="D11220" i="53"/>
  <c r="E11220" i="53"/>
  <c r="F11220" i="53"/>
  <c r="B11221" i="53"/>
  <c r="D11221" i="53"/>
  <c r="E11221" i="53"/>
  <c r="F11221" i="53"/>
  <c r="B11226" i="53"/>
  <c r="D11226" i="53"/>
  <c r="F11226" i="53"/>
  <c r="G11226" i="53" s="1"/>
  <c r="B11227" i="53"/>
  <c r="D11227" i="53"/>
  <c r="F11227" i="53"/>
  <c r="G11227" i="53" s="1"/>
  <c r="B11228" i="53"/>
  <c r="D11228" i="53"/>
  <c r="F11228" i="53"/>
  <c r="G11228" i="53" s="1"/>
  <c r="B11229" i="53"/>
  <c r="D11229" i="53"/>
  <c r="F11229" i="53"/>
  <c r="G11229" i="53" s="1"/>
  <c r="B11230" i="53"/>
  <c r="D11230" i="53"/>
  <c r="F11230" i="53"/>
  <c r="G11230" i="53" s="1"/>
  <c r="A11249" i="53"/>
  <c r="G11250" i="53"/>
  <c r="B11255" i="53"/>
  <c r="D11255" i="53"/>
  <c r="E11255" i="53"/>
  <c r="F11255" i="53"/>
  <c r="B11256" i="53"/>
  <c r="D11256" i="53"/>
  <c r="E11256" i="53"/>
  <c r="F11256" i="53"/>
  <c r="B11257" i="53"/>
  <c r="D11257" i="53"/>
  <c r="E11257" i="53"/>
  <c r="F11257" i="53"/>
  <c r="B11258" i="53"/>
  <c r="D11258" i="53"/>
  <c r="E11258" i="53"/>
  <c r="F11258" i="53"/>
  <c r="B11259" i="53"/>
  <c r="D11259" i="53"/>
  <c r="E11259" i="53"/>
  <c r="F11259" i="53"/>
  <c r="B11260" i="53"/>
  <c r="D11260" i="53"/>
  <c r="E11260" i="53"/>
  <c r="F11260" i="53"/>
  <c r="B11265" i="53"/>
  <c r="F11265" i="53"/>
  <c r="G11265" i="53" s="1"/>
  <c r="B11266" i="53"/>
  <c r="F11266" i="53"/>
  <c r="G11266" i="53" s="1"/>
  <c r="B11267" i="53"/>
  <c r="F11267" i="53"/>
  <c r="G11267" i="53" s="1"/>
  <c r="B11268" i="53"/>
  <c r="F11268" i="53"/>
  <c r="G11268" i="53" s="1"/>
  <c r="B11269" i="53"/>
  <c r="F11269" i="53"/>
  <c r="G11269" i="53" s="1"/>
  <c r="B11270" i="53"/>
  <c r="F11270" i="53"/>
  <c r="G11270" i="53" s="1"/>
  <c r="B11275" i="53"/>
  <c r="D11275" i="53"/>
  <c r="E11275" i="53"/>
  <c r="F11275" i="53"/>
  <c r="B11276" i="53"/>
  <c r="D11276" i="53"/>
  <c r="E11276" i="53"/>
  <c r="F11276" i="53"/>
  <c r="B11277" i="53"/>
  <c r="D11277" i="53"/>
  <c r="E11277" i="53"/>
  <c r="F11277" i="53"/>
  <c r="B11278" i="53"/>
  <c r="D11278" i="53"/>
  <c r="E11278" i="53"/>
  <c r="F11278" i="53"/>
  <c r="B11279" i="53"/>
  <c r="D11279" i="53"/>
  <c r="E11279" i="53"/>
  <c r="F11279" i="53"/>
  <c r="B11280" i="53"/>
  <c r="D11280" i="53"/>
  <c r="E11280" i="53"/>
  <c r="F11280" i="53"/>
  <c r="B11281" i="53"/>
  <c r="D11281" i="53"/>
  <c r="E11281" i="53"/>
  <c r="F11281" i="53"/>
  <c r="B11282" i="53"/>
  <c r="D11282" i="53"/>
  <c r="E11282" i="53"/>
  <c r="F11282" i="53"/>
  <c r="B11283" i="53"/>
  <c r="D11283" i="53"/>
  <c r="E11283" i="53"/>
  <c r="F11283" i="53"/>
  <c r="B11284" i="53"/>
  <c r="D11284" i="53"/>
  <c r="E11284" i="53"/>
  <c r="F11284" i="53"/>
  <c r="B11285" i="53"/>
  <c r="D11285" i="53"/>
  <c r="E11285" i="53"/>
  <c r="F11285" i="53"/>
  <c r="B11286" i="53"/>
  <c r="D11286" i="53"/>
  <c r="E11286" i="53"/>
  <c r="F11286" i="53"/>
  <c r="B11287" i="53"/>
  <c r="D11287" i="53"/>
  <c r="E11287" i="53"/>
  <c r="F11287" i="53"/>
  <c r="B11292" i="53"/>
  <c r="D11292" i="53"/>
  <c r="F11292" i="53"/>
  <c r="G11292" i="53" s="1"/>
  <c r="B11293" i="53"/>
  <c r="D11293" i="53"/>
  <c r="F11293" i="53"/>
  <c r="G11293" i="53" s="1"/>
  <c r="B11294" i="53"/>
  <c r="D11294" i="53"/>
  <c r="F11294" i="53"/>
  <c r="G11294" i="53" s="1"/>
  <c r="B11295" i="53"/>
  <c r="D11295" i="53"/>
  <c r="F11295" i="53"/>
  <c r="G11295" i="53" s="1"/>
  <c r="B11296" i="53"/>
  <c r="D11296" i="53"/>
  <c r="F11296" i="53"/>
  <c r="G11296" i="53" s="1"/>
  <c r="A11315" i="53"/>
  <c r="G11316" i="53"/>
  <c r="B11321" i="53"/>
  <c r="D11321" i="53"/>
  <c r="E11321" i="53"/>
  <c r="F11321" i="53"/>
  <c r="B11322" i="53"/>
  <c r="D11322" i="53"/>
  <c r="E11322" i="53"/>
  <c r="F11322" i="53"/>
  <c r="B11323" i="53"/>
  <c r="D11323" i="53"/>
  <c r="E11323" i="53"/>
  <c r="F11323" i="53"/>
  <c r="B11324" i="53"/>
  <c r="D11324" i="53"/>
  <c r="E11324" i="53"/>
  <c r="F11324" i="53"/>
  <c r="B11325" i="53"/>
  <c r="D11325" i="53"/>
  <c r="E11325" i="53"/>
  <c r="F11325" i="53"/>
  <c r="B11326" i="53"/>
  <c r="D11326" i="53"/>
  <c r="E11326" i="53"/>
  <c r="F11326" i="53"/>
  <c r="B11331" i="53"/>
  <c r="F11331" i="53"/>
  <c r="G11331" i="53" s="1"/>
  <c r="B11332" i="53"/>
  <c r="F11332" i="53"/>
  <c r="G11332" i="53" s="1"/>
  <c r="B11333" i="53"/>
  <c r="F11333" i="53"/>
  <c r="G11333" i="53" s="1"/>
  <c r="B11334" i="53"/>
  <c r="F11334" i="53"/>
  <c r="G11334" i="53" s="1"/>
  <c r="B11335" i="53"/>
  <c r="F11335" i="53"/>
  <c r="G11335" i="53" s="1"/>
  <c r="B11336" i="53"/>
  <c r="F11336" i="53"/>
  <c r="G11336" i="53" s="1"/>
  <c r="B11341" i="53"/>
  <c r="D11341" i="53"/>
  <c r="E11341" i="53"/>
  <c r="F11341" i="53"/>
  <c r="B11342" i="53"/>
  <c r="D11342" i="53"/>
  <c r="E11342" i="53"/>
  <c r="F11342" i="53"/>
  <c r="B11343" i="53"/>
  <c r="D11343" i="53"/>
  <c r="E11343" i="53"/>
  <c r="F11343" i="53"/>
  <c r="B11344" i="53"/>
  <c r="D11344" i="53"/>
  <c r="E11344" i="53"/>
  <c r="F11344" i="53"/>
  <c r="B11345" i="53"/>
  <c r="D11345" i="53"/>
  <c r="E11345" i="53"/>
  <c r="F11345" i="53"/>
  <c r="B11346" i="53"/>
  <c r="D11346" i="53"/>
  <c r="E11346" i="53"/>
  <c r="F11346" i="53"/>
  <c r="B11347" i="53"/>
  <c r="D11347" i="53"/>
  <c r="E11347" i="53"/>
  <c r="F11347" i="53"/>
  <c r="B11348" i="53"/>
  <c r="D11348" i="53"/>
  <c r="E11348" i="53"/>
  <c r="F11348" i="53"/>
  <c r="B11349" i="53"/>
  <c r="D11349" i="53"/>
  <c r="E11349" i="53"/>
  <c r="F11349" i="53"/>
  <c r="B11350" i="53"/>
  <c r="D11350" i="53"/>
  <c r="E11350" i="53"/>
  <c r="F11350" i="53"/>
  <c r="B11351" i="53"/>
  <c r="D11351" i="53"/>
  <c r="E11351" i="53"/>
  <c r="F11351" i="53"/>
  <c r="B11352" i="53"/>
  <c r="D11352" i="53"/>
  <c r="E11352" i="53"/>
  <c r="F11352" i="53"/>
  <c r="B11353" i="53"/>
  <c r="D11353" i="53"/>
  <c r="E11353" i="53"/>
  <c r="F11353" i="53"/>
  <c r="B11358" i="53"/>
  <c r="D11358" i="53"/>
  <c r="F11358" i="53"/>
  <c r="G11358" i="53" s="1"/>
  <c r="B11359" i="53"/>
  <c r="D11359" i="53"/>
  <c r="F11359" i="53"/>
  <c r="G11359" i="53" s="1"/>
  <c r="B11360" i="53"/>
  <c r="D11360" i="53"/>
  <c r="F11360" i="53"/>
  <c r="G11360" i="53" s="1"/>
  <c r="B11361" i="53"/>
  <c r="D11361" i="53"/>
  <c r="F11361" i="53"/>
  <c r="G11361" i="53" s="1"/>
  <c r="B11362" i="53"/>
  <c r="D11362" i="53"/>
  <c r="F11362" i="53"/>
  <c r="G11362" i="53" s="1"/>
  <c r="B12308" i="53" l="1"/>
  <c r="D12308" i="53"/>
  <c r="B11249" i="53"/>
  <c r="D11249" i="53"/>
  <c r="D12377" i="53"/>
  <c r="B12377" i="53"/>
  <c r="D12307" i="53"/>
  <c r="B12307" i="53"/>
  <c r="D11315" i="53"/>
  <c r="B11315" i="53"/>
  <c r="D11182" i="53"/>
  <c r="B11182" i="53"/>
  <c r="B12376" i="53"/>
  <c r="D12376" i="53"/>
  <c r="D12306" i="53"/>
  <c r="B12306" i="53"/>
  <c r="D11115" i="53"/>
  <c r="B11115" i="53"/>
  <c r="B10917" i="53"/>
  <c r="D10917" i="53"/>
  <c r="B10983" i="53"/>
  <c r="D10983" i="53"/>
  <c r="D12312" i="53"/>
  <c r="B12312" i="53"/>
  <c r="D12238" i="53"/>
  <c r="B12238" i="53"/>
  <c r="D12311" i="53"/>
  <c r="B12311" i="53"/>
  <c r="D12170" i="53"/>
  <c r="B12170" i="53"/>
  <c r="D12310" i="53"/>
  <c r="B12310" i="53"/>
  <c r="D12103" i="53"/>
  <c r="B12103" i="53"/>
  <c r="D11902" i="53"/>
  <c r="B11902" i="53"/>
  <c r="D12309" i="53"/>
  <c r="B12309" i="53"/>
  <c r="G10956" i="53"/>
  <c r="G10954" i="53"/>
  <c r="G10948" i="53"/>
  <c r="G12139" i="53"/>
  <c r="G12109" i="53"/>
  <c r="G11351" i="53"/>
  <c r="G12138" i="53"/>
  <c r="G12387" i="53"/>
  <c r="G11343" i="53"/>
  <c r="G11217" i="53"/>
  <c r="G11189" i="53"/>
  <c r="G11012" i="53"/>
  <c r="G11010" i="53"/>
  <c r="G11907" i="53"/>
  <c r="G11153" i="53"/>
  <c r="G11149" i="53"/>
  <c r="G10946" i="53"/>
  <c r="G12273" i="53"/>
  <c r="G12271" i="53"/>
  <c r="G11220" i="53"/>
  <c r="G11218" i="53"/>
  <c r="G12209" i="53"/>
  <c r="G12201" i="53"/>
  <c r="G12182" i="53"/>
  <c r="G11928" i="53"/>
  <c r="G11282" i="53"/>
  <c r="G12426" i="53"/>
  <c r="G12136" i="53"/>
  <c r="G12134" i="53"/>
  <c r="G12130" i="53"/>
  <c r="G12202" i="53"/>
  <c r="G12198" i="53"/>
  <c r="G10994" i="53"/>
  <c r="G10990" i="53"/>
  <c r="G12276" i="53"/>
  <c r="G12274" i="53"/>
  <c r="G11147" i="53"/>
  <c r="G12246" i="53"/>
  <c r="G12384" i="53"/>
  <c r="G11145" i="53"/>
  <c r="G12181" i="53"/>
  <c r="G11346" i="53"/>
  <c r="G11344" i="53"/>
  <c r="G11259" i="53"/>
  <c r="G11257" i="53"/>
  <c r="G11255" i="53"/>
  <c r="G10989" i="53"/>
  <c r="G12278" i="53"/>
  <c r="G12270" i="53"/>
  <c r="G11908" i="53"/>
  <c r="G12248" i="53"/>
  <c r="G12414" i="53"/>
  <c r="G12319" i="53"/>
  <c r="G11188" i="53"/>
  <c r="G12415" i="53"/>
  <c r="G12409" i="53"/>
  <c r="G12407" i="53"/>
  <c r="G12068" i="53"/>
  <c r="G11911" i="53"/>
  <c r="G11909" i="53"/>
  <c r="G12406" i="53"/>
  <c r="G12277" i="53"/>
  <c r="G12210" i="53"/>
  <c r="G12206" i="53"/>
  <c r="G12337" i="53"/>
  <c r="G11350" i="53"/>
  <c r="G11348" i="53"/>
  <c r="G10927" i="53"/>
  <c r="G10923" i="53"/>
  <c r="G12137" i="53"/>
  <c r="G12131" i="53"/>
  <c r="G12114" i="53"/>
  <c r="G12110" i="53"/>
  <c r="G12073" i="53"/>
  <c r="G12071" i="53"/>
  <c r="G11940" i="53"/>
  <c r="G11936" i="53"/>
  <c r="G12203" i="53"/>
  <c r="G11325" i="53"/>
  <c r="G11150" i="53"/>
  <c r="G11146" i="53"/>
  <c r="G10993" i="53"/>
  <c r="G10955" i="53"/>
  <c r="G10953" i="53"/>
  <c r="G10951" i="53"/>
  <c r="G10949" i="53"/>
  <c r="G10947" i="53"/>
  <c r="G10945" i="53"/>
  <c r="G12356" i="53"/>
  <c r="G12268" i="53"/>
  <c r="G12266" i="53"/>
  <c r="G12074" i="53"/>
  <c r="G12072" i="53"/>
  <c r="G12043" i="53"/>
  <c r="G11937" i="53"/>
  <c r="G11935" i="53"/>
  <c r="G11929" i="53"/>
  <c r="G11910" i="53"/>
  <c r="G12066" i="53"/>
  <c r="G12047" i="53"/>
  <c r="G12245" i="53"/>
  <c r="G11349" i="53"/>
  <c r="G11211" i="53"/>
  <c r="G12389" i="53"/>
  <c r="G12349" i="53"/>
  <c r="G12345" i="53"/>
  <c r="G12140" i="53"/>
  <c r="G11281" i="53"/>
  <c r="G12341" i="53"/>
  <c r="G12250" i="53"/>
  <c r="G12180" i="53"/>
  <c r="G12178" i="53"/>
  <c r="G12113" i="53"/>
  <c r="G12111" i="53"/>
  <c r="G11930" i="53"/>
  <c r="G11324" i="53"/>
  <c r="G11260" i="53"/>
  <c r="G11258" i="53"/>
  <c r="G12413" i="53"/>
  <c r="G12355" i="53"/>
  <c r="G11121" i="53"/>
  <c r="G12405" i="53"/>
  <c r="G12330" i="53"/>
  <c r="G11216" i="53"/>
  <c r="G11212" i="53"/>
  <c r="G10930" i="53"/>
  <c r="G10928" i="53"/>
  <c r="G12388" i="53"/>
  <c r="G12357" i="53"/>
  <c r="G12320" i="53"/>
  <c r="G12141" i="53"/>
  <c r="G11321" i="53"/>
  <c r="G11017" i="53"/>
  <c r="G12410" i="53"/>
  <c r="G12354" i="53"/>
  <c r="G12342" i="53"/>
  <c r="G12329" i="53"/>
  <c r="G12249" i="53"/>
  <c r="G12179" i="53"/>
  <c r="G12177" i="53"/>
  <c r="G12133" i="53"/>
  <c r="G12075" i="53"/>
  <c r="G12067" i="53"/>
  <c r="G12046" i="53"/>
  <c r="G11931" i="53"/>
  <c r="G12338" i="53"/>
  <c r="G12247" i="53"/>
  <c r="G12205" i="53"/>
  <c r="G12069" i="53"/>
  <c r="G12044" i="53"/>
  <c r="G12042" i="53"/>
  <c r="G11939" i="53"/>
  <c r="G11016" i="53"/>
  <c r="G11231" i="53"/>
  <c r="G11192" i="53"/>
  <c r="G12275" i="53"/>
  <c r="G12135" i="53"/>
  <c r="G12408" i="53"/>
  <c r="G12385" i="53"/>
  <c r="G11342" i="53"/>
  <c r="G11287" i="53"/>
  <c r="G11285" i="53"/>
  <c r="G11283" i="53"/>
  <c r="G11214" i="53"/>
  <c r="G11126" i="53"/>
  <c r="G11122" i="53"/>
  <c r="G11021" i="53"/>
  <c r="G11019" i="53"/>
  <c r="G12411" i="53"/>
  <c r="G12404" i="53"/>
  <c r="G12208" i="53"/>
  <c r="G12199" i="53"/>
  <c r="G12142" i="53"/>
  <c r="G12065" i="53"/>
  <c r="G12063" i="53"/>
  <c r="G11933" i="53"/>
  <c r="G11278" i="53"/>
  <c r="G11363" i="53"/>
  <c r="G11347" i="53"/>
  <c r="G11277" i="53"/>
  <c r="G11275" i="53"/>
  <c r="G11154" i="53"/>
  <c r="G11030" i="53"/>
  <c r="G11013" i="53"/>
  <c r="G11011" i="53"/>
  <c r="G10926" i="53"/>
  <c r="G12321" i="53"/>
  <c r="G12343" i="53"/>
  <c r="G12317" i="53"/>
  <c r="G12204" i="53"/>
  <c r="G12194" i="53"/>
  <c r="G12070" i="53"/>
  <c r="G12045" i="53"/>
  <c r="G11938" i="53"/>
  <c r="G11271" i="53"/>
  <c r="G12269" i="53"/>
  <c r="G12267" i="53"/>
  <c r="G12400" i="53"/>
  <c r="G10952" i="53"/>
  <c r="G12416" i="53"/>
  <c r="G12386" i="53"/>
  <c r="G11352" i="53"/>
  <c r="G11341" i="53"/>
  <c r="G11326" i="53"/>
  <c r="G11286" i="53"/>
  <c r="G11256" i="53"/>
  <c r="G11213" i="53"/>
  <c r="G11209" i="53"/>
  <c r="G11144" i="53"/>
  <c r="G11125" i="53"/>
  <c r="G11022" i="53"/>
  <c r="G11020" i="53"/>
  <c r="G11018" i="53"/>
  <c r="G12346" i="53"/>
  <c r="G12207" i="53"/>
  <c r="G12200" i="53"/>
  <c r="G12132" i="53"/>
  <c r="G12112" i="53"/>
  <c r="G12064" i="53"/>
  <c r="G11934" i="53"/>
  <c r="G11932" i="53"/>
  <c r="G11912" i="53"/>
  <c r="G12339" i="53"/>
  <c r="G12272" i="53"/>
  <c r="G12126" i="53"/>
  <c r="G11205" i="53"/>
  <c r="G12318" i="53"/>
  <c r="G12327" i="53"/>
  <c r="G12344" i="53"/>
  <c r="G12328" i="53"/>
  <c r="G12322" i="53"/>
  <c r="G12331" i="53"/>
  <c r="G12340" i="53"/>
  <c r="G12348" i="53"/>
  <c r="G12288" i="53"/>
  <c r="G11353" i="53"/>
  <c r="G11323" i="53"/>
  <c r="G12262" i="53"/>
  <c r="G12152" i="53"/>
  <c r="G12059" i="53"/>
  <c r="G11924" i="53"/>
  <c r="G11297" i="53"/>
  <c r="G12332" i="53"/>
  <c r="G12085" i="53"/>
  <c r="G11950" i="53"/>
  <c r="G12412" i="53"/>
  <c r="G12347" i="53"/>
  <c r="G12220" i="53"/>
  <c r="G11280" i="53"/>
  <c r="G11215" i="53"/>
  <c r="G11193" i="53"/>
  <c r="G11143" i="53"/>
  <c r="G11138" i="53"/>
  <c r="G11123" i="53"/>
  <c r="G11015" i="53"/>
  <c r="G10991" i="53"/>
  <c r="G10957" i="53"/>
  <c r="G10924" i="53"/>
  <c r="G11276" i="53"/>
  <c r="G11191" i="53"/>
  <c r="G11279" i="53"/>
  <c r="G11152" i="53"/>
  <c r="G10929" i="53"/>
  <c r="G11221" i="53"/>
  <c r="G11210" i="53"/>
  <c r="G11148" i="53"/>
  <c r="G11142" i="53"/>
  <c r="G11124" i="53"/>
  <c r="G11014" i="53"/>
  <c r="G10992" i="53"/>
  <c r="G10925" i="53"/>
  <c r="G11345" i="53"/>
  <c r="G11322" i="53"/>
  <c r="G11284" i="53"/>
  <c r="G11219" i="53"/>
  <c r="G11190" i="53"/>
  <c r="G11151" i="53"/>
  <c r="G10950" i="53"/>
  <c r="G11337" i="53"/>
  <c r="G11164" i="53"/>
  <c r="G10965" i="53"/>
  <c r="G11006" i="53"/>
  <c r="G10941" i="53"/>
  <c r="A11312" i="53"/>
  <c r="A11246" i="53"/>
  <c r="A11179" i="53"/>
  <c r="A11112" i="53"/>
  <c r="A10980" i="53"/>
  <c r="A10914" i="53"/>
  <c r="A10848" i="53"/>
  <c r="A10777" i="53"/>
  <c r="A10704" i="53"/>
  <c r="A10566" i="53"/>
  <c r="A10426" i="53"/>
  <c r="A10357" i="53"/>
  <c r="A10287" i="53"/>
  <c r="E10287" i="53"/>
  <c r="A10290" i="53"/>
  <c r="A10291" i="53"/>
  <c r="E10291" i="53"/>
  <c r="A10292" i="53"/>
  <c r="E10292" i="53"/>
  <c r="A10293" i="53"/>
  <c r="E10293" i="53"/>
  <c r="A10294" i="53"/>
  <c r="E10294" i="53"/>
  <c r="B10300" i="53"/>
  <c r="D10300" i="53"/>
  <c r="E10300" i="53"/>
  <c r="F10300" i="53"/>
  <c r="B10301" i="53"/>
  <c r="D10301" i="53"/>
  <c r="E10301" i="53"/>
  <c r="F10301" i="53"/>
  <c r="B10302" i="53"/>
  <c r="D10302" i="53"/>
  <c r="E10302" i="53"/>
  <c r="F10302" i="53"/>
  <c r="B10303" i="53"/>
  <c r="D10303" i="53"/>
  <c r="E10303" i="53"/>
  <c r="F10303" i="53"/>
  <c r="B10304" i="53"/>
  <c r="D10304" i="53"/>
  <c r="E10304" i="53"/>
  <c r="F10304" i="53"/>
  <c r="B10305" i="53"/>
  <c r="D10305" i="53"/>
  <c r="E10305" i="53"/>
  <c r="F10305" i="53"/>
  <c r="B10310" i="53"/>
  <c r="F10310" i="53"/>
  <c r="B10311" i="53"/>
  <c r="F10311" i="53"/>
  <c r="B10312" i="53"/>
  <c r="F10312" i="53"/>
  <c r="B10313" i="53"/>
  <c r="F10313" i="53"/>
  <c r="B10314" i="53"/>
  <c r="F10314" i="53"/>
  <c r="B10315" i="53"/>
  <c r="F10315" i="53"/>
  <c r="B10320" i="53"/>
  <c r="D10320" i="53"/>
  <c r="E10320" i="53"/>
  <c r="F10320" i="53"/>
  <c r="B10321" i="53"/>
  <c r="D10321" i="53"/>
  <c r="E10321" i="53"/>
  <c r="F10321" i="53"/>
  <c r="B10322" i="53"/>
  <c r="D10322" i="53"/>
  <c r="E10322" i="53"/>
  <c r="F10322" i="53"/>
  <c r="B10323" i="53"/>
  <c r="D10323" i="53"/>
  <c r="E10323" i="53"/>
  <c r="F10323" i="53"/>
  <c r="B10324" i="53"/>
  <c r="D10324" i="53"/>
  <c r="E10324" i="53"/>
  <c r="F10324" i="53"/>
  <c r="B10325" i="53"/>
  <c r="D10325" i="53"/>
  <c r="E10325" i="53"/>
  <c r="F10325" i="53"/>
  <c r="B10326" i="53"/>
  <c r="D10326" i="53"/>
  <c r="E10326" i="53"/>
  <c r="F10326" i="53"/>
  <c r="B10327" i="53"/>
  <c r="D10327" i="53"/>
  <c r="E10327" i="53"/>
  <c r="F10327" i="53"/>
  <c r="B10328" i="53"/>
  <c r="D10328" i="53"/>
  <c r="E10328" i="53"/>
  <c r="F10328" i="53"/>
  <c r="B10329" i="53"/>
  <c r="D10329" i="53"/>
  <c r="E10329" i="53"/>
  <c r="F10329" i="53"/>
  <c r="B10330" i="53"/>
  <c r="D10330" i="53"/>
  <c r="E10330" i="53"/>
  <c r="F10330" i="53"/>
  <c r="B10331" i="53"/>
  <c r="D10331" i="53"/>
  <c r="E10331" i="53"/>
  <c r="F10331" i="53"/>
  <c r="B10332" i="53"/>
  <c r="D10332" i="53"/>
  <c r="E10332" i="53"/>
  <c r="F10332" i="53"/>
  <c r="B10337" i="53"/>
  <c r="D10337" i="53"/>
  <c r="F10337" i="53"/>
  <c r="B10338" i="53"/>
  <c r="D10338" i="53"/>
  <c r="F10338" i="53"/>
  <c r="B10339" i="53"/>
  <c r="D10339" i="53"/>
  <c r="F10339" i="53"/>
  <c r="B10340" i="53"/>
  <c r="D10340" i="53"/>
  <c r="F10340" i="53"/>
  <c r="B10341" i="53"/>
  <c r="D10341" i="53"/>
  <c r="F10341" i="53"/>
  <c r="A10360" i="53"/>
  <c r="A10361" i="53"/>
  <c r="A10362" i="53"/>
  <c r="A10363" i="53"/>
  <c r="A10364" i="53"/>
  <c r="A10365" i="53"/>
  <c r="A10366" i="53"/>
  <c r="A10367" i="53"/>
  <c r="A10368" i="53"/>
  <c r="B10373" i="53"/>
  <c r="D10373" i="53"/>
  <c r="E10373" i="53"/>
  <c r="F10373" i="53"/>
  <c r="B10374" i="53"/>
  <c r="D10374" i="53"/>
  <c r="E10374" i="53"/>
  <c r="F10374" i="53"/>
  <c r="B10375" i="53"/>
  <c r="D10375" i="53"/>
  <c r="E10375" i="53"/>
  <c r="F10375" i="53"/>
  <c r="B10376" i="53"/>
  <c r="D10376" i="53"/>
  <c r="E10376" i="53"/>
  <c r="F10376" i="53"/>
  <c r="B10377" i="53"/>
  <c r="D10377" i="53"/>
  <c r="E10377" i="53"/>
  <c r="F10377" i="53"/>
  <c r="B10378" i="53"/>
  <c r="D10378" i="53"/>
  <c r="E10378" i="53"/>
  <c r="F10378" i="53"/>
  <c r="B10383" i="53"/>
  <c r="F10383" i="53"/>
  <c r="G10383" i="53" s="1"/>
  <c r="B10384" i="53"/>
  <c r="F10384" i="53"/>
  <c r="G10384" i="53" s="1"/>
  <c r="B10385" i="53"/>
  <c r="F10385" i="53"/>
  <c r="G10385" i="53" s="1"/>
  <c r="B10386" i="53"/>
  <c r="F10386" i="53"/>
  <c r="G10386" i="53" s="1"/>
  <c r="B10387" i="53"/>
  <c r="F10387" i="53"/>
  <c r="G10387" i="53" s="1"/>
  <c r="B10388" i="53"/>
  <c r="F10388" i="53"/>
  <c r="G10388" i="53" s="1"/>
  <c r="B10393" i="53"/>
  <c r="D10393" i="53"/>
  <c r="E10393" i="53"/>
  <c r="F10393" i="53"/>
  <c r="B10394" i="53"/>
  <c r="D10394" i="53"/>
  <c r="E10394" i="53"/>
  <c r="F10394" i="53"/>
  <c r="B10395" i="53"/>
  <c r="D10395" i="53"/>
  <c r="E10395" i="53"/>
  <c r="F10395" i="53"/>
  <c r="B10396" i="53"/>
  <c r="D10396" i="53"/>
  <c r="E10396" i="53"/>
  <c r="F10396" i="53"/>
  <c r="B10397" i="53"/>
  <c r="D10397" i="53"/>
  <c r="E10397" i="53"/>
  <c r="F10397" i="53"/>
  <c r="B10398" i="53"/>
  <c r="D10398" i="53"/>
  <c r="E10398" i="53"/>
  <c r="F10398" i="53"/>
  <c r="B10399" i="53"/>
  <c r="D10399" i="53"/>
  <c r="E10399" i="53"/>
  <c r="F10399" i="53"/>
  <c r="B10400" i="53"/>
  <c r="D10400" i="53"/>
  <c r="E10400" i="53"/>
  <c r="F10400" i="53"/>
  <c r="B10401" i="53"/>
  <c r="D10401" i="53"/>
  <c r="E10401" i="53"/>
  <c r="F10401" i="53"/>
  <c r="B10402" i="53"/>
  <c r="D10402" i="53"/>
  <c r="E10402" i="53"/>
  <c r="F10402" i="53"/>
  <c r="B10403" i="53"/>
  <c r="D10403" i="53"/>
  <c r="E10403" i="53"/>
  <c r="F10403" i="53"/>
  <c r="B10404" i="53"/>
  <c r="D10404" i="53"/>
  <c r="E10404" i="53"/>
  <c r="F10404" i="53"/>
  <c r="B10405" i="53"/>
  <c r="D10405" i="53"/>
  <c r="E10405" i="53"/>
  <c r="F10405" i="53"/>
  <c r="B10410" i="53"/>
  <c r="D10410" i="53"/>
  <c r="F10410" i="53"/>
  <c r="G10410" i="53" s="1"/>
  <c r="A13873" i="53"/>
  <c r="A13874" i="53"/>
  <c r="A13875" i="53"/>
  <c r="A13876" i="53"/>
  <c r="A13878" i="53"/>
  <c r="A13879" i="53"/>
  <c r="A13880" i="53"/>
  <c r="A13881" i="53"/>
  <c r="B13886" i="53"/>
  <c r="D13886" i="53"/>
  <c r="E13886" i="53"/>
  <c r="F13886" i="53"/>
  <c r="B13887" i="53"/>
  <c r="D13887" i="53"/>
  <c r="E13887" i="53"/>
  <c r="F13887" i="53"/>
  <c r="B13888" i="53"/>
  <c r="D13888" i="53"/>
  <c r="E13888" i="53"/>
  <c r="F13888" i="53"/>
  <c r="B13889" i="53"/>
  <c r="D13889" i="53"/>
  <c r="E13889" i="53"/>
  <c r="F13889" i="53"/>
  <c r="B13890" i="53"/>
  <c r="D13890" i="53"/>
  <c r="E13890" i="53"/>
  <c r="F13890" i="53"/>
  <c r="B13891" i="53"/>
  <c r="D13891" i="53"/>
  <c r="E13891" i="53"/>
  <c r="F13891" i="53"/>
  <c r="B13896" i="53"/>
  <c r="F13896" i="53"/>
  <c r="G13896" i="53" s="1"/>
  <c r="B13897" i="53"/>
  <c r="F13897" i="53"/>
  <c r="G13897" i="53" s="1"/>
  <c r="B13898" i="53"/>
  <c r="F13898" i="53"/>
  <c r="G13898" i="53" s="1"/>
  <c r="B13899" i="53"/>
  <c r="F13899" i="53"/>
  <c r="G13899" i="53" s="1"/>
  <c r="B13900" i="53"/>
  <c r="F13900" i="53"/>
  <c r="G13900" i="53" s="1"/>
  <c r="B13901" i="53"/>
  <c r="F13901" i="53"/>
  <c r="G13901" i="53" s="1"/>
  <c r="B13906" i="53"/>
  <c r="D13906" i="53"/>
  <c r="E13906" i="53"/>
  <c r="F13906" i="53"/>
  <c r="B13907" i="53"/>
  <c r="D13907" i="53"/>
  <c r="E13907" i="53"/>
  <c r="F13907" i="53"/>
  <c r="B13908" i="53"/>
  <c r="D13908" i="53"/>
  <c r="E13908" i="53"/>
  <c r="F13908" i="53"/>
  <c r="B13909" i="53"/>
  <c r="D13909" i="53"/>
  <c r="E13909" i="53"/>
  <c r="F13909" i="53"/>
  <c r="B13910" i="53"/>
  <c r="D13910" i="53"/>
  <c r="E13910" i="53"/>
  <c r="F13910" i="53"/>
  <c r="B13911" i="53"/>
  <c r="D13911" i="53"/>
  <c r="E13911" i="53"/>
  <c r="F13911" i="53"/>
  <c r="B13912" i="53"/>
  <c r="D13912" i="53"/>
  <c r="E13912" i="53"/>
  <c r="F13912" i="53"/>
  <c r="B13913" i="53"/>
  <c r="D13913" i="53"/>
  <c r="E13913" i="53"/>
  <c r="F13913" i="53"/>
  <c r="B13914" i="53"/>
  <c r="D13914" i="53"/>
  <c r="E13914" i="53"/>
  <c r="F13914" i="53"/>
  <c r="B13915" i="53"/>
  <c r="D13915" i="53"/>
  <c r="E13915" i="53"/>
  <c r="F13915" i="53"/>
  <c r="B13916" i="53"/>
  <c r="D13916" i="53"/>
  <c r="E13916" i="53"/>
  <c r="F13916" i="53"/>
  <c r="B13917" i="53"/>
  <c r="D13917" i="53"/>
  <c r="E13917" i="53"/>
  <c r="F13917" i="53"/>
  <c r="B13918" i="53"/>
  <c r="D13918" i="53"/>
  <c r="E13918" i="53"/>
  <c r="F13918" i="53"/>
  <c r="B13923" i="53"/>
  <c r="D13923" i="53"/>
  <c r="F13923" i="53"/>
  <c r="G13923" i="53" s="1"/>
  <c r="B13924" i="53"/>
  <c r="D13924" i="53"/>
  <c r="F13924" i="53"/>
  <c r="G13924" i="53" s="1"/>
  <c r="A10429" i="53"/>
  <c r="A10430" i="53"/>
  <c r="E10430" i="53"/>
  <c r="A10431" i="53"/>
  <c r="A10432" i="53"/>
  <c r="A10433" i="53"/>
  <c r="A10434" i="53"/>
  <c r="A10435" i="53"/>
  <c r="A10436" i="53"/>
  <c r="E10436" i="53"/>
  <c r="A10437" i="53"/>
  <c r="B10442" i="53"/>
  <c r="D10442" i="53"/>
  <c r="E10442" i="53"/>
  <c r="F10442" i="53"/>
  <c r="B10443" i="53"/>
  <c r="D10443" i="53"/>
  <c r="E10443" i="53"/>
  <c r="F10443" i="53"/>
  <c r="B10444" i="53"/>
  <c r="D10444" i="53"/>
  <c r="E10444" i="53"/>
  <c r="F10444" i="53"/>
  <c r="B10445" i="53"/>
  <c r="D10445" i="53"/>
  <c r="E10445" i="53"/>
  <c r="F10445" i="53"/>
  <c r="B10446" i="53"/>
  <c r="D10446" i="53"/>
  <c r="E10446" i="53"/>
  <c r="F10446" i="53"/>
  <c r="B10447" i="53"/>
  <c r="D10447" i="53"/>
  <c r="E10447" i="53"/>
  <c r="F10447" i="53"/>
  <c r="B10452" i="53"/>
  <c r="F10452" i="53"/>
  <c r="G10452" i="53" s="1"/>
  <c r="B10453" i="53"/>
  <c r="F10453" i="53"/>
  <c r="G10453" i="53" s="1"/>
  <c r="B10454" i="53"/>
  <c r="F10454" i="53"/>
  <c r="G10454" i="53" s="1"/>
  <c r="B10455" i="53"/>
  <c r="F10455" i="53"/>
  <c r="G10455" i="53" s="1"/>
  <c r="B10456" i="53"/>
  <c r="F10456" i="53"/>
  <c r="G10456" i="53" s="1"/>
  <c r="B10457" i="53"/>
  <c r="F10457" i="53"/>
  <c r="G10457" i="53" s="1"/>
  <c r="B10462" i="53"/>
  <c r="D10462" i="53"/>
  <c r="E10462" i="53"/>
  <c r="F10462" i="53"/>
  <c r="B10463" i="53"/>
  <c r="D10463" i="53"/>
  <c r="E10463" i="53"/>
  <c r="F10463" i="53"/>
  <c r="B10464" i="53"/>
  <c r="D10464" i="53"/>
  <c r="E10464" i="53"/>
  <c r="F10464" i="53"/>
  <c r="B10465" i="53"/>
  <c r="D10465" i="53"/>
  <c r="E10465" i="53"/>
  <c r="F10465" i="53"/>
  <c r="B10466" i="53"/>
  <c r="D10466" i="53"/>
  <c r="E10466" i="53"/>
  <c r="F10466" i="53"/>
  <c r="B10467" i="53"/>
  <c r="D10467" i="53"/>
  <c r="E10467" i="53"/>
  <c r="F10467" i="53"/>
  <c r="B10468" i="53"/>
  <c r="D10468" i="53"/>
  <c r="E10468" i="53"/>
  <c r="F10468" i="53"/>
  <c r="B10469" i="53"/>
  <c r="D10469" i="53"/>
  <c r="E10469" i="53"/>
  <c r="F10469" i="53"/>
  <c r="B10470" i="53"/>
  <c r="D10470" i="53"/>
  <c r="E10470" i="53"/>
  <c r="F10470" i="53"/>
  <c r="B10471" i="53"/>
  <c r="D10471" i="53"/>
  <c r="E10471" i="53"/>
  <c r="F10471" i="53"/>
  <c r="B10472" i="53"/>
  <c r="D10472" i="53"/>
  <c r="E10472" i="53"/>
  <c r="F10472" i="53"/>
  <c r="B10473" i="53"/>
  <c r="D10473" i="53"/>
  <c r="E10473" i="53"/>
  <c r="F10473" i="53"/>
  <c r="B10474" i="53"/>
  <c r="D10474" i="53"/>
  <c r="E10474" i="53"/>
  <c r="F10474" i="53"/>
  <c r="B10479" i="53"/>
  <c r="D10479" i="53"/>
  <c r="F10479" i="53"/>
  <c r="G10479" i="53" s="1"/>
  <c r="B10480" i="53"/>
  <c r="D10480" i="53"/>
  <c r="F10480" i="53"/>
  <c r="G10480" i="53" s="1"/>
  <c r="B10481" i="53"/>
  <c r="D10481" i="53"/>
  <c r="F10481" i="53"/>
  <c r="G10481" i="53" s="1"/>
  <c r="A10569" i="53"/>
  <c r="A10570" i="53"/>
  <c r="A10571" i="53"/>
  <c r="A10572" i="53"/>
  <c r="B10581" i="53"/>
  <c r="D10581" i="53"/>
  <c r="E10581" i="53"/>
  <c r="F10581" i="53"/>
  <c r="B10582" i="53"/>
  <c r="D10582" i="53"/>
  <c r="E10582" i="53"/>
  <c r="F10582" i="53"/>
  <c r="B10583" i="53"/>
  <c r="D10583" i="53"/>
  <c r="E10583" i="53"/>
  <c r="F10583" i="53"/>
  <c r="B10584" i="53"/>
  <c r="D10584" i="53"/>
  <c r="E10584" i="53"/>
  <c r="F10584" i="53"/>
  <c r="B10585" i="53"/>
  <c r="D10585" i="53"/>
  <c r="E10585" i="53"/>
  <c r="F10585" i="53"/>
  <c r="B10586" i="53"/>
  <c r="D10586" i="53"/>
  <c r="E10586" i="53"/>
  <c r="F10586" i="53"/>
  <c r="B10591" i="53"/>
  <c r="F10591" i="53"/>
  <c r="G10591" i="53" s="1"/>
  <c r="B10592" i="53"/>
  <c r="F10592" i="53"/>
  <c r="G10592" i="53" s="1"/>
  <c r="B10593" i="53"/>
  <c r="F10593" i="53"/>
  <c r="G10593" i="53" s="1"/>
  <c r="B10594" i="53"/>
  <c r="F10594" i="53"/>
  <c r="G10594" i="53" s="1"/>
  <c r="B10595" i="53"/>
  <c r="F10595" i="53"/>
  <c r="G10595" i="53" s="1"/>
  <c r="B10596" i="53"/>
  <c r="F10596" i="53"/>
  <c r="G10596" i="53" s="1"/>
  <c r="B10601" i="53"/>
  <c r="D10601" i="53"/>
  <c r="E10601" i="53"/>
  <c r="F10601" i="53"/>
  <c r="B10602" i="53"/>
  <c r="D10602" i="53"/>
  <c r="E10602" i="53"/>
  <c r="F10602" i="53"/>
  <c r="B10603" i="53"/>
  <c r="D10603" i="53"/>
  <c r="E10603" i="53"/>
  <c r="F10603" i="53"/>
  <c r="B10604" i="53"/>
  <c r="D10604" i="53"/>
  <c r="E10604" i="53"/>
  <c r="F10604" i="53"/>
  <c r="B10605" i="53"/>
  <c r="D10605" i="53"/>
  <c r="E10605" i="53"/>
  <c r="F10605" i="53"/>
  <c r="B10606" i="53"/>
  <c r="D10606" i="53"/>
  <c r="E10606" i="53"/>
  <c r="F10606" i="53"/>
  <c r="B10607" i="53"/>
  <c r="D10607" i="53"/>
  <c r="E10607" i="53"/>
  <c r="F10607" i="53"/>
  <c r="B10608" i="53"/>
  <c r="D10608" i="53"/>
  <c r="E10608" i="53"/>
  <c r="F10608" i="53"/>
  <c r="B10609" i="53"/>
  <c r="D10609" i="53"/>
  <c r="E10609" i="53"/>
  <c r="F10609" i="53"/>
  <c r="B10610" i="53"/>
  <c r="D10610" i="53"/>
  <c r="E10610" i="53"/>
  <c r="F10610" i="53"/>
  <c r="B10611" i="53"/>
  <c r="D10611" i="53"/>
  <c r="E10611" i="53"/>
  <c r="F10611" i="53"/>
  <c r="B10612" i="53"/>
  <c r="D10612" i="53"/>
  <c r="E10612" i="53"/>
  <c r="F10612" i="53"/>
  <c r="B10613" i="53"/>
  <c r="D10613" i="53"/>
  <c r="E10613" i="53"/>
  <c r="F10613" i="53"/>
  <c r="B10618" i="53"/>
  <c r="D10618" i="53"/>
  <c r="F10618" i="53"/>
  <c r="G10618" i="53" s="1"/>
  <c r="B10619" i="53"/>
  <c r="D10619" i="53"/>
  <c r="F10619" i="53"/>
  <c r="G10619" i="53" s="1"/>
  <c r="B10620" i="53"/>
  <c r="D10620" i="53"/>
  <c r="F10620" i="53"/>
  <c r="G10620" i="53" s="1"/>
  <c r="B10621" i="53"/>
  <c r="D10621" i="53"/>
  <c r="F10621" i="53"/>
  <c r="G10621" i="53" s="1"/>
  <c r="B10622" i="53"/>
  <c r="D10622" i="53"/>
  <c r="F10622" i="53"/>
  <c r="G10622" i="53" s="1"/>
  <c r="A14082" i="53"/>
  <c r="A14083" i="53"/>
  <c r="A14084" i="53"/>
  <c r="B14094" i="53"/>
  <c r="D14094" i="53"/>
  <c r="E14094" i="53"/>
  <c r="F14094" i="53"/>
  <c r="B14095" i="53"/>
  <c r="D14095" i="53"/>
  <c r="E14095" i="53"/>
  <c r="F14095" i="53"/>
  <c r="B14096" i="53"/>
  <c r="D14096" i="53"/>
  <c r="E14096" i="53"/>
  <c r="F14096" i="53"/>
  <c r="B14097" i="53"/>
  <c r="D14097" i="53"/>
  <c r="E14097" i="53"/>
  <c r="F14097" i="53"/>
  <c r="B14098" i="53"/>
  <c r="D14098" i="53"/>
  <c r="E14098" i="53"/>
  <c r="F14098" i="53"/>
  <c r="B14099" i="53"/>
  <c r="D14099" i="53"/>
  <c r="E14099" i="53"/>
  <c r="F14099" i="53"/>
  <c r="B14104" i="53"/>
  <c r="F14104" i="53"/>
  <c r="G14104" i="53" s="1"/>
  <c r="B14105" i="53"/>
  <c r="F14105" i="53"/>
  <c r="G14105" i="53" s="1"/>
  <c r="B14106" i="53"/>
  <c r="F14106" i="53"/>
  <c r="G14106" i="53" s="1"/>
  <c r="B14107" i="53"/>
  <c r="F14107" i="53"/>
  <c r="G14107" i="53" s="1"/>
  <c r="B14108" i="53"/>
  <c r="F14108" i="53"/>
  <c r="G14108" i="53" s="1"/>
  <c r="B14109" i="53"/>
  <c r="F14109" i="53"/>
  <c r="G14109" i="53" s="1"/>
  <c r="B14114" i="53"/>
  <c r="D14114" i="53"/>
  <c r="E14114" i="53"/>
  <c r="F14114" i="53"/>
  <c r="B14115" i="53"/>
  <c r="D14115" i="53"/>
  <c r="E14115" i="53"/>
  <c r="F14115" i="53"/>
  <c r="B14116" i="53"/>
  <c r="D14116" i="53"/>
  <c r="E14116" i="53"/>
  <c r="F14116" i="53"/>
  <c r="B14117" i="53"/>
  <c r="D14117" i="53"/>
  <c r="E14117" i="53"/>
  <c r="F14117" i="53"/>
  <c r="B14118" i="53"/>
  <c r="D14118" i="53"/>
  <c r="E14118" i="53"/>
  <c r="F14118" i="53"/>
  <c r="B14119" i="53"/>
  <c r="D14119" i="53"/>
  <c r="E14119" i="53"/>
  <c r="F14119" i="53"/>
  <c r="B14120" i="53"/>
  <c r="D14120" i="53"/>
  <c r="E14120" i="53"/>
  <c r="F14120" i="53"/>
  <c r="B14121" i="53"/>
  <c r="D14121" i="53"/>
  <c r="E14121" i="53"/>
  <c r="F14121" i="53"/>
  <c r="B14122" i="53"/>
  <c r="D14122" i="53"/>
  <c r="E14122" i="53"/>
  <c r="F14122" i="53"/>
  <c r="B14123" i="53"/>
  <c r="D14123" i="53"/>
  <c r="E14123" i="53"/>
  <c r="F14123" i="53"/>
  <c r="B14124" i="53"/>
  <c r="D14124" i="53"/>
  <c r="E14124" i="53"/>
  <c r="F14124" i="53"/>
  <c r="B14125" i="53"/>
  <c r="D14125" i="53"/>
  <c r="E14125" i="53"/>
  <c r="F14125" i="53"/>
  <c r="B14126" i="53"/>
  <c r="D14126" i="53"/>
  <c r="E14126" i="53"/>
  <c r="F14126" i="53"/>
  <c r="B14131" i="53"/>
  <c r="D14131" i="53"/>
  <c r="F14131" i="53"/>
  <c r="G14131" i="53" s="1"/>
  <c r="B14132" i="53"/>
  <c r="D14132" i="53"/>
  <c r="F14132" i="53"/>
  <c r="G14132" i="53" s="1"/>
  <c r="B14133" i="53"/>
  <c r="D14133" i="53"/>
  <c r="F14133" i="53"/>
  <c r="G14133" i="53" s="1"/>
  <c r="B14134" i="53"/>
  <c r="D14134" i="53"/>
  <c r="F14134" i="53"/>
  <c r="G14134" i="53" s="1"/>
  <c r="B14135" i="53"/>
  <c r="D14135" i="53"/>
  <c r="F14135" i="53"/>
  <c r="G14135" i="53" s="1"/>
  <c r="A10641" i="53"/>
  <c r="B10647" i="53"/>
  <c r="D10647" i="53"/>
  <c r="E10647" i="53"/>
  <c r="F10647" i="53"/>
  <c r="B10648" i="53"/>
  <c r="D10648" i="53"/>
  <c r="E10648" i="53"/>
  <c r="F10648" i="53"/>
  <c r="B10649" i="53"/>
  <c r="D10649" i="53"/>
  <c r="E10649" i="53"/>
  <c r="F10649" i="53"/>
  <c r="B10650" i="53"/>
  <c r="D10650" i="53"/>
  <c r="E10650" i="53"/>
  <c r="F10650" i="53"/>
  <c r="B10651" i="53"/>
  <c r="D10651" i="53"/>
  <c r="E10651" i="53"/>
  <c r="F10651" i="53"/>
  <c r="B10652" i="53"/>
  <c r="D10652" i="53"/>
  <c r="E10652" i="53"/>
  <c r="F10652" i="53"/>
  <c r="B10657" i="53"/>
  <c r="F10657" i="53"/>
  <c r="G10657" i="53" s="1"/>
  <c r="B10658" i="53"/>
  <c r="F10658" i="53"/>
  <c r="G10658" i="53" s="1"/>
  <c r="B10659" i="53"/>
  <c r="F10659" i="53"/>
  <c r="G10659" i="53" s="1"/>
  <c r="B10660" i="53"/>
  <c r="F10660" i="53"/>
  <c r="G10660" i="53" s="1"/>
  <c r="B10661" i="53"/>
  <c r="F10661" i="53"/>
  <c r="G10661" i="53" s="1"/>
  <c r="B10662" i="53"/>
  <c r="F10662" i="53"/>
  <c r="G10662" i="53" s="1"/>
  <c r="B10667" i="53"/>
  <c r="D10667" i="53"/>
  <c r="E10667" i="53"/>
  <c r="F10667" i="53"/>
  <c r="B10668" i="53"/>
  <c r="D10668" i="53"/>
  <c r="E10668" i="53"/>
  <c r="F10668" i="53"/>
  <c r="B10669" i="53"/>
  <c r="D10669" i="53"/>
  <c r="E10669" i="53"/>
  <c r="F10669" i="53"/>
  <c r="B10670" i="53"/>
  <c r="D10670" i="53"/>
  <c r="E10670" i="53"/>
  <c r="F10670" i="53"/>
  <c r="B10671" i="53"/>
  <c r="D10671" i="53"/>
  <c r="E10671" i="53"/>
  <c r="F10671" i="53"/>
  <c r="B10672" i="53"/>
  <c r="D10672" i="53"/>
  <c r="E10672" i="53"/>
  <c r="F10672" i="53"/>
  <c r="B10673" i="53"/>
  <c r="D10673" i="53"/>
  <c r="E10673" i="53"/>
  <c r="F10673" i="53"/>
  <c r="B10674" i="53"/>
  <c r="D10674" i="53"/>
  <c r="E10674" i="53"/>
  <c r="F10674" i="53"/>
  <c r="B10675" i="53"/>
  <c r="D10675" i="53"/>
  <c r="E10675" i="53"/>
  <c r="F10675" i="53"/>
  <c r="B10676" i="53"/>
  <c r="D10676" i="53"/>
  <c r="E10676" i="53"/>
  <c r="F10676" i="53"/>
  <c r="B10677" i="53"/>
  <c r="D10677" i="53"/>
  <c r="E10677" i="53"/>
  <c r="F10677" i="53"/>
  <c r="B10678" i="53"/>
  <c r="D10678" i="53"/>
  <c r="E10678" i="53"/>
  <c r="F10678" i="53"/>
  <c r="B10679" i="53"/>
  <c r="D10679" i="53"/>
  <c r="E10679" i="53"/>
  <c r="F10679" i="53"/>
  <c r="B10684" i="53"/>
  <c r="D10684" i="53"/>
  <c r="F10684" i="53"/>
  <c r="G10684" i="53" s="1"/>
  <c r="B10685" i="53"/>
  <c r="D10685" i="53"/>
  <c r="F10685" i="53"/>
  <c r="G10685" i="53" s="1"/>
  <c r="B10686" i="53"/>
  <c r="D10686" i="53"/>
  <c r="F10686" i="53"/>
  <c r="G10686" i="53" s="1"/>
  <c r="B10687" i="53"/>
  <c r="D10687" i="53"/>
  <c r="F10687" i="53"/>
  <c r="G10687" i="53" s="1"/>
  <c r="B10688" i="53"/>
  <c r="D10688" i="53"/>
  <c r="F10688" i="53"/>
  <c r="G10688" i="53" s="1"/>
  <c r="A10707" i="53"/>
  <c r="A10708" i="53"/>
  <c r="A10711" i="53"/>
  <c r="G10712" i="53"/>
  <c r="G10713" i="53"/>
  <c r="B10718" i="53"/>
  <c r="D10718" i="53"/>
  <c r="E10718" i="53"/>
  <c r="F10718" i="53"/>
  <c r="B10719" i="53"/>
  <c r="D10719" i="53"/>
  <c r="E10719" i="53"/>
  <c r="F10719" i="53"/>
  <c r="B10720" i="53"/>
  <c r="D10720" i="53"/>
  <c r="E10720" i="53"/>
  <c r="F10720" i="53"/>
  <c r="B10721" i="53"/>
  <c r="D10721" i="53"/>
  <c r="E10721" i="53"/>
  <c r="F10721" i="53"/>
  <c r="B10722" i="53"/>
  <c r="D10722" i="53"/>
  <c r="E10722" i="53"/>
  <c r="F10722" i="53"/>
  <c r="B10723" i="53"/>
  <c r="D10723" i="53"/>
  <c r="E10723" i="53"/>
  <c r="F10723" i="53"/>
  <c r="B10724" i="53"/>
  <c r="D10724" i="53"/>
  <c r="E10724" i="53"/>
  <c r="F10724" i="53"/>
  <c r="B10729" i="53"/>
  <c r="F10729" i="53"/>
  <c r="G10729" i="53" s="1"/>
  <c r="B10730" i="53"/>
  <c r="F10730" i="53"/>
  <c r="G10730" i="53" s="1"/>
  <c r="B10731" i="53"/>
  <c r="F10731" i="53"/>
  <c r="G10731" i="53" s="1"/>
  <c r="B10732" i="53"/>
  <c r="F10732" i="53"/>
  <c r="G10732" i="53" s="1"/>
  <c r="B10733" i="53"/>
  <c r="F10733" i="53"/>
  <c r="G10733" i="53" s="1"/>
  <c r="B10734" i="53"/>
  <c r="F10734" i="53"/>
  <c r="G10734" i="53" s="1"/>
  <c r="B10739" i="53"/>
  <c r="D10739" i="53"/>
  <c r="E10739" i="53"/>
  <c r="F10739" i="53"/>
  <c r="B10740" i="53"/>
  <c r="D10740" i="53"/>
  <c r="E10740" i="53"/>
  <c r="F10740" i="53"/>
  <c r="B10741" i="53"/>
  <c r="D10741" i="53"/>
  <c r="E10741" i="53"/>
  <c r="F10741" i="53"/>
  <c r="B10742" i="53"/>
  <c r="D10742" i="53"/>
  <c r="E10742" i="53"/>
  <c r="F10742" i="53"/>
  <c r="B10743" i="53"/>
  <c r="D10743" i="53"/>
  <c r="E10743" i="53"/>
  <c r="F10743" i="53"/>
  <c r="B10744" i="53"/>
  <c r="D10744" i="53"/>
  <c r="E10744" i="53"/>
  <c r="F10744" i="53"/>
  <c r="B10745" i="53"/>
  <c r="D10745" i="53"/>
  <c r="E10745" i="53"/>
  <c r="F10745" i="53"/>
  <c r="B10746" i="53"/>
  <c r="D10746" i="53"/>
  <c r="E10746" i="53"/>
  <c r="F10746" i="53"/>
  <c r="B10747" i="53"/>
  <c r="D10747" i="53"/>
  <c r="E10747" i="53"/>
  <c r="F10747" i="53"/>
  <c r="B10748" i="53"/>
  <c r="D10748" i="53"/>
  <c r="E10748" i="53"/>
  <c r="F10748" i="53"/>
  <c r="B10749" i="53"/>
  <c r="D10749" i="53"/>
  <c r="E10749" i="53"/>
  <c r="F10749" i="53"/>
  <c r="B10750" i="53"/>
  <c r="D10750" i="53"/>
  <c r="E10750" i="53"/>
  <c r="F10750" i="53"/>
  <c r="B10751" i="53"/>
  <c r="D10751" i="53"/>
  <c r="E10751" i="53"/>
  <c r="F10751" i="53"/>
  <c r="B10756" i="53"/>
  <c r="D10756" i="53"/>
  <c r="F10756" i="53"/>
  <c r="G10756" i="53" s="1"/>
  <c r="B10757" i="53"/>
  <c r="D10757" i="53"/>
  <c r="F10757" i="53"/>
  <c r="G10757" i="53" s="1"/>
  <c r="B10758" i="53"/>
  <c r="D10758" i="53"/>
  <c r="F10758" i="53"/>
  <c r="G10758" i="53" s="1"/>
  <c r="B10759" i="53"/>
  <c r="D10759" i="53"/>
  <c r="F10759" i="53"/>
  <c r="G10759" i="53" s="1"/>
  <c r="B10760" i="53"/>
  <c r="D10760" i="53"/>
  <c r="F10760" i="53"/>
  <c r="G10760" i="53" s="1"/>
  <c r="B10761" i="53"/>
  <c r="D10761" i="53"/>
  <c r="F10761" i="53"/>
  <c r="G10761" i="53" s="1"/>
  <c r="G10781" i="53"/>
  <c r="G10782" i="53"/>
  <c r="G10783" i="53"/>
  <c r="G10784" i="53"/>
  <c r="G10785" i="53"/>
  <c r="G10786" i="53"/>
  <c r="B10791" i="53"/>
  <c r="D10791" i="53"/>
  <c r="E10791" i="53"/>
  <c r="F10791" i="53"/>
  <c r="B10792" i="53"/>
  <c r="D10792" i="53"/>
  <c r="E10792" i="53"/>
  <c r="F10792" i="53"/>
  <c r="B10793" i="53"/>
  <c r="D10793" i="53"/>
  <c r="E10793" i="53"/>
  <c r="F10793" i="53"/>
  <c r="B10794" i="53"/>
  <c r="D10794" i="53"/>
  <c r="E10794" i="53"/>
  <c r="F10794" i="53"/>
  <c r="B10795" i="53"/>
  <c r="D10795" i="53"/>
  <c r="E10795" i="53"/>
  <c r="F10795" i="53"/>
  <c r="B10796" i="53"/>
  <c r="D10796" i="53"/>
  <c r="E10796" i="53"/>
  <c r="F10796" i="53"/>
  <c r="B10801" i="53"/>
  <c r="F10801" i="53"/>
  <c r="G10801" i="53" s="1"/>
  <c r="B10802" i="53"/>
  <c r="F10802" i="53"/>
  <c r="G10802" i="53" s="1"/>
  <c r="B10803" i="53"/>
  <c r="F10803" i="53"/>
  <c r="G10803" i="53" s="1"/>
  <c r="B10804" i="53"/>
  <c r="F10804" i="53"/>
  <c r="G10804" i="53" s="1"/>
  <c r="B10805" i="53"/>
  <c r="F10805" i="53"/>
  <c r="G10805" i="53" s="1"/>
  <c r="B10806" i="53"/>
  <c r="F10806" i="53"/>
  <c r="G10806" i="53" s="1"/>
  <c r="B10811" i="53"/>
  <c r="D10811" i="53"/>
  <c r="E10811" i="53"/>
  <c r="F10811" i="53"/>
  <c r="B10812" i="53"/>
  <c r="D10812" i="53"/>
  <c r="E10812" i="53"/>
  <c r="F10812" i="53"/>
  <c r="B10813" i="53"/>
  <c r="D10813" i="53"/>
  <c r="E10813" i="53"/>
  <c r="F10813" i="53"/>
  <c r="B10814" i="53"/>
  <c r="D10814" i="53"/>
  <c r="E10814" i="53"/>
  <c r="F10814" i="53"/>
  <c r="B10815" i="53"/>
  <c r="D10815" i="53"/>
  <c r="E10815" i="53"/>
  <c r="F10815" i="53"/>
  <c r="B10816" i="53"/>
  <c r="D10816" i="53"/>
  <c r="E10816" i="53"/>
  <c r="F10816" i="53"/>
  <c r="B10817" i="53"/>
  <c r="D10817" i="53"/>
  <c r="E10817" i="53"/>
  <c r="F10817" i="53"/>
  <c r="B10818" i="53"/>
  <c r="D10818" i="53"/>
  <c r="E10818" i="53"/>
  <c r="F10818" i="53"/>
  <c r="B10819" i="53"/>
  <c r="D10819" i="53"/>
  <c r="E10819" i="53"/>
  <c r="F10819" i="53"/>
  <c r="B10820" i="53"/>
  <c r="D10820" i="53"/>
  <c r="E10820" i="53"/>
  <c r="F10820" i="53"/>
  <c r="B10821" i="53"/>
  <c r="D10821" i="53"/>
  <c r="E10821" i="53"/>
  <c r="F10821" i="53"/>
  <c r="B10822" i="53"/>
  <c r="D10822" i="53"/>
  <c r="E10822" i="53"/>
  <c r="F10822" i="53"/>
  <c r="B10823" i="53"/>
  <c r="D10823" i="53"/>
  <c r="E10823" i="53"/>
  <c r="F10823" i="53"/>
  <c r="B10828" i="53"/>
  <c r="D10828" i="53"/>
  <c r="F10828" i="53"/>
  <c r="G10828" i="53" s="1"/>
  <c r="B10829" i="53"/>
  <c r="D10829" i="53"/>
  <c r="F10829" i="53"/>
  <c r="G10829" i="53" s="1"/>
  <c r="B10830" i="53"/>
  <c r="D10830" i="53"/>
  <c r="F10830" i="53"/>
  <c r="G10830" i="53" s="1"/>
  <c r="B10831" i="53"/>
  <c r="D10831" i="53"/>
  <c r="F10831" i="53"/>
  <c r="G10831" i="53" s="1"/>
  <c r="B10832" i="53"/>
  <c r="D10832" i="53"/>
  <c r="F10832" i="53"/>
  <c r="G10832" i="53" s="1"/>
  <c r="A10851" i="53"/>
  <c r="G10852" i="53"/>
  <c r="B10857" i="53"/>
  <c r="D10857" i="53"/>
  <c r="E10857" i="53"/>
  <c r="F10857" i="53"/>
  <c r="B10858" i="53"/>
  <c r="D10858" i="53"/>
  <c r="E10858" i="53"/>
  <c r="F10858" i="53"/>
  <c r="B10859" i="53"/>
  <c r="D10859" i="53"/>
  <c r="E10859" i="53"/>
  <c r="F10859" i="53"/>
  <c r="B10860" i="53"/>
  <c r="D10860" i="53"/>
  <c r="E10860" i="53"/>
  <c r="F10860" i="53"/>
  <c r="B10861" i="53"/>
  <c r="D10861" i="53"/>
  <c r="E10861" i="53"/>
  <c r="F10861" i="53"/>
  <c r="B10862" i="53"/>
  <c r="D10862" i="53"/>
  <c r="E10862" i="53"/>
  <c r="F10862" i="53"/>
  <c r="B10867" i="53"/>
  <c r="F10867" i="53"/>
  <c r="G10867" i="53" s="1"/>
  <c r="B10868" i="53"/>
  <c r="F10868" i="53"/>
  <c r="G10868" i="53" s="1"/>
  <c r="B10869" i="53"/>
  <c r="F10869" i="53"/>
  <c r="G10869" i="53" s="1"/>
  <c r="B10870" i="53"/>
  <c r="F10870" i="53"/>
  <c r="G10870" i="53" s="1"/>
  <c r="B10871" i="53"/>
  <c r="F10871" i="53"/>
  <c r="G10871" i="53" s="1"/>
  <c r="B10872" i="53"/>
  <c r="F10872" i="53"/>
  <c r="G10872" i="53" s="1"/>
  <c r="B10877" i="53"/>
  <c r="D10877" i="53"/>
  <c r="E10877" i="53"/>
  <c r="F10877" i="53"/>
  <c r="B10878" i="53"/>
  <c r="D10878" i="53"/>
  <c r="E10878" i="53"/>
  <c r="F10878" i="53"/>
  <c r="B10879" i="53"/>
  <c r="D10879" i="53"/>
  <c r="E10879" i="53"/>
  <c r="F10879" i="53"/>
  <c r="B10880" i="53"/>
  <c r="D10880" i="53"/>
  <c r="E10880" i="53"/>
  <c r="F10880" i="53"/>
  <c r="B10881" i="53"/>
  <c r="D10881" i="53"/>
  <c r="E10881" i="53"/>
  <c r="F10881" i="53"/>
  <c r="B10882" i="53"/>
  <c r="D10882" i="53"/>
  <c r="E10882" i="53"/>
  <c r="F10882" i="53"/>
  <c r="B10883" i="53"/>
  <c r="D10883" i="53"/>
  <c r="E10883" i="53"/>
  <c r="F10883" i="53"/>
  <c r="B10884" i="53"/>
  <c r="D10884" i="53"/>
  <c r="E10884" i="53"/>
  <c r="F10884" i="53"/>
  <c r="B10885" i="53"/>
  <c r="D10885" i="53"/>
  <c r="E10885" i="53"/>
  <c r="F10885" i="53"/>
  <c r="B10886" i="53"/>
  <c r="D10886" i="53"/>
  <c r="E10886" i="53"/>
  <c r="F10886" i="53"/>
  <c r="B10887" i="53"/>
  <c r="D10887" i="53"/>
  <c r="E10887" i="53"/>
  <c r="F10887" i="53"/>
  <c r="B10888" i="53"/>
  <c r="D10888" i="53"/>
  <c r="E10888" i="53"/>
  <c r="F10888" i="53"/>
  <c r="B10889" i="53"/>
  <c r="D10889" i="53"/>
  <c r="E10889" i="53"/>
  <c r="F10889" i="53"/>
  <c r="B10894" i="53"/>
  <c r="D10894" i="53"/>
  <c r="F10894" i="53"/>
  <c r="G10894" i="53" s="1"/>
  <c r="B10895" i="53"/>
  <c r="D10895" i="53"/>
  <c r="F10895" i="53"/>
  <c r="G10895" i="53" s="1"/>
  <c r="B10896" i="53"/>
  <c r="D10896" i="53"/>
  <c r="F10896" i="53"/>
  <c r="G10896" i="53" s="1"/>
  <c r="B10897" i="53"/>
  <c r="D10897" i="53"/>
  <c r="F10897" i="53"/>
  <c r="G10897" i="53" s="1"/>
  <c r="B10898" i="53"/>
  <c r="D10898" i="53"/>
  <c r="F10898" i="53"/>
  <c r="G10898" i="53" s="1"/>
  <c r="G10338" i="53" l="1"/>
  <c r="G10312" i="53"/>
  <c r="B14085" i="53"/>
  <c r="D14085" i="53"/>
  <c r="D10569" i="53"/>
  <c r="B10569" i="53"/>
  <c r="B10711" i="53"/>
  <c r="D10711" i="53"/>
  <c r="B10437" i="53"/>
  <c r="D10437" i="53"/>
  <c r="D10432" i="53"/>
  <c r="B10432" i="53"/>
  <c r="D13881" i="53"/>
  <c r="B13881" i="53"/>
  <c r="B13877" i="53"/>
  <c r="D13877" i="53"/>
  <c r="D13873" i="53"/>
  <c r="B13873" i="53"/>
  <c r="D10365" i="53"/>
  <c r="B10365" i="53"/>
  <c r="D10361" i="53"/>
  <c r="B10361" i="53"/>
  <c r="D10292" i="53"/>
  <c r="B10292" i="53"/>
  <c r="D10710" i="53"/>
  <c r="B10710" i="53"/>
  <c r="B14084" i="53"/>
  <c r="D14084" i="53"/>
  <c r="D10572" i="53"/>
  <c r="B10572" i="53"/>
  <c r="D10436" i="53"/>
  <c r="B10436" i="53"/>
  <c r="B13880" i="53"/>
  <c r="D13880" i="53"/>
  <c r="B13876" i="53"/>
  <c r="D13876" i="53"/>
  <c r="D10368" i="53"/>
  <c r="B10368" i="53"/>
  <c r="B10364" i="53"/>
  <c r="D10364" i="53"/>
  <c r="D10360" i="53"/>
  <c r="B10360" i="53"/>
  <c r="B10291" i="53"/>
  <c r="D10291" i="53"/>
  <c r="D10709" i="53"/>
  <c r="B10709" i="53"/>
  <c r="B10431" i="53"/>
  <c r="D10431" i="53"/>
  <c r="B10708" i="53"/>
  <c r="D10708" i="53"/>
  <c r="D14083" i="53"/>
  <c r="B14083" i="53"/>
  <c r="B10571" i="53"/>
  <c r="D10571" i="53"/>
  <c r="D10435" i="53"/>
  <c r="B10435" i="53"/>
  <c r="D10707" i="53"/>
  <c r="F10707" i="53"/>
  <c r="G10707" i="53" s="1"/>
  <c r="B10707" i="53"/>
  <c r="B10434" i="53"/>
  <c r="D10434" i="53"/>
  <c r="B10430" i="53"/>
  <c r="D10430" i="53"/>
  <c r="D13879" i="53"/>
  <c r="B13879" i="53"/>
  <c r="D13875" i="53"/>
  <c r="B13875" i="53"/>
  <c r="B10367" i="53"/>
  <c r="D10367" i="53"/>
  <c r="D10363" i="53"/>
  <c r="B10363" i="53"/>
  <c r="D10294" i="53"/>
  <c r="B10294" i="53"/>
  <c r="D10290" i="53"/>
  <c r="B10290" i="53"/>
  <c r="D10851" i="53"/>
  <c r="B10851" i="53"/>
  <c r="D10780" i="53"/>
  <c r="B10780" i="53"/>
  <c r="D10641" i="53"/>
  <c r="B10641" i="53"/>
  <c r="B14082" i="53"/>
  <c r="D14082" i="53"/>
  <c r="B10570" i="53"/>
  <c r="D10570" i="53"/>
  <c r="B10433" i="53"/>
  <c r="D10433" i="53"/>
  <c r="D10429" i="53"/>
  <c r="B10429" i="53"/>
  <c r="D13878" i="53"/>
  <c r="B13878" i="53"/>
  <c r="B13874" i="53"/>
  <c r="D13874" i="53"/>
  <c r="D10366" i="53"/>
  <c r="B10366" i="53"/>
  <c r="D10362" i="53"/>
  <c r="B10362" i="53"/>
  <c r="D10293" i="53"/>
  <c r="B10293" i="53"/>
  <c r="G10374" i="53"/>
  <c r="G12358" i="53"/>
  <c r="G10861" i="53"/>
  <c r="G10815" i="53"/>
  <c r="G13908" i="53"/>
  <c r="G12251" i="53"/>
  <c r="G10887" i="53"/>
  <c r="G10885" i="53"/>
  <c r="G10883" i="53"/>
  <c r="G10881" i="53"/>
  <c r="G10814" i="53"/>
  <c r="G10740" i="53"/>
  <c r="G14120" i="53"/>
  <c r="G10607" i="53"/>
  <c r="G10375" i="53"/>
  <c r="G10464" i="53"/>
  <c r="G10462" i="53"/>
  <c r="G10340" i="53"/>
  <c r="G10337" i="53"/>
  <c r="G11913" i="53"/>
  <c r="G10303" i="53"/>
  <c r="G12183" i="53"/>
  <c r="G12115" i="53"/>
  <c r="G10313" i="53"/>
  <c r="G10667" i="53"/>
  <c r="G10612" i="53"/>
  <c r="G11327" i="53"/>
  <c r="G12143" i="53"/>
  <c r="G14114" i="53"/>
  <c r="G14097" i="53"/>
  <c r="G11354" i="53"/>
  <c r="G10796" i="53"/>
  <c r="G10794" i="53"/>
  <c r="G10315" i="53"/>
  <c r="G10958" i="53"/>
  <c r="G12390" i="53"/>
  <c r="G10889" i="53"/>
  <c r="G10723" i="53"/>
  <c r="G13911" i="53"/>
  <c r="G13907" i="53"/>
  <c r="G10884" i="53"/>
  <c r="G10882" i="53"/>
  <c r="G10880" i="53"/>
  <c r="G14123" i="53"/>
  <c r="G14121" i="53"/>
  <c r="G14094" i="53"/>
  <c r="G10473" i="53"/>
  <c r="G10469" i="53"/>
  <c r="G10467" i="53"/>
  <c r="G10463" i="53"/>
  <c r="G10326" i="53"/>
  <c r="G12211" i="53"/>
  <c r="G11194" i="53"/>
  <c r="G11023" i="53"/>
  <c r="G10745" i="53"/>
  <c r="G10741" i="53"/>
  <c r="G10671" i="53"/>
  <c r="G10669" i="53"/>
  <c r="G10446" i="53"/>
  <c r="G10995" i="53"/>
  <c r="G11261" i="53"/>
  <c r="G12076" i="53"/>
  <c r="G12048" i="53"/>
  <c r="G11941" i="53"/>
  <c r="G12279" i="53"/>
  <c r="G11288" i="53"/>
  <c r="G10724" i="53"/>
  <c r="G10722" i="53"/>
  <c r="G10608" i="53"/>
  <c r="G10585" i="53"/>
  <c r="G10329" i="53"/>
  <c r="G10327" i="53"/>
  <c r="G10879" i="53"/>
  <c r="G10401" i="53"/>
  <c r="G10399" i="53"/>
  <c r="G10397" i="53"/>
  <c r="G10931" i="53"/>
  <c r="G10888" i="53"/>
  <c r="G10858" i="53"/>
  <c r="G10822" i="53"/>
  <c r="G10820" i="53"/>
  <c r="G10818" i="53"/>
  <c r="G10792" i="53"/>
  <c r="G10649" i="53"/>
  <c r="G10472" i="53"/>
  <c r="G13917" i="53"/>
  <c r="G10749" i="53"/>
  <c r="G10679" i="53"/>
  <c r="G10650" i="53"/>
  <c r="G10603" i="53"/>
  <c r="G10586" i="53"/>
  <c r="G10582" i="53"/>
  <c r="G13890" i="53"/>
  <c r="G13886" i="53"/>
  <c r="G10311" i="53"/>
  <c r="G11222" i="53"/>
  <c r="G11127" i="53"/>
  <c r="G10300" i="53"/>
  <c r="G13916" i="53"/>
  <c r="G13914" i="53"/>
  <c r="G13912" i="53"/>
  <c r="G14119" i="53"/>
  <c r="G10795" i="53"/>
  <c r="G10793" i="53"/>
  <c r="G10465" i="53"/>
  <c r="G11155" i="53"/>
  <c r="G12323" i="53"/>
  <c r="G10862" i="53"/>
  <c r="G10813" i="53"/>
  <c r="G10748" i="53"/>
  <c r="G10746" i="53"/>
  <c r="G10676" i="53"/>
  <c r="G10610" i="53"/>
  <c r="G10404" i="53"/>
  <c r="G10402" i="53"/>
  <c r="G10400" i="53"/>
  <c r="G10398" i="53"/>
  <c r="G12417" i="53"/>
  <c r="G12350" i="53"/>
  <c r="G10762" i="53"/>
  <c r="G10647" i="53"/>
  <c r="G10611" i="53"/>
  <c r="G10877" i="53"/>
  <c r="G10812" i="53"/>
  <c r="G10719" i="53"/>
  <c r="G14118" i="53"/>
  <c r="G14116" i="53"/>
  <c r="G10396" i="53"/>
  <c r="G10394" i="53"/>
  <c r="G10339" i="53"/>
  <c r="G10321" i="53"/>
  <c r="G10341" i="53"/>
  <c r="G10314" i="53"/>
  <c r="G10857" i="53"/>
  <c r="G10821" i="53"/>
  <c r="G10819" i="53"/>
  <c r="G10817" i="53"/>
  <c r="G10668" i="53"/>
  <c r="G14125" i="53"/>
  <c r="G10604" i="53"/>
  <c r="G10447" i="53"/>
  <c r="G13918" i="53"/>
  <c r="G10304" i="53"/>
  <c r="G10332" i="53"/>
  <c r="G10330" i="53"/>
  <c r="G10310" i="53"/>
  <c r="G10886" i="53"/>
  <c r="G10718" i="53"/>
  <c r="G14115" i="53"/>
  <c r="G10443" i="53"/>
  <c r="G13910" i="53"/>
  <c r="G10405" i="53"/>
  <c r="G10393" i="53"/>
  <c r="G10322" i="53"/>
  <c r="G10320" i="53"/>
  <c r="G10807" i="53"/>
  <c r="G10675" i="53"/>
  <c r="G10673" i="53"/>
  <c r="G10613" i="53"/>
  <c r="G10470" i="53"/>
  <c r="G13906" i="53"/>
  <c r="G10305" i="53"/>
  <c r="G10301" i="53"/>
  <c r="G10605" i="53"/>
  <c r="G12333" i="53"/>
  <c r="G10651" i="53"/>
  <c r="G14117" i="53"/>
  <c r="G14095" i="53"/>
  <c r="G10609" i="53"/>
  <c r="G10597" i="53"/>
  <c r="G10444" i="53"/>
  <c r="G13915" i="53"/>
  <c r="G13913" i="53"/>
  <c r="G13888" i="53"/>
  <c r="G10395" i="53"/>
  <c r="G10377" i="53"/>
  <c r="G10325" i="53"/>
  <c r="G10323" i="53"/>
  <c r="G10302" i="53"/>
  <c r="G10584" i="53"/>
  <c r="G10878" i="53"/>
  <c r="G10860" i="53"/>
  <c r="G10833" i="53"/>
  <c r="G10751" i="53"/>
  <c r="G10747" i="53"/>
  <c r="G10823" i="53"/>
  <c r="G10750" i="53"/>
  <c r="G10743" i="53"/>
  <c r="G10678" i="53"/>
  <c r="G10674" i="53"/>
  <c r="G10672" i="53"/>
  <c r="G14126" i="53"/>
  <c r="G14124" i="53"/>
  <c r="G10601" i="53"/>
  <c r="G10583" i="53"/>
  <c r="G10474" i="53"/>
  <c r="G10442" i="53"/>
  <c r="G13909" i="53"/>
  <c r="G13891" i="53"/>
  <c r="G10373" i="53"/>
  <c r="G10739" i="53"/>
  <c r="G10721" i="53"/>
  <c r="G10670" i="53"/>
  <c r="G10652" i="53"/>
  <c r="G14122" i="53"/>
  <c r="G14096" i="53"/>
  <c r="G10623" i="53"/>
  <c r="G10581" i="53"/>
  <c r="G13925" i="53"/>
  <c r="G13889" i="53"/>
  <c r="G13887" i="53"/>
  <c r="G10378" i="53"/>
  <c r="G10376" i="53"/>
  <c r="G10328" i="53"/>
  <c r="G14099" i="53"/>
  <c r="G10859" i="53"/>
  <c r="G10811" i="53"/>
  <c r="G10744" i="53"/>
  <c r="G10742" i="53"/>
  <c r="G10677" i="53"/>
  <c r="G10648" i="53"/>
  <c r="G10606" i="53"/>
  <c r="G10468" i="53"/>
  <c r="G10466" i="53"/>
  <c r="G10458" i="53"/>
  <c r="G10445" i="53"/>
  <c r="G10403" i="53"/>
  <c r="G10324" i="53"/>
  <c r="G10389" i="53"/>
  <c r="G10331" i="53"/>
  <c r="G10899" i="53"/>
  <c r="G10873" i="53"/>
  <c r="G10482" i="53"/>
  <c r="G10720" i="53"/>
  <c r="G10602" i="53"/>
  <c r="G10471" i="53"/>
  <c r="G13902" i="53"/>
  <c r="G14098" i="53"/>
  <c r="G10791" i="53"/>
  <c r="G10735" i="53"/>
  <c r="G14110" i="53"/>
  <c r="G10663" i="53"/>
  <c r="G10411" i="53"/>
  <c r="G10816" i="53"/>
  <c r="G10689" i="53"/>
  <c r="G14136" i="53"/>
  <c r="G10342" i="53" l="1"/>
  <c r="G10614" i="53"/>
  <c r="G10333" i="53"/>
  <c r="G14100" i="53"/>
  <c r="G13919" i="53"/>
  <c r="G10890" i="53"/>
  <c r="G10448" i="53"/>
  <c r="G10863" i="53"/>
  <c r="G10824" i="53"/>
  <c r="G10379" i="53"/>
  <c r="G10680" i="53"/>
  <c r="G10306" i="53"/>
  <c r="G13892" i="53"/>
  <c r="G10316" i="53"/>
  <c r="G10587" i="53"/>
  <c r="G10406" i="53"/>
  <c r="G14127" i="53"/>
  <c r="G10725" i="53"/>
  <c r="G10797" i="53"/>
  <c r="G10653" i="53"/>
  <c r="G10475" i="53"/>
  <c r="G10752" i="53"/>
  <c r="A21748" i="53" l="1"/>
  <c r="B21748" i="53" s="1"/>
  <c r="A21747" i="53"/>
  <c r="B21746" i="53"/>
  <c r="B21745" i="53"/>
  <c r="B21743" i="53"/>
  <c r="B21741" i="53"/>
  <c r="A21738" i="53"/>
  <c r="B21738" i="53"/>
  <c r="F21795" i="53"/>
  <c r="G21795" i="53" s="1"/>
  <c r="D21795" i="53"/>
  <c r="B21795" i="53"/>
  <c r="F21794" i="53"/>
  <c r="G21794" i="53" s="1"/>
  <c r="D21794" i="53"/>
  <c r="B21794" i="53"/>
  <c r="F21793" i="53"/>
  <c r="G21793" i="53" s="1"/>
  <c r="D21793" i="53"/>
  <c r="B21793" i="53"/>
  <c r="F21792" i="53"/>
  <c r="G21792" i="53" s="1"/>
  <c r="D21792" i="53"/>
  <c r="B21792" i="53"/>
  <c r="F21791" i="53"/>
  <c r="G21791" i="53" s="1"/>
  <c r="D21791" i="53"/>
  <c r="B21791" i="53"/>
  <c r="F21786" i="53"/>
  <c r="E21786" i="53"/>
  <c r="D21786" i="53"/>
  <c r="B21786" i="53"/>
  <c r="F21785" i="53"/>
  <c r="E21785" i="53"/>
  <c r="D21785" i="53"/>
  <c r="B21785" i="53"/>
  <c r="F21784" i="53"/>
  <c r="E21784" i="53"/>
  <c r="D21784" i="53"/>
  <c r="B21784" i="53"/>
  <c r="F21783" i="53"/>
  <c r="E21783" i="53"/>
  <c r="D21783" i="53"/>
  <c r="B21783" i="53"/>
  <c r="F21782" i="53"/>
  <c r="E21782" i="53"/>
  <c r="D21782" i="53"/>
  <c r="B21782" i="53"/>
  <c r="F21781" i="53"/>
  <c r="E21781" i="53"/>
  <c r="D21781" i="53"/>
  <c r="B21781" i="53"/>
  <c r="F21780" i="53"/>
  <c r="E21780" i="53"/>
  <c r="D21780" i="53"/>
  <c r="B21780" i="53"/>
  <c r="F21779" i="53"/>
  <c r="E21779" i="53"/>
  <c r="D21779" i="53"/>
  <c r="B21779" i="53"/>
  <c r="F21778" i="53"/>
  <c r="E21778" i="53"/>
  <c r="D21778" i="53"/>
  <c r="B21778" i="53"/>
  <c r="F21777" i="53"/>
  <c r="E21777" i="53"/>
  <c r="D21777" i="53"/>
  <c r="B21777" i="53"/>
  <c r="F21776" i="53"/>
  <c r="E21776" i="53"/>
  <c r="D21776" i="53"/>
  <c r="B21776" i="53"/>
  <c r="F21775" i="53"/>
  <c r="E21775" i="53"/>
  <c r="D21775" i="53"/>
  <c r="B21775" i="53"/>
  <c r="F21774" i="53"/>
  <c r="E21774" i="53"/>
  <c r="D21774" i="53"/>
  <c r="B21774" i="53"/>
  <c r="F21769" i="53"/>
  <c r="G21769" i="53" s="1"/>
  <c r="B21769" i="53"/>
  <c r="F21768" i="53"/>
  <c r="G21768" i="53" s="1"/>
  <c r="B21768" i="53"/>
  <c r="F21767" i="53"/>
  <c r="G21767" i="53" s="1"/>
  <c r="B21767" i="53"/>
  <c r="F21766" i="53"/>
  <c r="G21766" i="53" s="1"/>
  <c r="B21766" i="53"/>
  <c r="F21765" i="53"/>
  <c r="G21765" i="53" s="1"/>
  <c r="B21765" i="53"/>
  <c r="F21764" i="53"/>
  <c r="G21764" i="53" s="1"/>
  <c r="B21764" i="53"/>
  <c r="F21759" i="53"/>
  <c r="E21759" i="53"/>
  <c r="D21759" i="53"/>
  <c r="B21759" i="53"/>
  <c r="F21758" i="53"/>
  <c r="E21758" i="53"/>
  <c r="D21758" i="53"/>
  <c r="B21758" i="53"/>
  <c r="F21757" i="53"/>
  <c r="E21757" i="53"/>
  <c r="D21757" i="53"/>
  <c r="B21757" i="53"/>
  <c r="F21756" i="53"/>
  <c r="E21756" i="53"/>
  <c r="D21756" i="53"/>
  <c r="B21756" i="53"/>
  <c r="F21755" i="53"/>
  <c r="E21755" i="53"/>
  <c r="D21755" i="53"/>
  <c r="B21755" i="53"/>
  <c r="F21754" i="53"/>
  <c r="E21754" i="53"/>
  <c r="D21754" i="53"/>
  <c r="B21754" i="53"/>
  <c r="F21749" i="53"/>
  <c r="G21749" i="53" s="1"/>
  <c r="D21749" i="53"/>
  <c r="B21749" i="53"/>
  <c r="A13171" i="53"/>
  <c r="B13171" i="53" s="1"/>
  <c r="A13170" i="53"/>
  <c r="D13170" i="53" s="1"/>
  <c r="A13169" i="53"/>
  <c r="A13168" i="53"/>
  <c r="A13167" i="53"/>
  <c r="B13167" i="53" s="1"/>
  <c r="A13166" i="53"/>
  <c r="A13164" i="53"/>
  <c r="A13163" i="53"/>
  <c r="D13163" i="53" s="1"/>
  <c r="A13162" i="53"/>
  <c r="B13162" i="53" s="1"/>
  <c r="A13161" i="53"/>
  <c r="D13161" i="53" s="1"/>
  <c r="A13160" i="53"/>
  <c r="A13159" i="53"/>
  <c r="A13158" i="53"/>
  <c r="D13158" i="53" s="1"/>
  <c r="A13155" i="53"/>
  <c r="B13155" i="53"/>
  <c r="F13213" i="53"/>
  <c r="G13213" i="53" s="1"/>
  <c r="D13213" i="53"/>
  <c r="B13213" i="53"/>
  <c r="F13208" i="53"/>
  <c r="E13208" i="53"/>
  <c r="D13208" i="53"/>
  <c r="B13208" i="53"/>
  <c r="F13207" i="53"/>
  <c r="E13207" i="53"/>
  <c r="D13207" i="53"/>
  <c r="B13207" i="53"/>
  <c r="F13206" i="53"/>
  <c r="E13206" i="53"/>
  <c r="D13206" i="53"/>
  <c r="B13206" i="53"/>
  <c r="F13205" i="53"/>
  <c r="E13205" i="53"/>
  <c r="D13205" i="53"/>
  <c r="B13205" i="53"/>
  <c r="F13204" i="53"/>
  <c r="E13204" i="53"/>
  <c r="D13204" i="53"/>
  <c r="B13204" i="53"/>
  <c r="F13203" i="53"/>
  <c r="E13203" i="53"/>
  <c r="D13203" i="53"/>
  <c r="B13203" i="53"/>
  <c r="F13202" i="53"/>
  <c r="E13202" i="53"/>
  <c r="D13202" i="53"/>
  <c r="B13202" i="53"/>
  <c r="F13201" i="53"/>
  <c r="E13201" i="53"/>
  <c r="D13201" i="53"/>
  <c r="B13201" i="53"/>
  <c r="F13200" i="53"/>
  <c r="E13200" i="53"/>
  <c r="D13200" i="53"/>
  <c r="B13200" i="53"/>
  <c r="F13199" i="53"/>
  <c r="E13199" i="53"/>
  <c r="D13199" i="53"/>
  <c r="B13199" i="53"/>
  <c r="F13198" i="53"/>
  <c r="E13198" i="53"/>
  <c r="D13198" i="53"/>
  <c r="B13198" i="53"/>
  <c r="F13197" i="53"/>
  <c r="E13197" i="53"/>
  <c r="D13197" i="53"/>
  <c r="B13197" i="53"/>
  <c r="F13196" i="53"/>
  <c r="E13196" i="53"/>
  <c r="D13196" i="53"/>
  <c r="B13196" i="53"/>
  <c r="F13191" i="53"/>
  <c r="G13191" i="53" s="1"/>
  <c r="B13191" i="53"/>
  <c r="F13190" i="53"/>
  <c r="G13190" i="53" s="1"/>
  <c r="B13190" i="53"/>
  <c r="F13189" i="53"/>
  <c r="G13189" i="53" s="1"/>
  <c r="B13189" i="53"/>
  <c r="F13188" i="53"/>
  <c r="G13188" i="53" s="1"/>
  <c r="B13188" i="53"/>
  <c r="F13187" i="53"/>
  <c r="G13187" i="53" s="1"/>
  <c r="B13187" i="53"/>
  <c r="F13186" i="53"/>
  <c r="G13186" i="53" s="1"/>
  <c r="B13186" i="53"/>
  <c r="F13181" i="53"/>
  <c r="E13181" i="53"/>
  <c r="D13181" i="53"/>
  <c r="B13181" i="53"/>
  <c r="F13180" i="53"/>
  <c r="E13180" i="53"/>
  <c r="D13180" i="53"/>
  <c r="B13180" i="53"/>
  <c r="F13179" i="53"/>
  <c r="E13179" i="53"/>
  <c r="D13179" i="53"/>
  <c r="B13179" i="53"/>
  <c r="F13178" i="53"/>
  <c r="E13178" i="53"/>
  <c r="D13178" i="53"/>
  <c r="B13178" i="53"/>
  <c r="F13177" i="53"/>
  <c r="E13177" i="53"/>
  <c r="D13177" i="53"/>
  <c r="B13177" i="53"/>
  <c r="F13176" i="53"/>
  <c r="E13176" i="53"/>
  <c r="D13176" i="53"/>
  <c r="B13176" i="53"/>
  <c r="A13097" i="53"/>
  <c r="D13097" i="53" s="1"/>
  <c r="A13096" i="53"/>
  <c r="A13095" i="53"/>
  <c r="B13095" i="53" s="1"/>
  <c r="A13094" i="53"/>
  <c r="B13094" i="53" s="1"/>
  <c r="A13093" i="53"/>
  <c r="A13092" i="53"/>
  <c r="B13092" i="53" s="1"/>
  <c r="A13090" i="53"/>
  <c r="A13089" i="53"/>
  <c r="A13088" i="53"/>
  <c r="D13088" i="53" s="1"/>
  <c r="A13087" i="53"/>
  <c r="A13086" i="53"/>
  <c r="A13085" i="53"/>
  <c r="B13085" i="53" s="1"/>
  <c r="A13084" i="53"/>
  <c r="A13081" i="53"/>
  <c r="B13081" i="53"/>
  <c r="F13139" i="53"/>
  <c r="G13139" i="53" s="1"/>
  <c r="D13139" i="53"/>
  <c r="B13139" i="53"/>
  <c r="F13134" i="53"/>
  <c r="E13134" i="53"/>
  <c r="D13134" i="53"/>
  <c r="B13134" i="53"/>
  <c r="F13133" i="53"/>
  <c r="E13133" i="53"/>
  <c r="D13133" i="53"/>
  <c r="B13133" i="53"/>
  <c r="F13132" i="53"/>
  <c r="E13132" i="53"/>
  <c r="D13132" i="53"/>
  <c r="B13132" i="53"/>
  <c r="F13131" i="53"/>
  <c r="E13131" i="53"/>
  <c r="D13131" i="53"/>
  <c r="B13131" i="53"/>
  <c r="F13130" i="53"/>
  <c r="E13130" i="53"/>
  <c r="D13130" i="53"/>
  <c r="B13130" i="53"/>
  <c r="F13129" i="53"/>
  <c r="E13129" i="53"/>
  <c r="D13129" i="53"/>
  <c r="B13129" i="53"/>
  <c r="F13128" i="53"/>
  <c r="E13128" i="53"/>
  <c r="D13128" i="53"/>
  <c r="B13128" i="53"/>
  <c r="F13127" i="53"/>
  <c r="E13127" i="53"/>
  <c r="D13127" i="53"/>
  <c r="B13127" i="53"/>
  <c r="F13126" i="53"/>
  <c r="E13126" i="53"/>
  <c r="D13126" i="53"/>
  <c r="B13126" i="53"/>
  <c r="F13125" i="53"/>
  <c r="E13125" i="53"/>
  <c r="D13125" i="53"/>
  <c r="B13125" i="53"/>
  <c r="F13124" i="53"/>
  <c r="E13124" i="53"/>
  <c r="D13124" i="53"/>
  <c r="B13124" i="53"/>
  <c r="F13123" i="53"/>
  <c r="E13123" i="53"/>
  <c r="D13123" i="53"/>
  <c r="B13123" i="53"/>
  <c r="F13122" i="53"/>
  <c r="E13122" i="53"/>
  <c r="D13122" i="53"/>
  <c r="B13122" i="53"/>
  <c r="F13117" i="53"/>
  <c r="G13117" i="53" s="1"/>
  <c r="B13117" i="53"/>
  <c r="F13116" i="53"/>
  <c r="G13116" i="53" s="1"/>
  <c r="B13116" i="53"/>
  <c r="F13115" i="53"/>
  <c r="G13115" i="53" s="1"/>
  <c r="B13115" i="53"/>
  <c r="F13114" i="53"/>
  <c r="G13114" i="53" s="1"/>
  <c r="B13114" i="53"/>
  <c r="F13113" i="53"/>
  <c r="G13113" i="53" s="1"/>
  <c r="B13113" i="53"/>
  <c r="F13112" i="53"/>
  <c r="G13112" i="53" s="1"/>
  <c r="B13112" i="53"/>
  <c r="F13107" i="53"/>
  <c r="E13107" i="53"/>
  <c r="D13107" i="53"/>
  <c r="B13107" i="53"/>
  <c r="F13106" i="53"/>
  <c r="E13106" i="53"/>
  <c r="D13106" i="53"/>
  <c r="B13106" i="53"/>
  <c r="F13105" i="53"/>
  <c r="E13105" i="53"/>
  <c r="D13105" i="53"/>
  <c r="B13105" i="53"/>
  <c r="F13104" i="53"/>
  <c r="E13104" i="53"/>
  <c r="D13104" i="53"/>
  <c r="B13104" i="53"/>
  <c r="F13103" i="53"/>
  <c r="E13103" i="53"/>
  <c r="D13103" i="53"/>
  <c r="B13103" i="53"/>
  <c r="F13102" i="53"/>
  <c r="E13102" i="53"/>
  <c r="D13102" i="53"/>
  <c r="B13102" i="53"/>
  <c r="D10224" i="53"/>
  <c r="A10221" i="53"/>
  <c r="B10221" i="53"/>
  <c r="F10271" i="53"/>
  <c r="G10271" i="53" s="1"/>
  <c r="D10271" i="53"/>
  <c r="B10271" i="53"/>
  <c r="F10270" i="53"/>
  <c r="G10270" i="53" s="1"/>
  <c r="D10270" i="53"/>
  <c r="B10270" i="53"/>
  <c r="F10269" i="53"/>
  <c r="G10269" i="53" s="1"/>
  <c r="D10269" i="53"/>
  <c r="B10269" i="53"/>
  <c r="F10268" i="53"/>
  <c r="G10268" i="53" s="1"/>
  <c r="D10268" i="53"/>
  <c r="B10268" i="53"/>
  <c r="F10267" i="53"/>
  <c r="G10267" i="53" s="1"/>
  <c r="D10267" i="53"/>
  <c r="B10267" i="53"/>
  <c r="F10262" i="53"/>
  <c r="E10262" i="53"/>
  <c r="D10262" i="53"/>
  <c r="B10262" i="53"/>
  <c r="F10261" i="53"/>
  <c r="E10261" i="53"/>
  <c r="D10261" i="53"/>
  <c r="B10261" i="53"/>
  <c r="F10260" i="53"/>
  <c r="E10260" i="53"/>
  <c r="D10260" i="53"/>
  <c r="B10260" i="53"/>
  <c r="F10259" i="53"/>
  <c r="E10259" i="53"/>
  <c r="D10259" i="53"/>
  <c r="B10259" i="53"/>
  <c r="F10258" i="53"/>
  <c r="E10258" i="53"/>
  <c r="D10258" i="53"/>
  <c r="B10258" i="53"/>
  <c r="F10257" i="53"/>
  <c r="E10257" i="53"/>
  <c r="D10257" i="53"/>
  <c r="B10257" i="53"/>
  <c r="F10256" i="53"/>
  <c r="E10256" i="53"/>
  <c r="D10256" i="53"/>
  <c r="B10256" i="53"/>
  <c r="F10255" i="53"/>
  <c r="E10255" i="53"/>
  <c r="D10255" i="53"/>
  <c r="B10255" i="53"/>
  <c r="F10254" i="53"/>
  <c r="E10254" i="53"/>
  <c r="D10254" i="53"/>
  <c r="B10254" i="53"/>
  <c r="F10253" i="53"/>
  <c r="E10253" i="53"/>
  <c r="D10253" i="53"/>
  <c r="B10253" i="53"/>
  <c r="F10252" i="53"/>
  <c r="E10252" i="53"/>
  <c r="D10252" i="53"/>
  <c r="B10252" i="53"/>
  <c r="F10251" i="53"/>
  <c r="E10251" i="53"/>
  <c r="D10251" i="53"/>
  <c r="B10251" i="53"/>
  <c r="F10250" i="53"/>
  <c r="E10250" i="53"/>
  <c r="D10250" i="53"/>
  <c r="B10250" i="53"/>
  <c r="F10245" i="53"/>
  <c r="G10245" i="53" s="1"/>
  <c r="B10245" i="53"/>
  <c r="F10244" i="53"/>
  <c r="G10244" i="53" s="1"/>
  <c r="B10244" i="53"/>
  <c r="F10243" i="53"/>
  <c r="G10243" i="53" s="1"/>
  <c r="B10243" i="53"/>
  <c r="F10242" i="53"/>
  <c r="G10242" i="53" s="1"/>
  <c r="B10242" i="53"/>
  <c r="F10241" i="53"/>
  <c r="G10241" i="53" s="1"/>
  <c r="B10241" i="53"/>
  <c r="F10240" i="53"/>
  <c r="G10240" i="53" s="1"/>
  <c r="B10240" i="53"/>
  <c r="F10235" i="53"/>
  <c r="E10235" i="53"/>
  <c r="D10235" i="53"/>
  <c r="B10235" i="53"/>
  <c r="F10234" i="53"/>
  <c r="E10234" i="53"/>
  <c r="D10234" i="53"/>
  <c r="B10234" i="53"/>
  <c r="F10233" i="53"/>
  <c r="E10233" i="53"/>
  <c r="D10233" i="53"/>
  <c r="B10233" i="53"/>
  <c r="F10232" i="53"/>
  <c r="E10232" i="53"/>
  <c r="D10232" i="53"/>
  <c r="B10232" i="53"/>
  <c r="F10231" i="53"/>
  <c r="E10231" i="53"/>
  <c r="D10231" i="53"/>
  <c r="B10231" i="53"/>
  <c r="F10230" i="53"/>
  <c r="E10230" i="53"/>
  <c r="D10230" i="53"/>
  <c r="B10230" i="53"/>
  <c r="A10157" i="53"/>
  <c r="A10158" i="53"/>
  <c r="D10158" i="53" s="1"/>
  <c r="A10159" i="53"/>
  <c r="A10156" i="53"/>
  <c r="A10155" i="53"/>
  <c r="D10155" i="53" s="1"/>
  <c r="A10154" i="53"/>
  <c r="A10151" i="53"/>
  <c r="B10151" i="53"/>
  <c r="F10205" i="53"/>
  <c r="G10205" i="53" s="1"/>
  <c r="D10205" i="53"/>
  <c r="B10205" i="53"/>
  <c r="F10204" i="53"/>
  <c r="G10204" i="53" s="1"/>
  <c r="D10204" i="53"/>
  <c r="B10204" i="53"/>
  <c r="F10203" i="53"/>
  <c r="G10203" i="53" s="1"/>
  <c r="D10203" i="53"/>
  <c r="B10203" i="53"/>
  <c r="F10202" i="53"/>
  <c r="G10202" i="53" s="1"/>
  <c r="D10202" i="53"/>
  <c r="B10202" i="53"/>
  <c r="F10201" i="53"/>
  <c r="G10201" i="53" s="1"/>
  <c r="D10201" i="53"/>
  <c r="B10201" i="53"/>
  <c r="F10196" i="53"/>
  <c r="E10196" i="53"/>
  <c r="D10196" i="53"/>
  <c r="B10196" i="53"/>
  <c r="F10195" i="53"/>
  <c r="E10195" i="53"/>
  <c r="D10195" i="53"/>
  <c r="B10195" i="53"/>
  <c r="F10194" i="53"/>
  <c r="E10194" i="53"/>
  <c r="D10194" i="53"/>
  <c r="B10194" i="53"/>
  <c r="F10193" i="53"/>
  <c r="E10193" i="53"/>
  <c r="D10193" i="53"/>
  <c r="B10193" i="53"/>
  <c r="F10192" i="53"/>
  <c r="E10192" i="53"/>
  <c r="D10192" i="53"/>
  <c r="B10192" i="53"/>
  <c r="F10191" i="53"/>
  <c r="E10191" i="53"/>
  <c r="D10191" i="53"/>
  <c r="B10191" i="53"/>
  <c r="F10190" i="53"/>
  <c r="E10190" i="53"/>
  <c r="D10190" i="53"/>
  <c r="B10190" i="53"/>
  <c r="F10189" i="53"/>
  <c r="E10189" i="53"/>
  <c r="D10189" i="53"/>
  <c r="B10189" i="53"/>
  <c r="F10188" i="53"/>
  <c r="E10188" i="53"/>
  <c r="D10188" i="53"/>
  <c r="B10188" i="53"/>
  <c r="F10187" i="53"/>
  <c r="E10187" i="53"/>
  <c r="D10187" i="53"/>
  <c r="B10187" i="53"/>
  <c r="F10186" i="53"/>
  <c r="E10186" i="53"/>
  <c r="D10186" i="53"/>
  <c r="B10186" i="53"/>
  <c r="F10185" i="53"/>
  <c r="E10185" i="53"/>
  <c r="D10185" i="53"/>
  <c r="B10185" i="53"/>
  <c r="F10184" i="53"/>
  <c r="E10184" i="53"/>
  <c r="D10184" i="53"/>
  <c r="B10184" i="53"/>
  <c r="F10179" i="53"/>
  <c r="G10179" i="53" s="1"/>
  <c r="B10179" i="53"/>
  <c r="F10178" i="53"/>
  <c r="G10178" i="53" s="1"/>
  <c r="B10178" i="53"/>
  <c r="F10177" i="53"/>
  <c r="G10177" i="53" s="1"/>
  <c r="B10177" i="53"/>
  <c r="F10176" i="53"/>
  <c r="G10176" i="53" s="1"/>
  <c r="B10176" i="53"/>
  <c r="F10175" i="53"/>
  <c r="G10175" i="53" s="1"/>
  <c r="B10175" i="53"/>
  <c r="F10174" i="53"/>
  <c r="G10174" i="53" s="1"/>
  <c r="B10174" i="53"/>
  <c r="F10169" i="53"/>
  <c r="E10169" i="53"/>
  <c r="D10169" i="53"/>
  <c r="B10169" i="53"/>
  <c r="F10168" i="53"/>
  <c r="E10168" i="53"/>
  <c r="D10168" i="53"/>
  <c r="B10168" i="53"/>
  <c r="F10167" i="53"/>
  <c r="E10167" i="53"/>
  <c r="D10167" i="53"/>
  <c r="B10167" i="53"/>
  <c r="F10166" i="53"/>
  <c r="E10166" i="53"/>
  <c r="D10166" i="53"/>
  <c r="B10166" i="53"/>
  <c r="F10165" i="53"/>
  <c r="E10165" i="53"/>
  <c r="D10165" i="53"/>
  <c r="B10165" i="53"/>
  <c r="F10164" i="53"/>
  <c r="E10164" i="53"/>
  <c r="D10164" i="53"/>
  <c r="B10164" i="53"/>
  <c r="A10085" i="53"/>
  <c r="A10084" i="53"/>
  <c r="D10084" i="53" s="1"/>
  <c r="A10089" i="53"/>
  <c r="D10089" i="53" s="1"/>
  <c r="A10088" i="53"/>
  <c r="D10088" i="53" s="1"/>
  <c r="A10087" i="53"/>
  <c r="D10087" i="53" s="1"/>
  <c r="A10086" i="53"/>
  <c r="A10081" i="53"/>
  <c r="B10081" i="53"/>
  <c r="F10135" i="53"/>
  <c r="G10135" i="53" s="1"/>
  <c r="D10135" i="53"/>
  <c r="B10135" i="53"/>
  <c r="F10134" i="53"/>
  <c r="G10134" i="53" s="1"/>
  <c r="D10134" i="53"/>
  <c r="B10134" i="53"/>
  <c r="F10133" i="53"/>
  <c r="G10133" i="53" s="1"/>
  <c r="D10133" i="53"/>
  <c r="B10133" i="53"/>
  <c r="F10132" i="53"/>
  <c r="G10132" i="53" s="1"/>
  <c r="D10132" i="53"/>
  <c r="B10132" i="53"/>
  <c r="F10131" i="53"/>
  <c r="G10131" i="53" s="1"/>
  <c r="D10131" i="53"/>
  <c r="B10131" i="53"/>
  <c r="F10126" i="53"/>
  <c r="E10126" i="53"/>
  <c r="D10126" i="53"/>
  <c r="B10126" i="53"/>
  <c r="F10125" i="53"/>
  <c r="E10125" i="53"/>
  <c r="D10125" i="53"/>
  <c r="B10125" i="53"/>
  <c r="F10124" i="53"/>
  <c r="E10124" i="53"/>
  <c r="D10124" i="53"/>
  <c r="B10124" i="53"/>
  <c r="F10123" i="53"/>
  <c r="E10123" i="53"/>
  <c r="D10123" i="53"/>
  <c r="B10123" i="53"/>
  <c r="F10122" i="53"/>
  <c r="E10122" i="53"/>
  <c r="D10122" i="53"/>
  <c r="B10122" i="53"/>
  <c r="F10121" i="53"/>
  <c r="E10121" i="53"/>
  <c r="D10121" i="53"/>
  <c r="B10121" i="53"/>
  <c r="F10120" i="53"/>
  <c r="E10120" i="53"/>
  <c r="D10120" i="53"/>
  <c r="B10120" i="53"/>
  <c r="F10119" i="53"/>
  <c r="E10119" i="53"/>
  <c r="D10119" i="53"/>
  <c r="B10119" i="53"/>
  <c r="F10118" i="53"/>
  <c r="E10118" i="53"/>
  <c r="D10118" i="53"/>
  <c r="B10118" i="53"/>
  <c r="F10117" i="53"/>
  <c r="E10117" i="53"/>
  <c r="D10117" i="53"/>
  <c r="B10117" i="53"/>
  <c r="F10116" i="53"/>
  <c r="E10116" i="53"/>
  <c r="D10116" i="53"/>
  <c r="B10116" i="53"/>
  <c r="F10115" i="53"/>
  <c r="E10115" i="53"/>
  <c r="D10115" i="53"/>
  <c r="B10115" i="53"/>
  <c r="F10114" i="53"/>
  <c r="E10114" i="53"/>
  <c r="D10114" i="53"/>
  <c r="B10114" i="53"/>
  <c r="F10109" i="53"/>
  <c r="G10109" i="53" s="1"/>
  <c r="B10109" i="53"/>
  <c r="F10108" i="53"/>
  <c r="G10108" i="53" s="1"/>
  <c r="B10108" i="53"/>
  <c r="F10107" i="53"/>
  <c r="G10107" i="53" s="1"/>
  <c r="B10107" i="53"/>
  <c r="F10106" i="53"/>
  <c r="G10106" i="53" s="1"/>
  <c r="B10106" i="53"/>
  <c r="F10105" i="53"/>
  <c r="G10105" i="53" s="1"/>
  <c r="B10105" i="53"/>
  <c r="F10104" i="53"/>
  <c r="G10104" i="53" s="1"/>
  <c r="B10104" i="53"/>
  <c r="F10099" i="53"/>
  <c r="E10099" i="53"/>
  <c r="D10099" i="53"/>
  <c r="B10099" i="53"/>
  <c r="F10098" i="53"/>
  <c r="E10098" i="53"/>
  <c r="D10098" i="53"/>
  <c r="B10098" i="53"/>
  <c r="F10097" i="53"/>
  <c r="E10097" i="53"/>
  <c r="D10097" i="53"/>
  <c r="B10097" i="53"/>
  <c r="F10096" i="53"/>
  <c r="E10096" i="53"/>
  <c r="D10096" i="53"/>
  <c r="B10096" i="53"/>
  <c r="F10095" i="53"/>
  <c r="E10095" i="53"/>
  <c r="D10095" i="53"/>
  <c r="B10095" i="53"/>
  <c r="F10094" i="53"/>
  <c r="E10094" i="53"/>
  <c r="D10094" i="53"/>
  <c r="B10094" i="53"/>
  <c r="A10019" i="53"/>
  <c r="D10019" i="53" s="1"/>
  <c r="A10018" i="53"/>
  <c r="A10017" i="53"/>
  <c r="B10017" i="53" s="1"/>
  <c r="A10016" i="53"/>
  <c r="B10016" i="53" s="1"/>
  <c r="A10015" i="53"/>
  <c r="A10014" i="53"/>
  <c r="D10014" i="53" s="1"/>
  <c r="A10011" i="53"/>
  <c r="B10011" i="53"/>
  <c r="F10065" i="53"/>
  <c r="G10065" i="53" s="1"/>
  <c r="D10065" i="53"/>
  <c r="B10065" i="53"/>
  <c r="F10064" i="53"/>
  <c r="G10064" i="53" s="1"/>
  <c r="D10064" i="53"/>
  <c r="B10064" i="53"/>
  <c r="F10063" i="53"/>
  <c r="G10063" i="53" s="1"/>
  <c r="D10063" i="53"/>
  <c r="B10063" i="53"/>
  <c r="F10062" i="53"/>
  <c r="G10062" i="53" s="1"/>
  <c r="D10062" i="53"/>
  <c r="B10062" i="53"/>
  <c r="F10061" i="53"/>
  <c r="G10061" i="53" s="1"/>
  <c r="D10061" i="53"/>
  <c r="B10061" i="53"/>
  <c r="F10056" i="53"/>
  <c r="E10056" i="53"/>
  <c r="D10056" i="53"/>
  <c r="B10056" i="53"/>
  <c r="F10055" i="53"/>
  <c r="E10055" i="53"/>
  <c r="D10055" i="53"/>
  <c r="B10055" i="53"/>
  <c r="F10054" i="53"/>
  <c r="E10054" i="53"/>
  <c r="D10054" i="53"/>
  <c r="B10054" i="53"/>
  <c r="F10053" i="53"/>
  <c r="E10053" i="53"/>
  <c r="D10053" i="53"/>
  <c r="B10053" i="53"/>
  <c r="F10052" i="53"/>
  <c r="E10052" i="53"/>
  <c r="D10052" i="53"/>
  <c r="B10052" i="53"/>
  <c r="F10051" i="53"/>
  <c r="E10051" i="53"/>
  <c r="D10051" i="53"/>
  <c r="B10051" i="53"/>
  <c r="F10050" i="53"/>
  <c r="E10050" i="53"/>
  <c r="D10050" i="53"/>
  <c r="B10050" i="53"/>
  <c r="F10049" i="53"/>
  <c r="E10049" i="53"/>
  <c r="D10049" i="53"/>
  <c r="B10049" i="53"/>
  <c r="F10048" i="53"/>
  <c r="E10048" i="53"/>
  <c r="D10048" i="53"/>
  <c r="B10048" i="53"/>
  <c r="F10047" i="53"/>
  <c r="E10047" i="53"/>
  <c r="D10047" i="53"/>
  <c r="B10047" i="53"/>
  <c r="F10046" i="53"/>
  <c r="E10046" i="53"/>
  <c r="D10046" i="53"/>
  <c r="B10046" i="53"/>
  <c r="F10045" i="53"/>
  <c r="E10045" i="53"/>
  <c r="D10045" i="53"/>
  <c r="B10045" i="53"/>
  <c r="F10044" i="53"/>
  <c r="E10044" i="53"/>
  <c r="D10044" i="53"/>
  <c r="B10044" i="53"/>
  <c r="F10039" i="53"/>
  <c r="G10039" i="53" s="1"/>
  <c r="B10039" i="53"/>
  <c r="F10038" i="53"/>
  <c r="G10038" i="53" s="1"/>
  <c r="B10038" i="53"/>
  <c r="F10037" i="53"/>
  <c r="G10037" i="53" s="1"/>
  <c r="B10037" i="53"/>
  <c r="F10036" i="53"/>
  <c r="G10036" i="53" s="1"/>
  <c r="B10036" i="53"/>
  <c r="F10035" i="53"/>
  <c r="G10035" i="53" s="1"/>
  <c r="B10035" i="53"/>
  <c r="F10034" i="53"/>
  <c r="G10034" i="53" s="1"/>
  <c r="B10034" i="53"/>
  <c r="F10029" i="53"/>
  <c r="E10029" i="53"/>
  <c r="D10029" i="53"/>
  <c r="B10029" i="53"/>
  <c r="F10028" i="53"/>
  <c r="E10028" i="53"/>
  <c r="D10028" i="53"/>
  <c r="B10028" i="53"/>
  <c r="F10027" i="53"/>
  <c r="E10027" i="53"/>
  <c r="D10027" i="53"/>
  <c r="B10027" i="53"/>
  <c r="F10026" i="53"/>
  <c r="E10026" i="53"/>
  <c r="D10026" i="53"/>
  <c r="B10026" i="53"/>
  <c r="F10025" i="53"/>
  <c r="E10025" i="53"/>
  <c r="D10025" i="53"/>
  <c r="B10025" i="53"/>
  <c r="F10024" i="53"/>
  <c r="E10024" i="53"/>
  <c r="D10024" i="53"/>
  <c r="B10024" i="53"/>
  <c r="D21745" i="53" l="1"/>
  <c r="D13171" i="53"/>
  <c r="D21748" i="53"/>
  <c r="B13169" i="53"/>
  <c r="G21780" i="53"/>
  <c r="G21782" i="53"/>
  <c r="D13162" i="53"/>
  <c r="G21756" i="53"/>
  <c r="G13196" i="53"/>
  <c r="G13198" i="53"/>
  <c r="G13204" i="53"/>
  <c r="G13206" i="53"/>
  <c r="G21757" i="53"/>
  <c r="G21759" i="53"/>
  <c r="G13199" i="53"/>
  <c r="G13201" i="53"/>
  <c r="G13205" i="53"/>
  <c r="G13207" i="53"/>
  <c r="G13102" i="53"/>
  <c r="G13104" i="53"/>
  <c r="G13106" i="53"/>
  <c r="D13167" i="53"/>
  <c r="G21784" i="53"/>
  <c r="G21754" i="53"/>
  <c r="G21758" i="53"/>
  <c r="G21755" i="53"/>
  <c r="G21779" i="53"/>
  <c r="B13168" i="53"/>
  <c r="G13179" i="53"/>
  <c r="G13181" i="53"/>
  <c r="G21775" i="53"/>
  <c r="G21777" i="53"/>
  <c r="G21774" i="53"/>
  <c r="G21776" i="53"/>
  <c r="G21781" i="53"/>
  <c r="G21783" i="53"/>
  <c r="G21785" i="53"/>
  <c r="G10230" i="53"/>
  <c r="G13178" i="53"/>
  <c r="G13203" i="53"/>
  <c r="G21796" i="53"/>
  <c r="G21778" i="53"/>
  <c r="G13177" i="53"/>
  <c r="G21786" i="53"/>
  <c r="D21744" i="53"/>
  <c r="G21770" i="53"/>
  <c r="D13169" i="53"/>
  <c r="G13200" i="53"/>
  <c r="D21741" i="53"/>
  <c r="D21746" i="53"/>
  <c r="G13202" i="53"/>
  <c r="D13093" i="53"/>
  <c r="G13197" i="53"/>
  <c r="G13208" i="53"/>
  <c r="D13085" i="53"/>
  <c r="D13095" i="53"/>
  <c r="B21742" i="53"/>
  <c r="B21747" i="53"/>
  <c r="D13168" i="53"/>
  <c r="G13176" i="53"/>
  <c r="D21742" i="53"/>
  <c r="B21744" i="53"/>
  <c r="D21747" i="53"/>
  <c r="G13124" i="53"/>
  <c r="G13134" i="53"/>
  <c r="G13180" i="53"/>
  <c r="G13214" i="53"/>
  <c r="G13192" i="53"/>
  <c r="G10250" i="53"/>
  <c r="G10260" i="53"/>
  <c r="G13105" i="53"/>
  <c r="G13107" i="53"/>
  <c r="B13158" i="53"/>
  <c r="B13163" i="53"/>
  <c r="B13160" i="53"/>
  <c r="B13166" i="53"/>
  <c r="G10234" i="53"/>
  <c r="D13166" i="53"/>
  <c r="B13159" i="53"/>
  <c r="B13164" i="53"/>
  <c r="G10116" i="53"/>
  <c r="G10120" i="53"/>
  <c r="G10194" i="53"/>
  <c r="G10196" i="53"/>
  <c r="B13086" i="53"/>
  <c r="D13159" i="53"/>
  <c r="B13161" i="53"/>
  <c r="D13164" i="53"/>
  <c r="B13170" i="53"/>
  <c r="G13125" i="53"/>
  <c r="G13127" i="53"/>
  <c r="G13129" i="53"/>
  <c r="G13133" i="53"/>
  <c r="G13122" i="53"/>
  <c r="G13130" i="53"/>
  <c r="G13132" i="53"/>
  <c r="B13097" i="53"/>
  <c r="B13090" i="53"/>
  <c r="D13094" i="53"/>
  <c r="D13092" i="53"/>
  <c r="D13090" i="53"/>
  <c r="B13096" i="53"/>
  <c r="B13093" i="53"/>
  <c r="D13096" i="53"/>
  <c r="G13131" i="53"/>
  <c r="G10262" i="53"/>
  <c r="B13088" i="53"/>
  <c r="G13126" i="53"/>
  <c r="G13128" i="53"/>
  <c r="G13103" i="53"/>
  <c r="G10048" i="53"/>
  <c r="G10050" i="53"/>
  <c r="G13123" i="53"/>
  <c r="G10233" i="53"/>
  <c r="G13118" i="53"/>
  <c r="G13140" i="53"/>
  <c r="G10164" i="53"/>
  <c r="G10166" i="53"/>
  <c r="G10168" i="53"/>
  <c r="B13087" i="53"/>
  <c r="D13087" i="53"/>
  <c r="G10193" i="53"/>
  <c r="B13084" i="53"/>
  <c r="B13089" i="53"/>
  <c r="B10155" i="53"/>
  <c r="D13084" i="53"/>
  <c r="D13089" i="53"/>
  <c r="G10169" i="53"/>
  <c r="G10094" i="53"/>
  <c r="G10098" i="53"/>
  <c r="G10186" i="53"/>
  <c r="G10254" i="53"/>
  <c r="G10258" i="53"/>
  <c r="G10184" i="53"/>
  <c r="G10231" i="53"/>
  <c r="G10251" i="53"/>
  <c r="G10253" i="53"/>
  <c r="G10255" i="53"/>
  <c r="G10257" i="53"/>
  <c r="G10259" i="53"/>
  <c r="G10190" i="53"/>
  <c r="G10192" i="53"/>
  <c r="G10235" i="53"/>
  <c r="G10099" i="53"/>
  <c r="G10122" i="53"/>
  <c r="G10124" i="53"/>
  <c r="G10232" i="53"/>
  <c r="G10252" i="53"/>
  <c r="G10256" i="53"/>
  <c r="G10165" i="53"/>
  <c r="G10167" i="53"/>
  <c r="G10121" i="53"/>
  <c r="G10261" i="53"/>
  <c r="G10272" i="53"/>
  <c r="G10246" i="53"/>
  <c r="G10185" i="53"/>
  <c r="G10095" i="53"/>
  <c r="G10097" i="53"/>
  <c r="G10123" i="53"/>
  <c r="G10125" i="53"/>
  <c r="G10187" i="53"/>
  <c r="G10189" i="53"/>
  <c r="G10191" i="53"/>
  <c r="B10224" i="53"/>
  <c r="G10115" i="53"/>
  <c r="G10117" i="53"/>
  <c r="G10188" i="53"/>
  <c r="G10110" i="53"/>
  <c r="G10195" i="53"/>
  <c r="B10158" i="53"/>
  <c r="B10156" i="53"/>
  <c r="G10180" i="53"/>
  <c r="G10206" i="53"/>
  <c r="B10157" i="53"/>
  <c r="G10114" i="53"/>
  <c r="D10157" i="53"/>
  <c r="G10055" i="53"/>
  <c r="G10096" i="53"/>
  <c r="G10118" i="53"/>
  <c r="B10154" i="53"/>
  <c r="B10159" i="53"/>
  <c r="D10154" i="53"/>
  <c r="D10159" i="53"/>
  <c r="G10026" i="53"/>
  <c r="G10025" i="53"/>
  <c r="G10054" i="53"/>
  <c r="G10126" i="53"/>
  <c r="G10119" i="53"/>
  <c r="B10085" i="53"/>
  <c r="B10086" i="53"/>
  <c r="B10087" i="53"/>
  <c r="D10085" i="53"/>
  <c r="G10136" i="53"/>
  <c r="B10089" i="53"/>
  <c r="G10044" i="53"/>
  <c r="G10046" i="53"/>
  <c r="G10052" i="53"/>
  <c r="B10019" i="53"/>
  <c r="B10084" i="53"/>
  <c r="G10024" i="53"/>
  <c r="B10088" i="53"/>
  <c r="G10028" i="53"/>
  <c r="G10049" i="53"/>
  <c r="G10040" i="53"/>
  <c r="G10053" i="53"/>
  <c r="G10027" i="53"/>
  <c r="G10056" i="53"/>
  <c r="G10045" i="53"/>
  <c r="G10029" i="53"/>
  <c r="G10047" i="53"/>
  <c r="G10051" i="53"/>
  <c r="D10017" i="53"/>
  <c r="B10014" i="53"/>
  <c r="B10015" i="53"/>
  <c r="D10015" i="53"/>
  <c r="B10018" i="53"/>
  <c r="D10018" i="53"/>
  <c r="G10066" i="53"/>
  <c r="G13182" i="53" l="1"/>
  <c r="G21760" i="53"/>
  <c r="G21787" i="53"/>
  <c r="G13209" i="53"/>
  <c r="G13108" i="53"/>
  <c r="G13135" i="53"/>
  <c r="G10263" i="53"/>
  <c r="G10197" i="53"/>
  <c r="G10170" i="53"/>
  <c r="G10236" i="53"/>
  <c r="G10100" i="53"/>
  <c r="G10127" i="53"/>
  <c r="G10030" i="53"/>
  <c r="G10057" i="53"/>
  <c r="A11638" i="53" l="1"/>
  <c r="B11638" i="53" s="1"/>
  <c r="A11635" i="53"/>
  <c r="B11635" i="53"/>
  <c r="F11683" i="53"/>
  <c r="G11683" i="53" s="1"/>
  <c r="D11683" i="53"/>
  <c r="B11683" i="53"/>
  <c r="F11682" i="53"/>
  <c r="G11682" i="53" s="1"/>
  <c r="D11682" i="53"/>
  <c r="B11682" i="53"/>
  <c r="F11677" i="53"/>
  <c r="E11677" i="53"/>
  <c r="D11677" i="53"/>
  <c r="B11677" i="53"/>
  <c r="F11676" i="53"/>
  <c r="E11676" i="53"/>
  <c r="D11676" i="53"/>
  <c r="B11676" i="53"/>
  <c r="F11675" i="53"/>
  <c r="E11675" i="53"/>
  <c r="D11675" i="53"/>
  <c r="B11675" i="53"/>
  <c r="F11674" i="53"/>
  <c r="E11674" i="53"/>
  <c r="D11674" i="53"/>
  <c r="B11674" i="53"/>
  <c r="F11673" i="53"/>
  <c r="E11673" i="53"/>
  <c r="D11673" i="53"/>
  <c r="B11673" i="53"/>
  <c r="F11672" i="53"/>
  <c r="E11672" i="53"/>
  <c r="D11672" i="53"/>
  <c r="B11672" i="53"/>
  <c r="F11671" i="53"/>
  <c r="E11671" i="53"/>
  <c r="D11671" i="53"/>
  <c r="B11671" i="53"/>
  <c r="F11670" i="53"/>
  <c r="E11670" i="53"/>
  <c r="D11670" i="53"/>
  <c r="B11670" i="53"/>
  <c r="F11669" i="53"/>
  <c r="E11669" i="53"/>
  <c r="D11669" i="53"/>
  <c r="B11669" i="53"/>
  <c r="F11668" i="53"/>
  <c r="E11668" i="53"/>
  <c r="D11668" i="53"/>
  <c r="B11668" i="53"/>
  <c r="F11667" i="53"/>
  <c r="E11667" i="53"/>
  <c r="D11667" i="53"/>
  <c r="B11667" i="53"/>
  <c r="F11666" i="53"/>
  <c r="E11666" i="53"/>
  <c r="D11666" i="53"/>
  <c r="B11666" i="53"/>
  <c r="F11665" i="53"/>
  <c r="E11665" i="53"/>
  <c r="D11665" i="53"/>
  <c r="B11665" i="53"/>
  <c r="F11660" i="53"/>
  <c r="G11660" i="53" s="1"/>
  <c r="B11660" i="53"/>
  <c r="F11659" i="53"/>
  <c r="G11659" i="53" s="1"/>
  <c r="B11659" i="53"/>
  <c r="F11658" i="53"/>
  <c r="G11658" i="53" s="1"/>
  <c r="B11658" i="53"/>
  <c r="F11657" i="53"/>
  <c r="G11657" i="53" s="1"/>
  <c r="B11657" i="53"/>
  <c r="F11656" i="53"/>
  <c r="G11656" i="53" s="1"/>
  <c r="B11656" i="53"/>
  <c r="F11655" i="53"/>
  <c r="G11655" i="53" s="1"/>
  <c r="B11655" i="53"/>
  <c r="F11654" i="53"/>
  <c r="G11654" i="53" s="1"/>
  <c r="B11654" i="53"/>
  <c r="F11648" i="53"/>
  <c r="E11648" i="53"/>
  <c r="D11648" i="53"/>
  <c r="B11648" i="53"/>
  <c r="F11647" i="53"/>
  <c r="E11647" i="53"/>
  <c r="D11647" i="53"/>
  <c r="B11647" i="53"/>
  <c r="F11646" i="53"/>
  <c r="E11646" i="53"/>
  <c r="D11646" i="53"/>
  <c r="B11646" i="53"/>
  <c r="F11645" i="53"/>
  <c r="E11645" i="53"/>
  <c r="D11645" i="53"/>
  <c r="B11645" i="53"/>
  <c r="F11644" i="53"/>
  <c r="E11644" i="53"/>
  <c r="D11644" i="53"/>
  <c r="B11644" i="53"/>
  <c r="F11643" i="53"/>
  <c r="E11643" i="53"/>
  <c r="D11643" i="53"/>
  <c r="B11643" i="53"/>
  <c r="A11574" i="53"/>
  <c r="A11571" i="53"/>
  <c r="B11571" i="53"/>
  <c r="F11619" i="53"/>
  <c r="G11619" i="53" s="1"/>
  <c r="D11619" i="53"/>
  <c r="B11619" i="53"/>
  <c r="F11618" i="53"/>
  <c r="G11618" i="53" s="1"/>
  <c r="D11618" i="53"/>
  <c r="B11618" i="53"/>
  <c r="F11613" i="53"/>
  <c r="E11613" i="53"/>
  <c r="D11613" i="53"/>
  <c r="B11613" i="53"/>
  <c r="F11612" i="53"/>
  <c r="E11612" i="53"/>
  <c r="D11612" i="53"/>
  <c r="B11612" i="53"/>
  <c r="F11611" i="53"/>
  <c r="E11611" i="53"/>
  <c r="D11611" i="53"/>
  <c r="B11611" i="53"/>
  <c r="F11610" i="53"/>
  <c r="E11610" i="53"/>
  <c r="D11610" i="53"/>
  <c r="B11610" i="53"/>
  <c r="F11609" i="53"/>
  <c r="E11609" i="53"/>
  <c r="D11609" i="53"/>
  <c r="B11609" i="53"/>
  <c r="F11608" i="53"/>
  <c r="E11608" i="53"/>
  <c r="D11608" i="53"/>
  <c r="B11608" i="53"/>
  <c r="F11607" i="53"/>
  <c r="E11607" i="53"/>
  <c r="D11607" i="53"/>
  <c r="B11607" i="53"/>
  <c r="F11606" i="53"/>
  <c r="E11606" i="53"/>
  <c r="D11606" i="53"/>
  <c r="B11606" i="53"/>
  <c r="F11605" i="53"/>
  <c r="E11605" i="53"/>
  <c r="D11605" i="53"/>
  <c r="B11605" i="53"/>
  <c r="F11604" i="53"/>
  <c r="E11604" i="53"/>
  <c r="D11604" i="53"/>
  <c r="B11604" i="53"/>
  <c r="F11603" i="53"/>
  <c r="E11603" i="53"/>
  <c r="D11603" i="53"/>
  <c r="B11603" i="53"/>
  <c r="F11602" i="53"/>
  <c r="E11602" i="53"/>
  <c r="D11602" i="53"/>
  <c r="B11602" i="53"/>
  <c r="F11601" i="53"/>
  <c r="E11601" i="53"/>
  <c r="D11601" i="53"/>
  <c r="B11601" i="53"/>
  <c r="F11596" i="53"/>
  <c r="G11596" i="53" s="1"/>
  <c r="B11596" i="53"/>
  <c r="F11595" i="53"/>
  <c r="G11595" i="53" s="1"/>
  <c r="B11595" i="53"/>
  <c r="F11594" i="53"/>
  <c r="G11594" i="53" s="1"/>
  <c r="B11594" i="53"/>
  <c r="F11593" i="53"/>
  <c r="G11593" i="53" s="1"/>
  <c r="B11593" i="53"/>
  <c r="F11592" i="53"/>
  <c r="G11592" i="53" s="1"/>
  <c r="B11592" i="53"/>
  <c r="F11591" i="53"/>
  <c r="G11591" i="53" s="1"/>
  <c r="B11591" i="53"/>
  <c r="F11590" i="53"/>
  <c r="G11590" i="53" s="1"/>
  <c r="B11590" i="53"/>
  <c r="F11584" i="53"/>
  <c r="E11584" i="53"/>
  <c r="D11584" i="53"/>
  <c r="B11584" i="53"/>
  <c r="F11583" i="53"/>
  <c r="E11583" i="53"/>
  <c r="D11583" i="53"/>
  <c r="B11583" i="53"/>
  <c r="F11582" i="53"/>
  <c r="E11582" i="53"/>
  <c r="D11582" i="53"/>
  <c r="B11582" i="53"/>
  <c r="F11581" i="53"/>
  <c r="E11581" i="53"/>
  <c r="D11581" i="53"/>
  <c r="B11581" i="53"/>
  <c r="F11580" i="53"/>
  <c r="E11580" i="53"/>
  <c r="D11580" i="53"/>
  <c r="B11580" i="53"/>
  <c r="F11579" i="53"/>
  <c r="E11579" i="53"/>
  <c r="D11579" i="53"/>
  <c r="B11579" i="53"/>
  <c r="C438" i="55"/>
  <c r="A11447" i="53"/>
  <c r="E540" i="55"/>
  <c r="C540" i="55" s="1"/>
  <c r="A11444" i="53"/>
  <c r="B11444" i="53"/>
  <c r="F11493" i="53"/>
  <c r="G11493" i="53" s="1"/>
  <c r="D11493" i="53"/>
  <c r="B11493" i="53"/>
  <c r="F11492" i="53"/>
  <c r="G11492" i="53" s="1"/>
  <c r="D11492" i="53"/>
  <c r="B11492" i="53"/>
  <c r="F11491" i="53"/>
  <c r="G11491" i="53" s="1"/>
  <c r="D11491" i="53"/>
  <c r="B11491" i="53"/>
  <c r="F11486" i="53"/>
  <c r="E11486" i="53"/>
  <c r="D11486" i="53"/>
  <c r="B11486" i="53"/>
  <c r="F11485" i="53"/>
  <c r="E11485" i="53"/>
  <c r="D11485" i="53"/>
  <c r="B11485" i="53"/>
  <c r="F11484" i="53"/>
  <c r="E11484" i="53"/>
  <c r="D11484" i="53"/>
  <c r="B11484" i="53"/>
  <c r="F11483" i="53"/>
  <c r="E11483" i="53"/>
  <c r="D11483" i="53"/>
  <c r="B11483" i="53"/>
  <c r="F11482" i="53"/>
  <c r="E11482" i="53"/>
  <c r="D11482" i="53"/>
  <c r="B11482" i="53"/>
  <c r="F11481" i="53"/>
  <c r="E11481" i="53"/>
  <c r="D11481" i="53"/>
  <c r="B11481" i="53"/>
  <c r="F11480" i="53"/>
  <c r="E11480" i="53"/>
  <c r="D11480" i="53"/>
  <c r="B11480" i="53"/>
  <c r="F11479" i="53"/>
  <c r="E11479" i="53"/>
  <c r="D11479" i="53"/>
  <c r="B11479" i="53"/>
  <c r="F11478" i="53"/>
  <c r="E11478" i="53"/>
  <c r="D11478" i="53"/>
  <c r="B11478" i="53"/>
  <c r="F11477" i="53"/>
  <c r="E11477" i="53"/>
  <c r="D11477" i="53"/>
  <c r="B11477" i="53"/>
  <c r="F11476" i="53"/>
  <c r="E11476" i="53"/>
  <c r="D11476" i="53"/>
  <c r="B11476" i="53"/>
  <c r="F11475" i="53"/>
  <c r="E11475" i="53"/>
  <c r="D11475" i="53"/>
  <c r="B11475" i="53"/>
  <c r="F11474" i="53"/>
  <c r="E11474" i="53"/>
  <c r="D11474" i="53"/>
  <c r="B11474" i="53"/>
  <c r="F11469" i="53"/>
  <c r="G11469" i="53" s="1"/>
  <c r="B11469" i="53"/>
  <c r="F11468" i="53"/>
  <c r="G11468" i="53" s="1"/>
  <c r="B11468" i="53"/>
  <c r="F11467" i="53"/>
  <c r="G11467" i="53" s="1"/>
  <c r="B11467" i="53"/>
  <c r="F11466" i="53"/>
  <c r="G11466" i="53" s="1"/>
  <c r="B11466" i="53"/>
  <c r="F11461" i="53"/>
  <c r="E11461" i="53"/>
  <c r="D11461" i="53"/>
  <c r="B11461" i="53"/>
  <c r="F11460" i="53"/>
  <c r="E11460" i="53"/>
  <c r="D11460" i="53"/>
  <c r="B11460" i="53"/>
  <c r="F11459" i="53"/>
  <c r="E11459" i="53"/>
  <c r="D11459" i="53"/>
  <c r="B11459" i="53"/>
  <c r="F11458" i="53"/>
  <c r="E11458" i="53"/>
  <c r="D11458" i="53"/>
  <c r="B11458" i="53"/>
  <c r="F11457" i="53"/>
  <c r="E11457" i="53"/>
  <c r="D11457" i="53"/>
  <c r="B11457" i="53"/>
  <c r="F11456" i="53"/>
  <c r="E11456" i="53"/>
  <c r="D11456" i="53"/>
  <c r="B11456" i="53"/>
  <c r="F11455" i="53"/>
  <c r="E11455" i="53"/>
  <c r="D11455" i="53"/>
  <c r="B11455" i="53"/>
  <c r="F11454" i="53"/>
  <c r="E11454" i="53"/>
  <c r="D11454" i="53"/>
  <c r="B11454" i="53"/>
  <c r="F11449" i="53"/>
  <c r="G11449" i="53" s="1"/>
  <c r="D11449" i="53"/>
  <c r="B11449" i="53"/>
  <c r="F11448" i="53"/>
  <c r="G11448" i="53" s="1"/>
  <c r="D11448" i="53"/>
  <c r="B11448" i="53"/>
  <c r="D11638" i="53" l="1"/>
  <c r="G11460" i="53"/>
  <c r="G11481" i="53"/>
  <c r="G11582" i="53"/>
  <c r="G11602" i="53"/>
  <c r="G11606" i="53"/>
  <c r="G11610" i="53"/>
  <c r="G11669" i="53"/>
  <c r="G11671" i="53"/>
  <c r="G11673" i="53"/>
  <c r="G11583" i="53"/>
  <c r="G11603" i="53"/>
  <c r="G11675" i="53"/>
  <c r="G11645" i="53"/>
  <c r="G11647" i="53"/>
  <c r="G11677" i="53"/>
  <c r="G11668" i="53"/>
  <c r="G11670" i="53"/>
  <c r="G11672" i="53"/>
  <c r="G11483" i="53"/>
  <c r="G11667" i="53"/>
  <c r="G11666" i="53"/>
  <c r="G11579" i="53"/>
  <c r="G11581" i="53"/>
  <c r="G11646" i="53"/>
  <c r="G11648" i="53"/>
  <c r="G11454" i="53"/>
  <c r="G11456" i="53"/>
  <c r="G11665" i="53"/>
  <c r="G11644" i="53"/>
  <c r="G11605" i="53"/>
  <c r="G11607" i="53"/>
  <c r="G11609" i="53"/>
  <c r="G11611" i="53"/>
  <c r="G11674" i="53"/>
  <c r="G11684" i="53"/>
  <c r="G11476" i="53"/>
  <c r="G11676" i="53"/>
  <c r="G11643" i="53"/>
  <c r="G11661" i="53"/>
  <c r="G11601" i="53"/>
  <c r="G11608" i="53"/>
  <c r="G11474" i="53"/>
  <c r="G11478" i="53"/>
  <c r="G11580" i="53"/>
  <c r="G11612" i="53"/>
  <c r="G11484" i="53"/>
  <c r="G11584" i="53"/>
  <c r="G11455" i="53"/>
  <c r="G11457" i="53"/>
  <c r="G11459" i="53"/>
  <c r="G11597" i="53"/>
  <c r="G11604" i="53"/>
  <c r="G11613" i="53"/>
  <c r="B11574" i="53"/>
  <c r="D11574" i="53"/>
  <c r="G11620" i="53"/>
  <c r="G11458" i="53"/>
  <c r="G11485" i="53"/>
  <c r="G11480" i="53"/>
  <c r="G11482" i="53"/>
  <c r="G11486" i="53"/>
  <c r="G11475" i="53"/>
  <c r="G11461" i="53"/>
  <c r="G11477" i="53"/>
  <c r="G11479" i="53"/>
  <c r="G11494" i="53"/>
  <c r="G11470" i="53"/>
  <c r="B11447" i="53"/>
  <c r="D11447" i="53"/>
  <c r="G11650" i="53" l="1"/>
  <c r="G11586" i="53"/>
  <c r="G11678" i="53"/>
  <c r="G11487" i="53"/>
  <c r="G11462" i="53"/>
  <c r="G11614" i="53"/>
  <c r="I60" i="1" l="1"/>
  <c r="B8068" i="53"/>
  <c r="B8067" i="53"/>
  <c r="A8063" i="53"/>
  <c r="B8063" i="53"/>
  <c r="F8117" i="53"/>
  <c r="G8117" i="53" s="1"/>
  <c r="D8117" i="53"/>
  <c r="B8117" i="53"/>
  <c r="F8116" i="53"/>
  <c r="G8116" i="53" s="1"/>
  <c r="D8116" i="53"/>
  <c r="B8116" i="53"/>
  <c r="F8115" i="53"/>
  <c r="G8115" i="53" s="1"/>
  <c r="D8115" i="53"/>
  <c r="B8115" i="53"/>
  <c r="F8114" i="53"/>
  <c r="G8114" i="53" s="1"/>
  <c r="D8114" i="53"/>
  <c r="B8114" i="53"/>
  <c r="F8113" i="53"/>
  <c r="G8113" i="53" s="1"/>
  <c r="D8113" i="53"/>
  <c r="B8113" i="53"/>
  <c r="F8108" i="53"/>
  <c r="E8108" i="53"/>
  <c r="D8108" i="53"/>
  <c r="B8108" i="53"/>
  <c r="F8107" i="53"/>
  <c r="E8107" i="53"/>
  <c r="D8107" i="53"/>
  <c r="B8107" i="53"/>
  <c r="F8106" i="53"/>
  <c r="E8106" i="53"/>
  <c r="D8106" i="53"/>
  <c r="B8106" i="53"/>
  <c r="F8105" i="53"/>
  <c r="E8105" i="53"/>
  <c r="D8105" i="53"/>
  <c r="B8105" i="53"/>
  <c r="F8104" i="53"/>
  <c r="E8104" i="53"/>
  <c r="D8104" i="53"/>
  <c r="B8104" i="53"/>
  <c r="F8103" i="53"/>
  <c r="E8103" i="53"/>
  <c r="D8103" i="53"/>
  <c r="B8103" i="53"/>
  <c r="F8102" i="53"/>
  <c r="E8102" i="53"/>
  <c r="D8102" i="53"/>
  <c r="B8102" i="53"/>
  <c r="F8101" i="53"/>
  <c r="E8101" i="53"/>
  <c r="D8101" i="53"/>
  <c r="B8101" i="53"/>
  <c r="F8100" i="53"/>
  <c r="E8100" i="53"/>
  <c r="D8100" i="53"/>
  <c r="B8100" i="53"/>
  <c r="F8099" i="53"/>
  <c r="E8099" i="53"/>
  <c r="D8099" i="53"/>
  <c r="B8099" i="53"/>
  <c r="F8098" i="53"/>
  <c r="E8098" i="53"/>
  <c r="D8098" i="53"/>
  <c r="B8098" i="53"/>
  <c r="F8097" i="53"/>
  <c r="E8097" i="53"/>
  <c r="D8097" i="53"/>
  <c r="B8097" i="53"/>
  <c r="F8096" i="53"/>
  <c r="E8096" i="53"/>
  <c r="D8096" i="53"/>
  <c r="B8096" i="53"/>
  <c r="F8091" i="53"/>
  <c r="G8091" i="53" s="1"/>
  <c r="B8091" i="53"/>
  <c r="F8090" i="53"/>
  <c r="G8090" i="53" s="1"/>
  <c r="B8090" i="53"/>
  <c r="F8089" i="53"/>
  <c r="G8089" i="53" s="1"/>
  <c r="B8089" i="53"/>
  <c r="F8088" i="53"/>
  <c r="G8088" i="53" s="1"/>
  <c r="B8088" i="53"/>
  <c r="F8087" i="53"/>
  <c r="G8087" i="53" s="1"/>
  <c r="B8087" i="53"/>
  <c r="F8086" i="53"/>
  <c r="G8086" i="53" s="1"/>
  <c r="B8086" i="53"/>
  <c r="F8081" i="53"/>
  <c r="E8081" i="53"/>
  <c r="D8081" i="53"/>
  <c r="B8081" i="53"/>
  <c r="F8080" i="53"/>
  <c r="E8080" i="53"/>
  <c r="D8080" i="53"/>
  <c r="B8080" i="53"/>
  <c r="F8079" i="53"/>
  <c r="E8079" i="53"/>
  <c r="D8079" i="53"/>
  <c r="B8079" i="53"/>
  <c r="F8078" i="53"/>
  <c r="E8078" i="53"/>
  <c r="D8078" i="53"/>
  <c r="B8078" i="53"/>
  <c r="F8077" i="53"/>
  <c r="E8077" i="53"/>
  <c r="D8077" i="53"/>
  <c r="B8077" i="53"/>
  <c r="F8076" i="53"/>
  <c r="E8076" i="53"/>
  <c r="D8076" i="53"/>
  <c r="B8076" i="53"/>
  <c r="B8273" i="53"/>
  <c r="D8274" i="53"/>
  <c r="C539" i="55"/>
  <c r="F6975" i="53" s="1"/>
  <c r="G6975" i="53" s="1"/>
  <c r="C538" i="55"/>
  <c r="C537" i="55"/>
  <c r="C536" i="55"/>
  <c r="C535" i="55"/>
  <c r="A8270" i="53"/>
  <c r="B8270" i="53"/>
  <c r="F8320" i="53"/>
  <c r="G8320" i="53" s="1"/>
  <c r="D8320" i="53"/>
  <c r="B8320" i="53"/>
  <c r="F8319" i="53"/>
  <c r="G8319" i="53" s="1"/>
  <c r="D8319" i="53"/>
  <c r="B8319" i="53"/>
  <c r="F8318" i="53"/>
  <c r="G8318" i="53" s="1"/>
  <c r="D8318" i="53"/>
  <c r="B8318" i="53"/>
  <c r="F8317" i="53"/>
  <c r="G8317" i="53" s="1"/>
  <c r="D8317" i="53"/>
  <c r="B8317" i="53"/>
  <c r="F8316" i="53"/>
  <c r="G8316" i="53" s="1"/>
  <c r="D8316" i="53"/>
  <c r="B8316" i="53"/>
  <c r="F8311" i="53"/>
  <c r="E8311" i="53"/>
  <c r="D8311" i="53"/>
  <c r="B8311" i="53"/>
  <c r="F8310" i="53"/>
  <c r="E8310" i="53"/>
  <c r="D8310" i="53"/>
  <c r="B8310" i="53"/>
  <c r="F8309" i="53"/>
  <c r="E8309" i="53"/>
  <c r="D8309" i="53"/>
  <c r="B8309" i="53"/>
  <c r="F8308" i="53"/>
  <c r="E8308" i="53"/>
  <c r="D8308" i="53"/>
  <c r="B8308" i="53"/>
  <c r="F8307" i="53"/>
  <c r="E8307" i="53"/>
  <c r="D8307" i="53"/>
  <c r="B8307" i="53"/>
  <c r="F8306" i="53"/>
  <c r="E8306" i="53"/>
  <c r="D8306" i="53"/>
  <c r="B8306" i="53"/>
  <c r="F8305" i="53"/>
  <c r="E8305" i="53"/>
  <c r="D8305" i="53"/>
  <c r="B8305" i="53"/>
  <c r="F8304" i="53"/>
  <c r="E8304" i="53"/>
  <c r="D8304" i="53"/>
  <c r="B8304" i="53"/>
  <c r="F8303" i="53"/>
  <c r="E8303" i="53"/>
  <c r="D8303" i="53"/>
  <c r="B8303" i="53"/>
  <c r="F8302" i="53"/>
  <c r="E8302" i="53"/>
  <c r="D8302" i="53"/>
  <c r="B8302" i="53"/>
  <c r="F8301" i="53"/>
  <c r="E8301" i="53"/>
  <c r="D8301" i="53"/>
  <c r="B8301" i="53"/>
  <c r="F8300" i="53"/>
  <c r="E8300" i="53"/>
  <c r="D8300" i="53"/>
  <c r="B8300" i="53"/>
  <c r="F8299" i="53"/>
  <c r="E8299" i="53"/>
  <c r="D8299" i="53"/>
  <c r="B8299" i="53"/>
  <c r="F8294" i="53"/>
  <c r="G8294" i="53" s="1"/>
  <c r="B8294" i="53"/>
  <c r="F8293" i="53"/>
  <c r="G8293" i="53" s="1"/>
  <c r="B8293" i="53"/>
  <c r="F8292" i="53"/>
  <c r="G8292" i="53" s="1"/>
  <c r="B8292" i="53"/>
  <c r="F8291" i="53"/>
  <c r="G8291" i="53" s="1"/>
  <c r="B8291" i="53"/>
  <c r="F8290" i="53"/>
  <c r="G8290" i="53" s="1"/>
  <c r="B8290" i="53"/>
  <c r="F8289" i="53"/>
  <c r="G8289" i="53" s="1"/>
  <c r="B8289" i="53"/>
  <c r="F8284" i="53"/>
  <c r="E8284" i="53"/>
  <c r="D8284" i="53"/>
  <c r="B8284" i="53"/>
  <c r="F8283" i="53"/>
  <c r="E8283" i="53"/>
  <c r="D8283" i="53"/>
  <c r="B8283" i="53"/>
  <c r="F8282" i="53"/>
  <c r="E8282" i="53"/>
  <c r="D8282" i="53"/>
  <c r="B8282" i="53"/>
  <c r="F8281" i="53"/>
  <c r="E8281" i="53"/>
  <c r="D8281" i="53"/>
  <c r="B8281" i="53"/>
  <c r="F8280" i="53"/>
  <c r="E8280" i="53"/>
  <c r="D8280" i="53"/>
  <c r="B8280" i="53"/>
  <c r="F8279" i="53"/>
  <c r="E8279" i="53"/>
  <c r="D8279" i="53"/>
  <c r="B8279" i="53"/>
  <c r="D5068" i="53"/>
  <c r="F5117" i="53"/>
  <c r="G5117" i="53" s="1"/>
  <c r="D5117" i="53"/>
  <c r="B5117" i="53"/>
  <c r="F5116" i="53"/>
  <c r="G5116" i="53" s="1"/>
  <c r="D5116" i="53"/>
  <c r="B5116" i="53"/>
  <c r="F5115" i="53"/>
  <c r="G5115" i="53" s="1"/>
  <c r="D5115" i="53"/>
  <c r="B5115" i="53"/>
  <c r="F5114" i="53"/>
  <c r="G5114" i="53" s="1"/>
  <c r="D5114" i="53"/>
  <c r="B5114" i="53"/>
  <c r="F5113" i="53"/>
  <c r="G5113" i="53" s="1"/>
  <c r="D5113" i="53"/>
  <c r="B5113" i="53"/>
  <c r="F5108" i="53"/>
  <c r="E5108" i="53"/>
  <c r="D5108" i="53"/>
  <c r="B5108" i="53"/>
  <c r="F5107" i="53"/>
  <c r="E5107" i="53"/>
  <c r="D5107" i="53"/>
  <c r="B5107" i="53"/>
  <c r="F5106" i="53"/>
  <c r="E5106" i="53"/>
  <c r="D5106" i="53"/>
  <c r="B5106" i="53"/>
  <c r="F5105" i="53"/>
  <c r="E5105" i="53"/>
  <c r="D5105" i="53"/>
  <c r="B5105" i="53"/>
  <c r="F5104" i="53"/>
  <c r="E5104" i="53"/>
  <c r="D5104" i="53"/>
  <c r="B5104" i="53"/>
  <c r="F5103" i="53"/>
  <c r="E5103" i="53"/>
  <c r="D5103" i="53"/>
  <c r="B5103" i="53"/>
  <c r="F5102" i="53"/>
  <c r="E5102" i="53"/>
  <c r="D5102" i="53"/>
  <c r="B5102" i="53"/>
  <c r="F5101" i="53"/>
  <c r="E5101" i="53"/>
  <c r="D5101" i="53"/>
  <c r="B5101" i="53"/>
  <c r="F5100" i="53"/>
  <c r="E5100" i="53"/>
  <c r="D5100" i="53"/>
  <c r="B5100" i="53"/>
  <c r="F5099" i="53"/>
  <c r="E5099" i="53"/>
  <c r="D5099" i="53"/>
  <c r="B5099" i="53"/>
  <c r="F5098" i="53"/>
  <c r="E5098" i="53"/>
  <c r="D5098" i="53"/>
  <c r="B5098" i="53"/>
  <c r="F5097" i="53"/>
  <c r="E5097" i="53"/>
  <c r="D5097" i="53"/>
  <c r="B5097" i="53"/>
  <c r="F5096" i="53"/>
  <c r="E5096" i="53"/>
  <c r="D5096" i="53"/>
  <c r="B5096" i="53"/>
  <c r="F5091" i="53"/>
  <c r="G5091" i="53" s="1"/>
  <c r="B5091" i="53"/>
  <c r="F5090" i="53"/>
  <c r="G5090" i="53" s="1"/>
  <c r="B5090" i="53"/>
  <c r="F5089" i="53"/>
  <c r="G5089" i="53" s="1"/>
  <c r="B5089" i="53"/>
  <c r="F5088" i="53"/>
  <c r="G5088" i="53" s="1"/>
  <c r="B5088" i="53"/>
  <c r="F5087" i="53"/>
  <c r="G5087" i="53" s="1"/>
  <c r="B5087" i="53"/>
  <c r="F5086" i="53"/>
  <c r="G5086" i="53" s="1"/>
  <c r="B5086" i="53"/>
  <c r="F5081" i="53"/>
  <c r="E5081" i="53"/>
  <c r="D5081" i="53"/>
  <c r="B5081" i="53"/>
  <c r="F5080" i="53"/>
  <c r="E5080" i="53"/>
  <c r="D5080" i="53"/>
  <c r="B5080" i="53"/>
  <c r="F5079" i="53"/>
  <c r="E5079" i="53"/>
  <c r="D5079" i="53"/>
  <c r="B5079" i="53"/>
  <c r="F5078" i="53"/>
  <c r="E5078" i="53"/>
  <c r="D5078" i="53"/>
  <c r="B5078" i="53"/>
  <c r="F5077" i="53"/>
  <c r="E5077" i="53"/>
  <c r="D5077" i="53"/>
  <c r="B5077" i="53"/>
  <c r="F5076" i="53"/>
  <c r="E5076" i="53"/>
  <c r="D5076" i="53"/>
  <c r="B5076" i="53"/>
  <c r="F5071" i="53"/>
  <c r="G5071" i="53" s="1"/>
  <c r="D5071" i="53"/>
  <c r="B5071" i="53"/>
  <c r="F5070" i="53"/>
  <c r="G5070" i="53" s="1"/>
  <c r="D5070" i="53"/>
  <c r="B5070" i="53"/>
  <c r="D5069" i="53"/>
  <c r="B5069" i="53"/>
  <c r="I59" i="1" l="1"/>
  <c r="I58" i="1"/>
  <c r="B5068" i="53"/>
  <c r="D8067" i="53"/>
  <c r="G8077" i="53"/>
  <c r="G8079" i="53"/>
  <c r="D8068" i="53"/>
  <c r="G8099" i="53"/>
  <c r="G8101" i="53"/>
  <c r="G8103" i="53"/>
  <c r="G8311" i="53"/>
  <c r="G8309" i="53"/>
  <c r="G8096" i="53"/>
  <c r="G8098" i="53"/>
  <c r="G8080" i="53"/>
  <c r="G8100" i="53"/>
  <c r="G8102" i="53"/>
  <c r="G8106" i="53"/>
  <c r="G8078" i="53"/>
  <c r="G8280" i="53"/>
  <c r="G8307" i="53"/>
  <c r="G8097" i="53"/>
  <c r="G8105" i="53"/>
  <c r="G8081" i="53"/>
  <c r="G8076" i="53"/>
  <c r="G8107" i="53"/>
  <c r="G8104" i="53"/>
  <c r="G8108" i="53"/>
  <c r="G8118" i="53"/>
  <c r="G8092" i="53"/>
  <c r="G5097" i="53"/>
  <c r="G5099" i="53"/>
  <c r="G5103" i="53"/>
  <c r="G5107" i="53"/>
  <c r="B8066" i="53"/>
  <c r="D8066" i="53"/>
  <c r="D8273" i="53"/>
  <c r="B8274" i="53"/>
  <c r="F8274" i="53"/>
  <c r="G8274" i="53" s="1"/>
  <c r="G8281" i="53"/>
  <c r="G8299" i="53"/>
  <c r="G5078" i="53"/>
  <c r="G5080" i="53"/>
  <c r="G8306" i="53"/>
  <c r="G8282" i="53"/>
  <c r="G8300" i="53"/>
  <c r="G8302" i="53"/>
  <c r="G8304" i="53"/>
  <c r="G5077" i="53"/>
  <c r="G8279" i="53"/>
  <c r="G8301" i="53"/>
  <c r="G8303" i="53"/>
  <c r="G8305" i="53"/>
  <c r="G5102" i="53"/>
  <c r="G8283" i="53"/>
  <c r="G8321" i="53"/>
  <c r="G5104" i="53"/>
  <c r="G5106" i="53"/>
  <c r="G8308" i="53"/>
  <c r="G8310" i="53"/>
  <c r="G5081" i="53"/>
  <c r="G8284" i="53"/>
  <c r="G8295" i="53"/>
  <c r="G5076" i="53"/>
  <c r="G5105" i="53"/>
  <c r="G5096" i="53"/>
  <c r="G5098" i="53"/>
  <c r="G5100" i="53"/>
  <c r="G5079" i="53"/>
  <c r="G5108" i="53"/>
  <c r="G5101" i="53"/>
  <c r="G5118" i="53"/>
  <c r="G5092" i="53"/>
  <c r="G5082" i="53" l="1"/>
  <c r="G8082" i="53"/>
  <c r="G8109" i="53"/>
  <c r="G8312" i="53"/>
  <c r="G8285" i="53"/>
  <c r="G5109" i="53"/>
  <c r="B8339" i="53" l="1"/>
  <c r="F8385" i="53"/>
  <c r="G8385" i="53" s="1"/>
  <c r="D8385" i="53"/>
  <c r="B8385" i="53"/>
  <c r="F8384" i="53"/>
  <c r="G8384" i="53" s="1"/>
  <c r="D8384" i="53"/>
  <c r="B8384" i="53"/>
  <c r="F8383" i="53"/>
  <c r="G8383" i="53" s="1"/>
  <c r="D8383" i="53"/>
  <c r="B8383" i="53"/>
  <c r="F8382" i="53"/>
  <c r="G8382" i="53" s="1"/>
  <c r="D8382" i="53"/>
  <c r="B8382" i="53"/>
  <c r="F8381" i="53"/>
  <c r="G8381" i="53" s="1"/>
  <c r="D8381" i="53"/>
  <c r="B8381" i="53"/>
  <c r="F8376" i="53"/>
  <c r="E8376" i="53"/>
  <c r="D8376" i="53"/>
  <c r="B8376" i="53"/>
  <c r="F8375" i="53"/>
  <c r="E8375" i="53"/>
  <c r="D8375" i="53"/>
  <c r="B8375" i="53"/>
  <c r="F8374" i="53"/>
  <c r="E8374" i="53"/>
  <c r="D8374" i="53"/>
  <c r="B8374" i="53"/>
  <c r="F8373" i="53"/>
  <c r="E8373" i="53"/>
  <c r="D8373" i="53"/>
  <c r="B8373" i="53"/>
  <c r="F8372" i="53"/>
  <c r="E8372" i="53"/>
  <c r="D8372" i="53"/>
  <c r="B8372" i="53"/>
  <c r="F8371" i="53"/>
  <c r="E8371" i="53"/>
  <c r="D8371" i="53"/>
  <c r="B8371" i="53"/>
  <c r="F8370" i="53"/>
  <c r="E8370" i="53"/>
  <c r="D8370" i="53"/>
  <c r="B8370" i="53"/>
  <c r="F8369" i="53"/>
  <c r="E8369" i="53"/>
  <c r="D8369" i="53"/>
  <c r="B8369" i="53"/>
  <c r="F8368" i="53"/>
  <c r="E8368" i="53"/>
  <c r="D8368" i="53"/>
  <c r="B8368" i="53"/>
  <c r="F8367" i="53"/>
  <c r="E8367" i="53"/>
  <c r="D8367" i="53"/>
  <c r="B8367" i="53"/>
  <c r="F8366" i="53"/>
  <c r="E8366" i="53"/>
  <c r="D8366" i="53"/>
  <c r="B8366" i="53"/>
  <c r="F8365" i="53"/>
  <c r="E8365" i="53"/>
  <c r="D8365" i="53"/>
  <c r="B8365" i="53"/>
  <c r="F8364" i="53"/>
  <c r="E8364" i="53"/>
  <c r="D8364" i="53"/>
  <c r="B8364" i="53"/>
  <c r="F8359" i="53"/>
  <c r="G8359" i="53" s="1"/>
  <c r="B8359" i="53"/>
  <c r="F8358" i="53"/>
  <c r="G8358" i="53" s="1"/>
  <c r="B8358" i="53"/>
  <c r="F8357" i="53"/>
  <c r="G8357" i="53" s="1"/>
  <c r="B8357" i="53"/>
  <c r="F8356" i="53"/>
  <c r="G8356" i="53" s="1"/>
  <c r="B8356" i="53"/>
  <c r="F8355" i="53"/>
  <c r="G8355" i="53" s="1"/>
  <c r="B8355" i="53"/>
  <c r="F8354" i="53"/>
  <c r="G8354" i="53" s="1"/>
  <c r="B8354" i="53"/>
  <c r="F8349" i="53"/>
  <c r="E8349" i="53"/>
  <c r="D8349" i="53"/>
  <c r="B8349" i="53"/>
  <c r="F8348" i="53"/>
  <c r="E8348" i="53"/>
  <c r="D8348" i="53"/>
  <c r="B8348" i="53"/>
  <c r="F8347" i="53"/>
  <c r="E8347" i="53"/>
  <c r="D8347" i="53"/>
  <c r="B8347" i="53"/>
  <c r="F8346" i="53"/>
  <c r="E8346" i="53"/>
  <c r="D8346" i="53"/>
  <c r="B8346" i="53"/>
  <c r="F8345" i="53"/>
  <c r="E8345" i="53"/>
  <c r="D8345" i="53"/>
  <c r="B8345" i="53"/>
  <c r="F8344" i="53"/>
  <c r="E8344" i="53"/>
  <c r="D8344" i="53"/>
  <c r="B8344" i="53"/>
  <c r="B7999" i="53"/>
  <c r="D8000" i="53"/>
  <c r="B7998" i="53"/>
  <c r="A7995" i="53"/>
  <c r="B7995" i="53"/>
  <c r="F8047" i="53"/>
  <c r="G8047" i="53" s="1"/>
  <c r="D8047" i="53"/>
  <c r="B8047" i="53"/>
  <c r="F8046" i="53"/>
  <c r="G8046" i="53" s="1"/>
  <c r="D8046" i="53"/>
  <c r="B8046" i="53"/>
  <c r="F8045" i="53"/>
  <c r="G8045" i="53" s="1"/>
  <c r="D8045" i="53"/>
  <c r="B8045" i="53"/>
  <c r="F8044" i="53"/>
  <c r="G8044" i="53" s="1"/>
  <c r="D8044" i="53"/>
  <c r="B8044" i="53"/>
  <c r="F8043" i="53"/>
  <c r="G8043" i="53" s="1"/>
  <c r="D8043" i="53"/>
  <c r="B8043" i="53"/>
  <c r="F8038" i="53"/>
  <c r="E8038" i="53"/>
  <c r="D8038" i="53"/>
  <c r="B8038" i="53"/>
  <c r="F8037" i="53"/>
  <c r="E8037" i="53"/>
  <c r="D8037" i="53"/>
  <c r="B8037" i="53"/>
  <c r="F8036" i="53"/>
  <c r="E8036" i="53"/>
  <c r="D8036" i="53"/>
  <c r="B8036" i="53"/>
  <c r="F8035" i="53"/>
  <c r="E8035" i="53"/>
  <c r="D8035" i="53"/>
  <c r="B8035" i="53"/>
  <c r="F8034" i="53"/>
  <c r="E8034" i="53"/>
  <c r="D8034" i="53"/>
  <c r="B8034" i="53"/>
  <c r="F8033" i="53"/>
  <c r="E8033" i="53"/>
  <c r="D8033" i="53"/>
  <c r="B8033" i="53"/>
  <c r="F8032" i="53"/>
  <c r="E8032" i="53"/>
  <c r="D8032" i="53"/>
  <c r="B8032" i="53"/>
  <c r="F8031" i="53"/>
  <c r="E8031" i="53"/>
  <c r="D8031" i="53"/>
  <c r="B8031" i="53"/>
  <c r="F8030" i="53"/>
  <c r="E8030" i="53"/>
  <c r="D8030" i="53"/>
  <c r="B8030" i="53"/>
  <c r="F8029" i="53"/>
  <c r="E8029" i="53"/>
  <c r="D8029" i="53"/>
  <c r="B8029" i="53"/>
  <c r="F8028" i="53"/>
  <c r="E8028" i="53"/>
  <c r="D8028" i="53"/>
  <c r="B8028" i="53"/>
  <c r="F8027" i="53"/>
  <c r="E8027" i="53"/>
  <c r="D8027" i="53"/>
  <c r="B8027" i="53"/>
  <c r="F8026" i="53"/>
  <c r="E8026" i="53"/>
  <c r="D8026" i="53"/>
  <c r="B8026" i="53"/>
  <c r="F8021" i="53"/>
  <c r="G8021" i="53" s="1"/>
  <c r="B8021" i="53"/>
  <c r="F8020" i="53"/>
  <c r="G8020" i="53" s="1"/>
  <c r="B8020" i="53"/>
  <c r="F8019" i="53"/>
  <c r="G8019" i="53" s="1"/>
  <c r="B8019" i="53"/>
  <c r="F8018" i="53"/>
  <c r="G8018" i="53" s="1"/>
  <c r="B8018" i="53"/>
  <c r="F8017" i="53"/>
  <c r="G8017" i="53" s="1"/>
  <c r="B8017" i="53"/>
  <c r="F8016" i="53"/>
  <c r="G8016" i="53" s="1"/>
  <c r="B8016" i="53"/>
  <c r="F8011" i="53"/>
  <c r="E8011" i="53"/>
  <c r="D8011" i="53"/>
  <c r="B8011" i="53"/>
  <c r="F8010" i="53"/>
  <c r="E8010" i="53"/>
  <c r="D8010" i="53"/>
  <c r="B8010" i="53"/>
  <c r="F8009" i="53"/>
  <c r="E8009" i="53"/>
  <c r="D8009" i="53"/>
  <c r="B8009" i="53"/>
  <c r="F8008" i="53"/>
  <c r="E8008" i="53"/>
  <c r="D8008" i="53"/>
  <c r="B8008" i="53"/>
  <c r="F8007" i="53"/>
  <c r="E8007" i="53"/>
  <c r="D8007" i="53"/>
  <c r="B8007" i="53"/>
  <c r="F8006" i="53"/>
  <c r="E8006" i="53"/>
  <c r="D8006" i="53"/>
  <c r="B8006" i="53"/>
  <c r="I128" i="1"/>
  <c r="H128" i="1"/>
  <c r="A915" i="53"/>
  <c r="D915" i="53" s="1"/>
  <c r="A916" i="53"/>
  <c r="A914" i="53"/>
  <c r="A913" i="53"/>
  <c r="B913" i="53" s="1"/>
  <c r="A912" i="53"/>
  <c r="B912" i="53" s="1"/>
  <c r="A909" i="53"/>
  <c r="B909" i="53"/>
  <c r="F962" i="53"/>
  <c r="G962" i="53" s="1"/>
  <c r="D962" i="53"/>
  <c r="B962" i="53"/>
  <c r="F961" i="53"/>
  <c r="G961" i="53" s="1"/>
  <c r="D961" i="53"/>
  <c r="B961" i="53"/>
  <c r="F960" i="53"/>
  <c r="G960" i="53" s="1"/>
  <c r="D960" i="53"/>
  <c r="B960" i="53"/>
  <c r="F959" i="53"/>
  <c r="G959" i="53" s="1"/>
  <c r="D959" i="53"/>
  <c r="B959" i="53"/>
  <c r="F958" i="53"/>
  <c r="G958" i="53" s="1"/>
  <c r="D958" i="53"/>
  <c r="B958" i="53"/>
  <c r="F953" i="53"/>
  <c r="E953" i="53"/>
  <c r="D953" i="53"/>
  <c r="B953" i="53"/>
  <c r="F952" i="53"/>
  <c r="E952" i="53"/>
  <c r="D952" i="53"/>
  <c r="B952" i="53"/>
  <c r="F951" i="53"/>
  <c r="E951" i="53"/>
  <c r="D951" i="53"/>
  <c r="B951" i="53"/>
  <c r="F950" i="53"/>
  <c r="E950" i="53"/>
  <c r="D950" i="53"/>
  <c r="B950" i="53"/>
  <c r="F949" i="53"/>
  <c r="E949" i="53"/>
  <c r="D949" i="53"/>
  <c r="B949" i="53"/>
  <c r="F948" i="53"/>
  <c r="E948" i="53"/>
  <c r="D948" i="53"/>
  <c r="B948" i="53"/>
  <c r="F947" i="53"/>
  <c r="E947" i="53"/>
  <c r="D947" i="53"/>
  <c r="B947" i="53"/>
  <c r="F946" i="53"/>
  <c r="E946" i="53"/>
  <c r="D946" i="53"/>
  <c r="B946" i="53"/>
  <c r="F945" i="53"/>
  <c r="E945" i="53"/>
  <c r="D945" i="53"/>
  <c r="B945" i="53"/>
  <c r="F944" i="53"/>
  <c r="E944" i="53"/>
  <c r="D944" i="53"/>
  <c r="B944" i="53"/>
  <c r="F943" i="53"/>
  <c r="E943" i="53"/>
  <c r="D943" i="53"/>
  <c r="B943" i="53"/>
  <c r="F942" i="53"/>
  <c r="E942" i="53"/>
  <c r="D942" i="53"/>
  <c r="B942" i="53"/>
  <c r="F941" i="53"/>
  <c r="E941" i="53"/>
  <c r="D941" i="53"/>
  <c r="B941" i="53"/>
  <c r="F936" i="53"/>
  <c r="G936" i="53" s="1"/>
  <c r="B936" i="53"/>
  <c r="F935" i="53"/>
  <c r="G935" i="53" s="1"/>
  <c r="B935" i="53"/>
  <c r="F934" i="53"/>
  <c r="G934" i="53" s="1"/>
  <c r="B934" i="53"/>
  <c r="F933" i="53"/>
  <c r="G933" i="53" s="1"/>
  <c r="B933" i="53"/>
  <c r="F932" i="53"/>
  <c r="G932" i="53" s="1"/>
  <c r="B932" i="53"/>
  <c r="F931" i="53"/>
  <c r="G931" i="53" s="1"/>
  <c r="B931" i="53"/>
  <c r="F926" i="53"/>
  <c r="E926" i="53"/>
  <c r="D926" i="53"/>
  <c r="B926" i="53"/>
  <c r="F925" i="53"/>
  <c r="E925" i="53"/>
  <c r="D925" i="53"/>
  <c r="B925" i="53"/>
  <c r="F924" i="53"/>
  <c r="E924" i="53"/>
  <c r="D924" i="53"/>
  <c r="B924" i="53"/>
  <c r="F923" i="53"/>
  <c r="E923" i="53"/>
  <c r="D923" i="53"/>
  <c r="B923" i="53"/>
  <c r="F922" i="53"/>
  <c r="E922" i="53"/>
  <c r="D922" i="53"/>
  <c r="B922" i="53"/>
  <c r="F921" i="53"/>
  <c r="E921" i="53"/>
  <c r="D921" i="53"/>
  <c r="B921" i="53"/>
  <c r="G8370" i="53" l="1"/>
  <c r="G8367" i="53"/>
  <c r="G8369" i="53"/>
  <c r="G8366" i="53"/>
  <c r="G8372" i="53"/>
  <c r="G8374" i="53"/>
  <c r="G8027" i="53"/>
  <c r="G8349" i="53"/>
  <c r="G8028" i="53"/>
  <c r="G8036" i="53"/>
  <c r="G8371" i="53"/>
  <c r="G921" i="53"/>
  <c r="G925" i="53"/>
  <c r="G8347" i="53"/>
  <c r="G8006" i="53"/>
  <c r="G8008" i="53"/>
  <c r="G8010" i="53"/>
  <c r="G8364" i="53"/>
  <c r="G8368" i="53"/>
  <c r="G8344" i="53"/>
  <c r="G8346" i="53"/>
  <c r="G8348" i="53"/>
  <c r="G924" i="53"/>
  <c r="G926" i="53"/>
  <c r="G943" i="53"/>
  <c r="G945" i="53"/>
  <c r="G951" i="53"/>
  <c r="G953" i="53"/>
  <c r="G8345" i="53"/>
  <c r="G8365" i="53"/>
  <c r="G8376" i="53"/>
  <c r="G8037" i="53"/>
  <c r="G8360" i="53"/>
  <c r="G8373" i="53"/>
  <c r="G8007" i="53"/>
  <c r="G8375" i="53"/>
  <c r="G944" i="53"/>
  <c r="G952" i="53"/>
  <c r="G8026" i="53"/>
  <c r="G8030" i="53"/>
  <c r="G8032" i="53"/>
  <c r="B915" i="53"/>
  <c r="D7998" i="53"/>
  <c r="G8386" i="53"/>
  <c r="D7999" i="53"/>
  <c r="D8339" i="53"/>
  <c r="G8034" i="53"/>
  <c r="G8038" i="53"/>
  <c r="G8009" i="53"/>
  <c r="G8011" i="53"/>
  <c r="G8029" i="53"/>
  <c r="G8031" i="53"/>
  <c r="G8033" i="53"/>
  <c r="G8035" i="53"/>
  <c r="G8048" i="53"/>
  <c r="G8022" i="53"/>
  <c r="G923" i="53"/>
  <c r="B8000" i="53"/>
  <c r="B916" i="53"/>
  <c r="D913" i="53"/>
  <c r="G922" i="53"/>
  <c r="G942" i="53"/>
  <c r="G948" i="53"/>
  <c r="G941" i="53"/>
  <c r="G950" i="53"/>
  <c r="G949" i="53"/>
  <c r="G947" i="53"/>
  <c r="G946" i="53"/>
  <c r="D914" i="53"/>
  <c r="B914" i="53"/>
  <c r="D912" i="53"/>
  <c r="G937" i="53"/>
  <c r="G963" i="53"/>
  <c r="G8012" i="53" l="1"/>
  <c r="G8350" i="53"/>
  <c r="G8377" i="53"/>
  <c r="G8039" i="53"/>
  <c r="G927" i="53"/>
  <c r="G954" i="53"/>
  <c r="H416" i="1" l="1"/>
  <c r="I416" i="1"/>
  <c r="H299" i="1" l="1"/>
  <c r="I299" i="1"/>
  <c r="H246" i="1"/>
  <c r="I246" i="1"/>
  <c r="E1941" i="53" l="1"/>
  <c r="C534" i="55"/>
  <c r="A2086" i="53"/>
  <c r="C533" i="55"/>
  <c r="F3753" i="53" s="1"/>
  <c r="G3753" i="53" s="1"/>
  <c r="A2085" i="53"/>
  <c r="A2084" i="53"/>
  <c r="E532" i="55"/>
  <c r="C532" i="55" s="1"/>
  <c r="F3752" i="53" s="1"/>
  <c r="G3752" i="53" s="1"/>
  <c r="B532" i="55"/>
  <c r="A2082" i="53"/>
  <c r="A2081" i="53"/>
  <c r="B2081" i="53" s="1"/>
  <c r="B2078" i="53"/>
  <c r="F2132" i="53"/>
  <c r="D2132" i="53"/>
  <c r="B2132" i="53"/>
  <c r="F2131" i="53"/>
  <c r="D2131" i="53"/>
  <c r="B2131" i="53"/>
  <c r="F2130" i="53"/>
  <c r="D2130" i="53"/>
  <c r="B2130" i="53"/>
  <c r="F2129" i="53"/>
  <c r="D2129" i="53"/>
  <c r="B2129" i="53"/>
  <c r="F2128" i="53"/>
  <c r="D2128" i="53"/>
  <c r="B2128" i="53"/>
  <c r="F2123" i="53"/>
  <c r="E2123" i="53"/>
  <c r="D2123" i="53"/>
  <c r="B2123" i="53"/>
  <c r="F2122" i="53"/>
  <c r="E2122" i="53"/>
  <c r="D2122" i="53"/>
  <c r="B2122" i="53"/>
  <c r="F2121" i="53"/>
  <c r="E2121" i="53"/>
  <c r="D2121" i="53"/>
  <c r="B2121" i="53"/>
  <c r="F2120" i="53"/>
  <c r="E2120" i="53"/>
  <c r="D2120" i="53"/>
  <c r="B2120" i="53"/>
  <c r="F2119" i="53"/>
  <c r="E2119" i="53"/>
  <c r="D2119" i="53"/>
  <c r="B2119" i="53"/>
  <c r="F2118" i="53"/>
  <c r="E2118" i="53"/>
  <c r="D2118" i="53"/>
  <c r="B2118" i="53"/>
  <c r="F2117" i="53"/>
  <c r="E2117" i="53"/>
  <c r="D2117" i="53"/>
  <c r="B2117" i="53"/>
  <c r="F2116" i="53"/>
  <c r="E2116" i="53"/>
  <c r="D2116" i="53"/>
  <c r="B2116" i="53"/>
  <c r="F2115" i="53"/>
  <c r="E2115" i="53"/>
  <c r="D2115" i="53"/>
  <c r="B2115" i="53"/>
  <c r="F2114" i="53"/>
  <c r="E2114" i="53"/>
  <c r="D2114" i="53"/>
  <c r="B2114" i="53"/>
  <c r="F2113" i="53"/>
  <c r="E2113" i="53"/>
  <c r="D2113" i="53"/>
  <c r="B2113" i="53"/>
  <c r="F2112" i="53"/>
  <c r="E2112" i="53"/>
  <c r="D2112" i="53"/>
  <c r="B2112" i="53"/>
  <c r="F2111" i="53"/>
  <c r="E2111" i="53"/>
  <c r="D2111" i="53"/>
  <c r="B2111" i="53"/>
  <c r="F2106" i="53"/>
  <c r="B2106" i="53"/>
  <c r="F2105" i="53"/>
  <c r="B2105" i="53"/>
  <c r="F2104" i="53"/>
  <c r="B2104" i="53"/>
  <c r="F2103" i="53"/>
  <c r="B2103" i="53"/>
  <c r="F2102" i="53"/>
  <c r="B2102" i="53"/>
  <c r="F2101" i="53"/>
  <c r="B2101" i="53"/>
  <c r="F2096" i="53"/>
  <c r="E2096" i="53"/>
  <c r="D2096" i="53"/>
  <c r="B2096" i="53"/>
  <c r="F2095" i="53"/>
  <c r="E2095" i="53"/>
  <c r="D2095" i="53"/>
  <c r="B2095" i="53"/>
  <c r="F2094" i="53"/>
  <c r="E2094" i="53"/>
  <c r="D2094" i="53"/>
  <c r="B2094" i="53"/>
  <c r="F2093" i="53"/>
  <c r="E2093" i="53"/>
  <c r="D2093" i="53"/>
  <c r="B2093" i="53"/>
  <c r="F2092" i="53"/>
  <c r="E2092" i="53"/>
  <c r="D2092" i="53"/>
  <c r="B2092" i="53"/>
  <c r="F2091" i="53"/>
  <c r="E2091" i="53"/>
  <c r="D2091" i="53"/>
  <c r="B2091" i="53"/>
  <c r="E2078" i="53"/>
  <c r="A1947" i="53"/>
  <c r="A1945" i="53"/>
  <c r="D1945" i="53" s="1"/>
  <c r="A1944" i="53"/>
  <c r="B1941" i="53"/>
  <c r="F1994" i="53"/>
  <c r="D1994" i="53"/>
  <c r="B1994" i="53"/>
  <c r="F1993" i="53"/>
  <c r="D1993" i="53"/>
  <c r="B1993" i="53"/>
  <c r="F1992" i="53"/>
  <c r="D1992" i="53"/>
  <c r="B1992" i="53"/>
  <c r="F1991" i="53"/>
  <c r="D1991" i="53"/>
  <c r="B1991" i="53"/>
  <c r="F1990" i="53"/>
  <c r="D1990" i="53"/>
  <c r="B1990" i="53"/>
  <c r="F1985" i="53"/>
  <c r="E1985" i="53"/>
  <c r="D1985" i="53"/>
  <c r="B1985" i="53"/>
  <c r="F1984" i="53"/>
  <c r="E1984" i="53"/>
  <c r="D1984" i="53"/>
  <c r="B1984" i="53"/>
  <c r="F1983" i="53"/>
  <c r="E1983" i="53"/>
  <c r="D1983" i="53"/>
  <c r="B1983" i="53"/>
  <c r="F1982" i="53"/>
  <c r="E1982" i="53"/>
  <c r="D1982" i="53"/>
  <c r="B1982" i="53"/>
  <c r="F1981" i="53"/>
  <c r="E1981" i="53"/>
  <c r="D1981" i="53"/>
  <c r="B1981" i="53"/>
  <c r="F1980" i="53"/>
  <c r="E1980" i="53"/>
  <c r="D1980" i="53"/>
  <c r="B1980" i="53"/>
  <c r="F1979" i="53"/>
  <c r="E1979" i="53"/>
  <c r="D1979" i="53"/>
  <c r="B1979" i="53"/>
  <c r="F1978" i="53"/>
  <c r="E1978" i="53"/>
  <c r="D1978" i="53"/>
  <c r="B1978" i="53"/>
  <c r="F1977" i="53"/>
  <c r="E1977" i="53"/>
  <c r="D1977" i="53"/>
  <c r="B1977" i="53"/>
  <c r="F1976" i="53"/>
  <c r="E1976" i="53"/>
  <c r="D1976" i="53"/>
  <c r="B1976" i="53"/>
  <c r="F1975" i="53"/>
  <c r="E1975" i="53"/>
  <c r="D1975" i="53"/>
  <c r="B1975" i="53"/>
  <c r="F1974" i="53"/>
  <c r="E1974" i="53"/>
  <c r="D1974" i="53"/>
  <c r="B1974" i="53"/>
  <c r="F1973" i="53"/>
  <c r="E1973" i="53"/>
  <c r="D1973" i="53"/>
  <c r="B1973" i="53"/>
  <c r="F1968" i="53"/>
  <c r="B1968" i="53"/>
  <c r="F1967" i="53"/>
  <c r="B1967" i="53"/>
  <c r="F1966" i="53"/>
  <c r="B1966" i="53"/>
  <c r="F1965" i="53"/>
  <c r="B1965" i="53"/>
  <c r="F1964" i="53"/>
  <c r="B1964" i="53"/>
  <c r="F1963" i="53"/>
  <c r="B1963" i="53"/>
  <c r="F1958" i="53"/>
  <c r="E1958" i="53"/>
  <c r="D1958" i="53"/>
  <c r="B1958" i="53"/>
  <c r="F1957" i="53"/>
  <c r="E1957" i="53"/>
  <c r="D1957" i="53"/>
  <c r="B1957" i="53"/>
  <c r="F1956" i="53"/>
  <c r="E1956" i="53"/>
  <c r="D1956" i="53"/>
  <c r="B1956" i="53"/>
  <c r="F1955" i="53"/>
  <c r="E1955" i="53"/>
  <c r="D1955" i="53"/>
  <c r="B1955" i="53"/>
  <c r="F1954" i="53"/>
  <c r="E1954" i="53"/>
  <c r="D1954" i="53"/>
  <c r="B1954" i="53"/>
  <c r="F1953" i="53"/>
  <c r="E1953" i="53"/>
  <c r="D1953" i="53"/>
  <c r="B1953" i="53"/>
  <c r="A2153" i="53"/>
  <c r="D2153" i="53" s="1"/>
  <c r="B2152" i="53"/>
  <c r="A2151" i="53"/>
  <c r="B2148" i="53"/>
  <c r="F2200" i="53"/>
  <c r="G2200" i="53" s="1"/>
  <c r="D2200" i="53"/>
  <c r="B2200" i="53"/>
  <c r="F2199" i="53"/>
  <c r="G2199" i="53" s="1"/>
  <c r="D2199" i="53"/>
  <c r="B2199" i="53"/>
  <c r="F2198" i="53"/>
  <c r="G2198" i="53" s="1"/>
  <c r="D2198" i="53"/>
  <c r="B2198" i="53"/>
  <c r="F2197" i="53"/>
  <c r="G2197" i="53" s="1"/>
  <c r="D2197" i="53"/>
  <c r="B2197" i="53"/>
  <c r="F2196" i="53"/>
  <c r="G2196" i="53" s="1"/>
  <c r="D2196" i="53"/>
  <c r="B2196" i="53"/>
  <c r="F2191" i="53"/>
  <c r="E2191" i="53"/>
  <c r="D2191" i="53"/>
  <c r="B2191" i="53"/>
  <c r="F2190" i="53"/>
  <c r="E2190" i="53"/>
  <c r="D2190" i="53"/>
  <c r="B2190" i="53"/>
  <c r="F2189" i="53"/>
  <c r="E2189" i="53"/>
  <c r="D2189" i="53"/>
  <c r="B2189" i="53"/>
  <c r="F2188" i="53"/>
  <c r="E2188" i="53"/>
  <c r="D2188" i="53"/>
  <c r="B2188" i="53"/>
  <c r="F2187" i="53"/>
  <c r="E2187" i="53"/>
  <c r="D2187" i="53"/>
  <c r="B2187" i="53"/>
  <c r="F2186" i="53"/>
  <c r="E2186" i="53"/>
  <c r="D2186" i="53"/>
  <c r="B2186" i="53"/>
  <c r="F2185" i="53"/>
  <c r="E2185" i="53"/>
  <c r="D2185" i="53"/>
  <c r="B2185" i="53"/>
  <c r="F2184" i="53"/>
  <c r="E2184" i="53"/>
  <c r="D2184" i="53"/>
  <c r="B2184" i="53"/>
  <c r="F2183" i="53"/>
  <c r="E2183" i="53"/>
  <c r="D2183" i="53"/>
  <c r="B2183" i="53"/>
  <c r="F2182" i="53"/>
  <c r="E2182" i="53"/>
  <c r="D2182" i="53"/>
  <c r="B2182" i="53"/>
  <c r="F2181" i="53"/>
  <c r="E2181" i="53"/>
  <c r="D2181" i="53"/>
  <c r="B2181" i="53"/>
  <c r="F2180" i="53"/>
  <c r="E2180" i="53"/>
  <c r="D2180" i="53"/>
  <c r="B2180" i="53"/>
  <c r="F2179" i="53"/>
  <c r="E2179" i="53"/>
  <c r="D2179" i="53"/>
  <c r="B2179" i="53"/>
  <c r="F2174" i="53"/>
  <c r="G2174" i="53" s="1"/>
  <c r="B2174" i="53"/>
  <c r="F2173" i="53"/>
  <c r="G2173" i="53" s="1"/>
  <c r="B2173" i="53"/>
  <c r="F2172" i="53"/>
  <c r="G2172" i="53" s="1"/>
  <c r="B2172" i="53"/>
  <c r="F2171" i="53"/>
  <c r="G2171" i="53" s="1"/>
  <c r="B2171" i="53"/>
  <c r="F2170" i="53"/>
  <c r="G2170" i="53" s="1"/>
  <c r="B2170" i="53"/>
  <c r="F2169" i="53"/>
  <c r="G2169" i="53" s="1"/>
  <c r="B2169" i="53"/>
  <c r="F2164" i="53"/>
  <c r="E2164" i="53"/>
  <c r="D2164" i="53"/>
  <c r="B2164" i="53"/>
  <c r="F2163" i="53"/>
  <c r="E2163" i="53"/>
  <c r="D2163" i="53"/>
  <c r="B2163" i="53"/>
  <c r="F2162" i="53"/>
  <c r="E2162" i="53"/>
  <c r="D2162" i="53"/>
  <c r="B2162" i="53"/>
  <c r="F2161" i="53"/>
  <c r="E2161" i="53"/>
  <c r="D2161" i="53"/>
  <c r="B2161" i="53"/>
  <c r="F2160" i="53"/>
  <c r="E2160" i="53"/>
  <c r="D2160" i="53"/>
  <c r="B2160" i="53"/>
  <c r="F2159" i="53"/>
  <c r="E2159" i="53"/>
  <c r="D2159" i="53"/>
  <c r="B2159" i="53"/>
  <c r="A1941" i="53"/>
  <c r="A2078" i="53"/>
  <c r="A2148" i="53"/>
  <c r="A9443" i="53"/>
  <c r="B9440" i="53"/>
  <c r="F9494" i="53"/>
  <c r="G9494" i="53" s="1"/>
  <c r="D9494" i="53"/>
  <c r="B9494" i="53"/>
  <c r="F9493" i="53"/>
  <c r="G9493" i="53" s="1"/>
  <c r="D9493" i="53"/>
  <c r="B9493" i="53"/>
  <c r="F9492" i="53"/>
  <c r="G9492" i="53" s="1"/>
  <c r="D9492" i="53"/>
  <c r="B9492" i="53"/>
  <c r="F9491" i="53"/>
  <c r="G9491" i="53" s="1"/>
  <c r="D9491" i="53"/>
  <c r="B9491" i="53"/>
  <c r="F9490" i="53"/>
  <c r="G9490" i="53" s="1"/>
  <c r="D9490" i="53"/>
  <c r="B9490" i="53"/>
  <c r="F9485" i="53"/>
  <c r="E9485" i="53"/>
  <c r="D9485" i="53"/>
  <c r="B9485" i="53"/>
  <c r="F9484" i="53"/>
  <c r="E9484" i="53"/>
  <c r="D9484" i="53"/>
  <c r="B9484" i="53"/>
  <c r="F9483" i="53"/>
  <c r="E9483" i="53"/>
  <c r="D9483" i="53"/>
  <c r="B9483" i="53"/>
  <c r="F9482" i="53"/>
  <c r="E9482" i="53"/>
  <c r="D9482" i="53"/>
  <c r="B9482" i="53"/>
  <c r="F9481" i="53"/>
  <c r="E9481" i="53"/>
  <c r="D9481" i="53"/>
  <c r="B9481" i="53"/>
  <c r="F9480" i="53"/>
  <c r="E9480" i="53"/>
  <c r="D9480" i="53"/>
  <c r="B9480" i="53"/>
  <c r="F9479" i="53"/>
  <c r="E9479" i="53"/>
  <c r="D9479" i="53"/>
  <c r="B9479" i="53"/>
  <c r="F9478" i="53"/>
  <c r="E9478" i="53"/>
  <c r="D9478" i="53"/>
  <c r="B9478" i="53"/>
  <c r="F9477" i="53"/>
  <c r="E9477" i="53"/>
  <c r="D9477" i="53"/>
  <c r="B9477" i="53"/>
  <c r="F9476" i="53"/>
  <c r="E9476" i="53"/>
  <c r="D9476" i="53"/>
  <c r="B9476" i="53"/>
  <c r="F9475" i="53"/>
  <c r="E9475" i="53"/>
  <c r="D9475" i="53"/>
  <c r="B9475" i="53"/>
  <c r="F9474" i="53"/>
  <c r="E9474" i="53"/>
  <c r="D9474" i="53"/>
  <c r="B9474" i="53"/>
  <c r="F9473" i="53"/>
  <c r="E9473" i="53"/>
  <c r="D9473" i="53"/>
  <c r="B9473" i="53"/>
  <c r="F9468" i="53"/>
  <c r="G9468" i="53" s="1"/>
  <c r="B9468" i="53"/>
  <c r="F9467" i="53"/>
  <c r="G9467" i="53" s="1"/>
  <c r="B9467" i="53"/>
  <c r="F9466" i="53"/>
  <c r="G9466" i="53" s="1"/>
  <c r="B9466" i="53"/>
  <c r="F9465" i="53"/>
  <c r="G9465" i="53" s="1"/>
  <c r="B9465" i="53"/>
  <c r="F9464" i="53"/>
  <c r="G9464" i="53" s="1"/>
  <c r="B9464" i="53"/>
  <c r="F9463" i="53"/>
  <c r="G9463" i="53" s="1"/>
  <c r="B9463" i="53"/>
  <c r="F9458" i="53"/>
  <c r="E9458" i="53"/>
  <c r="D9458" i="53"/>
  <c r="B9458" i="53"/>
  <c r="F9457" i="53"/>
  <c r="E9457" i="53"/>
  <c r="D9457" i="53"/>
  <c r="B9457" i="53"/>
  <c r="F9456" i="53"/>
  <c r="E9456" i="53"/>
  <c r="D9456" i="53"/>
  <c r="B9456" i="53"/>
  <c r="F9455" i="53"/>
  <c r="E9455" i="53"/>
  <c r="D9455" i="53"/>
  <c r="B9455" i="53"/>
  <c r="F9454" i="53"/>
  <c r="E9454" i="53"/>
  <c r="D9454" i="53"/>
  <c r="B9454" i="53"/>
  <c r="F9453" i="53"/>
  <c r="E9453" i="53"/>
  <c r="D9453" i="53"/>
  <c r="B9453" i="53"/>
  <c r="F9448" i="53"/>
  <c r="G9448" i="53" s="1"/>
  <c r="D9448" i="53"/>
  <c r="B9448" i="53"/>
  <c r="F9447" i="53"/>
  <c r="G9447" i="53" s="1"/>
  <c r="D9447" i="53"/>
  <c r="B9447" i="53"/>
  <c r="F9446" i="53"/>
  <c r="G9446" i="53" s="1"/>
  <c r="D9446" i="53"/>
  <c r="B9446" i="53"/>
  <c r="F9445" i="53"/>
  <c r="G9445" i="53" s="1"/>
  <c r="D9444" i="53"/>
  <c r="C531" i="55"/>
  <c r="F9373" i="53" s="1"/>
  <c r="G9373" i="53" s="1"/>
  <c r="G9379" i="53" s="1"/>
  <c r="G9427" i="53" s="1"/>
  <c r="B531" i="55"/>
  <c r="B9373" i="53" s="1"/>
  <c r="A6022" i="53"/>
  <c r="B6022" i="53" s="1"/>
  <c r="D6021" i="53"/>
  <c r="A6020" i="53"/>
  <c r="D6020" i="53" s="1"/>
  <c r="F6071" i="53"/>
  <c r="G6071" i="53" s="1"/>
  <c r="D6071" i="53"/>
  <c r="B6071" i="53"/>
  <c r="F6070" i="53"/>
  <c r="G6070" i="53" s="1"/>
  <c r="D6070" i="53"/>
  <c r="B6070" i="53"/>
  <c r="F6069" i="53"/>
  <c r="G6069" i="53" s="1"/>
  <c r="D6069" i="53"/>
  <c r="B6069" i="53"/>
  <c r="F6068" i="53"/>
  <c r="G6068" i="53" s="1"/>
  <c r="D6068" i="53"/>
  <c r="B6068" i="53"/>
  <c r="F6067" i="53"/>
  <c r="G6067" i="53" s="1"/>
  <c r="D6067" i="53"/>
  <c r="B6067" i="53"/>
  <c r="F6062" i="53"/>
  <c r="E6062" i="53"/>
  <c r="D6062" i="53"/>
  <c r="B6062" i="53"/>
  <c r="F6061" i="53"/>
  <c r="E6061" i="53"/>
  <c r="D6061" i="53"/>
  <c r="B6061" i="53"/>
  <c r="F6060" i="53"/>
  <c r="E6060" i="53"/>
  <c r="D6060" i="53"/>
  <c r="B6060" i="53"/>
  <c r="F6059" i="53"/>
  <c r="E6059" i="53"/>
  <c r="D6059" i="53"/>
  <c r="B6059" i="53"/>
  <c r="F6058" i="53"/>
  <c r="E6058" i="53"/>
  <c r="D6058" i="53"/>
  <c r="B6058" i="53"/>
  <c r="F6057" i="53"/>
  <c r="E6057" i="53"/>
  <c r="D6057" i="53"/>
  <c r="B6057" i="53"/>
  <c r="F6056" i="53"/>
  <c r="E6056" i="53"/>
  <c r="D6056" i="53"/>
  <c r="B6056" i="53"/>
  <c r="F6055" i="53"/>
  <c r="E6055" i="53"/>
  <c r="D6055" i="53"/>
  <c r="B6055" i="53"/>
  <c r="F6054" i="53"/>
  <c r="E6054" i="53"/>
  <c r="D6054" i="53"/>
  <c r="B6054" i="53"/>
  <c r="F6053" i="53"/>
  <c r="E6053" i="53"/>
  <c r="D6053" i="53"/>
  <c r="B6053" i="53"/>
  <c r="F6052" i="53"/>
  <c r="E6052" i="53"/>
  <c r="D6052" i="53"/>
  <c r="B6052" i="53"/>
  <c r="F6051" i="53"/>
  <c r="E6051" i="53"/>
  <c r="D6051" i="53"/>
  <c r="B6051" i="53"/>
  <c r="F6050" i="53"/>
  <c r="E6050" i="53"/>
  <c r="D6050" i="53"/>
  <c r="B6050" i="53"/>
  <c r="F6045" i="53"/>
  <c r="G6045" i="53" s="1"/>
  <c r="B6045" i="53"/>
  <c r="F6044" i="53"/>
  <c r="G6044" i="53" s="1"/>
  <c r="B6044" i="53"/>
  <c r="F6043" i="53"/>
  <c r="G6043" i="53" s="1"/>
  <c r="B6043" i="53"/>
  <c r="F6042" i="53"/>
  <c r="G6042" i="53" s="1"/>
  <c r="B6042" i="53"/>
  <c r="F6041" i="53"/>
  <c r="G6041" i="53" s="1"/>
  <c r="B6041" i="53"/>
  <c r="F6040" i="53"/>
  <c r="G6040" i="53" s="1"/>
  <c r="B6040" i="53"/>
  <c r="F6035" i="53"/>
  <c r="E6035" i="53"/>
  <c r="D6035" i="53"/>
  <c r="B6035" i="53"/>
  <c r="F6034" i="53"/>
  <c r="E6034" i="53"/>
  <c r="D6034" i="53"/>
  <c r="B6034" i="53"/>
  <c r="F6033" i="53"/>
  <c r="E6033" i="53"/>
  <c r="D6033" i="53"/>
  <c r="B6033" i="53"/>
  <c r="F6032" i="53"/>
  <c r="E6032" i="53"/>
  <c r="D6032" i="53"/>
  <c r="B6032" i="53"/>
  <c r="F6031" i="53"/>
  <c r="E6031" i="53"/>
  <c r="D6031" i="53"/>
  <c r="B6031" i="53"/>
  <c r="F6030" i="53"/>
  <c r="E6030" i="53"/>
  <c r="D6030" i="53"/>
  <c r="B6030" i="53"/>
  <c r="F6025" i="53"/>
  <c r="G6025" i="53" s="1"/>
  <c r="D6025" i="53"/>
  <c r="B6025" i="53"/>
  <c r="F6024" i="53"/>
  <c r="G6024" i="53" s="1"/>
  <c r="D6024" i="53"/>
  <c r="B6024" i="53"/>
  <c r="A5954" i="53"/>
  <c r="A6017" i="53"/>
  <c r="A9304" i="53"/>
  <c r="E530" i="55"/>
  <c r="C530" i="55" s="1"/>
  <c r="A9303" i="53"/>
  <c r="C529" i="55"/>
  <c r="B9300" i="53"/>
  <c r="F9354" i="53"/>
  <c r="G9354" i="53" s="1"/>
  <c r="D9354" i="53"/>
  <c r="B9354" i="53"/>
  <c r="F9353" i="53"/>
  <c r="G9353" i="53" s="1"/>
  <c r="D9353" i="53"/>
  <c r="B9353" i="53"/>
  <c r="F9352" i="53"/>
  <c r="G9352" i="53" s="1"/>
  <c r="D9352" i="53"/>
  <c r="B9352" i="53"/>
  <c r="F9351" i="53"/>
  <c r="G9351" i="53" s="1"/>
  <c r="D9351" i="53"/>
  <c r="B9351" i="53"/>
  <c r="F9350" i="53"/>
  <c r="G9350" i="53" s="1"/>
  <c r="D9350" i="53"/>
  <c r="B9350" i="53"/>
  <c r="F9345" i="53"/>
  <c r="E9345" i="53"/>
  <c r="D9345" i="53"/>
  <c r="B9345" i="53"/>
  <c r="F9344" i="53"/>
  <c r="E9344" i="53"/>
  <c r="D9344" i="53"/>
  <c r="B9344" i="53"/>
  <c r="F9343" i="53"/>
  <c r="E9343" i="53"/>
  <c r="D9343" i="53"/>
  <c r="B9343" i="53"/>
  <c r="F9342" i="53"/>
  <c r="E9342" i="53"/>
  <c r="D9342" i="53"/>
  <c r="B9342" i="53"/>
  <c r="F9341" i="53"/>
  <c r="E9341" i="53"/>
  <c r="D9341" i="53"/>
  <c r="B9341" i="53"/>
  <c r="F9340" i="53"/>
  <c r="E9340" i="53"/>
  <c r="D9340" i="53"/>
  <c r="B9340" i="53"/>
  <c r="F9339" i="53"/>
  <c r="E9339" i="53"/>
  <c r="D9339" i="53"/>
  <c r="B9339" i="53"/>
  <c r="F9338" i="53"/>
  <c r="E9338" i="53"/>
  <c r="D9338" i="53"/>
  <c r="B9338" i="53"/>
  <c r="F9337" i="53"/>
  <c r="E9337" i="53"/>
  <c r="D9337" i="53"/>
  <c r="B9337" i="53"/>
  <c r="F9336" i="53"/>
  <c r="E9336" i="53"/>
  <c r="D9336" i="53"/>
  <c r="B9336" i="53"/>
  <c r="F9335" i="53"/>
  <c r="E9335" i="53"/>
  <c r="D9335" i="53"/>
  <c r="B9335" i="53"/>
  <c r="F9334" i="53"/>
  <c r="E9334" i="53"/>
  <c r="D9334" i="53"/>
  <c r="B9334" i="53"/>
  <c r="F9333" i="53"/>
  <c r="E9333" i="53"/>
  <c r="D9333" i="53"/>
  <c r="B9333" i="53"/>
  <c r="F9328" i="53"/>
  <c r="G9328" i="53" s="1"/>
  <c r="B9328" i="53"/>
  <c r="F9327" i="53"/>
  <c r="G9327" i="53" s="1"/>
  <c r="B9327" i="53"/>
  <c r="F9326" i="53"/>
  <c r="G9326" i="53" s="1"/>
  <c r="B9326" i="53"/>
  <c r="F9325" i="53"/>
  <c r="G9325" i="53" s="1"/>
  <c r="B9325" i="53"/>
  <c r="F9324" i="53"/>
  <c r="G9324" i="53" s="1"/>
  <c r="B9324" i="53"/>
  <c r="F9323" i="53"/>
  <c r="G9323" i="53" s="1"/>
  <c r="B9323" i="53"/>
  <c r="F9318" i="53"/>
  <c r="E9318" i="53"/>
  <c r="D9318" i="53"/>
  <c r="B9318" i="53"/>
  <c r="F9317" i="53"/>
  <c r="E9317" i="53"/>
  <c r="D9317" i="53"/>
  <c r="B9317" i="53"/>
  <c r="F9316" i="53"/>
  <c r="E9316" i="53"/>
  <c r="D9316" i="53"/>
  <c r="B9316" i="53"/>
  <c r="F9315" i="53"/>
  <c r="E9315" i="53"/>
  <c r="D9315" i="53"/>
  <c r="B9315" i="53"/>
  <c r="F9314" i="53"/>
  <c r="E9314" i="53"/>
  <c r="D9314" i="53"/>
  <c r="B9314" i="53"/>
  <c r="F9313" i="53"/>
  <c r="E9313" i="53"/>
  <c r="D9313" i="53"/>
  <c r="B9313" i="53"/>
  <c r="F9308" i="53"/>
  <c r="G9308" i="53" s="1"/>
  <c r="D9308" i="53"/>
  <c r="B9308" i="53"/>
  <c r="F9307" i="53"/>
  <c r="G9307" i="53" s="1"/>
  <c r="D9307" i="53"/>
  <c r="B9307" i="53"/>
  <c r="F9306" i="53"/>
  <c r="G9306" i="53" s="1"/>
  <c r="D9306" i="53"/>
  <c r="B9306" i="53"/>
  <c r="F9305" i="53"/>
  <c r="G9305" i="53" s="1"/>
  <c r="D9305" i="53"/>
  <c r="B9305" i="53"/>
  <c r="C526" i="55"/>
  <c r="C527" i="55"/>
  <c r="F6974" i="53" s="1"/>
  <c r="G6974" i="53" s="1"/>
  <c r="G6978" i="53" s="1"/>
  <c r="G7026" i="53" s="1"/>
  <c r="J132" i="1" s="1"/>
  <c r="C528" i="55"/>
  <c r="A9234" i="53"/>
  <c r="B9234" i="53" s="1"/>
  <c r="A9235" i="53"/>
  <c r="A9233" i="53"/>
  <c r="B9230" i="53"/>
  <c r="F9284" i="53"/>
  <c r="G9284" i="53" s="1"/>
  <c r="D9284" i="53"/>
  <c r="B9284" i="53"/>
  <c r="F9283" i="53"/>
  <c r="G9283" i="53" s="1"/>
  <c r="D9283" i="53"/>
  <c r="B9283" i="53"/>
  <c r="F9282" i="53"/>
  <c r="G9282" i="53" s="1"/>
  <c r="D9282" i="53"/>
  <c r="B9282" i="53"/>
  <c r="F9281" i="53"/>
  <c r="G9281" i="53" s="1"/>
  <c r="D9281" i="53"/>
  <c r="B9281" i="53"/>
  <c r="F9280" i="53"/>
  <c r="G9280" i="53" s="1"/>
  <c r="D9280" i="53"/>
  <c r="B9280" i="53"/>
  <c r="F9275" i="53"/>
  <c r="E9275" i="53"/>
  <c r="D9275" i="53"/>
  <c r="B9275" i="53"/>
  <c r="F9274" i="53"/>
  <c r="E9274" i="53"/>
  <c r="D9274" i="53"/>
  <c r="B9274" i="53"/>
  <c r="F9273" i="53"/>
  <c r="E9273" i="53"/>
  <c r="D9273" i="53"/>
  <c r="B9273" i="53"/>
  <c r="F9272" i="53"/>
  <c r="E9272" i="53"/>
  <c r="D9272" i="53"/>
  <c r="B9272" i="53"/>
  <c r="F9271" i="53"/>
  <c r="E9271" i="53"/>
  <c r="D9271" i="53"/>
  <c r="B9271" i="53"/>
  <c r="F9270" i="53"/>
  <c r="E9270" i="53"/>
  <c r="D9270" i="53"/>
  <c r="B9270" i="53"/>
  <c r="F9269" i="53"/>
  <c r="E9269" i="53"/>
  <c r="D9269" i="53"/>
  <c r="B9269" i="53"/>
  <c r="F9268" i="53"/>
  <c r="E9268" i="53"/>
  <c r="D9268" i="53"/>
  <c r="B9268" i="53"/>
  <c r="F9267" i="53"/>
  <c r="E9267" i="53"/>
  <c r="D9267" i="53"/>
  <c r="B9267" i="53"/>
  <c r="F9266" i="53"/>
  <c r="E9266" i="53"/>
  <c r="D9266" i="53"/>
  <c r="B9266" i="53"/>
  <c r="F9265" i="53"/>
  <c r="E9265" i="53"/>
  <c r="D9265" i="53"/>
  <c r="B9265" i="53"/>
  <c r="F9264" i="53"/>
  <c r="E9264" i="53"/>
  <c r="D9264" i="53"/>
  <c r="B9264" i="53"/>
  <c r="F9263" i="53"/>
  <c r="E9263" i="53"/>
  <c r="D9263" i="53"/>
  <c r="B9263" i="53"/>
  <c r="F9258" i="53"/>
  <c r="G9258" i="53" s="1"/>
  <c r="B9258" i="53"/>
  <c r="F9257" i="53"/>
  <c r="G9257" i="53" s="1"/>
  <c r="B9257" i="53"/>
  <c r="F9256" i="53"/>
  <c r="G9256" i="53" s="1"/>
  <c r="B9256" i="53"/>
  <c r="F9255" i="53"/>
  <c r="G9255" i="53" s="1"/>
  <c r="B9255" i="53"/>
  <c r="F9254" i="53"/>
  <c r="G9254" i="53" s="1"/>
  <c r="B9254" i="53"/>
  <c r="F9253" i="53"/>
  <c r="G9253" i="53" s="1"/>
  <c r="B9253" i="53"/>
  <c r="F9248" i="53"/>
  <c r="E9248" i="53"/>
  <c r="D9248" i="53"/>
  <c r="B9248" i="53"/>
  <c r="F9247" i="53"/>
  <c r="E9247" i="53"/>
  <c r="D9247" i="53"/>
  <c r="B9247" i="53"/>
  <c r="F9246" i="53"/>
  <c r="E9246" i="53"/>
  <c r="D9246" i="53"/>
  <c r="B9246" i="53"/>
  <c r="F9245" i="53"/>
  <c r="E9245" i="53"/>
  <c r="D9245" i="53"/>
  <c r="B9245" i="53"/>
  <c r="F9244" i="53"/>
  <c r="E9244" i="53"/>
  <c r="D9244" i="53"/>
  <c r="B9244" i="53"/>
  <c r="F9243" i="53"/>
  <c r="E9243" i="53"/>
  <c r="D9243" i="53"/>
  <c r="B9243" i="53"/>
  <c r="F9238" i="53"/>
  <c r="G9238" i="53" s="1"/>
  <c r="D9238" i="53"/>
  <c r="B9238" i="53"/>
  <c r="F9237" i="53"/>
  <c r="G9237" i="53" s="1"/>
  <c r="D9237" i="53"/>
  <c r="B9237" i="53"/>
  <c r="F9236" i="53"/>
  <c r="G9236" i="53" s="1"/>
  <c r="D9236" i="53"/>
  <c r="B9236" i="53"/>
  <c r="D5953" i="53"/>
  <c r="A5952" i="53"/>
  <c r="B5949" i="53"/>
  <c r="F6001" i="53"/>
  <c r="G6001" i="53" s="1"/>
  <c r="D6001" i="53"/>
  <c r="B6001" i="53"/>
  <c r="F6000" i="53"/>
  <c r="G6000" i="53" s="1"/>
  <c r="D6000" i="53"/>
  <c r="B6000" i="53"/>
  <c r="F5999" i="53"/>
  <c r="G5999" i="53" s="1"/>
  <c r="D5999" i="53"/>
  <c r="B5999" i="53"/>
  <c r="F5998" i="53"/>
  <c r="G5998" i="53" s="1"/>
  <c r="D5998" i="53"/>
  <c r="B5998" i="53"/>
  <c r="F5997" i="53"/>
  <c r="G5997" i="53" s="1"/>
  <c r="D5997" i="53"/>
  <c r="B5997" i="53"/>
  <c r="F5992" i="53"/>
  <c r="E5992" i="53"/>
  <c r="D5992" i="53"/>
  <c r="B5992" i="53"/>
  <c r="F5991" i="53"/>
  <c r="E5991" i="53"/>
  <c r="D5991" i="53"/>
  <c r="B5991" i="53"/>
  <c r="F5990" i="53"/>
  <c r="E5990" i="53"/>
  <c r="D5990" i="53"/>
  <c r="B5990" i="53"/>
  <c r="F5989" i="53"/>
  <c r="E5989" i="53"/>
  <c r="D5989" i="53"/>
  <c r="B5989" i="53"/>
  <c r="F5988" i="53"/>
  <c r="E5988" i="53"/>
  <c r="D5988" i="53"/>
  <c r="B5988" i="53"/>
  <c r="F5987" i="53"/>
  <c r="E5987" i="53"/>
  <c r="D5987" i="53"/>
  <c r="B5987" i="53"/>
  <c r="F5986" i="53"/>
  <c r="E5986" i="53"/>
  <c r="D5986" i="53"/>
  <c r="B5986" i="53"/>
  <c r="F5985" i="53"/>
  <c r="E5985" i="53"/>
  <c r="D5985" i="53"/>
  <c r="B5985" i="53"/>
  <c r="F5984" i="53"/>
  <c r="E5984" i="53"/>
  <c r="D5984" i="53"/>
  <c r="B5984" i="53"/>
  <c r="F5983" i="53"/>
  <c r="E5983" i="53"/>
  <c r="D5983" i="53"/>
  <c r="B5983" i="53"/>
  <c r="F5982" i="53"/>
  <c r="E5982" i="53"/>
  <c r="D5982" i="53"/>
  <c r="B5982" i="53"/>
  <c r="F5981" i="53"/>
  <c r="E5981" i="53"/>
  <c r="D5981" i="53"/>
  <c r="B5981" i="53"/>
  <c r="F5980" i="53"/>
  <c r="E5980" i="53"/>
  <c r="D5980" i="53"/>
  <c r="B5980" i="53"/>
  <c r="F5975" i="53"/>
  <c r="G5975" i="53" s="1"/>
  <c r="B5975" i="53"/>
  <c r="F5974" i="53"/>
  <c r="G5974" i="53" s="1"/>
  <c r="B5974" i="53"/>
  <c r="F5973" i="53"/>
  <c r="G5973" i="53" s="1"/>
  <c r="B5973" i="53"/>
  <c r="F5972" i="53"/>
  <c r="G5972" i="53" s="1"/>
  <c r="B5972" i="53"/>
  <c r="F5971" i="53"/>
  <c r="G5971" i="53" s="1"/>
  <c r="B5971" i="53"/>
  <c r="F5970" i="53"/>
  <c r="G5970" i="53" s="1"/>
  <c r="B5970" i="53"/>
  <c r="F5965" i="53"/>
  <c r="E5965" i="53"/>
  <c r="D5965" i="53"/>
  <c r="B5965" i="53"/>
  <c r="F5964" i="53"/>
  <c r="E5964" i="53"/>
  <c r="D5964" i="53"/>
  <c r="B5964" i="53"/>
  <c r="F5963" i="53"/>
  <c r="E5963" i="53"/>
  <c r="D5963" i="53"/>
  <c r="B5963" i="53"/>
  <c r="F5962" i="53"/>
  <c r="E5962" i="53"/>
  <c r="D5962" i="53"/>
  <c r="B5962" i="53"/>
  <c r="F5961" i="53"/>
  <c r="E5961" i="53"/>
  <c r="D5961" i="53"/>
  <c r="B5961" i="53"/>
  <c r="F5960" i="53"/>
  <c r="E5960" i="53"/>
  <c r="D5960" i="53"/>
  <c r="B5960" i="53"/>
  <c r="D5955" i="53"/>
  <c r="B5955" i="53"/>
  <c r="C525" i="55"/>
  <c r="B525" i="55"/>
  <c r="D9176" i="53"/>
  <c r="Q24" i="54"/>
  <c r="A9162" i="53"/>
  <c r="D9162" i="53" s="1"/>
  <c r="C524" i="55"/>
  <c r="B524" i="55"/>
  <c r="B9159" i="53"/>
  <c r="F9214" i="53"/>
  <c r="G9214" i="53" s="1"/>
  <c r="D9214" i="53"/>
  <c r="B9214" i="53"/>
  <c r="F9213" i="53"/>
  <c r="G9213" i="53" s="1"/>
  <c r="D9213" i="53"/>
  <c r="B9213" i="53"/>
  <c r="F9212" i="53"/>
  <c r="G9212" i="53" s="1"/>
  <c r="D9212" i="53"/>
  <c r="B9212" i="53"/>
  <c r="F9211" i="53"/>
  <c r="G9211" i="53" s="1"/>
  <c r="D9211" i="53"/>
  <c r="B9211" i="53"/>
  <c r="F9210" i="53"/>
  <c r="G9210" i="53" s="1"/>
  <c r="D9210" i="53"/>
  <c r="B9210" i="53"/>
  <c r="F9209" i="53"/>
  <c r="G9209" i="53" s="1"/>
  <c r="D9209" i="53"/>
  <c r="B9209" i="53"/>
  <c r="F9208" i="53"/>
  <c r="G9208" i="53" s="1"/>
  <c r="D9208" i="53"/>
  <c r="B9208" i="53"/>
  <c r="F9203" i="53"/>
  <c r="E9203" i="53"/>
  <c r="D9203" i="53"/>
  <c r="B9203" i="53"/>
  <c r="F9202" i="53"/>
  <c r="E9202" i="53"/>
  <c r="D9202" i="53"/>
  <c r="B9202" i="53"/>
  <c r="F9201" i="53"/>
  <c r="E9201" i="53"/>
  <c r="D9201" i="53"/>
  <c r="B9201" i="53"/>
  <c r="F9200" i="53"/>
  <c r="E9200" i="53"/>
  <c r="D9200" i="53"/>
  <c r="B9200" i="53"/>
  <c r="F9199" i="53"/>
  <c r="E9199" i="53"/>
  <c r="D9199" i="53"/>
  <c r="B9199" i="53"/>
  <c r="F9198" i="53"/>
  <c r="E9198" i="53"/>
  <c r="D9198" i="53"/>
  <c r="B9198" i="53"/>
  <c r="F9197" i="53"/>
  <c r="E9197" i="53"/>
  <c r="D9197" i="53"/>
  <c r="B9197" i="53"/>
  <c r="F9196" i="53"/>
  <c r="E9196" i="53"/>
  <c r="D9196" i="53"/>
  <c r="B9196" i="53"/>
  <c r="F9195" i="53"/>
  <c r="E9195" i="53"/>
  <c r="D9195" i="53"/>
  <c r="B9195" i="53"/>
  <c r="F9194" i="53"/>
  <c r="E9194" i="53"/>
  <c r="D9194" i="53"/>
  <c r="B9194" i="53"/>
  <c r="F9193" i="53"/>
  <c r="E9193" i="53"/>
  <c r="D9193" i="53"/>
  <c r="B9193" i="53"/>
  <c r="F9192" i="53"/>
  <c r="E9192" i="53"/>
  <c r="D9192" i="53"/>
  <c r="B9192" i="53"/>
  <c r="F9191" i="53"/>
  <c r="E9191" i="53"/>
  <c r="D9191" i="53"/>
  <c r="B9191" i="53"/>
  <c r="F9186" i="53"/>
  <c r="G9186" i="53" s="1"/>
  <c r="B9186" i="53"/>
  <c r="F9185" i="53"/>
  <c r="G9185" i="53" s="1"/>
  <c r="B9185" i="53"/>
  <c r="F9184" i="53"/>
  <c r="G9184" i="53" s="1"/>
  <c r="B9184" i="53"/>
  <c r="F9183" i="53"/>
  <c r="G9183" i="53" s="1"/>
  <c r="B9183" i="53"/>
  <c r="F9182" i="53"/>
  <c r="G9182" i="53" s="1"/>
  <c r="B9182" i="53"/>
  <c r="F9181" i="53"/>
  <c r="G9181" i="53" s="1"/>
  <c r="B9181" i="53"/>
  <c r="F9176" i="53"/>
  <c r="E9176" i="53"/>
  <c r="B9176" i="53"/>
  <c r="F9175" i="53"/>
  <c r="E9175" i="53"/>
  <c r="D9175" i="53"/>
  <c r="B9175" i="53"/>
  <c r="F9174" i="53"/>
  <c r="E9174" i="53"/>
  <c r="D9174" i="53"/>
  <c r="B9174" i="53"/>
  <c r="F9173" i="53"/>
  <c r="E9173" i="53"/>
  <c r="D9173" i="53"/>
  <c r="B9173" i="53"/>
  <c r="F9172" i="53"/>
  <c r="E9172" i="53"/>
  <c r="D9172" i="53"/>
  <c r="B9172" i="53"/>
  <c r="F9171" i="53"/>
  <c r="E9171" i="53"/>
  <c r="D9171" i="53"/>
  <c r="B9171" i="53"/>
  <c r="F9166" i="53"/>
  <c r="G9166" i="53" s="1"/>
  <c r="D9166" i="53"/>
  <c r="B9166" i="53"/>
  <c r="F9165" i="53"/>
  <c r="G9165" i="53" s="1"/>
  <c r="D9165" i="53"/>
  <c r="B9165" i="53"/>
  <c r="F9164" i="53"/>
  <c r="G9164" i="53" s="1"/>
  <c r="D9164" i="53"/>
  <c r="B9164" i="53"/>
  <c r="D9163" i="53"/>
  <c r="F9163" i="53"/>
  <c r="G9163" i="53" s="1"/>
  <c r="A8952" i="53"/>
  <c r="A8951" i="53"/>
  <c r="F9002" i="53"/>
  <c r="G9002" i="53" s="1"/>
  <c r="B8948" i="53"/>
  <c r="F9004" i="53"/>
  <c r="G9004" i="53" s="1"/>
  <c r="D9004" i="53"/>
  <c r="B9004" i="53"/>
  <c r="F9003" i="53"/>
  <c r="G9003" i="53" s="1"/>
  <c r="D9003" i="53"/>
  <c r="B9003" i="53"/>
  <c r="D9002" i="53"/>
  <c r="B9002" i="53"/>
  <c r="F9001" i="53"/>
  <c r="G9001" i="53" s="1"/>
  <c r="D9001" i="53"/>
  <c r="B9001" i="53"/>
  <c r="F9000" i="53"/>
  <c r="G9000" i="53" s="1"/>
  <c r="D9000" i="53"/>
  <c r="B9000" i="53"/>
  <c r="F8999" i="53"/>
  <c r="G8999" i="53" s="1"/>
  <c r="D8999" i="53"/>
  <c r="B8999" i="53"/>
  <c r="F8998" i="53"/>
  <c r="G8998" i="53" s="1"/>
  <c r="D8998" i="53"/>
  <c r="B8998" i="53"/>
  <c r="F8997" i="53"/>
  <c r="G8997" i="53" s="1"/>
  <c r="D8997" i="53"/>
  <c r="B8997" i="53"/>
  <c r="F8992" i="53"/>
  <c r="E8992" i="53"/>
  <c r="D8992" i="53"/>
  <c r="B8992" i="53"/>
  <c r="F8991" i="53"/>
  <c r="E8991" i="53"/>
  <c r="D8991" i="53"/>
  <c r="B8991" i="53"/>
  <c r="F8990" i="53"/>
  <c r="E8990" i="53"/>
  <c r="D8990" i="53"/>
  <c r="B8990" i="53"/>
  <c r="F8989" i="53"/>
  <c r="E8989" i="53"/>
  <c r="D8989" i="53"/>
  <c r="B8989" i="53"/>
  <c r="F8988" i="53"/>
  <c r="E8988" i="53"/>
  <c r="D8988" i="53"/>
  <c r="B8988" i="53"/>
  <c r="F8987" i="53"/>
  <c r="E8987" i="53"/>
  <c r="D8987" i="53"/>
  <c r="B8987" i="53"/>
  <c r="F8986" i="53"/>
  <c r="E8986" i="53"/>
  <c r="D8986" i="53"/>
  <c r="B8986" i="53"/>
  <c r="F8985" i="53"/>
  <c r="E8985" i="53"/>
  <c r="D8985" i="53"/>
  <c r="B8985" i="53"/>
  <c r="F8984" i="53"/>
  <c r="E8984" i="53"/>
  <c r="D8984" i="53"/>
  <c r="B8984" i="53"/>
  <c r="F8983" i="53"/>
  <c r="E8983" i="53"/>
  <c r="D8983" i="53"/>
  <c r="B8983" i="53"/>
  <c r="F8982" i="53"/>
  <c r="E8982" i="53"/>
  <c r="D8982" i="53"/>
  <c r="B8982" i="53"/>
  <c r="F8981" i="53"/>
  <c r="E8981" i="53"/>
  <c r="D8981" i="53"/>
  <c r="B8981" i="53"/>
  <c r="F8980" i="53"/>
  <c r="E8980" i="53"/>
  <c r="D8980" i="53"/>
  <c r="B8980" i="53"/>
  <c r="F8975" i="53"/>
  <c r="G8975" i="53" s="1"/>
  <c r="B8975" i="53"/>
  <c r="F8974" i="53"/>
  <c r="G8974" i="53" s="1"/>
  <c r="B8974" i="53"/>
  <c r="F8973" i="53"/>
  <c r="G8973" i="53" s="1"/>
  <c r="B8973" i="53"/>
  <c r="F8972" i="53"/>
  <c r="G8972" i="53" s="1"/>
  <c r="B8972" i="53"/>
  <c r="F8971" i="53"/>
  <c r="G8971" i="53" s="1"/>
  <c r="B8971" i="53"/>
  <c r="F8970" i="53"/>
  <c r="G8970" i="53" s="1"/>
  <c r="B8970" i="53"/>
  <c r="F8965" i="53"/>
  <c r="E8965" i="53"/>
  <c r="D8965" i="53"/>
  <c r="B8965" i="53"/>
  <c r="F8964" i="53"/>
  <c r="E8964" i="53"/>
  <c r="D8964" i="53"/>
  <c r="B8964" i="53"/>
  <c r="F8963" i="53"/>
  <c r="E8963" i="53"/>
  <c r="D8963" i="53"/>
  <c r="B8963" i="53"/>
  <c r="F8962" i="53"/>
  <c r="E8962" i="53"/>
  <c r="D8962" i="53"/>
  <c r="B8962" i="53"/>
  <c r="F8961" i="53"/>
  <c r="E8961" i="53"/>
  <c r="D8961" i="53"/>
  <c r="B8961" i="53"/>
  <c r="F8960" i="53"/>
  <c r="E8960" i="53"/>
  <c r="D8960" i="53"/>
  <c r="B8960" i="53"/>
  <c r="F8955" i="53"/>
  <c r="G8955" i="53" s="1"/>
  <c r="D8955" i="53"/>
  <c r="B8955" i="53"/>
  <c r="F8954" i="53"/>
  <c r="G8954" i="53" s="1"/>
  <c r="D8954" i="53"/>
  <c r="B8954" i="53"/>
  <c r="F8953" i="53"/>
  <c r="G8953" i="53" s="1"/>
  <c r="D8953" i="53"/>
  <c r="B8953" i="53"/>
  <c r="Q23" i="54"/>
  <c r="Q22" i="54"/>
  <c r="Q21" i="54"/>
  <c r="A9024" i="53"/>
  <c r="A9023" i="53"/>
  <c r="D9023" i="53" s="1"/>
  <c r="C523" i="55"/>
  <c r="B523" i="55"/>
  <c r="B9020" i="53"/>
  <c r="F9076" i="53"/>
  <c r="G9076" i="53" s="1"/>
  <c r="D9076" i="53"/>
  <c r="B9076" i="53"/>
  <c r="F9075" i="53"/>
  <c r="G9075" i="53" s="1"/>
  <c r="D9075" i="53"/>
  <c r="B9075" i="53"/>
  <c r="F9074" i="53"/>
  <c r="G9074" i="53" s="1"/>
  <c r="D9074" i="53"/>
  <c r="B9074" i="53"/>
  <c r="F9073" i="53"/>
  <c r="G9073" i="53" s="1"/>
  <c r="D9073" i="53"/>
  <c r="B9073" i="53"/>
  <c r="F9072" i="53"/>
  <c r="G9072" i="53" s="1"/>
  <c r="D9072" i="53"/>
  <c r="B9072" i="53"/>
  <c r="F9071" i="53"/>
  <c r="G9071" i="53" s="1"/>
  <c r="D9071" i="53"/>
  <c r="B9071" i="53"/>
  <c r="F9070" i="53"/>
  <c r="G9070" i="53" s="1"/>
  <c r="D9070" i="53"/>
  <c r="B9070" i="53"/>
  <c r="F9069" i="53"/>
  <c r="G9069" i="53" s="1"/>
  <c r="D9069" i="53"/>
  <c r="B9069" i="53"/>
  <c r="F9064" i="53"/>
  <c r="E9064" i="53"/>
  <c r="D9064" i="53"/>
  <c r="B9064" i="53"/>
  <c r="F9063" i="53"/>
  <c r="E9063" i="53"/>
  <c r="D9063" i="53"/>
  <c r="B9063" i="53"/>
  <c r="F9062" i="53"/>
  <c r="E9062" i="53"/>
  <c r="D9062" i="53"/>
  <c r="B9062" i="53"/>
  <c r="F9061" i="53"/>
  <c r="E9061" i="53"/>
  <c r="D9061" i="53"/>
  <c r="B9061" i="53"/>
  <c r="F9060" i="53"/>
  <c r="E9060" i="53"/>
  <c r="D9060" i="53"/>
  <c r="B9060" i="53"/>
  <c r="F9059" i="53"/>
  <c r="E9059" i="53"/>
  <c r="D9059" i="53"/>
  <c r="B9059" i="53"/>
  <c r="F9058" i="53"/>
  <c r="E9058" i="53"/>
  <c r="D9058" i="53"/>
  <c r="B9058" i="53"/>
  <c r="F9057" i="53"/>
  <c r="E9057" i="53"/>
  <c r="D9057" i="53"/>
  <c r="B9057" i="53"/>
  <c r="F9056" i="53"/>
  <c r="E9056" i="53"/>
  <c r="D9056" i="53"/>
  <c r="B9056" i="53"/>
  <c r="F9055" i="53"/>
  <c r="E9055" i="53"/>
  <c r="D9055" i="53"/>
  <c r="B9055" i="53"/>
  <c r="F9054" i="53"/>
  <c r="E9054" i="53"/>
  <c r="D9054" i="53"/>
  <c r="B9054" i="53"/>
  <c r="F9053" i="53"/>
  <c r="E9053" i="53"/>
  <c r="D9053" i="53"/>
  <c r="B9053" i="53"/>
  <c r="F9052" i="53"/>
  <c r="E9052" i="53"/>
  <c r="D9052" i="53"/>
  <c r="B9052" i="53"/>
  <c r="F9047" i="53"/>
  <c r="G9047" i="53" s="1"/>
  <c r="B9047" i="53"/>
  <c r="F9046" i="53"/>
  <c r="G9046" i="53" s="1"/>
  <c r="B9046" i="53"/>
  <c r="F9045" i="53"/>
  <c r="G9045" i="53" s="1"/>
  <c r="B9045" i="53"/>
  <c r="F9044" i="53"/>
  <c r="G9044" i="53" s="1"/>
  <c r="B9044" i="53"/>
  <c r="F9043" i="53"/>
  <c r="G9043" i="53" s="1"/>
  <c r="B9043" i="53"/>
  <c r="F9042" i="53"/>
  <c r="G9042" i="53" s="1"/>
  <c r="B9042" i="53"/>
  <c r="F9037" i="53"/>
  <c r="E9037" i="53"/>
  <c r="D9037" i="53"/>
  <c r="B9037" i="53"/>
  <c r="F9036" i="53"/>
  <c r="E9036" i="53"/>
  <c r="D9036" i="53"/>
  <c r="B9036" i="53"/>
  <c r="F9035" i="53"/>
  <c r="E9035" i="53"/>
  <c r="D9035" i="53"/>
  <c r="B9035" i="53"/>
  <c r="F9034" i="53"/>
  <c r="E9034" i="53"/>
  <c r="D9034" i="53"/>
  <c r="B9034" i="53"/>
  <c r="F9033" i="53"/>
  <c r="E9033" i="53"/>
  <c r="D9033" i="53"/>
  <c r="B9033" i="53"/>
  <c r="F9032" i="53"/>
  <c r="E9032" i="53"/>
  <c r="D9032" i="53"/>
  <c r="B9032" i="53"/>
  <c r="F9027" i="53"/>
  <c r="G9027" i="53" s="1"/>
  <c r="D9027" i="53"/>
  <c r="B9027" i="53"/>
  <c r="F9026" i="53"/>
  <c r="G9026" i="53" s="1"/>
  <c r="D9026" i="53"/>
  <c r="B9026" i="53"/>
  <c r="F9025" i="53"/>
  <c r="G9025" i="53" s="1"/>
  <c r="D9025" i="53"/>
  <c r="B9025" i="53"/>
  <c r="F9566" i="53"/>
  <c r="G9566" i="53" s="1"/>
  <c r="D9566" i="53"/>
  <c r="B9566" i="53"/>
  <c r="F9565" i="53"/>
  <c r="G9565" i="53" s="1"/>
  <c r="D9565" i="53"/>
  <c r="B9565" i="53"/>
  <c r="F9564" i="53"/>
  <c r="G9564" i="53" s="1"/>
  <c r="D9564" i="53"/>
  <c r="B9564" i="53"/>
  <c r="F9563" i="53"/>
  <c r="G9563" i="53" s="1"/>
  <c r="D9563" i="53"/>
  <c r="B9563" i="53"/>
  <c r="F9562" i="53"/>
  <c r="G9562" i="53" s="1"/>
  <c r="D9562" i="53"/>
  <c r="B9562" i="53"/>
  <c r="F9561" i="53"/>
  <c r="G9561" i="53" s="1"/>
  <c r="D9561" i="53"/>
  <c r="B9561" i="53"/>
  <c r="F9560" i="53"/>
  <c r="G9560" i="53" s="1"/>
  <c r="D9560" i="53"/>
  <c r="B9560" i="53"/>
  <c r="F9559" i="53"/>
  <c r="G9559" i="53" s="1"/>
  <c r="D9559" i="53"/>
  <c r="B9559" i="53"/>
  <c r="F9558" i="53"/>
  <c r="G9558" i="53" s="1"/>
  <c r="D9558" i="53"/>
  <c r="B9558" i="53"/>
  <c r="F9557" i="53"/>
  <c r="G9557" i="53" s="1"/>
  <c r="D9557" i="53"/>
  <c r="B9557" i="53"/>
  <c r="F9556" i="53"/>
  <c r="G9556" i="53" s="1"/>
  <c r="D9556" i="53"/>
  <c r="B9556" i="53"/>
  <c r="F9551" i="53"/>
  <c r="E9551" i="53"/>
  <c r="D9551" i="53"/>
  <c r="B9551" i="53"/>
  <c r="F9550" i="53"/>
  <c r="E9550" i="53"/>
  <c r="D9550" i="53"/>
  <c r="B9550" i="53"/>
  <c r="F9549" i="53"/>
  <c r="E9549" i="53"/>
  <c r="D9549" i="53"/>
  <c r="B9549" i="53"/>
  <c r="F9548" i="53"/>
  <c r="E9548" i="53"/>
  <c r="D9548" i="53"/>
  <c r="B9548" i="53"/>
  <c r="F9547" i="53"/>
  <c r="E9547" i="53"/>
  <c r="D9547" i="53"/>
  <c r="B9547" i="53"/>
  <c r="F9546" i="53"/>
  <c r="E9546" i="53"/>
  <c r="D9546" i="53"/>
  <c r="B9546" i="53"/>
  <c r="F9545" i="53"/>
  <c r="E9545" i="53"/>
  <c r="D9545" i="53"/>
  <c r="B9545" i="53"/>
  <c r="F9544" i="53"/>
  <c r="E9544" i="53"/>
  <c r="D9544" i="53"/>
  <c r="B9544" i="53"/>
  <c r="F9543" i="53"/>
  <c r="E9543" i="53"/>
  <c r="D9543" i="53"/>
  <c r="B9543" i="53"/>
  <c r="F9542" i="53"/>
  <c r="E9542" i="53"/>
  <c r="D9542" i="53"/>
  <c r="B9542" i="53"/>
  <c r="F9541" i="53"/>
  <c r="E9541" i="53"/>
  <c r="D9541" i="53"/>
  <c r="B9541" i="53"/>
  <c r="F9540" i="53"/>
  <c r="E9540" i="53"/>
  <c r="D9540" i="53"/>
  <c r="B9540" i="53"/>
  <c r="F9539" i="53"/>
  <c r="E9539" i="53"/>
  <c r="D9539" i="53"/>
  <c r="B9539" i="53"/>
  <c r="F9534" i="53"/>
  <c r="G9534" i="53" s="1"/>
  <c r="B9534" i="53"/>
  <c r="F9533" i="53"/>
  <c r="G9533" i="53" s="1"/>
  <c r="B9533" i="53"/>
  <c r="F9532" i="53"/>
  <c r="G9532" i="53" s="1"/>
  <c r="B9532" i="53"/>
  <c r="F9531" i="53"/>
  <c r="G9531" i="53" s="1"/>
  <c r="B9531" i="53"/>
  <c r="F9530" i="53"/>
  <c r="G9530" i="53" s="1"/>
  <c r="B9530" i="53"/>
  <c r="F9529" i="53"/>
  <c r="G9529" i="53" s="1"/>
  <c r="B9529" i="53"/>
  <c r="F9524" i="53"/>
  <c r="E9524" i="53"/>
  <c r="D9524" i="53"/>
  <c r="B9524" i="53"/>
  <c r="F9523" i="53"/>
  <c r="E9523" i="53"/>
  <c r="D9523" i="53"/>
  <c r="B9523" i="53"/>
  <c r="F9522" i="53"/>
  <c r="E9522" i="53"/>
  <c r="D9522" i="53"/>
  <c r="B9522" i="53"/>
  <c r="F9521" i="53"/>
  <c r="E9521" i="53"/>
  <c r="D9521" i="53"/>
  <c r="B9521" i="53"/>
  <c r="F9520" i="53"/>
  <c r="E9520" i="53"/>
  <c r="D9520" i="53"/>
  <c r="B9520" i="53"/>
  <c r="F9519" i="53"/>
  <c r="E9519" i="53"/>
  <c r="D9519" i="53"/>
  <c r="B9519" i="53"/>
  <c r="F9514" i="53"/>
  <c r="G9514" i="53" s="1"/>
  <c r="D9514" i="53"/>
  <c r="B9514" i="53"/>
  <c r="A9513" i="53"/>
  <c r="B9513" i="53" s="1"/>
  <c r="B9510" i="53"/>
  <c r="Q20" i="54"/>
  <c r="Q19" i="54"/>
  <c r="Q18" i="54"/>
  <c r="Q17" i="54"/>
  <c r="B8881" i="53"/>
  <c r="D8896" i="53"/>
  <c r="B520" i="55"/>
  <c r="A9020" i="53"/>
  <c r="A8948" i="53"/>
  <c r="A9159" i="53"/>
  <c r="A8881" i="53"/>
  <c r="A5949" i="53"/>
  <c r="A9230" i="53"/>
  <c r="A9300" i="53"/>
  <c r="A9440" i="53"/>
  <c r="J173" i="1" l="1"/>
  <c r="G9430" i="53"/>
  <c r="G9431" i="53"/>
  <c r="G9435" i="53" s="1"/>
  <c r="G9429" i="53"/>
  <c r="K132" i="1"/>
  <c r="L132" i="1"/>
  <c r="M132" i="1"/>
  <c r="N132" i="1"/>
  <c r="O132" i="1"/>
  <c r="G7030" i="53"/>
  <c r="G7034" i="53" s="1"/>
  <c r="G7029" i="53"/>
  <c r="G7028" i="53"/>
  <c r="B2084" i="53"/>
  <c r="F2085" i="53"/>
  <c r="G2085" i="53" s="1"/>
  <c r="F2086" i="53"/>
  <c r="G2086" i="53" s="1"/>
  <c r="G2093" i="53"/>
  <c r="G2092" i="53"/>
  <c r="B2086" i="53"/>
  <c r="D2086" i="53"/>
  <c r="G2095" i="53"/>
  <c r="G2112" i="53"/>
  <c r="G9457" i="53"/>
  <c r="G1965" i="53"/>
  <c r="G2122" i="53"/>
  <c r="G2103" i="53"/>
  <c r="G2094" i="53"/>
  <c r="G2096" i="53"/>
  <c r="B2085" i="53"/>
  <c r="D2085" i="53"/>
  <c r="G2102" i="53"/>
  <c r="G2114" i="53"/>
  <c r="G2128" i="53"/>
  <c r="G9473" i="53"/>
  <c r="G2116" i="53"/>
  <c r="G2118" i="53"/>
  <c r="G2120" i="53"/>
  <c r="G2131" i="53"/>
  <c r="G2129" i="53"/>
  <c r="G2091" i="53"/>
  <c r="G2104" i="53"/>
  <c r="G2111" i="53"/>
  <c r="G2113" i="53"/>
  <c r="G2121" i="53"/>
  <c r="G2132" i="53"/>
  <c r="G2115" i="53"/>
  <c r="G2117" i="53"/>
  <c r="G2119" i="53"/>
  <c r="G2123" i="53"/>
  <c r="G2101" i="53"/>
  <c r="G2130" i="53"/>
  <c r="B2083" i="53"/>
  <c r="D2083" i="53"/>
  <c r="D2081" i="53"/>
  <c r="G2106" i="53"/>
  <c r="G1968" i="53"/>
  <c r="B2082" i="53"/>
  <c r="D2084" i="53"/>
  <c r="D2082" i="53"/>
  <c r="G2105" i="53"/>
  <c r="F9443" i="53"/>
  <c r="G9443" i="53" s="1"/>
  <c r="G1954" i="53"/>
  <c r="G1958" i="53"/>
  <c r="G1991" i="53"/>
  <c r="G2160" i="53"/>
  <c r="G2189" i="53"/>
  <c r="G1966" i="53"/>
  <c r="G1994" i="53"/>
  <c r="G1973" i="53"/>
  <c r="G1977" i="53"/>
  <c r="G1979" i="53"/>
  <c r="G1981" i="53"/>
  <c r="G1985" i="53"/>
  <c r="G1963" i="53"/>
  <c r="G1967" i="53"/>
  <c r="G1992" i="53"/>
  <c r="G1955" i="53"/>
  <c r="G1957" i="53"/>
  <c r="G2163" i="53"/>
  <c r="G1964" i="53"/>
  <c r="G1982" i="53"/>
  <c r="G1990" i="53"/>
  <c r="G1993" i="53"/>
  <c r="G1974" i="53"/>
  <c r="B1947" i="53"/>
  <c r="D1947" i="53"/>
  <c r="F9303" i="53"/>
  <c r="G9303" i="53" s="1"/>
  <c r="G6031" i="53"/>
  <c r="G6033" i="53"/>
  <c r="G1976" i="53"/>
  <c r="G1978" i="53"/>
  <c r="G1980" i="53"/>
  <c r="G1984" i="53"/>
  <c r="G2191" i="53"/>
  <c r="G1956" i="53"/>
  <c r="B1946" i="53"/>
  <c r="D1946" i="53"/>
  <c r="G2161" i="53"/>
  <c r="B1945" i="53"/>
  <c r="G1953" i="53"/>
  <c r="G1975" i="53"/>
  <c r="G5963" i="53"/>
  <c r="G1983" i="53"/>
  <c r="G2186" i="53"/>
  <c r="G2188" i="53"/>
  <c r="B1944" i="53"/>
  <c r="G9458" i="53"/>
  <c r="G9483" i="53"/>
  <c r="G2162" i="53"/>
  <c r="G2190" i="53"/>
  <c r="D1944" i="53"/>
  <c r="G2181" i="53"/>
  <c r="G9273" i="53"/>
  <c r="G6034" i="53"/>
  <c r="G2159" i="53"/>
  <c r="D6022" i="53"/>
  <c r="D2152" i="53"/>
  <c r="G2179" i="53"/>
  <c r="G2183" i="53"/>
  <c r="G2185" i="53"/>
  <c r="B2153" i="53"/>
  <c r="F9235" i="53"/>
  <c r="G9235" i="53" s="1"/>
  <c r="F9304" i="53"/>
  <c r="G9304" i="53" s="1"/>
  <c r="F9233" i="53"/>
  <c r="G9233" i="53" s="1"/>
  <c r="B2151" i="53"/>
  <c r="D2151" i="53"/>
  <c r="G6050" i="53"/>
  <c r="G6054" i="53"/>
  <c r="G6056" i="53"/>
  <c r="G6058" i="53"/>
  <c r="G6060" i="53"/>
  <c r="G2180" i="53"/>
  <c r="G9474" i="53"/>
  <c r="G2164" i="53"/>
  <c r="G2182" i="53"/>
  <c r="G2184" i="53"/>
  <c r="G9317" i="53"/>
  <c r="D9234" i="53"/>
  <c r="G2175" i="53"/>
  <c r="G6053" i="53"/>
  <c r="G6057" i="53"/>
  <c r="G6059" i="53"/>
  <c r="G6061" i="53"/>
  <c r="G9453" i="53"/>
  <c r="G9455" i="53"/>
  <c r="G2187" i="53"/>
  <c r="G2201" i="53"/>
  <c r="F9234" i="53"/>
  <c r="G9234" i="53" s="1"/>
  <c r="G9485" i="53"/>
  <c r="B9444" i="53"/>
  <c r="G9454" i="53"/>
  <c r="G9456" i="53"/>
  <c r="G6030" i="53"/>
  <c r="G6051" i="53"/>
  <c r="F9444" i="53"/>
  <c r="G9444" i="53" s="1"/>
  <c r="G9314" i="53"/>
  <c r="B9445" i="53"/>
  <c r="G9484" i="53"/>
  <c r="G9343" i="53"/>
  <c r="D9445" i="53"/>
  <c r="G6052" i="53"/>
  <c r="G9475" i="53"/>
  <c r="G9477" i="53"/>
  <c r="G9479" i="53"/>
  <c r="G9495" i="53"/>
  <c r="G9481" i="53"/>
  <c r="G9476" i="53"/>
  <c r="G9478" i="53"/>
  <c r="G9480" i="53"/>
  <c r="G9482" i="53"/>
  <c r="G6072" i="53"/>
  <c r="G9469" i="53"/>
  <c r="G6032" i="53"/>
  <c r="G5987" i="53"/>
  <c r="G9274" i="53"/>
  <c r="B9235" i="53"/>
  <c r="B9304" i="53"/>
  <c r="G9345" i="53"/>
  <c r="B9443" i="53"/>
  <c r="G9275" i="53"/>
  <c r="G6062" i="53"/>
  <c r="D9443" i="53"/>
  <c r="G9243" i="53"/>
  <c r="G9247" i="53"/>
  <c r="G6035" i="53"/>
  <c r="G6055" i="53"/>
  <c r="G6046" i="53"/>
  <c r="B5954" i="53"/>
  <c r="D5954" i="53"/>
  <c r="G9316" i="53"/>
  <c r="B6021" i="53"/>
  <c r="G9318" i="53"/>
  <c r="G9344" i="53"/>
  <c r="G5982" i="53"/>
  <c r="G9244" i="53"/>
  <c r="B6020" i="53"/>
  <c r="G9313" i="53"/>
  <c r="G9315" i="53"/>
  <c r="G9333" i="53"/>
  <c r="G9335" i="53"/>
  <c r="G9339" i="53"/>
  <c r="G5962" i="53"/>
  <c r="G5964" i="53"/>
  <c r="G5983" i="53"/>
  <c r="G5985" i="53"/>
  <c r="G5980" i="53"/>
  <c r="G5984" i="53"/>
  <c r="G5988" i="53"/>
  <c r="D9235" i="53"/>
  <c r="F8951" i="53"/>
  <c r="G8951" i="53" s="1"/>
  <c r="G9334" i="53"/>
  <c r="G9336" i="53"/>
  <c r="G9338" i="53"/>
  <c r="G9340" i="53"/>
  <c r="G9342" i="53"/>
  <c r="G9337" i="53"/>
  <c r="G9341" i="53"/>
  <c r="G9355" i="53"/>
  <c r="G9329" i="53"/>
  <c r="G9172" i="53"/>
  <c r="G5990" i="53"/>
  <c r="G8965" i="53"/>
  <c r="G9246" i="53"/>
  <c r="G5961" i="53"/>
  <c r="G5989" i="53"/>
  <c r="G9248" i="53"/>
  <c r="B9303" i="53"/>
  <c r="G9263" i="53"/>
  <c r="G9265" i="53"/>
  <c r="G9269" i="53"/>
  <c r="D9303" i="53"/>
  <c r="G9245" i="53"/>
  <c r="G9266" i="53"/>
  <c r="G9268" i="53"/>
  <c r="G9267" i="53"/>
  <c r="G9264" i="53"/>
  <c r="G6002" i="53"/>
  <c r="G9259" i="53"/>
  <c r="G9271" i="53"/>
  <c r="G9272" i="53"/>
  <c r="G9270" i="53"/>
  <c r="D9233" i="53"/>
  <c r="G9285" i="53"/>
  <c r="G5991" i="53"/>
  <c r="G5986" i="53"/>
  <c r="G5992" i="53"/>
  <c r="G5965" i="53"/>
  <c r="G5981" i="53"/>
  <c r="B9233" i="53"/>
  <c r="G5960" i="53"/>
  <c r="B5953" i="53"/>
  <c r="D5952" i="53"/>
  <c r="B5952" i="53"/>
  <c r="G5976" i="53"/>
  <c r="G8961" i="53"/>
  <c r="G9176" i="53"/>
  <c r="G9203" i="53"/>
  <c r="G8960" i="53"/>
  <c r="G9541" i="53"/>
  <c r="G9171" i="53"/>
  <c r="G9202" i="53"/>
  <c r="G8987" i="53"/>
  <c r="G9035" i="53"/>
  <c r="G9037" i="53"/>
  <c r="G9174" i="53"/>
  <c r="G9064" i="53"/>
  <c r="G8989" i="53"/>
  <c r="G8991" i="53"/>
  <c r="G9191" i="53"/>
  <c r="G9193" i="53"/>
  <c r="G9197" i="53"/>
  <c r="G9201" i="53"/>
  <c r="G9550" i="53"/>
  <c r="G9032" i="53"/>
  <c r="G9034" i="53"/>
  <c r="G9036" i="53"/>
  <c r="G8982" i="53"/>
  <c r="G8986" i="53"/>
  <c r="B9163" i="53"/>
  <c r="G9173" i="53"/>
  <c r="G9175" i="53"/>
  <c r="G8988" i="53"/>
  <c r="G8992" i="53"/>
  <c r="G9195" i="53"/>
  <c r="G9199" i="53"/>
  <c r="G9192" i="53"/>
  <c r="G9194" i="53"/>
  <c r="G9196" i="53"/>
  <c r="G9198" i="53"/>
  <c r="G9200" i="53"/>
  <c r="F9162" i="53"/>
  <c r="G9162" i="53" s="1"/>
  <c r="G9167" i="53" s="1"/>
  <c r="G9215" i="53"/>
  <c r="G9187" i="53"/>
  <c r="G8962" i="53"/>
  <c r="G8964" i="53"/>
  <c r="G8980" i="53"/>
  <c r="G8984" i="53"/>
  <c r="G8990" i="53"/>
  <c r="G8963" i="53"/>
  <c r="G8981" i="53"/>
  <c r="G8983" i="53"/>
  <c r="G8985" i="53"/>
  <c r="B9162" i="53"/>
  <c r="D8951" i="53"/>
  <c r="G9005" i="53"/>
  <c r="G8976" i="53"/>
  <c r="G9063" i="53"/>
  <c r="B8952" i="53"/>
  <c r="D8952" i="53"/>
  <c r="G9054" i="53"/>
  <c r="G9062" i="53"/>
  <c r="B8951" i="53"/>
  <c r="G9521" i="53"/>
  <c r="G9523" i="53"/>
  <c r="G9548" i="53"/>
  <c r="G9058" i="53"/>
  <c r="G9060" i="53"/>
  <c r="G9059" i="53"/>
  <c r="G9053" i="53"/>
  <c r="G9057" i="53"/>
  <c r="G9061" i="53"/>
  <c r="G9052" i="53"/>
  <c r="G9522" i="53"/>
  <c r="G9549" i="53"/>
  <c r="G9056" i="53"/>
  <c r="G9033" i="53"/>
  <c r="G9540" i="53"/>
  <c r="G9055" i="53"/>
  <c r="B9024" i="53"/>
  <c r="D9024" i="53"/>
  <c r="D9513" i="53"/>
  <c r="G9048" i="53"/>
  <c r="G9077" i="53"/>
  <c r="G9543" i="53"/>
  <c r="G9545" i="53"/>
  <c r="G9547" i="53"/>
  <c r="B9023" i="53"/>
  <c r="G9519" i="53"/>
  <c r="G9551" i="53"/>
  <c r="G9520" i="53"/>
  <c r="G9524" i="53"/>
  <c r="G9542" i="53"/>
  <c r="G9544" i="53"/>
  <c r="G9546" i="53"/>
  <c r="G9539" i="53"/>
  <c r="G9567" i="53"/>
  <c r="G9535" i="53"/>
  <c r="G9433" i="53" l="1"/>
  <c r="G9437" i="53" s="1"/>
  <c r="G9370" i="53" s="1"/>
  <c r="G7032" i="53"/>
  <c r="G7036" i="53" s="1"/>
  <c r="G6971" i="53" s="1"/>
  <c r="G2124" i="53"/>
  <c r="G2133" i="53"/>
  <c r="G2097" i="53"/>
  <c r="G2107" i="53"/>
  <c r="G1969" i="53"/>
  <c r="G1995" i="53"/>
  <c r="G9449" i="53"/>
  <c r="G9309" i="53"/>
  <c r="G1959" i="53"/>
  <c r="G1986" i="53"/>
  <c r="G2165" i="53"/>
  <c r="G6063" i="53"/>
  <c r="G9459" i="53"/>
  <c r="G2192" i="53"/>
  <c r="G9239" i="53"/>
  <c r="G6036" i="53"/>
  <c r="G9319" i="53"/>
  <c r="G9486" i="53"/>
  <c r="G9249" i="53"/>
  <c r="G5993" i="53"/>
  <c r="G9346" i="53"/>
  <c r="G5966" i="53"/>
  <c r="G9276" i="53"/>
  <c r="G9038" i="53"/>
  <c r="G9177" i="53"/>
  <c r="G9204" i="53"/>
  <c r="G8966" i="53"/>
  <c r="G8993" i="53"/>
  <c r="G9525" i="53"/>
  <c r="G9065" i="53"/>
  <c r="G9552" i="53"/>
  <c r="G9497" i="53" l="1"/>
  <c r="G9357" i="53"/>
  <c r="G9287" i="53"/>
  <c r="G9217" i="53"/>
  <c r="J174" i="1" l="1"/>
  <c r="J170" i="1"/>
  <c r="J171" i="1"/>
  <c r="G9361" i="53"/>
  <c r="G9365" i="53" s="1"/>
  <c r="G9500" i="53"/>
  <c r="G9360" i="53"/>
  <c r="G9359" i="53"/>
  <c r="J172" i="1"/>
  <c r="G9501" i="53"/>
  <c r="G9505" i="53" s="1"/>
  <c r="G9499" i="53"/>
  <c r="G9290" i="53"/>
  <c r="G9289" i="53"/>
  <c r="G9291" i="53"/>
  <c r="G9295" i="53" s="1"/>
  <c r="G9220" i="53"/>
  <c r="G9219" i="53"/>
  <c r="G9221" i="53"/>
  <c r="G9225" i="53" s="1"/>
  <c r="L173" i="1" l="1"/>
  <c r="O173" i="1"/>
  <c r="N173" i="1"/>
  <c r="M173" i="1"/>
  <c r="K173" i="1"/>
  <c r="L174" i="1"/>
  <c r="O174" i="1"/>
  <c r="K174" i="1"/>
  <c r="N174" i="1"/>
  <c r="M174" i="1"/>
  <c r="K171" i="1"/>
  <c r="L171" i="1"/>
  <c r="K170" i="1"/>
  <c r="L170" i="1"/>
  <c r="L172" i="1"/>
  <c r="K172" i="1"/>
  <c r="N171" i="1"/>
  <c r="M171" i="1"/>
  <c r="O171" i="1"/>
  <c r="M170" i="1"/>
  <c r="N170" i="1"/>
  <c r="O170" i="1"/>
  <c r="O172" i="1"/>
  <c r="N172" i="1"/>
  <c r="M172" i="1"/>
  <c r="G9363" i="53"/>
  <c r="G9367" i="53" s="1"/>
  <c r="G9300" i="53" s="1"/>
  <c r="G9503" i="53"/>
  <c r="G9507" i="53" s="1"/>
  <c r="G9440" i="53" s="1"/>
  <c r="G9293" i="53"/>
  <c r="G9297" i="53" s="1"/>
  <c r="G9230" i="53" s="1"/>
  <c r="G9223" i="53"/>
  <c r="G9227" i="53" s="1"/>
  <c r="G9159" i="53" s="1"/>
  <c r="C522" i="55" l="1"/>
  <c r="F9023" i="53" s="1"/>
  <c r="G9023" i="53" s="1"/>
  <c r="C521" i="55"/>
  <c r="C520" i="55"/>
  <c r="C519" i="55"/>
  <c r="C518" i="55"/>
  <c r="A2830" i="53"/>
  <c r="D2830" i="53" s="1"/>
  <c r="B2827" i="53"/>
  <c r="F2879" i="53"/>
  <c r="G2879" i="53" s="1"/>
  <c r="D2879" i="53"/>
  <c r="B2879" i="53"/>
  <c r="F2878" i="53"/>
  <c r="G2878" i="53" s="1"/>
  <c r="D2878" i="53"/>
  <c r="B2878" i="53"/>
  <c r="F2877" i="53"/>
  <c r="G2877" i="53" s="1"/>
  <c r="D2877" i="53"/>
  <c r="B2877" i="53"/>
  <c r="F2876" i="53"/>
  <c r="G2876" i="53" s="1"/>
  <c r="D2876" i="53"/>
  <c r="B2876" i="53"/>
  <c r="F2875" i="53"/>
  <c r="G2875" i="53" s="1"/>
  <c r="D2875" i="53"/>
  <c r="B2875" i="53"/>
  <c r="F2870" i="53"/>
  <c r="E2870" i="53"/>
  <c r="D2870" i="53"/>
  <c r="B2870" i="53"/>
  <c r="F2869" i="53"/>
  <c r="E2869" i="53"/>
  <c r="D2869" i="53"/>
  <c r="B2869" i="53"/>
  <c r="F2868" i="53"/>
  <c r="E2868" i="53"/>
  <c r="D2868" i="53"/>
  <c r="B2868" i="53"/>
  <c r="F2867" i="53"/>
  <c r="E2867" i="53"/>
  <c r="D2867" i="53"/>
  <c r="B2867" i="53"/>
  <c r="F2866" i="53"/>
  <c r="E2866" i="53"/>
  <c r="D2866" i="53"/>
  <c r="B2866" i="53"/>
  <c r="F2865" i="53"/>
  <c r="E2865" i="53"/>
  <c r="D2865" i="53"/>
  <c r="B2865" i="53"/>
  <c r="F2864" i="53"/>
  <c r="E2864" i="53"/>
  <c r="D2864" i="53"/>
  <c r="B2864" i="53"/>
  <c r="F2863" i="53"/>
  <c r="E2863" i="53"/>
  <c r="D2863" i="53"/>
  <c r="B2863" i="53"/>
  <c r="F2862" i="53"/>
  <c r="E2862" i="53"/>
  <c r="D2862" i="53"/>
  <c r="B2862" i="53"/>
  <c r="F2861" i="53"/>
  <c r="E2861" i="53"/>
  <c r="D2861" i="53"/>
  <c r="B2861" i="53"/>
  <c r="F2860" i="53"/>
  <c r="E2860" i="53"/>
  <c r="D2860" i="53"/>
  <c r="B2860" i="53"/>
  <c r="F2859" i="53"/>
  <c r="E2859" i="53"/>
  <c r="D2859" i="53"/>
  <c r="B2859" i="53"/>
  <c r="F2858" i="53"/>
  <c r="E2858" i="53"/>
  <c r="D2858" i="53"/>
  <c r="B2858" i="53"/>
  <c r="F2853" i="53"/>
  <c r="G2853" i="53" s="1"/>
  <c r="B2853" i="53"/>
  <c r="F2852" i="53"/>
  <c r="G2852" i="53" s="1"/>
  <c r="B2852" i="53"/>
  <c r="F2851" i="53"/>
  <c r="G2851" i="53" s="1"/>
  <c r="B2851" i="53"/>
  <c r="F2850" i="53"/>
  <c r="G2850" i="53" s="1"/>
  <c r="B2850" i="53"/>
  <c r="F2849" i="53"/>
  <c r="G2849" i="53" s="1"/>
  <c r="B2849" i="53"/>
  <c r="F2848" i="53"/>
  <c r="G2848" i="53" s="1"/>
  <c r="B2848" i="53"/>
  <c r="F2843" i="53"/>
  <c r="E2843" i="53"/>
  <c r="D2843" i="53"/>
  <c r="B2843" i="53"/>
  <c r="F2842" i="53"/>
  <c r="E2842" i="53"/>
  <c r="D2842" i="53"/>
  <c r="B2842" i="53"/>
  <c r="F2841" i="53"/>
  <c r="E2841" i="53"/>
  <c r="D2841" i="53"/>
  <c r="B2841" i="53"/>
  <c r="F2840" i="53"/>
  <c r="E2840" i="53"/>
  <c r="D2840" i="53"/>
  <c r="B2840" i="53"/>
  <c r="F2839" i="53"/>
  <c r="E2839" i="53"/>
  <c r="D2839" i="53"/>
  <c r="B2839" i="53"/>
  <c r="F2838" i="53"/>
  <c r="E2838" i="53"/>
  <c r="D2838" i="53"/>
  <c r="B2838" i="53"/>
  <c r="D2698" i="53"/>
  <c r="B2695" i="53"/>
  <c r="F2745" i="53"/>
  <c r="G2745" i="53" s="1"/>
  <c r="D2745" i="53"/>
  <c r="B2745" i="53"/>
  <c r="F2744" i="53"/>
  <c r="G2744" i="53" s="1"/>
  <c r="D2744" i="53"/>
  <c r="B2744" i="53"/>
  <c r="F2743" i="53"/>
  <c r="G2743" i="53" s="1"/>
  <c r="D2743" i="53"/>
  <c r="B2743" i="53"/>
  <c r="F2742" i="53"/>
  <c r="G2742" i="53" s="1"/>
  <c r="D2742" i="53"/>
  <c r="B2742" i="53"/>
  <c r="F2741" i="53"/>
  <c r="G2741" i="53" s="1"/>
  <c r="D2741" i="53"/>
  <c r="B2741" i="53"/>
  <c r="F2736" i="53"/>
  <c r="E2736" i="53"/>
  <c r="D2736" i="53"/>
  <c r="B2736" i="53"/>
  <c r="F2735" i="53"/>
  <c r="E2735" i="53"/>
  <c r="D2735" i="53"/>
  <c r="B2735" i="53"/>
  <c r="F2734" i="53"/>
  <c r="E2734" i="53"/>
  <c r="D2734" i="53"/>
  <c r="B2734" i="53"/>
  <c r="F2733" i="53"/>
  <c r="E2733" i="53"/>
  <c r="D2733" i="53"/>
  <c r="B2733" i="53"/>
  <c r="F2732" i="53"/>
  <c r="E2732" i="53"/>
  <c r="D2732" i="53"/>
  <c r="B2732" i="53"/>
  <c r="F2731" i="53"/>
  <c r="E2731" i="53"/>
  <c r="D2731" i="53"/>
  <c r="B2731" i="53"/>
  <c r="F2730" i="53"/>
  <c r="E2730" i="53"/>
  <c r="D2730" i="53"/>
  <c r="B2730" i="53"/>
  <c r="F2729" i="53"/>
  <c r="E2729" i="53"/>
  <c r="D2729" i="53"/>
  <c r="B2729" i="53"/>
  <c r="F2728" i="53"/>
  <c r="E2728" i="53"/>
  <c r="D2728" i="53"/>
  <c r="B2728" i="53"/>
  <c r="F2727" i="53"/>
  <c r="E2727" i="53"/>
  <c r="D2727" i="53"/>
  <c r="B2727" i="53"/>
  <c r="F2726" i="53"/>
  <c r="E2726" i="53"/>
  <c r="D2726" i="53"/>
  <c r="B2726" i="53"/>
  <c r="F2725" i="53"/>
  <c r="E2725" i="53"/>
  <c r="D2725" i="53"/>
  <c r="B2725" i="53"/>
  <c r="F2724" i="53"/>
  <c r="E2724" i="53"/>
  <c r="D2724" i="53"/>
  <c r="B2724" i="53"/>
  <c r="F2719" i="53"/>
  <c r="G2719" i="53" s="1"/>
  <c r="B2719" i="53"/>
  <c r="F2718" i="53"/>
  <c r="G2718" i="53" s="1"/>
  <c r="B2718" i="53"/>
  <c r="F2717" i="53"/>
  <c r="G2717" i="53" s="1"/>
  <c r="B2717" i="53"/>
  <c r="F2716" i="53"/>
  <c r="G2716" i="53" s="1"/>
  <c r="B2716" i="53"/>
  <c r="F2715" i="53"/>
  <c r="G2715" i="53" s="1"/>
  <c r="B2715" i="53"/>
  <c r="F2714" i="53"/>
  <c r="G2714" i="53" s="1"/>
  <c r="B2714" i="53"/>
  <c r="F2709" i="53"/>
  <c r="E2709" i="53"/>
  <c r="D2709" i="53"/>
  <c r="B2709" i="53"/>
  <c r="F2708" i="53"/>
  <c r="E2708" i="53"/>
  <c r="D2708" i="53"/>
  <c r="B2708" i="53"/>
  <c r="F2707" i="53"/>
  <c r="E2707" i="53"/>
  <c r="D2707" i="53"/>
  <c r="B2707" i="53"/>
  <c r="F2706" i="53"/>
  <c r="E2706" i="53"/>
  <c r="D2706" i="53"/>
  <c r="B2706" i="53"/>
  <c r="F2705" i="53"/>
  <c r="E2705" i="53"/>
  <c r="D2705" i="53"/>
  <c r="B2705" i="53"/>
  <c r="F2704" i="53"/>
  <c r="E2704" i="53"/>
  <c r="D2704" i="53"/>
  <c r="B2704" i="53"/>
  <c r="A2567" i="53"/>
  <c r="A2566" i="53"/>
  <c r="A2562" i="53"/>
  <c r="A2565" i="53"/>
  <c r="A2564" i="53"/>
  <c r="A2563" i="53"/>
  <c r="B2563" i="53" s="1"/>
  <c r="A2561" i="53"/>
  <c r="D2561" i="53" s="1"/>
  <c r="A2560" i="53"/>
  <c r="B2560" i="53" s="1"/>
  <c r="B2557" i="53"/>
  <c r="F2613" i="53"/>
  <c r="G2613" i="53" s="1"/>
  <c r="D2613" i="53"/>
  <c r="B2613" i="53"/>
  <c r="F2612" i="53"/>
  <c r="G2612" i="53" s="1"/>
  <c r="D2612" i="53"/>
  <c r="B2612" i="53"/>
  <c r="F2611" i="53"/>
  <c r="G2611" i="53" s="1"/>
  <c r="D2611" i="53"/>
  <c r="B2611" i="53"/>
  <c r="F2610" i="53"/>
  <c r="G2610" i="53" s="1"/>
  <c r="D2610" i="53"/>
  <c r="B2610" i="53"/>
  <c r="F2609" i="53"/>
  <c r="G2609" i="53" s="1"/>
  <c r="D2609" i="53"/>
  <c r="B2609" i="53"/>
  <c r="F2604" i="53"/>
  <c r="E2604" i="53"/>
  <c r="D2604" i="53"/>
  <c r="B2604" i="53"/>
  <c r="F2603" i="53"/>
  <c r="E2603" i="53"/>
  <c r="D2603" i="53"/>
  <c r="B2603" i="53"/>
  <c r="F2602" i="53"/>
  <c r="E2602" i="53"/>
  <c r="D2602" i="53"/>
  <c r="B2602" i="53"/>
  <c r="F2601" i="53"/>
  <c r="E2601" i="53"/>
  <c r="D2601" i="53"/>
  <c r="B2601" i="53"/>
  <c r="F2600" i="53"/>
  <c r="E2600" i="53"/>
  <c r="D2600" i="53"/>
  <c r="B2600" i="53"/>
  <c r="F2599" i="53"/>
  <c r="E2599" i="53"/>
  <c r="D2599" i="53"/>
  <c r="B2599" i="53"/>
  <c r="F2598" i="53"/>
  <c r="E2598" i="53"/>
  <c r="D2598" i="53"/>
  <c r="B2598" i="53"/>
  <c r="F2597" i="53"/>
  <c r="E2597" i="53"/>
  <c r="D2597" i="53"/>
  <c r="B2597" i="53"/>
  <c r="F2596" i="53"/>
  <c r="E2596" i="53"/>
  <c r="D2596" i="53"/>
  <c r="B2596" i="53"/>
  <c r="F2595" i="53"/>
  <c r="E2595" i="53"/>
  <c r="D2595" i="53"/>
  <c r="B2595" i="53"/>
  <c r="F2594" i="53"/>
  <c r="E2594" i="53"/>
  <c r="D2594" i="53"/>
  <c r="B2594" i="53"/>
  <c r="F2593" i="53"/>
  <c r="E2593" i="53"/>
  <c r="D2593" i="53"/>
  <c r="B2593" i="53"/>
  <c r="F2592" i="53"/>
  <c r="E2592" i="53"/>
  <c r="D2592" i="53"/>
  <c r="B2592" i="53"/>
  <c r="F2587" i="53"/>
  <c r="G2587" i="53" s="1"/>
  <c r="B2587" i="53"/>
  <c r="F2586" i="53"/>
  <c r="G2586" i="53" s="1"/>
  <c r="B2586" i="53"/>
  <c r="F2585" i="53"/>
  <c r="G2585" i="53" s="1"/>
  <c r="B2585" i="53"/>
  <c r="F2584" i="53"/>
  <c r="G2584" i="53" s="1"/>
  <c r="B2584" i="53"/>
  <c r="F2583" i="53"/>
  <c r="G2583" i="53" s="1"/>
  <c r="B2583" i="53"/>
  <c r="F2582" i="53"/>
  <c r="G2582" i="53" s="1"/>
  <c r="B2582" i="53"/>
  <c r="F2577" i="53"/>
  <c r="E2577" i="53"/>
  <c r="D2577" i="53"/>
  <c r="B2577" i="53"/>
  <c r="F2576" i="53"/>
  <c r="E2576" i="53"/>
  <c r="D2576" i="53"/>
  <c r="B2576" i="53"/>
  <c r="F2575" i="53"/>
  <c r="E2575" i="53"/>
  <c r="D2575" i="53"/>
  <c r="B2575" i="53"/>
  <c r="F2574" i="53"/>
  <c r="E2574" i="53"/>
  <c r="D2574" i="53"/>
  <c r="B2574" i="53"/>
  <c r="F2573" i="53"/>
  <c r="E2573" i="53"/>
  <c r="D2573" i="53"/>
  <c r="B2573" i="53"/>
  <c r="F2572" i="53"/>
  <c r="E2572" i="53"/>
  <c r="D2572" i="53"/>
  <c r="B2572" i="53"/>
  <c r="B2632" i="53"/>
  <c r="F2679" i="53"/>
  <c r="G2679" i="53" s="1"/>
  <c r="D2679" i="53"/>
  <c r="B2679" i="53"/>
  <c r="F2678" i="53"/>
  <c r="G2678" i="53" s="1"/>
  <c r="D2678" i="53"/>
  <c r="B2678" i="53"/>
  <c r="F2677" i="53"/>
  <c r="G2677" i="53" s="1"/>
  <c r="D2677" i="53"/>
  <c r="B2677" i="53"/>
  <c r="F2676" i="53"/>
  <c r="G2676" i="53" s="1"/>
  <c r="D2676" i="53"/>
  <c r="B2676" i="53"/>
  <c r="F2675" i="53"/>
  <c r="G2675" i="53" s="1"/>
  <c r="D2675" i="53"/>
  <c r="B2675" i="53"/>
  <c r="F2670" i="53"/>
  <c r="E2670" i="53"/>
  <c r="D2670" i="53"/>
  <c r="B2670" i="53"/>
  <c r="F2669" i="53"/>
  <c r="E2669" i="53"/>
  <c r="D2669" i="53"/>
  <c r="B2669" i="53"/>
  <c r="F2668" i="53"/>
  <c r="E2668" i="53"/>
  <c r="D2668" i="53"/>
  <c r="B2668" i="53"/>
  <c r="F2667" i="53"/>
  <c r="E2667" i="53"/>
  <c r="D2667" i="53"/>
  <c r="B2667" i="53"/>
  <c r="F2666" i="53"/>
  <c r="E2666" i="53"/>
  <c r="D2666" i="53"/>
  <c r="B2666" i="53"/>
  <c r="F2665" i="53"/>
  <c r="E2665" i="53"/>
  <c r="D2665" i="53"/>
  <c r="B2665" i="53"/>
  <c r="F2664" i="53"/>
  <c r="E2664" i="53"/>
  <c r="D2664" i="53"/>
  <c r="B2664" i="53"/>
  <c r="F2663" i="53"/>
  <c r="E2663" i="53"/>
  <c r="D2663" i="53"/>
  <c r="B2663" i="53"/>
  <c r="F2662" i="53"/>
  <c r="E2662" i="53"/>
  <c r="D2662" i="53"/>
  <c r="B2662" i="53"/>
  <c r="F2661" i="53"/>
  <c r="E2661" i="53"/>
  <c r="D2661" i="53"/>
  <c r="B2661" i="53"/>
  <c r="F2660" i="53"/>
  <c r="E2660" i="53"/>
  <c r="D2660" i="53"/>
  <c r="B2660" i="53"/>
  <c r="F2659" i="53"/>
  <c r="E2659" i="53"/>
  <c r="D2659" i="53"/>
  <c r="B2659" i="53"/>
  <c r="F2658" i="53"/>
  <c r="E2658" i="53"/>
  <c r="D2658" i="53"/>
  <c r="B2658" i="53"/>
  <c r="F2653" i="53"/>
  <c r="G2653" i="53" s="1"/>
  <c r="B2653" i="53"/>
  <c r="F2652" i="53"/>
  <c r="G2652" i="53" s="1"/>
  <c r="B2652" i="53"/>
  <c r="F2651" i="53"/>
  <c r="G2651" i="53" s="1"/>
  <c r="B2651" i="53"/>
  <c r="F2650" i="53"/>
  <c r="G2650" i="53" s="1"/>
  <c r="B2650" i="53"/>
  <c r="F2649" i="53"/>
  <c r="G2649" i="53" s="1"/>
  <c r="B2649" i="53"/>
  <c r="F2648" i="53"/>
  <c r="G2648" i="53" s="1"/>
  <c r="B2648" i="53"/>
  <c r="F2643" i="53"/>
  <c r="E2643" i="53"/>
  <c r="D2643" i="53"/>
  <c r="B2643" i="53"/>
  <c r="F2642" i="53"/>
  <c r="E2642" i="53"/>
  <c r="D2642" i="53"/>
  <c r="B2642" i="53"/>
  <c r="F2641" i="53"/>
  <c r="E2641" i="53"/>
  <c r="D2641" i="53"/>
  <c r="B2641" i="53"/>
  <c r="F2640" i="53"/>
  <c r="E2640" i="53"/>
  <c r="D2640" i="53"/>
  <c r="B2640" i="53"/>
  <c r="F2639" i="53"/>
  <c r="E2639" i="53"/>
  <c r="D2639" i="53"/>
  <c r="B2639" i="53"/>
  <c r="F2638" i="53"/>
  <c r="E2638" i="53"/>
  <c r="D2638" i="53"/>
  <c r="B2638" i="53"/>
  <c r="A2495" i="53"/>
  <c r="A2494" i="53"/>
  <c r="C517" i="55"/>
  <c r="B517" i="55"/>
  <c r="C516" i="55"/>
  <c r="B516" i="55"/>
  <c r="A2493" i="53"/>
  <c r="B2493" i="53" s="1"/>
  <c r="A2492" i="53"/>
  <c r="A2491" i="53"/>
  <c r="B2491" i="53" s="1"/>
  <c r="A2490" i="53"/>
  <c r="B2490" i="53" s="1"/>
  <c r="A2489" i="53"/>
  <c r="A2488" i="53"/>
  <c r="B2485" i="53"/>
  <c r="F2541" i="53"/>
  <c r="G2541" i="53" s="1"/>
  <c r="D2541" i="53"/>
  <c r="B2541" i="53"/>
  <c r="F2540" i="53"/>
  <c r="G2540" i="53" s="1"/>
  <c r="D2540" i="53"/>
  <c r="B2540" i="53"/>
  <c r="F2539" i="53"/>
  <c r="G2539" i="53" s="1"/>
  <c r="D2539" i="53"/>
  <c r="B2539" i="53"/>
  <c r="F2538" i="53"/>
  <c r="G2538" i="53" s="1"/>
  <c r="D2538" i="53"/>
  <c r="B2538" i="53"/>
  <c r="F2537" i="53"/>
  <c r="G2537" i="53" s="1"/>
  <c r="D2537" i="53"/>
  <c r="B2537" i="53"/>
  <c r="F2532" i="53"/>
  <c r="E2532" i="53"/>
  <c r="D2532" i="53"/>
  <c r="B2532" i="53"/>
  <c r="F2531" i="53"/>
  <c r="E2531" i="53"/>
  <c r="D2531" i="53"/>
  <c r="B2531" i="53"/>
  <c r="F2530" i="53"/>
  <c r="E2530" i="53"/>
  <c r="D2530" i="53"/>
  <c r="B2530" i="53"/>
  <c r="F2529" i="53"/>
  <c r="E2529" i="53"/>
  <c r="D2529" i="53"/>
  <c r="B2529" i="53"/>
  <c r="F2528" i="53"/>
  <c r="E2528" i="53"/>
  <c r="D2528" i="53"/>
  <c r="B2528" i="53"/>
  <c r="F2527" i="53"/>
  <c r="E2527" i="53"/>
  <c r="D2527" i="53"/>
  <c r="B2527" i="53"/>
  <c r="F2526" i="53"/>
  <c r="E2526" i="53"/>
  <c r="D2526" i="53"/>
  <c r="B2526" i="53"/>
  <c r="F2525" i="53"/>
  <c r="E2525" i="53"/>
  <c r="D2525" i="53"/>
  <c r="B2525" i="53"/>
  <c r="F2524" i="53"/>
  <c r="E2524" i="53"/>
  <c r="D2524" i="53"/>
  <c r="B2524" i="53"/>
  <c r="F2523" i="53"/>
  <c r="E2523" i="53"/>
  <c r="D2523" i="53"/>
  <c r="B2523" i="53"/>
  <c r="F2522" i="53"/>
  <c r="E2522" i="53"/>
  <c r="D2522" i="53"/>
  <c r="B2522" i="53"/>
  <c r="F2521" i="53"/>
  <c r="E2521" i="53"/>
  <c r="D2521" i="53"/>
  <c r="B2521" i="53"/>
  <c r="F2520" i="53"/>
  <c r="E2520" i="53"/>
  <c r="D2520" i="53"/>
  <c r="B2520" i="53"/>
  <c r="F2515" i="53"/>
  <c r="G2515" i="53" s="1"/>
  <c r="B2515" i="53"/>
  <c r="F2514" i="53"/>
  <c r="G2514" i="53" s="1"/>
  <c r="B2514" i="53"/>
  <c r="F2513" i="53"/>
  <c r="G2513" i="53" s="1"/>
  <c r="B2513" i="53"/>
  <c r="F2512" i="53"/>
  <c r="G2512" i="53" s="1"/>
  <c r="B2512" i="53"/>
  <c r="F2511" i="53"/>
  <c r="G2511" i="53" s="1"/>
  <c r="B2511" i="53"/>
  <c r="F2510" i="53"/>
  <c r="G2510" i="53" s="1"/>
  <c r="B2510" i="53"/>
  <c r="F2505" i="53"/>
  <c r="E2505" i="53"/>
  <c r="D2505" i="53"/>
  <c r="B2505" i="53"/>
  <c r="F2504" i="53"/>
  <c r="E2504" i="53"/>
  <c r="D2504" i="53"/>
  <c r="B2504" i="53"/>
  <c r="F2503" i="53"/>
  <c r="E2503" i="53"/>
  <c r="D2503" i="53"/>
  <c r="B2503" i="53"/>
  <c r="F2502" i="53"/>
  <c r="E2502" i="53"/>
  <c r="D2502" i="53"/>
  <c r="B2502" i="53"/>
  <c r="F2501" i="53"/>
  <c r="E2501" i="53"/>
  <c r="D2501" i="53"/>
  <c r="B2501" i="53"/>
  <c r="F2500" i="53"/>
  <c r="E2500" i="53"/>
  <c r="D2500" i="53"/>
  <c r="B2500" i="53"/>
  <c r="B2495" i="53" l="1"/>
  <c r="B2567" i="53"/>
  <c r="G2867" i="53"/>
  <c r="G2869" i="53"/>
  <c r="G2859" i="53"/>
  <c r="G2861" i="53"/>
  <c r="G2865" i="53"/>
  <c r="G2839" i="53"/>
  <c r="G2841" i="53"/>
  <c r="G2843" i="53"/>
  <c r="G2858" i="53"/>
  <c r="G2866" i="53"/>
  <c r="B2833" i="53"/>
  <c r="D2833" i="53"/>
  <c r="G2840" i="53"/>
  <c r="G2842" i="53"/>
  <c r="B2830" i="53"/>
  <c r="G2860" i="53"/>
  <c r="G2863" i="53"/>
  <c r="G2838" i="53"/>
  <c r="G2704" i="53"/>
  <c r="G2706" i="53"/>
  <c r="G2708" i="53"/>
  <c r="G2862" i="53"/>
  <c r="G2864" i="53"/>
  <c r="G2868" i="53"/>
  <c r="G2870" i="53"/>
  <c r="F2494" i="53"/>
  <c r="G2494" i="53" s="1"/>
  <c r="F2566" i="53"/>
  <c r="G2566" i="53" s="1"/>
  <c r="G2880" i="53"/>
  <c r="G2854" i="53"/>
  <c r="G2726" i="53"/>
  <c r="B2832" i="53"/>
  <c r="D2832" i="53"/>
  <c r="B2831" i="53"/>
  <c r="D2831" i="53"/>
  <c r="G2732" i="53"/>
  <c r="D2564" i="53"/>
  <c r="G2725" i="53"/>
  <c r="G2727" i="53"/>
  <c r="G2729" i="53"/>
  <c r="G2731" i="53"/>
  <c r="G2733" i="53"/>
  <c r="G2705" i="53"/>
  <c r="G2709" i="53"/>
  <c r="G2730" i="53"/>
  <c r="G2734" i="53"/>
  <c r="G2724" i="53"/>
  <c r="G2735" i="53"/>
  <c r="G2720" i="53"/>
  <c r="G2728" i="53"/>
  <c r="G2736" i="53"/>
  <c r="G2707" i="53"/>
  <c r="B2699" i="53"/>
  <c r="D2699" i="53"/>
  <c r="G2746" i="53"/>
  <c r="B2698" i="53"/>
  <c r="B2562" i="53"/>
  <c r="G2664" i="53"/>
  <c r="G2574" i="53"/>
  <c r="G2576" i="53"/>
  <c r="F2567" i="53"/>
  <c r="G2567" i="53" s="1"/>
  <c r="D2562" i="53"/>
  <c r="G2572" i="53"/>
  <c r="D2560" i="53"/>
  <c r="G2595" i="53"/>
  <c r="G2597" i="53"/>
  <c r="G2599" i="53"/>
  <c r="G2601" i="53"/>
  <c r="D2567" i="53"/>
  <c r="G2592" i="53"/>
  <c r="G2594" i="53"/>
  <c r="G2596" i="53"/>
  <c r="G2598" i="53"/>
  <c r="G2602" i="53"/>
  <c r="G2530" i="53"/>
  <c r="G2603" i="53"/>
  <c r="G2661" i="53"/>
  <c r="G2665" i="53"/>
  <c r="D2632" i="53"/>
  <c r="G2500" i="53"/>
  <c r="G2502" i="53"/>
  <c r="G2504" i="53"/>
  <c r="G2660" i="53"/>
  <c r="G2668" i="53"/>
  <c r="G2600" i="53"/>
  <c r="G2659" i="53"/>
  <c r="G2663" i="53"/>
  <c r="G2667" i="53"/>
  <c r="G2639" i="53"/>
  <c r="G2638" i="53"/>
  <c r="G2640" i="53"/>
  <c r="G2642" i="53"/>
  <c r="G2593" i="53"/>
  <c r="G2604" i="53"/>
  <c r="G2573" i="53"/>
  <c r="G2575" i="53"/>
  <c r="G2577" i="53"/>
  <c r="B2561" i="53"/>
  <c r="G2614" i="53"/>
  <c r="G2588" i="53"/>
  <c r="G2643" i="53"/>
  <c r="G2669" i="53"/>
  <c r="D2563" i="53"/>
  <c r="B2566" i="53"/>
  <c r="G2658" i="53"/>
  <c r="D2566" i="53"/>
  <c r="G2531" i="53"/>
  <c r="G2662" i="53"/>
  <c r="G2666" i="53"/>
  <c r="B2565" i="53"/>
  <c r="G2670" i="53"/>
  <c r="B2564" i="53"/>
  <c r="D2565" i="53"/>
  <c r="G2641" i="53"/>
  <c r="G2680" i="53"/>
  <c r="G2654" i="53"/>
  <c r="B2633" i="53"/>
  <c r="G2522" i="53"/>
  <c r="G2532" i="53"/>
  <c r="D2633" i="53"/>
  <c r="G2527" i="53"/>
  <c r="G2529" i="53"/>
  <c r="G2526" i="53"/>
  <c r="G2503" i="53"/>
  <c r="D2495" i="53"/>
  <c r="F2495" i="53"/>
  <c r="G2495" i="53" s="1"/>
  <c r="B2494" i="53"/>
  <c r="D2494" i="53"/>
  <c r="G2505" i="53"/>
  <c r="G2520" i="53"/>
  <c r="G2528" i="53"/>
  <c r="G2524" i="53"/>
  <c r="G2521" i="53"/>
  <c r="G2501" i="53"/>
  <c r="G2523" i="53"/>
  <c r="G2525" i="53"/>
  <c r="D2490" i="53"/>
  <c r="D2491" i="53"/>
  <c r="D2493" i="53"/>
  <c r="D2489" i="53"/>
  <c r="G2542" i="53"/>
  <c r="G2516" i="53"/>
  <c r="D2488" i="53"/>
  <c r="B2488" i="53"/>
  <c r="B2492" i="53"/>
  <c r="B2489" i="53"/>
  <c r="D2492" i="53"/>
  <c r="A2422" i="53"/>
  <c r="D2422" i="53" s="1"/>
  <c r="A2421" i="53"/>
  <c r="B2421" i="53" s="1"/>
  <c r="B2418" i="53"/>
  <c r="F2469" i="53"/>
  <c r="G2469" i="53" s="1"/>
  <c r="D2469" i="53"/>
  <c r="B2469" i="53"/>
  <c r="F2468" i="53"/>
  <c r="G2468" i="53" s="1"/>
  <c r="D2468" i="53"/>
  <c r="B2468" i="53"/>
  <c r="F2467" i="53"/>
  <c r="G2467" i="53" s="1"/>
  <c r="D2467" i="53"/>
  <c r="B2467" i="53"/>
  <c r="F2466" i="53"/>
  <c r="G2466" i="53" s="1"/>
  <c r="D2466" i="53"/>
  <c r="B2466" i="53"/>
  <c r="F2465" i="53"/>
  <c r="G2465" i="53" s="1"/>
  <c r="D2465" i="53"/>
  <c r="B2465" i="53"/>
  <c r="F2460" i="53"/>
  <c r="E2460" i="53"/>
  <c r="D2460" i="53"/>
  <c r="B2460" i="53"/>
  <c r="F2459" i="53"/>
  <c r="E2459" i="53"/>
  <c r="D2459" i="53"/>
  <c r="B2459" i="53"/>
  <c r="F2458" i="53"/>
  <c r="E2458" i="53"/>
  <c r="D2458" i="53"/>
  <c r="B2458" i="53"/>
  <c r="F2457" i="53"/>
  <c r="E2457" i="53"/>
  <c r="D2457" i="53"/>
  <c r="B2457" i="53"/>
  <c r="F2456" i="53"/>
  <c r="E2456" i="53"/>
  <c r="D2456" i="53"/>
  <c r="B2456" i="53"/>
  <c r="F2455" i="53"/>
  <c r="E2455" i="53"/>
  <c r="D2455" i="53"/>
  <c r="B2455" i="53"/>
  <c r="F2454" i="53"/>
  <c r="E2454" i="53"/>
  <c r="D2454" i="53"/>
  <c r="B2454" i="53"/>
  <c r="F2453" i="53"/>
  <c r="E2453" i="53"/>
  <c r="D2453" i="53"/>
  <c r="B2453" i="53"/>
  <c r="F2452" i="53"/>
  <c r="E2452" i="53"/>
  <c r="D2452" i="53"/>
  <c r="B2452" i="53"/>
  <c r="F2451" i="53"/>
  <c r="E2451" i="53"/>
  <c r="D2451" i="53"/>
  <c r="B2451" i="53"/>
  <c r="F2450" i="53"/>
  <c r="E2450" i="53"/>
  <c r="D2450" i="53"/>
  <c r="B2450" i="53"/>
  <c r="F2449" i="53"/>
  <c r="E2449" i="53"/>
  <c r="D2449" i="53"/>
  <c r="B2449" i="53"/>
  <c r="F2448" i="53"/>
  <c r="E2448" i="53"/>
  <c r="D2448" i="53"/>
  <c r="B2448" i="53"/>
  <c r="F2443" i="53"/>
  <c r="G2443" i="53" s="1"/>
  <c r="B2443" i="53"/>
  <c r="F2442" i="53"/>
  <c r="G2442" i="53" s="1"/>
  <c r="B2442" i="53"/>
  <c r="F2441" i="53"/>
  <c r="G2441" i="53" s="1"/>
  <c r="B2441" i="53"/>
  <c r="F2440" i="53"/>
  <c r="G2440" i="53" s="1"/>
  <c r="B2440" i="53"/>
  <c r="F2439" i="53"/>
  <c r="G2439" i="53" s="1"/>
  <c r="B2439" i="53"/>
  <c r="F2438" i="53"/>
  <c r="G2438" i="53" s="1"/>
  <c r="B2438" i="53"/>
  <c r="F2433" i="53"/>
  <c r="E2433" i="53"/>
  <c r="D2433" i="53"/>
  <c r="B2433" i="53"/>
  <c r="F2432" i="53"/>
  <c r="E2432" i="53"/>
  <c r="D2432" i="53"/>
  <c r="B2432" i="53"/>
  <c r="F2431" i="53"/>
  <c r="E2431" i="53"/>
  <c r="D2431" i="53"/>
  <c r="B2431" i="53"/>
  <c r="F2430" i="53"/>
  <c r="E2430" i="53"/>
  <c r="D2430" i="53"/>
  <c r="B2430" i="53"/>
  <c r="F2429" i="53"/>
  <c r="E2429" i="53"/>
  <c r="D2429" i="53"/>
  <c r="B2429" i="53"/>
  <c r="F2428" i="53"/>
  <c r="E2428" i="53"/>
  <c r="D2428" i="53"/>
  <c r="B2428" i="53"/>
  <c r="F2423" i="53"/>
  <c r="G2423" i="53" s="1"/>
  <c r="D2423" i="53"/>
  <c r="B2423" i="53"/>
  <c r="A2356" i="53"/>
  <c r="A2355" i="53"/>
  <c r="A2354" i="53"/>
  <c r="D2354" i="53" s="1"/>
  <c r="C515" i="55"/>
  <c r="B2351" i="53"/>
  <c r="F2402" i="53"/>
  <c r="G2402" i="53" s="1"/>
  <c r="D2402" i="53"/>
  <c r="B2402" i="53"/>
  <c r="F2401" i="53"/>
  <c r="G2401" i="53" s="1"/>
  <c r="D2401" i="53"/>
  <c r="B2401" i="53"/>
  <c r="F2400" i="53"/>
  <c r="G2400" i="53" s="1"/>
  <c r="D2400" i="53"/>
  <c r="B2400" i="53"/>
  <c r="F2399" i="53"/>
  <c r="G2399" i="53" s="1"/>
  <c r="D2399" i="53"/>
  <c r="B2399" i="53"/>
  <c r="F2398" i="53"/>
  <c r="G2398" i="53" s="1"/>
  <c r="D2398" i="53"/>
  <c r="B2398" i="53"/>
  <c r="F2393" i="53"/>
  <c r="E2393" i="53"/>
  <c r="D2393" i="53"/>
  <c r="B2393" i="53"/>
  <c r="F2392" i="53"/>
  <c r="E2392" i="53"/>
  <c r="D2392" i="53"/>
  <c r="B2392" i="53"/>
  <c r="F2391" i="53"/>
  <c r="E2391" i="53"/>
  <c r="D2391" i="53"/>
  <c r="B2391" i="53"/>
  <c r="F2390" i="53"/>
  <c r="E2390" i="53"/>
  <c r="D2390" i="53"/>
  <c r="B2390" i="53"/>
  <c r="F2389" i="53"/>
  <c r="E2389" i="53"/>
  <c r="D2389" i="53"/>
  <c r="B2389" i="53"/>
  <c r="F2388" i="53"/>
  <c r="E2388" i="53"/>
  <c r="D2388" i="53"/>
  <c r="B2388" i="53"/>
  <c r="F2387" i="53"/>
  <c r="E2387" i="53"/>
  <c r="D2387" i="53"/>
  <c r="B2387" i="53"/>
  <c r="F2386" i="53"/>
  <c r="E2386" i="53"/>
  <c r="D2386" i="53"/>
  <c r="B2386" i="53"/>
  <c r="F2385" i="53"/>
  <c r="E2385" i="53"/>
  <c r="D2385" i="53"/>
  <c r="B2385" i="53"/>
  <c r="F2384" i="53"/>
  <c r="E2384" i="53"/>
  <c r="D2384" i="53"/>
  <c r="B2384" i="53"/>
  <c r="F2383" i="53"/>
  <c r="E2383" i="53"/>
  <c r="D2383" i="53"/>
  <c r="B2383" i="53"/>
  <c r="F2382" i="53"/>
  <c r="E2382" i="53"/>
  <c r="D2382" i="53"/>
  <c r="B2382" i="53"/>
  <c r="F2381" i="53"/>
  <c r="E2381" i="53"/>
  <c r="D2381" i="53"/>
  <c r="B2381" i="53"/>
  <c r="F2376" i="53"/>
  <c r="G2376" i="53" s="1"/>
  <c r="B2376" i="53"/>
  <c r="F2375" i="53"/>
  <c r="G2375" i="53" s="1"/>
  <c r="B2375" i="53"/>
  <c r="F2374" i="53"/>
  <c r="G2374" i="53" s="1"/>
  <c r="B2374" i="53"/>
  <c r="F2373" i="53"/>
  <c r="G2373" i="53" s="1"/>
  <c r="B2373" i="53"/>
  <c r="F2372" i="53"/>
  <c r="G2372" i="53" s="1"/>
  <c r="B2372" i="53"/>
  <c r="F2371" i="53"/>
  <c r="G2371" i="53" s="1"/>
  <c r="B2371" i="53"/>
  <c r="F2366" i="53"/>
  <c r="E2366" i="53"/>
  <c r="D2366" i="53"/>
  <c r="B2366" i="53"/>
  <c r="F2365" i="53"/>
  <c r="E2365" i="53"/>
  <c r="D2365" i="53"/>
  <c r="B2365" i="53"/>
  <c r="F2364" i="53"/>
  <c r="E2364" i="53"/>
  <c r="D2364" i="53"/>
  <c r="B2364" i="53"/>
  <c r="F2363" i="53"/>
  <c r="E2363" i="53"/>
  <c r="D2363" i="53"/>
  <c r="B2363" i="53"/>
  <c r="F2362" i="53"/>
  <c r="E2362" i="53"/>
  <c r="D2362" i="53"/>
  <c r="B2362" i="53"/>
  <c r="F2361" i="53"/>
  <c r="E2361" i="53"/>
  <c r="D2361" i="53"/>
  <c r="B2361" i="53"/>
  <c r="C514" i="55"/>
  <c r="G2844" i="53" l="1"/>
  <c r="G2871" i="53"/>
  <c r="F2355" i="53"/>
  <c r="G2355" i="53" s="1"/>
  <c r="G2460" i="53"/>
  <c r="G2381" i="53"/>
  <c r="G2383" i="53"/>
  <c r="G2387" i="53"/>
  <c r="G2389" i="53"/>
  <c r="G2710" i="53"/>
  <c r="G2737" i="53"/>
  <c r="G2506" i="53"/>
  <c r="G2644" i="53"/>
  <c r="G2671" i="53"/>
  <c r="G2578" i="53"/>
  <c r="G2605" i="53"/>
  <c r="G2458" i="53"/>
  <c r="G2450" i="53"/>
  <c r="G2456" i="53"/>
  <c r="G2533" i="53"/>
  <c r="G2361" i="53"/>
  <c r="G2363" i="53"/>
  <c r="G2365" i="53"/>
  <c r="G2453" i="53"/>
  <c r="B2355" i="53"/>
  <c r="D2355" i="53"/>
  <c r="G2429" i="53"/>
  <c r="G2431" i="53"/>
  <c r="G2455" i="53"/>
  <c r="G2457" i="53"/>
  <c r="G2362" i="53"/>
  <c r="G2428" i="53"/>
  <c r="G2432" i="53"/>
  <c r="G2449" i="53"/>
  <c r="G2392" i="53"/>
  <c r="G2433" i="53"/>
  <c r="G2451" i="53"/>
  <c r="G2366" i="53"/>
  <c r="G2430" i="53"/>
  <c r="G2448" i="53"/>
  <c r="G2459" i="53"/>
  <c r="G2391" i="53"/>
  <c r="G2452" i="53"/>
  <c r="G2454" i="53"/>
  <c r="D2421" i="53"/>
  <c r="G2444" i="53"/>
  <c r="G2470" i="53"/>
  <c r="G2364" i="53"/>
  <c r="G2393" i="53"/>
  <c r="B2422" i="53"/>
  <c r="G2384" i="53"/>
  <c r="G2386" i="53"/>
  <c r="G2385" i="53"/>
  <c r="G2382" i="53"/>
  <c r="G2388" i="53"/>
  <c r="G2390" i="53"/>
  <c r="G2403" i="53"/>
  <c r="B2356" i="53"/>
  <c r="D2356" i="53"/>
  <c r="F2354" i="53"/>
  <c r="G2354" i="53" s="1"/>
  <c r="B2354" i="53"/>
  <c r="G2377" i="53"/>
  <c r="G2434" i="53" l="1"/>
  <c r="G2461" i="53"/>
  <c r="G2367" i="53"/>
  <c r="G2394" i="53"/>
  <c r="B2284" i="53" l="1"/>
  <c r="F2335" i="53"/>
  <c r="G2335" i="53" s="1"/>
  <c r="D2335" i="53"/>
  <c r="B2335" i="53"/>
  <c r="F2334" i="53"/>
  <c r="G2334" i="53" s="1"/>
  <c r="D2334" i="53"/>
  <c r="B2334" i="53"/>
  <c r="F2333" i="53"/>
  <c r="G2333" i="53" s="1"/>
  <c r="D2333" i="53"/>
  <c r="B2333" i="53"/>
  <c r="F2332" i="53"/>
  <c r="G2332" i="53" s="1"/>
  <c r="D2332" i="53"/>
  <c r="B2332" i="53"/>
  <c r="F2331" i="53"/>
  <c r="G2331" i="53" s="1"/>
  <c r="D2331" i="53"/>
  <c r="B2331" i="53"/>
  <c r="F2326" i="53"/>
  <c r="E2326" i="53"/>
  <c r="D2326" i="53"/>
  <c r="B2326" i="53"/>
  <c r="F2325" i="53"/>
  <c r="E2325" i="53"/>
  <c r="D2325" i="53"/>
  <c r="B2325" i="53"/>
  <c r="F2324" i="53"/>
  <c r="E2324" i="53"/>
  <c r="D2324" i="53"/>
  <c r="B2324" i="53"/>
  <c r="F2323" i="53"/>
  <c r="E2323" i="53"/>
  <c r="D2323" i="53"/>
  <c r="B2323" i="53"/>
  <c r="F2322" i="53"/>
  <c r="E2322" i="53"/>
  <c r="D2322" i="53"/>
  <c r="B2322" i="53"/>
  <c r="F2321" i="53"/>
  <c r="E2321" i="53"/>
  <c r="D2321" i="53"/>
  <c r="B2321" i="53"/>
  <c r="F2320" i="53"/>
  <c r="E2320" i="53"/>
  <c r="D2320" i="53"/>
  <c r="B2320" i="53"/>
  <c r="F2319" i="53"/>
  <c r="E2319" i="53"/>
  <c r="D2319" i="53"/>
  <c r="B2319" i="53"/>
  <c r="F2318" i="53"/>
  <c r="E2318" i="53"/>
  <c r="D2318" i="53"/>
  <c r="B2318" i="53"/>
  <c r="F2317" i="53"/>
  <c r="E2317" i="53"/>
  <c r="D2317" i="53"/>
  <c r="B2317" i="53"/>
  <c r="F2316" i="53"/>
  <c r="E2316" i="53"/>
  <c r="D2316" i="53"/>
  <c r="B2316" i="53"/>
  <c r="F2315" i="53"/>
  <c r="E2315" i="53"/>
  <c r="D2315" i="53"/>
  <c r="B2315" i="53"/>
  <c r="F2314" i="53"/>
  <c r="E2314" i="53"/>
  <c r="D2314" i="53"/>
  <c r="B2314" i="53"/>
  <c r="F2309" i="53"/>
  <c r="G2309" i="53" s="1"/>
  <c r="B2309" i="53"/>
  <c r="F2308" i="53"/>
  <c r="G2308" i="53" s="1"/>
  <c r="B2308" i="53"/>
  <c r="F2307" i="53"/>
  <c r="G2307" i="53" s="1"/>
  <c r="B2307" i="53"/>
  <c r="F2306" i="53"/>
  <c r="G2306" i="53" s="1"/>
  <c r="B2306" i="53"/>
  <c r="F2305" i="53"/>
  <c r="G2305" i="53" s="1"/>
  <c r="B2305" i="53"/>
  <c r="F2304" i="53"/>
  <c r="G2304" i="53" s="1"/>
  <c r="B2304" i="53"/>
  <c r="F2299" i="53"/>
  <c r="E2299" i="53"/>
  <c r="D2299" i="53"/>
  <c r="B2299" i="53"/>
  <c r="F2298" i="53"/>
  <c r="E2298" i="53"/>
  <c r="D2298" i="53"/>
  <c r="B2298" i="53"/>
  <c r="F2297" i="53"/>
  <c r="E2297" i="53"/>
  <c r="D2297" i="53"/>
  <c r="B2297" i="53"/>
  <c r="F2296" i="53"/>
  <c r="E2296" i="53"/>
  <c r="D2296" i="53"/>
  <c r="B2296" i="53"/>
  <c r="F2295" i="53"/>
  <c r="E2295" i="53"/>
  <c r="D2295" i="53"/>
  <c r="B2295" i="53"/>
  <c r="F2294" i="53"/>
  <c r="E2294" i="53"/>
  <c r="D2294" i="53"/>
  <c r="B2294" i="53"/>
  <c r="F2289" i="53"/>
  <c r="G2289" i="53" s="1"/>
  <c r="D2289" i="53"/>
  <c r="B2289" i="53"/>
  <c r="F2288" i="53"/>
  <c r="G2288" i="53" s="1"/>
  <c r="D2288" i="53"/>
  <c r="B2288" i="53"/>
  <c r="F2287" i="53"/>
  <c r="G2287" i="53" s="1"/>
  <c r="D2287" i="53"/>
  <c r="B2287" i="53"/>
  <c r="A4660" i="53"/>
  <c r="D4660" i="53" s="1"/>
  <c r="B4657" i="53"/>
  <c r="F4709" i="53"/>
  <c r="G4709" i="53" s="1"/>
  <c r="D4709" i="53"/>
  <c r="B4709" i="53"/>
  <c r="F4708" i="53"/>
  <c r="G4708" i="53" s="1"/>
  <c r="D4708" i="53"/>
  <c r="B4708" i="53"/>
  <c r="F4707" i="53"/>
  <c r="G4707" i="53" s="1"/>
  <c r="D4707" i="53"/>
  <c r="B4707" i="53"/>
  <c r="F4706" i="53"/>
  <c r="G4706" i="53" s="1"/>
  <c r="D4706" i="53"/>
  <c r="B4706" i="53"/>
  <c r="F4705" i="53"/>
  <c r="G4705" i="53" s="1"/>
  <c r="D4705" i="53"/>
  <c r="B4705" i="53"/>
  <c r="F4700" i="53"/>
  <c r="E4700" i="53"/>
  <c r="D4700" i="53"/>
  <c r="B4700" i="53"/>
  <c r="F4699" i="53"/>
  <c r="E4699" i="53"/>
  <c r="D4699" i="53"/>
  <c r="B4699" i="53"/>
  <c r="F4698" i="53"/>
  <c r="E4698" i="53"/>
  <c r="D4698" i="53"/>
  <c r="B4698" i="53"/>
  <c r="F4697" i="53"/>
  <c r="E4697" i="53"/>
  <c r="D4697" i="53"/>
  <c r="B4697" i="53"/>
  <c r="F4696" i="53"/>
  <c r="E4696" i="53"/>
  <c r="D4696" i="53"/>
  <c r="B4696" i="53"/>
  <c r="F4695" i="53"/>
  <c r="E4695" i="53"/>
  <c r="D4695" i="53"/>
  <c r="B4695" i="53"/>
  <c r="F4694" i="53"/>
  <c r="E4694" i="53"/>
  <c r="D4694" i="53"/>
  <c r="B4694" i="53"/>
  <c r="F4693" i="53"/>
  <c r="E4693" i="53"/>
  <c r="D4693" i="53"/>
  <c r="B4693" i="53"/>
  <c r="F4692" i="53"/>
  <c r="E4692" i="53"/>
  <c r="D4692" i="53"/>
  <c r="B4692" i="53"/>
  <c r="F4691" i="53"/>
  <c r="E4691" i="53"/>
  <c r="D4691" i="53"/>
  <c r="B4691" i="53"/>
  <c r="F4690" i="53"/>
  <c r="E4690" i="53"/>
  <c r="D4690" i="53"/>
  <c r="B4690" i="53"/>
  <c r="F4689" i="53"/>
  <c r="E4689" i="53"/>
  <c r="D4689" i="53"/>
  <c r="B4689" i="53"/>
  <c r="F4688" i="53"/>
  <c r="E4688" i="53"/>
  <c r="D4688" i="53"/>
  <c r="B4688" i="53"/>
  <c r="F4683" i="53"/>
  <c r="G4683" i="53" s="1"/>
  <c r="B4683" i="53"/>
  <c r="F4682" i="53"/>
  <c r="G4682" i="53" s="1"/>
  <c r="B4682" i="53"/>
  <c r="F4681" i="53"/>
  <c r="G4681" i="53" s="1"/>
  <c r="B4681" i="53"/>
  <c r="F4680" i="53"/>
  <c r="G4680" i="53" s="1"/>
  <c r="B4680" i="53"/>
  <c r="F4679" i="53"/>
  <c r="G4679" i="53" s="1"/>
  <c r="B4679" i="53"/>
  <c r="F4678" i="53"/>
  <c r="G4678" i="53" s="1"/>
  <c r="B4678" i="53"/>
  <c r="F4673" i="53"/>
  <c r="E4673" i="53"/>
  <c r="D4673" i="53"/>
  <c r="B4673" i="53"/>
  <c r="F4672" i="53"/>
  <c r="E4672" i="53"/>
  <c r="D4672" i="53"/>
  <c r="B4672" i="53"/>
  <c r="F4671" i="53"/>
  <c r="E4671" i="53"/>
  <c r="D4671" i="53"/>
  <c r="B4671" i="53"/>
  <c r="F4670" i="53"/>
  <c r="E4670" i="53"/>
  <c r="D4670" i="53"/>
  <c r="B4670" i="53"/>
  <c r="F4669" i="53"/>
  <c r="E4669" i="53"/>
  <c r="D4669" i="53"/>
  <c r="B4669" i="53"/>
  <c r="F4668" i="53"/>
  <c r="E4668" i="53"/>
  <c r="D4668" i="53"/>
  <c r="B4668" i="53"/>
  <c r="F4663" i="53"/>
  <c r="G4663" i="53" s="1"/>
  <c r="B4663" i="53"/>
  <c r="D4663" i="53"/>
  <c r="B4662" i="53"/>
  <c r="F4662" i="53"/>
  <c r="G4662" i="53" s="1"/>
  <c r="F4661" i="53"/>
  <c r="G4661" i="53" s="1"/>
  <c r="A4595" i="53"/>
  <c r="C513" i="55"/>
  <c r="B513" i="55"/>
  <c r="D4594" i="53"/>
  <c r="C512" i="55"/>
  <c r="E4593" i="53"/>
  <c r="E4592" i="53"/>
  <c r="A4593" i="53"/>
  <c r="D4593" i="53" s="1"/>
  <c r="A4592" i="53"/>
  <c r="C511" i="55"/>
  <c r="A12652" i="53"/>
  <c r="B12652" i="53" s="1"/>
  <c r="B4584" i="53"/>
  <c r="C510" i="55"/>
  <c r="D4180" i="53"/>
  <c r="C509" i="55"/>
  <c r="E4182" i="53"/>
  <c r="A4182" i="53"/>
  <c r="A4181" i="53"/>
  <c r="D4181" i="53" s="1"/>
  <c r="B4179" i="53"/>
  <c r="B4178" i="53"/>
  <c r="B4175" i="53"/>
  <c r="F4229" i="53"/>
  <c r="G4229" i="53" s="1"/>
  <c r="D4229" i="53"/>
  <c r="B4229" i="53"/>
  <c r="F4228" i="53"/>
  <c r="G4228" i="53" s="1"/>
  <c r="D4228" i="53"/>
  <c r="B4228" i="53"/>
  <c r="F4227" i="53"/>
  <c r="G4227" i="53" s="1"/>
  <c r="D4227" i="53"/>
  <c r="B4227" i="53"/>
  <c r="F4226" i="53"/>
  <c r="G4226" i="53" s="1"/>
  <c r="D4226" i="53"/>
  <c r="B4226" i="53"/>
  <c r="F4225" i="53"/>
  <c r="G4225" i="53" s="1"/>
  <c r="D4225" i="53"/>
  <c r="B4225" i="53"/>
  <c r="F4220" i="53"/>
  <c r="E4220" i="53"/>
  <c r="D4220" i="53"/>
  <c r="B4220" i="53"/>
  <c r="F4219" i="53"/>
  <c r="E4219" i="53"/>
  <c r="D4219" i="53"/>
  <c r="B4219" i="53"/>
  <c r="F4218" i="53"/>
  <c r="E4218" i="53"/>
  <c r="D4218" i="53"/>
  <c r="B4218" i="53"/>
  <c r="F4217" i="53"/>
  <c r="E4217" i="53"/>
  <c r="D4217" i="53"/>
  <c r="B4217" i="53"/>
  <c r="F4216" i="53"/>
  <c r="E4216" i="53"/>
  <c r="D4216" i="53"/>
  <c r="B4216" i="53"/>
  <c r="F4215" i="53"/>
  <c r="E4215" i="53"/>
  <c r="D4215" i="53"/>
  <c r="B4215" i="53"/>
  <c r="F4214" i="53"/>
  <c r="E4214" i="53"/>
  <c r="D4214" i="53"/>
  <c r="B4214" i="53"/>
  <c r="F4213" i="53"/>
  <c r="E4213" i="53"/>
  <c r="D4213" i="53"/>
  <c r="B4213" i="53"/>
  <c r="F4212" i="53"/>
  <c r="E4212" i="53"/>
  <c r="D4212" i="53"/>
  <c r="B4212" i="53"/>
  <c r="F4211" i="53"/>
  <c r="E4211" i="53"/>
  <c r="D4211" i="53"/>
  <c r="B4211" i="53"/>
  <c r="F4210" i="53"/>
  <c r="E4210" i="53"/>
  <c r="D4210" i="53"/>
  <c r="B4210" i="53"/>
  <c r="F4209" i="53"/>
  <c r="E4209" i="53"/>
  <c r="D4209" i="53"/>
  <c r="B4209" i="53"/>
  <c r="F4208" i="53"/>
  <c r="E4208" i="53"/>
  <c r="D4208" i="53"/>
  <c r="B4208" i="53"/>
  <c r="F4203" i="53"/>
  <c r="G4203" i="53" s="1"/>
  <c r="B4203" i="53"/>
  <c r="F4202" i="53"/>
  <c r="G4202" i="53" s="1"/>
  <c r="B4202" i="53"/>
  <c r="F4201" i="53"/>
  <c r="G4201" i="53" s="1"/>
  <c r="B4201" i="53"/>
  <c r="F4200" i="53"/>
  <c r="G4200" i="53" s="1"/>
  <c r="B4200" i="53"/>
  <c r="F4199" i="53"/>
  <c r="G4199" i="53" s="1"/>
  <c r="B4199" i="53"/>
  <c r="F4198" i="53"/>
  <c r="G4198" i="53" s="1"/>
  <c r="B4198" i="53"/>
  <c r="F4193" i="53"/>
  <c r="E4193" i="53"/>
  <c r="D4193" i="53"/>
  <c r="B4193" i="53"/>
  <c r="F4192" i="53"/>
  <c r="E4192" i="53"/>
  <c r="D4192" i="53"/>
  <c r="B4192" i="53"/>
  <c r="F4191" i="53"/>
  <c r="E4191" i="53"/>
  <c r="D4191" i="53"/>
  <c r="B4191" i="53"/>
  <c r="F4190" i="53"/>
  <c r="E4190" i="53"/>
  <c r="D4190" i="53"/>
  <c r="B4190" i="53"/>
  <c r="F4189" i="53"/>
  <c r="E4189" i="53"/>
  <c r="D4189" i="53"/>
  <c r="B4189" i="53"/>
  <c r="F4188" i="53"/>
  <c r="E4188" i="53"/>
  <c r="D4188" i="53"/>
  <c r="B4188" i="53"/>
  <c r="E4181" i="53"/>
  <c r="C508" i="55"/>
  <c r="C507" i="55"/>
  <c r="E4112" i="53"/>
  <c r="A4112" i="53"/>
  <c r="E4111" i="53"/>
  <c r="A4111" i="53"/>
  <c r="D4111" i="53" s="1"/>
  <c r="C506" i="55"/>
  <c r="E4110" i="53"/>
  <c r="E4109" i="53"/>
  <c r="A4110" i="53"/>
  <c r="A4109" i="53"/>
  <c r="A4108" i="53"/>
  <c r="B4105" i="53"/>
  <c r="F4159" i="53"/>
  <c r="G4159" i="53" s="1"/>
  <c r="D4159" i="53"/>
  <c r="B4159" i="53"/>
  <c r="F4158" i="53"/>
  <c r="G4158" i="53" s="1"/>
  <c r="D4158" i="53"/>
  <c r="B4158" i="53"/>
  <c r="F4157" i="53"/>
  <c r="G4157" i="53" s="1"/>
  <c r="D4157" i="53"/>
  <c r="B4157" i="53"/>
  <c r="F4156" i="53"/>
  <c r="G4156" i="53" s="1"/>
  <c r="D4156" i="53"/>
  <c r="B4156" i="53"/>
  <c r="F4155" i="53"/>
  <c r="G4155" i="53" s="1"/>
  <c r="D4155" i="53"/>
  <c r="B4155" i="53"/>
  <c r="F4150" i="53"/>
  <c r="E4150" i="53"/>
  <c r="D4150" i="53"/>
  <c r="B4150" i="53"/>
  <c r="F4149" i="53"/>
  <c r="E4149" i="53"/>
  <c r="D4149" i="53"/>
  <c r="B4149" i="53"/>
  <c r="F4148" i="53"/>
  <c r="E4148" i="53"/>
  <c r="D4148" i="53"/>
  <c r="B4148" i="53"/>
  <c r="F4147" i="53"/>
  <c r="E4147" i="53"/>
  <c r="D4147" i="53"/>
  <c r="B4147" i="53"/>
  <c r="F4146" i="53"/>
  <c r="E4146" i="53"/>
  <c r="D4146" i="53"/>
  <c r="B4146" i="53"/>
  <c r="F4145" i="53"/>
  <c r="E4145" i="53"/>
  <c r="D4145" i="53"/>
  <c r="B4145" i="53"/>
  <c r="F4144" i="53"/>
  <c r="E4144" i="53"/>
  <c r="D4144" i="53"/>
  <c r="B4144" i="53"/>
  <c r="F4143" i="53"/>
  <c r="E4143" i="53"/>
  <c r="D4143" i="53"/>
  <c r="B4143" i="53"/>
  <c r="F4142" i="53"/>
  <c r="E4142" i="53"/>
  <c r="D4142" i="53"/>
  <c r="B4142" i="53"/>
  <c r="F4141" i="53"/>
  <c r="E4141" i="53"/>
  <c r="D4141" i="53"/>
  <c r="B4141" i="53"/>
  <c r="F4140" i="53"/>
  <c r="E4140" i="53"/>
  <c r="D4140" i="53"/>
  <c r="B4140" i="53"/>
  <c r="F4139" i="53"/>
  <c r="E4139" i="53"/>
  <c r="D4139" i="53"/>
  <c r="B4139" i="53"/>
  <c r="F4138" i="53"/>
  <c r="E4138" i="53"/>
  <c r="D4138" i="53"/>
  <c r="B4138" i="53"/>
  <c r="F4133" i="53"/>
  <c r="G4133" i="53" s="1"/>
  <c r="B4133" i="53"/>
  <c r="F4132" i="53"/>
  <c r="G4132" i="53" s="1"/>
  <c r="B4132" i="53"/>
  <c r="F4131" i="53"/>
  <c r="G4131" i="53" s="1"/>
  <c r="B4131" i="53"/>
  <c r="F4130" i="53"/>
  <c r="G4130" i="53" s="1"/>
  <c r="B4130" i="53"/>
  <c r="F4129" i="53"/>
  <c r="G4129" i="53" s="1"/>
  <c r="B4129" i="53"/>
  <c r="F4128" i="53"/>
  <c r="G4128" i="53" s="1"/>
  <c r="B4128" i="53"/>
  <c r="F4123" i="53"/>
  <c r="E4123" i="53"/>
  <c r="D4123" i="53"/>
  <c r="B4123" i="53"/>
  <c r="F4122" i="53"/>
  <c r="E4122" i="53"/>
  <c r="D4122" i="53"/>
  <c r="B4122" i="53"/>
  <c r="F4121" i="53"/>
  <c r="E4121" i="53"/>
  <c r="D4121" i="53"/>
  <c r="B4121" i="53"/>
  <c r="F4120" i="53"/>
  <c r="E4120" i="53"/>
  <c r="D4120" i="53"/>
  <c r="B4120" i="53"/>
  <c r="F4119" i="53"/>
  <c r="E4119" i="53"/>
  <c r="D4119" i="53"/>
  <c r="B4119" i="53"/>
  <c r="F4118" i="53"/>
  <c r="E4118" i="53"/>
  <c r="D4118" i="53"/>
  <c r="B4118" i="53"/>
  <c r="C505" i="55"/>
  <c r="A4519" i="53"/>
  <c r="B504" i="55"/>
  <c r="C504" i="55"/>
  <c r="B4516" i="53"/>
  <c r="F4568" i="53"/>
  <c r="G4568" i="53" s="1"/>
  <c r="D4568" i="53"/>
  <c r="B4568" i="53"/>
  <c r="F4567" i="53"/>
  <c r="G4567" i="53" s="1"/>
  <c r="D4567" i="53"/>
  <c r="B4567" i="53"/>
  <c r="F4566" i="53"/>
  <c r="G4566" i="53" s="1"/>
  <c r="D4566" i="53"/>
  <c r="B4566" i="53"/>
  <c r="F4565" i="53"/>
  <c r="G4565" i="53" s="1"/>
  <c r="D4565" i="53"/>
  <c r="B4565" i="53"/>
  <c r="F4564" i="53"/>
  <c r="G4564" i="53" s="1"/>
  <c r="D4564" i="53"/>
  <c r="B4564" i="53"/>
  <c r="F4559" i="53"/>
  <c r="E4559" i="53"/>
  <c r="D4559" i="53"/>
  <c r="B4559" i="53"/>
  <c r="F4558" i="53"/>
  <c r="E4558" i="53"/>
  <c r="D4558" i="53"/>
  <c r="B4558" i="53"/>
  <c r="F4557" i="53"/>
  <c r="E4557" i="53"/>
  <c r="D4557" i="53"/>
  <c r="B4557" i="53"/>
  <c r="F4556" i="53"/>
  <c r="E4556" i="53"/>
  <c r="D4556" i="53"/>
  <c r="B4556" i="53"/>
  <c r="F4555" i="53"/>
  <c r="E4555" i="53"/>
  <c r="D4555" i="53"/>
  <c r="B4555" i="53"/>
  <c r="F4554" i="53"/>
  <c r="E4554" i="53"/>
  <c r="D4554" i="53"/>
  <c r="B4554" i="53"/>
  <c r="F4553" i="53"/>
  <c r="E4553" i="53"/>
  <c r="D4553" i="53"/>
  <c r="B4553" i="53"/>
  <c r="F4552" i="53"/>
  <c r="E4552" i="53"/>
  <c r="D4552" i="53"/>
  <c r="B4552" i="53"/>
  <c r="F4551" i="53"/>
  <c r="E4551" i="53"/>
  <c r="D4551" i="53"/>
  <c r="B4551" i="53"/>
  <c r="F4550" i="53"/>
  <c r="E4550" i="53"/>
  <c r="D4550" i="53"/>
  <c r="B4550" i="53"/>
  <c r="F4549" i="53"/>
  <c r="E4549" i="53"/>
  <c r="D4549" i="53"/>
  <c r="B4549" i="53"/>
  <c r="F4548" i="53"/>
  <c r="E4548" i="53"/>
  <c r="D4548" i="53"/>
  <c r="B4548" i="53"/>
  <c r="F4547" i="53"/>
  <c r="E4547" i="53"/>
  <c r="D4547" i="53"/>
  <c r="B4547" i="53"/>
  <c r="F4542" i="53"/>
  <c r="G4542" i="53" s="1"/>
  <c r="B4542" i="53"/>
  <c r="F4541" i="53"/>
  <c r="G4541" i="53" s="1"/>
  <c r="B4541" i="53"/>
  <c r="F4540" i="53"/>
  <c r="G4540" i="53" s="1"/>
  <c r="B4540" i="53"/>
  <c r="F4539" i="53"/>
  <c r="G4539" i="53" s="1"/>
  <c r="B4539" i="53"/>
  <c r="F4538" i="53"/>
  <c r="G4538" i="53" s="1"/>
  <c r="B4538" i="53"/>
  <c r="F4537" i="53"/>
  <c r="G4537" i="53" s="1"/>
  <c r="B4537" i="53"/>
  <c r="F4532" i="53"/>
  <c r="E4532" i="53"/>
  <c r="D4532" i="53"/>
  <c r="B4532" i="53"/>
  <c r="F4531" i="53"/>
  <c r="E4531" i="53"/>
  <c r="D4531" i="53"/>
  <c r="B4531" i="53"/>
  <c r="F4530" i="53"/>
  <c r="E4530" i="53"/>
  <c r="D4530" i="53"/>
  <c r="B4530" i="53"/>
  <c r="F4529" i="53"/>
  <c r="E4529" i="53"/>
  <c r="D4529" i="53"/>
  <c r="B4529" i="53"/>
  <c r="F4528" i="53"/>
  <c r="E4528" i="53"/>
  <c r="D4528" i="53"/>
  <c r="B4528" i="53"/>
  <c r="F4527" i="53"/>
  <c r="E4527" i="53"/>
  <c r="D4527" i="53"/>
  <c r="B4527" i="53"/>
  <c r="F4522" i="53"/>
  <c r="G4522" i="53" s="1"/>
  <c r="D4521" i="53"/>
  <c r="F4520" i="53"/>
  <c r="G4520" i="53" s="1"/>
  <c r="A4451" i="53"/>
  <c r="B4448" i="53"/>
  <c r="F4500" i="53"/>
  <c r="G4500" i="53" s="1"/>
  <c r="D4500" i="53"/>
  <c r="B4500" i="53"/>
  <c r="F4499" i="53"/>
  <c r="G4499" i="53" s="1"/>
  <c r="D4499" i="53"/>
  <c r="B4499" i="53"/>
  <c r="F4498" i="53"/>
  <c r="G4498" i="53" s="1"/>
  <c r="D4498" i="53"/>
  <c r="B4498" i="53"/>
  <c r="F4497" i="53"/>
  <c r="G4497" i="53" s="1"/>
  <c r="D4497" i="53"/>
  <c r="B4497" i="53"/>
  <c r="F4496" i="53"/>
  <c r="G4496" i="53" s="1"/>
  <c r="D4496" i="53"/>
  <c r="B4496" i="53"/>
  <c r="F4491" i="53"/>
  <c r="E4491" i="53"/>
  <c r="D4491" i="53"/>
  <c r="B4491" i="53"/>
  <c r="F4490" i="53"/>
  <c r="E4490" i="53"/>
  <c r="D4490" i="53"/>
  <c r="B4490" i="53"/>
  <c r="F4489" i="53"/>
  <c r="E4489" i="53"/>
  <c r="D4489" i="53"/>
  <c r="B4489" i="53"/>
  <c r="F4488" i="53"/>
  <c r="E4488" i="53"/>
  <c r="D4488" i="53"/>
  <c r="B4488" i="53"/>
  <c r="F4487" i="53"/>
  <c r="E4487" i="53"/>
  <c r="D4487" i="53"/>
  <c r="B4487" i="53"/>
  <c r="F4486" i="53"/>
  <c r="E4486" i="53"/>
  <c r="D4486" i="53"/>
  <c r="B4486" i="53"/>
  <c r="F4485" i="53"/>
  <c r="E4485" i="53"/>
  <c r="D4485" i="53"/>
  <c r="B4485" i="53"/>
  <c r="F4484" i="53"/>
  <c r="E4484" i="53"/>
  <c r="D4484" i="53"/>
  <c r="B4484" i="53"/>
  <c r="F4483" i="53"/>
  <c r="E4483" i="53"/>
  <c r="D4483" i="53"/>
  <c r="B4483" i="53"/>
  <c r="F4482" i="53"/>
  <c r="E4482" i="53"/>
  <c r="D4482" i="53"/>
  <c r="B4482" i="53"/>
  <c r="F4481" i="53"/>
  <c r="E4481" i="53"/>
  <c r="D4481" i="53"/>
  <c r="B4481" i="53"/>
  <c r="F4480" i="53"/>
  <c r="E4480" i="53"/>
  <c r="D4480" i="53"/>
  <c r="B4480" i="53"/>
  <c r="F4479" i="53"/>
  <c r="E4479" i="53"/>
  <c r="D4479" i="53"/>
  <c r="B4479" i="53"/>
  <c r="F4474" i="53"/>
  <c r="G4474" i="53" s="1"/>
  <c r="B4474" i="53"/>
  <c r="F4473" i="53"/>
  <c r="G4473" i="53" s="1"/>
  <c r="B4473" i="53"/>
  <c r="F4472" i="53"/>
  <c r="G4472" i="53" s="1"/>
  <c r="B4472" i="53"/>
  <c r="F4471" i="53"/>
  <c r="G4471" i="53" s="1"/>
  <c r="B4471" i="53"/>
  <c r="F4470" i="53"/>
  <c r="G4470" i="53" s="1"/>
  <c r="B4470" i="53"/>
  <c r="F4469" i="53"/>
  <c r="G4469" i="53" s="1"/>
  <c r="B4469" i="53"/>
  <c r="F4464" i="53"/>
  <c r="E4464" i="53"/>
  <c r="D4464" i="53"/>
  <c r="B4464" i="53"/>
  <c r="F4463" i="53"/>
  <c r="E4463" i="53"/>
  <c r="D4463" i="53"/>
  <c r="B4463" i="53"/>
  <c r="F4462" i="53"/>
  <c r="E4462" i="53"/>
  <c r="D4462" i="53"/>
  <c r="B4462" i="53"/>
  <c r="F4461" i="53"/>
  <c r="E4461" i="53"/>
  <c r="D4461" i="53"/>
  <c r="B4461" i="53"/>
  <c r="F4460" i="53"/>
  <c r="E4460" i="53"/>
  <c r="D4460" i="53"/>
  <c r="B4460" i="53"/>
  <c r="F4459" i="53"/>
  <c r="E4459" i="53"/>
  <c r="D4459" i="53"/>
  <c r="B4459" i="53"/>
  <c r="D4454" i="53"/>
  <c r="D4453" i="53"/>
  <c r="F4452" i="53"/>
  <c r="G4452" i="53" s="1"/>
  <c r="C503" i="55"/>
  <c r="A4385" i="53"/>
  <c r="C502" i="55"/>
  <c r="A4384" i="53"/>
  <c r="B4381" i="53"/>
  <c r="F4432" i="53"/>
  <c r="G4432" i="53" s="1"/>
  <c r="D4432" i="53"/>
  <c r="B4432" i="53"/>
  <c r="F4431" i="53"/>
  <c r="G4431" i="53" s="1"/>
  <c r="D4431" i="53"/>
  <c r="B4431" i="53"/>
  <c r="F4430" i="53"/>
  <c r="G4430" i="53" s="1"/>
  <c r="D4430" i="53"/>
  <c r="B4430" i="53"/>
  <c r="F4429" i="53"/>
  <c r="G4429" i="53" s="1"/>
  <c r="D4429" i="53"/>
  <c r="B4429" i="53"/>
  <c r="F4428" i="53"/>
  <c r="G4428" i="53" s="1"/>
  <c r="D4428" i="53"/>
  <c r="B4428" i="53"/>
  <c r="F4423" i="53"/>
  <c r="E4423" i="53"/>
  <c r="D4423" i="53"/>
  <c r="B4423" i="53"/>
  <c r="F4422" i="53"/>
  <c r="E4422" i="53"/>
  <c r="D4422" i="53"/>
  <c r="B4422" i="53"/>
  <c r="F4421" i="53"/>
  <c r="E4421" i="53"/>
  <c r="D4421" i="53"/>
  <c r="B4421" i="53"/>
  <c r="F4420" i="53"/>
  <c r="E4420" i="53"/>
  <c r="D4420" i="53"/>
  <c r="B4420" i="53"/>
  <c r="F4419" i="53"/>
  <c r="E4419" i="53"/>
  <c r="D4419" i="53"/>
  <c r="B4419" i="53"/>
  <c r="F4418" i="53"/>
  <c r="E4418" i="53"/>
  <c r="D4418" i="53"/>
  <c r="B4418" i="53"/>
  <c r="F4417" i="53"/>
  <c r="E4417" i="53"/>
  <c r="D4417" i="53"/>
  <c r="B4417" i="53"/>
  <c r="F4416" i="53"/>
  <c r="E4416" i="53"/>
  <c r="D4416" i="53"/>
  <c r="B4416" i="53"/>
  <c r="F4415" i="53"/>
  <c r="E4415" i="53"/>
  <c r="D4415" i="53"/>
  <c r="B4415" i="53"/>
  <c r="F4414" i="53"/>
  <c r="E4414" i="53"/>
  <c r="D4414" i="53"/>
  <c r="B4414" i="53"/>
  <c r="F4413" i="53"/>
  <c r="E4413" i="53"/>
  <c r="D4413" i="53"/>
  <c r="B4413" i="53"/>
  <c r="F4412" i="53"/>
  <c r="E4412" i="53"/>
  <c r="D4412" i="53"/>
  <c r="B4412" i="53"/>
  <c r="F4411" i="53"/>
  <c r="E4411" i="53"/>
  <c r="D4411" i="53"/>
  <c r="B4411" i="53"/>
  <c r="F4406" i="53"/>
  <c r="G4406" i="53" s="1"/>
  <c r="B4406" i="53"/>
  <c r="F4405" i="53"/>
  <c r="G4405" i="53" s="1"/>
  <c r="B4405" i="53"/>
  <c r="F4404" i="53"/>
  <c r="G4404" i="53" s="1"/>
  <c r="B4404" i="53"/>
  <c r="F4403" i="53"/>
  <c r="G4403" i="53" s="1"/>
  <c r="B4403" i="53"/>
  <c r="F4402" i="53"/>
  <c r="G4402" i="53" s="1"/>
  <c r="B4402" i="53"/>
  <c r="F4401" i="53"/>
  <c r="G4401" i="53" s="1"/>
  <c r="B4401" i="53"/>
  <c r="F4396" i="53"/>
  <c r="E4396" i="53"/>
  <c r="D4396" i="53"/>
  <c r="B4396" i="53"/>
  <c r="F4395" i="53"/>
  <c r="E4395" i="53"/>
  <c r="D4395" i="53"/>
  <c r="B4395" i="53"/>
  <c r="F4394" i="53"/>
  <c r="E4394" i="53"/>
  <c r="D4394" i="53"/>
  <c r="B4394" i="53"/>
  <c r="F4393" i="53"/>
  <c r="E4393" i="53"/>
  <c r="D4393" i="53"/>
  <c r="B4393" i="53"/>
  <c r="F4392" i="53"/>
  <c r="E4392" i="53"/>
  <c r="D4392" i="53"/>
  <c r="B4392" i="53"/>
  <c r="F4391" i="53"/>
  <c r="E4391" i="53"/>
  <c r="D4391" i="53"/>
  <c r="B4391" i="53"/>
  <c r="D4386" i="53"/>
  <c r="C501" i="55"/>
  <c r="C500" i="55"/>
  <c r="A4317" i="53"/>
  <c r="A4316" i="53"/>
  <c r="B4316" i="53" s="1"/>
  <c r="B4313" i="53"/>
  <c r="F4365" i="53"/>
  <c r="G4365" i="53" s="1"/>
  <c r="D4365" i="53"/>
  <c r="B4365" i="53"/>
  <c r="F4364" i="53"/>
  <c r="G4364" i="53" s="1"/>
  <c r="D4364" i="53"/>
  <c r="B4364" i="53"/>
  <c r="F4363" i="53"/>
  <c r="G4363" i="53" s="1"/>
  <c r="D4363" i="53"/>
  <c r="B4363" i="53"/>
  <c r="F4362" i="53"/>
  <c r="G4362" i="53" s="1"/>
  <c r="D4362" i="53"/>
  <c r="B4362" i="53"/>
  <c r="F4361" i="53"/>
  <c r="G4361" i="53" s="1"/>
  <c r="D4361" i="53"/>
  <c r="B4361" i="53"/>
  <c r="F4356" i="53"/>
  <c r="E4356" i="53"/>
  <c r="D4356" i="53"/>
  <c r="B4356" i="53"/>
  <c r="F4355" i="53"/>
  <c r="E4355" i="53"/>
  <c r="D4355" i="53"/>
  <c r="B4355" i="53"/>
  <c r="F4354" i="53"/>
  <c r="E4354" i="53"/>
  <c r="D4354" i="53"/>
  <c r="B4354" i="53"/>
  <c r="F4353" i="53"/>
  <c r="E4353" i="53"/>
  <c r="D4353" i="53"/>
  <c r="B4353" i="53"/>
  <c r="F4352" i="53"/>
  <c r="E4352" i="53"/>
  <c r="D4352" i="53"/>
  <c r="B4352" i="53"/>
  <c r="F4351" i="53"/>
  <c r="E4351" i="53"/>
  <c r="D4351" i="53"/>
  <c r="B4351" i="53"/>
  <c r="F4350" i="53"/>
  <c r="E4350" i="53"/>
  <c r="D4350" i="53"/>
  <c r="B4350" i="53"/>
  <c r="F4349" i="53"/>
  <c r="E4349" i="53"/>
  <c r="D4349" i="53"/>
  <c r="B4349" i="53"/>
  <c r="F4348" i="53"/>
  <c r="E4348" i="53"/>
  <c r="D4348" i="53"/>
  <c r="B4348" i="53"/>
  <c r="F4347" i="53"/>
  <c r="E4347" i="53"/>
  <c r="D4347" i="53"/>
  <c r="B4347" i="53"/>
  <c r="F4346" i="53"/>
  <c r="E4346" i="53"/>
  <c r="D4346" i="53"/>
  <c r="B4346" i="53"/>
  <c r="F4345" i="53"/>
  <c r="E4345" i="53"/>
  <c r="D4345" i="53"/>
  <c r="B4345" i="53"/>
  <c r="F4344" i="53"/>
  <c r="E4344" i="53"/>
  <c r="D4344" i="53"/>
  <c r="B4344" i="53"/>
  <c r="F4339" i="53"/>
  <c r="G4339" i="53" s="1"/>
  <c r="B4339" i="53"/>
  <c r="F4338" i="53"/>
  <c r="G4338" i="53" s="1"/>
  <c r="B4338" i="53"/>
  <c r="F4337" i="53"/>
  <c r="G4337" i="53" s="1"/>
  <c r="B4337" i="53"/>
  <c r="F4336" i="53"/>
  <c r="G4336" i="53" s="1"/>
  <c r="B4336" i="53"/>
  <c r="F4335" i="53"/>
  <c r="G4335" i="53" s="1"/>
  <c r="B4335" i="53"/>
  <c r="F4334" i="53"/>
  <c r="G4334" i="53" s="1"/>
  <c r="B4334" i="53"/>
  <c r="F4329" i="53"/>
  <c r="E4329" i="53"/>
  <c r="D4329" i="53"/>
  <c r="B4329" i="53"/>
  <c r="F4328" i="53"/>
  <c r="E4328" i="53"/>
  <c r="D4328" i="53"/>
  <c r="B4328" i="53"/>
  <c r="F4327" i="53"/>
  <c r="E4327" i="53"/>
  <c r="D4327" i="53"/>
  <c r="B4327" i="53"/>
  <c r="F4326" i="53"/>
  <c r="E4326" i="53"/>
  <c r="D4326" i="53"/>
  <c r="B4326" i="53"/>
  <c r="F4325" i="53"/>
  <c r="E4325" i="53"/>
  <c r="D4325" i="53"/>
  <c r="B4325" i="53"/>
  <c r="F4324" i="53"/>
  <c r="E4324" i="53"/>
  <c r="D4324" i="53"/>
  <c r="B4324" i="53"/>
  <c r="F4319" i="53"/>
  <c r="G4319" i="53" s="1"/>
  <c r="D4318" i="53"/>
  <c r="C499" i="55"/>
  <c r="C498" i="55"/>
  <c r="A4249" i="53"/>
  <c r="A4248" i="53"/>
  <c r="B4248" i="53" s="1"/>
  <c r="C497" i="55"/>
  <c r="B4245" i="53"/>
  <c r="F4297" i="53"/>
  <c r="G4297" i="53" s="1"/>
  <c r="D4297" i="53"/>
  <c r="B4297" i="53"/>
  <c r="F4296" i="53"/>
  <c r="G4296" i="53" s="1"/>
  <c r="D4296" i="53"/>
  <c r="B4296" i="53"/>
  <c r="F4295" i="53"/>
  <c r="G4295" i="53" s="1"/>
  <c r="D4295" i="53"/>
  <c r="B4295" i="53"/>
  <c r="F4294" i="53"/>
  <c r="G4294" i="53" s="1"/>
  <c r="D4294" i="53"/>
  <c r="B4294" i="53"/>
  <c r="F4293" i="53"/>
  <c r="G4293" i="53" s="1"/>
  <c r="D4293" i="53"/>
  <c r="B4293" i="53"/>
  <c r="F4288" i="53"/>
  <c r="E4288" i="53"/>
  <c r="D4288" i="53"/>
  <c r="B4288" i="53"/>
  <c r="F4287" i="53"/>
  <c r="E4287" i="53"/>
  <c r="D4287" i="53"/>
  <c r="B4287" i="53"/>
  <c r="F4286" i="53"/>
  <c r="E4286" i="53"/>
  <c r="D4286" i="53"/>
  <c r="B4286" i="53"/>
  <c r="F4285" i="53"/>
  <c r="E4285" i="53"/>
  <c r="D4285" i="53"/>
  <c r="B4285" i="53"/>
  <c r="F4284" i="53"/>
  <c r="E4284" i="53"/>
  <c r="D4284" i="53"/>
  <c r="B4284" i="53"/>
  <c r="F4283" i="53"/>
  <c r="E4283" i="53"/>
  <c r="D4283" i="53"/>
  <c r="B4283" i="53"/>
  <c r="F4282" i="53"/>
  <c r="E4282" i="53"/>
  <c r="D4282" i="53"/>
  <c r="B4282" i="53"/>
  <c r="F4281" i="53"/>
  <c r="E4281" i="53"/>
  <c r="D4281" i="53"/>
  <c r="B4281" i="53"/>
  <c r="F4280" i="53"/>
  <c r="E4280" i="53"/>
  <c r="D4280" i="53"/>
  <c r="B4280" i="53"/>
  <c r="F4279" i="53"/>
  <c r="E4279" i="53"/>
  <c r="D4279" i="53"/>
  <c r="B4279" i="53"/>
  <c r="F4278" i="53"/>
  <c r="E4278" i="53"/>
  <c r="D4278" i="53"/>
  <c r="B4278" i="53"/>
  <c r="F4277" i="53"/>
  <c r="E4277" i="53"/>
  <c r="D4277" i="53"/>
  <c r="B4277" i="53"/>
  <c r="F4276" i="53"/>
  <c r="E4276" i="53"/>
  <c r="D4276" i="53"/>
  <c r="B4276" i="53"/>
  <c r="F4271" i="53"/>
  <c r="G4271" i="53" s="1"/>
  <c r="B4271" i="53"/>
  <c r="F4270" i="53"/>
  <c r="G4270" i="53" s="1"/>
  <c r="B4270" i="53"/>
  <c r="F4269" i="53"/>
  <c r="G4269" i="53" s="1"/>
  <c r="B4269" i="53"/>
  <c r="F4268" i="53"/>
  <c r="G4268" i="53" s="1"/>
  <c r="B4268" i="53"/>
  <c r="F4267" i="53"/>
  <c r="G4267" i="53" s="1"/>
  <c r="B4267" i="53"/>
  <c r="F4266" i="53"/>
  <c r="G4266" i="53" s="1"/>
  <c r="B4266" i="53"/>
  <c r="F4261" i="53"/>
  <c r="E4261" i="53"/>
  <c r="D4261" i="53"/>
  <c r="B4261" i="53"/>
  <c r="F4260" i="53"/>
  <c r="E4260" i="53"/>
  <c r="D4260" i="53"/>
  <c r="B4260" i="53"/>
  <c r="F4259" i="53"/>
  <c r="E4259" i="53"/>
  <c r="D4259" i="53"/>
  <c r="B4259" i="53"/>
  <c r="F4258" i="53"/>
  <c r="E4258" i="53"/>
  <c r="D4258" i="53"/>
  <c r="B4258" i="53"/>
  <c r="F4257" i="53"/>
  <c r="E4257" i="53"/>
  <c r="D4257" i="53"/>
  <c r="B4257" i="53"/>
  <c r="F4256" i="53"/>
  <c r="E4256" i="53"/>
  <c r="D4256" i="53"/>
  <c r="B4256" i="53"/>
  <c r="B4251" i="53"/>
  <c r="D4250" i="53"/>
  <c r="A4040" i="53"/>
  <c r="C496" i="55"/>
  <c r="A4039" i="53"/>
  <c r="E4039" i="53"/>
  <c r="E4038" i="53"/>
  <c r="A4038" i="53"/>
  <c r="D4038" i="53" s="1"/>
  <c r="A4037" i="53"/>
  <c r="B4037" i="53" s="1"/>
  <c r="C495" i="55"/>
  <c r="A4036" i="53"/>
  <c r="C494" i="55"/>
  <c r="B4033" i="53"/>
  <c r="F4089" i="53"/>
  <c r="G4089" i="53" s="1"/>
  <c r="D4089" i="53"/>
  <c r="B4089" i="53"/>
  <c r="F4088" i="53"/>
  <c r="G4088" i="53" s="1"/>
  <c r="D4088" i="53"/>
  <c r="B4088" i="53"/>
  <c r="F4087" i="53"/>
  <c r="G4087" i="53" s="1"/>
  <c r="D4087" i="53"/>
  <c r="B4087" i="53"/>
  <c r="F4086" i="53"/>
  <c r="G4086" i="53" s="1"/>
  <c r="D4086" i="53"/>
  <c r="B4086" i="53"/>
  <c r="F4085" i="53"/>
  <c r="G4085" i="53" s="1"/>
  <c r="D4085" i="53"/>
  <c r="B4085" i="53"/>
  <c r="F4080" i="53"/>
  <c r="E4080" i="53"/>
  <c r="D4080" i="53"/>
  <c r="B4080" i="53"/>
  <c r="F4079" i="53"/>
  <c r="E4079" i="53"/>
  <c r="D4079" i="53"/>
  <c r="B4079" i="53"/>
  <c r="F4078" i="53"/>
  <c r="E4078" i="53"/>
  <c r="D4078" i="53"/>
  <c r="B4078" i="53"/>
  <c r="F4077" i="53"/>
  <c r="E4077" i="53"/>
  <c r="D4077" i="53"/>
  <c r="B4077" i="53"/>
  <c r="F4076" i="53"/>
  <c r="E4076" i="53"/>
  <c r="D4076" i="53"/>
  <c r="B4076" i="53"/>
  <c r="F4075" i="53"/>
  <c r="E4075" i="53"/>
  <c r="D4075" i="53"/>
  <c r="B4075" i="53"/>
  <c r="F4074" i="53"/>
  <c r="E4074" i="53"/>
  <c r="D4074" i="53"/>
  <c r="B4074" i="53"/>
  <c r="F4073" i="53"/>
  <c r="E4073" i="53"/>
  <c r="D4073" i="53"/>
  <c r="B4073" i="53"/>
  <c r="F4072" i="53"/>
  <c r="E4072" i="53"/>
  <c r="D4072" i="53"/>
  <c r="B4072" i="53"/>
  <c r="F4071" i="53"/>
  <c r="E4071" i="53"/>
  <c r="D4071" i="53"/>
  <c r="B4071" i="53"/>
  <c r="F4070" i="53"/>
  <c r="E4070" i="53"/>
  <c r="D4070" i="53"/>
  <c r="B4070" i="53"/>
  <c r="F4069" i="53"/>
  <c r="E4069" i="53"/>
  <c r="D4069" i="53"/>
  <c r="B4069" i="53"/>
  <c r="F4068" i="53"/>
  <c r="E4068" i="53"/>
  <c r="D4068" i="53"/>
  <c r="B4068" i="53"/>
  <c r="F4063" i="53"/>
  <c r="G4063" i="53" s="1"/>
  <c r="B4063" i="53"/>
  <c r="F4062" i="53"/>
  <c r="G4062" i="53" s="1"/>
  <c r="B4062" i="53"/>
  <c r="F4061" i="53"/>
  <c r="G4061" i="53" s="1"/>
  <c r="B4061" i="53"/>
  <c r="F4060" i="53"/>
  <c r="G4060" i="53" s="1"/>
  <c r="B4060" i="53"/>
  <c r="F4059" i="53"/>
  <c r="G4059" i="53" s="1"/>
  <c r="B4059" i="53"/>
  <c r="F4058" i="53"/>
  <c r="G4058" i="53" s="1"/>
  <c r="B4058" i="53"/>
  <c r="F4053" i="53"/>
  <c r="E4053" i="53"/>
  <c r="D4053" i="53"/>
  <c r="B4053" i="53"/>
  <c r="F4052" i="53"/>
  <c r="E4052" i="53"/>
  <c r="D4052" i="53"/>
  <c r="B4052" i="53"/>
  <c r="F4051" i="53"/>
  <c r="E4051" i="53"/>
  <c r="D4051" i="53"/>
  <c r="B4051" i="53"/>
  <c r="F4050" i="53"/>
  <c r="E4050" i="53"/>
  <c r="D4050" i="53"/>
  <c r="B4050" i="53"/>
  <c r="F4049" i="53"/>
  <c r="E4049" i="53"/>
  <c r="D4049" i="53"/>
  <c r="B4049" i="53"/>
  <c r="F4048" i="53"/>
  <c r="E4048" i="53"/>
  <c r="D4048" i="53"/>
  <c r="B4048" i="53"/>
  <c r="F4043" i="53"/>
  <c r="G4043" i="53" s="1"/>
  <c r="D4043" i="53"/>
  <c r="B4043" i="53"/>
  <c r="F4042" i="53"/>
  <c r="G4042" i="53" s="1"/>
  <c r="D4042" i="53"/>
  <c r="B4042" i="53"/>
  <c r="F4041" i="53"/>
  <c r="G4041" i="53" s="1"/>
  <c r="D4041" i="53"/>
  <c r="B4041" i="53"/>
  <c r="G2294" i="53" l="1"/>
  <c r="G2319" i="53"/>
  <c r="G2321" i="53"/>
  <c r="G2323" i="53"/>
  <c r="G2325" i="53"/>
  <c r="F4317" i="53"/>
  <c r="G4317" i="53" s="1"/>
  <c r="F4384" i="53"/>
  <c r="G4384" i="53" s="1"/>
  <c r="G2320" i="53"/>
  <c r="G2296" i="53"/>
  <c r="G2298" i="53"/>
  <c r="G2316" i="53"/>
  <c r="G2318" i="53"/>
  <c r="G2322" i="53"/>
  <c r="G2324" i="53"/>
  <c r="G2295" i="53"/>
  <c r="G2297" i="53"/>
  <c r="F4385" i="53"/>
  <c r="G4385" i="53" s="1"/>
  <c r="F4660" i="53"/>
  <c r="G4660" i="53" s="1"/>
  <c r="G4664" i="53" s="1"/>
  <c r="F4595" i="53"/>
  <c r="G4595" i="53" s="1"/>
  <c r="G4698" i="53"/>
  <c r="G2326" i="53"/>
  <c r="B4660" i="53"/>
  <c r="G2315" i="53"/>
  <c r="G2317" i="53"/>
  <c r="G2299" i="53"/>
  <c r="G4672" i="53"/>
  <c r="G2314" i="53"/>
  <c r="G2336" i="53"/>
  <c r="G2290" i="53"/>
  <c r="G2310" i="53"/>
  <c r="G4548" i="53"/>
  <c r="G4192" i="53"/>
  <c r="G4669" i="53"/>
  <c r="G4690" i="53"/>
  <c r="G4210" i="53"/>
  <c r="G4691" i="53"/>
  <c r="G4693" i="53"/>
  <c r="G4694" i="53"/>
  <c r="G4668" i="53"/>
  <c r="G4670" i="53"/>
  <c r="G4218" i="53"/>
  <c r="G4671" i="53"/>
  <c r="G4673" i="53"/>
  <c r="G4689" i="53"/>
  <c r="G4695" i="53"/>
  <c r="G4697" i="53"/>
  <c r="G4710" i="53"/>
  <c r="G4684" i="53"/>
  <c r="G4699" i="53"/>
  <c r="G4193" i="53"/>
  <c r="G4688" i="53"/>
  <c r="G4692" i="53"/>
  <c r="G4208" i="53"/>
  <c r="G4696" i="53"/>
  <c r="G4700" i="53"/>
  <c r="G4219" i="53"/>
  <c r="D4662" i="53"/>
  <c r="B4661" i="53"/>
  <c r="D4661" i="53"/>
  <c r="B4595" i="53"/>
  <c r="D4595" i="53"/>
  <c r="F4594" i="53"/>
  <c r="G4594" i="53" s="1"/>
  <c r="B4594" i="53"/>
  <c r="B4593" i="53"/>
  <c r="G4188" i="53"/>
  <c r="G4190" i="53"/>
  <c r="B4592" i="53"/>
  <c r="D4592" i="53"/>
  <c r="G4212" i="53"/>
  <c r="G4214" i="53"/>
  <c r="G4216" i="53"/>
  <c r="G4220" i="53"/>
  <c r="G4189" i="53"/>
  <c r="G4191" i="53"/>
  <c r="G4209" i="53"/>
  <c r="G4211" i="53"/>
  <c r="G4213" i="53"/>
  <c r="G4215" i="53"/>
  <c r="G4217" i="53"/>
  <c r="F4179" i="53"/>
  <c r="G4179" i="53" s="1"/>
  <c r="B4519" i="53"/>
  <c r="B4181" i="53"/>
  <c r="F4178" i="53"/>
  <c r="G4178" i="53" s="1"/>
  <c r="F4108" i="53"/>
  <c r="G4108" i="53" s="1"/>
  <c r="B4180" i="53"/>
  <c r="F4112" i="53"/>
  <c r="G4112" i="53" s="1"/>
  <c r="F4180" i="53"/>
  <c r="G4180" i="53" s="1"/>
  <c r="G4230" i="53"/>
  <c r="G4204" i="53"/>
  <c r="G4120" i="53"/>
  <c r="D4179" i="53"/>
  <c r="D4178" i="53"/>
  <c r="B4182" i="53"/>
  <c r="D4182" i="53"/>
  <c r="G4528" i="53"/>
  <c r="G4530" i="53"/>
  <c r="G4121" i="53"/>
  <c r="G4150" i="53"/>
  <c r="F4111" i="53"/>
  <c r="G4111" i="53" s="1"/>
  <c r="G4557" i="53"/>
  <c r="F4249" i="53"/>
  <c r="G4249" i="53" s="1"/>
  <c r="F4451" i="53"/>
  <c r="G4451" i="53" s="1"/>
  <c r="B4110" i="53"/>
  <c r="B4111" i="53"/>
  <c r="F4036" i="53"/>
  <c r="G4036" i="53" s="1"/>
  <c r="G4138" i="53"/>
  <c r="G4146" i="53"/>
  <c r="B4112" i="53"/>
  <c r="D4112" i="53"/>
  <c r="G4122" i="53"/>
  <c r="G4139" i="53"/>
  <c r="G4141" i="53"/>
  <c r="G4143" i="53"/>
  <c r="G4145" i="53"/>
  <c r="G4147" i="53"/>
  <c r="G4149" i="53"/>
  <c r="B4451" i="53"/>
  <c r="G4119" i="53"/>
  <c r="G4123" i="53"/>
  <c r="G4140" i="53"/>
  <c r="G4148" i="53"/>
  <c r="D4110" i="53"/>
  <c r="B4109" i="53"/>
  <c r="D4109" i="53"/>
  <c r="G4160" i="53"/>
  <c r="G4142" i="53"/>
  <c r="G4144" i="53"/>
  <c r="G4547" i="53"/>
  <c r="G4549" i="53"/>
  <c r="F4454" i="53"/>
  <c r="G4454" i="53" s="1"/>
  <c r="G4531" i="53"/>
  <c r="G4118" i="53"/>
  <c r="B4108" i="53"/>
  <c r="D4108" i="53"/>
  <c r="G4134" i="53"/>
  <c r="F4316" i="53"/>
  <c r="G4316" i="53" s="1"/>
  <c r="G4411" i="53"/>
  <c r="B4453" i="53"/>
  <c r="G4554" i="53"/>
  <c r="G4556" i="53"/>
  <c r="D4522" i="53"/>
  <c r="B4454" i="53"/>
  <c r="G4420" i="53"/>
  <c r="G4529" i="53"/>
  <c r="G4551" i="53"/>
  <c r="G4553" i="53"/>
  <c r="G4555" i="53"/>
  <c r="G4559" i="53"/>
  <c r="G4460" i="53"/>
  <c r="G4462" i="53"/>
  <c r="G4464" i="53"/>
  <c r="G4487" i="53"/>
  <c r="B4522" i="53"/>
  <c r="G4532" i="53"/>
  <c r="G4459" i="53"/>
  <c r="G4463" i="53"/>
  <c r="G4480" i="53"/>
  <c r="G4550" i="53"/>
  <c r="G4552" i="53"/>
  <c r="F4521" i="53"/>
  <c r="G4521" i="53" s="1"/>
  <c r="G4527" i="53"/>
  <c r="G4558" i="53"/>
  <c r="G4569" i="53"/>
  <c r="F4519" i="53"/>
  <c r="G4519" i="53" s="1"/>
  <c r="D4451" i="53"/>
  <c r="G4543" i="53"/>
  <c r="G4412" i="53"/>
  <c r="G4461" i="53"/>
  <c r="G4486" i="53"/>
  <c r="G4488" i="53"/>
  <c r="G4490" i="53"/>
  <c r="B4520" i="53"/>
  <c r="G4324" i="53"/>
  <c r="D4520" i="53"/>
  <c r="G4413" i="53"/>
  <c r="G4479" i="53"/>
  <c r="G4481" i="53"/>
  <c r="G4485" i="53"/>
  <c r="G4489" i="53"/>
  <c r="D4519" i="53"/>
  <c r="D4319" i="53"/>
  <c r="B4521" i="53"/>
  <c r="G4393" i="53"/>
  <c r="G4395" i="53"/>
  <c r="G4391" i="53"/>
  <c r="G4415" i="53"/>
  <c r="G4417" i="53"/>
  <c r="G4419" i="53"/>
  <c r="B4318" i="53"/>
  <c r="B4386" i="53"/>
  <c r="G4421" i="53"/>
  <c r="G4483" i="53"/>
  <c r="G4491" i="53"/>
  <c r="G4394" i="53"/>
  <c r="G4414" i="53"/>
  <c r="G4416" i="53"/>
  <c r="G4418" i="53"/>
  <c r="F4453" i="53"/>
  <c r="G4453" i="53" s="1"/>
  <c r="G4482" i="53"/>
  <c r="G4484" i="53"/>
  <c r="G4501" i="53"/>
  <c r="G4475" i="53"/>
  <c r="G4049" i="53"/>
  <c r="G4072" i="53"/>
  <c r="G4076" i="53"/>
  <c r="G4345" i="53"/>
  <c r="G4347" i="53"/>
  <c r="G4349" i="53"/>
  <c r="G4351" i="53"/>
  <c r="G4396" i="53"/>
  <c r="G4423" i="53"/>
  <c r="B4452" i="53"/>
  <c r="G4053" i="53"/>
  <c r="G4074" i="53"/>
  <c r="G4078" i="53"/>
  <c r="D4452" i="53"/>
  <c r="G4048" i="53"/>
  <c r="G4325" i="53"/>
  <c r="G4327" i="53"/>
  <c r="G4329" i="53"/>
  <c r="G4348" i="53"/>
  <c r="G4350" i="53"/>
  <c r="G4352" i="53"/>
  <c r="G4356" i="53"/>
  <c r="G4422" i="53"/>
  <c r="G4392" i="53"/>
  <c r="G4407" i="53"/>
  <c r="G4433" i="53"/>
  <c r="G4326" i="53"/>
  <c r="G4328" i="53"/>
  <c r="G4354" i="53"/>
  <c r="B4385" i="53"/>
  <c r="D4385" i="53"/>
  <c r="G4256" i="53"/>
  <c r="G4258" i="53"/>
  <c r="G4260" i="53"/>
  <c r="B4384" i="53"/>
  <c r="D4384" i="53"/>
  <c r="G4353" i="53"/>
  <c r="G4355" i="53"/>
  <c r="G4259" i="53"/>
  <c r="G4344" i="53"/>
  <c r="G4346" i="53"/>
  <c r="F4040" i="53"/>
  <c r="G4040" i="53" s="1"/>
  <c r="F4251" i="53"/>
  <c r="G4251" i="53" s="1"/>
  <c r="D4316" i="53"/>
  <c r="F4318" i="53"/>
  <c r="G4318" i="53" s="1"/>
  <c r="D4251" i="53"/>
  <c r="B4317" i="53"/>
  <c r="G4366" i="53"/>
  <c r="G4340" i="53"/>
  <c r="G4071" i="53"/>
  <c r="G4073" i="53"/>
  <c r="G4068" i="53"/>
  <c r="G4070" i="53"/>
  <c r="G4276" i="53"/>
  <c r="G4278" i="53"/>
  <c r="G4282" i="53"/>
  <c r="G4284" i="53"/>
  <c r="G4286" i="53"/>
  <c r="F4250" i="53"/>
  <c r="G4250" i="53" s="1"/>
  <c r="D4317" i="53"/>
  <c r="B4319" i="53"/>
  <c r="G4052" i="53"/>
  <c r="G4257" i="53"/>
  <c r="G4075" i="53"/>
  <c r="G4261" i="53"/>
  <c r="D4248" i="53"/>
  <c r="F4248" i="53"/>
  <c r="G4248" i="53" s="1"/>
  <c r="G4283" i="53"/>
  <c r="G4287" i="53"/>
  <c r="G4288" i="53"/>
  <c r="G4277" i="53"/>
  <c r="G4285" i="53"/>
  <c r="G4280" i="53"/>
  <c r="G4279" i="53"/>
  <c r="G4281" i="53"/>
  <c r="G4298" i="53"/>
  <c r="G4272" i="53"/>
  <c r="B4249" i="53"/>
  <c r="G4050" i="53"/>
  <c r="G4079" i="53"/>
  <c r="D4249" i="53"/>
  <c r="G4077" i="53"/>
  <c r="G4051" i="53"/>
  <c r="G4069" i="53"/>
  <c r="G4080" i="53"/>
  <c r="B4250" i="53"/>
  <c r="B4040" i="53"/>
  <c r="D4040" i="53"/>
  <c r="F4037" i="53"/>
  <c r="G4037" i="53" s="1"/>
  <c r="D4037" i="53"/>
  <c r="B4038" i="53"/>
  <c r="G4090" i="53"/>
  <c r="G4064" i="53"/>
  <c r="B4036" i="53"/>
  <c r="B4039" i="53"/>
  <c r="D4036" i="53"/>
  <c r="D4039" i="53"/>
  <c r="G2327" i="53" l="1"/>
  <c r="G2300" i="53"/>
  <c r="G4674" i="53"/>
  <c r="G4701" i="53"/>
  <c r="G4221" i="53"/>
  <c r="G4194" i="53"/>
  <c r="G4455" i="53"/>
  <c r="G4124" i="53"/>
  <c r="G4151" i="53"/>
  <c r="G4465" i="53"/>
  <c r="G4252" i="53"/>
  <c r="G4533" i="53"/>
  <c r="G4560" i="53"/>
  <c r="G4320" i="53"/>
  <c r="G4523" i="53"/>
  <c r="G4492" i="53"/>
  <c r="G4397" i="53"/>
  <c r="G4424" i="53"/>
  <c r="G4330" i="53"/>
  <c r="G4357" i="53"/>
  <c r="G4054" i="53"/>
  <c r="G4081" i="53"/>
  <c r="G4262" i="53"/>
  <c r="G4289" i="53"/>
  <c r="G2338" i="53" l="1"/>
  <c r="G4712" i="53"/>
  <c r="G4503" i="53"/>
  <c r="G4571" i="53"/>
  <c r="G4368" i="53"/>
  <c r="G4300" i="53"/>
  <c r="G4506" i="53" l="1"/>
  <c r="G4714" i="53"/>
  <c r="J87" i="1"/>
  <c r="J86" i="1"/>
  <c r="G4575" i="53"/>
  <c r="G4579" i="53" s="1"/>
  <c r="G2340" i="53"/>
  <c r="G2341" i="53"/>
  <c r="G2342" i="53"/>
  <c r="G2346" i="53" s="1"/>
  <c r="G4716" i="53"/>
  <c r="G4720" i="53" s="1"/>
  <c r="J92" i="1"/>
  <c r="G4715" i="53"/>
  <c r="J89" i="1"/>
  <c r="G4505" i="53"/>
  <c r="G4507" i="53"/>
  <c r="G4511" i="53" s="1"/>
  <c r="G4574" i="53"/>
  <c r="G4573" i="53"/>
  <c r="J90" i="1"/>
  <c r="G4302" i="53"/>
  <c r="G4370" i="53"/>
  <c r="G4303" i="53"/>
  <c r="G4372" i="53"/>
  <c r="G4376" i="53" s="1"/>
  <c r="G4371" i="53"/>
  <c r="G4304" i="53"/>
  <c r="G4308" i="53" s="1"/>
  <c r="D3963" i="53"/>
  <c r="C493" i="55"/>
  <c r="C492" i="55"/>
  <c r="C491" i="55"/>
  <c r="A3961" i="53"/>
  <c r="B3958" i="53"/>
  <c r="F4017" i="53"/>
  <c r="G4017" i="53" s="1"/>
  <c r="D4017" i="53"/>
  <c r="B4017" i="53"/>
  <c r="F4016" i="53"/>
  <c r="G4016" i="53" s="1"/>
  <c r="D4016" i="53"/>
  <c r="B4016" i="53"/>
  <c r="F4015" i="53"/>
  <c r="G4015" i="53" s="1"/>
  <c r="D4015" i="53"/>
  <c r="B4015" i="53"/>
  <c r="F4014" i="53"/>
  <c r="G4014" i="53" s="1"/>
  <c r="D4014" i="53"/>
  <c r="B4014" i="53"/>
  <c r="F4013" i="53"/>
  <c r="G4013" i="53" s="1"/>
  <c r="D4013" i="53"/>
  <c r="B4013" i="53"/>
  <c r="F4008" i="53"/>
  <c r="E4008" i="53"/>
  <c r="D4008" i="53"/>
  <c r="B4008" i="53"/>
  <c r="F4007" i="53"/>
  <c r="E4007" i="53"/>
  <c r="D4007" i="53"/>
  <c r="B4007" i="53"/>
  <c r="F4006" i="53"/>
  <c r="E4006" i="53"/>
  <c r="D4006" i="53"/>
  <c r="B4006" i="53"/>
  <c r="F4005" i="53"/>
  <c r="E4005" i="53"/>
  <c r="D4005" i="53"/>
  <c r="B4005" i="53"/>
  <c r="F4004" i="53"/>
  <c r="E4004" i="53"/>
  <c r="D4004" i="53"/>
  <c r="B4004" i="53"/>
  <c r="F4003" i="53"/>
  <c r="E4003" i="53"/>
  <c r="D4003" i="53"/>
  <c r="B4003" i="53"/>
  <c r="F4002" i="53"/>
  <c r="E4002" i="53"/>
  <c r="D4002" i="53"/>
  <c r="B4002" i="53"/>
  <c r="F4001" i="53"/>
  <c r="E4001" i="53"/>
  <c r="D4001" i="53"/>
  <c r="B4001" i="53"/>
  <c r="F4000" i="53"/>
  <c r="E4000" i="53"/>
  <c r="D4000" i="53"/>
  <c r="B4000" i="53"/>
  <c r="F3999" i="53"/>
  <c r="E3999" i="53"/>
  <c r="D3999" i="53"/>
  <c r="B3999" i="53"/>
  <c r="F3994" i="53"/>
  <c r="G3994" i="53" s="1"/>
  <c r="B3994" i="53"/>
  <c r="F3993" i="53"/>
  <c r="G3993" i="53" s="1"/>
  <c r="B3993" i="53"/>
  <c r="F3992" i="53"/>
  <c r="G3992" i="53" s="1"/>
  <c r="B3992" i="53"/>
  <c r="F3991" i="53"/>
  <c r="G3991" i="53" s="1"/>
  <c r="B3991" i="53"/>
  <c r="F3990" i="53"/>
  <c r="G3990" i="53" s="1"/>
  <c r="B3990" i="53"/>
  <c r="F3989" i="53"/>
  <c r="G3989" i="53" s="1"/>
  <c r="B3989" i="53"/>
  <c r="F3984" i="53"/>
  <c r="E3984" i="53"/>
  <c r="D3984" i="53"/>
  <c r="B3984" i="53"/>
  <c r="F3983" i="53"/>
  <c r="E3983" i="53"/>
  <c r="D3983" i="53"/>
  <c r="B3983" i="53"/>
  <c r="F3982" i="53"/>
  <c r="E3982" i="53"/>
  <c r="D3982" i="53"/>
  <c r="B3982" i="53"/>
  <c r="F3981" i="53"/>
  <c r="E3981" i="53"/>
  <c r="D3981" i="53"/>
  <c r="B3981" i="53"/>
  <c r="F3980" i="53"/>
  <c r="E3980" i="53"/>
  <c r="D3980" i="53"/>
  <c r="B3980" i="53"/>
  <c r="F3979" i="53"/>
  <c r="E3979" i="53"/>
  <c r="D3979" i="53"/>
  <c r="B3979" i="53"/>
  <c r="C490" i="55"/>
  <c r="A3894" i="53"/>
  <c r="D3894" i="53" s="1"/>
  <c r="B3891" i="53"/>
  <c r="F3942" i="53"/>
  <c r="G3942" i="53" s="1"/>
  <c r="D3942" i="53"/>
  <c r="B3942" i="53"/>
  <c r="F3941" i="53"/>
  <c r="G3941" i="53" s="1"/>
  <c r="D3941" i="53"/>
  <c r="B3941" i="53"/>
  <c r="F3940" i="53"/>
  <c r="G3940" i="53" s="1"/>
  <c r="D3940" i="53"/>
  <c r="B3940" i="53"/>
  <c r="F3939" i="53"/>
  <c r="G3939" i="53" s="1"/>
  <c r="D3939" i="53"/>
  <c r="B3939" i="53"/>
  <c r="F3938" i="53"/>
  <c r="G3938" i="53" s="1"/>
  <c r="D3938" i="53"/>
  <c r="B3938" i="53"/>
  <c r="F3933" i="53"/>
  <c r="E3933" i="53"/>
  <c r="D3933" i="53"/>
  <c r="B3933" i="53"/>
  <c r="F3932" i="53"/>
  <c r="E3932" i="53"/>
  <c r="D3932" i="53"/>
  <c r="B3932" i="53"/>
  <c r="F3931" i="53"/>
  <c r="E3931" i="53"/>
  <c r="D3931" i="53"/>
  <c r="B3931" i="53"/>
  <c r="F3930" i="53"/>
  <c r="E3930" i="53"/>
  <c r="D3930" i="53"/>
  <c r="B3930" i="53"/>
  <c r="F3929" i="53"/>
  <c r="E3929" i="53"/>
  <c r="D3929" i="53"/>
  <c r="B3929" i="53"/>
  <c r="F3928" i="53"/>
  <c r="E3928" i="53"/>
  <c r="D3928" i="53"/>
  <c r="B3928" i="53"/>
  <c r="F3927" i="53"/>
  <c r="E3927" i="53"/>
  <c r="D3927" i="53"/>
  <c r="B3927" i="53"/>
  <c r="F3926" i="53"/>
  <c r="E3926" i="53"/>
  <c r="D3926" i="53"/>
  <c r="B3926" i="53"/>
  <c r="F3925" i="53"/>
  <c r="E3925" i="53"/>
  <c r="D3925" i="53"/>
  <c r="B3925" i="53"/>
  <c r="F3924" i="53"/>
  <c r="E3924" i="53"/>
  <c r="D3924" i="53"/>
  <c r="B3924" i="53"/>
  <c r="F3923" i="53"/>
  <c r="E3923" i="53"/>
  <c r="D3923" i="53"/>
  <c r="B3923" i="53"/>
  <c r="F3922" i="53"/>
  <c r="E3922" i="53"/>
  <c r="D3922" i="53"/>
  <c r="B3922" i="53"/>
  <c r="F3921" i="53"/>
  <c r="E3921" i="53"/>
  <c r="D3921" i="53"/>
  <c r="B3921" i="53"/>
  <c r="F3916" i="53"/>
  <c r="G3916" i="53" s="1"/>
  <c r="B3916" i="53"/>
  <c r="F3915" i="53"/>
  <c r="G3915" i="53" s="1"/>
  <c r="B3915" i="53"/>
  <c r="F3914" i="53"/>
  <c r="G3914" i="53" s="1"/>
  <c r="B3914" i="53"/>
  <c r="F3913" i="53"/>
  <c r="G3913" i="53" s="1"/>
  <c r="B3913" i="53"/>
  <c r="F3912" i="53"/>
  <c r="G3912" i="53" s="1"/>
  <c r="B3912" i="53"/>
  <c r="F3911" i="53"/>
  <c r="G3911" i="53" s="1"/>
  <c r="B3911" i="53"/>
  <c r="F3906" i="53"/>
  <c r="E3906" i="53"/>
  <c r="D3906" i="53"/>
  <c r="B3906" i="53"/>
  <c r="F3905" i="53"/>
  <c r="E3905" i="53"/>
  <c r="D3905" i="53"/>
  <c r="B3905" i="53"/>
  <c r="F3904" i="53"/>
  <c r="E3904" i="53"/>
  <c r="D3904" i="53"/>
  <c r="B3904" i="53"/>
  <c r="F3903" i="53"/>
  <c r="E3903" i="53"/>
  <c r="D3903" i="53"/>
  <c r="B3903" i="53"/>
  <c r="F3902" i="53"/>
  <c r="E3902" i="53"/>
  <c r="D3902" i="53"/>
  <c r="B3902" i="53"/>
  <c r="F3901" i="53"/>
  <c r="E3901" i="53"/>
  <c r="D3901" i="53"/>
  <c r="B3901" i="53"/>
  <c r="F3896" i="53"/>
  <c r="G3896" i="53" s="1"/>
  <c r="D3896" i="53"/>
  <c r="B3896" i="53"/>
  <c r="D3895" i="53"/>
  <c r="B3895" i="53"/>
  <c r="L89" i="1" l="1"/>
  <c r="K89" i="1"/>
  <c r="K92" i="1"/>
  <c r="L92" i="1"/>
  <c r="K86" i="1"/>
  <c r="L86" i="1"/>
  <c r="K87" i="1"/>
  <c r="L87" i="1"/>
  <c r="K90" i="1"/>
  <c r="L90" i="1"/>
  <c r="O87" i="1"/>
  <c r="N87" i="1"/>
  <c r="M87" i="1"/>
  <c r="O86" i="1"/>
  <c r="N86" i="1"/>
  <c r="M86" i="1"/>
  <c r="O89" i="1"/>
  <c r="N89" i="1"/>
  <c r="M89" i="1"/>
  <c r="O90" i="1"/>
  <c r="M90" i="1"/>
  <c r="N90" i="1"/>
  <c r="O92" i="1"/>
  <c r="M92" i="1"/>
  <c r="N92" i="1"/>
  <c r="G2344" i="53"/>
  <c r="G2348" i="53" s="1"/>
  <c r="G2284" i="53" s="1"/>
  <c r="G4718" i="53"/>
  <c r="G4722" i="53" s="1"/>
  <c r="G4657" i="53" s="1"/>
  <c r="G4509" i="53"/>
  <c r="G4513" i="53" s="1"/>
  <c r="G4448" i="53" s="1"/>
  <c r="F3962" i="53"/>
  <c r="G3962" i="53" s="1"/>
  <c r="F3961" i="53"/>
  <c r="G3961" i="53" s="1"/>
  <c r="G4577" i="53"/>
  <c r="G4581" i="53" s="1"/>
  <c r="G4516" i="53" s="1"/>
  <c r="G4374" i="53"/>
  <c r="G4378" i="53" s="1"/>
  <c r="G4313" i="53" s="1"/>
  <c r="G4306" i="53"/>
  <c r="G4310" i="53" s="1"/>
  <c r="G4245" i="53" s="1"/>
  <c r="G3931" i="53"/>
  <c r="G3921" i="53"/>
  <c r="G3923" i="53"/>
  <c r="G3901" i="53"/>
  <c r="G3905" i="53"/>
  <c r="G3902" i="53"/>
  <c r="G3982" i="53"/>
  <c r="G3980" i="53"/>
  <c r="G3999" i="53"/>
  <c r="G4001" i="53"/>
  <c r="G4005" i="53"/>
  <c r="G4007" i="53"/>
  <c r="G3979" i="53"/>
  <c r="G3981" i="53"/>
  <c r="G3983" i="53"/>
  <c r="B3963" i="53"/>
  <c r="F3963" i="53"/>
  <c r="G3963" i="53" s="1"/>
  <c r="G3925" i="53"/>
  <c r="G3927" i="53"/>
  <c r="G3933" i="53"/>
  <c r="G3922" i="53"/>
  <c r="G3924" i="53"/>
  <c r="G3926" i="53"/>
  <c r="G3932" i="53"/>
  <c r="G3984" i="53"/>
  <c r="B3962" i="53"/>
  <c r="D3962" i="53"/>
  <c r="G4004" i="53"/>
  <c r="G4000" i="53"/>
  <c r="G4006" i="53"/>
  <c r="G4002" i="53"/>
  <c r="G4008" i="53"/>
  <c r="G4003" i="53"/>
  <c r="G4018" i="53"/>
  <c r="G3995" i="53"/>
  <c r="G3903" i="53"/>
  <c r="G3929" i="53"/>
  <c r="B3961" i="53"/>
  <c r="D3961" i="53"/>
  <c r="G3904" i="53"/>
  <c r="G3906" i="53"/>
  <c r="G3928" i="53"/>
  <c r="G3930" i="53"/>
  <c r="B3894" i="53"/>
  <c r="G3943" i="53"/>
  <c r="G3917" i="53"/>
  <c r="E489" i="55"/>
  <c r="C489" i="55" s="1"/>
  <c r="A3822" i="53"/>
  <c r="E3824" i="53"/>
  <c r="E3823" i="53"/>
  <c r="A3824" i="53"/>
  <c r="A3823" i="53"/>
  <c r="A3821" i="53"/>
  <c r="C488" i="55"/>
  <c r="F4386" i="53" s="1"/>
  <c r="G4386" i="53" s="1"/>
  <c r="G4387" i="53" s="1"/>
  <c r="G4435" i="53" s="1"/>
  <c r="B3818" i="53"/>
  <c r="F3875" i="53"/>
  <c r="G3875" i="53" s="1"/>
  <c r="D3875" i="53"/>
  <c r="B3875" i="53"/>
  <c r="F3874" i="53"/>
  <c r="G3874" i="53" s="1"/>
  <c r="D3874" i="53"/>
  <c r="B3874" i="53"/>
  <c r="F3873" i="53"/>
  <c r="G3873" i="53" s="1"/>
  <c r="D3873" i="53"/>
  <c r="B3873" i="53"/>
  <c r="F3872" i="53"/>
  <c r="G3872" i="53" s="1"/>
  <c r="D3872" i="53"/>
  <c r="B3872" i="53"/>
  <c r="F3871" i="53"/>
  <c r="G3871" i="53" s="1"/>
  <c r="D3871" i="53"/>
  <c r="B3871" i="53"/>
  <c r="F3866" i="53"/>
  <c r="E3866" i="53"/>
  <c r="D3866" i="53"/>
  <c r="B3866" i="53"/>
  <c r="F3865" i="53"/>
  <c r="E3865" i="53"/>
  <c r="D3865" i="53"/>
  <c r="B3865" i="53"/>
  <c r="F3864" i="53"/>
  <c r="E3864" i="53"/>
  <c r="D3864" i="53"/>
  <c r="B3864" i="53"/>
  <c r="F3863" i="53"/>
  <c r="E3863" i="53"/>
  <c r="D3863" i="53"/>
  <c r="B3863" i="53"/>
  <c r="F3862" i="53"/>
  <c r="E3862" i="53"/>
  <c r="D3862" i="53"/>
  <c r="B3862" i="53"/>
  <c r="F3861" i="53"/>
  <c r="E3861" i="53"/>
  <c r="D3861" i="53"/>
  <c r="B3861" i="53"/>
  <c r="F3860" i="53"/>
  <c r="E3860" i="53"/>
  <c r="D3860" i="53"/>
  <c r="B3860" i="53"/>
  <c r="F3859" i="53"/>
  <c r="E3859" i="53"/>
  <c r="D3859" i="53"/>
  <c r="B3859" i="53"/>
  <c r="F3858" i="53"/>
  <c r="E3858" i="53"/>
  <c r="D3858" i="53"/>
  <c r="B3858" i="53"/>
  <c r="F3857" i="53"/>
  <c r="E3857" i="53"/>
  <c r="D3857" i="53"/>
  <c r="B3857" i="53"/>
  <c r="F3856" i="53"/>
  <c r="E3856" i="53"/>
  <c r="D3856" i="53"/>
  <c r="B3856" i="53"/>
  <c r="F3855" i="53"/>
  <c r="E3855" i="53"/>
  <c r="D3855" i="53"/>
  <c r="B3855" i="53"/>
  <c r="F3854" i="53"/>
  <c r="E3854" i="53"/>
  <c r="D3854" i="53"/>
  <c r="B3854" i="53"/>
  <c r="F3849" i="53"/>
  <c r="G3849" i="53" s="1"/>
  <c r="B3849" i="53"/>
  <c r="F3848" i="53"/>
  <c r="G3848" i="53" s="1"/>
  <c r="B3848" i="53"/>
  <c r="F3847" i="53"/>
  <c r="G3847" i="53" s="1"/>
  <c r="B3847" i="53"/>
  <c r="F3846" i="53"/>
  <c r="G3846" i="53" s="1"/>
  <c r="B3846" i="53"/>
  <c r="F3845" i="53"/>
  <c r="G3845" i="53" s="1"/>
  <c r="B3845" i="53"/>
  <c r="F3844" i="53"/>
  <c r="G3844" i="53" s="1"/>
  <c r="B3844" i="53"/>
  <c r="F3839" i="53"/>
  <c r="E3839" i="53"/>
  <c r="D3839" i="53"/>
  <c r="B3839" i="53"/>
  <c r="F3838" i="53"/>
  <c r="E3838" i="53"/>
  <c r="D3838" i="53"/>
  <c r="B3838" i="53"/>
  <c r="F3837" i="53"/>
  <c r="E3837" i="53"/>
  <c r="D3837" i="53"/>
  <c r="B3837" i="53"/>
  <c r="F3836" i="53"/>
  <c r="E3836" i="53"/>
  <c r="D3836" i="53"/>
  <c r="B3836" i="53"/>
  <c r="F3835" i="53"/>
  <c r="E3835" i="53"/>
  <c r="D3835" i="53"/>
  <c r="B3835" i="53"/>
  <c r="F3834" i="53"/>
  <c r="E3834" i="53"/>
  <c r="D3834" i="53"/>
  <c r="B3834" i="53"/>
  <c r="F3829" i="53"/>
  <c r="G3829" i="53" s="1"/>
  <c r="D3829" i="53"/>
  <c r="B3829" i="53"/>
  <c r="D3828" i="53"/>
  <c r="B3828" i="53"/>
  <c r="F3827" i="53"/>
  <c r="G3827" i="53" s="1"/>
  <c r="D3827" i="53"/>
  <c r="B3827" i="53"/>
  <c r="F3826" i="53"/>
  <c r="G3826" i="53" s="1"/>
  <c r="D3825" i="53"/>
  <c r="B3825" i="53"/>
  <c r="A3686" i="53"/>
  <c r="D3686" i="53" s="1"/>
  <c r="C487" i="55"/>
  <c r="A3685" i="53"/>
  <c r="C486" i="55"/>
  <c r="A3684" i="53"/>
  <c r="D3684" i="53" s="1"/>
  <c r="A3683" i="53"/>
  <c r="D3683" i="53" s="1"/>
  <c r="A3682" i="53"/>
  <c r="B3682" i="53" s="1"/>
  <c r="A3681" i="53"/>
  <c r="D3681" i="53" s="1"/>
  <c r="A3680" i="53"/>
  <c r="D3680" i="53" s="1"/>
  <c r="B3677" i="53"/>
  <c r="F3733" i="53"/>
  <c r="G3733" i="53" s="1"/>
  <c r="D3733" i="53"/>
  <c r="B3733" i="53"/>
  <c r="F3732" i="53"/>
  <c r="G3732" i="53" s="1"/>
  <c r="D3732" i="53"/>
  <c r="B3732" i="53"/>
  <c r="F3731" i="53"/>
  <c r="G3731" i="53" s="1"/>
  <c r="D3731" i="53"/>
  <c r="B3731" i="53"/>
  <c r="F3730" i="53"/>
  <c r="G3730" i="53" s="1"/>
  <c r="D3730" i="53"/>
  <c r="B3730" i="53"/>
  <c r="F3729" i="53"/>
  <c r="G3729" i="53" s="1"/>
  <c r="D3729" i="53"/>
  <c r="B3729" i="53"/>
  <c r="F3724" i="53"/>
  <c r="E3724" i="53"/>
  <c r="D3724" i="53"/>
  <c r="B3724" i="53"/>
  <c r="F3723" i="53"/>
  <c r="E3723" i="53"/>
  <c r="D3723" i="53"/>
  <c r="B3723" i="53"/>
  <c r="F3722" i="53"/>
  <c r="E3722" i="53"/>
  <c r="D3722" i="53"/>
  <c r="B3722" i="53"/>
  <c r="F3721" i="53"/>
  <c r="E3721" i="53"/>
  <c r="D3721" i="53"/>
  <c r="B3721" i="53"/>
  <c r="F3720" i="53"/>
  <c r="E3720" i="53"/>
  <c r="D3720" i="53"/>
  <c r="B3720" i="53"/>
  <c r="F3719" i="53"/>
  <c r="E3719" i="53"/>
  <c r="D3719" i="53"/>
  <c r="B3719" i="53"/>
  <c r="F3718" i="53"/>
  <c r="E3718" i="53"/>
  <c r="D3718" i="53"/>
  <c r="B3718" i="53"/>
  <c r="F3717" i="53"/>
  <c r="E3717" i="53"/>
  <c r="D3717" i="53"/>
  <c r="B3717" i="53"/>
  <c r="F3716" i="53"/>
  <c r="E3716" i="53"/>
  <c r="D3716" i="53"/>
  <c r="B3716" i="53"/>
  <c r="F3715" i="53"/>
  <c r="E3715" i="53"/>
  <c r="D3715" i="53"/>
  <c r="B3715" i="53"/>
  <c r="F3714" i="53"/>
  <c r="E3714" i="53"/>
  <c r="D3714" i="53"/>
  <c r="B3714" i="53"/>
  <c r="F3713" i="53"/>
  <c r="E3713" i="53"/>
  <c r="D3713" i="53"/>
  <c r="B3713" i="53"/>
  <c r="F3712" i="53"/>
  <c r="E3712" i="53"/>
  <c r="D3712" i="53"/>
  <c r="B3712" i="53"/>
  <c r="F3707" i="53"/>
  <c r="G3707" i="53" s="1"/>
  <c r="B3707" i="53"/>
  <c r="F3706" i="53"/>
  <c r="G3706" i="53" s="1"/>
  <c r="B3706" i="53"/>
  <c r="F3705" i="53"/>
  <c r="G3705" i="53" s="1"/>
  <c r="B3705" i="53"/>
  <c r="F3704" i="53"/>
  <c r="G3704" i="53" s="1"/>
  <c r="B3704" i="53"/>
  <c r="F3703" i="53"/>
  <c r="G3703" i="53" s="1"/>
  <c r="B3703" i="53"/>
  <c r="F3702" i="53"/>
  <c r="G3702" i="53" s="1"/>
  <c r="B3702" i="53"/>
  <c r="F3697" i="53"/>
  <c r="E3697" i="53"/>
  <c r="D3697" i="53"/>
  <c r="B3697" i="53"/>
  <c r="F3696" i="53"/>
  <c r="E3696" i="53"/>
  <c r="D3696" i="53"/>
  <c r="B3696" i="53"/>
  <c r="F3695" i="53"/>
  <c r="E3695" i="53"/>
  <c r="D3695" i="53"/>
  <c r="B3695" i="53"/>
  <c r="F3694" i="53"/>
  <c r="E3694" i="53"/>
  <c r="D3694" i="53"/>
  <c r="B3694" i="53"/>
  <c r="F3693" i="53"/>
  <c r="E3693" i="53"/>
  <c r="D3693" i="53"/>
  <c r="B3693" i="53"/>
  <c r="F3692" i="53"/>
  <c r="E3692" i="53"/>
  <c r="D3692" i="53"/>
  <c r="B3692" i="53"/>
  <c r="F3687" i="53"/>
  <c r="G3687" i="53" s="1"/>
  <c r="D3687" i="53"/>
  <c r="B3687" i="53"/>
  <c r="J88" i="1" l="1"/>
  <c r="G4437" i="53"/>
  <c r="G4438" i="53"/>
  <c r="G4439" i="53"/>
  <c r="G4443" i="53" s="1"/>
  <c r="G3975" i="53"/>
  <c r="G3985" i="53"/>
  <c r="G3934" i="53"/>
  <c r="G3907" i="53"/>
  <c r="G4009" i="53"/>
  <c r="F3685" i="53"/>
  <c r="G3685" i="53" s="1"/>
  <c r="F3821" i="53"/>
  <c r="G3821" i="53" s="1"/>
  <c r="D3685" i="53"/>
  <c r="B3685" i="53"/>
  <c r="G3837" i="53"/>
  <c r="G3694" i="53"/>
  <c r="G3696" i="53"/>
  <c r="G3854" i="53"/>
  <c r="G3856" i="53"/>
  <c r="G3860" i="53"/>
  <c r="G3716" i="53"/>
  <c r="G3718" i="53"/>
  <c r="G3722" i="53"/>
  <c r="B3822" i="53"/>
  <c r="G3864" i="53"/>
  <c r="D3822" i="53"/>
  <c r="B3684" i="53"/>
  <c r="G3715" i="53"/>
  <c r="G3834" i="53"/>
  <c r="G3836" i="53"/>
  <c r="G3838" i="53"/>
  <c r="D3682" i="53"/>
  <c r="G3857" i="53"/>
  <c r="G3859" i="53"/>
  <c r="G3861" i="53"/>
  <c r="G3863" i="53"/>
  <c r="G3835" i="53"/>
  <c r="G3839" i="53"/>
  <c r="G3865" i="53"/>
  <c r="G3717" i="53"/>
  <c r="G3723" i="53"/>
  <c r="G3866" i="53"/>
  <c r="G3714" i="53"/>
  <c r="G3858" i="53"/>
  <c r="G3862" i="53"/>
  <c r="G3855" i="53"/>
  <c r="D3823" i="53"/>
  <c r="G3850" i="53"/>
  <c r="G3876" i="53"/>
  <c r="B3821" i="53"/>
  <c r="F3828" i="53"/>
  <c r="G3828" i="53" s="1"/>
  <c r="G3692" i="53"/>
  <c r="G3712" i="53"/>
  <c r="D3821" i="53"/>
  <c r="B3824" i="53"/>
  <c r="D3824" i="53"/>
  <c r="G3719" i="53"/>
  <c r="B3826" i="53"/>
  <c r="B3681" i="53"/>
  <c r="G3693" i="53"/>
  <c r="G3695" i="53"/>
  <c r="G3713" i="53"/>
  <c r="B3823" i="53"/>
  <c r="D3826" i="53"/>
  <c r="G3721" i="53"/>
  <c r="G3720" i="53"/>
  <c r="G3697" i="53"/>
  <c r="G3724" i="53"/>
  <c r="F3686" i="53"/>
  <c r="G3686" i="53" s="1"/>
  <c r="B3686" i="53"/>
  <c r="G3708" i="53"/>
  <c r="B3683" i="53"/>
  <c r="B3680" i="53"/>
  <c r="G3734" i="53"/>
  <c r="G4441" i="53" l="1"/>
  <c r="G4445" i="53" s="1"/>
  <c r="G4381" i="53" s="1"/>
  <c r="K88" i="1"/>
  <c r="L88" i="1"/>
  <c r="O88" i="1"/>
  <c r="N88" i="1"/>
  <c r="M88" i="1"/>
  <c r="G4020" i="53"/>
  <c r="G3698" i="53"/>
  <c r="G3725" i="53"/>
  <c r="G3840" i="53"/>
  <c r="G3867" i="53"/>
  <c r="A3608" i="53"/>
  <c r="D3608" i="53" s="1"/>
  <c r="C485" i="55"/>
  <c r="B3605" i="53"/>
  <c r="F3661" i="53"/>
  <c r="G3661" i="53" s="1"/>
  <c r="D3661" i="53"/>
  <c r="B3661" i="53"/>
  <c r="F3660" i="53"/>
  <c r="G3660" i="53" s="1"/>
  <c r="D3660" i="53"/>
  <c r="B3660" i="53"/>
  <c r="F3659" i="53"/>
  <c r="G3659" i="53" s="1"/>
  <c r="D3659" i="53"/>
  <c r="B3659" i="53"/>
  <c r="F3658" i="53"/>
  <c r="G3658" i="53" s="1"/>
  <c r="D3658" i="53"/>
  <c r="B3658" i="53"/>
  <c r="F3657" i="53"/>
  <c r="G3657" i="53" s="1"/>
  <c r="D3657" i="53"/>
  <c r="B3657" i="53"/>
  <c r="F3652" i="53"/>
  <c r="E3652" i="53"/>
  <c r="D3652" i="53"/>
  <c r="B3652" i="53"/>
  <c r="F3651" i="53"/>
  <c r="E3651" i="53"/>
  <c r="D3651" i="53"/>
  <c r="B3651" i="53"/>
  <c r="F3650" i="53"/>
  <c r="E3650" i="53"/>
  <c r="D3650" i="53"/>
  <c r="B3650" i="53"/>
  <c r="F3649" i="53"/>
  <c r="E3649" i="53"/>
  <c r="D3649" i="53"/>
  <c r="B3649" i="53"/>
  <c r="F3648" i="53"/>
  <c r="E3648" i="53"/>
  <c r="D3648" i="53"/>
  <c r="B3648" i="53"/>
  <c r="F3647" i="53"/>
  <c r="E3647" i="53"/>
  <c r="D3647" i="53"/>
  <c r="B3647" i="53"/>
  <c r="F3646" i="53"/>
  <c r="E3646" i="53"/>
  <c r="D3646" i="53"/>
  <c r="B3646" i="53"/>
  <c r="F3645" i="53"/>
  <c r="E3645" i="53"/>
  <c r="D3645" i="53"/>
  <c r="B3645" i="53"/>
  <c r="F3644" i="53"/>
  <c r="E3644" i="53"/>
  <c r="D3644" i="53"/>
  <c r="B3644" i="53"/>
  <c r="F3643" i="53"/>
  <c r="E3643" i="53"/>
  <c r="D3643" i="53"/>
  <c r="B3643" i="53"/>
  <c r="F3642" i="53"/>
  <c r="E3642" i="53"/>
  <c r="D3642" i="53"/>
  <c r="B3642" i="53"/>
  <c r="F3641" i="53"/>
  <c r="E3641" i="53"/>
  <c r="D3641" i="53"/>
  <c r="B3641" i="53"/>
  <c r="F3640" i="53"/>
  <c r="E3640" i="53"/>
  <c r="D3640" i="53"/>
  <c r="B3640" i="53"/>
  <c r="F3635" i="53"/>
  <c r="G3635" i="53" s="1"/>
  <c r="B3635" i="53"/>
  <c r="F3634" i="53"/>
  <c r="G3634" i="53" s="1"/>
  <c r="B3634" i="53"/>
  <c r="F3633" i="53"/>
  <c r="G3633" i="53" s="1"/>
  <c r="B3633" i="53"/>
  <c r="F3632" i="53"/>
  <c r="G3632" i="53" s="1"/>
  <c r="B3632" i="53"/>
  <c r="F3631" i="53"/>
  <c r="G3631" i="53" s="1"/>
  <c r="B3631" i="53"/>
  <c r="F3630" i="53"/>
  <c r="G3630" i="53" s="1"/>
  <c r="B3630" i="53"/>
  <c r="F3625" i="53"/>
  <c r="E3625" i="53"/>
  <c r="D3625" i="53"/>
  <c r="B3625" i="53"/>
  <c r="F3624" i="53"/>
  <c r="E3624" i="53"/>
  <c r="D3624" i="53"/>
  <c r="B3624" i="53"/>
  <c r="F3623" i="53"/>
  <c r="E3623" i="53"/>
  <c r="D3623" i="53"/>
  <c r="B3623" i="53"/>
  <c r="F3622" i="53"/>
  <c r="E3622" i="53"/>
  <c r="D3622" i="53"/>
  <c r="B3622" i="53"/>
  <c r="F3621" i="53"/>
  <c r="E3621" i="53"/>
  <c r="D3621" i="53"/>
  <c r="B3621" i="53"/>
  <c r="F3620" i="53"/>
  <c r="E3620" i="53"/>
  <c r="D3620" i="53"/>
  <c r="B3620" i="53"/>
  <c r="F3615" i="53"/>
  <c r="G3615" i="53" s="1"/>
  <c r="D3615" i="53"/>
  <c r="B3615" i="53"/>
  <c r="F3614" i="53"/>
  <c r="G3614" i="53" s="1"/>
  <c r="D3614" i="53"/>
  <c r="B3614" i="53"/>
  <c r="F3613" i="53"/>
  <c r="G3613" i="53" s="1"/>
  <c r="D3613" i="53"/>
  <c r="B3613" i="53"/>
  <c r="F3612" i="53"/>
  <c r="G3612" i="53" s="1"/>
  <c r="D3612" i="53"/>
  <c r="B3612" i="53"/>
  <c r="F3611" i="53"/>
  <c r="G3611" i="53" s="1"/>
  <c r="D3610" i="53"/>
  <c r="B3610" i="53"/>
  <c r="F3610" i="53"/>
  <c r="G3610" i="53" s="1"/>
  <c r="F3609" i="53"/>
  <c r="G3609" i="53" s="1"/>
  <c r="D3609" i="53"/>
  <c r="A3468" i="53"/>
  <c r="C484" i="55"/>
  <c r="F3540" i="53" s="1"/>
  <c r="G3540" i="53" s="1"/>
  <c r="E3467" i="53"/>
  <c r="E3466" i="53"/>
  <c r="A3467" i="53"/>
  <c r="A3466" i="53"/>
  <c r="A3465" i="53"/>
  <c r="D3465" i="53" s="1"/>
  <c r="A3464" i="53"/>
  <c r="B3461" i="53"/>
  <c r="F3517" i="53"/>
  <c r="G3517" i="53" s="1"/>
  <c r="D3517" i="53"/>
  <c r="B3517" i="53"/>
  <c r="F3516" i="53"/>
  <c r="G3516" i="53" s="1"/>
  <c r="D3516" i="53"/>
  <c r="B3516" i="53"/>
  <c r="F3515" i="53"/>
  <c r="G3515" i="53" s="1"/>
  <c r="D3515" i="53"/>
  <c r="B3515" i="53"/>
  <c r="F3514" i="53"/>
  <c r="G3514" i="53" s="1"/>
  <c r="D3514" i="53"/>
  <c r="B3514" i="53"/>
  <c r="F3513" i="53"/>
  <c r="G3513" i="53" s="1"/>
  <c r="D3513" i="53"/>
  <c r="B3513" i="53"/>
  <c r="F3508" i="53"/>
  <c r="E3508" i="53"/>
  <c r="D3508" i="53"/>
  <c r="B3508" i="53"/>
  <c r="F3507" i="53"/>
  <c r="E3507" i="53"/>
  <c r="D3507" i="53"/>
  <c r="B3507" i="53"/>
  <c r="F3506" i="53"/>
  <c r="E3506" i="53"/>
  <c r="D3506" i="53"/>
  <c r="B3506" i="53"/>
  <c r="F3505" i="53"/>
  <c r="E3505" i="53"/>
  <c r="D3505" i="53"/>
  <c r="B3505" i="53"/>
  <c r="F3504" i="53"/>
  <c r="E3504" i="53"/>
  <c r="D3504" i="53"/>
  <c r="B3504" i="53"/>
  <c r="F3503" i="53"/>
  <c r="E3503" i="53"/>
  <c r="D3503" i="53"/>
  <c r="B3503" i="53"/>
  <c r="F3502" i="53"/>
  <c r="E3502" i="53"/>
  <c r="D3502" i="53"/>
  <c r="B3502" i="53"/>
  <c r="F3501" i="53"/>
  <c r="E3501" i="53"/>
  <c r="D3501" i="53"/>
  <c r="B3501" i="53"/>
  <c r="F3500" i="53"/>
  <c r="E3500" i="53"/>
  <c r="D3500" i="53"/>
  <c r="B3500" i="53"/>
  <c r="F3499" i="53"/>
  <c r="E3499" i="53"/>
  <c r="D3499" i="53"/>
  <c r="B3499" i="53"/>
  <c r="F3498" i="53"/>
  <c r="E3498" i="53"/>
  <c r="D3498" i="53"/>
  <c r="B3498" i="53"/>
  <c r="F3497" i="53"/>
  <c r="E3497" i="53"/>
  <c r="D3497" i="53"/>
  <c r="B3497" i="53"/>
  <c r="F3496" i="53"/>
  <c r="E3496" i="53"/>
  <c r="D3496" i="53"/>
  <c r="B3496" i="53"/>
  <c r="F3491" i="53"/>
  <c r="G3491" i="53" s="1"/>
  <c r="B3491" i="53"/>
  <c r="F3490" i="53"/>
  <c r="G3490" i="53" s="1"/>
  <c r="B3490" i="53"/>
  <c r="F3489" i="53"/>
  <c r="G3489" i="53" s="1"/>
  <c r="B3489" i="53"/>
  <c r="F3488" i="53"/>
  <c r="G3488" i="53" s="1"/>
  <c r="B3488" i="53"/>
  <c r="F3487" i="53"/>
  <c r="G3487" i="53" s="1"/>
  <c r="B3487" i="53"/>
  <c r="F3486" i="53"/>
  <c r="G3486" i="53" s="1"/>
  <c r="B3486" i="53"/>
  <c r="F3481" i="53"/>
  <c r="E3481" i="53"/>
  <c r="D3481" i="53"/>
  <c r="B3481" i="53"/>
  <c r="F3480" i="53"/>
  <c r="E3480" i="53"/>
  <c r="D3480" i="53"/>
  <c r="B3480" i="53"/>
  <c r="F3479" i="53"/>
  <c r="E3479" i="53"/>
  <c r="D3479" i="53"/>
  <c r="B3479" i="53"/>
  <c r="F3478" i="53"/>
  <c r="E3478" i="53"/>
  <c r="D3478" i="53"/>
  <c r="B3478" i="53"/>
  <c r="F3477" i="53"/>
  <c r="E3477" i="53"/>
  <c r="D3477" i="53"/>
  <c r="B3477" i="53"/>
  <c r="F3476" i="53"/>
  <c r="E3476" i="53"/>
  <c r="D3476" i="53"/>
  <c r="B3476" i="53"/>
  <c r="F3471" i="53"/>
  <c r="G3471" i="53" s="1"/>
  <c r="D3471" i="53"/>
  <c r="B3471" i="53"/>
  <c r="F3470" i="53"/>
  <c r="G3470" i="53" s="1"/>
  <c r="D3470" i="53"/>
  <c r="B3470" i="53"/>
  <c r="F3469" i="53"/>
  <c r="G3469" i="53" s="1"/>
  <c r="D3469" i="53"/>
  <c r="B3469" i="53"/>
  <c r="A2901" i="53"/>
  <c r="C483" i="55"/>
  <c r="A2900" i="53"/>
  <c r="D2900" i="53" s="1"/>
  <c r="C482" i="55"/>
  <c r="C481" i="55"/>
  <c r="D2899" i="53"/>
  <c r="C480" i="55"/>
  <c r="E460" i="55"/>
  <c r="A2898" i="53"/>
  <c r="D2898" i="53" s="1"/>
  <c r="B2895" i="53"/>
  <c r="F2949" i="53"/>
  <c r="G2949" i="53" s="1"/>
  <c r="D2949" i="53"/>
  <c r="B2949" i="53"/>
  <c r="F2948" i="53"/>
  <c r="G2948" i="53" s="1"/>
  <c r="D2948" i="53"/>
  <c r="B2948" i="53"/>
  <c r="F2947" i="53"/>
  <c r="G2947" i="53" s="1"/>
  <c r="D2947" i="53"/>
  <c r="B2947" i="53"/>
  <c r="F2946" i="53"/>
  <c r="G2946" i="53" s="1"/>
  <c r="D2946" i="53"/>
  <c r="B2946" i="53"/>
  <c r="F2945" i="53"/>
  <c r="G2945" i="53" s="1"/>
  <c r="D2945" i="53"/>
  <c r="B2945" i="53"/>
  <c r="F2940" i="53"/>
  <c r="E2940" i="53"/>
  <c r="D2940" i="53"/>
  <c r="B2940" i="53"/>
  <c r="F2939" i="53"/>
  <c r="E2939" i="53"/>
  <c r="D2939" i="53"/>
  <c r="B2939" i="53"/>
  <c r="F2938" i="53"/>
  <c r="E2938" i="53"/>
  <c r="D2938" i="53"/>
  <c r="B2938" i="53"/>
  <c r="F2937" i="53"/>
  <c r="E2937" i="53"/>
  <c r="D2937" i="53"/>
  <c r="B2937" i="53"/>
  <c r="F2936" i="53"/>
  <c r="E2936" i="53"/>
  <c r="D2936" i="53"/>
  <c r="B2936" i="53"/>
  <c r="F2935" i="53"/>
  <c r="E2935" i="53"/>
  <c r="D2935" i="53"/>
  <c r="B2935" i="53"/>
  <c r="F2934" i="53"/>
  <c r="E2934" i="53"/>
  <c r="D2934" i="53"/>
  <c r="B2934" i="53"/>
  <c r="F2933" i="53"/>
  <c r="E2933" i="53"/>
  <c r="D2933" i="53"/>
  <c r="B2933" i="53"/>
  <c r="F2932" i="53"/>
  <c r="E2932" i="53"/>
  <c r="D2932" i="53"/>
  <c r="B2932" i="53"/>
  <c r="F2931" i="53"/>
  <c r="E2931" i="53"/>
  <c r="D2931" i="53"/>
  <c r="B2931" i="53"/>
  <c r="F2930" i="53"/>
  <c r="E2930" i="53"/>
  <c r="D2930" i="53"/>
  <c r="B2930" i="53"/>
  <c r="F2929" i="53"/>
  <c r="E2929" i="53"/>
  <c r="D2929" i="53"/>
  <c r="B2929" i="53"/>
  <c r="F2928" i="53"/>
  <c r="E2928" i="53"/>
  <c r="D2928" i="53"/>
  <c r="B2928" i="53"/>
  <c r="F2923" i="53"/>
  <c r="G2923" i="53" s="1"/>
  <c r="B2923" i="53"/>
  <c r="F2922" i="53"/>
  <c r="G2922" i="53" s="1"/>
  <c r="B2922" i="53"/>
  <c r="F2921" i="53"/>
  <c r="G2921" i="53" s="1"/>
  <c r="B2921" i="53"/>
  <c r="F2920" i="53"/>
  <c r="G2920" i="53" s="1"/>
  <c r="B2920" i="53"/>
  <c r="F2919" i="53"/>
  <c r="G2919" i="53" s="1"/>
  <c r="B2919" i="53"/>
  <c r="F2918" i="53"/>
  <c r="G2918" i="53" s="1"/>
  <c r="B2918" i="53"/>
  <c r="F2913" i="53"/>
  <c r="E2913" i="53"/>
  <c r="D2913" i="53"/>
  <c r="B2913" i="53"/>
  <c r="F2912" i="53"/>
  <c r="E2912" i="53"/>
  <c r="D2912" i="53"/>
  <c r="B2912" i="53"/>
  <c r="F2911" i="53"/>
  <c r="E2911" i="53"/>
  <c r="D2911" i="53"/>
  <c r="B2911" i="53"/>
  <c r="F2910" i="53"/>
  <c r="E2910" i="53"/>
  <c r="D2910" i="53"/>
  <c r="B2910" i="53"/>
  <c r="F2909" i="53"/>
  <c r="E2909" i="53"/>
  <c r="D2909" i="53"/>
  <c r="B2909" i="53"/>
  <c r="F2908" i="53"/>
  <c r="E2908" i="53"/>
  <c r="D2908" i="53"/>
  <c r="B2908" i="53"/>
  <c r="F2903" i="53"/>
  <c r="G2903" i="53" s="1"/>
  <c r="D2903" i="53"/>
  <c r="B2903" i="53"/>
  <c r="D2902" i="53"/>
  <c r="B2902" i="53"/>
  <c r="J82" i="1" l="1"/>
  <c r="F2152" i="53"/>
  <c r="G2152" i="53" s="1"/>
  <c r="F1946" i="53"/>
  <c r="G1946" i="53" s="1"/>
  <c r="G4023" i="53"/>
  <c r="G4022" i="53"/>
  <c r="G4024" i="53"/>
  <c r="G4028" i="53" s="1"/>
  <c r="G3644" i="53"/>
  <c r="G3646" i="53"/>
  <c r="G3648" i="53"/>
  <c r="G3662" i="53"/>
  <c r="F2901" i="53"/>
  <c r="G2901" i="53" s="1"/>
  <c r="G3641" i="53"/>
  <c r="G3643" i="53"/>
  <c r="G3645" i="53"/>
  <c r="G2911" i="53"/>
  <c r="G2913" i="53"/>
  <c r="G3650" i="53"/>
  <c r="G3480" i="53"/>
  <c r="G3623" i="53"/>
  <c r="G3642" i="53"/>
  <c r="G3506" i="53"/>
  <c r="G3507" i="53"/>
  <c r="G3647" i="53"/>
  <c r="G3649" i="53"/>
  <c r="G2910" i="53"/>
  <c r="G3479" i="53"/>
  <c r="G3622" i="53"/>
  <c r="G3624" i="53"/>
  <c r="F3468" i="53"/>
  <c r="G3468" i="53" s="1"/>
  <c r="F3608" i="53"/>
  <c r="G3608" i="53" s="1"/>
  <c r="G3616" i="53" s="1"/>
  <c r="D3468" i="53"/>
  <c r="B3465" i="53"/>
  <c r="G3477" i="53"/>
  <c r="G3621" i="53"/>
  <c r="G3496" i="53"/>
  <c r="G3498" i="53"/>
  <c r="G3504" i="53"/>
  <c r="G3625" i="53"/>
  <c r="G3652" i="53"/>
  <c r="G3478" i="53"/>
  <c r="G3620" i="53"/>
  <c r="G3640" i="53"/>
  <c r="G3497" i="53"/>
  <c r="G3505" i="53"/>
  <c r="G3651" i="53"/>
  <c r="G3636" i="53"/>
  <c r="G3476" i="53"/>
  <c r="G3508" i="53"/>
  <c r="B3608" i="53"/>
  <c r="B3611" i="53"/>
  <c r="G2909" i="53"/>
  <c r="G2928" i="53"/>
  <c r="G2930" i="53"/>
  <c r="G2932" i="53"/>
  <c r="G2934" i="53"/>
  <c r="G2936" i="53"/>
  <c r="G2938" i="53"/>
  <c r="G2940" i="53"/>
  <c r="B3468" i="53"/>
  <c r="D3611" i="53"/>
  <c r="G3503" i="53"/>
  <c r="G2912" i="53"/>
  <c r="G3481" i="53"/>
  <c r="B3609" i="53"/>
  <c r="G3492" i="53"/>
  <c r="G3499" i="53"/>
  <c r="G3501" i="53"/>
  <c r="G3500" i="53"/>
  <c r="G3502" i="53"/>
  <c r="G3518" i="53"/>
  <c r="B3464" i="53"/>
  <c r="B3467" i="53"/>
  <c r="D3464" i="53"/>
  <c r="D3467" i="53"/>
  <c r="B3466" i="53"/>
  <c r="B2901" i="53"/>
  <c r="D2901" i="53"/>
  <c r="D3466" i="53"/>
  <c r="G2908" i="53"/>
  <c r="G2931" i="53"/>
  <c r="G2935" i="53"/>
  <c r="G2933" i="53"/>
  <c r="G2939" i="53"/>
  <c r="G2929" i="53"/>
  <c r="G2937" i="53"/>
  <c r="B2899" i="53"/>
  <c r="B2900" i="53"/>
  <c r="G2924" i="53"/>
  <c r="G2950" i="53"/>
  <c r="B2898" i="53"/>
  <c r="F2899" i="53"/>
  <c r="G2899" i="53" s="1"/>
  <c r="K82" i="1" l="1"/>
  <c r="L82" i="1"/>
  <c r="N82" i="1"/>
  <c r="O82" i="1"/>
  <c r="M82" i="1"/>
  <c r="G4026" i="53"/>
  <c r="G4030" i="53" s="1"/>
  <c r="G3958" i="53" s="1"/>
  <c r="G3626" i="53"/>
  <c r="G3482" i="53"/>
  <c r="G2914" i="53"/>
  <c r="G3653" i="53"/>
  <c r="G3509" i="53"/>
  <c r="G2941" i="53"/>
  <c r="G3664" i="53" l="1"/>
  <c r="G3668" i="53" l="1"/>
  <c r="G3672" i="53" s="1"/>
  <c r="G3667" i="53"/>
  <c r="G3666" i="53"/>
  <c r="J72" i="1"/>
  <c r="A4175" i="53"/>
  <c r="A4584" i="53"/>
  <c r="A4657" i="53"/>
  <c r="A4033" i="53"/>
  <c r="A4245" i="53"/>
  <c r="A4313" i="53"/>
  <c r="A4381" i="53"/>
  <c r="A4448" i="53"/>
  <c r="A4516" i="53"/>
  <c r="A4105" i="53"/>
  <c r="A3677" i="53"/>
  <c r="A3818" i="53"/>
  <c r="A3891" i="53"/>
  <c r="C479" i="55"/>
  <c r="E3328" i="53"/>
  <c r="E3327" i="53"/>
  <c r="E3256" i="53"/>
  <c r="E3255" i="53"/>
  <c r="E3184" i="53"/>
  <c r="E3042" i="53"/>
  <c r="E3041" i="53"/>
  <c r="K72" i="1" l="1"/>
  <c r="L72" i="1"/>
  <c r="M72" i="1"/>
  <c r="O72" i="1"/>
  <c r="N72" i="1"/>
  <c r="F2422" i="53"/>
  <c r="G2422" i="53" s="1"/>
  <c r="G3670" i="53"/>
  <c r="G3674" i="53" s="1"/>
  <c r="G3605" i="53" s="1"/>
  <c r="E3111" i="53" l="1"/>
  <c r="E3112" i="53"/>
  <c r="A3330" i="53"/>
  <c r="D3330" i="53" s="1"/>
  <c r="A3329" i="53"/>
  <c r="A3327" i="53"/>
  <c r="D3327" i="53" s="1"/>
  <c r="A3328" i="53"/>
  <c r="A3326" i="53"/>
  <c r="B3323" i="53"/>
  <c r="F3379" i="53"/>
  <c r="G3379" i="53" s="1"/>
  <c r="D3379" i="53"/>
  <c r="B3379" i="53"/>
  <c r="F3378" i="53"/>
  <c r="G3378" i="53" s="1"/>
  <c r="D3378" i="53"/>
  <c r="B3378" i="53"/>
  <c r="F3377" i="53"/>
  <c r="G3377" i="53" s="1"/>
  <c r="D3377" i="53"/>
  <c r="B3377" i="53"/>
  <c r="F3376" i="53"/>
  <c r="G3376" i="53" s="1"/>
  <c r="D3376" i="53"/>
  <c r="B3376" i="53"/>
  <c r="F3375" i="53"/>
  <c r="G3375" i="53" s="1"/>
  <c r="D3375" i="53"/>
  <c r="B3375" i="53"/>
  <c r="F3370" i="53"/>
  <c r="E3370" i="53"/>
  <c r="D3370" i="53"/>
  <c r="B3370" i="53"/>
  <c r="F3369" i="53"/>
  <c r="E3369" i="53"/>
  <c r="D3369" i="53"/>
  <c r="B3369" i="53"/>
  <c r="F3368" i="53"/>
  <c r="E3368" i="53"/>
  <c r="D3368" i="53"/>
  <c r="B3368" i="53"/>
  <c r="F3367" i="53"/>
  <c r="E3367" i="53"/>
  <c r="D3367" i="53"/>
  <c r="B3367" i="53"/>
  <c r="F3366" i="53"/>
  <c r="E3366" i="53"/>
  <c r="D3366" i="53"/>
  <c r="B3366" i="53"/>
  <c r="F3365" i="53"/>
  <c r="E3365" i="53"/>
  <c r="D3365" i="53"/>
  <c r="B3365" i="53"/>
  <c r="F3364" i="53"/>
  <c r="E3364" i="53"/>
  <c r="D3364" i="53"/>
  <c r="B3364" i="53"/>
  <c r="F3363" i="53"/>
  <c r="E3363" i="53"/>
  <c r="D3363" i="53"/>
  <c r="B3363" i="53"/>
  <c r="F3362" i="53"/>
  <c r="E3362" i="53"/>
  <c r="D3362" i="53"/>
  <c r="B3362" i="53"/>
  <c r="F3361" i="53"/>
  <c r="E3361" i="53"/>
  <c r="D3361" i="53"/>
  <c r="B3361" i="53"/>
  <c r="F3360" i="53"/>
  <c r="E3360" i="53"/>
  <c r="D3360" i="53"/>
  <c r="B3360" i="53"/>
  <c r="F3359" i="53"/>
  <c r="E3359" i="53"/>
  <c r="D3359" i="53"/>
  <c r="B3359" i="53"/>
  <c r="F3358" i="53"/>
  <c r="E3358" i="53"/>
  <c r="D3358" i="53"/>
  <c r="B3358" i="53"/>
  <c r="F3353" i="53"/>
  <c r="G3353" i="53" s="1"/>
  <c r="B3353" i="53"/>
  <c r="F3352" i="53"/>
  <c r="G3352" i="53" s="1"/>
  <c r="B3352" i="53"/>
  <c r="F3351" i="53"/>
  <c r="G3351" i="53" s="1"/>
  <c r="B3351" i="53"/>
  <c r="F3350" i="53"/>
  <c r="G3350" i="53" s="1"/>
  <c r="B3350" i="53"/>
  <c r="F3349" i="53"/>
  <c r="G3349" i="53" s="1"/>
  <c r="B3349" i="53"/>
  <c r="F3348" i="53"/>
  <c r="G3348" i="53" s="1"/>
  <c r="B3348" i="53"/>
  <c r="F3343" i="53"/>
  <c r="E3343" i="53"/>
  <c r="D3343" i="53"/>
  <c r="B3343" i="53"/>
  <c r="F3342" i="53"/>
  <c r="E3342" i="53"/>
  <c r="D3342" i="53"/>
  <c r="B3342" i="53"/>
  <c r="F3341" i="53"/>
  <c r="E3341" i="53"/>
  <c r="D3341" i="53"/>
  <c r="B3341" i="53"/>
  <c r="F3340" i="53"/>
  <c r="E3340" i="53"/>
  <c r="D3340" i="53"/>
  <c r="B3340" i="53"/>
  <c r="F3339" i="53"/>
  <c r="E3339" i="53"/>
  <c r="D3339" i="53"/>
  <c r="B3339" i="53"/>
  <c r="F3338" i="53"/>
  <c r="E3338" i="53"/>
  <c r="D3338" i="53"/>
  <c r="B3338" i="53"/>
  <c r="F3333" i="53"/>
  <c r="G3333" i="53" s="1"/>
  <c r="D3333" i="53"/>
  <c r="B3333" i="53"/>
  <c r="F3332" i="53"/>
  <c r="G3332" i="53" s="1"/>
  <c r="D3332" i="53"/>
  <c r="B3332" i="53"/>
  <c r="F3331" i="53"/>
  <c r="G3331" i="53" s="1"/>
  <c r="D3331" i="53"/>
  <c r="B3331" i="53"/>
  <c r="B3251" i="53"/>
  <c r="A3258" i="53"/>
  <c r="A3257" i="53"/>
  <c r="A3255" i="53"/>
  <c r="A3256" i="53"/>
  <c r="D3256" i="53" s="1"/>
  <c r="A3254" i="53"/>
  <c r="F3307" i="53"/>
  <c r="G3307" i="53" s="1"/>
  <c r="D3307" i="53"/>
  <c r="B3307" i="53"/>
  <c r="F3306" i="53"/>
  <c r="G3306" i="53" s="1"/>
  <c r="D3306" i="53"/>
  <c r="B3306" i="53"/>
  <c r="F3305" i="53"/>
  <c r="G3305" i="53" s="1"/>
  <c r="D3305" i="53"/>
  <c r="B3305" i="53"/>
  <c r="F3304" i="53"/>
  <c r="G3304" i="53" s="1"/>
  <c r="D3304" i="53"/>
  <c r="B3304" i="53"/>
  <c r="F3303" i="53"/>
  <c r="G3303" i="53" s="1"/>
  <c r="D3303" i="53"/>
  <c r="B3303" i="53"/>
  <c r="F3298" i="53"/>
  <c r="E3298" i="53"/>
  <c r="D3298" i="53"/>
  <c r="B3298" i="53"/>
  <c r="F3297" i="53"/>
  <c r="E3297" i="53"/>
  <c r="D3297" i="53"/>
  <c r="B3297" i="53"/>
  <c r="F3296" i="53"/>
  <c r="E3296" i="53"/>
  <c r="D3296" i="53"/>
  <c r="B3296" i="53"/>
  <c r="F3295" i="53"/>
  <c r="E3295" i="53"/>
  <c r="D3295" i="53"/>
  <c r="B3295" i="53"/>
  <c r="F3294" i="53"/>
  <c r="E3294" i="53"/>
  <c r="D3294" i="53"/>
  <c r="B3294" i="53"/>
  <c r="F3293" i="53"/>
  <c r="E3293" i="53"/>
  <c r="D3293" i="53"/>
  <c r="B3293" i="53"/>
  <c r="F3292" i="53"/>
  <c r="E3292" i="53"/>
  <c r="D3292" i="53"/>
  <c r="B3292" i="53"/>
  <c r="F3291" i="53"/>
  <c r="E3291" i="53"/>
  <c r="D3291" i="53"/>
  <c r="B3291" i="53"/>
  <c r="F3290" i="53"/>
  <c r="E3290" i="53"/>
  <c r="D3290" i="53"/>
  <c r="B3290" i="53"/>
  <c r="F3289" i="53"/>
  <c r="E3289" i="53"/>
  <c r="D3289" i="53"/>
  <c r="B3289" i="53"/>
  <c r="F3288" i="53"/>
  <c r="E3288" i="53"/>
  <c r="D3288" i="53"/>
  <c r="B3288" i="53"/>
  <c r="F3287" i="53"/>
  <c r="E3287" i="53"/>
  <c r="D3287" i="53"/>
  <c r="B3287" i="53"/>
  <c r="F3286" i="53"/>
  <c r="E3286" i="53"/>
  <c r="D3286" i="53"/>
  <c r="B3286" i="53"/>
  <c r="F3281" i="53"/>
  <c r="G3281" i="53" s="1"/>
  <c r="B3281" i="53"/>
  <c r="F3280" i="53"/>
  <c r="G3280" i="53" s="1"/>
  <c r="B3280" i="53"/>
  <c r="F3279" i="53"/>
  <c r="G3279" i="53" s="1"/>
  <c r="B3279" i="53"/>
  <c r="F3278" i="53"/>
  <c r="G3278" i="53" s="1"/>
  <c r="B3278" i="53"/>
  <c r="F3277" i="53"/>
  <c r="G3277" i="53" s="1"/>
  <c r="B3277" i="53"/>
  <c r="F3276" i="53"/>
  <c r="G3276" i="53" s="1"/>
  <c r="B3276" i="53"/>
  <c r="F3271" i="53"/>
  <c r="E3271" i="53"/>
  <c r="D3271" i="53"/>
  <c r="B3271" i="53"/>
  <c r="F3270" i="53"/>
  <c r="E3270" i="53"/>
  <c r="D3270" i="53"/>
  <c r="B3270" i="53"/>
  <c r="F3269" i="53"/>
  <c r="E3269" i="53"/>
  <c r="D3269" i="53"/>
  <c r="B3269" i="53"/>
  <c r="F3268" i="53"/>
  <c r="E3268" i="53"/>
  <c r="D3268" i="53"/>
  <c r="B3268" i="53"/>
  <c r="F3267" i="53"/>
  <c r="E3267" i="53"/>
  <c r="D3267" i="53"/>
  <c r="B3267" i="53"/>
  <c r="F3266" i="53"/>
  <c r="E3266" i="53"/>
  <c r="D3266" i="53"/>
  <c r="B3266" i="53"/>
  <c r="F3261" i="53"/>
  <c r="G3261" i="53" s="1"/>
  <c r="D3261" i="53"/>
  <c r="B3261" i="53"/>
  <c r="F3260" i="53"/>
  <c r="G3260" i="53" s="1"/>
  <c r="D3260" i="53"/>
  <c r="B3260" i="53"/>
  <c r="F3259" i="53"/>
  <c r="G3259" i="53" s="1"/>
  <c r="D3259" i="53"/>
  <c r="B3259" i="53"/>
  <c r="A3186" i="53"/>
  <c r="D3186" i="53" s="1"/>
  <c r="A3185" i="53"/>
  <c r="A3183" i="53"/>
  <c r="A3184" i="53"/>
  <c r="A3182" i="53"/>
  <c r="D3182" i="53" s="1"/>
  <c r="B3179" i="53"/>
  <c r="F3235" i="53"/>
  <c r="G3235" i="53" s="1"/>
  <c r="D3235" i="53"/>
  <c r="B3235" i="53"/>
  <c r="F3234" i="53"/>
  <c r="G3234" i="53" s="1"/>
  <c r="D3234" i="53"/>
  <c r="B3234" i="53"/>
  <c r="F3233" i="53"/>
  <c r="G3233" i="53" s="1"/>
  <c r="D3233" i="53"/>
  <c r="B3233" i="53"/>
  <c r="F3232" i="53"/>
  <c r="G3232" i="53" s="1"/>
  <c r="D3232" i="53"/>
  <c r="B3232" i="53"/>
  <c r="F3231" i="53"/>
  <c r="G3231" i="53" s="1"/>
  <c r="D3231" i="53"/>
  <c r="B3231" i="53"/>
  <c r="F3226" i="53"/>
  <c r="E3226" i="53"/>
  <c r="D3226" i="53"/>
  <c r="B3226" i="53"/>
  <c r="F3225" i="53"/>
  <c r="E3225" i="53"/>
  <c r="D3225" i="53"/>
  <c r="B3225" i="53"/>
  <c r="F3224" i="53"/>
  <c r="E3224" i="53"/>
  <c r="D3224" i="53"/>
  <c r="B3224" i="53"/>
  <c r="F3223" i="53"/>
  <c r="E3223" i="53"/>
  <c r="D3223" i="53"/>
  <c r="B3223" i="53"/>
  <c r="F3222" i="53"/>
  <c r="E3222" i="53"/>
  <c r="D3222" i="53"/>
  <c r="B3222" i="53"/>
  <c r="F3221" i="53"/>
  <c r="E3221" i="53"/>
  <c r="D3221" i="53"/>
  <c r="B3221" i="53"/>
  <c r="F3220" i="53"/>
  <c r="E3220" i="53"/>
  <c r="D3220" i="53"/>
  <c r="B3220" i="53"/>
  <c r="F3219" i="53"/>
  <c r="E3219" i="53"/>
  <c r="D3219" i="53"/>
  <c r="B3219" i="53"/>
  <c r="F3218" i="53"/>
  <c r="E3218" i="53"/>
  <c r="D3218" i="53"/>
  <c r="B3218" i="53"/>
  <c r="F3217" i="53"/>
  <c r="E3217" i="53"/>
  <c r="D3217" i="53"/>
  <c r="B3217" i="53"/>
  <c r="F3216" i="53"/>
  <c r="E3216" i="53"/>
  <c r="D3216" i="53"/>
  <c r="B3216" i="53"/>
  <c r="F3215" i="53"/>
  <c r="E3215" i="53"/>
  <c r="D3215" i="53"/>
  <c r="B3215" i="53"/>
  <c r="F3214" i="53"/>
  <c r="E3214" i="53"/>
  <c r="D3214" i="53"/>
  <c r="B3214" i="53"/>
  <c r="F3209" i="53"/>
  <c r="G3209" i="53" s="1"/>
  <c r="B3209" i="53"/>
  <c r="F3208" i="53"/>
  <c r="G3208" i="53" s="1"/>
  <c r="B3208" i="53"/>
  <c r="F3207" i="53"/>
  <c r="G3207" i="53" s="1"/>
  <c r="B3207" i="53"/>
  <c r="F3206" i="53"/>
  <c r="G3206" i="53" s="1"/>
  <c r="B3206" i="53"/>
  <c r="F3205" i="53"/>
  <c r="G3205" i="53" s="1"/>
  <c r="B3205" i="53"/>
  <c r="F3204" i="53"/>
  <c r="G3204" i="53" s="1"/>
  <c r="B3204" i="53"/>
  <c r="F3199" i="53"/>
  <c r="E3199" i="53"/>
  <c r="D3199" i="53"/>
  <c r="B3199" i="53"/>
  <c r="F3198" i="53"/>
  <c r="E3198" i="53"/>
  <c r="D3198" i="53"/>
  <c r="B3198" i="53"/>
  <c r="F3197" i="53"/>
  <c r="E3197" i="53"/>
  <c r="D3197" i="53"/>
  <c r="B3197" i="53"/>
  <c r="F3196" i="53"/>
  <c r="E3196" i="53"/>
  <c r="D3196" i="53"/>
  <c r="B3196" i="53"/>
  <c r="F3195" i="53"/>
  <c r="E3195" i="53"/>
  <c r="D3195" i="53"/>
  <c r="B3195" i="53"/>
  <c r="F3194" i="53"/>
  <c r="E3194" i="53"/>
  <c r="D3194" i="53"/>
  <c r="B3194" i="53"/>
  <c r="F3189" i="53"/>
  <c r="G3189" i="53" s="1"/>
  <c r="D3189" i="53"/>
  <c r="B3189" i="53"/>
  <c r="F3188" i="53"/>
  <c r="G3188" i="53" s="1"/>
  <c r="D3188" i="53"/>
  <c r="B3188" i="53"/>
  <c r="F3187" i="53"/>
  <c r="G3187" i="53" s="1"/>
  <c r="D3187" i="53"/>
  <c r="B3187" i="53"/>
  <c r="C478" i="55"/>
  <c r="C477" i="55"/>
  <c r="C476" i="55"/>
  <c r="C475" i="55"/>
  <c r="C474" i="55"/>
  <c r="C473" i="55"/>
  <c r="C472" i="55"/>
  <c r="C471" i="55"/>
  <c r="C470" i="55"/>
  <c r="E3114" i="53"/>
  <c r="E3113" i="53"/>
  <c r="A3114" i="53"/>
  <c r="D3114" i="53" s="1"/>
  <c r="A3113" i="53"/>
  <c r="D3113" i="53" s="1"/>
  <c r="A3111" i="53"/>
  <c r="A3112" i="53"/>
  <c r="D3112" i="53" s="1"/>
  <c r="A3110" i="53"/>
  <c r="C469" i="55"/>
  <c r="C468" i="55"/>
  <c r="C467" i="55"/>
  <c r="B3107" i="53"/>
  <c r="F3163" i="53"/>
  <c r="G3163" i="53" s="1"/>
  <c r="D3163" i="53"/>
  <c r="B3163" i="53"/>
  <c r="F3162" i="53"/>
  <c r="G3162" i="53" s="1"/>
  <c r="D3162" i="53"/>
  <c r="B3162" i="53"/>
  <c r="F3161" i="53"/>
  <c r="G3161" i="53" s="1"/>
  <c r="D3161" i="53"/>
  <c r="B3161" i="53"/>
  <c r="F3160" i="53"/>
  <c r="G3160" i="53" s="1"/>
  <c r="D3160" i="53"/>
  <c r="B3160" i="53"/>
  <c r="F3159" i="53"/>
  <c r="G3159" i="53" s="1"/>
  <c r="D3159" i="53"/>
  <c r="B3159" i="53"/>
  <c r="F3154" i="53"/>
  <c r="E3154" i="53"/>
  <c r="D3154" i="53"/>
  <c r="B3154" i="53"/>
  <c r="F3153" i="53"/>
  <c r="E3153" i="53"/>
  <c r="D3153" i="53"/>
  <c r="B3153" i="53"/>
  <c r="F3152" i="53"/>
  <c r="E3152" i="53"/>
  <c r="D3152" i="53"/>
  <c r="B3152" i="53"/>
  <c r="F3151" i="53"/>
  <c r="E3151" i="53"/>
  <c r="D3151" i="53"/>
  <c r="B3151" i="53"/>
  <c r="F3150" i="53"/>
  <c r="E3150" i="53"/>
  <c r="D3150" i="53"/>
  <c r="B3150" i="53"/>
  <c r="F3149" i="53"/>
  <c r="E3149" i="53"/>
  <c r="D3149" i="53"/>
  <c r="B3149" i="53"/>
  <c r="F3148" i="53"/>
  <c r="E3148" i="53"/>
  <c r="D3148" i="53"/>
  <c r="B3148" i="53"/>
  <c r="F3147" i="53"/>
  <c r="E3147" i="53"/>
  <c r="D3147" i="53"/>
  <c r="B3147" i="53"/>
  <c r="F3146" i="53"/>
  <c r="E3146" i="53"/>
  <c r="D3146" i="53"/>
  <c r="B3146" i="53"/>
  <c r="F3145" i="53"/>
  <c r="E3145" i="53"/>
  <c r="D3145" i="53"/>
  <c r="B3145" i="53"/>
  <c r="F3144" i="53"/>
  <c r="E3144" i="53"/>
  <c r="D3144" i="53"/>
  <c r="B3144" i="53"/>
  <c r="F3143" i="53"/>
  <c r="E3143" i="53"/>
  <c r="D3143" i="53"/>
  <c r="B3143" i="53"/>
  <c r="F3142" i="53"/>
  <c r="E3142" i="53"/>
  <c r="D3142" i="53"/>
  <c r="B3142" i="53"/>
  <c r="F3137" i="53"/>
  <c r="G3137" i="53" s="1"/>
  <c r="B3137" i="53"/>
  <c r="F3136" i="53"/>
  <c r="G3136" i="53" s="1"/>
  <c r="B3136" i="53"/>
  <c r="F3135" i="53"/>
  <c r="G3135" i="53" s="1"/>
  <c r="B3135" i="53"/>
  <c r="F3134" i="53"/>
  <c r="G3134" i="53" s="1"/>
  <c r="B3134" i="53"/>
  <c r="F3133" i="53"/>
  <c r="G3133" i="53" s="1"/>
  <c r="B3133" i="53"/>
  <c r="F3132" i="53"/>
  <c r="G3132" i="53" s="1"/>
  <c r="B3132" i="53"/>
  <c r="F3127" i="53"/>
  <c r="E3127" i="53"/>
  <c r="D3127" i="53"/>
  <c r="B3127" i="53"/>
  <c r="F3126" i="53"/>
  <c r="E3126" i="53"/>
  <c r="D3126" i="53"/>
  <c r="B3126" i="53"/>
  <c r="F3125" i="53"/>
  <c r="E3125" i="53"/>
  <c r="D3125" i="53"/>
  <c r="B3125" i="53"/>
  <c r="F3124" i="53"/>
  <c r="E3124" i="53"/>
  <c r="D3124" i="53"/>
  <c r="B3124" i="53"/>
  <c r="F3123" i="53"/>
  <c r="E3123" i="53"/>
  <c r="D3123" i="53"/>
  <c r="B3123" i="53"/>
  <c r="F3122" i="53"/>
  <c r="E3122" i="53"/>
  <c r="D3122" i="53"/>
  <c r="B3122" i="53"/>
  <c r="F3117" i="53"/>
  <c r="G3117" i="53" s="1"/>
  <c r="D3117" i="53"/>
  <c r="B3117" i="53"/>
  <c r="F3116" i="53"/>
  <c r="G3116" i="53" s="1"/>
  <c r="D3116" i="53"/>
  <c r="B3116" i="53"/>
  <c r="F3115" i="53"/>
  <c r="G3115" i="53" s="1"/>
  <c r="D3115" i="53"/>
  <c r="B3115" i="53"/>
  <c r="F4641" i="53"/>
  <c r="G4641" i="53" s="1"/>
  <c r="D4641" i="53"/>
  <c r="B4641" i="53"/>
  <c r="F4640" i="53"/>
  <c r="G4640" i="53" s="1"/>
  <c r="D4640" i="53"/>
  <c r="B4640" i="53"/>
  <c r="F4639" i="53"/>
  <c r="G4639" i="53" s="1"/>
  <c r="D4639" i="53"/>
  <c r="B4639" i="53"/>
  <c r="F4638" i="53"/>
  <c r="G4638" i="53" s="1"/>
  <c r="D4638" i="53"/>
  <c r="B4638" i="53"/>
  <c r="F4637" i="53"/>
  <c r="G4637" i="53" s="1"/>
  <c r="D4637" i="53"/>
  <c r="B4637" i="53"/>
  <c r="F4632" i="53"/>
  <c r="E4632" i="53"/>
  <c r="D4632" i="53"/>
  <c r="B4632" i="53"/>
  <c r="F4631" i="53"/>
  <c r="E4631" i="53"/>
  <c r="D4631" i="53"/>
  <c r="B4631" i="53"/>
  <c r="F4630" i="53"/>
  <c r="E4630" i="53"/>
  <c r="D4630" i="53"/>
  <c r="B4630" i="53"/>
  <c r="F4629" i="53"/>
  <c r="E4629" i="53"/>
  <c r="D4629" i="53"/>
  <c r="B4629" i="53"/>
  <c r="F4628" i="53"/>
  <c r="E4628" i="53"/>
  <c r="D4628" i="53"/>
  <c r="B4628" i="53"/>
  <c r="F4627" i="53"/>
  <c r="E4627" i="53"/>
  <c r="D4627" i="53"/>
  <c r="B4627" i="53"/>
  <c r="F4626" i="53"/>
  <c r="E4626" i="53"/>
  <c r="D4626" i="53"/>
  <c r="B4626" i="53"/>
  <c r="F4625" i="53"/>
  <c r="E4625" i="53"/>
  <c r="D4625" i="53"/>
  <c r="B4625" i="53"/>
  <c r="F4624" i="53"/>
  <c r="E4624" i="53"/>
  <c r="D4624" i="53"/>
  <c r="B4624" i="53"/>
  <c r="F4623" i="53"/>
  <c r="E4623" i="53"/>
  <c r="D4623" i="53"/>
  <c r="B4623" i="53"/>
  <c r="F4622" i="53"/>
  <c r="E4622" i="53"/>
  <c r="D4622" i="53"/>
  <c r="B4622" i="53"/>
  <c r="F4621" i="53"/>
  <c r="E4621" i="53"/>
  <c r="D4621" i="53"/>
  <c r="B4621" i="53"/>
  <c r="F4620" i="53"/>
  <c r="E4620" i="53"/>
  <c r="D4620" i="53"/>
  <c r="B4620" i="53"/>
  <c r="F4615" i="53"/>
  <c r="G4615" i="53" s="1"/>
  <c r="B4615" i="53"/>
  <c r="F4614" i="53"/>
  <c r="G4614" i="53" s="1"/>
  <c r="B4614" i="53"/>
  <c r="F4613" i="53"/>
  <c r="G4613" i="53" s="1"/>
  <c r="B4613" i="53"/>
  <c r="F4612" i="53"/>
  <c r="G4612" i="53" s="1"/>
  <c r="B4612" i="53"/>
  <c r="F4611" i="53"/>
  <c r="G4611" i="53" s="1"/>
  <c r="B4611" i="53"/>
  <c r="F4610" i="53"/>
  <c r="G4610" i="53" s="1"/>
  <c r="B4610" i="53"/>
  <c r="F4605" i="53"/>
  <c r="E4605" i="53"/>
  <c r="D4605" i="53"/>
  <c r="B4605" i="53"/>
  <c r="F4604" i="53"/>
  <c r="E4604" i="53"/>
  <c r="D4604" i="53"/>
  <c r="B4604" i="53"/>
  <c r="F4603" i="53"/>
  <c r="E4603" i="53"/>
  <c r="D4603" i="53"/>
  <c r="B4603" i="53"/>
  <c r="F4602" i="53"/>
  <c r="E4602" i="53"/>
  <c r="D4602" i="53"/>
  <c r="B4602" i="53"/>
  <c r="F4601" i="53"/>
  <c r="E4601" i="53"/>
  <c r="D4601" i="53"/>
  <c r="B4601" i="53"/>
  <c r="F4600" i="53"/>
  <c r="E4600" i="53"/>
  <c r="D4600" i="53"/>
  <c r="B4600" i="53"/>
  <c r="F4591" i="53"/>
  <c r="G4591" i="53" s="1"/>
  <c r="D4591" i="53"/>
  <c r="B4591" i="53"/>
  <c r="A3042" i="53"/>
  <c r="C466" i="55"/>
  <c r="F3822" i="53" s="1"/>
  <c r="G3822" i="53" s="1"/>
  <c r="A3041" i="53"/>
  <c r="D3041" i="53" s="1"/>
  <c r="A3039" i="53"/>
  <c r="D3039" i="53" s="1"/>
  <c r="C465" i="55"/>
  <c r="A3038" i="53"/>
  <c r="D3038" i="53" s="1"/>
  <c r="C464" i="55"/>
  <c r="E3040" i="53"/>
  <c r="E3039" i="53"/>
  <c r="A3040" i="53"/>
  <c r="D3040" i="53" s="1"/>
  <c r="B3035" i="53"/>
  <c r="F3091" i="53"/>
  <c r="G3091" i="53" s="1"/>
  <c r="D3091" i="53"/>
  <c r="B3091" i="53"/>
  <c r="F3090" i="53"/>
  <c r="G3090" i="53" s="1"/>
  <c r="D3090" i="53"/>
  <c r="B3090" i="53"/>
  <c r="F3089" i="53"/>
  <c r="G3089" i="53" s="1"/>
  <c r="D3089" i="53"/>
  <c r="B3089" i="53"/>
  <c r="F3088" i="53"/>
  <c r="G3088" i="53" s="1"/>
  <c r="D3088" i="53"/>
  <c r="B3088" i="53"/>
  <c r="F3087" i="53"/>
  <c r="G3087" i="53" s="1"/>
  <c r="D3087" i="53"/>
  <c r="B3087" i="53"/>
  <c r="F3082" i="53"/>
  <c r="E3082" i="53"/>
  <c r="D3082" i="53"/>
  <c r="B3082" i="53"/>
  <c r="F3081" i="53"/>
  <c r="E3081" i="53"/>
  <c r="D3081" i="53"/>
  <c r="B3081" i="53"/>
  <c r="F3080" i="53"/>
  <c r="E3080" i="53"/>
  <c r="D3080" i="53"/>
  <c r="B3080" i="53"/>
  <c r="F3079" i="53"/>
  <c r="E3079" i="53"/>
  <c r="D3079" i="53"/>
  <c r="B3079" i="53"/>
  <c r="F3078" i="53"/>
  <c r="E3078" i="53"/>
  <c r="D3078" i="53"/>
  <c r="B3078" i="53"/>
  <c r="F3077" i="53"/>
  <c r="E3077" i="53"/>
  <c r="D3077" i="53"/>
  <c r="B3077" i="53"/>
  <c r="F3076" i="53"/>
  <c r="E3076" i="53"/>
  <c r="D3076" i="53"/>
  <c r="B3076" i="53"/>
  <c r="F3075" i="53"/>
  <c r="E3075" i="53"/>
  <c r="D3075" i="53"/>
  <c r="B3075" i="53"/>
  <c r="F3074" i="53"/>
  <c r="E3074" i="53"/>
  <c r="D3074" i="53"/>
  <c r="B3074" i="53"/>
  <c r="F3073" i="53"/>
  <c r="E3073" i="53"/>
  <c r="D3073" i="53"/>
  <c r="B3073" i="53"/>
  <c r="F3072" i="53"/>
  <c r="E3072" i="53"/>
  <c r="D3072" i="53"/>
  <c r="B3072" i="53"/>
  <c r="F3071" i="53"/>
  <c r="E3071" i="53"/>
  <c r="D3071" i="53"/>
  <c r="B3071" i="53"/>
  <c r="F3070" i="53"/>
  <c r="E3070" i="53"/>
  <c r="D3070" i="53"/>
  <c r="B3070" i="53"/>
  <c r="F3065" i="53"/>
  <c r="G3065" i="53" s="1"/>
  <c r="B3065" i="53"/>
  <c r="F3064" i="53"/>
  <c r="G3064" i="53" s="1"/>
  <c r="B3064" i="53"/>
  <c r="F3063" i="53"/>
  <c r="G3063" i="53" s="1"/>
  <c r="B3063" i="53"/>
  <c r="F3062" i="53"/>
  <c r="G3062" i="53" s="1"/>
  <c r="B3062" i="53"/>
  <c r="F3061" i="53"/>
  <c r="G3061" i="53" s="1"/>
  <c r="B3061" i="53"/>
  <c r="F3060" i="53"/>
  <c r="G3060" i="53" s="1"/>
  <c r="B3060" i="53"/>
  <c r="F3055" i="53"/>
  <c r="E3055" i="53"/>
  <c r="D3055" i="53"/>
  <c r="B3055" i="53"/>
  <c r="F3054" i="53"/>
  <c r="E3054" i="53"/>
  <c r="D3054" i="53"/>
  <c r="B3054" i="53"/>
  <c r="F3053" i="53"/>
  <c r="E3053" i="53"/>
  <c r="D3053" i="53"/>
  <c r="B3053" i="53"/>
  <c r="F3052" i="53"/>
  <c r="E3052" i="53"/>
  <c r="D3052" i="53"/>
  <c r="B3052" i="53"/>
  <c r="F3051" i="53"/>
  <c r="E3051" i="53"/>
  <c r="D3051" i="53"/>
  <c r="B3051" i="53"/>
  <c r="F3050" i="53"/>
  <c r="E3050" i="53"/>
  <c r="D3050" i="53"/>
  <c r="B3050" i="53"/>
  <c r="F3045" i="53"/>
  <c r="G3045" i="53" s="1"/>
  <c r="D3045" i="53"/>
  <c r="D3044" i="53"/>
  <c r="D3043" i="53"/>
  <c r="B3043" i="53"/>
  <c r="D1536" i="53"/>
  <c r="B1535" i="53"/>
  <c r="B1532" i="53"/>
  <c r="F1587" i="53"/>
  <c r="G1587" i="53" s="1"/>
  <c r="D1587" i="53"/>
  <c r="B1587" i="53"/>
  <c r="F1586" i="53"/>
  <c r="G1586" i="53" s="1"/>
  <c r="D1586" i="53"/>
  <c r="B1586" i="53"/>
  <c r="F1585" i="53"/>
  <c r="G1585" i="53" s="1"/>
  <c r="D1585" i="53"/>
  <c r="B1585" i="53"/>
  <c r="F1584" i="53"/>
  <c r="G1584" i="53" s="1"/>
  <c r="D1584" i="53"/>
  <c r="B1584" i="53"/>
  <c r="F1583" i="53"/>
  <c r="G1583" i="53" s="1"/>
  <c r="D1583" i="53"/>
  <c r="B1583" i="53"/>
  <c r="F1578" i="53"/>
  <c r="E1578" i="53"/>
  <c r="D1578" i="53"/>
  <c r="B1578" i="53"/>
  <c r="F1577" i="53"/>
  <c r="E1577" i="53"/>
  <c r="D1577" i="53"/>
  <c r="B1577" i="53"/>
  <c r="F1576" i="53"/>
  <c r="E1576" i="53"/>
  <c r="D1576" i="53"/>
  <c r="B1576" i="53"/>
  <c r="F1575" i="53"/>
  <c r="E1575" i="53"/>
  <c r="D1575" i="53"/>
  <c r="B1575" i="53"/>
  <c r="F1574" i="53"/>
  <c r="E1574" i="53"/>
  <c r="D1574" i="53"/>
  <c r="B1574" i="53"/>
  <c r="F1573" i="53"/>
  <c r="E1573" i="53"/>
  <c r="D1573" i="53"/>
  <c r="B1573" i="53"/>
  <c r="F1572" i="53"/>
  <c r="E1572" i="53"/>
  <c r="D1572" i="53"/>
  <c r="B1572" i="53"/>
  <c r="F1571" i="53"/>
  <c r="E1571" i="53"/>
  <c r="D1571" i="53"/>
  <c r="B1571" i="53"/>
  <c r="F1570" i="53"/>
  <c r="E1570" i="53"/>
  <c r="D1570" i="53"/>
  <c r="B1570" i="53"/>
  <c r="F1569" i="53"/>
  <c r="E1569" i="53"/>
  <c r="D1569" i="53"/>
  <c r="B1569" i="53"/>
  <c r="F1568" i="53"/>
  <c r="E1568" i="53"/>
  <c r="D1568" i="53"/>
  <c r="B1568" i="53"/>
  <c r="F1567" i="53"/>
  <c r="E1567" i="53"/>
  <c r="D1567" i="53"/>
  <c r="B1567" i="53"/>
  <c r="F1566" i="53"/>
  <c r="E1566" i="53"/>
  <c r="D1566" i="53"/>
  <c r="B1566" i="53"/>
  <c r="F1561" i="53"/>
  <c r="G1561" i="53" s="1"/>
  <c r="B1561" i="53"/>
  <c r="F1560" i="53"/>
  <c r="G1560" i="53" s="1"/>
  <c r="B1560" i="53"/>
  <c r="F1559" i="53"/>
  <c r="G1559" i="53" s="1"/>
  <c r="B1559" i="53"/>
  <c r="F1558" i="53"/>
  <c r="G1558" i="53" s="1"/>
  <c r="B1558" i="53"/>
  <c r="F1557" i="53"/>
  <c r="G1557" i="53" s="1"/>
  <c r="B1557" i="53"/>
  <c r="F1556" i="53"/>
  <c r="G1556" i="53" s="1"/>
  <c r="B1556" i="53"/>
  <c r="F1551" i="53"/>
  <c r="E1551" i="53"/>
  <c r="D1551" i="53"/>
  <c r="B1551" i="53"/>
  <c r="F1550" i="53"/>
  <c r="E1550" i="53"/>
  <c r="D1550" i="53"/>
  <c r="B1550" i="53"/>
  <c r="F1549" i="53"/>
  <c r="E1549" i="53"/>
  <c r="D1549" i="53"/>
  <c r="B1549" i="53"/>
  <c r="F1548" i="53"/>
  <c r="E1548" i="53"/>
  <c r="D1548" i="53"/>
  <c r="B1548" i="53"/>
  <c r="F1547" i="53"/>
  <c r="E1547" i="53"/>
  <c r="D1547" i="53"/>
  <c r="B1547" i="53"/>
  <c r="F1546" i="53"/>
  <c r="E1546" i="53"/>
  <c r="D1546" i="53"/>
  <c r="B1546" i="53"/>
  <c r="F1541" i="53"/>
  <c r="G1541" i="53" s="1"/>
  <c r="D1541" i="53"/>
  <c r="B1541" i="53"/>
  <c r="F1540" i="53"/>
  <c r="G1540" i="53" s="1"/>
  <c r="D1540" i="53"/>
  <c r="B1540" i="53"/>
  <c r="F1539" i="53"/>
  <c r="G1539" i="53" s="1"/>
  <c r="D1539" i="53"/>
  <c r="B1539" i="53"/>
  <c r="F1538" i="53"/>
  <c r="G1538" i="53" s="1"/>
  <c r="D1538" i="53"/>
  <c r="B1538" i="53"/>
  <c r="F1537" i="53"/>
  <c r="G1537" i="53" s="1"/>
  <c r="D1537" i="53"/>
  <c r="B1537" i="53"/>
  <c r="D1398" i="53"/>
  <c r="B1394" i="53"/>
  <c r="F1447" i="53"/>
  <c r="G1447" i="53" s="1"/>
  <c r="D1447" i="53"/>
  <c r="B1447" i="53"/>
  <c r="F1446" i="53"/>
  <c r="G1446" i="53" s="1"/>
  <c r="D1446" i="53"/>
  <c r="B1446" i="53"/>
  <c r="F1445" i="53"/>
  <c r="G1445" i="53" s="1"/>
  <c r="D1445" i="53"/>
  <c r="B1445" i="53"/>
  <c r="F1444" i="53"/>
  <c r="G1444" i="53" s="1"/>
  <c r="D1444" i="53"/>
  <c r="B1444" i="53"/>
  <c r="F1443" i="53"/>
  <c r="G1443" i="53" s="1"/>
  <c r="D1443" i="53"/>
  <c r="B1443" i="53"/>
  <c r="F1438" i="53"/>
  <c r="E1438" i="53"/>
  <c r="D1438" i="53"/>
  <c r="B1438" i="53"/>
  <c r="F1437" i="53"/>
  <c r="E1437" i="53"/>
  <c r="D1437" i="53"/>
  <c r="B1437" i="53"/>
  <c r="F1436" i="53"/>
  <c r="E1436" i="53"/>
  <c r="D1436" i="53"/>
  <c r="B1436" i="53"/>
  <c r="F1435" i="53"/>
  <c r="E1435" i="53"/>
  <c r="D1435" i="53"/>
  <c r="B1435" i="53"/>
  <c r="F1434" i="53"/>
  <c r="E1434" i="53"/>
  <c r="D1434" i="53"/>
  <c r="B1434" i="53"/>
  <c r="F1433" i="53"/>
  <c r="E1433" i="53"/>
  <c r="D1433" i="53"/>
  <c r="B1433" i="53"/>
  <c r="F1432" i="53"/>
  <c r="E1432" i="53"/>
  <c r="D1432" i="53"/>
  <c r="B1432" i="53"/>
  <c r="F1431" i="53"/>
  <c r="E1431" i="53"/>
  <c r="D1431" i="53"/>
  <c r="B1431" i="53"/>
  <c r="F1430" i="53"/>
  <c r="E1430" i="53"/>
  <c r="D1430" i="53"/>
  <c r="B1430" i="53"/>
  <c r="F1429" i="53"/>
  <c r="E1429" i="53"/>
  <c r="D1429" i="53"/>
  <c r="B1429" i="53"/>
  <c r="F1428" i="53"/>
  <c r="E1428" i="53"/>
  <c r="D1428" i="53"/>
  <c r="B1428" i="53"/>
  <c r="F1427" i="53"/>
  <c r="E1427" i="53"/>
  <c r="D1427" i="53"/>
  <c r="B1427" i="53"/>
  <c r="F1426" i="53"/>
  <c r="E1426" i="53"/>
  <c r="D1426" i="53"/>
  <c r="B1426" i="53"/>
  <c r="F1421" i="53"/>
  <c r="G1421" i="53" s="1"/>
  <c r="B1421" i="53"/>
  <c r="F1420" i="53"/>
  <c r="G1420" i="53" s="1"/>
  <c r="B1420" i="53"/>
  <c r="F1419" i="53"/>
  <c r="G1419" i="53" s="1"/>
  <c r="B1419" i="53"/>
  <c r="F1418" i="53"/>
  <c r="G1418" i="53" s="1"/>
  <c r="B1418" i="53"/>
  <c r="F1417" i="53"/>
  <c r="G1417" i="53" s="1"/>
  <c r="B1417" i="53"/>
  <c r="F1416" i="53"/>
  <c r="G1416" i="53" s="1"/>
  <c r="B1416" i="53"/>
  <c r="F1411" i="53"/>
  <c r="E1411" i="53"/>
  <c r="D1411" i="53"/>
  <c r="B1411" i="53"/>
  <c r="F1410" i="53"/>
  <c r="E1410" i="53"/>
  <c r="D1410" i="53"/>
  <c r="B1410" i="53"/>
  <c r="F1409" i="53"/>
  <c r="E1409" i="53"/>
  <c r="D1409" i="53"/>
  <c r="B1409" i="53"/>
  <c r="F1408" i="53"/>
  <c r="E1408" i="53"/>
  <c r="D1408" i="53"/>
  <c r="B1408" i="53"/>
  <c r="F1407" i="53"/>
  <c r="E1407" i="53"/>
  <c r="D1407" i="53"/>
  <c r="B1407" i="53"/>
  <c r="F1406" i="53"/>
  <c r="E1406" i="53"/>
  <c r="D1406" i="53"/>
  <c r="B1406" i="53"/>
  <c r="F1401" i="53"/>
  <c r="G1401" i="53" s="1"/>
  <c r="D1401" i="53"/>
  <c r="B1401" i="53"/>
  <c r="F1400" i="53"/>
  <c r="G1400" i="53" s="1"/>
  <c r="D1400" i="53"/>
  <c r="B1400" i="53"/>
  <c r="F1399" i="53"/>
  <c r="G1399" i="53" s="1"/>
  <c r="D1399" i="53"/>
  <c r="B1399" i="53"/>
  <c r="E1327" i="53"/>
  <c r="A1327" i="53"/>
  <c r="A1326" i="53"/>
  <c r="B1323" i="53"/>
  <c r="F1378" i="53"/>
  <c r="G1378" i="53" s="1"/>
  <c r="D1378" i="53"/>
  <c r="B1378" i="53"/>
  <c r="F1377" i="53"/>
  <c r="G1377" i="53" s="1"/>
  <c r="D1377" i="53"/>
  <c r="B1377" i="53"/>
  <c r="F1376" i="53"/>
  <c r="G1376" i="53" s="1"/>
  <c r="D1376" i="53"/>
  <c r="B1376" i="53"/>
  <c r="F1375" i="53"/>
  <c r="G1375" i="53" s="1"/>
  <c r="D1375" i="53"/>
  <c r="B1375" i="53"/>
  <c r="F1374" i="53"/>
  <c r="G1374" i="53" s="1"/>
  <c r="D1374" i="53"/>
  <c r="B1374" i="53"/>
  <c r="F1369" i="53"/>
  <c r="E1369" i="53"/>
  <c r="D1369" i="53"/>
  <c r="B1369" i="53"/>
  <c r="F1368" i="53"/>
  <c r="E1368" i="53"/>
  <c r="D1368" i="53"/>
  <c r="B1368" i="53"/>
  <c r="F1367" i="53"/>
  <c r="E1367" i="53"/>
  <c r="D1367" i="53"/>
  <c r="B1367" i="53"/>
  <c r="F1366" i="53"/>
  <c r="E1366" i="53"/>
  <c r="D1366" i="53"/>
  <c r="B1366" i="53"/>
  <c r="F1365" i="53"/>
  <c r="E1365" i="53"/>
  <c r="D1365" i="53"/>
  <c r="B1365" i="53"/>
  <c r="F1364" i="53"/>
  <c r="E1364" i="53"/>
  <c r="D1364" i="53"/>
  <c r="B1364" i="53"/>
  <c r="F1363" i="53"/>
  <c r="E1363" i="53"/>
  <c r="D1363" i="53"/>
  <c r="B1363" i="53"/>
  <c r="F1362" i="53"/>
  <c r="E1362" i="53"/>
  <c r="D1362" i="53"/>
  <c r="B1362" i="53"/>
  <c r="F1361" i="53"/>
  <c r="E1361" i="53"/>
  <c r="D1361" i="53"/>
  <c r="B1361" i="53"/>
  <c r="F1360" i="53"/>
  <c r="E1360" i="53"/>
  <c r="D1360" i="53"/>
  <c r="B1360" i="53"/>
  <c r="F1359" i="53"/>
  <c r="E1359" i="53"/>
  <c r="D1359" i="53"/>
  <c r="B1359" i="53"/>
  <c r="F1358" i="53"/>
  <c r="E1358" i="53"/>
  <c r="D1358" i="53"/>
  <c r="B1358" i="53"/>
  <c r="F1357" i="53"/>
  <c r="E1357" i="53"/>
  <c r="D1357" i="53"/>
  <c r="B1357" i="53"/>
  <c r="F1352" i="53"/>
  <c r="G1352" i="53" s="1"/>
  <c r="B1352" i="53"/>
  <c r="F1351" i="53"/>
  <c r="G1351" i="53" s="1"/>
  <c r="B1351" i="53"/>
  <c r="F1350" i="53"/>
  <c r="G1350" i="53" s="1"/>
  <c r="B1350" i="53"/>
  <c r="F1349" i="53"/>
  <c r="G1349" i="53" s="1"/>
  <c r="B1349" i="53"/>
  <c r="F1348" i="53"/>
  <c r="G1348" i="53" s="1"/>
  <c r="B1348" i="53"/>
  <c r="F1347" i="53"/>
  <c r="G1347" i="53" s="1"/>
  <c r="B1347" i="53"/>
  <c r="F1342" i="53"/>
  <c r="E1342" i="53"/>
  <c r="D1342" i="53"/>
  <c r="B1342" i="53"/>
  <c r="F1341" i="53"/>
  <c r="E1341" i="53"/>
  <c r="D1341" i="53"/>
  <c r="B1341" i="53"/>
  <c r="F1340" i="53"/>
  <c r="E1340" i="53"/>
  <c r="D1340" i="53"/>
  <c r="B1340" i="53"/>
  <c r="F1339" i="53"/>
  <c r="E1339" i="53"/>
  <c r="D1339" i="53"/>
  <c r="B1339" i="53"/>
  <c r="F1338" i="53"/>
  <c r="E1338" i="53"/>
  <c r="D1338" i="53"/>
  <c r="B1338" i="53"/>
  <c r="F1337" i="53"/>
  <c r="E1337" i="53"/>
  <c r="D1337" i="53"/>
  <c r="B1337" i="53"/>
  <c r="F1332" i="53"/>
  <c r="G1332" i="53" s="1"/>
  <c r="D1332" i="53"/>
  <c r="B1332" i="53"/>
  <c r="F1331" i="53"/>
  <c r="G1331" i="53" s="1"/>
  <c r="D1331" i="53"/>
  <c r="B1331" i="53"/>
  <c r="F1330" i="53"/>
  <c r="G1330" i="53" s="1"/>
  <c r="D1330" i="53"/>
  <c r="B1330" i="53"/>
  <c r="F1329" i="53"/>
  <c r="G1329" i="53" s="1"/>
  <c r="D1329" i="53"/>
  <c r="B1329" i="53"/>
  <c r="F1328" i="53"/>
  <c r="G1328" i="53" s="1"/>
  <c r="D1328" i="53"/>
  <c r="B1328" i="53"/>
  <c r="A1256" i="53"/>
  <c r="D1256" i="53" s="1"/>
  <c r="A1255" i="53"/>
  <c r="B1252" i="53"/>
  <c r="F1307" i="53"/>
  <c r="G1307" i="53" s="1"/>
  <c r="D1307" i="53"/>
  <c r="B1307" i="53"/>
  <c r="F1306" i="53"/>
  <c r="G1306" i="53" s="1"/>
  <c r="D1306" i="53"/>
  <c r="B1306" i="53"/>
  <c r="F1305" i="53"/>
  <c r="G1305" i="53" s="1"/>
  <c r="D1305" i="53"/>
  <c r="B1305" i="53"/>
  <c r="F1304" i="53"/>
  <c r="G1304" i="53" s="1"/>
  <c r="D1304" i="53"/>
  <c r="B1304" i="53"/>
  <c r="F1303" i="53"/>
  <c r="G1303" i="53" s="1"/>
  <c r="D1303" i="53"/>
  <c r="B1303" i="53"/>
  <c r="F1298" i="53"/>
  <c r="E1298" i="53"/>
  <c r="D1298" i="53"/>
  <c r="B1298" i="53"/>
  <c r="F1297" i="53"/>
  <c r="E1297" i="53"/>
  <c r="D1297" i="53"/>
  <c r="B1297" i="53"/>
  <c r="F1296" i="53"/>
  <c r="E1296" i="53"/>
  <c r="D1296" i="53"/>
  <c r="B1296" i="53"/>
  <c r="F1295" i="53"/>
  <c r="E1295" i="53"/>
  <c r="D1295" i="53"/>
  <c r="B1295" i="53"/>
  <c r="F1294" i="53"/>
  <c r="E1294" i="53"/>
  <c r="D1294" i="53"/>
  <c r="B1294" i="53"/>
  <c r="F1293" i="53"/>
  <c r="E1293" i="53"/>
  <c r="D1293" i="53"/>
  <c r="B1293" i="53"/>
  <c r="F1292" i="53"/>
  <c r="E1292" i="53"/>
  <c r="D1292" i="53"/>
  <c r="B1292" i="53"/>
  <c r="F1291" i="53"/>
  <c r="E1291" i="53"/>
  <c r="D1291" i="53"/>
  <c r="B1291" i="53"/>
  <c r="F1290" i="53"/>
  <c r="E1290" i="53"/>
  <c r="D1290" i="53"/>
  <c r="B1290" i="53"/>
  <c r="F1289" i="53"/>
  <c r="E1289" i="53"/>
  <c r="D1289" i="53"/>
  <c r="B1289" i="53"/>
  <c r="F1288" i="53"/>
  <c r="E1288" i="53"/>
  <c r="D1288" i="53"/>
  <c r="B1288" i="53"/>
  <c r="F1287" i="53"/>
  <c r="E1287" i="53"/>
  <c r="D1287" i="53"/>
  <c r="B1287" i="53"/>
  <c r="F1286" i="53"/>
  <c r="E1286" i="53"/>
  <c r="D1286" i="53"/>
  <c r="B1286" i="53"/>
  <c r="F1281" i="53"/>
  <c r="G1281" i="53" s="1"/>
  <c r="B1281" i="53"/>
  <c r="F1280" i="53"/>
  <c r="G1280" i="53" s="1"/>
  <c r="B1280" i="53"/>
  <c r="F1279" i="53"/>
  <c r="G1279" i="53" s="1"/>
  <c r="B1279" i="53"/>
  <c r="F1278" i="53"/>
  <c r="G1278" i="53" s="1"/>
  <c r="B1278" i="53"/>
  <c r="F1277" i="53"/>
  <c r="G1277" i="53" s="1"/>
  <c r="B1277" i="53"/>
  <c r="F1276" i="53"/>
  <c r="G1276" i="53" s="1"/>
  <c r="B1276" i="53"/>
  <c r="F1271" i="53"/>
  <c r="E1271" i="53"/>
  <c r="D1271" i="53"/>
  <c r="B1271" i="53"/>
  <c r="F1270" i="53"/>
  <c r="E1270" i="53"/>
  <c r="D1270" i="53"/>
  <c r="B1270" i="53"/>
  <c r="F1269" i="53"/>
  <c r="E1269" i="53"/>
  <c r="D1269" i="53"/>
  <c r="B1269" i="53"/>
  <c r="F1268" i="53"/>
  <c r="E1268" i="53"/>
  <c r="D1268" i="53"/>
  <c r="B1268" i="53"/>
  <c r="F1267" i="53"/>
  <c r="E1267" i="53"/>
  <c r="D1267" i="53"/>
  <c r="B1267" i="53"/>
  <c r="F1266" i="53"/>
  <c r="E1266" i="53"/>
  <c r="D1266" i="53"/>
  <c r="B1266" i="53"/>
  <c r="F1261" i="53"/>
  <c r="G1261" i="53" s="1"/>
  <c r="D1261" i="53"/>
  <c r="B1261" i="53"/>
  <c r="F1260" i="53"/>
  <c r="G1260" i="53" s="1"/>
  <c r="D1260" i="53"/>
  <c r="B1260" i="53"/>
  <c r="F1259" i="53"/>
  <c r="G1259" i="53" s="1"/>
  <c r="D1259" i="53"/>
  <c r="B1259" i="53"/>
  <c r="F1258" i="53"/>
  <c r="G1258" i="53" s="1"/>
  <c r="D1258" i="53"/>
  <c r="B1258" i="53"/>
  <c r="F1257" i="53"/>
  <c r="G1257" i="53" s="1"/>
  <c r="D1257" i="53"/>
  <c r="B1257" i="53"/>
  <c r="A1187" i="53"/>
  <c r="E463" i="55"/>
  <c r="C463" i="55" s="1"/>
  <c r="A1186" i="53"/>
  <c r="C462" i="55"/>
  <c r="B1183" i="53"/>
  <c r="B1810" i="53"/>
  <c r="A1813" i="53"/>
  <c r="C461" i="55"/>
  <c r="C460" i="55"/>
  <c r="C459" i="55"/>
  <c r="F1860" i="53"/>
  <c r="G1860" i="53" s="1"/>
  <c r="D1860" i="53"/>
  <c r="B1860" i="53"/>
  <c r="F1859" i="53"/>
  <c r="G1859" i="53" s="1"/>
  <c r="D1859" i="53"/>
  <c r="B1859" i="53"/>
  <c r="F1858" i="53"/>
  <c r="G1858" i="53" s="1"/>
  <c r="D1858" i="53"/>
  <c r="B1858" i="53"/>
  <c r="F1857" i="53"/>
  <c r="G1857" i="53" s="1"/>
  <c r="D1857" i="53"/>
  <c r="B1857" i="53"/>
  <c r="F1856" i="53"/>
  <c r="G1856" i="53" s="1"/>
  <c r="D1856" i="53"/>
  <c r="B1856" i="53"/>
  <c r="F1851" i="53"/>
  <c r="E1851" i="53"/>
  <c r="D1851" i="53"/>
  <c r="B1851" i="53"/>
  <c r="F1850" i="53"/>
  <c r="E1850" i="53"/>
  <c r="D1850" i="53"/>
  <c r="B1850" i="53"/>
  <c r="F1849" i="53"/>
  <c r="E1849" i="53"/>
  <c r="D1849" i="53"/>
  <c r="B1849" i="53"/>
  <c r="F1848" i="53"/>
  <c r="E1848" i="53"/>
  <c r="D1848" i="53"/>
  <c r="B1848" i="53"/>
  <c r="F1847" i="53"/>
  <c r="E1847" i="53"/>
  <c r="D1847" i="53"/>
  <c r="B1847" i="53"/>
  <c r="F1846" i="53"/>
  <c r="E1846" i="53"/>
  <c r="D1846" i="53"/>
  <c r="B1846" i="53"/>
  <c r="F1845" i="53"/>
  <c r="E1845" i="53"/>
  <c r="D1845" i="53"/>
  <c r="B1845" i="53"/>
  <c r="F1844" i="53"/>
  <c r="E1844" i="53"/>
  <c r="D1844" i="53"/>
  <c r="B1844" i="53"/>
  <c r="F1843" i="53"/>
  <c r="E1843" i="53"/>
  <c r="D1843" i="53"/>
  <c r="B1843" i="53"/>
  <c r="F1842" i="53"/>
  <c r="E1842" i="53"/>
  <c r="D1842" i="53"/>
  <c r="B1842" i="53"/>
  <c r="F1841" i="53"/>
  <c r="E1841" i="53"/>
  <c r="D1841" i="53"/>
  <c r="B1841" i="53"/>
  <c r="F1840" i="53"/>
  <c r="E1840" i="53"/>
  <c r="D1840" i="53"/>
  <c r="B1840" i="53"/>
  <c r="F1839" i="53"/>
  <c r="E1839" i="53"/>
  <c r="D1839" i="53"/>
  <c r="B1839" i="53"/>
  <c r="F1834" i="53"/>
  <c r="G1834" i="53" s="1"/>
  <c r="B1834" i="53"/>
  <c r="F1833" i="53"/>
  <c r="G1833" i="53" s="1"/>
  <c r="B1833" i="53"/>
  <c r="F1832" i="53"/>
  <c r="G1832" i="53" s="1"/>
  <c r="B1832" i="53"/>
  <c r="F1831" i="53"/>
  <c r="G1831" i="53" s="1"/>
  <c r="B1831" i="53"/>
  <c r="F1830" i="53"/>
  <c r="G1830" i="53" s="1"/>
  <c r="B1830" i="53"/>
  <c r="F1829" i="53"/>
  <c r="G1829" i="53" s="1"/>
  <c r="B1829" i="53"/>
  <c r="F1824" i="53"/>
  <c r="E1824" i="53"/>
  <c r="D1824" i="53"/>
  <c r="B1824" i="53"/>
  <c r="F1823" i="53"/>
  <c r="E1823" i="53"/>
  <c r="D1823" i="53"/>
  <c r="B1823" i="53"/>
  <c r="F1822" i="53"/>
  <c r="E1822" i="53"/>
  <c r="D1822" i="53"/>
  <c r="B1822" i="53"/>
  <c r="F1821" i="53"/>
  <c r="E1821" i="53"/>
  <c r="D1821" i="53"/>
  <c r="B1821" i="53"/>
  <c r="F1820" i="53"/>
  <c r="E1820" i="53"/>
  <c r="D1820" i="53"/>
  <c r="B1820" i="53"/>
  <c r="F1819" i="53"/>
  <c r="E1819" i="53"/>
  <c r="D1819" i="53"/>
  <c r="B1819" i="53"/>
  <c r="B1745" i="53"/>
  <c r="A1744" i="53"/>
  <c r="B1744" i="53" s="1"/>
  <c r="B1741" i="53"/>
  <c r="F1794" i="53"/>
  <c r="G1794" i="53" s="1"/>
  <c r="D1794" i="53"/>
  <c r="B1794" i="53"/>
  <c r="F1793" i="53"/>
  <c r="G1793" i="53" s="1"/>
  <c r="D1793" i="53"/>
  <c r="B1793" i="53"/>
  <c r="F1792" i="53"/>
  <c r="G1792" i="53" s="1"/>
  <c r="D1792" i="53"/>
  <c r="B1792" i="53"/>
  <c r="F1791" i="53"/>
  <c r="G1791" i="53" s="1"/>
  <c r="D1791" i="53"/>
  <c r="B1791" i="53"/>
  <c r="F1790" i="53"/>
  <c r="G1790" i="53" s="1"/>
  <c r="D1790" i="53"/>
  <c r="B1790" i="53"/>
  <c r="F1785" i="53"/>
  <c r="E1785" i="53"/>
  <c r="D1785" i="53"/>
  <c r="B1785" i="53"/>
  <c r="F1784" i="53"/>
  <c r="E1784" i="53"/>
  <c r="D1784" i="53"/>
  <c r="B1784" i="53"/>
  <c r="F1783" i="53"/>
  <c r="E1783" i="53"/>
  <c r="D1783" i="53"/>
  <c r="B1783" i="53"/>
  <c r="F1782" i="53"/>
  <c r="E1782" i="53"/>
  <c r="D1782" i="53"/>
  <c r="B1782" i="53"/>
  <c r="F1781" i="53"/>
  <c r="E1781" i="53"/>
  <c r="D1781" i="53"/>
  <c r="B1781" i="53"/>
  <c r="F1780" i="53"/>
  <c r="E1780" i="53"/>
  <c r="D1780" i="53"/>
  <c r="B1780" i="53"/>
  <c r="F1779" i="53"/>
  <c r="E1779" i="53"/>
  <c r="D1779" i="53"/>
  <c r="B1779" i="53"/>
  <c r="F1778" i="53"/>
  <c r="E1778" i="53"/>
  <c r="D1778" i="53"/>
  <c r="B1778" i="53"/>
  <c r="F1777" i="53"/>
  <c r="E1777" i="53"/>
  <c r="D1777" i="53"/>
  <c r="B1777" i="53"/>
  <c r="F1776" i="53"/>
  <c r="E1776" i="53"/>
  <c r="D1776" i="53"/>
  <c r="B1776" i="53"/>
  <c r="F1775" i="53"/>
  <c r="E1775" i="53"/>
  <c r="D1775" i="53"/>
  <c r="B1775" i="53"/>
  <c r="F1774" i="53"/>
  <c r="E1774" i="53"/>
  <c r="D1774" i="53"/>
  <c r="B1774" i="53"/>
  <c r="F1773" i="53"/>
  <c r="E1773" i="53"/>
  <c r="D1773" i="53"/>
  <c r="B1773" i="53"/>
  <c r="F1768" i="53"/>
  <c r="G1768" i="53" s="1"/>
  <c r="B1768" i="53"/>
  <c r="F1767" i="53"/>
  <c r="G1767" i="53" s="1"/>
  <c r="B1767" i="53"/>
  <c r="F1766" i="53"/>
  <c r="G1766" i="53" s="1"/>
  <c r="B1766" i="53"/>
  <c r="F1765" i="53"/>
  <c r="G1765" i="53" s="1"/>
  <c r="B1765" i="53"/>
  <c r="F1764" i="53"/>
  <c r="G1764" i="53" s="1"/>
  <c r="B1764" i="53"/>
  <c r="F1763" i="53"/>
  <c r="G1763" i="53" s="1"/>
  <c r="B1763" i="53"/>
  <c r="F1758" i="53"/>
  <c r="E1758" i="53"/>
  <c r="D1758" i="53"/>
  <c r="B1758" i="53"/>
  <c r="F1757" i="53"/>
  <c r="E1757" i="53"/>
  <c r="D1757" i="53"/>
  <c r="B1757" i="53"/>
  <c r="F1756" i="53"/>
  <c r="E1756" i="53"/>
  <c r="D1756" i="53"/>
  <c r="B1756" i="53"/>
  <c r="F1755" i="53"/>
  <c r="E1755" i="53"/>
  <c r="D1755" i="53"/>
  <c r="B1755" i="53"/>
  <c r="F1754" i="53"/>
  <c r="E1754" i="53"/>
  <c r="D1754" i="53"/>
  <c r="B1754" i="53"/>
  <c r="F1753" i="53"/>
  <c r="E1753" i="53"/>
  <c r="D1753" i="53"/>
  <c r="B1753" i="53"/>
  <c r="D1609" i="53"/>
  <c r="B1608" i="53"/>
  <c r="A1606" i="53"/>
  <c r="B1606" i="53" s="1"/>
  <c r="B1603" i="53"/>
  <c r="F1656" i="53"/>
  <c r="G1656" i="53" s="1"/>
  <c r="D1656" i="53"/>
  <c r="B1656" i="53"/>
  <c r="F1655" i="53"/>
  <c r="G1655" i="53" s="1"/>
  <c r="D1655" i="53"/>
  <c r="B1655" i="53"/>
  <c r="F1654" i="53"/>
  <c r="G1654" i="53" s="1"/>
  <c r="D1654" i="53"/>
  <c r="B1654" i="53"/>
  <c r="F1653" i="53"/>
  <c r="G1653" i="53" s="1"/>
  <c r="D1653" i="53"/>
  <c r="B1653" i="53"/>
  <c r="F1652" i="53"/>
  <c r="G1652" i="53" s="1"/>
  <c r="D1652" i="53"/>
  <c r="B1652" i="53"/>
  <c r="F1647" i="53"/>
  <c r="E1647" i="53"/>
  <c r="D1647" i="53"/>
  <c r="B1647" i="53"/>
  <c r="F1646" i="53"/>
  <c r="E1646" i="53"/>
  <c r="D1646" i="53"/>
  <c r="B1646" i="53"/>
  <c r="F1645" i="53"/>
  <c r="E1645" i="53"/>
  <c r="D1645" i="53"/>
  <c r="B1645" i="53"/>
  <c r="F1644" i="53"/>
  <c r="E1644" i="53"/>
  <c r="D1644" i="53"/>
  <c r="B1644" i="53"/>
  <c r="F1643" i="53"/>
  <c r="E1643" i="53"/>
  <c r="D1643" i="53"/>
  <c r="B1643" i="53"/>
  <c r="F1642" i="53"/>
  <c r="E1642" i="53"/>
  <c r="D1642" i="53"/>
  <c r="B1642" i="53"/>
  <c r="F1641" i="53"/>
  <c r="E1641" i="53"/>
  <c r="D1641" i="53"/>
  <c r="B1641" i="53"/>
  <c r="F1640" i="53"/>
  <c r="E1640" i="53"/>
  <c r="D1640" i="53"/>
  <c r="B1640" i="53"/>
  <c r="F1639" i="53"/>
  <c r="E1639" i="53"/>
  <c r="D1639" i="53"/>
  <c r="B1639" i="53"/>
  <c r="F1638" i="53"/>
  <c r="E1638" i="53"/>
  <c r="D1638" i="53"/>
  <c r="B1638" i="53"/>
  <c r="F1637" i="53"/>
  <c r="E1637" i="53"/>
  <c r="D1637" i="53"/>
  <c r="B1637" i="53"/>
  <c r="F1636" i="53"/>
  <c r="E1636" i="53"/>
  <c r="D1636" i="53"/>
  <c r="B1636" i="53"/>
  <c r="F1635" i="53"/>
  <c r="E1635" i="53"/>
  <c r="D1635" i="53"/>
  <c r="B1635" i="53"/>
  <c r="F1630" i="53"/>
  <c r="G1630" i="53" s="1"/>
  <c r="B1630" i="53"/>
  <c r="F1629" i="53"/>
  <c r="G1629" i="53" s="1"/>
  <c r="B1629" i="53"/>
  <c r="F1628" i="53"/>
  <c r="G1628" i="53" s="1"/>
  <c r="B1628" i="53"/>
  <c r="F1627" i="53"/>
  <c r="G1627" i="53" s="1"/>
  <c r="B1627" i="53"/>
  <c r="F1626" i="53"/>
  <c r="G1626" i="53" s="1"/>
  <c r="B1626" i="53"/>
  <c r="F1625" i="53"/>
  <c r="G1625" i="53" s="1"/>
  <c r="B1625" i="53"/>
  <c r="F1620" i="53"/>
  <c r="E1620" i="53"/>
  <c r="D1620" i="53"/>
  <c r="B1620" i="53"/>
  <c r="F1619" i="53"/>
  <c r="E1619" i="53"/>
  <c r="D1619" i="53"/>
  <c r="B1619" i="53"/>
  <c r="F1618" i="53"/>
  <c r="E1618" i="53"/>
  <c r="D1618" i="53"/>
  <c r="B1618" i="53"/>
  <c r="F1617" i="53"/>
  <c r="E1617" i="53"/>
  <c r="D1617" i="53"/>
  <c r="B1617" i="53"/>
  <c r="F1616" i="53"/>
  <c r="E1616" i="53"/>
  <c r="D1616" i="53"/>
  <c r="B1616" i="53"/>
  <c r="F1615" i="53"/>
  <c r="E1615" i="53"/>
  <c r="D1615" i="53"/>
  <c r="B1615" i="53"/>
  <c r="B1121" i="53"/>
  <c r="A1120" i="53"/>
  <c r="D1120" i="53" s="1"/>
  <c r="B1119" i="53"/>
  <c r="A1118" i="53"/>
  <c r="B1115" i="53"/>
  <c r="F1167" i="53"/>
  <c r="G1167" i="53" s="1"/>
  <c r="D1167" i="53"/>
  <c r="B1167" i="53"/>
  <c r="F1166" i="53"/>
  <c r="G1166" i="53" s="1"/>
  <c r="D1166" i="53"/>
  <c r="B1166" i="53"/>
  <c r="F1165" i="53"/>
  <c r="G1165" i="53" s="1"/>
  <c r="D1165" i="53"/>
  <c r="B1165" i="53"/>
  <c r="F1164" i="53"/>
  <c r="G1164" i="53" s="1"/>
  <c r="D1164" i="53"/>
  <c r="B1164" i="53"/>
  <c r="F1163" i="53"/>
  <c r="G1163" i="53" s="1"/>
  <c r="D1163" i="53"/>
  <c r="B1163" i="53"/>
  <c r="F1158" i="53"/>
  <c r="E1158" i="53"/>
  <c r="D1158" i="53"/>
  <c r="B1158" i="53"/>
  <c r="F1157" i="53"/>
  <c r="E1157" i="53"/>
  <c r="D1157" i="53"/>
  <c r="B1157" i="53"/>
  <c r="F1156" i="53"/>
  <c r="E1156" i="53"/>
  <c r="D1156" i="53"/>
  <c r="B1156" i="53"/>
  <c r="F1155" i="53"/>
  <c r="E1155" i="53"/>
  <c r="D1155" i="53"/>
  <c r="B1155" i="53"/>
  <c r="F1154" i="53"/>
  <c r="E1154" i="53"/>
  <c r="D1154" i="53"/>
  <c r="B1154" i="53"/>
  <c r="F1153" i="53"/>
  <c r="E1153" i="53"/>
  <c r="D1153" i="53"/>
  <c r="B1153" i="53"/>
  <c r="F1152" i="53"/>
  <c r="E1152" i="53"/>
  <c r="D1152" i="53"/>
  <c r="B1152" i="53"/>
  <c r="F1151" i="53"/>
  <c r="E1151" i="53"/>
  <c r="D1151" i="53"/>
  <c r="B1151" i="53"/>
  <c r="F1150" i="53"/>
  <c r="E1150" i="53"/>
  <c r="D1150" i="53"/>
  <c r="B1150" i="53"/>
  <c r="F1149" i="53"/>
  <c r="E1149" i="53"/>
  <c r="D1149" i="53"/>
  <c r="B1149" i="53"/>
  <c r="F1148" i="53"/>
  <c r="E1148" i="53"/>
  <c r="D1148" i="53"/>
  <c r="B1148" i="53"/>
  <c r="F1147" i="53"/>
  <c r="E1147" i="53"/>
  <c r="D1147" i="53"/>
  <c r="B1147" i="53"/>
  <c r="F1146" i="53"/>
  <c r="E1146" i="53"/>
  <c r="D1146" i="53"/>
  <c r="B1146" i="53"/>
  <c r="F1141" i="53"/>
  <c r="G1141" i="53" s="1"/>
  <c r="B1141" i="53"/>
  <c r="F1140" i="53"/>
  <c r="G1140" i="53" s="1"/>
  <c r="B1140" i="53"/>
  <c r="F1139" i="53"/>
  <c r="G1139" i="53" s="1"/>
  <c r="B1139" i="53"/>
  <c r="F1138" i="53"/>
  <c r="G1138" i="53" s="1"/>
  <c r="B1138" i="53"/>
  <c r="F1137" i="53"/>
  <c r="G1137" i="53" s="1"/>
  <c r="B1137" i="53"/>
  <c r="F1136" i="53"/>
  <c r="G1136" i="53" s="1"/>
  <c r="B1136" i="53"/>
  <c r="F1131" i="53"/>
  <c r="E1131" i="53"/>
  <c r="D1131" i="53"/>
  <c r="B1131" i="53"/>
  <c r="F1130" i="53"/>
  <c r="E1130" i="53"/>
  <c r="D1130" i="53"/>
  <c r="B1130" i="53"/>
  <c r="F1129" i="53"/>
  <c r="E1129" i="53"/>
  <c r="D1129" i="53"/>
  <c r="B1129" i="53"/>
  <c r="F1128" i="53"/>
  <c r="E1128" i="53"/>
  <c r="D1128" i="53"/>
  <c r="B1128" i="53"/>
  <c r="F1127" i="53"/>
  <c r="E1127" i="53"/>
  <c r="D1127" i="53"/>
  <c r="B1127" i="53"/>
  <c r="F1126" i="53"/>
  <c r="E1126" i="53"/>
  <c r="D1126" i="53"/>
  <c r="B1126" i="53"/>
  <c r="E285" i="55"/>
  <c r="C458" i="55"/>
  <c r="C457" i="55"/>
  <c r="F8070" i="53" l="1"/>
  <c r="G8070" i="53" s="1"/>
  <c r="F8140" i="53"/>
  <c r="G8140" i="53" s="1"/>
  <c r="F3464" i="53"/>
  <c r="G3464" i="53" s="1"/>
  <c r="F3465" i="53"/>
  <c r="G3465" i="53" s="1"/>
  <c r="F3537" i="53"/>
  <c r="G3537" i="53" s="1"/>
  <c r="F5953" i="53"/>
  <c r="G5953" i="53" s="1"/>
  <c r="F6021" i="53"/>
  <c r="G6021" i="53" s="1"/>
  <c r="F2488" i="53"/>
  <c r="G2488" i="53" s="1"/>
  <c r="F2698" i="53"/>
  <c r="G2698" i="53" s="1"/>
  <c r="F2632" i="53"/>
  <c r="G2632" i="53" s="1"/>
  <c r="F2560" i="53"/>
  <c r="G2560" i="53" s="1"/>
  <c r="F2699" i="53"/>
  <c r="G2699" i="53" s="1"/>
  <c r="F2633" i="53"/>
  <c r="G2633" i="53" s="1"/>
  <c r="F2561" i="53"/>
  <c r="G2561" i="53" s="1"/>
  <c r="F2493" i="53"/>
  <c r="G2493" i="53" s="1"/>
  <c r="F2565" i="53"/>
  <c r="G2565" i="53" s="1"/>
  <c r="F3681" i="53"/>
  <c r="G3681" i="53" s="1"/>
  <c r="F2489" i="53"/>
  <c r="G2489" i="53" s="1"/>
  <c r="B3330" i="53"/>
  <c r="F2898" i="53"/>
  <c r="G2898" i="53" s="1"/>
  <c r="F3680" i="53"/>
  <c r="G3680" i="53" s="1"/>
  <c r="G3294" i="53"/>
  <c r="G3298" i="53"/>
  <c r="G3143" i="53"/>
  <c r="G3147" i="53"/>
  <c r="G3149" i="53"/>
  <c r="G3151" i="53"/>
  <c r="G3361" i="53"/>
  <c r="G3365" i="53"/>
  <c r="F3110" i="53"/>
  <c r="G3110" i="53" s="1"/>
  <c r="G3368" i="53"/>
  <c r="F3183" i="53"/>
  <c r="G3183" i="53" s="1"/>
  <c r="G3293" i="53"/>
  <c r="B3182" i="53"/>
  <c r="F3254" i="53"/>
  <c r="G3254" i="53" s="1"/>
  <c r="F3328" i="53"/>
  <c r="G3328" i="53" s="1"/>
  <c r="F3326" i="53"/>
  <c r="G3326" i="53" s="1"/>
  <c r="B3327" i="53"/>
  <c r="B3254" i="53"/>
  <c r="G3342" i="53"/>
  <c r="D3328" i="53"/>
  <c r="D3185" i="53"/>
  <c r="B3326" i="53"/>
  <c r="F1255" i="53"/>
  <c r="G1255" i="53" s="1"/>
  <c r="F3184" i="53"/>
  <c r="G3184" i="53" s="1"/>
  <c r="F3255" i="53"/>
  <c r="G3255" i="53" s="1"/>
  <c r="D3326" i="53"/>
  <c r="G3338" i="53"/>
  <c r="G3362" i="53"/>
  <c r="G3364" i="53"/>
  <c r="G3366" i="53"/>
  <c r="G3295" i="53"/>
  <c r="G3297" i="53"/>
  <c r="F3327" i="53"/>
  <c r="G3327" i="53" s="1"/>
  <c r="G3339" i="53"/>
  <c r="D3255" i="53"/>
  <c r="F3256" i="53"/>
  <c r="G3256" i="53" s="1"/>
  <c r="G3267" i="53"/>
  <c r="G3125" i="53"/>
  <c r="F3182" i="53"/>
  <c r="G3182" i="53" s="1"/>
  <c r="G3343" i="53"/>
  <c r="G3369" i="53"/>
  <c r="G3214" i="53"/>
  <c r="G3216" i="53"/>
  <c r="G3224" i="53"/>
  <c r="G3360" i="53"/>
  <c r="G3287" i="53"/>
  <c r="G3289" i="53"/>
  <c r="G3291" i="53"/>
  <c r="G3340" i="53"/>
  <c r="G3363" i="53"/>
  <c r="G3370" i="53"/>
  <c r="G3358" i="53"/>
  <c r="G3367" i="53"/>
  <c r="G3144" i="53"/>
  <c r="G3146" i="53"/>
  <c r="G3152" i="53"/>
  <c r="G3154" i="53"/>
  <c r="G3341" i="53"/>
  <c r="G3266" i="53"/>
  <c r="G3290" i="53"/>
  <c r="G3292" i="53"/>
  <c r="G3359" i="53"/>
  <c r="G3354" i="53"/>
  <c r="G3380" i="53"/>
  <c r="G3286" i="53"/>
  <c r="G3288" i="53"/>
  <c r="B3329" i="53"/>
  <c r="G3194" i="53"/>
  <c r="G3215" i="53"/>
  <c r="B3258" i="53"/>
  <c r="G3268" i="53"/>
  <c r="G3270" i="53"/>
  <c r="D3329" i="53"/>
  <c r="D3258" i="53"/>
  <c r="G3296" i="53"/>
  <c r="B3328" i="53"/>
  <c r="G3269" i="53"/>
  <c r="G3271" i="53"/>
  <c r="D3254" i="53"/>
  <c r="G3308" i="53"/>
  <c r="G3282" i="53"/>
  <c r="G3217" i="53"/>
  <c r="G3219" i="53"/>
  <c r="G3223" i="53"/>
  <c r="B3255" i="53"/>
  <c r="F1536" i="53"/>
  <c r="G1536" i="53" s="1"/>
  <c r="B3257" i="53"/>
  <c r="G3197" i="53"/>
  <c r="G3199" i="53"/>
  <c r="D3257" i="53"/>
  <c r="G3226" i="53"/>
  <c r="B3256" i="53"/>
  <c r="G3198" i="53"/>
  <c r="G1548" i="53"/>
  <c r="G1550" i="53"/>
  <c r="G3196" i="53"/>
  <c r="G3225" i="53"/>
  <c r="G3218" i="53"/>
  <c r="G3220" i="53"/>
  <c r="G3222" i="53"/>
  <c r="D3184" i="53"/>
  <c r="G3195" i="53"/>
  <c r="G4627" i="53"/>
  <c r="B3185" i="53"/>
  <c r="G3221" i="53"/>
  <c r="G3122" i="53"/>
  <c r="G3124" i="53"/>
  <c r="G3126" i="53"/>
  <c r="G3236" i="53"/>
  <c r="G3210" i="53"/>
  <c r="G1567" i="53"/>
  <c r="G1569" i="53"/>
  <c r="G1573" i="53"/>
  <c r="G4601" i="53"/>
  <c r="G3148" i="53"/>
  <c r="B3184" i="53"/>
  <c r="G4626" i="53"/>
  <c r="B3110" i="53"/>
  <c r="B3183" i="53"/>
  <c r="D3110" i="53"/>
  <c r="D3183" i="53"/>
  <c r="B3186" i="53"/>
  <c r="G3142" i="53"/>
  <c r="G3153" i="53"/>
  <c r="G3150" i="53"/>
  <c r="G3123" i="53"/>
  <c r="G3127" i="53"/>
  <c r="G3145" i="53"/>
  <c r="D4587" i="53"/>
  <c r="B3112" i="53"/>
  <c r="G3164" i="53"/>
  <c r="G3138" i="53"/>
  <c r="G3053" i="53"/>
  <c r="G3055" i="53"/>
  <c r="G3082" i="53"/>
  <c r="G4622" i="53"/>
  <c r="G4630" i="53"/>
  <c r="B3113" i="53"/>
  <c r="B4587" i="53"/>
  <c r="G4600" i="53"/>
  <c r="G1570" i="53"/>
  <c r="B3040" i="53"/>
  <c r="G3073" i="53"/>
  <c r="G3075" i="53"/>
  <c r="G3081" i="53"/>
  <c r="B3111" i="53"/>
  <c r="D3111" i="53"/>
  <c r="G4605" i="53"/>
  <c r="B3114" i="53"/>
  <c r="G4642" i="53"/>
  <c r="G4602" i="53"/>
  <c r="G4604" i="53"/>
  <c r="G4629" i="53"/>
  <c r="G4631" i="53"/>
  <c r="G1426" i="53"/>
  <c r="G1428" i="53"/>
  <c r="G4620" i="53"/>
  <c r="G4624" i="53"/>
  <c r="G4603" i="53"/>
  <c r="G4628" i="53"/>
  <c r="G4632" i="53"/>
  <c r="G1406" i="53"/>
  <c r="G1547" i="53"/>
  <c r="G4621" i="53"/>
  <c r="G4623" i="53"/>
  <c r="G4625" i="53"/>
  <c r="G4616" i="53"/>
  <c r="G1407" i="53"/>
  <c r="G1411" i="53"/>
  <c r="G3051" i="53"/>
  <c r="B4589" i="53"/>
  <c r="D4589" i="53"/>
  <c r="G1551" i="53"/>
  <c r="G1568" i="53"/>
  <c r="G1576" i="53"/>
  <c r="B4588" i="53"/>
  <c r="D4588" i="53"/>
  <c r="G3050" i="53"/>
  <c r="G3052" i="53"/>
  <c r="G3054" i="53"/>
  <c r="G3074" i="53"/>
  <c r="G3076" i="53"/>
  <c r="F3041" i="53"/>
  <c r="G3041" i="53" s="1"/>
  <c r="G3066" i="53"/>
  <c r="G3092" i="53"/>
  <c r="G3080" i="53"/>
  <c r="G3077" i="53"/>
  <c r="G3070" i="53"/>
  <c r="G3072" i="53"/>
  <c r="G3078" i="53"/>
  <c r="G3079" i="53"/>
  <c r="G3071" i="53"/>
  <c r="B3039" i="53"/>
  <c r="B3041" i="53"/>
  <c r="F1327" i="53"/>
  <c r="G1327" i="53" s="1"/>
  <c r="F1326" i="53"/>
  <c r="G1326" i="53" s="1"/>
  <c r="D3042" i="53"/>
  <c r="G1574" i="53"/>
  <c r="G1578" i="53"/>
  <c r="B3038" i="53"/>
  <c r="F3044" i="53"/>
  <c r="G3044" i="53" s="1"/>
  <c r="G1549" i="53"/>
  <c r="G1430" i="53"/>
  <c r="G1432" i="53"/>
  <c r="G1436" i="53"/>
  <c r="G1571" i="53"/>
  <c r="B3045" i="53"/>
  <c r="G1546" i="53"/>
  <c r="G1575" i="53"/>
  <c r="G1577" i="53"/>
  <c r="B3042" i="53"/>
  <c r="G1566" i="53"/>
  <c r="G1572" i="53"/>
  <c r="B3044" i="53"/>
  <c r="G1410" i="53"/>
  <c r="G1427" i="53"/>
  <c r="G1429" i="53"/>
  <c r="G1431" i="53"/>
  <c r="G1433" i="53"/>
  <c r="G1435" i="53"/>
  <c r="G1588" i="53"/>
  <c r="G1562" i="53"/>
  <c r="G1437" i="53"/>
  <c r="G1338" i="53"/>
  <c r="G1342" i="53"/>
  <c r="G1408" i="53"/>
  <c r="G1434" i="53"/>
  <c r="G1438" i="53"/>
  <c r="B1536" i="53"/>
  <c r="G1337" i="53"/>
  <c r="G1409" i="53"/>
  <c r="B1398" i="53"/>
  <c r="G1448" i="53"/>
  <c r="G1422" i="53"/>
  <c r="B1397" i="53"/>
  <c r="F1398" i="53"/>
  <c r="G1398" i="53" s="1"/>
  <c r="G1358" i="53"/>
  <c r="G1360" i="53"/>
  <c r="G1364" i="53"/>
  <c r="B1326" i="53"/>
  <c r="G1290" i="53"/>
  <c r="G1292" i="53"/>
  <c r="G1296" i="53"/>
  <c r="G1365" i="53"/>
  <c r="G1367" i="53"/>
  <c r="F1256" i="53"/>
  <c r="G1256" i="53" s="1"/>
  <c r="G1361" i="53"/>
  <c r="G1363" i="53"/>
  <c r="G1369" i="53"/>
  <c r="G1270" i="53"/>
  <c r="G1339" i="53"/>
  <c r="G1289" i="53"/>
  <c r="G1291" i="53"/>
  <c r="G1362" i="53"/>
  <c r="G1271" i="53"/>
  <c r="G1366" i="53"/>
  <c r="G1368" i="53"/>
  <c r="G1297" i="53"/>
  <c r="G1341" i="53"/>
  <c r="G1267" i="53"/>
  <c r="G1286" i="53"/>
  <c r="G1288" i="53"/>
  <c r="G1357" i="53"/>
  <c r="G1359" i="53"/>
  <c r="G1298" i="53"/>
  <c r="G1340" i="53"/>
  <c r="G1266" i="53"/>
  <c r="D1327" i="53"/>
  <c r="G1353" i="53"/>
  <c r="G1379" i="53"/>
  <c r="G1293" i="53"/>
  <c r="G1295" i="53"/>
  <c r="G1268" i="53"/>
  <c r="G1294" i="53"/>
  <c r="G1269" i="53"/>
  <c r="G1287" i="53"/>
  <c r="B1327" i="53"/>
  <c r="G1308" i="53"/>
  <c r="B1256" i="53"/>
  <c r="G1282" i="53"/>
  <c r="B1255" i="53"/>
  <c r="B1813" i="53"/>
  <c r="D1813" i="53"/>
  <c r="D1744" i="53"/>
  <c r="D1608" i="53"/>
  <c r="G1639" i="53"/>
  <c r="D1745" i="53"/>
  <c r="F1745" i="53"/>
  <c r="G1745" i="53" s="1"/>
  <c r="G1840" i="53"/>
  <c r="G1775" i="53"/>
  <c r="G1781" i="53"/>
  <c r="D1118" i="53"/>
  <c r="G1820" i="53"/>
  <c r="G1839" i="53"/>
  <c r="G1841" i="53"/>
  <c r="G1845" i="53"/>
  <c r="G1847" i="53"/>
  <c r="G1849" i="53"/>
  <c r="D1606" i="53"/>
  <c r="G1819" i="53"/>
  <c r="G1823" i="53"/>
  <c r="G1821" i="53"/>
  <c r="G1851" i="53"/>
  <c r="G1783" i="53"/>
  <c r="G1753" i="53"/>
  <c r="G1755" i="53"/>
  <c r="G1757" i="53"/>
  <c r="D1814" i="53"/>
  <c r="G1824" i="53"/>
  <c r="G1848" i="53"/>
  <c r="G1616" i="53"/>
  <c r="G1620" i="53"/>
  <c r="G1779" i="53"/>
  <c r="G1842" i="53"/>
  <c r="G1844" i="53"/>
  <c r="G1846" i="53"/>
  <c r="G1835" i="53"/>
  <c r="G1850" i="53"/>
  <c r="G1843" i="53"/>
  <c r="G1774" i="53"/>
  <c r="G1780" i="53"/>
  <c r="G1782" i="53"/>
  <c r="G1822" i="53"/>
  <c r="G1861" i="53"/>
  <c r="G1777" i="53"/>
  <c r="G1638" i="53"/>
  <c r="D1747" i="53"/>
  <c r="B1747" i="53"/>
  <c r="G1785" i="53"/>
  <c r="B1814" i="53"/>
  <c r="G1754" i="53"/>
  <c r="G1756" i="53"/>
  <c r="G1758" i="53"/>
  <c r="G1776" i="53"/>
  <c r="G1778" i="53"/>
  <c r="G1773" i="53"/>
  <c r="G1784" i="53"/>
  <c r="G1795" i="53"/>
  <c r="G1769" i="53"/>
  <c r="G1130" i="53"/>
  <c r="B1746" i="53"/>
  <c r="D1746" i="53"/>
  <c r="G1641" i="53"/>
  <c r="G1643" i="53"/>
  <c r="G1645" i="53"/>
  <c r="G1647" i="53"/>
  <c r="G1153" i="53"/>
  <c r="G1155" i="53"/>
  <c r="G1129" i="53"/>
  <c r="G1617" i="53"/>
  <c r="G1148" i="53"/>
  <c r="G1152" i="53"/>
  <c r="G1154" i="53"/>
  <c r="G1156" i="53"/>
  <c r="G1640" i="53"/>
  <c r="G1642" i="53"/>
  <c r="G1644" i="53"/>
  <c r="G1646" i="53"/>
  <c r="G1157" i="53"/>
  <c r="G1615" i="53"/>
  <c r="G1619" i="53"/>
  <c r="G1635" i="53"/>
  <c r="G1637" i="53"/>
  <c r="D1119" i="53"/>
  <c r="G1131" i="53"/>
  <c r="G1146" i="53"/>
  <c r="G1126" i="53"/>
  <c r="G1128" i="53"/>
  <c r="G1158" i="53"/>
  <c r="G1636" i="53"/>
  <c r="G1618" i="53"/>
  <c r="G1657" i="53"/>
  <c r="G1631" i="53"/>
  <c r="G1150" i="53"/>
  <c r="B1609" i="53"/>
  <c r="G1147" i="53"/>
  <c r="G1127" i="53"/>
  <c r="G1149" i="53"/>
  <c r="G1151" i="53"/>
  <c r="G1168" i="53"/>
  <c r="D1121" i="53"/>
  <c r="G1142" i="53"/>
  <c r="B1118" i="53"/>
  <c r="B1120" i="53"/>
  <c r="B1053" i="53"/>
  <c r="D1053" i="53"/>
  <c r="G3344" i="53" l="1"/>
  <c r="G3299" i="53"/>
  <c r="G3371" i="53"/>
  <c r="G3272" i="53"/>
  <c r="G3227" i="53"/>
  <c r="G3200" i="53"/>
  <c r="G3128" i="53"/>
  <c r="G3155" i="53"/>
  <c r="G1552" i="53"/>
  <c r="G4633" i="53"/>
  <c r="G4606" i="53"/>
  <c r="G3056" i="53"/>
  <c r="G1412" i="53"/>
  <c r="G1579" i="53"/>
  <c r="G3083" i="53"/>
  <c r="G1333" i="53"/>
  <c r="G1439" i="53"/>
  <c r="G1262" i="53"/>
  <c r="G1272" i="53"/>
  <c r="G1343" i="53"/>
  <c r="G1299" i="53"/>
  <c r="G1370" i="53"/>
  <c r="G1825" i="53"/>
  <c r="G1852" i="53"/>
  <c r="G1648" i="53"/>
  <c r="G1786" i="53"/>
  <c r="G1759" i="53"/>
  <c r="G1132" i="53"/>
  <c r="G1621" i="53"/>
  <c r="G1159" i="53"/>
  <c r="A1052" i="53"/>
  <c r="D1052" i="53" s="1"/>
  <c r="A1050" i="53"/>
  <c r="B1047" i="53"/>
  <c r="F1099" i="53"/>
  <c r="G1099" i="53" s="1"/>
  <c r="D1099" i="53"/>
  <c r="B1099" i="53"/>
  <c r="F1098" i="53"/>
  <c r="G1098" i="53" s="1"/>
  <c r="D1098" i="53"/>
  <c r="B1098" i="53"/>
  <c r="F1097" i="53"/>
  <c r="G1097" i="53" s="1"/>
  <c r="D1097" i="53"/>
  <c r="B1097" i="53"/>
  <c r="F1096" i="53"/>
  <c r="G1096" i="53" s="1"/>
  <c r="D1096" i="53"/>
  <c r="B1096" i="53"/>
  <c r="F1095" i="53"/>
  <c r="G1095" i="53" s="1"/>
  <c r="D1095" i="53"/>
  <c r="B1095" i="53"/>
  <c r="F1090" i="53"/>
  <c r="E1090" i="53"/>
  <c r="D1090" i="53"/>
  <c r="B1090" i="53"/>
  <c r="F1089" i="53"/>
  <c r="E1089" i="53"/>
  <c r="D1089" i="53"/>
  <c r="B1089" i="53"/>
  <c r="F1088" i="53"/>
  <c r="E1088" i="53"/>
  <c r="D1088" i="53"/>
  <c r="B1088" i="53"/>
  <c r="F1087" i="53"/>
  <c r="E1087" i="53"/>
  <c r="D1087" i="53"/>
  <c r="B1087" i="53"/>
  <c r="F1086" i="53"/>
  <c r="E1086" i="53"/>
  <c r="D1086" i="53"/>
  <c r="B1086" i="53"/>
  <c r="F1085" i="53"/>
  <c r="E1085" i="53"/>
  <c r="D1085" i="53"/>
  <c r="B1085" i="53"/>
  <c r="F1084" i="53"/>
  <c r="E1084" i="53"/>
  <c r="D1084" i="53"/>
  <c r="B1084" i="53"/>
  <c r="F1083" i="53"/>
  <c r="E1083" i="53"/>
  <c r="D1083" i="53"/>
  <c r="B1083" i="53"/>
  <c r="F1082" i="53"/>
  <c r="E1082" i="53"/>
  <c r="D1082" i="53"/>
  <c r="B1082" i="53"/>
  <c r="F1081" i="53"/>
  <c r="E1081" i="53"/>
  <c r="D1081" i="53"/>
  <c r="B1081" i="53"/>
  <c r="F1080" i="53"/>
  <c r="E1080" i="53"/>
  <c r="D1080" i="53"/>
  <c r="B1080" i="53"/>
  <c r="F1079" i="53"/>
  <c r="E1079" i="53"/>
  <c r="D1079" i="53"/>
  <c r="B1079" i="53"/>
  <c r="F1078" i="53"/>
  <c r="E1078" i="53"/>
  <c r="D1078" i="53"/>
  <c r="B1078" i="53"/>
  <c r="F1073" i="53"/>
  <c r="G1073" i="53" s="1"/>
  <c r="B1073" i="53"/>
  <c r="F1072" i="53"/>
  <c r="G1072" i="53" s="1"/>
  <c r="B1072" i="53"/>
  <c r="F1071" i="53"/>
  <c r="G1071" i="53" s="1"/>
  <c r="B1071" i="53"/>
  <c r="F1070" i="53"/>
  <c r="G1070" i="53" s="1"/>
  <c r="B1070" i="53"/>
  <c r="F1069" i="53"/>
  <c r="G1069" i="53" s="1"/>
  <c r="B1069" i="53"/>
  <c r="F1068" i="53"/>
  <c r="G1068" i="53" s="1"/>
  <c r="B1068" i="53"/>
  <c r="F1063" i="53"/>
  <c r="E1063" i="53"/>
  <c r="D1063" i="53"/>
  <c r="B1063" i="53"/>
  <c r="F1062" i="53"/>
  <c r="E1062" i="53"/>
  <c r="D1062" i="53"/>
  <c r="B1062" i="53"/>
  <c r="F1061" i="53"/>
  <c r="E1061" i="53"/>
  <c r="D1061" i="53"/>
  <c r="B1061" i="53"/>
  <c r="F1060" i="53"/>
  <c r="E1060" i="53"/>
  <c r="D1060" i="53"/>
  <c r="B1060" i="53"/>
  <c r="F1059" i="53"/>
  <c r="E1059" i="53"/>
  <c r="D1059" i="53"/>
  <c r="B1059" i="53"/>
  <c r="F1058" i="53"/>
  <c r="E1058" i="53"/>
  <c r="D1058" i="53"/>
  <c r="B1058" i="53"/>
  <c r="A1047" i="53"/>
  <c r="A1115" i="53"/>
  <c r="B24" i="1"/>
  <c r="A1183" i="53"/>
  <c r="A1252" i="53"/>
  <c r="A1323" i="53"/>
  <c r="A1394" i="53"/>
  <c r="A1532" i="53"/>
  <c r="A1603" i="53"/>
  <c r="A1741" i="53"/>
  <c r="A1810" i="53"/>
  <c r="A24000" i="53"/>
  <c r="B24000" i="53" s="1"/>
  <c r="C456" i="55"/>
  <c r="F24048" i="53"/>
  <c r="G24048" i="53" s="1"/>
  <c r="D24048" i="53"/>
  <c r="B24048" i="53"/>
  <c r="F24047" i="53"/>
  <c r="G24047" i="53" s="1"/>
  <c r="D24047" i="53"/>
  <c r="B24047" i="53"/>
  <c r="F24046" i="53"/>
  <c r="G24046" i="53" s="1"/>
  <c r="D24046" i="53"/>
  <c r="B24046" i="53"/>
  <c r="F24045" i="53"/>
  <c r="G24045" i="53" s="1"/>
  <c r="D24045" i="53"/>
  <c r="B24045" i="53"/>
  <c r="F24044" i="53"/>
  <c r="G24044" i="53" s="1"/>
  <c r="D24044" i="53"/>
  <c r="B24044" i="53"/>
  <c r="F24039" i="53"/>
  <c r="E24039" i="53"/>
  <c r="D24039" i="53"/>
  <c r="B24039" i="53"/>
  <c r="F24038" i="53"/>
  <c r="E24038" i="53"/>
  <c r="D24038" i="53"/>
  <c r="B24038" i="53"/>
  <c r="F24037" i="53"/>
  <c r="E24037" i="53"/>
  <c r="D24037" i="53"/>
  <c r="B24037" i="53"/>
  <c r="F24036" i="53"/>
  <c r="E24036" i="53"/>
  <c r="D24036" i="53"/>
  <c r="B24036" i="53"/>
  <c r="F24035" i="53"/>
  <c r="E24035" i="53"/>
  <c r="D24035" i="53"/>
  <c r="B24035" i="53"/>
  <c r="F24034" i="53"/>
  <c r="E24034" i="53"/>
  <c r="D24034" i="53"/>
  <c r="B24034" i="53"/>
  <c r="F24033" i="53"/>
  <c r="E24033" i="53"/>
  <c r="D24033" i="53"/>
  <c r="B24033" i="53"/>
  <c r="F24032" i="53"/>
  <c r="E24032" i="53"/>
  <c r="D24032" i="53"/>
  <c r="B24032" i="53"/>
  <c r="F24031" i="53"/>
  <c r="E24031" i="53"/>
  <c r="D24031" i="53"/>
  <c r="B24031" i="53"/>
  <c r="F24030" i="53"/>
  <c r="E24030" i="53"/>
  <c r="D24030" i="53"/>
  <c r="B24030" i="53"/>
  <c r="F24029" i="53"/>
  <c r="E24029" i="53"/>
  <c r="D24029" i="53"/>
  <c r="B24029" i="53"/>
  <c r="F24028" i="53"/>
  <c r="E24028" i="53"/>
  <c r="D24028" i="53"/>
  <c r="B24028" i="53"/>
  <c r="F24027" i="53"/>
  <c r="E24027" i="53"/>
  <c r="D24027" i="53"/>
  <c r="B24027" i="53"/>
  <c r="F24022" i="53"/>
  <c r="G24022" i="53" s="1"/>
  <c r="B24022" i="53"/>
  <c r="F24021" i="53"/>
  <c r="G24021" i="53" s="1"/>
  <c r="B24021" i="53"/>
  <c r="F24020" i="53"/>
  <c r="G24020" i="53" s="1"/>
  <c r="B24020" i="53"/>
  <c r="F24019" i="53"/>
  <c r="G24019" i="53" s="1"/>
  <c r="B24019" i="53"/>
  <c r="F24018" i="53"/>
  <c r="G24018" i="53" s="1"/>
  <c r="B24018" i="53"/>
  <c r="F24017" i="53"/>
  <c r="G24017" i="53" s="1"/>
  <c r="B24017" i="53"/>
  <c r="F24012" i="53"/>
  <c r="E24012" i="53"/>
  <c r="D24012" i="53"/>
  <c r="B24012" i="53"/>
  <c r="F24011" i="53"/>
  <c r="E24011" i="53"/>
  <c r="D24011" i="53"/>
  <c r="B24011" i="53"/>
  <c r="F24010" i="53"/>
  <c r="E24010" i="53"/>
  <c r="D24010" i="53"/>
  <c r="B24010" i="53"/>
  <c r="F24009" i="53"/>
  <c r="E24009" i="53"/>
  <c r="D24009" i="53"/>
  <c r="B24009" i="53"/>
  <c r="F24008" i="53"/>
  <c r="E24008" i="53"/>
  <c r="D24008" i="53"/>
  <c r="B24008" i="53"/>
  <c r="F24007" i="53"/>
  <c r="E24007" i="53"/>
  <c r="D24007" i="53"/>
  <c r="B24007" i="53"/>
  <c r="F24002" i="53"/>
  <c r="G24002" i="53" s="1"/>
  <c r="D24002" i="53"/>
  <c r="B24002" i="53"/>
  <c r="F24001" i="53"/>
  <c r="G24001" i="53" s="1"/>
  <c r="D24001" i="53"/>
  <c r="B24001" i="53"/>
  <c r="A23933" i="53"/>
  <c r="B23930" i="53"/>
  <c r="C455" i="55"/>
  <c r="F23981" i="53"/>
  <c r="G23981" i="53" s="1"/>
  <c r="D23981" i="53"/>
  <c r="B23981" i="53"/>
  <c r="F23980" i="53"/>
  <c r="G23980" i="53" s="1"/>
  <c r="D23980" i="53"/>
  <c r="B23980" i="53"/>
  <c r="F23979" i="53"/>
  <c r="G23979" i="53" s="1"/>
  <c r="D23979" i="53"/>
  <c r="B23979" i="53"/>
  <c r="F23978" i="53"/>
  <c r="G23978" i="53" s="1"/>
  <c r="D23978" i="53"/>
  <c r="B23978" i="53"/>
  <c r="F23977" i="53"/>
  <c r="G23977" i="53" s="1"/>
  <c r="D23977" i="53"/>
  <c r="B23977" i="53"/>
  <c r="F23972" i="53"/>
  <c r="E23972" i="53"/>
  <c r="D23972" i="53"/>
  <c r="B23972" i="53"/>
  <c r="F23971" i="53"/>
  <c r="E23971" i="53"/>
  <c r="D23971" i="53"/>
  <c r="B23971" i="53"/>
  <c r="F23970" i="53"/>
  <c r="E23970" i="53"/>
  <c r="D23970" i="53"/>
  <c r="B23970" i="53"/>
  <c r="F23969" i="53"/>
  <c r="E23969" i="53"/>
  <c r="D23969" i="53"/>
  <c r="B23969" i="53"/>
  <c r="F23968" i="53"/>
  <c r="E23968" i="53"/>
  <c r="D23968" i="53"/>
  <c r="B23968" i="53"/>
  <c r="F23967" i="53"/>
  <c r="E23967" i="53"/>
  <c r="D23967" i="53"/>
  <c r="B23967" i="53"/>
  <c r="F23966" i="53"/>
  <c r="E23966" i="53"/>
  <c r="D23966" i="53"/>
  <c r="B23966" i="53"/>
  <c r="F23965" i="53"/>
  <c r="E23965" i="53"/>
  <c r="D23965" i="53"/>
  <c r="B23965" i="53"/>
  <c r="F23964" i="53"/>
  <c r="E23964" i="53"/>
  <c r="D23964" i="53"/>
  <c r="B23964" i="53"/>
  <c r="F23963" i="53"/>
  <c r="E23963" i="53"/>
  <c r="D23963" i="53"/>
  <c r="B23963" i="53"/>
  <c r="F23962" i="53"/>
  <c r="E23962" i="53"/>
  <c r="D23962" i="53"/>
  <c r="B23962" i="53"/>
  <c r="F23961" i="53"/>
  <c r="E23961" i="53"/>
  <c r="D23961" i="53"/>
  <c r="B23961" i="53"/>
  <c r="F23960" i="53"/>
  <c r="E23960" i="53"/>
  <c r="D23960" i="53"/>
  <c r="B23960" i="53"/>
  <c r="F23955" i="53"/>
  <c r="G23955" i="53" s="1"/>
  <c r="B23955" i="53"/>
  <c r="F23954" i="53"/>
  <c r="G23954" i="53" s="1"/>
  <c r="B23954" i="53"/>
  <c r="F23953" i="53"/>
  <c r="G23953" i="53" s="1"/>
  <c r="B23953" i="53"/>
  <c r="F23952" i="53"/>
  <c r="G23952" i="53" s="1"/>
  <c r="B23952" i="53"/>
  <c r="F23951" i="53"/>
  <c r="G23951" i="53" s="1"/>
  <c r="B23951" i="53"/>
  <c r="F23950" i="53"/>
  <c r="G23950" i="53" s="1"/>
  <c r="B23950" i="53"/>
  <c r="F23945" i="53"/>
  <c r="E23945" i="53"/>
  <c r="D23945" i="53"/>
  <c r="B23945" i="53"/>
  <c r="F23944" i="53"/>
  <c r="E23944" i="53"/>
  <c r="D23944" i="53"/>
  <c r="B23944" i="53"/>
  <c r="F23943" i="53"/>
  <c r="E23943" i="53"/>
  <c r="D23943" i="53"/>
  <c r="B23943" i="53"/>
  <c r="F23942" i="53"/>
  <c r="E23942" i="53"/>
  <c r="D23942" i="53"/>
  <c r="B23942" i="53"/>
  <c r="F23941" i="53"/>
  <c r="E23941" i="53"/>
  <c r="D23941" i="53"/>
  <c r="B23941" i="53"/>
  <c r="F23940" i="53"/>
  <c r="E23940" i="53"/>
  <c r="D23940" i="53"/>
  <c r="B23940" i="53"/>
  <c r="F23935" i="53"/>
  <c r="G23935" i="53" s="1"/>
  <c r="D23935" i="53"/>
  <c r="B23935" i="53"/>
  <c r="F23934" i="53"/>
  <c r="G23934" i="53" s="1"/>
  <c r="D23934" i="53"/>
  <c r="B23934" i="53"/>
  <c r="A23866" i="53"/>
  <c r="E454" i="55"/>
  <c r="C454" i="55" s="1"/>
  <c r="B23863" i="53"/>
  <c r="F23914" i="53"/>
  <c r="G23914" i="53" s="1"/>
  <c r="D23914" i="53"/>
  <c r="B23914" i="53"/>
  <c r="F23913" i="53"/>
  <c r="G23913" i="53" s="1"/>
  <c r="D23913" i="53"/>
  <c r="B23913" i="53"/>
  <c r="F23912" i="53"/>
  <c r="G23912" i="53" s="1"/>
  <c r="D23912" i="53"/>
  <c r="B23912" i="53"/>
  <c r="F23911" i="53"/>
  <c r="G23911" i="53" s="1"/>
  <c r="D23911" i="53"/>
  <c r="B23911" i="53"/>
  <c r="F23910" i="53"/>
  <c r="G23910" i="53" s="1"/>
  <c r="D23910" i="53"/>
  <c r="B23910" i="53"/>
  <c r="F23905" i="53"/>
  <c r="E23905" i="53"/>
  <c r="D23905" i="53"/>
  <c r="B23905" i="53"/>
  <c r="F23904" i="53"/>
  <c r="E23904" i="53"/>
  <c r="D23904" i="53"/>
  <c r="B23904" i="53"/>
  <c r="F23903" i="53"/>
  <c r="E23903" i="53"/>
  <c r="D23903" i="53"/>
  <c r="B23903" i="53"/>
  <c r="F23902" i="53"/>
  <c r="E23902" i="53"/>
  <c r="D23902" i="53"/>
  <c r="B23902" i="53"/>
  <c r="F23901" i="53"/>
  <c r="E23901" i="53"/>
  <c r="D23901" i="53"/>
  <c r="B23901" i="53"/>
  <c r="F23900" i="53"/>
  <c r="E23900" i="53"/>
  <c r="D23900" i="53"/>
  <c r="B23900" i="53"/>
  <c r="F23899" i="53"/>
  <c r="E23899" i="53"/>
  <c r="D23899" i="53"/>
  <c r="B23899" i="53"/>
  <c r="F23898" i="53"/>
  <c r="E23898" i="53"/>
  <c r="D23898" i="53"/>
  <c r="B23898" i="53"/>
  <c r="F23897" i="53"/>
  <c r="E23897" i="53"/>
  <c r="D23897" i="53"/>
  <c r="B23897" i="53"/>
  <c r="F23896" i="53"/>
  <c r="E23896" i="53"/>
  <c r="D23896" i="53"/>
  <c r="B23896" i="53"/>
  <c r="F23895" i="53"/>
  <c r="E23895" i="53"/>
  <c r="D23895" i="53"/>
  <c r="B23895" i="53"/>
  <c r="F23894" i="53"/>
  <c r="E23894" i="53"/>
  <c r="D23894" i="53"/>
  <c r="B23894" i="53"/>
  <c r="F23893" i="53"/>
  <c r="E23893" i="53"/>
  <c r="D23893" i="53"/>
  <c r="B23893" i="53"/>
  <c r="F23888" i="53"/>
  <c r="G23888" i="53" s="1"/>
  <c r="B23888" i="53"/>
  <c r="F23887" i="53"/>
  <c r="G23887" i="53" s="1"/>
  <c r="B23887" i="53"/>
  <c r="F23886" i="53"/>
  <c r="G23886" i="53" s="1"/>
  <c r="B23886" i="53"/>
  <c r="F23885" i="53"/>
  <c r="G23885" i="53" s="1"/>
  <c r="B23885" i="53"/>
  <c r="F23884" i="53"/>
  <c r="G23884" i="53" s="1"/>
  <c r="B23884" i="53"/>
  <c r="F23883" i="53"/>
  <c r="G23883" i="53" s="1"/>
  <c r="B23883" i="53"/>
  <c r="F23878" i="53"/>
  <c r="E23878" i="53"/>
  <c r="D23878" i="53"/>
  <c r="B23878" i="53"/>
  <c r="F23877" i="53"/>
  <c r="E23877" i="53"/>
  <c r="D23877" i="53"/>
  <c r="B23877" i="53"/>
  <c r="F23876" i="53"/>
  <c r="E23876" i="53"/>
  <c r="D23876" i="53"/>
  <c r="B23876" i="53"/>
  <c r="F23875" i="53"/>
  <c r="E23875" i="53"/>
  <c r="D23875" i="53"/>
  <c r="B23875" i="53"/>
  <c r="F23874" i="53"/>
  <c r="E23874" i="53"/>
  <c r="D23874" i="53"/>
  <c r="B23874" i="53"/>
  <c r="F23873" i="53"/>
  <c r="E23873" i="53"/>
  <c r="D23873" i="53"/>
  <c r="B23873" i="53"/>
  <c r="F23868" i="53"/>
  <c r="G23868" i="53" s="1"/>
  <c r="D23868" i="53"/>
  <c r="B23868" i="53"/>
  <c r="F23867" i="53"/>
  <c r="G23867" i="53" s="1"/>
  <c r="D23867" i="53"/>
  <c r="B23867" i="53"/>
  <c r="A23728" i="53"/>
  <c r="B23728" i="53" s="1"/>
  <c r="C453" i="55"/>
  <c r="B23725" i="53"/>
  <c r="F23778" i="53"/>
  <c r="G23778" i="53" s="1"/>
  <c r="D23778" i="53"/>
  <c r="B23778" i="53"/>
  <c r="F23777" i="53"/>
  <c r="G23777" i="53" s="1"/>
  <c r="D23777" i="53"/>
  <c r="B23777" i="53"/>
  <c r="F23776" i="53"/>
  <c r="G23776" i="53" s="1"/>
  <c r="D23776" i="53"/>
  <c r="B23776" i="53"/>
  <c r="F23775" i="53"/>
  <c r="G23775" i="53" s="1"/>
  <c r="D23775" i="53"/>
  <c r="B23775" i="53"/>
  <c r="F23774" i="53"/>
  <c r="G23774" i="53" s="1"/>
  <c r="D23774" i="53"/>
  <c r="B23774" i="53"/>
  <c r="F23769" i="53"/>
  <c r="E23769" i="53"/>
  <c r="D23769" i="53"/>
  <c r="B23769" i="53"/>
  <c r="F23768" i="53"/>
  <c r="E23768" i="53"/>
  <c r="D23768" i="53"/>
  <c r="B23768" i="53"/>
  <c r="F23767" i="53"/>
  <c r="E23767" i="53"/>
  <c r="D23767" i="53"/>
  <c r="B23767" i="53"/>
  <c r="F23766" i="53"/>
  <c r="E23766" i="53"/>
  <c r="D23766" i="53"/>
  <c r="B23766" i="53"/>
  <c r="F23765" i="53"/>
  <c r="E23765" i="53"/>
  <c r="D23765" i="53"/>
  <c r="B23765" i="53"/>
  <c r="F23764" i="53"/>
  <c r="E23764" i="53"/>
  <c r="D23764" i="53"/>
  <c r="B23764" i="53"/>
  <c r="F23763" i="53"/>
  <c r="E23763" i="53"/>
  <c r="D23763" i="53"/>
  <c r="B23763" i="53"/>
  <c r="F23762" i="53"/>
  <c r="E23762" i="53"/>
  <c r="D23762" i="53"/>
  <c r="B23762" i="53"/>
  <c r="F23761" i="53"/>
  <c r="E23761" i="53"/>
  <c r="D23761" i="53"/>
  <c r="B23761" i="53"/>
  <c r="F23760" i="53"/>
  <c r="E23760" i="53"/>
  <c r="D23760" i="53"/>
  <c r="B23760" i="53"/>
  <c r="F23759" i="53"/>
  <c r="E23759" i="53"/>
  <c r="D23759" i="53"/>
  <c r="B23759" i="53"/>
  <c r="F23758" i="53"/>
  <c r="E23758" i="53"/>
  <c r="D23758" i="53"/>
  <c r="B23758" i="53"/>
  <c r="F23757" i="53"/>
  <c r="E23757" i="53"/>
  <c r="D23757" i="53"/>
  <c r="B23757" i="53"/>
  <c r="F23752" i="53"/>
  <c r="G23752" i="53" s="1"/>
  <c r="B23752" i="53"/>
  <c r="F23751" i="53"/>
  <c r="G23751" i="53" s="1"/>
  <c r="B23751" i="53"/>
  <c r="F23750" i="53"/>
  <c r="G23750" i="53" s="1"/>
  <c r="B23750" i="53"/>
  <c r="F23749" i="53"/>
  <c r="G23749" i="53" s="1"/>
  <c r="B23749" i="53"/>
  <c r="F23748" i="53"/>
  <c r="G23748" i="53" s="1"/>
  <c r="B23748" i="53"/>
  <c r="F23747" i="53"/>
  <c r="G23747" i="53" s="1"/>
  <c r="B23747" i="53"/>
  <c r="F23742" i="53"/>
  <c r="E23742" i="53"/>
  <c r="D23742" i="53"/>
  <c r="B23742" i="53"/>
  <c r="F23741" i="53"/>
  <c r="E23741" i="53"/>
  <c r="D23741" i="53"/>
  <c r="B23741" i="53"/>
  <c r="F23740" i="53"/>
  <c r="E23740" i="53"/>
  <c r="D23740" i="53"/>
  <c r="B23740" i="53"/>
  <c r="F23739" i="53"/>
  <c r="E23739" i="53"/>
  <c r="D23739" i="53"/>
  <c r="B23739" i="53"/>
  <c r="F23738" i="53"/>
  <c r="E23738" i="53"/>
  <c r="D23738" i="53"/>
  <c r="B23738" i="53"/>
  <c r="F23737" i="53"/>
  <c r="E23737" i="53"/>
  <c r="D23737" i="53"/>
  <c r="B23737" i="53"/>
  <c r="F23732" i="53"/>
  <c r="G23732" i="53" s="1"/>
  <c r="D23732" i="53"/>
  <c r="B23732" i="53"/>
  <c r="F23731" i="53"/>
  <c r="G23731" i="53" s="1"/>
  <c r="D23731" i="53"/>
  <c r="B23731" i="53"/>
  <c r="F23730" i="53"/>
  <c r="G23730" i="53" s="1"/>
  <c r="D23730" i="53"/>
  <c r="B23730" i="53"/>
  <c r="F23729" i="53"/>
  <c r="G23729" i="53" s="1"/>
  <c r="D23729" i="53"/>
  <c r="B23729" i="53"/>
  <c r="B16141" i="53"/>
  <c r="F16191" i="53"/>
  <c r="G16191" i="53" s="1"/>
  <c r="D16191" i="53"/>
  <c r="B16191" i="53"/>
  <c r="F16190" i="53"/>
  <c r="D16190" i="53"/>
  <c r="B16190" i="53"/>
  <c r="F16189" i="53"/>
  <c r="G16189" i="53" s="1"/>
  <c r="D16189" i="53"/>
  <c r="B16189" i="53"/>
  <c r="F16188" i="53"/>
  <c r="D16188" i="53"/>
  <c r="B16188" i="53"/>
  <c r="F16187" i="53"/>
  <c r="D16187" i="53"/>
  <c r="B16187" i="53"/>
  <c r="F16182" i="53"/>
  <c r="E16182" i="53"/>
  <c r="D16182" i="53"/>
  <c r="B16182" i="53"/>
  <c r="F16181" i="53"/>
  <c r="E16181" i="53"/>
  <c r="D16181" i="53"/>
  <c r="B16181" i="53"/>
  <c r="F16180" i="53"/>
  <c r="E16180" i="53"/>
  <c r="D16180" i="53"/>
  <c r="B16180" i="53"/>
  <c r="F16179" i="53"/>
  <c r="E16179" i="53"/>
  <c r="D16179" i="53"/>
  <c r="B16179" i="53"/>
  <c r="F16178" i="53"/>
  <c r="E16178" i="53"/>
  <c r="D16178" i="53"/>
  <c r="B16178" i="53"/>
  <c r="F16177" i="53"/>
  <c r="E16177" i="53"/>
  <c r="D16177" i="53"/>
  <c r="B16177" i="53"/>
  <c r="F16176" i="53"/>
  <c r="E16176" i="53"/>
  <c r="D16176" i="53"/>
  <c r="B16176" i="53"/>
  <c r="F16175" i="53"/>
  <c r="E16175" i="53"/>
  <c r="D16175" i="53"/>
  <c r="B16175" i="53"/>
  <c r="F16174" i="53"/>
  <c r="E16174" i="53"/>
  <c r="D16174" i="53"/>
  <c r="B16174" i="53"/>
  <c r="F16173" i="53"/>
  <c r="E16173" i="53"/>
  <c r="D16173" i="53"/>
  <c r="B16173" i="53"/>
  <c r="F16172" i="53"/>
  <c r="E16172" i="53"/>
  <c r="D16172" i="53"/>
  <c r="B16172" i="53"/>
  <c r="F16171" i="53"/>
  <c r="E16171" i="53"/>
  <c r="D16171" i="53"/>
  <c r="B16171" i="53"/>
  <c r="F16170" i="53"/>
  <c r="E16170" i="53"/>
  <c r="D16170" i="53"/>
  <c r="B16170" i="53"/>
  <c r="F16165" i="53"/>
  <c r="G16165" i="53" s="1"/>
  <c r="B16165" i="53"/>
  <c r="F16164" i="53"/>
  <c r="G16164" i="53" s="1"/>
  <c r="B16164" i="53"/>
  <c r="F16163" i="53"/>
  <c r="B16163" i="53"/>
  <c r="F16162" i="53"/>
  <c r="B16162" i="53"/>
  <c r="F16161" i="53"/>
  <c r="B16161" i="53"/>
  <c r="F16160" i="53"/>
  <c r="G16160" i="53" s="1"/>
  <c r="B16160" i="53"/>
  <c r="F16155" i="53"/>
  <c r="E16155" i="53"/>
  <c r="D16155" i="53"/>
  <c r="B16155" i="53"/>
  <c r="F16154" i="53"/>
  <c r="E16154" i="53"/>
  <c r="D16154" i="53"/>
  <c r="B16154" i="53"/>
  <c r="F16153" i="53"/>
  <c r="E16153" i="53"/>
  <c r="D16153" i="53"/>
  <c r="B16153" i="53"/>
  <c r="F16152" i="53"/>
  <c r="E16152" i="53"/>
  <c r="D16152" i="53"/>
  <c r="B16152" i="53"/>
  <c r="F16151" i="53"/>
  <c r="E16151" i="53"/>
  <c r="D16151" i="53"/>
  <c r="B16151" i="53"/>
  <c r="F16150" i="53"/>
  <c r="E16150" i="53"/>
  <c r="D16150" i="53"/>
  <c r="B16150" i="53"/>
  <c r="F16144" i="53"/>
  <c r="G16144" i="53" s="1"/>
  <c r="G16146" i="53" s="1"/>
  <c r="D16144" i="53"/>
  <c r="B16144" i="53"/>
  <c r="F23933" i="53" l="1"/>
  <c r="G23933" i="53" s="1"/>
  <c r="G23936" i="53" s="1"/>
  <c r="G1310" i="53"/>
  <c r="G1381" i="53"/>
  <c r="D24000" i="53"/>
  <c r="G1085" i="53"/>
  <c r="G1087" i="53"/>
  <c r="G1059" i="53"/>
  <c r="G1063" i="53"/>
  <c r="G23966" i="53"/>
  <c r="G23877" i="53"/>
  <c r="G24007" i="53"/>
  <c r="G1080" i="53"/>
  <c r="G1086" i="53"/>
  <c r="G1088" i="53"/>
  <c r="G24027" i="53"/>
  <c r="G24029" i="53"/>
  <c r="G1058" i="53"/>
  <c r="G1060" i="53"/>
  <c r="G1062" i="53"/>
  <c r="G24011" i="53"/>
  <c r="G1090" i="53"/>
  <c r="G23945" i="53"/>
  <c r="G24031" i="53"/>
  <c r="G24033" i="53"/>
  <c r="G24037" i="53"/>
  <c r="G1084" i="53"/>
  <c r="G23962" i="53"/>
  <c r="G24030" i="53"/>
  <c r="G24032" i="53"/>
  <c r="G24038" i="53"/>
  <c r="G1061" i="53"/>
  <c r="G1079" i="53"/>
  <c r="G23968" i="53"/>
  <c r="G23970" i="53"/>
  <c r="G23972" i="53"/>
  <c r="G1081" i="53"/>
  <c r="G1083" i="53"/>
  <c r="G23940" i="53"/>
  <c r="G24008" i="53"/>
  <c r="G1078" i="53"/>
  <c r="G1089" i="53"/>
  <c r="D23728" i="53"/>
  <c r="G23967" i="53"/>
  <c r="G23969" i="53"/>
  <c r="G23971" i="53"/>
  <c r="G1082" i="53"/>
  <c r="D1051" i="53"/>
  <c r="G1100" i="53"/>
  <c r="G1074" i="53"/>
  <c r="G23878" i="53"/>
  <c r="G23941" i="53"/>
  <c r="F24000" i="53"/>
  <c r="G24000" i="53" s="1"/>
  <c r="G24003" i="53" s="1"/>
  <c r="G24012" i="53"/>
  <c r="G24034" i="53"/>
  <c r="G24036" i="53"/>
  <c r="B1051" i="53"/>
  <c r="G23739" i="53"/>
  <c r="G23758" i="53"/>
  <c r="G23762" i="53"/>
  <c r="G23873" i="53"/>
  <c r="G23875" i="53"/>
  <c r="G23964" i="53"/>
  <c r="G24009" i="53"/>
  <c r="G24023" i="53"/>
  <c r="G23944" i="53"/>
  <c r="G24035" i="53"/>
  <c r="B1050" i="53"/>
  <c r="G24039" i="53"/>
  <c r="D1050" i="53"/>
  <c r="B1052" i="53"/>
  <c r="G23963" i="53"/>
  <c r="G24010" i="53"/>
  <c r="G24028" i="53"/>
  <c r="G24049" i="53"/>
  <c r="F23728" i="53"/>
  <c r="G23728" i="53" s="1"/>
  <c r="G23733" i="53" s="1"/>
  <c r="F23866" i="53"/>
  <c r="G23866" i="53" s="1"/>
  <c r="G23869" i="53" s="1"/>
  <c r="B23933" i="53"/>
  <c r="D23933" i="53"/>
  <c r="G23767" i="53"/>
  <c r="G23942" i="53"/>
  <c r="G23965" i="53"/>
  <c r="G23895" i="53"/>
  <c r="G23960" i="53"/>
  <c r="G23943" i="53"/>
  <c r="G23961" i="53"/>
  <c r="G23956" i="53"/>
  <c r="G23982" i="53"/>
  <c r="G23897" i="53"/>
  <c r="G23899" i="53"/>
  <c r="G23901" i="53"/>
  <c r="G23903" i="53"/>
  <c r="G23893" i="53"/>
  <c r="G23896" i="53"/>
  <c r="G23898" i="53"/>
  <c r="B23866" i="53"/>
  <c r="G23900" i="53"/>
  <c r="G23902" i="53"/>
  <c r="G23904" i="53"/>
  <c r="G23741" i="53"/>
  <c r="G23740" i="53"/>
  <c r="D23866" i="53"/>
  <c r="G23874" i="53"/>
  <c r="G23876" i="53"/>
  <c r="G23905" i="53"/>
  <c r="G23894" i="53"/>
  <c r="G23915" i="53"/>
  <c r="G23889" i="53"/>
  <c r="G23769" i="53"/>
  <c r="G23768" i="53"/>
  <c r="G23742" i="53"/>
  <c r="G23757" i="53"/>
  <c r="G23765" i="53"/>
  <c r="G23759" i="53"/>
  <c r="G23764" i="53"/>
  <c r="G23766" i="53"/>
  <c r="G23737" i="53"/>
  <c r="G23761" i="53"/>
  <c r="G23763" i="53"/>
  <c r="G23738" i="53"/>
  <c r="G23760" i="53"/>
  <c r="G23753" i="53"/>
  <c r="G23779" i="53"/>
  <c r="G16152" i="53"/>
  <c r="G16182" i="53"/>
  <c r="G16151" i="53"/>
  <c r="G16154" i="53"/>
  <c r="G16161" i="53"/>
  <c r="G16171" i="53"/>
  <c r="G16187" i="53"/>
  <c r="G16162" i="53"/>
  <c r="G16153" i="53"/>
  <c r="G16155" i="53"/>
  <c r="G16150" i="53"/>
  <c r="G16163" i="53"/>
  <c r="G16172" i="53"/>
  <c r="G16180" i="53"/>
  <c r="G16178" i="53"/>
  <c r="G16181" i="53"/>
  <c r="G16173" i="53"/>
  <c r="G16177" i="53"/>
  <c r="G16174" i="53"/>
  <c r="G16176" i="53"/>
  <c r="G16179" i="53"/>
  <c r="G16188" i="53"/>
  <c r="G16190" i="53"/>
  <c r="G16170" i="53"/>
  <c r="G16175" i="53"/>
  <c r="J29" i="1" l="1"/>
  <c r="G1313" i="53"/>
  <c r="G1314" i="53"/>
  <c r="G1318" i="53" s="1"/>
  <c r="J28" i="1"/>
  <c r="G1312" i="53"/>
  <c r="G1384" i="53"/>
  <c r="G1383" i="53"/>
  <c r="G1385" i="53"/>
  <c r="G1389" i="53" s="1"/>
  <c r="G1064" i="53"/>
  <c r="G1091" i="53"/>
  <c r="G24040" i="53"/>
  <c r="G23946" i="53"/>
  <c r="G24013" i="53"/>
  <c r="G23973" i="53"/>
  <c r="G23879" i="53"/>
  <c r="G23906" i="53"/>
  <c r="G23743" i="53"/>
  <c r="G23770" i="53"/>
  <c r="G16166" i="53"/>
  <c r="G16156" i="53"/>
  <c r="G16192" i="53"/>
  <c r="G16183" i="53"/>
  <c r="K28" i="1" l="1"/>
  <c r="L28" i="1"/>
  <c r="K29" i="1"/>
  <c r="L29" i="1"/>
  <c r="O28" i="1"/>
  <c r="N28" i="1"/>
  <c r="N29" i="1"/>
  <c r="O29" i="1"/>
  <c r="G1316" i="53"/>
  <c r="G1320" i="53" s="1"/>
  <c r="G1252" i="53" s="1"/>
  <c r="G1387" i="53"/>
  <c r="G1391" i="53" s="1"/>
  <c r="G1323" i="53" s="1"/>
  <c r="G24051" i="53"/>
  <c r="J454" i="1" s="1"/>
  <c r="G23781" i="53"/>
  <c r="G23984" i="53"/>
  <c r="G23917" i="53"/>
  <c r="G16194" i="53"/>
  <c r="K454" i="1" l="1"/>
  <c r="N454" i="1"/>
  <c r="M454" i="1"/>
  <c r="L454" i="1"/>
  <c r="O454" i="1"/>
  <c r="J314" i="1"/>
  <c r="J450" i="1"/>
  <c r="J452" i="1"/>
  <c r="J453" i="1"/>
  <c r="G23783" i="53"/>
  <c r="G24053" i="53"/>
  <c r="G24055" i="53"/>
  <c r="G24059" i="53" s="1"/>
  <c r="G24054" i="53"/>
  <c r="G23785" i="53"/>
  <c r="G23789" i="53" s="1"/>
  <c r="G23784" i="53"/>
  <c r="G23988" i="53"/>
  <c r="G23992" i="53" s="1"/>
  <c r="G23986" i="53"/>
  <c r="G23987" i="53"/>
  <c r="G23919" i="53"/>
  <c r="G23920" i="53"/>
  <c r="G23921" i="53"/>
  <c r="G23925" i="53" s="1"/>
  <c r="G16197" i="53"/>
  <c r="G16196" i="53"/>
  <c r="G16198" i="53"/>
  <c r="G16202" i="53" s="1"/>
  <c r="C452" i="55"/>
  <c r="B304" i="1"/>
  <c r="A15439" i="53" s="1"/>
  <c r="B330" i="1"/>
  <c r="A21815" i="53"/>
  <c r="D21815" i="53" s="1"/>
  <c r="A21819" i="53"/>
  <c r="A21818" i="53"/>
  <c r="D21818" i="53" s="1"/>
  <c r="A21817" i="53"/>
  <c r="A21816" i="53"/>
  <c r="A21814" i="53"/>
  <c r="B21811" i="53"/>
  <c r="F21865" i="53"/>
  <c r="G21865" i="53" s="1"/>
  <c r="D21865" i="53"/>
  <c r="B21865" i="53"/>
  <c r="F21864" i="53"/>
  <c r="G21864" i="53" s="1"/>
  <c r="D21864" i="53"/>
  <c r="B21864" i="53"/>
  <c r="F21863" i="53"/>
  <c r="G21863" i="53" s="1"/>
  <c r="D21863" i="53"/>
  <c r="B21863" i="53"/>
  <c r="F21862" i="53"/>
  <c r="G21862" i="53" s="1"/>
  <c r="D21862" i="53"/>
  <c r="B21862" i="53"/>
  <c r="F21861" i="53"/>
  <c r="G21861" i="53" s="1"/>
  <c r="D21861" i="53"/>
  <c r="B21861" i="53"/>
  <c r="F21856" i="53"/>
  <c r="E21856" i="53"/>
  <c r="D21856" i="53"/>
  <c r="B21856" i="53"/>
  <c r="F21855" i="53"/>
  <c r="E21855" i="53"/>
  <c r="D21855" i="53"/>
  <c r="B21855" i="53"/>
  <c r="F21854" i="53"/>
  <c r="E21854" i="53"/>
  <c r="D21854" i="53"/>
  <c r="B21854" i="53"/>
  <c r="F21853" i="53"/>
  <c r="E21853" i="53"/>
  <c r="D21853" i="53"/>
  <c r="B21853" i="53"/>
  <c r="F21852" i="53"/>
  <c r="E21852" i="53"/>
  <c r="D21852" i="53"/>
  <c r="B21852" i="53"/>
  <c r="F21851" i="53"/>
  <c r="E21851" i="53"/>
  <c r="D21851" i="53"/>
  <c r="B21851" i="53"/>
  <c r="F21850" i="53"/>
  <c r="E21850" i="53"/>
  <c r="D21850" i="53"/>
  <c r="B21850" i="53"/>
  <c r="F21849" i="53"/>
  <c r="E21849" i="53"/>
  <c r="D21849" i="53"/>
  <c r="B21849" i="53"/>
  <c r="F21848" i="53"/>
  <c r="E21848" i="53"/>
  <c r="D21848" i="53"/>
  <c r="B21848" i="53"/>
  <c r="F21847" i="53"/>
  <c r="E21847" i="53"/>
  <c r="D21847" i="53"/>
  <c r="B21847" i="53"/>
  <c r="F21846" i="53"/>
  <c r="E21846" i="53"/>
  <c r="D21846" i="53"/>
  <c r="B21846" i="53"/>
  <c r="F21845" i="53"/>
  <c r="E21845" i="53"/>
  <c r="D21845" i="53"/>
  <c r="B21845" i="53"/>
  <c r="F21844" i="53"/>
  <c r="E21844" i="53"/>
  <c r="D21844" i="53"/>
  <c r="B21844" i="53"/>
  <c r="F21839" i="53"/>
  <c r="G21839" i="53" s="1"/>
  <c r="B21839" i="53"/>
  <c r="F21838" i="53"/>
  <c r="G21838" i="53" s="1"/>
  <c r="B21838" i="53"/>
  <c r="F21837" i="53"/>
  <c r="G21837" i="53" s="1"/>
  <c r="B21837" i="53"/>
  <c r="F21836" i="53"/>
  <c r="G21836" i="53" s="1"/>
  <c r="B21836" i="53"/>
  <c r="F21835" i="53"/>
  <c r="G21835" i="53" s="1"/>
  <c r="B21835" i="53"/>
  <c r="F21834" i="53"/>
  <c r="G21834" i="53" s="1"/>
  <c r="B21834" i="53"/>
  <c r="F21829" i="53"/>
  <c r="E21829" i="53"/>
  <c r="D21829" i="53"/>
  <c r="B21829" i="53"/>
  <c r="F21828" i="53"/>
  <c r="E21828" i="53"/>
  <c r="D21828" i="53"/>
  <c r="B21828" i="53"/>
  <c r="F21827" i="53"/>
  <c r="E21827" i="53"/>
  <c r="D21827" i="53"/>
  <c r="B21827" i="53"/>
  <c r="F21826" i="53"/>
  <c r="E21826" i="53"/>
  <c r="D21826" i="53"/>
  <c r="B21826" i="53"/>
  <c r="F21825" i="53"/>
  <c r="E21825" i="53"/>
  <c r="D21825" i="53"/>
  <c r="B21825" i="53"/>
  <c r="F21824" i="53"/>
  <c r="E21824" i="53"/>
  <c r="D21824" i="53"/>
  <c r="B21824" i="53"/>
  <c r="E21815" i="53"/>
  <c r="B17896" i="53"/>
  <c r="E17900" i="53"/>
  <c r="E17902" i="53"/>
  <c r="A17901" i="53"/>
  <c r="A17900" i="53"/>
  <c r="D17900" i="53" s="1"/>
  <c r="A20079" i="53"/>
  <c r="C451" i="55"/>
  <c r="A20003" i="53"/>
  <c r="A20002" i="53"/>
  <c r="A20001" i="53"/>
  <c r="A20000" i="53"/>
  <c r="A19999" i="53"/>
  <c r="A19998" i="53"/>
  <c r="E18969" i="53"/>
  <c r="A18969" i="53"/>
  <c r="A18970" i="53"/>
  <c r="C450" i="55"/>
  <c r="A18968" i="53"/>
  <c r="A18967" i="53"/>
  <c r="D18967" i="53" s="1"/>
  <c r="A20662" i="53"/>
  <c r="A20671" i="53"/>
  <c r="A20670" i="53"/>
  <c r="A20669" i="53"/>
  <c r="D20669" i="53" s="1"/>
  <c r="A20668" i="53"/>
  <c r="A20667" i="53"/>
  <c r="F20672" i="53"/>
  <c r="G20672" i="53" s="1"/>
  <c r="D20672" i="53"/>
  <c r="B20672" i="53"/>
  <c r="F15452" i="53" l="1"/>
  <c r="G15452" i="53" s="1"/>
  <c r="F20153" i="53"/>
  <c r="G20153" i="53" s="1"/>
  <c r="L453" i="1"/>
  <c r="K453" i="1"/>
  <c r="K452" i="1"/>
  <c r="L452" i="1"/>
  <c r="K450" i="1"/>
  <c r="L450" i="1"/>
  <c r="K314" i="1"/>
  <c r="L314" i="1"/>
  <c r="M453" i="1"/>
  <c r="O453" i="1"/>
  <c r="N453" i="1"/>
  <c r="M450" i="1"/>
  <c r="N450" i="1"/>
  <c r="O450" i="1"/>
  <c r="O452" i="1"/>
  <c r="N452" i="1"/>
  <c r="M452" i="1"/>
  <c r="O314" i="1"/>
  <c r="M314" i="1"/>
  <c r="N314" i="1"/>
  <c r="B18969" i="53"/>
  <c r="G24057" i="53"/>
  <c r="G24061" i="53" s="1"/>
  <c r="G23997" i="53" s="1"/>
  <c r="G23787" i="53"/>
  <c r="G23791" i="53" s="1"/>
  <c r="G23725" i="53" s="1"/>
  <c r="G23990" i="53"/>
  <c r="G23994" i="53" s="1"/>
  <c r="G23930" i="53" s="1"/>
  <c r="G23923" i="53"/>
  <c r="G23927" i="53" s="1"/>
  <c r="G23863" i="53" s="1"/>
  <c r="G16200" i="53"/>
  <c r="G16204" i="53" s="1"/>
  <c r="G16141" i="53" s="1"/>
  <c r="G21854" i="53"/>
  <c r="D21819" i="53"/>
  <c r="G21825" i="53"/>
  <c r="G21827" i="53"/>
  <c r="G21829" i="53"/>
  <c r="G21824" i="53"/>
  <c r="G21845" i="53"/>
  <c r="G21847" i="53"/>
  <c r="G21851" i="53"/>
  <c r="G21855" i="53"/>
  <c r="G21844" i="53"/>
  <c r="G21848" i="53"/>
  <c r="G21856" i="53"/>
  <c r="G21849" i="53"/>
  <c r="G21826" i="53"/>
  <c r="G21828" i="53"/>
  <c r="G21853" i="53"/>
  <c r="G21846" i="53"/>
  <c r="G21850" i="53"/>
  <c r="G21852" i="53"/>
  <c r="D21816" i="53"/>
  <c r="G21866" i="53"/>
  <c r="G21840" i="53"/>
  <c r="D21814" i="53"/>
  <c r="D21817" i="53"/>
  <c r="B17900" i="53"/>
  <c r="D18969" i="53"/>
  <c r="D18968" i="53"/>
  <c r="B18968" i="53"/>
  <c r="F18969" i="53"/>
  <c r="G18969" i="53" s="1"/>
  <c r="B18967" i="53"/>
  <c r="D20662" i="53"/>
  <c r="D20671" i="53"/>
  <c r="D20668" i="53"/>
  <c r="D20670" i="53"/>
  <c r="D20667" i="53"/>
  <c r="G21830" i="53" l="1"/>
  <c r="G21857" i="53"/>
  <c r="A23167" i="53" l="1"/>
  <c r="A22953" i="53" l="1"/>
  <c r="D22953" i="53" s="1"/>
  <c r="B22950" i="53"/>
  <c r="F23005" i="53"/>
  <c r="G23005" i="53" s="1"/>
  <c r="D23005" i="53"/>
  <c r="B23005" i="53"/>
  <c r="F23004" i="53"/>
  <c r="G23004" i="53" s="1"/>
  <c r="D23004" i="53"/>
  <c r="B23004" i="53"/>
  <c r="F23003" i="53"/>
  <c r="G23003" i="53" s="1"/>
  <c r="D23003" i="53"/>
  <c r="B23003" i="53"/>
  <c r="F23002" i="53"/>
  <c r="G23002" i="53" s="1"/>
  <c r="D23002" i="53"/>
  <c r="B23002" i="53"/>
  <c r="F23001" i="53"/>
  <c r="G23001" i="53" s="1"/>
  <c r="D23001" i="53"/>
  <c r="B23001" i="53"/>
  <c r="F22996" i="53"/>
  <c r="E22996" i="53"/>
  <c r="D22996" i="53"/>
  <c r="B22996" i="53"/>
  <c r="F22995" i="53"/>
  <c r="E22995" i="53"/>
  <c r="D22995" i="53"/>
  <c r="B22995" i="53"/>
  <c r="F22994" i="53"/>
  <c r="E22994" i="53"/>
  <c r="D22994" i="53"/>
  <c r="B22994" i="53"/>
  <c r="F22993" i="53"/>
  <c r="E22993" i="53"/>
  <c r="D22993" i="53"/>
  <c r="B22993" i="53"/>
  <c r="F22992" i="53"/>
  <c r="E22992" i="53"/>
  <c r="D22992" i="53"/>
  <c r="B22992" i="53"/>
  <c r="F22991" i="53"/>
  <c r="E22991" i="53"/>
  <c r="D22991" i="53"/>
  <c r="B22991" i="53"/>
  <c r="F22990" i="53"/>
  <c r="E22990" i="53"/>
  <c r="D22990" i="53"/>
  <c r="B22990" i="53"/>
  <c r="F22989" i="53"/>
  <c r="E22989" i="53"/>
  <c r="D22989" i="53"/>
  <c r="B22989" i="53"/>
  <c r="F22988" i="53"/>
  <c r="E22988" i="53"/>
  <c r="D22988" i="53"/>
  <c r="B22988" i="53"/>
  <c r="F22987" i="53"/>
  <c r="E22987" i="53"/>
  <c r="D22987" i="53"/>
  <c r="B22987" i="53"/>
  <c r="F22986" i="53"/>
  <c r="E22986" i="53"/>
  <c r="D22986" i="53"/>
  <c r="B22986" i="53"/>
  <c r="F22985" i="53"/>
  <c r="E22985" i="53"/>
  <c r="D22985" i="53"/>
  <c r="B22985" i="53"/>
  <c r="F22984" i="53"/>
  <c r="E22984" i="53"/>
  <c r="D22984" i="53"/>
  <c r="B22984" i="53"/>
  <c r="F22979" i="53"/>
  <c r="G22979" i="53" s="1"/>
  <c r="B22979" i="53"/>
  <c r="F22978" i="53"/>
  <c r="G22978" i="53" s="1"/>
  <c r="B22978" i="53"/>
  <c r="F22977" i="53"/>
  <c r="G22977" i="53" s="1"/>
  <c r="B22977" i="53"/>
  <c r="F22976" i="53"/>
  <c r="G22976" i="53" s="1"/>
  <c r="B22976" i="53"/>
  <c r="F22975" i="53"/>
  <c r="G22975" i="53" s="1"/>
  <c r="B22975" i="53"/>
  <c r="F22974" i="53"/>
  <c r="G22974" i="53" s="1"/>
  <c r="B22974" i="53"/>
  <c r="F22973" i="53"/>
  <c r="G22973" i="53" s="1"/>
  <c r="B22973" i="53"/>
  <c r="F22968" i="53"/>
  <c r="E22968" i="53"/>
  <c r="D22968" i="53"/>
  <c r="B22968" i="53"/>
  <c r="F22967" i="53"/>
  <c r="E22967" i="53"/>
  <c r="D22967" i="53"/>
  <c r="B22967" i="53"/>
  <c r="F22966" i="53"/>
  <c r="E22966" i="53"/>
  <c r="D22966" i="53"/>
  <c r="B22966" i="53"/>
  <c r="F22965" i="53"/>
  <c r="E22965" i="53"/>
  <c r="D22965" i="53"/>
  <c r="B22965" i="53"/>
  <c r="F22964" i="53"/>
  <c r="E22964" i="53"/>
  <c r="D22964" i="53"/>
  <c r="B22964" i="53"/>
  <c r="F22963" i="53"/>
  <c r="E22963" i="53"/>
  <c r="D22963" i="53"/>
  <c r="B22963" i="53"/>
  <c r="E449" i="55"/>
  <c r="C449" i="55" s="1"/>
  <c r="A22882" i="53"/>
  <c r="B22882" i="53" s="1"/>
  <c r="B22879" i="53"/>
  <c r="F22934" i="53"/>
  <c r="G22934" i="53" s="1"/>
  <c r="D22934" i="53"/>
  <c r="B22934" i="53"/>
  <c r="F22933" i="53"/>
  <c r="G22933" i="53" s="1"/>
  <c r="D22933" i="53"/>
  <c r="B22933" i="53"/>
  <c r="F22932" i="53"/>
  <c r="G22932" i="53" s="1"/>
  <c r="D22932" i="53"/>
  <c r="B22932" i="53"/>
  <c r="F22931" i="53"/>
  <c r="G22931" i="53" s="1"/>
  <c r="D22931" i="53"/>
  <c r="B22931" i="53"/>
  <c r="F22930" i="53"/>
  <c r="G22930" i="53" s="1"/>
  <c r="D22930" i="53"/>
  <c r="B22930" i="53"/>
  <c r="F22925" i="53"/>
  <c r="E22925" i="53"/>
  <c r="D22925" i="53"/>
  <c r="B22925" i="53"/>
  <c r="F22924" i="53"/>
  <c r="E22924" i="53"/>
  <c r="D22924" i="53"/>
  <c r="B22924" i="53"/>
  <c r="F22923" i="53"/>
  <c r="E22923" i="53"/>
  <c r="D22923" i="53"/>
  <c r="B22923" i="53"/>
  <c r="F22922" i="53"/>
  <c r="E22922" i="53"/>
  <c r="D22922" i="53"/>
  <c r="B22922" i="53"/>
  <c r="F22921" i="53"/>
  <c r="E22921" i="53"/>
  <c r="D22921" i="53"/>
  <c r="B22921" i="53"/>
  <c r="F22920" i="53"/>
  <c r="E22920" i="53"/>
  <c r="D22920" i="53"/>
  <c r="B22920" i="53"/>
  <c r="F22919" i="53"/>
  <c r="E22919" i="53"/>
  <c r="D22919" i="53"/>
  <c r="B22919" i="53"/>
  <c r="F22918" i="53"/>
  <c r="E22918" i="53"/>
  <c r="D22918" i="53"/>
  <c r="B22918" i="53"/>
  <c r="F22917" i="53"/>
  <c r="E22917" i="53"/>
  <c r="D22917" i="53"/>
  <c r="B22917" i="53"/>
  <c r="F22916" i="53"/>
  <c r="E22916" i="53"/>
  <c r="D22916" i="53"/>
  <c r="B22916" i="53"/>
  <c r="F22915" i="53"/>
  <c r="E22915" i="53"/>
  <c r="D22915" i="53"/>
  <c r="B22915" i="53"/>
  <c r="F22914" i="53"/>
  <c r="E22914" i="53"/>
  <c r="D22914" i="53"/>
  <c r="B22914" i="53"/>
  <c r="F22913" i="53"/>
  <c r="E22913" i="53"/>
  <c r="D22913" i="53"/>
  <c r="B22913" i="53"/>
  <c r="F22908" i="53"/>
  <c r="G22908" i="53" s="1"/>
  <c r="B22908" i="53"/>
  <c r="F22907" i="53"/>
  <c r="G22907" i="53" s="1"/>
  <c r="B22907" i="53"/>
  <c r="F22906" i="53"/>
  <c r="G22906" i="53" s="1"/>
  <c r="B22906" i="53"/>
  <c r="F22905" i="53"/>
  <c r="G22905" i="53" s="1"/>
  <c r="B22905" i="53"/>
  <c r="F22904" i="53"/>
  <c r="G22904" i="53" s="1"/>
  <c r="B22904" i="53"/>
  <c r="F22903" i="53"/>
  <c r="G22903" i="53" s="1"/>
  <c r="B22903" i="53"/>
  <c r="F22902" i="53"/>
  <c r="G22902" i="53" s="1"/>
  <c r="B22902" i="53"/>
  <c r="F22897" i="53"/>
  <c r="E22897" i="53"/>
  <c r="D22897" i="53"/>
  <c r="B22897" i="53"/>
  <c r="F22896" i="53"/>
  <c r="E22896" i="53"/>
  <c r="D22896" i="53"/>
  <c r="B22896" i="53"/>
  <c r="F22895" i="53"/>
  <c r="E22895" i="53"/>
  <c r="D22895" i="53"/>
  <c r="B22895" i="53"/>
  <c r="F22894" i="53"/>
  <c r="E22894" i="53"/>
  <c r="D22894" i="53"/>
  <c r="B22894" i="53"/>
  <c r="F22893" i="53"/>
  <c r="E22893" i="53"/>
  <c r="D22893" i="53"/>
  <c r="B22893" i="53"/>
  <c r="F22892" i="53"/>
  <c r="E22892" i="53"/>
  <c r="D22892" i="53"/>
  <c r="B22892" i="53"/>
  <c r="G22964" i="53" l="1"/>
  <c r="G22895" i="53"/>
  <c r="G22993" i="53"/>
  <c r="G22914" i="53"/>
  <c r="G22916" i="53"/>
  <c r="G22918" i="53"/>
  <c r="G22920" i="53"/>
  <c r="G22990" i="53"/>
  <c r="G22992" i="53"/>
  <c r="G22996" i="53"/>
  <c r="G22966" i="53"/>
  <c r="G22986" i="53"/>
  <c r="G22922" i="53"/>
  <c r="G22924" i="53"/>
  <c r="G22913" i="53"/>
  <c r="G22917" i="53"/>
  <c r="G22919" i="53"/>
  <c r="G22923" i="53"/>
  <c r="B22953" i="53"/>
  <c r="G22985" i="53"/>
  <c r="G23006" i="53"/>
  <c r="G22984" i="53"/>
  <c r="G22994" i="53"/>
  <c r="G22893" i="53"/>
  <c r="G22995" i="53"/>
  <c r="G22988" i="53"/>
  <c r="G22968" i="53"/>
  <c r="G22894" i="53"/>
  <c r="G22915" i="53"/>
  <c r="G22963" i="53"/>
  <c r="G22925" i="53"/>
  <c r="G22965" i="53"/>
  <c r="G22967" i="53"/>
  <c r="G22987" i="53"/>
  <c r="G22989" i="53"/>
  <c r="G22991" i="53"/>
  <c r="G22980" i="53"/>
  <c r="G22892" i="53"/>
  <c r="G22896" i="53"/>
  <c r="G22921" i="53"/>
  <c r="G22897" i="53"/>
  <c r="G22909" i="53"/>
  <c r="F22882" i="53"/>
  <c r="G22882" i="53" s="1"/>
  <c r="G22888" i="53" s="1"/>
  <c r="D22882" i="53"/>
  <c r="G22935" i="53"/>
  <c r="A22811" i="53"/>
  <c r="C448" i="55"/>
  <c r="B22808" i="53"/>
  <c r="F22863" i="53"/>
  <c r="G22863" i="53" s="1"/>
  <c r="D22863" i="53"/>
  <c r="B22863" i="53"/>
  <c r="F22862" i="53"/>
  <c r="G22862" i="53" s="1"/>
  <c r="D22862" i="53"/>
  <c r="B22862" i="53"/>
  <c r="F22861" i="53"/>
  <c r="G22861" i="53" s="1"/>
  <c r="D22861" i="53"/>
  <c r="B22861" i="53"/>
  <c r="F22860" i="53"/>
  <c r="G22860" i="53" s="1"/>
  <c r="D22860" i="53"/>
  <c r="B22860" i="53"/>
  <c r="F22859" i="53"/>
  <c r="G22859" i="53" s="1"/>
  <c r="D22859" i="53"/>
  <c r="B22859" i="53"/>
  <c r="F22854" i="53"/>
  <c r="E22854" i="53"/>
  <c r="D22854" i="53"/>
  <c r="B22854" i="53"/>
  <c r="F22853" i="53"/>
  <c r="E22853" i="53"/>
  <c r="D22853" i="53"/>
  <c r="B22853" i="53"/>
  <c r="F22852" i="53"/>
  <c r="E22852" i="53"/>
  <c r="D22852" i="53"/>
  <c r="B22852" i="53"/>
  <c r="F22851" i="53"/>
  <c r="E22851" i="53"/>
  <c r="D22851" i="53"/>
  <c r="B22851" i="53"/>
  <c r="F22850" i="53"/>
  <c r="E22850" i="53"/>
  <c r="D22850" i="53"/>
  <c r="B22850" i="53"/>
  <c r="F22849" i="53"/>
  <c r="E22849" i="53"/>
  <c r="D22849" i="53"/>
  <c r="B22849" i="53"/>
  <c r="F22848" i="53"/>
  <c r="E22848" i="53"/>
  <c r="D22848" i="53"/>
  <c r="B22848" i="53"/>
  <c r="F22847" i="53"/>
  <c r="E22847" i="53"/>
  <c r="D22847" i="53"/>
  <c r="B22847" i="53"/>
  <c r="F22846" i="53"/>
  <c r="E22846" i="53"/>
  <c r="D22846" i="53"/>
  <c r="B22846" i="53"/>
  <c r="F22845" i="53"/>
  <c r="E22845" i="53"/>
  <c r="D22845" i="53"/>
  <c r="B22845" i="53"/>
  <c r="F22844" i="53"/>
  <c r="E22844" i="53"/>
  <c r="D22844" i="53"/>
  <c r="B22844" i="53"/>
  <c r="F22843" i="53"/>
  <c r="E22843" i="53"/>
  <c r="D22843" i="53"/>
  <c r="B22843" i="53"/>
  <c r="F22842" i="53"/>
  <c r="E22842" i="53"/>
  <c r="D22842" i="53"/>
  <c r="B22842" i="53"/>
  <c r="F22837" i="53"/>
  <c r="G22837" i="53" s="1"/>
  <c r="B22837" i="53"/>
  <c r="F22836" i="53"/>
  <c r="G22836" i="53" s="1"/>
  <c r="B22836" i="53"/>
  <c r="F22835" i="53"/>
  <c r="G22835" i="53" s="1"/>
  <c r="B22835" i="53"/>
  <c r="F22834" i="53"/>
  <c r="G22834" i="53" s="1"/>
  <c r="B22834" i="53"/>
  <c r="F22833" i="53"/>
  <c r="G22833" i="53" s="1"/>
  <c r="B22833" i="53"/>
  <c r="F22832" i="53"/>
  <c r="G22832" i="53" s="1"/>
  <c r="B22832" i="53"/>
  <c r="F22831" i="53"/>
  <c r="G22831" i="53" s="1"/>
  <c r="B22831" i="53"/>
  <c r="F22826" i="53"/>
  <c r="E22826" i="53"/>
  <c r="D22826" i="53"/>
  <c r="B22826" i="53"/>
  <c r="F22825" i="53"/>
  <c r="E22825" i="53"/>
  <c r="D22825" i="53"/>
  <c r="B22825" i="53"/>
  <c r="F22824" i="53"/>
  <c r="E22824" i="53"/>
  <c r="D22824" i="53"/>
  <c r="B22824" i="53"/>
  <c r="F22823" i="53"/>
  <c r="E22823" i="53"/>
  <c r="D22823" i="53"/>
  <c r="B22823" i="53"/>
  <c r="F22822" i="53"/>
  <c r="E22822" i="53"/>
  <c r="D22822" i="53"/>
  <c r="B22822" i="53"/>
  <c r="F22821" i="53"/>
  <c r="E22821" i="53"/>
  <c r="D22821" i="53"/>
  <c r="B22821" i="53"/>
  <c r="A22597" i="53"/>
  <c r="B22597" i="53" s="1"/>
  <c r="C447" i="55"/>
  <c r="B22594" i="53"/>
  <c r="F22649" i="53"/>
  <c r="G22649" i="53" s="1"/>
  <c r="D22649" i="53"/>
  <c r="B22649" i="53"/>
  <c r="F22648" i="53"/>
  <c r="G22648" i="53" s="1"/>
  <c r="D22648" i="53"/>
  <c r="B22648" i="53"/>
  <c r="F22647" i="53"/>
  <c r="G22647" i="53" s="1"/>
  <c r="D22647" i="53"/>
  <c r="B22647" i="53"/>
  <c r="F22646" i="53"/>
  <c r="G22646" i="53" s="1"/>
  <c r="D22646" i="53"/>
  <c r="B22646" i="53"/>
  <c r="F22645" i="53"/>
  <c r="G22645" i="53" s="1"/>
  <c r="D22645" i="53"/>
  <c r="B22645" i="53"/>
  <c r="F22640" i="53"/>
  <c r="E22640" i="53"/>
  <c r="D22640" i="53"/>
  <c r="B22640" i="53"/>
  <c r="F22639" i="53"/>
  <c r="E22639" i="53"/>
  <c r="D22639" i="53"/>
  <c r="B22639" i="53"/>
  <c r="F22638" i="53"/>
  <c r="E22638" i="53"/>
  <c r="D22638" i="53"/>
  <c r="B22638" i="53"/>
  <c r="F22637" i="53"/>
  <c r="E22637" i="53"/>
  <c r="D22637" i="53"/>
  <c r="B22637" i="53"/>
  <c r="F22636" i="53"/>
  <c r="E22636" i="53"/>
  <c r="D22636" i="53"/>
  <c r="B22636" i="53"/>
  <c r="F22635" i="53"/>
  <c r="E22635" i="53"/>
  <c r="D22635" i="53"/>
  <c r="B22635" i="53"/>
  <c r="F22634" i="53"/>
  <c r="E22634" i="53"/>
  <c r="D22634" i="53"/>
  <c r="B22634" i="53"/>
  <c r="F22633" i="53"/>
  <c r="E22633" i="53"/>
  <c r="D22633" i="53"/>
  <c r="B22633" i="53"/>
  <c r="F22632" i="53"/>
  <c r="E22632" i="53"/>
  <c r="D22632" i="53"/>
  <c r="B22632" i="53"/>
  <c r="F22631" i="53"/>
  <c r="E22631" i="53"/>
  <c r="D22631" i="53"/>
  <c r="B22631" i="53"/>
  <c r="F22630" i="53"/>
  <c r="E22630" i="53"/>
  <c r="D22630" i="53"/>
  <c r="B22630" i="53"/>
  <c r="F22629" i="53"/>
  <c r="E22629" i="53"/>
  <c r="D22629" i="53"/>
  <c r="B22629" i="53"/>
  <c r="F22628" i="53"/>
  <c r="E22628" i="53"/>
  <c r="D22628" i="53"/>
  <c r="B22628" i="53"/>
  <c r="F22623" i="53"/>
  <c r="G22623" i="53" s="1"/>
  <c r="B22623" i="53"/>
  <c r="F22622" i="53"/>
  <c r="G22622" i="53" s="1"/>
  <c r="B22622" i="53"/>
  <c r="F22621" i="53"/>
  <c r="G22621" i="53" s="1"/>
  <c r="B22621" i="53"/>
  <c r="F22620" i="53"/>
  <c r="G22620" i="53" s="1"/>
  <c r="B22620" i="53"/>
  <c r="F22619" i="53"/>
  <c r="G22619" i="53" s="1"/>
  <c r="B22619" i="53"/>
  <c r="F22618" i="53"/>
  <c r="G22618" i="53" s="1"/>
  <c r="B22618" i="53"/>
  <c r="F22617" i="53"/>
  <c r="G22617" i="53" s="1"/>
  <c r="B22617" i="53"/>
  <c r="F22612" i="53"/>
  <c r="E22612" i="53"/>
  <c r="D22612" i="53"/>
  <c r="B22612" i="53"/>
  <c r="F22611" i="53"/>
  <c r="E22611" i="53"/>
  <c r="D22611" i="53"/>
  <c r="B22611" i="53"/>
  <c r="F22610" i="53"/>
  <c r="E22610" i="53"/>
  <c r="D22610" i="53"/>
  <c r="B22610" i="53"/>
  <c r="F22609" i="53"/>
  <c r="E22609" i="53"/>
  <c r="D22609" i="53"/>
  <c r="B22609" i="53"/>
  <c r="F22608" i="53"/>
  <c r="E22608" i="53"/>
  <c r="D22608" i="53"/>
  <c r="B22608" i="53"/>
  <c r="F22607" i="53"/>
  <c r="E22607" i="53"/>
  <c r="D22607" i="53"/>
  <c r="B22607" i="53"/>
  <c r="A15236" i="53"/>
  <c r="A15166" i="53"/>
  <c r="A12725" i="53"/>
  <c r="E446" i="55"/>
  <c r="C446" i="55" s="1"/>
  <c r="E445" i="55"/>
  <c r="C445" i="55" s="1"/>
  <c r="E444" i="55"/>
  <c r="C444" i="55" s="1"/>
  <c r="E443" i="55"/>
  <c r="C443" i="55" s="1"/>
  <c r="A22455" i="53"/>
  <c r="B22455" i="53" s="1"/>
  <c r="B22452" i="53"/>
  <c r="F22507" i="53"/>
  <c r="G22507" i="53" s="1"/>
  <c r="D22507" i="53"/>
  <c r="B22507" i="53"/>
  <c r="F22506" i="53"/>
  <c r="G22506" i="53" s="1"/>
  <c r="D22506" i="53"/>
  <c r="B22506" i="53"/>
  <c r="F22505" i="53"/>
  <c r="G22505" i="53" s="1"/>
  <c r="D22505" i="53"/>
  <c r="B22505" i="53"/>
  <c r="F22504" i="53"/>
  <c r="G22504" i="53" s="1"/>
  <c r="D22504" i="53"/>
  <c r="B22504" i="53"/>
  <c r="F22503" i="53"/>
  <c r="G22503" i="53" s="1"/>
  <c r="D22503" i="53"/>
  <c r="B22503" i="53"/>
  <c r="F22498" i="53"/>
  <c r="E22498" i="53"/>
  <c r="D22498" i="53"/>
  <c r="B22498" i="53"/>
  <c r="F22497" i="53"/>
  <c r="E22497" i="53"/>
  <c r="D22497" i="53"/>
  <c r="B22497" i="53"/>
  <c r="F22496" i="53"/>
  <c r="E22496" i="53"/>
  <c r="D22496" i="53"/>
  <c r="B22496" i="53"/>
  <c r="F22495" i="53"/>
  <c r="E22495" i="53"/>
  <c r="D22495" i="53"/>
  <c r="B22495" i="53"/>
  <c r="F22494" i="53"/>
  <c r="E22494" i="53"/>
  <c r="D22494" i="53"/>
  <c r="B22494" i="53"/>
  <c r="F22493" i="53"/>
  <c r="E22493" i="53"/>
  <c r="D22493" i="53"/>
  <c r="B22493" i="53"/>
  <c r="F22492" i="53"/>
  <c r="E22492" i="53"/>
  <c r="D22492" i="53"/>
  <c r="B22492" i="53"/>
  <c r="F22491" i="53"/>
  <c r="E22491" i="53"/>
  <c r="D22491" i="53"/>
  <c r="B22491" i="53"/>
  <c r="F22490" i="53"/>
  <c r="E22490" i="53"/>
  <c r="D22490" i="53"/>
  <c r="B22490" i="53"/>
  <c r="F22489" i="53"/>
  <c r="E22489" i="53"/>
  <c r="D22489" i="53"/>
  <c r="B22489" i="53"/>
  <c r="F22488" i="53"/>
  <c r="E22488" i="53"/>
  <c r="D22488" i="53"/>
  <c r="B22488" i="53"/>
  <c r="F22487" i="53"/>
  <c r="E22487" i="53"/>
  <c r="D22487" i="53"/>
  <c r="B22487" i="53"/>
  <c r="F22486" i="53"/>
  <c r="E22486" i="53"/>
  <c r="D22486" i="53"/>
  <c r="B22486" i="53"/>
  <c r="F22481" i="53"/>
  <c r="E22481" i="53"/>
  <c r="B22481" i="53"/>
  <c r="F22480" i="53"/>
  <c r="G22480" i="53" s="1"/>
  <c r="B22480" i="53"/>
  <c r="F22479" i="53"/>
  <c r="G22479" i="53" s="1"/>
  <c r="B22479" i="53"/>
  <c r="F22478" i="53"/>
  <c r="G22478" i="53" s="1"/>
  <c r="B22478" i="53"/>
  <c r="F22477" i="53"/>
  <c r="G22477" i="53" s="1"/>
  <c r="B22477" i="53"/>
  <c r="F22476" i="53"/>
  <c r="G22476" i="53" s="1"/>
  <c r="B22476" i="53"/>
  <c r="F22475" i="53"/>
  <c r="G22475" i="53" s="1"/>
  <c r="B22475" i="53"/>
  <c r="F22470" i="53"/>
  <c r="E22470" i="53"/>
  <c r="D22470" i="53"/>
  <c r="B22470" i="53"/>
  <c r="F22469" i="53"/>
  <c r="E22469" i="53"/>
  <c r="D22469" i="53"/>
  <c r="B22469" i="53"/>
  <c r="F22468" i="53"/>
  <c r="E22468" i="53"/>
  <c r="D22468" i="53"/>
  <c r="B22468" i="53"/>
  <c r="F22467" i="53"/>
  <c r="E22467" i="53"/>
  <c r="D22467" i="53"/>
  <c r="B22467" i="53"/>
  <c r="F22466" i="53"/>
  <c r="E22466" i="53"/>
  <c r="D22466" i="53"/>
  <c r="B22466" i="53"/>
  <c r="F22465" i="53"/>
  <c r="E22465" i="53"/>
  <c r="D22465" i="53"/>
  <c r="B22465" i="53"/>
  <c r="F22811" i="53" l="1"/>
  <c r="G22811" i="53" s="1"/>
  <c r="G22817" i="53" s="1"/>
  <c r="D22811" i="53"/>
  <c r="B22811" i="53"/>
  <c r="G22997" i="53"/>
  <c r="G22969" i="53"/>
  <c r="G22853" i="53"/>
  <c r="G22609" i="53"/>
  <c r="G22823" i="53"/>
  <c r="G22825" i="53"/>
  <c r="G22842" i="53"/>
  <c r="G22852" i="53"/>
  <c r="G22926" i="53"/>
  <c r="G22898" i="53"/>
  <c r="G22631" i="53"/>
  <c r="G22844" i="53"/>
  <c r="G22854" i="53"/>
  <c r="G22822" i="53"/>
  <c r="G22824" i="53"/>
  <c r="G22843" i="53"/>
  <c r="G22845" i="53"/>
  <c r="G22847" i="53"/>
  <c r="G22849" i="53"/>
  <c r="G22851" i="53"/>
  <c r="G22635" i="53"/>
  <c r="G22633" i="53"/>
  <c r="G22608" i="53"/>
  <c r="G22826" i="53"/>
  <c r="G22846" i="53"/>
  <c r="G22848" i="53"/>
  <c r="G22850" i="53"/>
  <c r="G22821" i="53"/>
  <c r="G22838" i="53"/>
  <c r="G22864" i="53"/>
  <c r="G22610" i="53"/>
  <c r="G22612" i="53"/>
  <c r="G22629" i="53"/>
  <c r="G22637" i="53"/>
  <c r="G22639" i="53"/>
  <c r="G22630" i="53"/>
  <c r="G22632" i="53"/>
  <c r="G22634" i="53"/>
  <c r="G22638" i="53"/>
  <c r="G22640" i="53"/>
  <c r="G22636" i="53"/>
  <c r="G22607" i="53"/>
  <c r="G22611" i="53"/>
  <c r="G22628" i="53"/>
  <c r="G22650" i="53"/>
  <c r="G22624" i="53"/>
  <c r="D22597" i="53"/>
  <c r="G22466" i="53"/>
  <c r="G22468" i="53"/>
  <c r="G22470" i="53"/>
  <c r="G22490" i="53"/>
  <c r="G22487" i="53"/>
  <c r="G22495" i="53"/>
  <c r="G22467" i="53"/>
  <c r="G22486" i="53"/>
  <c r="G22492" i="53"/>
  <c r="G22494" i="53"/>
  <c r="G22496" i="53"/>
  <c r="G22498" i="53"/>
  <c r="G22497" i="53"/>
  <c r="G22488" i="53"/>
  <c r="G22469" i="53"/>
  <c r="G22465" i="53"/>
  <c r="G22481" i="53"/>
  <c r="G22482" i="53" s="1"/>
  <c r="G22489" i="53"/>
  <c r="G22491" i="53"/>
  <c r="G22493" i="53"/>
  <c r="G22508" i="53"/>
  <c r="D22455" i="53"/>
  <c r="G22937" i="53" l="1"/>
  <c r="G22827" i="53"/>
  <c r="G22855" i="53"/>
  <c r="G22641" i="53"/>
  <c r="G22613" i="53"/>
  <c r="G22471" i="53"/>
  <c r="G22499" i="53"/>
  <c r="A20376" i="53"/>
  <c r="C442" i="55"/>
  <c r="A19409" i="53"/>
  <c r="J435" i="1" l="1"/>
  <c r="G22939" i="53"/>
  <c r="G22940" i="53"/>
  <c r="G22941" i="53"/>
  <c r="G22945" i="53" s="1"/>
  <c r="G22866" i="53"/>
  <c r="A17690" i="53"/>
  <c r="C441" i="55"/>
  <c r="A17618" i="53"/>
  <c r="C440" i="55"/>
  <c r="A17192" i="53"/>
  <c r="C439" i="55"/>
  <c r="F14623" i="53" s="1"/>
  <c r="G14623" i="53" s="1"/>
  <c r="G14624" i="53" s="1"/>
  <c r="G14669" i="53" s="1"/>
  <c r="J269" i="1" s="1"/>
  <c r="A17191" i="53"/>
  <c r="A17188" i="53"/>
  <c r="E16912" i="53"/>
  <c r="A16912" i="53"/>
  <c r="A16911" i="53"/>
  <c r="M269" i="1" l="1"/>
  <c r="L269" i="1"/>
  <c r="N269" i="1"/>
  <c r="O269" i="1"/>
  <c r="K269" i="1"/>
  <c r="G14673" i="53"/>
  <c r="G14677" i="53" s="1"/>
  <c r="G14672" i="53"/>
  <c r="G14671" i="53"/>
  <c r="K435" i="1"/>
  <c r="L435" i="1"/>
  <c r="N435" i="1"/>
  <c r="M435" i="1"/>
  <c r="O435" i="1"/>
  <c r="J434" i="1"/>
  <c r="G22868" i="53"/>
  <c r="G22869" i="53"/>
  <c r="G22870" i="53"/>
  <c r="G22874" i="53" s="1"/>
  <c r="G22943" i="53"/>
  <c r="G22947" i="53" s="1"/>
  <c r="G22879" i="53" s="1"/>
  <c r="A16841" i="53"/>
  <c r="E437" i="55"/>
  <c r="C437" i="55" s="1"/>
  <c r="A16839" i="53"/>
  <c r="C436" i="55"/>
  <c r="A16769" i="53"/>
  <c r="B16769" i="53" s="1"/>
  <c r="F16418" i="53"/>
  <c r="G16418" i="53" s="1"/>
  <c r="B415" i="1"/>
  <c r="A21811" i="53" s="1"/>
  <c r="B20671" i="53"/>
  <c r="D18188" i="53"/>
  <c r="D18187" i="53"/>
  <c r="B18185" i="53"/>
  <c r="B18181" i="53"/>
  <c r="F18235" i="53"/>
  <c r="G18235" i="53" s="1"/>
  <c r="D18235" i="53"/>
  <c r="B18235" i="53"/>
  <c r="F18234" i="53"/>
  <c r="G18234" i="53" s="1"/>
  <c r="D18234" i="53"/>
  <c r="B18234" i="53"/>
  <c r="F18233" i="53"/>
  <c r="G18233" i="53" s="1"/>
  <c r="D18233" i="53"/>
  <c r="B18233" i="53"/>
  <c r="F18232" i="53"/>
  <c r="G18232" i="53" s="1"/>
  <c r="D18232" i="53"/>
  <c r="B18232" i="53"/>
  <c r="F18231" i="53"/>
  <c r="G18231" i="53" s="1"/>
  <c r="D18231" i="53"/>
  <c r="B18231" i="53"/>
  <c r="F18226" i="53"/>
  <c r="E18226" i="53"/>
  <c r="D18226" i="53"/>
  <c r="B18226" i="53"/>
  <c r="F18225" i="53"/>
  <c r="E18225" i="53"/>
  <c r="D18225" i="53"/>
  <c r="B18225" i="53"/>
  <c r="F18224" i="53"/>
  <c r="E18224" i="53"/>
  <c r="D18224" i="53"/>
  <c r="B18224" i="53"/>
  <c r="F18223" i="53"/>
  <c r="E18223" i="53"/>
  <c r="D18223" i="53"/>
  <c r="B18223" i="53"/>
  <c r="F18222" i="53"/>
  <c r="E18222" i="53"/>
  <c r="D18222" i="53"/>
  <c r="B18222" i="53"/>
  <c r="F18221" i="53"/>
  <c r="E18221" i="53"/>
  <c r="D18221" i="53"/>
  <c r="B18221" i="53"/>
  <c r="F18220" i="53"/>
  <c r="E18220" i="53"/>
  <c r="D18220" i="53"/>
  <c r="B18220" i="53"/>
  <c r="F18219" i="53"/>
  <c r="E18219" i="53"/>
  <c r="D18219" i="53"/>
  <c r="B18219" i="53"/>
  <c r="F18218" i="53"/>
  <c r="E18218" i="53"/>
  <c r="D18218" i="53"/>
  <c r="B18218" i="53"/>
  <c r="F18217" i="53"/>
  <c r="E18217" i="53"/>
  <c r="D18217" i="53"/>
  <c r="B18217" i="53"/>
  <c r="F18216" i="53"/>
  <c r="E18216" i="53"/>
  <c r="D18216" i="53"/>
  <c r="B18216" i="53"/>
  <c r="F18215" i="53"/>
  <c r="E18215" i="53"/>
  <c r="D18215" i="53"/>
  <c r="B18215" i="53"/>
  <c r="F18214" i="53"/>
  <c r="E18214" i="53"/>
  <c r="D18214" i="53"/>
  <c r="B18214" i="53"/>
  <c r="F18209" i="53"/>
  <c r="G18209" i="53" s="1"/>
  <c r="B18209" i="53"/>
  <c r="F18208" i="53"/>
  <c r="G18208" i="53" s="1"/>
  <c r="B18208" i="53"/>
  <c r="F18207" i="53"/>
  <c r="G18207" i="53" s="1"/>
  <c r="B18207" i="53"/>
  <c r="F18206" i="53"/>
  <c r="G18206" i="53" s="1"/>
  <c r="B18206" i="53"/>
  <c r="F18205" i="53"/>
  <c r="G18205" i="53" s="1"/>
  <c r="B18205" i="53"/>
  <c r="F18204" i="53"/>
  <c r="G18204" i="53" s="1"/>
  <c r="B18204" i="53"/>
  <c r="F18199" i="53"/>
  <c r="E18199" i="53"/>
  <c r="D18199" i="53"/>
  <c r="B18199" i="53"/>
  <c r="F18198" i="53"/>
  <c r="E18198" i="53"/>
  <c r="D18198" i="53"/>
  <c r="B18198" i="53"/>
  <c r="F18197" i="53"/>
  <c r="E18197" i="53"/>
  <c r="D18197" i="53"/>
  <c r="B18197" i="53"/>
  <c r="F18196" i="53"/>
  <c r="E18196" i="53"/>
  <c r="D18196" i="53"/>
  <c r="B18196" i="53"/>
  <c r="F18195" i="53"/>
  <c r="E18195" i="53"/>
  <c r="D18195" i="53"/>
  <c r="B18195" i="53"/>
  <c r="F18194" i="53"/>
  <c r="E18194" i="53"/>
  <c r="D18194" i="53"/>
  <c r="B18194" i="53"/>
  <c r="F18189" i="53"/>
  <c r="D18189" i="53"/>
  <c r="B18189" i="53"/>
  <c r="A20218" i="53"/>
  <c r="A12801" i="53"/>
  <c r="A12800" i="53"/>
  <c r="C435" i="55"/>
  <c r="F15306" i="53" s="1"/>
  <c r="G15306" i="53" s="1"/>
  <c r="G14675" i="53" l="1"/>
  <c r="G14679" i="53" s="1"/>
  <c r="G14620" i="53" s="1"/>
  <c r="K434" i="1"/>
  <c r="L434" i="1"/>
  <c r="N434" i="1"/>
  <c r="M434" i="1"/>
  <c r="O434" i="1"/>
  <c r="F11447" i="53"/>
  <c r="G11447" i="53" s="1"/>
  <c r="G11450" i="53" s="1"/>
  <c r="G11496" i="53" s="1"/>
  <c r="J208" i="1" s="1"/>
  <c r="G22872" i="53"/>
  <c r="G22876" i="53" s="1"/>
  <c r="G22808" i="53" s="1"/>
  <c r="G18214" i="53"/>
  <c r="G18218" i="53"/>
  <c r="G18222" i="53"/>
  <c r="G18196" i="53"/>
  <c r="G18217" i="53"/>
  <c r="G18225" i="53"/>
  <c r="G18194" i="53"/>
  <c r="G18195" i="53"/>
  <c r="G18199" i="53"/>
  <c r="G18226" i="53"/>
  <c r="B18188" i="53"/>
  <c r="D18185" i="53"/>
  <c r="G18197" i="53"/>
  <c r="G18224" i="53"/>
  <c r="G18198" i="53"/>
  <c r="G18215" i="53"/>
  <c r="G18219" i="53"/>
  <c r="G18221" i="53"/>
  <c r="G18223" i="53"/>
  <c r="G18216" i="53"/>
  <c r="G18220" i="53"/>
  <c r="G18189" i="53"/>
  <c r="D18184" i="53"/>
  <c r="G18236" i="53"/>
  <c r="G18210" i="53"/>
  <c r="B18184" i="53"/>
  <c r="D18186" i="53"/>
  <c r="E12799" i="53"/>
  <c r="A12799" i="53"/>
  <c r="C434" i="55"/>
  <c r="F3755" i="53" s="1"/>
  <c r="G3755" i="53" s="1"/>
  <c r="E12798" i="53"/>
  <c r="A12798" i="53"/>
  <c r="D12798" i="53" s="1"/>
  <c r="A12797" i="53"/>
  <c r="D12797" i="53" s="1"/>
  <c r="B12794" i="53"/>
  <c r="F12850" i="53"/>
  <c r="G12850" i="53" s="1"/>
  <c r="D12850" i="53"/>
  <c r="B12850" i="53"/>
  <c r="F12849" i="53"/>
  <c r="G12849" i="53" s="1"/>
  <c r="D12849" i="53"/>
  <c r="B12849" i="53"/>
  <c r="F12848" i="53"/>
  <c r="G12848" i="53" s="1"/>
  <c r="D12848" i="53"/>
  <c r="B12848" i="53"/>
  <c r="F12847" i="53"/>
  <c r="G12847" i="53" s="1"/>
  <c r="D12847" i="53"/>
  <c r="B12847" i="53"/>
  <c r="F12846" i="53"/>
  <c r="G12846" i="53" s="1"/>
  <c r="D12846" i="53"/>
  <c r="B12846" i="53"/>
  <c r="F12841" i="53"/>
  <c r="E12841" i="53"/>
  <c r="D12841" i="53"/>
  <c r="B12841" i="53"/>
  <c r="F12840" i="53"/>
  <c r="E12840" i="53"/>
  <c r="D12840" i="53"/>
  <c r="B12840" i="53"/>
  <c r="F12839" i="53"/>
  <c r="E12839" i="53"/>
  <c r="D12839" i="53"/>
  <c r="B12839" i="53"/>
  <c r="F12838" i="53"/>
  <c r="E12838" i="53"/>
  <c r="D12838" i="53"/>
  <c r="B12838" i="53"/>
  <c r="F12837" i="53"/>
  <c r="E12837" i="53"/>
  <c r="D12837" i="53"/>
  <c r="B12837" i="53"/>
  <c r="F12836" i="53"/>
  <c r="E12836" i="53"/>
  <c r="D12836" i="53"/>
  <c r="B12836" i="53"/>
  <c r="F12835" i="53"/>
  <c r="E12835" i="53"/>
  <c r="D12835" i="53"/>
  <c r="B12835" i="53"/>
  <c r="F12834" i="53"/>
  <c r="E12834" i="53"/>
  <c r="D12834" i="53"/>
  <c r="B12834" i="53"/>
  <c r="F12833" i="53"/>
  <c r="E12833" i="53"/>
  <c r="D12833" i="53"/>
  <c r="B12833" i="53"/>
  <c r="F12832" i="53"/>
  <c r="E12832" i="53"/>
  <c r="D12832" i="53"/>
  <c r="B12832" i="53"/>
  <c r="F12831" i="53"/>
  <c r="E12831" i="53"/>
  <c r="D12831" i="53"/>
  <c r="B12831" i="53"/>
  <c r="F12830" i="53"/>
  <c r="E12830" i="53"/>
  <c r="D12830" i="53"/>
  <c r="B12830" i="53"/>
  <c r="F12829" i="53"/>
  <c r="E12829" i="53"/>
  <c r="D12829" i="53"/>
  <c r="B12829" i="53"/>
  <c r="F12824" i="53"/>
  <c r="G12824" i="53" s="1"/>
  <c r="B12824" i="53"/>
  <c r="F12823" i="53"/>
  <c r="G12823" i="53" s="1"/>
  <c r="B12823" i="53"/>
  <c r="F12822" i="53"/>
  <c r="G12822" i="53" s="1"/>
  <c r="B12822" i="53"/>
  <c r="F12821" i="53"/>
  <c r="G12821" i="53" s="1"/>
  <c r="B12821" i="53"/>
  <c r="F12820" i="53"/>
  <c r="G12820" i="53" s="1"/>
  <c r="B12820" i="53"/>
  <c r="F12819" i="53"/>
  <c r="G12819" i="53" s="1"/>
  <c r="B12819" i="53"/>
  <c r="F12814" i="53"/>
  <c r="E12814" i="53"/>
  <c r="D12814" i="53"/>
  <c r="B12814" i="53"/>
  <c r="F12813" i="53"/>
  <c r="E12813" i="53"/>
  <c r="D12813" i="53"/>
  <c r="B12813" i="53"/>
  <c r="F12812" i="53"/>
  <c r="E12812" i="53"/>
  <c r="D12812" i="53"/>
  <c r="B12812" i="53"/>
  <c r="F12811" i="53"/>
  <c r="E12811" i="53"/>
  <c r="D12811" i="53"/>
  <c r="B12811" i="53"/>
  <c r="F12810" i="53"/>
  <c r="E12810" i="53"/>
  <c r="D12810" i="53"/>
  <c r="B12810" i="53"/>
  <c r="F12809" i="53"/>
  <c r="E12809" i="53"/>
  <c r="D12809" i="53"/>
  <c r="B12809" i="53"/>
  <c r="F12804" i="53"/>
  <c r="D12804" i="53"/>
  <c r="B12804" i="53"/>
  <c r="F12803" i="53"/>
  <c r="G12803" i="53" s="1"/>
  <c r="D12803" i="53"/>
  <c r="B12803" i="53"/>
  <c r="D12802" i="53"/>
  <c r="B12802" i="53"/>
  <c r="F12802" i="53"/>
  <c r="G12802" i="53" s="1"/>
  <c r="D12801" i="53"/>
  <c r="B12801" i="53"/>
  <c r="B12800" i="53"/>
  <c r="D12800" i="53"/>
  <c r="A12794" i="53"/>
  <c r="A18181" i="53"/>
  <c r="A9948" i="53"/>
  <c r="A9947" i="53"/>
  <c r="A9946" i="53"/>
  <c r="B9946" i="53" s="1"/>
  <c r="A9945" i="53"/>
  <c r="A9943" i="53"/>
  <c r="B9943" i="53" s="1"/>
  <c r="A9944" i="53"/>
  <c r="A9942" i="53"/>
  <c r="B9939" i="53"/>
  <c r="F9995" i="53"/>
  <c r="G9995" i="53" s="1"/>
  <c r="D9995" i="53"/>
  <c r="B9995" i="53"/>
  <c r="F9994" i="53"/>
  <c r="G9994" i="53" s="1"/>
  <c r="D9994" i="53"/>
  <c r="B9994" i="53"/>
  <c r="F9993" i="53"/>
  <c r="G9993" i="53" s="1"/>
  <c r="D9993" i="53"/>
  <c r="B9993" i="53"/>
  <c r="F9992" i="53"/>
  <c r="G9992" i="53" s="1"/>
  <c r="D9992" i="53"/>
  <c r="B9992" i="53"/>
  <c r="F9991" i="53"/>
  <c r="G9991" i="53" s="1"/>
  <c r="D9991" i="53"/>
  <c r="B9991" i="53"/>
  <c r="F9986" i="53"/>
  <c r="E9986" i="53"/>
  <c r="D9986" i="53"/>
  <c r="B9986" i="53"/>
  <c r="F9985" i="53"/>
  <c r="E9985" i="53"/>
  <c r="D9985" i="53"/>
  <c r="B9985" i="53"/>
  <c r="F9984" i="53"/>
  <c r="E9984" i="53"/>
  <c r="D9984" i="53"/>
  <c r="B9984" i="53"/>
  <c r="F9983" i="53"/>
  <c r="E9983" i="53"/>
  <c r="D9983" i="53"/>
  <c r="B9983" i="53"/>
  <c r="F9982" i="53"/>
  <c r="E9982" i="53"/>
  <c r="D9982" i="53"/>
  <c r="B9982" i="53"/>
  <c r="F9981" i="53"/>
  <c r="E9981" i="53"/>
  <c r="D9981" i="53"/>
  <c r="B9981" i="53"/>
  <c r="F9980" i="53"/>
  <c r="E9980" i="53"/>
  <c r="D9980" i="53"/>
  <c r="B9980" i="53"/>
  <c r="F9979" i="53"/>
  <c r="E9979" i="53"/>
  <c r="D9979" i="53"/>
  <c r="B9979" i="53"/>
  <c r="F9978" i="53"/>
  <c r="E9978" i="53"/>
  <c r="D9978" i="53"/>
  <c r="B9978" i="53"/>
  <c r="F9977" i="53"/>
  <c r="E9977" i="53"/>
  <c r="D9977" i="53"/>
  <c r="B9977" i="53"/>
  <c r="F9976" i="53"/>
  <c r="E9976" i="53"/>
  <c r="D9976" i="53"/>
  <c r="B9976" i="53"/>
  <c r="F9975" i="53"/>
  <c r="E9975" i="53"/>
  <c r="D9975" i="53"/>
  <c r="B9975" i="53"/>
  <c r="F9974" i="53"/>
  <c r="E9974" i="53"/>
  <c r="D9974" i="53"/>
  <c r="B9974" i="53"/>
  <c r="F9969" i="53"/>
  <c r="G9969" i="53" s="1"/>
  <c r="B9969" i="53"/>
  <c r="F9968" i="53"/>
  <c r="G9968" i="53" s="1"/>
  <c r="B9968" i="53"/>
  <c r="F9967" i="53"/>
  <c r="G9967" i="53" s="1"/>
  <c r="B9967" i="53"/>
  <c r="F9966" i="53"/>
  <c r="G9966" i="53" s="1"/>
  <c r="B9966" i="53"/>
  <c r="F9965" i="53"/>
  <c r="G9965" i="53" s="1"/>
  <c r="B9965" i="53"/>
  <c r="F9964" i="53"/>
  <c r="G9964" i="53" s="1"/>
  <c r="B9964" i="53"/>
  <c r="F9959" i="53"/>
  <c r="E9959" i="53"/>
  <c r="D9959" i="53"/>
  <c r="B9959" i="53"/>
  <c r="F9958" i="53"/>
  <c r="E9958" i="53"/>
  <c r="D9958" i="53"/>
  <c r="B9958" i="53"/>
  <c r="F9957" i="53"/>
  <c r="E9957" i="53"/>
  <c r="D9957" i="53"/>
  <c r="B9957" i="53"/>
  <c r="F9956" i="53"/>
  <c r="E9956" i="53"/>
  <c r="D9956" i="53"/>
  <c r="B9956" i="53"/>
  <c r="F9955" i="53"/>
  <c r="E9955" i="53"/>
  <c r="D9955" i="53"/>
  <c r="B9955" i="53"/>
  <c r="F9954" i="53"/>
  <c r="E9954" i="53"/>
  <c r="D9954" i="53"/>
  <c r="B9954" i="53"/>
  <c r="F9949" i="53"/>
  <c r="G9949" i="53" s="1"/>
  <c r="D9949" i="53"/>
  <c r="B9949" i="53"/>
  <c r="E9945" i="53"/>
  <c r="E9947" i="53" s="1"/>
  <c r="A9876" i="53"/>
  <c r="D9876" i="53" s="1"/>
  <c r="C433" i="55"/>
  <c r="C429" i="55"/>
  <c r="E430" i="55"/>
  <c r="C430" i="55" s="1"/>
  <c r="A9874" i="53"/>
  <c r="C432" i="55"/>
  <c r="E9875" i="53"/>
  <c r="A9875" i="53"/>
  <c r="A9873" i="53"/>
  <c r="D9873" i="53" s="1"/>
  <c r="A9872" i="53"/>
  <c r="B9872" i="53" s="1"/>
  <c r="C431" i="55"/>
  <c r="A9871" i="53"/>
  <c r="A9870" i="53"/>
  <c r="D9870" i="53" s="1"/>
  <c r="B9867" i="53"/>
  <c r="F9923" i="53"/>
  <c r="G9923" i="53" s="1"/>
  <c r="D9923" i="53"/>
  <c r="B9923" i="53"/>
  <c r="F9922" i="53"/>
  <c r="G9922" i="53" s="1"/>
  <c r="D9922" i="53"/>
  <c r="B9922" i="53"/>
  <c r="F9921" i="53"/>
  <c r="G9921" i="53" s="1"/>
  <c r="D9921" i="53"/>
  <c r="B9921" i="53"/>
  <c r="F9920" i="53"/>
  <c r="G9920" i="53" s="1"/>
  <c r="D9920" i="53"/>
  <c r="B9920" i="53"/>
  <c r="F9919" i="53"/>
  <c r="G9919" i="53" s="1"/>
  <c r="D9919" i="53"/>
  <c r="B9919" i="53"/>
  <c r="F9914" i="53"/>
  <c r="E9914" i="53"/>
  <c r="D9914" i="53"/>
  <c r="B9914" i="53"/>
  <c r="F9913" i="53"/>
  <c r="E9913" i="53"/>
  <c r="D9913" i="53"/>
  <c r="B9913" i="53"/>
  <c r="F9912" i="53"/>
  <c r="E9912" i="53"/>
  <c r="D9912" i="53"/>
  <c r="B9912" i="53"/>
  <c r="F9911" i="53"/>
  <c r="E9911" i="53"/>
  <c r="D9911" i="53"/>
  <c r="B9911" i="53"/>
  <c r="F9910" i="53"/>
  <c r="E9910" i="53"/>
  <c r="D9910" i="53"/>
  <c r="B9910" i="53"/>
  <c r="F9909" i="53"/>
  <c r="E9909" i="53"/>
  <c r="D9909" i="53"/>
  <c r="B9909" i="53"/>
  <c r="F9908" i="53"/>
  <c r="E9908" i="53"/>
  <c r="D9908" i="53"/>
  <c r="B9908" i="53"/>
  <c r="F9907" i="53"/>
  <c r="E9907" i="53"/>
  <c r="D9907" i="53"/>
  <c r="B9907" i="53"/>
  <c r="F9906" i="53"/>
  <c r="E9906" i="53"/>
  <c r="D9906" i="53"/>
  <c r="B9906" i="53"/>
  <c r="F9905" i="53"/>
  <c r="E9905" i="53"/>
  <c r="D9905" i="53"/>
  <c r="B9905" i="53"/>
  <c r="F9904" i="53"/>
  <c r="E9904" i="53"/>
  <c r="D9904" i="53"/>
  <c r="B9904" i="53"/>
  <c r="F9903" i="53"/>
  <c r="E9903" i="53"/>
  <c r="D9903" i="53"/>
  <c r="B9903" i="53"/>
  <c r="F9902" i="53"/>
  <c r="E9902" i="53"/>
  <c r="D9902" i="53"/>
  <c r="B9902" i="53"/>
  <c r="F9897" i="53"/>
  <c r="G9897" i="53" s="1"/>
  <c r="B9897" i="53"/>
  <c r="F9896" i="53"/>
  <c r="G9896" i="53" s="1"/>
  <c r="B9896" i="53"/>
  <c r="F9895" i="53"/>
  <c r="G9895" i="53" s="1"/>
  <c r="B9895" i="53"/>
  <c r="F9894" i="53"/>
  <c r="G9894" i="53" s="1"/>
  <c r="B9894" i="53"/>
  <c r="F9893" i="53"/>
  <c r="G9893" i="53" s="1"/>
  <c r="B9893" i="53"/>
  <c r="F9892" i="53"/>
  <c r="G9892" i="53" s="1"/>
  <c r="B9892" i="53"/>
  <c r="F9887" i="53"/>
  <c r="E9887" i="53"/>
  <c r="D9887" i="53"/>
  <c r="B9887" i="53"/>
  <c r="F9886" i="53"/>
  <c r="E9886" i="53"/>
  <c r="D9886" i="53"/>
  <c r="B9886" i="53"/>
  <c r="F9885" i="53"/>
  <c r="E9885" i="53"/>
  <c r="D9885" i="53"/>
  <c r="B9885" i="53"/>
  <c r="F9884" i="53"/>
  <c r="E9884" i="53"/>
  <c r="D9884" i="53"/>
  <c r="B9884" i="53"/>
  <c r="F9883" i="53"/>
  <c r="E9883" i="53"/>
  <c r="D9883" i="53"/>
  <c r="B9883" i="53"/>
  <c r="F9882" i="53"/>
  <c r="E9882" i="53"/>
  <c r="D9882" i="53"/>
  <c r="B9882" i="53"/>
  <c r="F9877" i="53"/>
  <c r="G9877" i="53" s="1"/>
  <c r="D9877" i="53"/>
  <c r="B9877" i="53"/>
  <c r="L208" i="1" l="1"/>
  <c r="K208" i="1"/>
  <c r="O208" i="1"/>
  <c r="N208" i="1"/>
  <c r="M208" i="1"/>
  <c r="G11499" i="53"/>
  <c r="G11498" i="53"/>
  <c r="G11500" i="53"/>
  <c r="G11504" i="53" s="1"/>
  <c r="D9946" i="53"/>
  <c r="F12799" i="53"/>
  <c r="G12799" i="53" s="1"/>
  <c r="G18200" i="53"/>
  <c r="G12829" i="53"/>
  <c r="G12831" i="53"/>
  <c r="G12833" i="53"/>
  <c r="B12799" i="53"/>
  <c r="G12840" i="53"/>
  <c r="G9954" i="53"/>
  <c r="G9956" i="53"/>
  <c r="G12810" i="53"/>
  <c r="G12814" i="53"/>
  <c r="G12832" i="53"/>
  <c r="G12834" i="53"/>
  <c r="G12841" i="53"/>
  <c r="G12809" i="53"/>
  <c r="G12811" i="53"/>
  <c r="G18227" i="53"/>
  <c r="G12835" i="53"/>
  <c r="G9979" i="53"/>
  <c r="G9981" i="53"/>
  <c r="G9983" i="53"/>
  <c r="G9985" i="53"/>
  <c r="G12837" i="53"/>
  <c r="G12830" i="53"/>
  <c r="G9978" i="53"/>
  <c r="G12813" i="53"/>
  <c r="G12836" i="53"/>
  <c r="G12838" i="53"/>
  <c r="G12812" i="53"/>
  <c r="G12839" i="53"/>
  <c r="G9882" i="53"/>
  <c r="G9884" i="53"/>
  <c r="G9886" i="53"/>
  <c r="B12798" i="53"/>
  <c r="G12804" i="53"/>
  <c r="F9948" i="53"/>
  <c r="G9948" i="53" s="1"/>
  <c r="F9942" i="53"/>
  <c r="G9942" i="53" s="1"/>
  <c r="F9944" i="53"/>
  <c r="G9944" i="53" s="1"/>
  <c r="B12797" i="53"/>
  <c r="G12851" i="53"/>
  <c r="G12825" i="53"/>
  <c r="G9902" i="53"/>
  <c r="G9974" i="53"/>
  <c r="G9982" i="53"/>
  <c r="G9984" i="53"/>
  <c r="G9986" i="53"/>
  <c r="G9955" i="53"/>
  <c r="G9957" i="53"/>
  <c r="G9959" i="53"/>
  <c r="G9975" i="53"/>
  <c r="G9977" i="53"/>
  <c r="B9942" i="53"/>
  <c r="B9945" i="53"/>
  <c r="G9883" i="53"/>
  <c r="G9885" i="53"/>
  <c r="G9887" i="53"/>
  <c r="D9942" i="53"/>
  <c r="D9945" i="53"/>
  <c r="B9948" i="53"/>
  <c r="G9905" i="53"/>
  <c r="D9948" i="53"/>
  <c r="G9958" i="53"/>
  <c r="G9976" i="53"/>
  <c r="G9980" i="53"/>
  <c r="G9996" i="53"/>
  <c r="G9970" i="53"/>
  <c r="G9913" i="53"/>
  <c r="F9943" i="53"/>
  <c r="G9943" i="53" s="1"/>
  <c r="D9947" i="53"/>
  <c r="B9947" i="53"/>
  <c r="B9944" i="53"/>
  <c r="D9944" i="53"/>
  <c r="G9910" i="53"/>
  <c r="G9912" i="53"/>
  <c r="G9914" i="53"/>
  <c r="G9903" i="53"/>
  <c r="G9909" i="53"/>
  <c r="B9876" i="53"/>
  <c r="F9876" i="53"/>
  <c r="G9876" i="53" s="1"/>
  <c r="G9908" i="53"/>
  <c r="G9907" i="53"/>
  <c r="G9911" i="53"/>
  <c r="G9904" i="53"/>
  <c r="G9906" i="53"/>
  <c r="B9875" i="53"/>
  <c r="D9875" i="53"/>
  <c r="B9874" i="53"/>
  <c r="D9874" i="53"/>
  <c r="B9873" i="53"/>
  <c r="D9872" i="53"/>
  <c r="G9924" i="53"/>
  <c r="G9898" i="53"/>
  <c r="B9871" i="53"/>
  <c r="B9870" i="53"/>
  <c r="C428" i="55"/>
  <c r="F17900" i="53" s="1"/>
  <c r="G17900" i="53" s="1"/>
  <c r="A17899" i="53"/>
  <c r="C427" i="55"/>
  <c r="A20666" i="53"/>
  <c r="A20665" i="53"/>
  <c r="A20664" i="53"/>
  <c r="A20663" i="53"/>
  <c r="A20661" i="53"/>
  <c r="D20661" i="53" s="1"/>
  <c r="B20658" i="53"/>
  <c r="F20717" i="53"/>
  <c r="G20717" i="53" s="1"/>
  <c r="D20717" i="53"/>
  <c r="B20717" i="53"/>
  <c r="F20716" i="53"/>
  <c r="G20716" i="53" s="1"/>
  <c r="D20716" i="53"/>
  <c r="B20716" i="53"/>
  <c r="F20715" i="53"/>
  <c r="G20715" i="53" s="1"/>
  <c r="D20715" i="53"/>
  <c r="B20715" i="53"/>
  <c r="F20714" i="53"/>
  <c r="G20714" i="53" s="1"/>
  <c r="D20714" i="53"/>
  <c r="B20714" i="53"/>
  <c r="F20709" i="53"/>
  <c r="E20709" i="53"/>
  <c r="D20709" i="53"/>
  <c r="B20709" i="53"/>
  <c r="F20708" i="53"/>
  <c r="E20708" i="53"/>
  <c r="D20708" i="53"/>
  <c r="B20708" i="53"/>
  <c r="F20707" i="53"/>
  <c r="E20707" i="53"/>
  <c r="D20707" i="53"/>
  <c r="B20707" i="53"/>
  <c r="F20706" i="53"/>
  <c r="E20706" i="53"/>
  <c r="D20706" i="53"/>
  <c r="B20706" i="53"/>
  <c r="F20705" i="53"/>
  <c r="E20705" i="53"/>
  <c r="D20705" i="53"/>
  <c r="B20705" i="53"/>
  <c r="F20704" i="53"/>
  <c r="E20704" i="53"/>
  <c r="D20704" i="53"/>
  <c r="B20704" i="53"/>
  <c r="F20703" i="53"/>
  <c r="E20703" i="53"/>
  <c r="D20703" i="53"/>
  <c r="B20703" i="53"/>
  <c r="F20702" i="53"/>
  <c r="E20702" i="53"/>
  <c r="D20702" i="53"/>
  <c r="B20702" i="53"/>
  <c r="F20701" i="53"/>
  <c r="E20701" i="53"/>
  <c r="D20701" i="53"/>
  <c r="B20701" i="53"/>
  <c r="F20700" i="53"/>
  <c r="E20700" i="53"/>
  <c r="D20700" i="53"/>
  <c r="B20700" i="53"/>
  <c r="F20699" i="53"/>
  <c r="E20699" i="53"/>
  <c r="D20699" i="53"/>
  <c r="B20699" i="53"/>
  <c r="F20698" i="53"/>
  <c r="E20698" i="53"/>
  <c r="D20698" i="53"/>
  <c r="B20698" i="53"/>
  <c r="F20697" i="53"/>
  <c r="E20697" i="53"/>
  <c r="D20697" i="53"/>
  <c r="B20697" i="53"/>
  <c r="F20692" i="53"/>
  <c r="G20692" i="53" s="1"/>
  <c r="B20692" i="53"/>
  <c r="F20691" i="53"/>
  <c r="G20691" i="53" s="1"/>
  <c r="B20691" i="53"/>
  <c r="F20690" i="53"/>
  <c r="G20690" i="53" s="1"/>
  <c r="B20690" i="53"/>
  <c r="F20689" i="53"/>
  <c r="G20689" i="53" s="1"/>
  <c r="B20689" i="53"/>
  <c r="F20688" i="53"/>
  <c r="G20688" i="53" s="1"/>
  <c r="B20688" i="53"/>
  <c r="F20687" i="53"/>
  <c r="G20687" i="53" s="1"/>
  <c r="B20687" i="53"/>
  <c r="F20682" i="53"/>
  <c r="E20682" i="53"/>
  <c r="D20682" i="53"/>
  <c r="B20682" i="53"/>
  <c r="F20681" i="53"/>
  <c r="E20681" i="53"/>
  <c r="D20681" i="53"/>
  <c r="B20681" i="53"/>
  <c r="F20680" i="53"/>
  <c r="E20680" i="53"/>
  <c r="D20680" i="53"/>
  <c r="B20680" i="53"/>
  <c r="F20679" i="53"/>
  <c r="E20679" i="53"/>
  <c r="D20679" i="53"/>
  <c r="B20679" i="53"/>
  <c r="F20678" i="53"/>
  <c r="E20678" i="53"/>
  <c r="D20678" i="53"/>
  <c r="B20678" i="53"/>
  <c r="F20677" i="53"/>
  <c r="E20677" i="53"/>
  <c r="D20677" i="53"/>
  <c r="B20677" i="53"/>
  <c r="C426" i="55"/>
  <c r="E18116" i="53"/>
  <c r="C425" i="55"/>
  <c r="C424" i="55"/>
  <c r="F16842" i="53" l="1"/>
  <c r="G16842" i="53" s="1"/>
  <c r="F18256" i="53"/>
  <c r="G18256" i="53" s="1"/>
  <c r="F16840" i="53"/>
  <c r="G16840" i="53" s="1"/>
  <c r="F18254" i="53"/>
  <c r="G18254" i="53" s="1"/>
  <c r="G11502" i="53"/>
  <c r="G11506" i="53" s="1"/>
  <c r="G11444" i="53" s="1"/>
  <c r="G12815" i="53"/>
  <c r="G9888" i="53"/>
  <c r="G12842" i="53"/>
  <c r="G9960" i="53"/>
  <c r="G20708" i="53"/>
  <c r="G20681" i="53"/>
  <c r="G20702" i="53"/>
  <c r="G20704" i="53"/>
  <c r="G9987" i="53"/>
  <c r="G20706" i="53"/>
  <c r="G20701" i="53"/>
  <c r="G20709" i="53"/>
  <c r="G20705" i="53"/>
  <c r="G20707" i="53"/>
  <c r="G20699" i="53"/>
  <c r="G9915" i="53"/>
  <c r="G20682" i="53"/>
  <c r="G20700" i="53"/>
  <c r="G20698" i="53"/>
  <c r="G20677" i="53"/>
  <c r="G20679" i="53"/>
  <c r="G20693" i="53"/>
  <c r="G20697" i="53"/>
  <c r="G20680" i="53"/>
  <c r="G20718" i="53"/>
  <c r="G20678" i="53"/>
  <c r="G20703" i="53"/>
  <c r="D20665" i="53"/>
  <c r="D20664" i="53"/>
  <c r="B20663" i="53"/>
  <c r="B20666" i="53"/>
  <c r="D20663" i="53"/>
  <c r="D20666" i="53"/>
  <c r="B20665" i="53"/>
  <c r="G20710" i="53" l="1"/>
  <c r="G20683" i="53"/>
  <c r="A14560" i="53" l="1"/>
  <c r="A14497" i="53"/>
  <c r="C367" i="55" l="1"/>
  <c r="C366" i="55"/>
  <c r="A9867" i="53" l="1"/>
  <c r="A9939" i="53"/>
  <c r="C423" i="55"/>
  <c r="F12798" i="53" s="1"/>
  <c r="G12798" i="53" s="1"/>
  <c r="E422" i="55"/>
  <c r="C422" i="55" s="1"/>
  <c r="F12797" i="53" s="1"/>
  <c r="G12797" i="53" s="1"/>
  <c r="E421" i="55"/>
  <c r="C421" i="55" s="1"/>
  <c r="C221" i="60" l="1"/>
  <c r="C420" i="55" s="1"/>
  <c r="C222" i="60"/>
  <c r="C223" i="60"/>
  <c r="C224" i="60"/>
  <c r="B16766" i="53"/>
  <c r="B16773" i="53"/>
  <c r="F16820" i="53"/>
  <c r="G16820" i="53" s="1"/>
  <c r="D16820" i="53"/>
  <c r="B16820" i="53"/>
  <c r="F16819" i="53"/>
  <c r="G16819" i="53" s="1"/>
  <c r="D16819" i="53"/>
  <c r="B16819" i="53"/>
  <c r="F16818" i="53"/>
  <c r="G16818" i="53" s="1"/>
  <c r="D16818" i="53"/>
  <c r="B16818" i="53"/>
  <c r="F16817" i="53"/>
  <c r="G16817" i="53" s="1"/>
  <c r="D16817" i="53"/>
  <c r="B16817" i="53"/>
  <c r="F16816" i="53"/>
  <c r="G16816" i="53" s="1"/>
  <c r="D16816" i="53"/>
  <c r="B16816" i="53"/>
  <c r="F16811" i="53"/>
  <c r="E16811" i="53"/>
  <c r="D16811" i="53"/>
  <c r="B16811" i="53"/>
  <c r="F16810" i="53"/>
  <c r="E16810" i="53"/>
  <c r="D16810" i="53"/>
  <c r="B16810" i="53"/>
  <c r="F16809" i="53"/>
  <c r="E16809" i="53"/>
  <c r="D16809" i="53"/>
  <c r="B16809" i="53"/>
  <c r="F16808" i="53"/>
  <c r="E16808" i="53"/>
  <c r="D16808" i="53"/>
  <c r="B16808" i="53"/>
  <c r="F16807" i="53"/>
  <c r="E16807" i="53"/>
  <c r="D16807" i="53"/>
  <c r="B16807" i="53"/>
  <c r="F16806" i="53"/>
  <c r="E16806" i="53"/>
  <c r="D16806" i="53"/>
  <c r="B16806" i="53"/>
  <c r="F16805" i="53"/>
  <c r="E16805" i="53"/>
  <c r="D16805" i="53"/>
  <c r="B16805" i="53"/>
  <c r="F16804" i="53"/>
  <c r="E16804" i="53"/>
  <c r="D16804" i="53"/>
  <c r="B16804" i="53"/>
  <c r="F16803" i="53"/>
  <c r="E16803" i="53"/>
  <c r="D16803" i="53"/>
  <c r="B16803" i="53"/>
  <c r="F16802" i="53"/>
  <c r="E16802" i="53"/>
  <c r="D16802" i="53"/>
  <c r="B16802" i="53"/>
  <c r="F16801" i="53"/>
  <c r="E16801" i="53"/>
  <c r="D16801" i="53"/>
  <c r="B16801" i="53"/>
  <c r="F16800" i="53"/>
  <c r="E16800" i="53"/>
  <c r="D16800" i="53"/>
  <c r="B16800" i="53"/>
  <c r="F16799" i="53"/>
  <c r="E16799" i="53"/>
  <c r="D16799" i="53"/>
  <c r="B16799" i="53"/>
  <c r="F16794" i="53"/>
  <c r="G16794" i="53" s="1"/>
  <c r="B16794" i="53"/>
  <c r="F16793" i="53"/>
  <c r="G16793" i="53" s="1"/>
  <c r="B16793" i="53"/>
  <c r="F16792" i="53"/>
  <c r="G16792" i="53" s="1"/>
  <c r="B16792" i="53"/>
  <c r="F16791" i="53"/>
  <c r="G16791" i="53" s="1"/>
  <c r="B16791" i="53"/>
  <c r="F16790" i="53"/>
  <c r="G16790" i="53" s="1"/>
  <c r="B16790" i="53"/>
  <c r="F16789" i="53"/>
  <c r="G16789" i="53" s="1"/>
  <c r="B16789" i="53"/>
  <c r="F16788" i="53"/>
  <c r="G16788" i="53" s="1"/>
  <c r="B16788" i="53"/>
  <c r="F16783" i="53"/>
  <c r="E16783" i="53"/>
  <c r="D16783" i="53"/>
  <c r="B16783" i="53"/>
  <c r="F16782" i="53"/>
  <c r="E16782" i="53"/>
  <c r="D16782" i="53"/>
  <c r="B16782" i="53"/>
  <c r="F16781" i="53"/>
  <c r="E16781" i="53"/>
  <c r="D16781" i="53"/>
  <c r="B16781" i="53"/>
  <c r="F16780" i="53"/>
  <c r="E16780" i="53"/>
  <c r="D16780" i="53"/>
  <c r="B16780" i="53"/>
  <c r="F16779" i="53"/>
  <c r="E16779" i="53"/>
  <c r="D16779" i="53"/>
  <c r="B16779" i="53"/>
  <c r="F16778" i="53"/>
  <c r="E16778" i="53"/>
  <c r="D16778" i="53"/>
  <c r="B16778" i="53"/>
  <c r="F16773" i="53"/>
  <c r="G16773" i="53" s="1"/>
  <c r="D16773" i="53"/>
  <c r="B16772" i="53"/>
  <c r="F16772" i="53"/>
  <c r="G16772" i="53" s="1"/>
  <c r="F16771" i="53"/>
  <c r="G16771" i="53" s="1"/>
  <c r="D16771" i="53"/>
  <c r="B16771" i="53"/>
  <c r="F16770" i="53"/>
  <c r="D16770" i="53"/>
  <c r="B16770" i="53"/>
  <c r="A16417" i="53"/>
  <c r="E419" i="55"/>
  <c r="C419" i="55" s="1"/>
  <c r="B16414" i="53"/>
  <c r="F16464" i="53"/>
  <c r="G16464" i="53" s="1"/>
  <c r="D16464" i="53"/>
  <c r="B16464" i="53"/>
  <c r="F16463" i="53"/>
  <c r="G16463" i="53" s="1"/>
  <c r="D16463" i="53"/>
  <c r="B16463" i="53"/>
  <c r="F16462" i="53"/>
  <c r="G16462" i="53" s="1"/>
  <c r="D16462" i="53"/>
  <c r="B16462" i="53"/>
  <c r="F16461" i="53"/>
  <c r="G16461" i="53" s="1"/>
  <c r="D16461" i="53"/>
  <c r="B16461" i="53"/>
  <c r="F16460" i="53"/>
  <c r="G16460" i="53" s="1"/>
  <c r="D16460" i="53"/>
  <c r="B16460" i="53"/>
  <c r="F16455" i="53"/>
  <c r="E16455" i="53"/>
  <c r="D16455" i="53"/>
  <c r="B16455" i="53"/>
  <c r="F16454" i="53"/>
  <c r="E16454" i="53"/>
  <c r="D16454" i="53"/>
  <c r="B16454" i="53"/>
  <c r="F16453" i="53"/>
  <c r="E16453" i="53"/>
  <c r="D16453" i="53"/>
  <c r="B16453" i="53"/>
  <c r="F16452" i="53"/>
  <c r="E16452" i="53"/>
  <c r="D16452" i="53"/>
  <c r="B16452" i="53"/>
  <c r="F16451" i="53"/>
  <c r="E16451" i="53"/>
  <c r="D16451" i="53"/>
  <c r="B16451" i="53"/>
  <c r="F16450" i="53"/>
  <c r="E16450" i="53"/>
  <c r="D16450" i="53"/>
  <c r="B16450" i="53"/>
  <c r="F16449" i="53"/>
  <c r="E16449" i="53"/>
  <c r="D16449" i="53"/>
  <c r="B16449" i="53"/>
  <c r="F16448" i="53"/>
  <c r="E16448" i="53"/>
  <c r="D16448" i="53"/>
  <c r="B16448" i="53"/>
  <c r="F16447" i="53"/>
  <c r="E16447" i="53"/>
  <c r="D16447" i="53"/>
  <c r="B16447" i="53"/>
  <c r="F16446" i="53"/>
  <c r="E16446" i="53"/>
  <c r="D16446" i="53"/>
  <c r="B16446" i="53"/>
  <c r="F16445" i="53"/>
  <c r="E16445" i="53"/>
  <c r="D16445" i="53"/>
  <c r="B16445" i="53"/>
  <c r="F16444" i="53"/>
  <c r="E16444" i="53"/>
  <c r="D16444" i="53"/>
  <c r="B16444" i="53"/>
  <c r="F16443" i="53"/>
  <c r="E16443" i="53"/>
  <c r="D16443" i="53"/>
  <c r="B16443" i="53"/>
  <c r="F16438" i="53"/>
  <c r="G16438" i="53" s="1"/>
  <c r="B16438" i="53"/>
  <c r="F16437" i="53"/>
  <c r="G16437" i="53" s="1"/>
  <c r="B16437" i="53"/>
  <c r="F16436" i="53"/>
  <c r="G16436" i="53" s="1"/>
  <c r="B16436" i="53"/>
  <c r="F16435" i="53"/>
  <c r="G16435" i="53" s="1"/>
  <c r="B16435" i="53"/>
  <c r="F16434" i="53"/>
  <c r="G16434" i="53" s="1"/>
  <c r="B16434" i="53"/>
  <c r="F16433" i="53"/>
  <c r="G16433" i="53" s="1"/>
  <c r="B16433" i="53"/>
  <c r="F16428" i="53"/>
  <c r="E16428" i="53"/>
  <c r="D16428" i="53"/>
  <c r="B16428" i="53"/>
  <c r="F16427" i="53"/>
  <c r="E16427" i="53"/>
  <c r="D16427" i="53"/>
  <c r="B16427" i="53"/>
  <c r="F16426" i="53"/>
  <c r="E16426" i="53"/>
  <c r="D16426" i="53"/>
  <c r="B16426" i="53"/>
  <c r="F16425" i="53"/>
  <c r="E16425" i="53"/>
  <c r="D16425" i="53"/>
  <c r="B16425" i="53"/>
  <c r="F16424" i="53"/>
  <c r="E16424" i="53"/>
  <c r="D16424" i="53"/>
  <c r="B16424" i="53"/>
  <c r="F16423" i="53"/>
  <c r="E16423" i="53"/>
  <c r="D16423" i="53"/>
  <c r="B16423" i="53"/>
  <c r="D16418" i="53"/>
  <c r="B16418" i="53"/>
  <c r="A15731" i="53"/>
  <c r="E370" i="55"/>
  <c r="C370" i="55" s="1"/>
  <c r="B15728" i="53"/>
  <c r="B15780" i="53"/>
  <c r="F15780" i="53"/>
  <c r="G15780" i="53" s="1"/>
  <c r="D15780" i="53"/>
  <c r="F15779" i="53"/>
  <c r="G15779" i="53" s="1"/>
  <c r="D15779" i="53"/>
  <c r="B15779" i="53"/>
  <c r="F15778" i="53"/>
  <c r="G15778" i="53" s="1"/>
  <c r="D15778" i="53"/>
  <c r="B15778" i="53"/>
  <c r="F15777" i="53"/>
  <c r="G15777" i="53" s="1"/>
  <c r="D15777" i="53"/>
  <c r="B15777" i="53"/>
  <c r="F15776" i="53"/>
  <c r="G15776" i="53" s="1"/>
  <c r="D15776" i="53"/>
  <c r="B15776" i="53"/>
  <c r="F15771" i="53"/>
  <c r="E15771" i="53"/>
  <c r="D15771" i="53"/>
  <c r="B15771" i="53"/>
  <c r="F15770" i="53"/>
  <c r="E15770" i="53"/>
  <c r="D15770" i="53"/>
  <c r="B15770" i="53"/>
  <c r="F15769" i="53"/>
  <c r="E15769" i="53"/>
  <c r="D15769" i="53"/>
  <c r="B15769" i="53"/>
  <c r="F15768" i="53"/>
  <c r="E15768" i="53"/>
  <c r="D15768" i="53"/>
  <c r="B15768" i="53"/>
  <c r="F15767" i="53"/>
  <c r="E15767" i="53"/>
  <c r="D15767" i="53"/>
  <c r="B15767" i="53"/>
  <c r="F15766" i="53"/>
  <c r="E15766" i="53"/>
  <c r="D15766" i="53"/>
  <c r="B15766" i="53"/>
  <c r="F15765" i="53"/>
  <c r="E15765" i="53"/>
  <c r="D15765" i="53"/>
  <c r="B15765" i="53"/>
  <c r="F15764" i="53"/>
  <c r="E15764" i="53"/>
  <c r="D15764" i="53"/>
  <c r="B15764" i="53"/>
  <c r="F15763" i="53"/>
  <c r="E15763" i="53"/>
  <c r="D15763" i="53"/>
  <c r="B15763" i="53"/>
  <c r="F15762" i="53"/>
  <c r="E15762" i="53"/>
  <c r="D15762" i="53"/>
  <c r="B15762" i="53"/>
  <c r="F15761" i="53"/>
  <c r="E15761" i="53"/>
  <c r="D15761" i="53"/>
  <c r="B15761" i="53"/>
  <c r="F15760" i="53"/>
  <c r="E15760" i="53"/>
  <c r="D15760" i="53"/>
  <c r="B15760" i="53"/>
  <c r="F15759" i="53"/>
  <c r="E15759" i="53"/>
  <c r="D15759" i="53"/>
  <c r="B15759" i="53"/>
  <c r="F15754" i="53"/>
  <c r="G15754" i="53" s="1"/>
  <c r="B15754" i="53"/>
  <c r="F15753" i="53"/>
  <c r="G15753" i="53" s="1"/>
  <c r="B15753" i="53"/>
  <c r="F15752" i="53"/>
  <c r="G15752" i="53" s="1"/>
  <c r="B15752" i="53"/>
  <c r="F15751" i="53"/>
  <c r="G15751" i="53" s="1"/>
  <c r="B15751" i="53"/>
  <c r="F15750" i="53"/>
  <c r="G15750" i="53" s="1"/>
  <c r="B15750" i="53"/>
  <c r="F15749" i="53"/>
  <c r="G15749" i="53" s="1"/>
  <c r="B15749" i="53"/>
  <c r="F15744" i="53"/>
  <c r="E15744" i="53"/>
  <c r="D15744" i="53"/>
  <c r="B15744" i="53"/>
  <c r="F15743" i="53"/>
  <c r="E15743" i="53"/>
  <c r="D15743" i="53"/>
  <c r="B15743" i="53"/>
  <c r="F15742" i="53"/>
  <c r="E15742" i="53"/>
  <c r="D15742" i="53"/>
  <c r="B15742" i="53"/>
  <c r="F15741" i="53"/>
  <c r="E15741" i="53"/>
  <c r="D15741" i="53"/>
  <c r="B15741" i="53"/>
  <c r="F15740" i="53"/>
  <c r="E15740" i="53"/>
  <c r="D15740" i="53"/>
  <c r="B15740" i="53"/>
  <c r="F15739" i="53"/>
  <c r="E15739" i="53"/>
  <c r="D15739" i="53"/>
  <c r="B15739" i="53"/>
  <c r="F15734" i="53"/>
  <c r="G15734" i="53" s="1"/>
  <c r="D15734" i="53"/>
  <c r="B15734" i="53"/>
  <c r="F15733" i="53"/>
  <c r="G15733" i="53" s="1"/>
  <c r="D15733" i="53"/>
  <c r="B15733" i="53"/>
  <c r="F15732" i="53"/>
  <c r="G15732" i="53" s="1"/>
  <c r="D15732" i="53"/>
  <c r="B15732" i="53"/>
  <c r="A14686" i="53"/>
  <c r="B14682" i="53"/>
  <c r="A15235" i="53"/>
  <c r="B15232" i="53"/>
  <c r="A15165" i="53"/>
  <c r="D15165" i="53" s="1"/>
  <c r="B15162" i="53"/>
  <c r="F15286" i="53"/>
  <c r="G15286" i="53" s="1"/>
  <c r="D15286" i="53"/>
  <c r="B15286" i="53"/>
  <c r="F15285" i="53"/>
  <c r="G15285" i="53" s="1"/>
  <c r="D15285" i="53"/>
  <c r="B15285" i="53"/>
  <c r="F15284" i="53"/>
  <c r="G15284" i="53" s="1"/>
  <c r="D15284" i="53"/>
  <c r="B15284" i="53"/>
  <c r="F15283" i="53"/>
  <c r="G15283" i="53" s="1"/>
  <c r="D15283" i="53"/>
  <c r="B15283" i="53"/>
  <c r="F15282" i="53"/>
  <c r="G15282" i="53" s="1"/>
  <c r="D15282" i="53"/>
  <c r="B15282" i="53"/>
  <c r="F15277" i="53"/>
  <c r="E15277" i="53"/>
  <c r="D15277" i="53"/>
  <c r="B15277" i="53"/>
  <c r="F15276" i="53"/>
  <c r="E15276" i="53"/>
  <c r="D15276" i="53"/>
  <c r="B15276" i="53"/>
  <c r="F15275" i="53"/>
  <c r="E15275" i="53"/>
  <c r="D15275" i="53"/>
  <c r="B15275" i="53"/>
  <c r="F15274" i="53"/>
  <c r="E15274" i="53"/>
  <c r="D15274" i="53"/>
  <c r="B15274" i="53"/>
  <c r="F15273" i="53"/>
  <c r="E15273" i="53"/>
  <c r="D15273" i="53"/>
  <c r="B15273" i="53"/>
  <c r="F15272" i="53"/>
  <c r="E15272" i="53"/>
  <c r="D15272" i="53"/>
  <c r="B15272" i="53"/>
  <c r="F15271" i="53"/>
  <c r="E15271" i="53"/>
  <c r="D15271" i="53"/>
  <c r="B15271" i="53"/>
  <c r="F15270" i="53"/>
  <c r="E15270" i="53"/>
  <c r="D15270" i="53"/>
  <c r="B15270" i="53"/>
  <c r="F15269" i="53"/>
  <c r="E15269" i="53"/>
  <c r="D15269" i="53"/>
  <c r="B15269" i="53"/>
  <c r="F15268" i="53"/>
  <c r="E15268" i="53"/>
  <c r="D15268" i="53"/>
  <c r="B15268" i="53"/>
  <c r="F15267" i="53"/>
  <c r="E15267" i="53"/>
  <c r="D15267" i="53"/>
  <c r="B15267" i="53"/>
  <c r="F15266" i="53"/>
  <c r="E15266" i="53"/>
  <c r="D15266" i="53"/>
  <c r="B15266" i="53"/>
  <c r="F15265" i="53"/>
  <c r="E15265" i="53"/>
  <c r="D15265" i="53"/>
  <c r="B15265" i="53"/>
  <c r="F15260" i="53"/>
  <c r="G15260" i="53" s="1"/>
  <c r="B15260" i="53"/>
  <c r="F15259" i="53"/>
  <c r="G15259" i="53" s="1"/>
  <c r="B15259" i="53"/>
  <c r="F15258" i="53"/>
  <c r="G15258" i="53" s="1"/>
  <c r="B15258" i="53"/>
  <c r="F15257" i="53"/>
  <c r="G15257" i="53" s="1"/>
  <c r="B15257" i="53"/>
  <c r="F15256" i="53"/>
  <c r="G15256" i="53" s="1"/>
  <c r="B15256" i="53"/>
  <c r="F15255" i="53"/>
  <c r="G15255" i="53" s="1"/>
  <c r="B15255" i="53"/>
  <c r="F15250" i="53"/>
  <c r="E15250" i="53"/>
  <c r="D15250" i="53"/>
  <c r="B15250" i="53"/>
  <c r="F15249" i="53"/>
  <c r="E15249" i="53"/>
  <c r="D15249" i="53"/>
  <c r="B15249" i="53"/>
  <c r="F15248" i="53"/>
  <c r="E15248" i="53"/>
  <c r="D15248" i="53"/>
  <c r="B15248" i="53"/>
  <c r="F15247" i="53"/>
  <c r="E15247" i="53"/>
  <c r="D15247" i="53"/>
  <c r="B15247" i="53"/>
  <c r="F15246" i="53"/>
  <c r="E15246" i="53"/>
  <c r="D15246" i="53"/>
  <c r="B15246" i="53"/>
  <c r="F15245" i="53"/>
  <c r="E15245" i="53"/>
  <c r="D15245" i="53"/>
  <c r="B15245" i="53"/>
  <c r="F15244" i="53"/>
  <c r="E15244" i="53"/>
  <c r="D15244" i="53"/>
  <c r="B15244" i="53"/>
  <c r="F15243" i="53"/>
  <c r="E15243" i="53"/>
  <c r="D15243" i="53"/>
  <c r="B15243" i="53"/>
  <c r="F15238" i="53"/>
  <c r="G15238" i="53" s="1"/>
  <c r="D15238" i="53"/>
  <c r="B15238" i="53"/>
  <c r="F15237" i="53"/>
  <c r="G15237" i="53" s="1"/>
  <c r="D15237" i="53"/>
  <c r="B15237" i="53"/>
  <c r="F15236" i="53"/>
  <c r="G15236" i="53" s="1"/>
  <c r="D15236" i="53"/>
  <c r="B15236" i="53"/>
  <c r="F15216" i="53"/>
  <c r="G15216" i="53" s="1"/>
  <c r="D15216" i="53"/>
  <c r="B15216" i="53"/>
  <c r="F15215" i="53"/>
  <c r="G15215" i="53" s="1"/>
  <c r="D15215" i="53"/>
  <c r="B15215" i="53"/>
  <c r="F15214" i="53"/>
  <c r="G15214" i="53" s="1"/>
  <c r="D15214" i="53"/>
  <c r="B15214" i="53"/>
  <c r="F15213" i="53"/>
  <c r="G15213" i="53" s="1"/>
  <c r="D15213" i="53"/>
  <c r="B15213" i="53"/>
  <c r="F15212" i="53"/>
  <c r="G15212" i="53" s="1"/>
  <c r="D15212" i="53"/>
  <c r="B15212" i="53"/>
  <c r="F15207" i="53"/>
  <c r="E15207" i="53"/>
  <c r="D15207" i="53"/>
  <c r="B15207" i="53"/>
  <c r="F15206" i="53"/>
  <c r="E15206" i="53"/>
  <c r="D15206" i="53"/>
  <c r="B15206" i="53"/>
  <c r="F15205" i="53"/>
  <c r="E15205" i="53"/>
  <c r="D15205" i="53"/>
  <c r="B15205" i="53"/>
  <c r="F15204" i="53"/>
  <c r="E15204" i="53"/>
  <c r="D15204" i="53"/>
  <c r="B15204" i="53"/>
  <c r="F15203" i="53"/>
  <c r="E15203" i="53"/>
  <c r="D15203" i="53"/>
  <c r="B15203" i="53"/>
  <c r="F15202" i="53"/>
  <c r="E15202" i="53"/>
  <c r="D15202" i="53"/>
  <c r="B15202" i="53"/>
  <c r="F15201" i="53"/>
  <c r="E15201" i="53"/>
  <c r="D15201" i="53"/>
  <c r="B15201" i="53"/>
  <c r="F15200" i="53"/>
  <c r="E15200" i="53"/>
  <c r="D15200" i="53"/>
  <c r="B15200" i="53"/>
  <c r="F15199" i="53"/>
  <c r="E15199" i="53"/>
  <c r="D15199" i="53"/>
  <c r="B15199" i="53"/>
  <c r="F15198" i="53"/>
  <c r="E15198" i="53"/>
  <c r="D15198" i="53"/>
  <c r="B15198" i="53"/>
  <c r="F15197" i="53"/>
  <c r="E15197" i="53"/>
  <c r="D15197" i="53"/>
  <c r="B15197" i="53"/>
  <c r="F15196" i="53"/>
  <c r="E15196" i="53"/>
  <c r="D15196" i="53"/>
  <c r="B15196" i="53"/>
  <c r="F15195" i="53"/>
  <c r="E15195" i="53"/>
  <c r="D15195" i="53"/>
  <c r="B15195" i="53"/>
  <c r="F15190" i="53"/>
  <c r="G15190" i="53" s="1"/>
  <c r="B15190" i="53"/>
  <c r="F15189" i="53"/>
  <c r="G15189" i="53" s="1"/>
  <c r="B15189" i="53"/>
  <c r="F15188" i="53"/>
  <c r="G15188" i="53" s="1"/>
  <c r="B15188" i="53"/>
  <c r="F15187" i="53"/>
  <c r="G15187" i="53" s="1"/>
  <c r="B15187" i="53"/>
  <c r="F15186" i="53"/>
  <c r="G15186" i="53" s="1"/>
  <c r="B15186" i="53"/>
  <c r="F15185" i="53"/>
  <c r="G15185" i="53" s="1"/>
  <c r="B15185" i="53"/>
  <c r="F15180" i="53"/>
  <c r="E15180" i="53"/>
  <c r="D15180" i="53"/>
  <c r="B15180" i="53"/>
  <c r="F15179" i="53"/>
  <c r="E15179" i="53"/>
  <c r="D15179" i="53"/>
  <c r="B15179" i="53"/>
  <c r="F15178" i="53"/>
  <c r="E15178" i="53"/>
  <c r="D15178" i="53"/>
  <c r="B15178" i="53"/>
  <c r="F15177" i="53"/>
  <c r="E15177" i="53"/>
  <c r="D15177" i="53"/>
  <c r="B15177" i="53"/>
  <c r="F15176" i="53"/>
  <c r="E15176" i="53"/>
  <c r="D15176" i="53"/>
  <c r="B15176" i="53"/>
  <c r="F15175" i="53"/>
  <c r="E15175" i="53"/>
  <c r="D15175" i="53"/>
  <c r="B15175" i="53"/>
  <c r="F15174" i="53"/>
  <c r="E15174" i="53"/>
  <c r="D15174" i="53"/>
  <c r="B15174" i="53"/>
  <c r="F15173" i="53"/>
  <c r="E15173" i="53"/>
  <c r="D15173" i="53"/>
  <c r="B15173" i="53"/>
  <c r="F15168" i="53"/>
  <c r="G15168" i="53" s="1"/>
  <c r="D15168" i="53"/>
  <c r="B15168" i="53"/>
  <c r="F15167" i="53"/>
  <c r="G15167" i="53" s="1"/>
  <c r="D15167" i="53"/>
  <c r="B15167" i="53"/>
  <c r="F15166" i="53"/>
  <c r="G15166" i="53" s="1"/>
  <c r="D15166" i="53"/>
  <c r="B15166" i="53"/>
  <c r="C418" i="55"/>
  <c r="C417" i="55"/>
  <c r="E416" i="55"/>
  <c r="C416" i="55" s="1"/>
  <c r="E415" i="55"/>
  <c r="C415" i="55" s="1"/>
  <c r="A11832" i="53"/>
  <c r="B15235" i="53" l="1"/>
  <c r="G16770" i="53"/>
  <c r="F15731" i="53"/>
  <c r="G15731" i="53" s="1"/>
  <c r="G15735" i="53" s="1"/>
  <c r="G16810" i="53"/>
  <c r="G16427" i="53"/>
  <c r="G16805" i="53"/>
  <c r="G16807" i="53"/>
  <c r="G16809" i="53"/>
  <c r="G16802" i="53"/>
  <c r="G16779" i="53"/>
  <c r="G16781" i="53"/>
  <c r="G16446" i="53"/>
  <c r="G16448" i="53"/>
  <c r="G16450" i="53"/>
  <c r="G16778" i="53"/>
  <c r="G16782" i="53"/>
  <c r="G16445" i="53"/>
  <c r="G16447" i="53"/>
  <c r="G16449" i="53"/>
  <c r="G16453" i="53"/>
  <c r="G16799" i="53"/>
  <c r="G16801" i="53"/>
  <c r="G16783" i="53"/>
  <c r="G16800" i="53"/>
  <c r="G16424" i="53"/>
  <c r="G16426" i="53"/>
  <c r="G16804" i="53"/>
  <c r="G16806" i="53"/>
  <c r="G16803" i="53"/>
  <c r="G16443" i="53"/>
  <c r="G16811" i="53"/>
  <c r="G16425" i="53"/>
  <c r="G16451" i="53"/>
  <c r="G16780" i="53"/>
  <c r="G16808" i="53"/>
  <c r="G16795" i="53"/>
  <c r="G16821" i="53"/>
  <c r="G16428" i="53"/>
  <c r="G16444" i="53"/>
  <c r="G16455" i="53"/>
  <c r="G16423" i="53"/>
  <c r="G16452" i="53"/>
  <c r="D16769" i="53"/>
  <c r="D16772" i="53"/>
  <c r="G16454" i="53"/>
  <c r="B16417" i="53"/>
  <c r="D16417" i="53"/>
  <c r="G16465" i="53"/>
  <c r="G16439" i="53"/>
  <c r="G15764" i="53"/>
  <c r="G15765" i="53"/>
  <c r="G15767" i="53"/>
  <c r="G15769" i="53"/>
  <c r="G15243" i="53"/>
  <c r="G15763" i="53"/>
  <c r="G15771" i="53"/>
  <c r="G15244" i="53"/>
  <c r="G15248" i="53"/>
  <c r="G15766" i="53"/>
  <c r="G15768" i="53"/>
  <c r="G15203" i="53"/>
  <c r="G15207" i="53"/>
  <c r="G15759" i="53"/>
  <c r="G15761" i="53"/>
  <c r="G15741" i="53"/>
  <c r="G15743" i="53"/>
  <c r="G15267" i="53"/>
  <c r="G15269" i="53"/>
  <c r="G15770" i="53"/>
  <c r="G15755" i="53"/>
  <c r="G15740" i="53"/>
  <c r="B15731" i="53"/>
  <c r="G15742" i="53"/>
  <c r="G15744" i="53"/>
  <c r="D15731" i="53"/>
  <c r="G15760" i="53"/>
  <c r="G15739" i="53"/>
  <c r="G15762" i="53"/>
  <c r="G15781" i="53"/>
  <c r="G15202" i="53"/>
  <c r="G15206" i="53"/>
  <c r="G15180" i="53"/>
  <c r="G15197" i="53"/>
  <c r="G15199" i="53"/>
  <c r="G15176" i="53"/>
  <c r="G15270" i="53"/>
  <c r="G15272" i="53"/>
  <c r="G15274" i="53"/>
  <c r="G15276" i="53"/>
  <c r="B15165" i="53"/>
  <c r="G15173" i="53"/>
  <c r="G15275" i="53"/>
  <c r="G15277" i="53"/>
  <c r="G15175" i="53"/>
  <c r="G15249" i="53"/>
  <c r="G15177" i="53"/>
  <c r="G15179" i="53"/>
  <c r="G15174" i="53"/>
  <c r="G15196" i="53"/>
  <c r="G15198" i="53"/>
  <c r="G15271" i="53"/>
  <c r="G15191" i="53"/>
  <c r="G15205" i="53"/>
  <c r="G15245" i="53"/>
  <c r="G15247" i="53"/>
  <c r="G15265" i="53"/>
  <c r="G15273" i="53"/>
  <c r="G15204" i="53"/>
  <c r="G15200" i="53"/>
  <c r="G15246" i="53"/>
  <c r="G15266" i="53"/>
  <c r="G15195" i="53"/>
  <c r="G15217" i="53"/>
  <c r="G15178" i="53"/>
  <c r="G15201" i="53"/>
  <c r="G15250" i="53"/>
  <c r="G15268" i="53"/>
  <c r="D15235" i="53"/>
  <c r="G15261" i="53"/>
  <c r="G15287" i="53"/>
  <c r="B11828" i="53"/>
  <c r="C225" i="60"/>
  <c r="C226" i="60"/>
  <c r="C227" i="60"/>
  <c r="C228" i="60"/>
  <c r="C229" i="60"/>
  <c r="C230" i="60"/>
  <c r="C231" i="60"/>
  <c r="C232" i="60"/>
  <c r="C233" i="60"/>
  <c r="C234" i="60"/>
  <c r="C235" i="60"/>
  <c r="C236" i="60"/>
  <c r="C237" i="60"/>
  <c r="C238" i="60"/>
  <c r="C239" i="60"/>
  <c r="C240" i="60"/>
  <c r="C241" i="60"/>
  <c r="C242" i="60"/>
  <c r="C243" i="60"/>
  <c r="C244" i="60"/>
  <c r="C245" i="60"/>
  <c r="C246" i="60"/>
  <c r="C247" i="60"/>
  <c r="C248" i="60"/>
  <c r="C249" i="60"/>
  <c r="C250" i="60"/>
  <c r="C251" i="60"/>
  <c r="C252" i="60"/>
  <c r="C253" i="60"/>
  <c r="C254" i="60"/>
  <c r="C255" i="60"/>
  <c r="C256" i="60"/>
  <c r="C257" i="60"/>
  <c r="C258" i="60"/>
  <c r="C259" i="60"/>
  <c r="C260" i="60"/>
  <c r="G16784" i="53" l="1"/>
  <c r="G16812" i="53"/>
  <c r="G16456" i="53"/>
  <c r="G16429" i="53"/>
  <c r="G15772" i="53"/>
  <c r="G15745" i="53"/>
  <c r="G15181" i="53"/>
  <c r="G15278" i="53"/>
  <c r="G15208" i="53"/>
  <c r="G15251" i="53"/>
  <c r="A12724" i="53"/>
  <c r="B12721" i="53"/>
  <c r="F12778" i="53"/>
  <c r="G12778" i="53" s="1"/>
  <c r="D12778" i="53"/>
  <c r="B12778" i="53"/>
  <c r="F12777" i="53"/>
  <c r="G12777" i="53" s="1"/>
  <c r="D12777" i="53"/>
  <c r="B12777" i="53"/>
  <c r="F12776" i="53"/>
  <c r="G12776" i="53" s="1"/>
  <c r="D12776" i="53"/>
  <c r="B12776" i="53"/>
  <c r="F12775" i="53"/>
  <c r="G12775" i="53" s="1"/>
  <c r="D12775" i="53"/>
  <c r="B12775" i="53"/>
  <c r="F12774" i="53"/>
  <c r="G12774" i="53" s="1"/>
  <c r="D12774" i="53"/>
  <c r="B12774" i="53"/>
  <c r="F12769" i="53"/>
  <c r="E12769" i="53"/>
  <c r="D12769" i="53"/>
  <c r="B12769" i="53"/>
  <c r="F12768" i="53"/>
  <c r="E12768" i="53"/>
  <c r="D12768" i="53"/>
  <c r="B12768" i="53"/>
  <c r="F12767" i="53"/>
  <c r="E12767" i="53"/>
  <c r="D12767" i="53"/>
  <c r="B12767" i="53"/>
  <c r="F12766" i="53"/>
  <c r="E12766" i="53"/>
  <c r="D12766" i="53"/>
  <c r="B12766" i="53"/>
  <c r="F12765" i="53"/>
  <c r="E12765" i="53"/>
  <c r="D12765" i="53"/>
  <c r="B12765" i="53"/>
  <c r="F12764" i="53"/>
  <c r="E12764" i="53"/>
  <c r="D12764" i="53"/>
  <c r="B12764" i="53"/>
  <c r="F12763" i="53"/>
  <c r="E12763" i="53"/>
  <c r="D12763" i="53"/>
  <c r="B12763" i="53"/>
  <c r="F12762" i="53"/>
  <c r="E12762" i="53"/>
  <c r="D12762" i="53"/>
  <c r="B12762" i="53"/>
  <c r="F12761" i="53"/>
  <c r="E12761" i="53"/>
  <c r="D12761" i="53"/>
  <c r="B12761" i="53"/>
  <c r="F12760" i="53"/>
  <c r="E12760" i="53"/>
  <c r="D12760" i="53"/>
  <c r="B12760" i="53"/>
  <c r="F12759" i="53"/>
  <c r="E12759" i="53"/>
  <c r="D12759" i="53"/>
  <c r="B12759" i="53"/>
  <c r="F12758" i="53"/>
  <c r="E12758" i="53"/>
  <c r="D12758" i="53"/>
  <c r="B12758" i="53"/>
  <c r="F12757" i="53"/>
  <c r="E12757" i="53"/>
  <c r="D12757" i="53"/>
  <c r="B12757" i="53"/>
  <c r="F12752" i="53"/>
  <c r="G12752" i="53" s="1"/>
  <c r="B12752" i="53"/>
  <c r="F12751" i="53"/>
  <c r="G12751" i="53" s="1"/>
  <c r="B12751" i="53"/>
  <c r="F12750" i="53"/>
  <c r="G12750" i="53" s="1"/>
  <c r="B12750" i="53"/>
  <c r="F12749" i="53"/>
  <c r="G12749" i="53" s="1"/>
  <c r="B12749" i="53"/>
  <c r="F12748" i="53"/>
  <c r="G12748" i="53" s="1"/>
  <c r="B12748" i="53"/>
  <c r="F12747" i="53"/>
  <c r="G12747" i="53" s="1"/>
  <c r="B12747" i="53"/>
  <c r="F12742" i="53"/>
  <c r="E12742" i="53"/>
  <c r="D12742" i="53"/>
  <c r="B12742" i="53"/>
  <c r="F12741" i="53"/>
  <c r="E12741" i="53"/>
  <c r="D12741" i="53"/>
  <c r="B12741" i="53"/>
  <c r="F12740" i="53"/>
  <c r="E12740" i="53"/>
  <c r="D12740" i="53"/>
  <c r="B12740" i="53"/>
  <c r="F12739" i="53"/>
  <c r="E12739" i="53"/>
  <c r="D12739" i="53"/>
  <c r="B12739" i="53"/>
  <c r="F12738" i="53"/>
  <c r="E12738" i="53"/>
  <c r="D12738" i="53"/>
  <c r="B12738" i="53"/>
  <c r="F12737" i="53"/>
  <c r="E12737" i="53"/>
  <c r="D12737" i="53"/>
  <c r="B12737" i="53"/>
  <c r="F12736" i="53"/>
  <c r="E12736" i="53"/>
  <c r="D12736" i="53"/>
  <c r="B12736" i="53"/>
  <c r="F12735" i="53"/>
  <c r="E12735" i="53"/>
  <c r="D12735" i="53"/>
  <c r="B12735" i="53"/>
  <c r="F12730" i="53"/>
  <c r="G12730" i="53" s="1"/>
  <c r="D12730" i="53"/>
  <c r="B12730" i="53"/>
  <c r="F12729" i="53"/>
  <c r="G12729" i="53" s="1"/>
  <c r="D12729" i="53"/>
  <c r="B12729" i="53"/>
  <c r="F12728" i="53"/>
  <c r="G12728" i="53" s="1"/>
  <c r="D12728" i="53"/>
  <c r="B12728" i="53"/>
  <c r="F12727" i="53"/>
  <c r="G12727" i="53" s="1"/>
  <c r="D12727" i="53"/>
  <c r="B12727" i="53"/>
  <c r="F12726" i="53"/>
  <c r="G12726" i="53" s="1"/>
  <c r="D12726" i="53"/>
  <c r="B12726" i="53"/>
  <c r="F12725" i="53"/>
  <c r="G12725" i="53" s="1"/>
  <c r="D12725" i="53"/>
  <c r="B12725" i="53"/>
  <c r="A12651" i="53"/>
  <c r="D12651" i="53" s="1"/>
  <c r="B12648" i="53"/>
  <c r="F12705" i="53"/>
  <c r="G12705" i="53" s="1"/>
  <c r="D12705" i="53"/>
  <c r="B12705" i="53"/>
  <c r="F12704" i="53"/>
  <c r="G12704" i="53" s="1"/>
  <c r="D12704" i="53"/>
  <c r="B12704" i="53"/>
  <c r="F12703" i="53"/>
  <c r="G12703" i="53" s="1"/>
  <c r="D12703" i="53"/>
  <c r="B12703" i="53"/>
  <c r="F12702" i="53"/>
  <c r="G12702" i="53" s="1"/>
  <c r="D12702" i="53"/>
  <c r="B12702" i="53"/>
  <c r="F12701" i="53"/>
  <c r="G12701" i="53" s="1"/>
  <c r="D12701" i="53"/>
  <c r="B12701" i="53"/>
  <c r="F12696" i="53"/>
  <c r="E12696" i="53"/>
  <c r="D12696" i="53"/>
  <c r="B12696" i="53"/>
  <c r="F12695" i="53"/>
  <c r="E12695" i="53"/>
  <c r="D12695" i="53"/>
  <c r="B12695" i="53"/>
  <c r="F12694" i="53"/>
  <c r="E12694" i="53"/>
  <c r="D12694" i="53"/>
  <c r="B12694" i="53"/>
  <c r="F12693" i="53"/>
  <c r="E12693" i="53"/>
  <c r="D12693" i="53"/>
  <c r="B12693" i="53"/>
  <c r="F12692" i="53"/>
  <c r="E12692" i="53"/>
  <c r="D12692" i="53"/>
  <c r="B12692" i="53"/>
  <c r="F12691" i="53"/>
  <c r="E12691" i="53"/>
  <c r="D12691" i="53"/>
  <c r="B12691" i="53"/>
  <c r="F12690" i="53"/>
  <c r="E12690" i="53"/>
  <c r="D12690" i="53"/>
  <c r="B12690" i="53"/>
  <c r="F12689" i="53"/>
  <c r="E12689" i="53"/>
  <c r="D12689" i="53"/>
  <c r="B12689" i="53"/>
  <c r="F12688" i="53"/>
  <c r="E12688" i="53"/>
  <c r="D12688" i="53"/>
  <c r="B12688" i="53"/>
  <c r="F12687" i="53"/>
  <c r="E12687" i="53"/>
  <c r="D12687" i="53"/>
  <c r="B12687" i="53"/>
  <c r="F12686" i="53"/>
  <c r="E12686" i="53"/>
  <c r="D12686" i="53"/>
  <c r="B12686" i="53"/>
  <c r="F12685" i="53"/>
  <c r="E12685" i="53"/>
  <c r="D12685" i="53"/>
  <c r="B12685" i="53"/>
  <c r="F12684" i="53"/>
  <c r="E12684" i="53"/>
  <c r="D12684" i="53"/>
  <c r="B12684" i="53"/>
  <c r="F12679" i="53"/>
  <c r="G12679" i="53" s="1"/>
  <c r="B12679" i="53"/>
  <c r="F12678" i="53"/>
  <c r="G12678" i="53" s="1"/>
  <c r="B12678" i="53"/>
  <c r="F12677" i="53"/>
  <c r="G12677" i="53" s="1"/>
  <c r="B12677" i="53"/>
  <c r="F12676" i="53"/>
  <c r="G12676" i="53" s="1"/>
  <c r="B12676" i="53"/>
  <c r="F12675" i="53"/>
  <c r="G12675" i="53" s="1"/>
  <c r="B12675" i="53"/>
  <c r="F12674" i="53"/>
  <c r="G12674" i="53" s="1"/>
  <c r="B12674" i="53"/>
  <c r="F12669" i="53"/>
  <c r="E12669" i="53"/>
  <c r="D12669" i="53"/>
  <c r="B12669" i="53"/>
  <c r="F12668" i="53"/>
  <c r="E12668" i="53"/>
  <c r="D12668" i="53"/>
  <c r="B12668" i="53"/>
  <c r="F12667" i="53"/>
  <c r="E12667" i="53"/>
  <c r="D12667" i="53"/>
  <c r="B12667" i="53"/>
  <c r="F12666" i="53"/>
  <c r="E12666" i="53"/>
  <c r="D12666" i="53"/>
  <c r="B12666" i="53"/>
  <c r="F12665" i="53"/>
  <c r="E12665" i="53"/>
  <c r="D12665" i="53"/>
  <c r="B12665" i="53"/>
  <c r="F12664" i="53"/>
  <c r="E12664" i="53"/>
  <c r="D12664" i="53"/>
  <c r="B12664" i="53"/>
  <c r="F12663" i="53"/>
  <c r="E12663" i="53"/>
  <c r="D12663" i="53"/>
  <c r="B12663" i="53"/>
  <c r="F12662" i="53"/>
  <c r="E12662" i="53"/>
  <c r="D12662" i="53"/>
  <c r="B12662" i="53"/>
  <c r="F12657" i="53"/>
  <c r="G12657" i="53" s="1"/>
  <c r="D12657" i="53"/>
  <c r="B12657" i="53"/>
  <c r="F12656" i="53"/>
  <c r="G12656" i="53" s="1"/>
  <c r="D12656" i="53"/>
  <c r="B12656" i="53"/>
  <c r="F12655" i="53"/>
  <c r="G12655" i="53" s="1"/>
  <c r="D12655" i="53"/>
  <c r="B12655" i="53"/>
  <c r="F12654" i="53"/>
  <c r="G12654" i="53" s="1"/>
  <c r="D12654" i="53"/>
  <c r="B12654" i="53"/>
  <c r="F12653" i="53"/>
  <c r="G12653" i="53" s="1"/>
  <c r="D12653" i="53"/>
  <c r="B12653" i="53"/>
  <c r="F12652" i="53"/>
  <c r="G12652" i="53" s="1"/>
  <c r="D12652" i="53"/>
  <c r="E413" i="55"/>
  <c r="E414" i="55" s="1"/>
  <c r="G15783" i="53" l="1"/>
  <c r="G12757" i="53"/>
  <c r="G12759" i="53"/>
  <c r="G12763" i="53"/>
  <c r="G12765" i="53"/>
  <c r="G12762" i="53"/>
  <c r="G12764" i="53"/>
  <c r="G12766" i="53"/>
  <c r="G12768" i="53"/>
  <c r="G12767" i="53"/>
  <c r="G12736" i="53"/>
  <c r="G12738" i="53"/>
  <c r="G12740" i="53"/>
  <c r="G12742" i="53"/>
  <c r="G12735" i="53"/>
  <c r="G12737" i="53"/>
  <c r="G12739" i="53"/>
  <c r="G12741" i="53"/>
  <c r="G12695" i="53"/>
  <c r="G12758" i="53"/>
  <c r="G12760" i="53"/>
  <c r="G12761" i="53"/>
  <c r="G12669" i="53"/>
  <c r="G12769" i="53"/>
  <c r="G12696" i="53"/>
  <c r="G12753" i="53"/>
  <c r="G12662" i="53"/>
  <c r="G12666" i="53"/>
  <c r="G12668" i="53"/>
  <c r="G12779" i="53"/>
  <c r="G12694" i="53"/>
  <c r="B12724" i="53"/>
  <c r="D12724" i="53"/>
  <c r="G12667" i="53"/>
  <c r="G12687" i="53"/>
  <c r="G12684" i="53"/>
  <c r="G12686" i="53"/>
  <c r="G12688" i="53"/>
  <c r="G12690" i="53"/>
  <c r="G12692" i="53"/>
  <c r="G12693" i="53"/>
  <c r="G12664" i="53"/>
  <c r="G12689" i="53"/>
  <c r="G12691" i="53"/>
  <c r="G12663" i="53"/>
  <c r="G12665" i="53"/>
  <c r="G12685" i="53"/>
  <c r="G12680" i="53"/>
  <c r="G12706" i="53"/>
  <c r="B12651" i="53"/>
  <c r="J308" i="1" l="1"/>
  <c r="G15785" i="53"/>
  <c r="G15787" i="53"/>
  <c r="G15791" i="53" s="1"/>
  <c r="G15786" i="53"/>
  <c r="G12743" i="53"/>
  <c r="G12770" i="53"/>
  <c r="G12670" i="53"/>
  <c r="G12697" i="53"/>
  <c r="K308" i="1" l="1"/>
  <c r="L308" i="1"/>
  <c r="O308" i="1"/>
  <c r="N308" i="1"/>
  <c r="M308" i="1"/>
  <c r="G15789" i="53"/>
  <c r="G15793" i="53" s="1"/>
  <c r="G15728" i="53" s="1"/>
  <c r="E412" i="55"/>
  <c r="C412" i="55" s="1"/>
  <c r="F15165" i="53" s="1"/>
  <c r="G15165" i="53" s="1"/>
  <c r="G15169" i="53" s="1"/>
  <c r="G15219" i="53" s="1"/>
  <c r="C414" i="55"/>
  <c r="F12651" i="53" s="1"/>
  <c r="G12651" i="53" s="1"/>
  <c r="G12658" i="53" s="1"/>
  <c r="G12708" i="53" s="1"/>
  <c r="C413" i="55"/>
  <c r="F12724" i="53" s="1"/>
  <c r="G12724" i="53" s="1"/>
  <c r="G12731" i="53" s="1"/>
  <c r="G12781" i="53" s="1"/>
  <c r="C410" i="55"/>
  <c r="C409" i="55"/>
  <c r="C408" i="55"/>
  <c r="C407" i="55"/>
  <c r="E406" i="55"/>
  <c r="C406" i="55" s="1"/>
  <c r="F3825" i="53" s="1"/>
  <c r="G3825" i="53" s="1"/>
  <c r="C405" i="55"/>
  <c r="G15223" i="53" l="1"/>
  <c r="G15227" i="53" s="1"/>
  <c r="J283" i="1"/>
  <c r="K283" i="1" s="1"/>
  <c r="G15222" i="53"/>
  <c r="G15221" i="53"/>
  <c r="J230" i="1"/>
  <c r="G12712" i="53"/>
  <c r="G12716" i="53" s="1"/>
  <c r="G12711" i="53"/>
  <c r="G12710" i="53"/>
  <c r="J231" i="1"/>
  <c r="G12784" i="53"/>
  <c r="G12785" i="53"/>
  <c r="G12789" i="53" s="1"/>
  <c r="G12783" i="53"/>
  <c r="C411" i="55"/>
  <c r="K231" i="1" l="1"/>
  <c r="L231" i="1"/>
  <c r="M231" i="1"/>
  <c r="O231" i="1"/>
  <c r="N231" i="1"/>
  <c r="K230" i="1"/>
  <c r="L230" i="1"/>
  <c r="L283" i="1"/>
  <c r="N230" i="1"/>
  <c r="M230" i="1"/>
  <c r="O230" i="1"/>
  <c r="M283" i="1"/>
  <c r="O283" i="1"/>
  <c r="N283" i="1"/>
  <c r="F1945" i="53"/>
  <c r="G1945" i="53" s="1"/>
  <c r="F15235" i="53"/>
  <c r="G15235" i="53" s="1"/>
  <c r="G15239" i="53" s="1"/>
  <c r="G15289" i="53" s="1"/>
  <c r="G15225" i="53"/>
  <c r="G15229" i="53" s="1"/>
  <c r="G15162" i="53" s="1"/>
  <c r="G12714" i="53"/>
  <c r="G12718" i="53" s="1"/>
  <c r="G12648" i="53" s="1"/>
  <c r="G12787" i="53"/>
  <c r="G12791" i="53" s="1"/>
  <c r="G12721" i="53" s="1"/>
  <c r="A9510" i="53"/>
  <c r="A16414" i="53"/>
  <c r="B316" i="1"/>
  <c r="B307" i="1"/>
  <c r="B308" i="1"/>
  <c r="A15728" i="53" s="1"/>
  <c r="B309" i="1"/>
  <c r="B310" i="1"/>
  <c r="B311" i="1"/>
  <c r="B312" i="1"/>
  <c r="B313" i="1"/>
  <c r="B314" i="1"/>
  <c r="A16141" i="53" s="1"/>
  <c r="B267" i="1"/>
  <c r="B268" i="1"/>
  <c r="A14682" i="53"/>
  <c r="B284" i="1"/>
  <c r="A15232" i="53" s="1"/>
  <c r="B283" i="1"/>
  <c r="A15162" i="53" s="1"/>
  <c r="A12303" i="53"/>
  <c r="A12373" i="53"/>
  <c r="A11828" i="53"/>
  <c r="A12648" i="53"/>
  <c r="A12721" i="53"/>
  <c r="A12869" i="53"/>
  <c r="C404" i="55"/>
  <c r="C403" i="55"/>
  <c r="F13518" i="53" s="1"/>
  <c r="G13518" i="53" s="1"/>
  <c r="G13525" i="53" s="1"/>
  <c r="G13573" i="53" s="1"/>
  <c r="J297" i="1" s="1"/>
  <c r="C402" i="55"/>
  <c r="G299" i="1"/>
  <c r="F20004" i="53" l="1"/>
  <c r="G20004" i="53" s="1"/>
  <c r="F13589" i="53"/>
  <c r="G13589" i="53" s="1"/>
  <c r="G13596" i="53" s="1"/>
  <c r="G13644" i="53" s="1"/>
  <c r="J298" i="1" s="1"/>
  <c r="J244" i="1"/>
  <c r="G13576" i="53"/>
  <c r="G13577" i="53"/>
  <c r="G13581" i="53" s="1"/>
  <c r="G13575" i="53"/>
  <c r="A16207" i="53"/>
  <c r="G15293" i="53"/>
  <c r="G15297" i="53" s="1"/>
  <c r="G15292" i="53"/>
  <c r="G15291" i="53"/>
  <c r="J284" i="1"/>
  <c r="K284" i="1" s="1"/>
  <c r="A16210" i="53"/>
  <c r="B16210" i="53" s="1"/>
  <c r="B16207" i="53"/>
  <c r="F16263" i="53"/>
  <c r="G16263" i="53" s="1"/>
  <c r="D16263" i="53"/>
  <c r="B16263" i="53"/>
  <c r="F16262" i="53"/>
  <c r="G16262" i="53" s="1"/>
  <c r="D16262" i="53"/>
  <c r="B16262" i="53"/>
  <c r="F16261" i="53"/>
  <c r="G16261" i="53" s="1"/>
  <c r="D16261" i="53"/>
  <c r="B16261" i="53"/>
  <c r="F16260" i="53"/>
  <c r="G16260" i="53" s="1"/>
  <c r="D16260" i="53"/>
  <c r="B16260" i="53"/>
  <c r="F16259" i="53"/>
  <c r="G16259" i="53" s="1"/>
  <c r="D16259" i="53"/>
  <c r="B16259" i="53"/>
  <c r="F16254" i="53"/>
  <c r="E16254" i="53"/>
  <c r="D16254" i="53"/>
  <c r="B16254" i="53"/>
  <c r="F16253" i="53"/>
  <c r="E16253" i="53"/>
  <c r="D16253" i="53"/>
  <c r="B16253" i="53"/>
  <c r="F16252" i="53"/>
  <c r="E16252" i="53"/>
  <c r="D16252" i="53"/>
  <c r="B16252" i="53"/>
  <c r="F16251" i="53"/>
  <c r="E16251" i="53"/>
  <c r="D16251" i="53"/>
  <c r="B16251" i="53"/>
  <c r="F16250" i="53"/>
  <c r="E16250" i="53"/>
  <c r="D16250" i="53"/>
  <c r="B16250" i="53"/>
  <c r="F16249" i="53"/>
  <c r="E16249" i="53"/>
  <c r="D16249" i="53"/>
  <c r="B16249" i="53"/>
  <c r="F16248" i="53"/>
  <c r="E16248" i="53"/>
  <c r="D16248" i="53"/>
  <c r="B16248" i="53"/>
  <c r="F16247" i="53"/>
  <c r="E16247" i="53"/>
  <c r="D16247" i="53"/>
  <c r="B16247" i="53"/>
  <c r="F16246" i="53"/>
  <c r="E16246" i="53"/>
  <c r="D16246" i="53"/>
  <c r="B16246" i="53"/>
  <c r="F16245" i="53"/>
  <c r="E16245" i="53"/>
  <c r="D16245" i="53"/>
  <c r="B16245" i="53"/>
  <c r="F16244" i="53"/>
  <c r="E16244" i="53"/>
  <c r="D16244" i="53"/>
  <c r="B16244" i="53"/>
  <c r="F16243" i="53"/>
  <c r="E16243" i="53"/>
  <c r="D16243" i="53"/>
  <c r="B16243" i="53"/>
  <c r="F16242" i="53"/>
  <c r="E16242" i="53"/>
  <c r="D16242" i="53"/>
  <c r="B16242" i="53"/>
  <c r="F16237" i="53"/>
  <c r="G16237" i="53" s="1"/>
  <c r="B16237" i="53"/>
  <c r="F16236" i="53"/>
  <c r="G16236" i="53" s="1"/>
  <c r="B16236" i="53"/>
  <c r="F16235" i="53"/>
  <c r="G16235" i="53" s="1"/>
  <c r="B16235" i="53"/>
  <c r="F16234" i="53"/>
  <c r="G16234" i="53" s="1"/>
  <c r="B16234" i="53"/>
  <c r="F16233" i="53"/>
  <c r="G16233" i="53" s="1"/>
  <c r="B16233" i="53"/>
  <c r="F16232" i="53"/>
  <c r="G16232" i="53" s="1"/>
  <c r="B16232" i="53"/>
  <c r="F16227" i="53"/>
  <c r="E16227" i="53"/>
  <c r="D16227" i="53"/>
  <c r="B16227" i="53"/>
  <c r="F16226" i="53"/>
  <c r="E16226" i="53"/>
  <c r="D16226" i="53"/>
  <c r="B16226" i="53"/>
  <c r="F16225" i="53"/>
  <c r="E16225" i="53"/>
  <c r="D16225" i="53"/>
  <c r="B16225" i="53"/>
  <c r="F16224" i="53"/>
  <c r="E16224" i="53"/>
  <c r="D16224" i="53"/>
  <c r="B16224" i="53"/>
  <c r="F16223" i="53"/>
  <c r="E16223" i="53"/>
  <c r="D16223" i="53"/>
  <c r="B16223" i="53"/>
  <c r="F16222" i="53"/>
  <c r="E16222" i="53"/>
  <c r="D16222" i="53"/>
  <c r="B16222" i="53"/>
  <c r="F16217" i="53"/>
  <c r="G16217" i="53" s="1"/>
  <c r="D16217" i="53"/>
  <c r="B16217" i="53"/>
  <c r="F16216" i="53"/>
  <c r="G16216" i="53" s="1"/>
  <c r="D16216" i="53"/>
  <c r="B16216" i="53"/>
  <c r="F16215" i="53"/>
  <c r="G16215" i="53" s="1"/>
  <c r="D16215" i="53"/>
  <c r="B16215" i="53"/>
  <c r="F16214" i="53"/>
  <c r="G16214" i="53" s="1"/>
  <c r="D16214" i="53"/>
  <c r="B16214" i="53"/>
  <c r="F16213" i="53"/>
  <c r="G16213" i="53" s="1"/>
  <c r="D16213" i="53"/>
  <c r="B16213" i="53"/>
  <c r="F16212" i="53"/>
  <c r="G16212" i="53" s="1"/>
  <c r="D16212" i="53"/>
  <c r="B16212" i="53"/>
  <c r="F16211" i="53"/>
  <c r="G16211" i="53" s="1"/>
  <c r="D16211" i="53"/>
  <c r="B16211" i="53"/>
  <c r="E21885" i="53"/>
  <c r="A21886" i="53"/>
  <c r="J245" i="1" l="1"/>
  <c r="G13646" i="53"/>
  <c r="G13647" i="53"/>
  <c r="G13648" i="53"/>
  <c r="G13652" i="53" s="1"/>
  <c r="L244" i="1"/>
  <c r="K244" i="1"/>
  <c r="M244" i="1"/>
  <c r="O244" i="1"/>
  <c r="N244" i="1"/>
  <c r="G13579" i="53"/>
  <c r="G13583" i="53" s="1"/>
  <c r="G13515" i="53" s="1"/>
  <c r="O284" i="1"/>
  <c r="L284" i="1"/>
  <c r="M284" i="1"/>
  <c r="N284" i="1"/>
  <c r="G15295" i="53"/>
  <c r="G15299" i="53" s="1"/>
  <c r="G15232" i="53" s="1"/>
  <c r="G16225" i="53"/>
  <c r="G16244" i="53"/>
  <c r="G16248" i="53"/>
  <c r="G16245" i="53"/>
  <c r="G16249" i="53"/>
  <c r="G16253" i="53"/>
  <c r="G16222" i="53"/>
  <c r="G16224" i="53"/>
  <c r="G16226" i="53"/>
  <c r="G16227" i="53"/>
  <c r="G16252" i="53"/>
  <c r="G16254" i="53"/>
  <c r="G16243" i="53"/>
  <c r="G16264" i="53"/>
  <c r="G16242" i="53"/>
  <c r="G16246" i="53"/>
  <c r="G16250" i="53"/>
  <c r="G16223" i="53"/>
  <c r="G16247" i="53"/>
  <c r="G16251" i="53"/>
  <c r="D16210" i="53"/>
  <c r="G16238" i="53"/>
  <c r="D21886" i="53"/>
  <c r="A20518" i="53"/>
  <c r="A20587" i="53"/>
  <c r="A20074" i="53"/>
  <c r="C401" i="55"/>
  <c r="F15446" i="53" s="1"/>
  <c r="G15446" i="53" s="1"/>
  <c r="A20073" i="53"/>
  <c r="A20072" i="53"/>
  <c r="B18186" i="53"/>
  <c r="C400" i="55"/>
  <c r="A20071" i="53"/>
  <c r="A20070" i="53"/>
  <c r="A20372" i="53"/>
  <c r="G13650" i="53" l="1"/>
  <c r="G13654" i="53" s="1"/>
  <c r="G13586" i="53" s="1"/>
  <c r="F15444" i="53"/>
  <c r="G15444" i="53" s="1"/>
  <c r="G16228" i="53"/>
  <c r="G16255" i="53"/>
  <c r="B20372" i="53"/>
  <c r="D20372" i="53"/>
  <c r="A20225" i="53" l="1"/>
  <c r="D20225" i="53" s="1"/>
  <c r="A20228" i="53"/>
  <c r="B20228" i="53" s="1"/>
  <c r="A20227" i="53"/>
  <c r="A20226" i="53"/>
  <c r="B20226" i="53" s="1"/>
  <c r="B20224" i="53"/>
  <c r="B20223" i="53"/>
  <c r="D20221" i="53"/>
  <c r="A20075" i="53"/>
  <c r="B20218" i="53"/>
  <c r="F20278" i="53"/>
  <c r="G20278" i="53" s="1"/>
  <c r="D20278" i="53"/>
  <c r="B20278" i="53"/>
  <c r="F20277" i="53"/>
  <c r="G20277" i="53" s="1"/>
  <c r="D20277" i="53"/>
  <c r="B20277" i="53"/>
  <c r="F20276" i="53"/>
  <c r="G20276" i="53" s="1"/>
  <c r="D20276" i="53"/>
  <c r="B20276" i="53"/>
  <c r="F20275" i="53"/>
  <c r="G20275" i="53" s="1"/>
  <c r="D20275" i="53"/>
  <c r="B20275" i="53"/>
  <c r="F20274" i="53"/>
  <c r="G20274" i="53" s="1"/>
  <c r="D20274" i="53"/>
  <c r="B20274" i="53"/>
  <c r="F20269" i="53"/>
  <c r="E20269" i="53"/>
  <c r="D20269" i="53"/>
  <c r="B20269" i="53"/>
  <c r="F20268" i="53"/>
  <c r="E20268" i="53"/>
  <c r="D20268" i="53"/>
  <c r="B20268" i="53"/>
  <c r="F20267" i="53"/>
  <c r="E20267" i="53"/>
  <c r="D20267" i="53"/>
  <c r="B20267" i="53"/>
  <c r="F20266" i="53"/>
  <c r="E20266" i="53"/>
  <c r="D20266" i="53"/>
  <c r="B20266" i="53"/>
  <c r="F20265" i="53"/>
  <c r="E20265" i="53"/>
  <c r="D20265" i="53"/>
  <c r="B20265" i="53"/>
  <c r="F20264" i="53"/>
  <c r="E20264" i="53"/>
  <c r="D20264" i="53"/>
  <c r="B20264" i="53"/>
  <c r="F20263" i="53"/>
  <c r="E20263" i="53"/>
  <c r="D20263" i="53"/>
  <c r="B20263" i="53"/>
  <c r="F20262" i="53"/>
  <c r="E20262" i="53"/>
  <c r="D20262" i="53"/>
  <c r="B20262" i="53"/>
  <c r="F20261" i="53"/>
  <c r="E20261" i="53"/>
  <c r="D20261" i="53"/>
  <c r="B20261" i="53"/>
  <c r="F20260" i="53"/>
  <c r="E20260" i="53"/>
  <c r="D20260" i="53"/>
  <c r="B20260" i="53"/>
  <c r="F20259" i="53"/>
  <c r="E20259" i="53"/>
  <c r="D20259" i="53"/>
  <c r="B20259" i="53"/>
  <c r="F20258" i="53"/>
  <c r="E20258" i="53"/>
  <c r="D20258" i="53"/>
  <c r="B20258" i="53"/>
  <c r="F20257" i="53"/>
  <c r="E20257" i="53"/>
  <c r="D20257" i="53"/>
  <c r="B20257" i="53"/>
  <c r="F20252" i="53"/>
  <c r="G20252" i="53" s="1"/>
  <c r="B20252" i="53"/>
  <c r="F20251" i="53"/>
  <c r="G20251" i="53" s="1"/>
  <c r="B20251" i="53"/>
  <c r="F20250" i="53"/>
  <c r="G20250" i="53" s="1"/>
  <c r="B20250" i="53"/>
  <c r="F20249" i="53"/>
  <c r="G20249" i="53" s="1"/>
  <c r="B20249" i="53"/>
  <c r="F20248" i="53"/>
  <c r="G20248" i="53" s="1"/>
  <c r="B20248" i="53"/>
  <c r="F20247" i="53"/>
  <c r="G20247" i="53" s="1"/>
  <c r="B20247" i="53"/>
  <c r="F20242" i="53"/>
  <c r="E20242" i="53"/>
  <c r="D20242" i="53"/>
  <c r="B20242" i="53"/>
  <c r="F20241" i="53"/>
  <c r="E20241" i="53"/>
  <c r="D20241" i="53"/>
  <c r="B20241" i="53"/>
  <c r="F20240" i="53"/>
  <c r="E20240" i="53"/>
  <c r="D20240" i="53"/>
  <c r="B20240" i="53"/>
  <c r="F20239" i="53"/>
  <c r="E20239" i="53"/>
  <c r="D20239" i="53"/>
  <c r="B20239" i="53"/>
  <c r="F20238" i="53"/>
  <c r="E20238" i="53"/>
  <c r="D20238" i="53"/>
  <c r="B20238" i="53"/>
  <c r="F20237" i="53"/>
  <c r="E20237" i="53"/>
  <c r="D20237" i="53"/>
  <c r="B20237" i="53"/>
  <c r="D20002" i="53"/>
  <c r="A19995" i="53"/>
  <c r="B19995" i="53"/>
  <c r="F20051" i="53"/>
  <c r="G20051" i="53" s="1"/>
  <c r="D20051" i="53"/>
  <c r="B20051" i="53"/>
  <c r="F20050" i="53"/>
  <c r="G20050" i="53" s="1"/>
  <c r="D20050" i="53"/>
  <c r="B20050" i="53"/>
  <c r="F20049" i="53"/>
  <c r="G20049" i="53" s="1"/>
  <c r="D20049" i="53"/>
  <c r="B20049" i="53"/>
  <c r="F20048" i="53"/>
  <c r="G20048" i="53" s="1"/>
  <c r="D20048" i="53"/>
  <c r="B20048" i="53"/>
  <c r="F20047" i="53"/>
  <c r="G20047" i="53" s="1"/>
  <c r="D20047" i="53"/>
  <c r="B20047" i="53"/>
  <c r="F20042" i="53"/>
  <c r="E20042" i="53"/>
  <c r="D20042" i="53"/>
  <c r="B20042" i="53"/>
  <c r="F20041" i="53"/>
  <c r="E20041" i="53"/>
  <c r="D20041" i="53"/>
  <c r="B20041" i="53"/>
  <c r="F20040" i="53"/>
  <c r="E20040" i="53"/>
  <c r="D20040" i="53"/>
  <c r="B20040" i="53"/>
  <c r="F20039" i="53"/>
  <c r="E20039" i="53"/>
  <c r="D20039" i="53"/>
  <c r="B20039" i="53"/>
  <c r="F20038" i="53"/>
  <c r="E20038" i="53"/>
  <c r="D20038" i="53"/>
  <c r="B20038" i="53"/>
  <c r="F20037" i="53"/>
  <c r="E20037" i="53"/>
  <c r="D20037" i="53"/>
  <c r="B20037" i="53"/>
  <c r="F20036" i="53"/>
  <c r="E20036" i="53"/>
  <c r="D20036" i="53"/>
  <c r="B20036" i="53"/>
  <c r="F20035" i="53"/>
  <c r="E20035" i="53"/>
  <c r="D20035" i="53"/>
  <c r="B20035" i="53"/>
  <c r="F20034" i="53"/>
  <c r="E20034" i="53"/>
  <c r="D20034" i="53"/>
  <c r="B20034" i="53"/>
  <c r="F20033" i="53"/>
  <c r="E20033" i="53"/>
  <c r="D20033" i="53"/>
  <c r="B20033" i="53"/>
  <c r="F20032" i="53"/>
  <c r="E20032" i="53"/>
  <c r="D20032" i="53"/>
  <c r="B20032" i="53"/>
  <c r="F20031" i="53"/>
  <c r="E20031" i="53"/>
  <c r="D20031" i="53"/>
  <c r="B20031" i="53"/>
  <c r="F20030" i="53"/>
  <c r="E20030" i="53"/>
  <c r="D20030" i="53"/>
  <c r="B20030" i="53"/>
  <c r="F20025" i="53"/>
  <c r="G20025" i="53" s="1"/>
  <c r="B20025" i="53"/>
  <c r="F20024" i="53"/>
  <c r="G20024" i="53" s="1"/>
  <c r="B20024" i="53"/>
  <c r="F20023" i="53"/>
  <c r="G20023" i="53" s="1"/>
  <c r="B20023" i="53"/>
  <c r="F20022" i="53"/>
  <c r="G20022" i="53" s="1"/>
  <c r="B20022" i="53"/>
  <c r="F20021" i="53"/>
  <c r="G20021" i="53" s="1"/>
  <c r="B20021" i="53"/>
  <c r="F20020" i="53"/>
  <c r="G20020" i="53" s="1"/>
  <c r="B20020" i="53"/>
  <c r="F20015" i="53"/>
  <c r="E20015" i="53"/>
  <c r="D20015" i="53"/>
  <c r="B20015" i="53"/>
  <c r="F20014" i="53"/>
  <c r="E20014" i="53"/>
  <c r="D20014" i="53"/>
  <c r="B20014" i="53"/>
  <c r="F20013" i="53"/>
  <c r="E20013" i="53"/>
  <c r="D20013" i="53"/>
  <c r="B20013" i="53"/>
  <c r="F20012" i="53"/>
  <c r="E20012" i="53"/>
  <c r="D20012" i="53"/>
  <c r="B20012" i="53"/>
  <c r="F20011" i="53"/>
  <c r="E20011" i="53"/>
  <c r="D20011" i="53"/>
  <c r="B20011" i="53"/>
  <c r="F20010" i="53"/>
  <c r="E20010" i="53"/>
  <c r="D20010" i="53"/>
  <c r="B20010" i="53"/>
  <c r="G374" i="1"/>
  <c r="G372" i="1" s="1"/>
  <c r="G416" i="1"/>
  <c r="B21881" i="53"/>
  <c r="C399" i="55"/>
  <c r="E18972" i="53"/>
  <c r="A18972" i="53"/>
  <c r="A20516" i="53"/>
  <c r="C397" i="55"/>
  <c r="D20228" i="53" l="1"/>
  <c r="G20261" i="53"/>
  <c r="G20263" i="53"/>
  <c r="G20239" i="53"/>
  <c r="G20260" i="53"/>
  <c r="G20262" i="53"/>
  <c r="G20264" i="53"/>
  <c r="G20266" i="53"/>
  <c r="G20242" i="53"/>
  <c r="G20259" i="53"/>
  <c r="G20265" i="53"/>
  <c r="G20267" i="53"/>
  <c r="G20257" i="53"/>
  <c r="G20241" i="53"/>
  <c r="G20268" i="53"/>
  <c r="G20237" i="53"/>
  <c r="G20253" i="53"/>
  <c r="G20269" i="53"/>
  <c r="G20258" i="53"/>
  <c r="G20238" i="53"/>
  <c r="G20240" i="53"/>
  <c r="D20226" i="53"/>
  <c r="D20224" i="53"/>
  <c r="B20221" i="53"/>
  <c r="G20279" i="53"/>
  <c r="B20227" i="53"/>
  <c r="D20227" i="53"/>
  <c r="D20223" i="53"/>
  <c r="D20222" i="53"/>
  <c r="D20229" i="53"/>
  <c r="G20014" i="53"/>
  <c r="G20031" i="53"/>
  <c r="G20033" i="53"/>
  <c r="G20035" i="53"/>
  <c r="G20037" i="53"/>
  <c r="G20039" i="53"/>
  <c r="D20003" i="53"/>
  <c r="D19998" i="53"/>
  <c r="G20040" i="53"/>
  <c r="G20042" i="53"/>
  <c r="G20041" i="53"/>
  <c r="G20011" i="53"/>
  <c r="G20013" i="53"/>
  <c r="G20015" i="53"/>
  <c r="G20032" i="53"/>
  <c r="G20010" i="53"/>
  <c r="G20030" i="53"/>
  <c r="G20012" i="53"/>
  <c r="G20034" i="53"/>
  <c r="G20036" i="53"/>
  <c r="G20038" i="53"/>
  <c r="D20000" i="53"/>
  <c r="G20052" i="53"/>
  <c r="G20026" i="53"/>
  <c r="D19999" i="53"/>
  <c r="D20001" i="53"/>
  <c r="A18044" i="53"/>
  <c r="G20270" i="53" l="1"/>
  <c r="G20243" i="53"/>
  <c r="G20016" i="53"/>
  <c r="G20043" i="53"/>
  <c r="B18044" i="53"/>
  <c r="D18044" i="53"/>
  <c r="G246" i="1" l="1"/>
  <c r="A21245" i="53"/>
  <c r="A21244" i="53"/>
  <c r="D21244" i="53" s="1"/>
  <c r="C396" i="55"/>
  <c r="C395" i="55"/>
  <c r="F18044" i="53" l="1"/>
  <c r="G18044" i="53" s="1"/>
  <c r="F21319" i="53"/>
  <c r="G21319" i="53" s="1"/>
  <c r="B21245" i="53"/>
  <c r="D21245" i="53"/>
  <c r="B21244" i="53"/>
  <c r="B21242" i="53"/>
  <c r="D21242" i="53"/>
  <c r="E394" i="55" l="1"/>
  <c r="C394" i="55" s="1"/>
  <c r="E393" i="55"/>
  <c r="C393" i="55" l="1"/>
  <c r="G16" i="1"/>
  <c r="A2557" i="53"/>
  <c r="B60" i="1"/>
  <c r="A3035" i="53" s="1"/>
  <c r="B61" i="1"/>
  <c r="A3107" i="53" s="1"/>
  <c r="B62" i="1"/>
  <c r="A3179" i="53" s="1"/>
  <c r="G277" i="1"/>
  <c r="G146" i="1"/>
  <c r="G155" i="1" s="1"/>
  <c r="G224" i="1"/>
  <c r="A21890" i="53"/>
  <c r="D21890" i="53" s="1"/>
  <c r="A21889" i="53"/>
  <c r="D21889" i="53" s="1"/>
  <c r="A21888" i="53"/>
  <c r="A21887" i="53"/>
  <c r="A21885" i="53"/>
  <c r="A21884" i="53"/>
  <c r="D21884" i="53" s="1"/>
  <c r="F21936" i="53"/>
  <c r="G21936" i="53" s="1"/>
  <c r="D21936" i="53"/>
  <c r="B21936" i="53"/>
  <c r="F21935" i="53"/>
  <c r="G21935" i="53" s="1"/>
  <c r="D21935" i="53"/>
  <c r="B21935" i="53"/>
  <c r="F21934" i="53"/>
  <c r="G21934" i="53" s="1"/>
  <c r="D21934" i="53"/>
  <c r="B21934" i="53"/>
  <c r="F21933" i="53"/>
  <c r="G21933" i="53" s="1"/>
  <c r="D21933" i="53"/>
  <c r="B21933" i="53"/>
  <c r="F21932" i="53"/>
  <c r="G21932" i="53" s="1"/>
  <c r="D21932" i="53"/>
  <c r="B21932" i="53"/>
  <c r="F21927" i="53"/>
  <c r="E21927" i="53"/>
  <c r="D21927" i="53"/>
  <c r="B21927" i="53"/>
  <c r="F21926" i="53"/>
  <c r="E21926" i="53"/>
  <c r="D21926" i="53"/>
  <c r="B21926" i="53"/>
  <c r="F21925" i="53"/>
  <c r="E21925" i="53"/>
  <c r="D21925" i="53"/>
  <c r="B21925" i="53"/>
  <c r="F21924" i="53"/>
  <c r="E21924" i="53"/>
  <c r="D21924" i="53"/>
  <c r="B21924" i="53"/>
  <c r="F21923" i="53"/>
  <c r="E21923" i="53"/>
  <c r="D21923" i="53"/>
  <c r="B21923" i="53"/>
  <c r="F21922" i="53"/>
  <c r="E21922" i="53"/>
  <c r="D21922" i="53"/>
  <c r="B21922" i="53"/>
  <c r="F21921" i="53"/>
  <c r="E21921" i="53"/>
  <c r="D21921" i="53"/>
  <c r="B21921" i="53"/>
  <c r="F21920" i="53"/>
  <c r="E21920" i="53"/>
  <c r="D21920" i="53"/>
  <c r="B21920" i="53"/>
  <c r="F21919" i="53"/>
  <c r="E21919" i="53"/>
  <c r="D21919" i="53"/>
  <c r="B21919" i="53"/>
  <c r="F21918" i="53"/>
  <c r="E21918" i="53"/>
  <c r="D21918" i="53"/>
  <c r="B21918" i="53"/>
  <c r="F21917" i="53"/>
  <c r="E21917" i="53"/>
  <c r="D21917" i="53"/>
  <c r="B21917" i="53"/>
  <c r="F21916" i="53"/>
  <c r="E21916" i="53"/>
  <c r="D21916" i="53"/>
  <c r="B21916" i="53"/>
  <c r="F21915" i="53"/>
  <c r="E21915" i="53"/>
  <c r="D21915" i="53"/>
  <c r="B21915" i="53"/>
  <c r="F21910" i="53"/>
  <c r="G21910" i="53" s="1"/>
  <c r="B21910" i="53"/>
  <c r="F21909" i="53"/>
  <c r="G21909" i="53" s="1"/>
  <c r="B21909" i="53"/>
  <c r="F21908" i="53"/>
  <c r="G21908" i="53" s="1"/>
  <c r="B21908" i="53"/>
  <c r="F21907" i="53"/>
  <c r="G21907" i="53" s="1"/>
  <c r="B21907" i="53"/>
  <c r="F21906" i="53"/>
  <c r="G21906" i="53" s="1"/>
  <c r="B21906" i="53"/>
  <c r="F21905" i="53"/>
  <c r="G21905" i="53" s="1"/>
  <c r="B21905" i="53"/>
  <c r="F21900" i="53"/>
  <c r="E21900" i="53"/>
  <c r="D21900" i="53"/>
  <c r="B21900" i="53"/>
  <c r="F21899" i="53"/>
  <c r="E21899" i="53"/>
  <c r="D21899" i="53"/>
  <c r="B21899" i="53"/>
  <c r="F21898" i="53"/>
  <c r="E21898" i="53"/>
  <c r="D21898" i="53"/>
  <c r="B21898" i="53"/>
  <c r="F21897" i="53"/>
  <c r="E21897" i="53"/>
  <c r="D21897" i="53"/>
  <c r="B21897" i="53"/>
  <c r="F21896" i="53"/>
  <c r="E21896" i="53"/>
  <c r="D21896" i="53"/>
  <c r="B21896" i="53"/>
  <c r="F21895" i="53"/>
  <c r="E21895" i="53"/>
  <c r="D21895" i="53"/>
  <c r="B21895" i="53"/>
  <c r="A18607" i="53"/>
  <c r="C392" i="55"/>
  <c r="A20301" i="53"/>
  <c r="C391" i="55"/>
  <c r="A19930" i="53"/>
  <c r="A19929" i="53"/>
  <c r="A19928" i="53"/>
  <c r="E390" i="55"/>
  <c r="C390" i="55" s="1"/>
  <c r="A19932" i="53"/>
  <c r="A19931" i="53"/>
  <c r="D19931" i="53" s="1"/>
  <c r="G159" i="1" l="1"/>
  <c r="G145" i="1"/>
  <c r="G160" i="1"/>
  <c r="G147" i="1"/>
  <c r="G7" i="1"/>
  <c r="M7" i="1" s="1"/>
  <c r="G11" i="1"/>
  <c r="G21924" i="53"/>
  <c r="G21917" i="53"/>
  <c r="G21895" i="53"/>
  <c r="G21897" i="53"/>
  <c r="G21899" i="53"/>
  <c r="G21900" i="53"/>
  <c r="G21919" i="53"/>
  <c r="G21923" i="53"/>
  <c r="G21921" i="53"/>
  <c r="G21925" i="53"/>
  <c r="G21896" i="53"/>
  <c r="G21898" i="53"/>
  <c r="G21922" i="53"/>
  <c r="G21915" i="53"/>
  <c r="G21926" i="53"/>
  <c r="G21916" i="53"/>
  <c r="G21927" i="53"/>
  <c r="G21918" i="53"/>
  <c r="G21920" i="53"/>
  <c r="G21937" i="53"/>
  <c r="G21911" i="53"/>
  <c r="D21888" i="53"/>
  <c r="D21885" i="53"/>
  <c r="D21887" i="53"/>
  <c r="B19928" i="53"/>
  <c r="D19928" i="53"/>
  <c r="B19931" i="53"/>
  <c r="B19930" i="53"/>
  <c r="D19930" i="53"/>
  <c r="B19929" i="53"/>
  <c r="D19929" i="53"/>
  <c r="B19932" i="53"/>
  <c r="D19932" i="53"/>
  <c r="G9" i="1" l="1"/>
  <c r="M9" i="1" s="1"/>
  <c r="G21901" i="53"/>
  <c r="G21928" i="53"/>
  <c r="C389" i="55"/>
  <c r="A21240" i="53"/>
  <c r="C388" i="55"/>
  <c r="F21313" i="53" s="1"/>
  <c r="G21313" i="53" s="1"/>
  <c r="C387" i="55"/>
  <c r="C386" i="55"/>
  <c r="A19860" i="53"/>
  <c r="C385" i="55"/>
  <c r="A19863" i="53"/>
  <c r="A19862" i="53"/>
  <c r="D19862" i="53" s="1"/>
  <c r="A19861" i="53"/>
  <c r="A19859" i="53"/>
  <c r="A19857" i="53"/>
  <c r="A19856" i="53"/>
  <c r="A19855" i="53"/>
  <c r="A19854" i="53"/>
  <c r="A19853" i="53"/>
  <c r="D19853" i="53" s="1"/>
  <c r="B19850" i="53"/>
  <c r="F19909" i="53"/>
  <c r="G19909" i="53" s="1"/>
  <c r="D19909" i="53"/>
  <c r="B19909" i="53"/>
  <c r="F19908" i="53"/>
  <c r="G19908" i="53" s="1"/>
  <c r="D19908" i="53"/>
  <c r="B19908" i="53"/>
  <c r="F19907" i="53"/>
  <c r="G19907" i="53" s="1"/>
  <c r="D19907" i="53"/>
  <c r="B19907" i="53"/>
  <c r="F19906" i="53"/>
  <c r="G19906" i="53" s="1"/>
  <c r="D19906" i="53"/>
  <c r="B19906" i="53"/>
  <c r="F19905" i="53"/>
  <c r="G19905" i="53" s="1"/>
  <c r="D19905" i="53"/>
  <c r="B19905" i="53"/>
  <c r="F19900" i="53"/>
  <c r="E19900" i="53"/>
  <c r="D19900" i="53"/>
  <c r="B19900" i="53"/>
  <c r="F19899" i="53"/>
  <c r="E19899" i="53"/>
  <c r="D19899" i="53"/>
  <c r="B19899" i="53"/>
  <c r="F19898" i="53"/>
  <c r="E19898" i="53"/>
  <c r="D19898" i="53"/>
  <c r="B19898" i="53"/>
  <c r="F19897" i="53"/>
  <c r="E19897" i="53"/>
  <c r="D19897" i="53"/>
  <c r="B19897" i="53"/>
  <c r="F19896" i="53"/>
  <c r="E19896" i="53"/>
  <c r="D19896" i="53"/>
  <c r="B19896" i="53"/>
  <c r="F19895" i="53"/>
  <c r="E19895" i="53"/>
  <c r="D19895" i="53"/>
  <c r="B19895" i="53"/>
  <c r="F19894" i="53"/>
  <c r="E19894" i="53"/>
  <c r="D19894" i="53"/>
  <c r="B19894" i="53"/>
  <c r="F19893" i="53"/>
  <c r="E19893" i="53"/>
  <c r="D19893" i="53"/>
  <c r="B19893" i="53"/>
  <c r="F19892" i="53"/>
  <c r="E19892" i="53"/>
  <c r="D19892" i="53"/>
  <c r="B19892" i="53"/>
  <c r="F19891" i="53"/>
  <c r="E19891" i="53"/>
  <c r="D19891" i="53"/>
  <c r="B19891" i="53"/>
  <c r="F19890" i="53"/>
  <c r="E19890" i="53"/>
  <c r="D19890" i="53"/>
  <c r="B19890" i="53"/>
  <c r="F19889" i="53"/>
  <c r="E19889" i="53"/>
  <c r="D19889" i="53"/>
  <c r="B19889" i="53"/>
  <c r="F19888" i="53"/>
  <c r="E19888" i="53"/>
  <c r="D19888" i="53"/>
  <c r="B19888" i="53"/>
  <c r="F19883" i="53"/>
  <c r="G19883" i="53" s="1"/>
  <c r="B19883" i="53"/>
  <c r="F19882" i="53"/>
  <c r="G19882" i="53" s="1"/>
  <c r="B19882" i="53"/>
  <c r="F19881" i="53"/>
  <c r="G19881" i="53" s="1"/>
  <c r="B19881" i="53"/>
  <c r="F19880" i="53"/>
  <c r="G19880" i="53" s="1"/>
  <c r="B19880" i="53"/>
  <c r="F19879" i="53"/>
  <c r="G19879" i="53" s="1"/>
  <c r="B19879" i="53"/>
  <c r="F19878" i="53"/>
  <c r="G19878" i="53" s="1"/>
  <c r="B19878" i="53"/>
  <c r="F19873" i="53"/>
  <c r="E19873" i="53"/>
  <c r="D19873" i="53"/>
  <c r="B19873" i="53"/>
  <c r="F19872" i="53"/>
  <c r="E19872" i="53"/>
  <c r="D19872" i="53"/>
  <c r="B19872" i="53"/>
  <c r="F19871" i="53"/>
  <c r="E19871" i="53"/>
  <c r="D19871" i="53"/>
  <c r="B19871" i="53"/>
  <c r="F19870" i="53"/>
  <c r="E19870" i="53"/>
  <c r="D19870" i="53"/>
  <c r="B19870" i="53"/>
  <c r="F19869" i="53"/>
  <c r="E19869" i="53"/>
  <c r="D19869" i="53"/>
  <c r="B19869" i="53"/>
  <c r="F19868" i="53"/>
  <c r="E19868" i="53"/>
  <c r="D19868" i="53"/>
  <c r="B19868" i="53"/>
  <c r="A20952" i="53"/>
  <c r="D20952" i="53" s="1"/>
  <c r="B20949" i="53"/>
  <c r="F21005" i="53"/>
  <c r="G21005" i="53" s="1"/>
  <c r="D21005" i="53"/>
  <c r="B21005" i="53"/>
  <c r="F21004" i="53"/>
  <c r="G21004" i="53" s="1"/>
  <c r="D21004" i="53"/>
  <c r="B21004" i="53"/>
  <c r="F21003" i="53"/>
  <c r="G21003" i="53" s="1"/>
  <c r="D21003" i="53"/>
  <c r="B21003" i="53"/>
  <c r="F21002" i="53"/>
  <c r="G21002" i="53" s="1"/>
  <c r="D21002" i="53"/>
  <c r="B21002" i="53"/>
  <c r="F21001" i="53"/>
  <c r="G21001" i="53" s="1"/>
  <c r="D21001" i="53"/>
  <c r="B21001" i="53"/>
  <c r="F20996" i="53"/>
  <c r="E20996" i="53"/>
  <c r="D20996" i="53"/>
  <c r="B20996" i="53"/>
  <c r="F20995" i="53"/>
  <c r="E20995" i="53"/>
  <c r="D20995" i="53"/>
  <c r="B20995" i="53"/>
  <c r="F20994" i="53"/>
  <c r="E20994" i="53"/>
  <c r="D20994" i="53"/>
  <c r="B20994" i="53"/>
  <c r="F20993" i="53"/>
  <c r="E20993" i="53"/>
  <c r="D20993" i="53"/>
  <c r="B20993" i="53"/>
  <c r="F20992" i="53"/>
  <c r="E20992" i="53"/>
  <c r="D20992" i="53"/>
  <c r="B20992" i="53"/>
  <c r="F20991" i="53"/>
  <c r="E20991" i="53"/>
  <c r="D20991" i="53"/>
  <c r="B20991" i="53"/>
  <c r="F20990" i="53"/>
  <c r="E20990" i="53"/>
  <c r="D20990" i="53"/>
  <c r="B20990" i="53"/>
  <c r="F20989" i="53"/>
  <c r="E20989" i="53"/>
  <c r="D20989" i="53"/>
  <c r="B20989" i="53"/>
  <c r="F20988" i="53"/>
  <c r="E20988" i="53"/>
  <c r="D20988" i="53"/>
  <c r="B20988" i="53"/>
  <c r="F20987" i="53"/>
  <c r="E20987" i="53"/>
  <c r="D20987" i="53"/>
  <c r="B20987" i="53"/>
  <c r="F20986" i="53"/>
  <c r="E20986" i="53"/>
  <c r="D20986" i="53"/>
  <c r="B20986" i="53"/>
  <c r="F20985" i="53"/>
  <c r="E20985" i="53"/>
  <c r="D20985" i="53"/>
  <c r="B20985" i="53"/>
  <c r="F20984" i="53"/>
  <c r="E20984" i="53"/>
  <c r="D20984" i="53"/>
  <c r="B20984" i="53"/>
  <c r="F20979" i="53"/>
  <c r="G20979" i="53" s="1"/>
  <c r="B20979" i="53"/>
  <c r="F20978" i="53"/>
  <c r="G20978" i="53" s="1"/>
  <c r="B20978" i="53"/>
  <c r="F20977" i="53"/>
  <c r="G20977" i="53" s="1"/>
  <c r="B20977" i="53"/>
  <c r="F20976" i="53"/>
  <c r="G20976" i="53" s="1"/>
  <c r="B20976" i="53"/>
  <c r="F20975" i="53"/>
  <c r="G20975" i="53" s="1"/>
  <c r="B20975" i="53"/>
  <c r="F20974" i="53"/>
  <c r="G20974" i="53" s="1"/>
  <c r="B20974" i="53"/>
  <c r="F20969" i="53"/>
  <c r="E20969" i="53"/>
  <c r="D20969" i="53"/>
  <c r="B20969" i="53"/>
  <c r="F20968" i="53"/>
  <c r="E20968" i="53"/>
  <c r="D20968" i="53"/>
  <c r="B20968" i="53"/>
  <c r="F20967" i="53"/>
  <c r="E20967" i="53"/>
  <c r="D20967" i="53"/>
  <c r="B20967" i="53"/>
  <c r="F20966" i="53"/>
  <c r="E20966" i="53"/>
  <c r="D20966" i="53"/>
  <c r="B20966" i="53"/>
  <c r="F20965" i="53"/>
  <c r="E20965" i="53"/>
  <c r="D20965" i="53"/>
  <c r="B20965" i="53"/>
  <c r="F20964" i="53"/>
  <c r="E20964" i="53"/>
  <c r="D20964" i="53"/>
  <c r="B20964" i="53"/>
  <c r="F20959" i="53"/>
  <c r="G20959" i="53" s="1"/>
  <c r="D20959" i="53"/>
  <c r="B20959" i="53"/>
  <c r="F20958" i="53"/>
  <c r="G20958" i="53" s="1"/>
  <c r="D20958" i="53"/>
  <c r="B20958" i="53"/>
  <c r="F20957" i="53"/>
  <c r="G20957" i="53" s="1"/>
  <c r="D20957" i="53"/>
  <c r="B20957" i="53"/>
  <c r="F20956" i="53"/>
  <c r="G20956" i="53" s="1"/>
  <c r="D20956" i="53"/>
  <c r="B20956" i="53"/>
  <c r="F20955" i="53"/>
  <c r="G20955" i="53" s="1"/>
  <c r="D20955" i="53"/>
  <c r="B20955" i="53"/>
  <c r="F20954" i="53"/>
  <c r="G20954" i="53" s="1"/>
  <c r="D20954" i="53"/>
  <c r="B20954" i="53"/>
  <c r="F20953" i="53"/>
  <c r="G20953" i="53" s="1"/>
  <c r="D20953" i="53"/>
  <c r="B20953" i="53"/>
  <c r="A20880" i="53"/>
  <c r="C384" i="55"/>
  <c r="C383" i="55"/>
  <c r="A20076" i="53"/>
  <c r="D19858" i="53" l="1"/>
  <c r="B19860" i="53"/>
  <c r="F19860" i="53"/>
  <c r="G19860" i="53" s="1"/>
  <c r="D19857" i="53"/>
  <c r="G19892" i="53"/>
  <c r="G19894" i="53"/>
  <c r="G19868" i="53"/>
  <c r="G19873" i="53"/>
  <c r="G19890" i="53"/>
  <c r="G19898" i="53"/>
  <c r="D19860" i="53"/>
  <c r="G19889" i="53"/>
  <c r="G19871" i="53"/>
  <c r="G19895" i="53"/>
  <c r="G19897" i="53"/>
  <c r="G19872" i="53"/>
  <c r="G19900" i="53"/>
  <c r="G20967" i="53"/>
  <c r="G20984" i="53"/>
  <c r="G20986" i="53"/>
  <c r="G19896" i="53"/>
  <c r="D19863" i="53"/>
  <c r="G19869" i="53"/>
  <c r="G19891" i="53"/>
  <c r="G19893" i="53"/>
  <c r="G20968" i="53"/>
  <c r="G20985" i="53"/>
  <c r="G20987" i="53"/>
  <c r="G20989" i="53"/>
  <c r="G20991" i="53"/>
  <c r="G20993" i="53"/>
  <c r="G19899" i="53"/>
  <c r="G19870" i="53"/>
  <c r="G19888" i="53"/>
  <c r="D19855" i="53"/>
  <c r="G19910" i="53"/>
  <c r="G19884" i="53"/>
  <c r="G20966" i="53"/>
  <c r="D19856" i="53"/>
  <c r="D19859" i="53"/>
  <c r="B19861" i="53"/>
  <c r="D19861" i="53"/>
  <c r="G20988" i="53"/>
  <c r="G20990" i="53"/>
  <c r="G20992" i="53"/>
  <c r="D19854" i="53"/>
  <c r="B19862" i="53"/>
  <c r="G20994" i="53"/>
  <c r="F20952" i="53"/>
  <c r="G20952" i="53" s="1"/>
  <c r="G20960" i="53" s="1"/>
  <c r="B20952" i="53"/>
  <c r="G20969" i="53"/>
  <c r="G20995" i="53"/>
  <c r="G20964" i="53"/>
  <c r="G20996" i="53"/>
  <c r="G20965" i="53"/>
  <c r="G21006" i="53"/>
  <c r="G20980" i="53"/>
  <c r="G19874" i="53" l="1"/>
  <c r="G19901" i="53"/>
  <c r="G20997" i="53"/>
  <c r="G20970" i="53"/>
  <c r="G21008" i="53" l="1"/>
  <c r="J400" i="1" l="1"/>
  <c r="G21011" i="53"/>
  <c r="G21012" i="53"/>
  <c r="G21016" i="53" s="1"/>
  <c r="G21010" i="53"/>
  <c r="K400" i="1" l="1"/>
  <c r="L400" i="1"/>
  <c r="N400" i="1"/>
  <c r="M400" i="1"/>
  <c r="O400" i="1"/>
  <c r="G21014" i="53"/>
  <c r="G21018" i="53" s="1"/>
  <c r="G20949" i="53" s="1"/>
  <c r="A20078" i="53"/>
  <c r="D20078" i="53" s="1"/>
  <c r="A20077" i="53"/>
  <c r="B20067" i="53"/>
  <c r="F20126" i="53"/>
  <c r="G20126" i="53" s="1"/>
  <c r="D20126" i="53"/>
  <c r="B20126" i="53"/>
  <c r="F20125" i="53"/>
  <c r="G20125" i="53" s="1"/>
  <c r="D20125" i="53"/>
  <c r="B20125" i="53"/>
  <c r="F20124" i="53"/>
  <c r="G20124" i="53" s="1"/>
  <c r="D20124" i="53"/>
  <c r="B20124" i="53"/>
  <c r="F20123" i="53"/>
  <c r="G20123" i="53" s="1"/>
  <c r="D20123" i="53"/>
  <c r="B20123" i="53"/>
  <c r="F20122" i="53"/>
  <c r="G20122" i="53" s="1"/>
  <c r="D20122" i="53"/>
  <c r="B20122" i="53"/>
  <c r="F20117" i="53"/>
  <c r="E20117" i="53"/>
  <c r="D20117" i="53"/>
  <c r="B20117" i="53"/>
  <c r="F20116" i="53"/>
  <c r="E20116" i="53"/>
  <c r="D20116" i="53"/>
  <c r="B20116" i="53"/>
  <c r="F20115" i="53"/>
  <c r="E20115" i="53"/>
  <c r="D20115" i="53"/>
  <c r="B20115" i="53"/>
  <c r="F20114" i="53"/>
  <c r="E20114" i="53"/>
  <c r="D20114" i="53"/>
  <c r="B20114" i="53"/>
  <c r="F20113" i="53"/>
  <c r="E20113" i="53"/>
  <c r="D20113" i="53"/>
  <c r="B20113" i="53"/>
  <c r="F20112" i="53"/>
  <c r="E20112" i="53"/>
  <c r="D20112" i="53"/>
  <c r="B20112" i="53"/>
  <c r="F20111" i="53"/>
  <c r="E20111" i="53"/>
  <c r="D20111" i="53"/>
  <c r="B20111" i="53"/>
  <c r="F20110" i="53"/>
  <c r="E20110" i="53"/>
  <c r="D20110" i="53"/>
  <c r="B20110" i="53"/>
  <c r="F20109" i="53"/>
  <c r="E20109" i="53"/>
  <c r="D20109" i="53"/>
  <c r="B20109" i="53"/>
  <c r="F20108" i="53"/>
  <c r="E20108" i="53"/>
  <c r="D20108" i="53"/>
  <c r="B20108" i="53"/>
  <c r="F20107" i="53"/>
  <c r="E20107" i="53"/>
  <c r="D20107" i="53"/>
  <c r="B20107" i="53"/>
  <c r="F20106" i="53"/>
  <c r="E20106" i="53"/>
  <c r="D20106" i="53"/>
  <c r="B20106" i="53"/>
  <c r="F20105" i="53"/>
  <c r="E20105" i="53"/>
  <c r="D20105" i="53"/>
  <c r="B20105" i="53"/>
  <c r="F20100" i="53"/>
  <c r="G20100" i="53" s="1"/>
  <c r="B20100" i="53"/>
  <c r="F20099" i="53"/>
  <c r="G20099" i="53" s="1"/>
  <c r="B20099" i="53"/>
  <c r="F20098" i="53"/>
  <c r="G20098" i="53" s="1"/>
  <c r="B20098" i="53"/>
  <c r="F20097" i="53"/>
  <c r="G20097" i="53" s="1"/>
  <c r="B20097" i="53"/>
  <c r="F20096" i="53"/>
  <c r="G20096" i="53" s="1"/>
  <c r="B20096" i="53"/>
  <c r="F20095" i="53"/>
  <c r="G20095" i="53" s="1"/>
  <c r="B20095" i="53"/>
  <c r="F20090" i="53"/>
  <c r="E20090" i="53"/>
  <c r="D20090" i="53"/>
  <c r="B20090" i="53"/>
  <c r="F20089" i="53"/>
  <c r="E20089" i="53"/>
  <c r="D20089" i="53"/>
  <c r="B20089" i="53"/>
  <c r="F20088" i="53"/>
  <c r="E20088" i="53"/>
  <c r="D20088" i="53"/>
  <c r="B20088" i="53"/>
  <c r="F20087" i="53"/>
  <c r="E20087" i="53"/>
  <c r="D20087" i="53"/>
  <c r="B20087" i="53"/>
  <c r="F20086" i="53"/>
  <c r="E20086" i="53"/>
  <c r="D20086" i="53"/>
  <c r="B20086" i="53"/>
  <c r="F20085" i="53"/>
  <c r="E20085" i="53"/>
  <c r="D20085" i="53"/>
  <c r="B20085" i="53"/>
  <c r="D20076" i="53"/>
  <c r="C382" i="55"/>
  <c r="A19785" i="53"/>
  <c r="A19788" i="53"/>
  <c r="D19788" i="53" s="1"/>
  <c r="A19787" i="53"/>
  <c r="D19787" i="53" s="1"/>
  <c r="A19786" i="53"/>
  <c r="B19786" i="53" s="1"/>
  <c r="A19784" i="53"/>
  <c r="D19783" i="53"/>
  <c r="A19782" i="53"/>
  <c r="D19782" i="53" s="1"/>
  <c r="A19781" i="53"/>
  <c r="A19780" i="53"/>
  <c r="D19780" i="53" s="1"/>
  <c r="A19779" i="53"/>
  <c r="A19778" i="53"/>
  <c r="D19778" i="53" s="1"/>
  <c r="B19775" i="53"/>
  <c r="F19834" i="53"/>
  <c r="G19834" i="53" s="1"/>
  <c r="D19834" i="53"/>
  <c r="B19834" i="53"/>
  <c r="F19833" i="53"/>
  <c r="G19833" i="53" s="1"/>
  <c r="D19833" i="53"/>
  <c r="B19833" i="53"/>
  <c r="F19832" i="53"/>
  <c r="G19832" i="53" s="1"/>
  <c r="D19832" i="53"/>
  <c r="B19832" i="53"/>
  <c r="F19831" i="53"/>
  <c r="G19831" i="53" s="1"/>
  <c r="D19831" i="53"/>
  <c r="B19831" i="53"/>
  <c r="F19830" i="53"/>
  <c r="G19830" i="53" s="1"/>
  <c r="D19830" i="53"/>
  <c r="B19830" i="53"/>
  <c r="F19825" i="53"/>
  <c r="E19825" i="53"/>
  <c r="D19825" i="53"/>
  <c r="B19825" i="53"/>
  <c r="F19824" i="53"/>
  <c r="E19824" i="53"/>
  <c r="D19824" i="53"/>
  <c r="B19824" i="53"/>
  <c r="F19823" i="53"/>
  <c r="E19823" i="53"/>
  <c r="D19823" i="53"/>
  <c r="B19823" i="53"/>
  <c r="F19822" i="53"/>
  <c r="E19822" i="53"/>
  <c r="D19822" i="53"/>
  <c r="B19822" i="53"/>
  <c r="F19821" i="53"/>
  <c r="E19821" i="53"/>
  <c r="D19821" i="53"/>
  <c r="B19821" i="53"/>
  <c r="F19820" i="53"/>
  <c r="E19820" i="53"/>
  <c r="D19820" i="53"/>
  <c r="B19820" i="53"/>
  <c r="F19819" i="53"/>
  <c r="E19819" i="53"/>
  <c r="D19819" i="53"/>
  <c r="B19819" i="53"/>
  <c r="F19818" i="53"/>
  <c r="E19818" i="53"/>
  <c r="D19818" i="53"/>
  <c r="B19818" i="53"/>
  <c r="F19817" i="53"/>
  <c r="E19817" i="53"/>
  <c r="D19817" i="53"/>
  <c r="B19817" i="53"/>
  <c r="F19816" i="53"/>
  <c r="E19816" i="53"/>
  <c r="D19816" i="53"/>
  <c r="B19816" i="53"/>
  <c r="F19815" i="53"/>
  <c r="E19815" i="53"/>
  <c r="D19815" i="53"/>
  <c r="B19815" i="53"/>
  <c r="F19814" i="53"/>
  <c r="E19814" i="53"/>
  <c r="D19814" i="53"/>
  <c r="B19814" i="53"/>
  <c r="F19813" i="53"/>
  <c r="E19813" i="53"/>
  <c r="D19813" i="53"/>
  <c r="B19813" i="53"/>
  <c r="F19808" i="53"/>
  <c r="G19808" i="53" s="1"/>
  <c r="B19808" i="53"/>
  <c r="F19807" i="53"/>
  <c r="G19807" i="53" s="1"/>
  <c r="B19807" i="53"/>
  <c r="F19806" i="53"/>
  <c r="G19806" i="53" s="1"/>
  <c r="B19806" i="53"/>
  <c r="F19805" i="53"/>
  <c r="G19805" i="53" s="1"/>
  <c r="B19805" i="53"/>
  <c r="F19804" i="53"/>
  <c r="G19804" i="53" s="1"/>
  <c r="B19804" i="53"/>
  <c r="F19803" i="53"/>
  <c r="G19803" i="53" s="1"/>
  <c r="B19803" i="53"/>
  <c r="F19798" i="53"/>
  <c r="E19798" i="53"/>
  <c r="D19798" i="53"/>
  <c r="B19798" i="53"/>
  <c r="F19797" i="53"/>
  <c r="E19797" i="53"/>
  <c r="D19797" i="53"/>
  <c r="B19797" i="53"/>
  <c r="F19796" i="53"/>
  <c r="E19796" i="53"/>
  <c r="D19796" i="53"/>
  <c r="B19796" i="53"/>
  <c r="F19795" i="53"/>
  <c r="E19795" i="53"/>
  <c r="D19795" i="53"/>
  <c r="B19795" i="53"/>
  <c r="F19794" i="53"/>
  <c r="E19794" i="53"/>
  <c r="D19794" i="53"/>
  <c r="B19794" i="53"/>
  <c r="F19793" i="53"/>
  <c r="E19793" i="53"/>
  <c r="D19793" i="53"/>
  <c r="B19793" i="53"/>
  <c r="D20071" i="53" l="1"/>
  <c r="G19821" i="53"/>
  <c r="G19825" i="53"/>
  <c r="G20113" i="53"/>
  <c r="F19785" i="53"/>
  <c r="G19785" i="53" s="1"/>
  <c r="G20114" i="53"/>
  <c r="G20116" i="53"/>
  <c r="G19794" i="53"/>
  <c r="G20086" i="53"/>
  <c r="G20085" i="53"/>
  <c r="G20087" i="53"/>
  <c r="G19795" i="53"/>
  <c r="G19797" i="53"/>
  <c r="G20088" i="53"/>
  <c r="G20090" i="53"/>
  <c r="G20107" i="53"/>
  <c r="G20117" i="53"/>
  <c r="G19815" i="53"/>
  <c r="G20105" i="53"/>
  <c r="G19798" i="53"/>
  <c r="B20074" i="53"/>
  <c r="D20074" i="53"/>
  <c r="B20070" i="53"/>
  <c r="B20078" i="53"/>
  <c r="G19793" i="53"/>
  <c r="G19813" i="53"/>
  <c r="G19819" i="53"/>
  <c r="G20106" i="53"/>
  <c r="G20108" i="53"/>
  <c r="G20110" i="53"/>
  <c r="G20112" i="53"/>
  <c r="G19820" i="53"/>
  <c r="G19822" i="53"/>
  <c r="G19824" i="53"/>
  <c r="D20070" i="53"/>
  <c r="G20089" i="53"/>
  <c r="G20109" i="53"/>
  <c r="G20111" i="53"/>
  <c r="G20115" i="53"/>
  <c r="G20127" i="53"/>
  <c r="G20101" i="53"/>
  <c r="B20073" i="53"/>
  <c r="D20075" i="53"/>
  <c r="G19823" i="53"/>
  <c r="D20073" i="53"/>
  <c r="B20077" i="53"/>
  <c r="G19796" i="53"/>
  <c r="D20077" i="53"/>
  <c r="G19814" i="53"/>
  <c r="G19816" i="53"/>
  <c r="G19818" i="53"/>
  <c r="B20072" i="53"/>
  <c r="D20072" i="53"/>
  <c r="B20076" i="53"/>
  <c r="D20079" i="53"/>
  <c r="G19817" i="53"/>
  <c r="D19785" i="53"/>
  <c r="B19785" i="53"/>
  <c r="G19835" i="53"/>
  <c r="G19809" i="53"/>
  <c r="D19781" i="53"/>
  <c r="D19784" i="53"/>
  <c r="D19786" i="53"/>
  <c r="D19779" i="53"/>
  <c r="B19787" i="53"/>
  <c r="G19799" i="53" l="1"/>
  <c r="G20091" i="53"/>
  <c r="G20118" i="53"/>
  <c r="G19826" i="53"/>
  <c r="A19710" i="53" l="1"/>
  <c r="C381" i="55"/>
  <c r="A19712" i="53"/>
  <c r="D19712" i="53" s="1"/>
  <c r="A19711" i="53"/>
  <c r="A19709" i="53"/>
  <c r="D19709" i="53" s="1"/>
  <c r="A19707" i="53"/>
  <c r="A19706" i="53"/>
  <c r="D19706" i="53" s="1"/>
  <c r="A19705" i="53"/>
  <c r="D19705" i="53" s="1"/>
  <c r="A19704" i="53"/>
  <c r="A19703" i="53"/>
  <c r="D19703" i="53" s="1"/>
  <c r="B19700" i="53"/>
  <c r="F19759" i="53"/>
  <c r="G19759" i="53" s="1"/>
  <c r="D19759" i="53"/>
  <c r="B19759" i="53"/>
  <c r="F19758" i="53"/>
  <c r="G19758" i="53" s="1"/>
  <c r="D19758" i="53"/>
  <c r="B19758" i="53"/>
  <c r="F19757" i="53"/>
  <c r="G19757" i="53" s="1"/>
  <c r="D19757" i="53"/>
  <c r="B19757" i="53"/>
  <c r="F19756" i="53"/>
  <c r="G19756" i="53" s="1"/>
  <c r="D19756" i="53"/>
  <c r="B19756" i="53"/>
  <c r="F19755" i="53"/>
  <c r="G19755" i="53" s="1"/>
  <c r="D19755" i="53"/>
  <c r="B19755" i="53"/>
  <c r="F19750" i="53"/>
  <c r="E19750" i="53"/>
  <c r="D19750" i="53"/>
  <c r="B19750" i="53"/>
  <c r="F19749" i="53"/>
  <c r="E19749" i="53"/>
  <c r="D19749" i="53"/>
  <c r="B19749" i="53"/>
  <c r="F19748" i="53"/>
  <c r="E19748" i="53"/>
  <c r="D19748" i="53"/>
  <c r="B19748" i="53"/>
  <c r="F19747" i="53"/>
  <c r="E19747" i="53"/>
  <c r="D19747" i="53"/>
  <c r="B19747" i="53"/>
  <c r="F19746" i="53"/>
  <c r="E19746" i="53"/>
  <c r="D19746" i="53"/>
  <c r="B19746" i="53"/>
  <c r="F19745" i="53"/>
  <c r="E19745" i="53"/>
  <c r="D19745" i="53"/>
  <c r="B19745" i="53"/>
  <c r="F19744" i="53"/>
  <c r="E19744" i="53"/>
  <c r="D19744" i="53"/>
  <c r="B19744" i="53"/>
  <c r="F19743" i="53"/>
  <c r="E19743" i="53"/>
  <c r="D19743" i="53"/>
  <c r="B19743" i="53"/>
  <c r="F19742" i="53"/>
  <c r="E19742" i="53"/>
  <c r="D19742" i="53"/>
  <c r="B19742" i="53"/>
  <c r="F19741" i="53"/>
  <c r="E19741" i="53"/>
  <c r="D19741" i="53"/>
  <c r="B19741" i="53"/>
  <c r="F19740" i="53"/>
  <c r="E19740" i="53"/>
  <c r="D19740" i="53"/>
  <c r="B19740" i="53"/>
  <c r="F19739" i="53"/>
  <c r="E19739" i="53"/>
  <c r="D19739" i="53"/>
  <c r="B19739" i="53"/>
  <c r="F19738" i="53"/>
  <c r="E19738" i="53"/>
  <c r="D19738" i="53"/>
  <c r="B19738" i="53"/>
  <c r="F19733" i="53"/>
  <c r="G19733" i="53" s="1"/>
  <c r="B19733" i="53"/>
  <c r="F19732" i="53"/>
  <c r="G19732" i="53" s="1"/>
  <c r="B19732" i="53"/>
  <c r="F19731" i="53"/>
  <c r="G19731" i="53" s="1"/>
  <c r="B19731" i="53"/>
  <c r="F19730" i="53"/>
  <c r="G19730" i="53" s="1"/>
  <c r="B19730" i="53"/>
  <c r="F19729" i="53"/>
  <c r="G19729" i="53" s="1"/>
  <c r="B19729" i="53"/>
  <c r="F19728" i="53"/>
  <c r="G19728" i="53" s="1"/>
  <c r="B19728" i="53"/>
  <c r="F19723" i="53"/>
  <c r="E19723" i="53"/>
  <c r="D19723" i="53"/>
  <c r="B19723" i="53"/>
  <c r="F19722" i="53"/>
  <c r="E19722" i="53"/>
  <c r="D19722" i="53"/>
  <c r="B19722" i="53"/>
  <c r="F19721" i="53"/>
  <c r="E19721" i="53"/>
  <c r="D19721" i="53"/>
  <c r="B19721" i="53"/>
  <c r="F19720" i="53"/>
  <c r="E19720" i="53"/>
  <c r="D19720" i="53"/>
  <c r="B19720" i="53"/>
  <c r="F19719" i="53"/>
  <c r="E19719" i="53"/>
  <c r="D19719" i="53"/>
  <c r="B19719" i="53"/>
  <c r="F19718" i="53"/>
  <c r="E19718" i="53"/>
  <c r="D19718" i="53"/>
  <c r="B19718" i="53"/>
  <c r="A19554" i="53"/>
  <c r="C380" i="55"/>
  <c r="A19481" i="53"/>
  <c r="C379" i="55"/>
  <c r="G19750" i="53" l="1"/>
  <c r="G19720" i="53"/>
  <c r="G19748" i="53"/>
  <c r="G19742" i="53"/>
  <c r="G19744" i="53"/>
  <c r="G19746" i="53"/>
  <c r="G19741" i="53"/>
  <c r="G19722" i="53"/>
  <c r="G19721" i="53"/>
  <c r="G19739" i="53"/>
  <c r="G19743" i="53"/>
  <c r="G19745" i="53"/>
  <c r="G19723" i="53"/>
  <c r="G19740" i="53"/>
  <c r="G19719" i="53"/>
  <c r="G19747" i="53"/>
  <c r="G19749" i="53"/>
  <c r="G19738" i="53"/>
  <c r="G19718" i="53"/>
  <c r="D19704" i="53"/>
  <c r="D19708" i="53"/>
  <c r="G19760" i="53"/>
  <c r="G19734" i="53"/>
  <c r="B19711" i="53"/>
  <c r="D19711" i="53"/>
  <c r="B19710" i="53"/>
  <c r="D19713" i="53"/>
  <c r="D19710" i="53"/>
  <c r="D19707" i="53"/>
  <c r="B19712" i="53"/>
  <c r="B19551" i="53"/>
  <c r="A19408" i="53"/>
  <c r="C378" i="55"/>
  <c r="B19405" i="53"/>
  <c r="A19257" i="53"/>
  <c r="C377" i="55"/>
  <c r="A19266" i="53"/>
  <c r="D19266" i="53" s="1"/>
  <c r="A19265" i="53"/>
  <c r="A19264" i="53"/>
  <c r="A19263" i="53"/>
  <c r="B19263" i="53" s="1"/>
  <c r="A19262" i="53"/>
  <c r="A19261" i="53"/>
  <c r="A19260" i="53"/>
  <c r="A19259" i="53"/>
  <c r="D19259" i="53" s="1"/>
  <c r="A19258" i="53"/>
  <c r="A19254" i="53"/>
  <c r="A19405" i="53"/>
  <c r="A19551" i="53"/>
  <c r="A19700" i="53"/>
  <c r="A19775" i="53"/>
  <c r="A19850" i="53"/>
  <c r="B392" i="1"/>
  <c r="A20067" i="53"/>
  <c r="A20949" i="53"/>
  <c r="B396" i="1"/>
  <c r="A20658" i="53" s="1"/>
  <c r="A22452" i="53"/>
  <c r="A22594" i="53"/>
  <c r="A22808" i="53"/>
  <c r="A22879" i="53"/>
  <c r="A22950" i="53"/>
  <c r="B19254" i="53"/>
  <c r="F19314" i="53"/>
  <c r="G19314" i="53" s="1"/>
  <c r="D19314" i="53"/>
  <c r="B19314" i="53"/>
  <c r="F19313" i="53"/>
  <c r="G19313" i="53" s="1"/>
  <c r="D19313" i="53"/>
  <c r="B19313" i="53"/>
  <c r="F19312" i="53"/>
  <c r="G19312" i="53" s="1"/>
  <c r="D19312" i="53"/>
  <c r="B19312" i="53"/>
  <c r="F19311" i="53"/>
  <c r="G19311" i="53" s="1"/>
  <c r="D19311" i="53"/>
  <c r="B19311" i="53"/>
  <c r="F19310" i="53"/>
  <c r="G19310" i="53" s="1"/>
  <c r="D19310" i="53"/>
  <c r="B19310" i="53"/>
  <c r="F19305" i="53"/>
  <c r="E19305" i="53"/>
  <c r="D19305" i="53"/>
  <c r="B19305" i="53"/>
  <c r="F19304" i="53"/>
  <c r="E19304" i="53"/>
  <c r="D19304" i="53"/>
  <c r="B19304" i="53"/>
  <c r="F19303" i="53"/>
  <c r="E19303" i="53"/>
  <c r="D19303" i="53"/>
  <c r="B19303" i="53"/>
  <c r="F19302" i="53"/>
  <c r="E19302" i="53"/>
  <c r="D19302" i="53"/>
  <c r="B19302" i="53"/>
  <c r="F19301" i="53"/>
  <c r="E19301" i="53"/>
  <c r="D19301" i="53"/>
  <c r="B19301" i="53"/>
  <c r="F19300" i="53"/>
  <c r="E19300" i="53"/>
  <c r="D19300" i="53"/>
  <c r="B19300" i="53"/>
  <c r="F19299" i="53"/>
  <c r="E19299" i="53"/>
  <c r="D19299" i="53"/>
  <c r="B19299" i="53"/>
  <c r="F19298" i="53"/>
  <c r="E19298" i="53"/>
  <c r="D19298" i="53"/>
  <c r="B19298" i="53"/>
  <c r="F19297" i="53"/>
  <c r="E19297" i="53"/>
  <c r="D19297" i="53"/>
  <c r="B19297" i="53"/>
  <c r="F19296" i="53"/>
  <c r="E19296" i="53"/>
  <c r="D19296" i="53"/>
  <c r="B19296" i="53"/>
  <c r="F19295" i="53"/>
  <c r="E19295" i="53"/>
  <c r="D19295" i="53"/>
  <c r="B19295" i="53"/>
  <c r="F19294" i="53"/>
  <c r="E19294" i="53"/>
  <c r="D19294" i="53"/>
  <c r="B19294" i="53"/>
  <c r="F19293" i="53"/>
  <c r="E19293" i="53"/>
  <c r="D19293" i="53"/>
  <c r="B19293" i="53"/>
  <c r="F19288" i="53"/>
  <c r="G19288" i="53" s="1"/>
  <c r="B19288" i="53"/>
  <c r="F19287" i="53"/>
  <c r="G19287" i="53" s="1"/>
  <c r="B19287" i="53"/>
  <c r="F19286" i="53"/>
  <c r="G19286" i="53" s="1"/>
  <c r="B19286" i="53"/>
  <c r="F19285" i="53"/>
  <c r="G19285" i="53" s="1"/>
  <c r="B19285" i="53"/>
  <c r="F19284" i="53"/>
  <c r="G19284" i="53" s="1"/>
  <c r="B19284" i="53"/>
  <c r="F19283" i="53"/>
  <c r="G19283" i="53" s="1"/>
  <c r="B19283" i="53"/>
  <c r="F19278" i="53"/>
  <c r="E19278" i="53"/>
  <c r="D19278" i="53"/>
  <c r="B19278" i="53"/>
  <c r="F19277" i="53"/>
  <c r="E19277" i="53"/>
  <c r="D19277" i="53"/>
  <c r="B19277" i="53"/>
  <c r="F19276" i="53"/>
  <c r="E19276" i="53"/>
  <c r="D19276" i="53"/>
  <c r="B19276" i="53"/>
  <c r="F19275" i="53"/>
  <c r="E19275" i="53"/>
  <c r="D19275" i="53"/>
  <c r="B19275" i="53"/>
  <c r="F19274" i="53"/>
  <c r="E19274" i="53"/>
  <c r="D19274" i="53"/>
  <c r="B19274" i="53"/>
  <c r="F19273" i="53"/>
  <c r="E19273" i="53"/>
  <c r="D19273" i="53"/>
  <c r="B19273" i="53"/>
  <c r="F19272" i="53"/>
  <c r="E19272" i="53"/>
  <c r="D19272" i="53"/>
  <c r="B19272" i="53"/>
  <c r="B20669" i="53"/>
  <c r="D20740" i="53"/>
  <c r="D20737" i="53"/>
  <c r="B20662" i="53"/>
  <c r="C376" i="55"/>
  <c r="F18255" i="53" s="1"/>
  <c r="G18255" i="53" s="1"/>
  <c r="D20736" i="53"/>
  <c r="B20739" i="53"/>
  <c r="A20738" i="53"/>
  <c r="B20738" i="53" s="1"/>
  <c r="B20733" i="53"/>
  <c r="F20789" i="53"/>
  <c r="G20789" i="53" s="1"/>
  <c r="D20789" i="53"/>
  <c r="B20789" i="53"/>
  <c r="F20788" i="53"/>
  <c r="G20788" i="53" s="1"/>
  <c r="D20788" i="53"/>
  <c r="B20788" i="53"/>
  <c r="F20787" i="53"/>
  <c r="G20787" i="53" s="1"/>
  <c r="D20787" i="53"/>
  <c r="B20787" i="53"/>
  <c r="F20786" i="53"/>
  <c r="G20786" i="53" s="1"/>
  <c r="D20786" i="53"/>
  <c r="B20786" i="53"/>
  <c r="F20785" i="53"/>
  <c r="G20785" i="53" s="1"/>
  <c r="D20785" i="53"/>
  <c r="B20785" i="53"/>
  <c r="F20780" i="53"/>
  <c r="E20780" i="53"/>
  <c r="D20780" i="53"/>
  <c r="B20780" i="53"/>
  <c r="F20779" i="53"/>
  <c r="E20779" i="53"/>
  <c r="D20779" i="53"/>
  <c r="B20779" i="53"/>
  <c r="F20778" i="53"/>
  <c r="E20778" i="53"/>
  <c r="D20778" i="53"/>
  <c r="B20778" i="53"/>
  <c r="F20777" i="53"/>
  <c r="E20777" i="53"/>
  <c r="D20777" i="53"/>
  <c r="B20777" i="53"/>
  <c r="F20776" i="53"/>
  <c r="E20776" i="53"/>
  <c r="D20776" i="53"/>
  <c r="B20776" i="53"/>
  <c r="F20775" i="53"/>
  <c r="E20775" i="53"/>
  <c r="D20775" i="53"/>
  <c r="B20775" i="53"/>
  <c r="F20774" i="53"/>
  <c r="E20774" i="53"/>
  <c r="D20774" i="53"/>
  <c r="B20774" i="53"/>
  <c r="F20773" i="53"/>
  <c r="E20773" i="53"/>
  <c r="D20773" i="53"/>
  <c r="B20773" i="53"/>
  <c r="F20772" i="53"/>
  <c r="E20772" i="53"/>
  <c r="D20772" i="53"/>
  <c r="B20772" i="53"/>
  <c r="F20771" i="53"/>
  <c r="E20771" i="53"/>
  <c r="D20771" i="53"/>
  <c r="B20771" i="53"/>
  <c r="F20770" i="53"/>
  <c r="E20770" i="53"/>
  <c r="D20770" i="53"/>
  <c r="B20770" i="53"/>
  <c r="F20769" i="53"/>
  <c r="E20769" i="53"/>
  <c r="D20769" i="53"/>
  <c r="B20769" i="53"/>
  <c r="F20768" i="53"/>
  <c r="E20768" i="53"/>
  <c r="D20768" i="53"/>
  <c r="B20768" i="53"/>
  <c r="F20763" i="53"/>
  <c r="G20763" i="53" s="1"/>
  <c r="B20763" i="53"/>
  <c r="F20762" i="53"/>
  <c r="G20762" i="53" s="1"/>
  <c r="B20762" i="53"/>
  <c r="F20761" i="53"/>
  <c r="G20761" i="53" s="1"/>
  <c r="B20761" i="53"/>
  <c r="F20760" i="53"/>
  <c r="G20760" i="53" s="1"/>
  <c r="B20760" i="53"/>
  <c r="F20759" i="53"/>
  <c r="G20759" i="53" s="1"/>
  <c r="B20759" i="53"/>
  <c r="F20758" i="53"/>
  <c r="G20758" i="53" s="1"/>
  <c r="B20758" i="53"/>
  <c r="F20753" i="53"/>
  <c r="E20753" i="53"/>
  <c r="D20753" i="53"/>
  <c r="B20753" i="53"/>
  <c r="F20752" i="53"/>
  <c r="E20752" i="53"/>
  <c r="D20752" i="53"/>
  <c r="B20752" i="53"/>
  <c r="F20751" i="53"/>
  <c r="E20751" i="53"/>
  <c r="D20751" i="53"/>
  <c r="B20751" i="53"/>
  <c r="F20750" i="53"/>
  <c r="E20750" i="53"/>
  <c r="D20750" i="53"/>
  <c r="B20750" i="53"/>
  <c r="F20749" i="53"/>
  <c r="E20749" i="53"/>
  <c r="D20749" i="53"/>
  <c r="B20749" i="53"/>
  <c r="F20748" i="53"/>
  <c r="E20748" i="53"/>
  <c r="D20748" i="53"/>
  <c r="B20748" i="53"/>
  <c r="C375" i="55"/>
  <c r="C374" i="55"/>
  <c r="F20668" i="53" s="1"/>
  <c r="G20668" i="53" s="1"/>
  <c r="C373" i="55"/>
  <c r="C372" i="55"/>
  <c r="F20670" i="53" s="1"/>
  <c r="G20670" i="53" s="1"/>
  <c r="E371" i="55"/>
  <c r="C371" i="55" s="1"/>
  <c r="F20667" i="53" s="1"/>
  <c r="G20667" i="53" s="1"/>
  <c r="F20669" i="53" l="1"/>
  <c r="G20669" i="53" s="1"/>
  <c r="F18186" i="53"/>
  <c r="G18186" i="53" s="1"/>
  <c r="B20668" i="53"/>
  <c r="B20670" i="53"/>
  <c r="B20667" i="53"/>
  <c r="B20742" i="53"/>
  <c r="D19263" i="53"/>
  <c r="G19724" i="53"/>
  <c r="G19751" i="53"/>
  <c r="G20750" i="53"/>
  <c r="G19293" i="53"/>
  <c r="G19277" i="53"/>
  <c r="G19272" i="53"/>
  <c r="G19274" i="53"/>
  <c r="G19276" i="53"/>
  <c r="G19278" i="53"/>
  <c r="G20752" i="53"/>
  <c r="G19296" i="53"/>
  <c r="G19298" i="53"/>
  <c r="G19304" i="53"/>
  <c r="G19295" i="53"/>
  <c r="G19301" i="53"/>
  <c r="G19303" i="53"/>
  <c r="G20768" i="53"/>
  <c r="G20776" i="53"/>
  <c r="G20778" i="53"/>
  <c r="G19297" i="53"/>
  <c r="G19305" i="53"/>
  <c r="G20769" i="53"/>
  <c r="G20753" i="53"/>
  <c r="G19299" i="53"/>
  <c r="G19294" i="53"/>
  <c r="G19273" i="53"/>
  <c r="G19275" i="53"/>
  <c r="G19289" i="53"/>
  <c r="G19300" i="53"/>
  <c r="G19302" i="53"/>
  <c r="D19258" i="53"/>
  <c r="D19262" i="53"/>
  <c r="B19266" i="53"/>
  <c r="B19264" i="53"/>
  <c r="D19264" i="53"/>
  <c r="G19315" i="53"/>
  <c r="G20770" i="53"/>
  <c r="G20780" i="53"/>
  <c r="B19257" i="53"/>
  <c r="D19260" i="53"/>
  <c r="B19265" i="53"/>
  <c r="D19257" i="53"/>
  <c r="D19265" i="53"/>
  <c r="B19259" i="53"/>
  <c r="B19261" i="53"/>
  <c r="G20777" i="53"/>
  <c r="G20779" i="53"/>
  <c r="D19261" i="53"/>
  <c r="G20751" i="53"/>
  <c r="G20772" i="53"/>
  <c r="G20774" i="53"/>
  <c r="G20749" i="53"/>
  <c r="G20748" i="53"/>
  <c r="G20771" i="53"/>
  <c r="G20773" i="53"/>
  <c r="G20775" i="53"/>
  <c r="B20737" i="53"/>
  <c r="D20739" i="53"/>
  <c r="B20740" i="53"/>
  <c r="D20738" i="53"/>
  <c r="D20742" i="53"/>
  <c r="B20736" i="53"/>
  <c r="G20764" i="53"/>
  <c r="G20790" i="53"/>
  <c r="B20741" i="53"/>
  <c r="D20741" i="53"/>
  <c r="D20743" i="53"/>
  <c r="G20781" i="53" l="1"/>
  <c r="G19279" i="53"/>
  <c r="G19306" i="53"/>
  <c r="G20754" i="53"/>
  <c r="A9658" i="53" l="1"/>
  <c r="D9658" i="53" s="1"/>
  <c r="E57" i="55"/>
  <c r="C57" i="55" s="1"/>
  <c r="A9657" i="53"/>
  <c r="E56" i="55"/>
  <c r="C56" i="55" s="1"/>
  <c r="A9662" i="53"/>
  <c r="B9662" i="53" s="1"/>
  <c r="A9661" i="53"/>
  <c r="D9661" i="53" s="1"/>
  <c r="A9660" i="53"/>
  <c r="D9660" i="53" s="1"/>
  <c r="A9659" i="53"/>
  <c r="D9659" i="53" s="1"/>
  <c r="F9709" i="53"/>
  <c r="G9709" i="53" s="1"/>
  <c r="D9709" i="53"/>
  <c r="B9709" i="53"/>
  <c r="F9708" i="53"/>
  <c r="G9708" i="53" s="1"/>
  <c r="D9708" i="53"/>
  <c r="B9708" i="53"/>
  <c r="F9707" i="53"/>
  <c r="G9707" i="53" s="1"/>
  <c r="D9707" i="53"/>
  <c r="B9707" i="53"/>
  <c r="F9706" i="53"/>
  <c r="G9706" i="53" s="1"/>
  <c r="D9706" i="53"/>
  <c r="B9706" i="53"/>
  <c r="F9705" i="53"/>
  <c r="G9705" i="53" s="1"/>
  <c r="D9705" i="53"/>
  <c r="B9705" i="53"/>
  <c r="F9700" i="53"/>
  <c r="E9700" i="53"/>
  <c r="D9700" i="53"/>
  <c r="B9700" i="53"/>
  <c r="F9699" i="53"/>
  <c r="E9699" i="53"/>
  <c r="D9699" i="53"/>
  <c r="B9699" i="53"/>
  <c r="F9698" i="53"/>
  <c r="E9698" i="53"/>
  <c r="D9698" i="53"/>
  <c r="B9698" i="53"/>
  <c r="F9697" i="53"/>
  <c r="E9697" i="53"/>
  <c r="D9697" i="53"/>
  <c r="B9697" i="53"/>
  <c r="F9696" i="53"/>
  <c r="E9696" i="53"/>
  <c r="D9696" i="53"/>
  <c r="B9696" i="53"/>
  <c r="F9695" i="53"/>
  <c r="E9695" i="53"/>
  <c r="D9695" i="53"/>
  <c r="B9695" i="53"/>
  <c r="F9694" i="53"/>
  <c r="E9694" i="53"/>
  <c r="D9694" i="53"/>
  <c r="B9694" i="53"/>
  <c r="F9693" i="53"/>
  <c r="E9693" i="53"/>
  <c r="D9693" i="53"/>
  <c r="B9693" i="53"/>
  <c r="F9692" i="53"/>
  <c r="E9692" i="53"/>
  <c r="D9692" i="53"/>
  <c r="B9692" i="53"/>
  <c r="F9691" i="53"/>
  <c r="E9691" i="53"/>
  <c r="D9691" i="53"/>
  <c r="B9691" i="53"/>
  <c r="F9690" i="53"/>
  <c r="E9690" i="53"/>
  <c r="D9690" i="53"/>
  <c r="B9690" i="53"/>
  <c r="F9689" i="53"/>
  <c r="E9689" i="53"/>
  <c r="D9689" i="53"/>
  <c r="B9689" i="53"/>
  <c r="F9688" i="53"/>
  <c r="E9688" i="53"/>
  <c r="D9688" i="53"/>
  <c r="B9688" i="53"/>
  <c r="F9683" i="53"/>
  <c r="G9683" i="53" s="1"/>
  <c r="B9683" i="53"/>
  <c r="F9682" i="53"/>
  <c r="G9682" i="53" s="1"/>
  <c r="B9682" i="53"/>
  <c r="F9681" i="53"/>
  <c r="G9681" i="53" s="1"/>
  <c r="B9681" i="53"/>
  <c r="F9680" i="53"/>
  <c r="G9680" i="53" s="1"/>
  <c r="B9680" i="53"/>
  <c r="F9679" i="53"/>
  <c r="G9679" i="53" s="1"/>
  <c r="B9679" i="53"/>
  <c r="F9678" i="53"/>
  <c r="G9678" i="53" s="1"/>
  <c r="B9678" i="53"/>
  <c r="F9673" i="53"/>
  <c r="E9673" i="53"/>
  <c r="D9673" i="53"/>
  <c r="B9673" i="53"/>
  <c r="F9672" i="53"/>
  <c r="E9672" i="53"/>
  <c r="D9672" i="53"/>
  <c r="B9672" i="53"/>
  <c r="F9671" i="53"/>
  <c r="E9671" i="53"/>
  <c r="D9671" i="53"/>
  <c r="B9671" i="53"/>
  <c r="F9670" i="53"/>
  <c r="E9670" i="53"/>
  <c r="D9670" i="53"/>
  <c r="B9670" i="53"/>
  <c r="F9669" i="53"/>
  <c r="E9669" i="53"/>
  <c r="D9669" i="53"/>
  <c r="B9669" i="53"/>
  <c r="F9668" i="53"/>
  <c r="E9668" i="53"/>
  <c r="D9668" i="53"/>
  <c r="B9668" i="53"/>
  <c r="F9663" i="53"/>
  <c r="G9663" i="53" s="1"/>
  <c r="D9663" i="53"/>
  <c r="B9663" i="53"/>
  <c r="G9695" i="53" l="1"/>
  <c r="G9693" i="53"/>
  <c r="G9696" i="53"/>
  <c r="G9698" i="53"/>
  <c r="G9700" i="53"/>
  <c r="G9697" i="53"/>
  <c r="G9699" i="53"/>
  <c r="G9692" i="53"/>
  <c r="G9671" i="53"/>
  <c r="G9673" i="53"/>
  <c r="G9688" i="53"/>
  <c r="G9669" i="53"/>
  <c r="G9689" i="53"/>
  <c r="G9691" i="53"/>
  <c r="B9661" i="53"/>
  <c r="G9668" i="53"/>
  <c r="G9670" i="53"/>
  <c r="G9672" i="53"/>
  <c r="G9690" i="53"/>
  <c r="G9694" i="53"/>
  <c r="G9710" i="53"/>
  <c r="G9684" i="53"/>
  <c r="B9660" i="53"/>
  <c r="D9657" i="53"/>
  <c r="B9659" i="53"/>
  <c r="D9662" i="53"/>
  <c r="G9674" i="53" l="1"/>
  <c r="G9701" i="53"/>
  <c r="B177" i="1" l="1"/>
  <c r="A9582" i="53" l="1"/>
  <c r="A20733" i="53"/>
  <c r="A21881" i="53"/>
  <c r="A16766" i="53" l="1"/>
  <c r="C369" i="55" l="1"/>
  <c r="C368" i="55"/>
  <c r="A11702" i="53"/>
  <c r="C365" i="55"/>
  <c r="F11638" i="53" s="1"/>
  <c r="G11638" i="53" s="1"/>
  <c r="G11639" i="53" s="1"/>
  <c r="G11686" i="53" s="1"/>
  <c r="A11512" i="53"/>
  <c r="C363" i="55"/>
  <c r="A11381" i="53"/>
  <c r="E362" i="55"/>
  <c r="C362" i="55" s="1"/>
  <c r="F3038" i="53" s="1"/>
  <c r="G3038" i="53" s="1"/>
  <c r="M29" i="1"/>
  <c r="M28" i="1"/>
  <c r="Q16" i="54"/>
  <c r="Q15" i="54"/>
  <c r="Q14" i="54"/>
  <c r="G8931" i="53"/>
  <c r="F8928" i="53"/>
  <c r="G8928" i="53" s="1"/>
  <c r="D8928" i="53"/>
  <c r="B8928" i="53"/>
  <c r="E8923" i="53"/>
  <c r="D8923" i="53"/>
  <c r="B8923" i="53"/>
  <c r="E8922" i="53"/>
  <c r="D8922" i="53"/>
  <c r="B8922" i="53"/>
  <c r="E8921" i="53"/>
  <c r="D8921" i="53"/>
  <c r="B8921" i="53"/>
  <c r="E8920" i="53"/>
  <c r="D8920" i="53"/>
  <c r="B8920" i="53"/>
  <c r="E8919" i="53"/>
  <c r="D8919" i="53"/>
  <c r="B8919" i="53"/>
  <c r="E8918" i="53"/>
  <c r="D8918" i="53"/>
  <c r="B8918" i="53"/>
  <c r="E8917" i="53"/>
  <c r="D8917" i="53"/>
  <c r="B8917" i="53"/>
  <c r="E8916" i="53"/>
  <c r="D8916" i="53"/>
  <c r="B8916" i="53"/>
  <c r="E8915" i="53"/>
  <c r="D8915" i="53"/>
  <c r="B8915" i="53"/>
  <c r="E8914" i="53"/>
  <c r="D8914" i="53"/>
  <c r="B8914" i="53"/>
  <c r="E8913" i="53"/>
  <c r="D8913" i="53"/>
  <c r="B8913" i="53"/>
  <c r="E8912" i="53"/>
  <c r="D8912" i="53"/>
  <c r="B8912" i="53"/>
  <c r="E8911" i="53"/>
  <c r="D8911" i="53"/>
  <c r="B8911" i="53"/>
  <c r="F8906" i="53"/>
  <c r="G8906" i="53" s="1"/>
  <c r="B8906" i="53"/>
  <c r="F8905" i="53"/>
  <c r="G8905" i="53" s="1"/>
  <c r="B8905" i="53"/>
  <c r="F8904" i="53"/>
  <c r="G8904" i="53" s="1"/>
  <c r="B8904" i="53"/>
  <c r="F8903" i="53"/>
  <c r="G8903" i="53" s="1"/>
  <c r="B8903" i="53"/>
  <c r="F8902" i="53"/>
  <c r="G8902" i="53" s="1"/>
  <c r="B8902" i="53"/>
  <c r="F8901" i="53"/>
  <c r="G8901" i="53" s="1"/>
  <c r="B8901" i="53"/>
  <c r="B8896" i="53"/>
  <c r="D8895" i="53"/>
  <c r="B8895" i="53"/>
  <c r="D8894" i="53"/>
  <c r="B8894" i="53"/>
  <c r="D8893" i="53"/>
  <c r="B8893" i="53"/>
  <c r="D8892" i="53"/>
  <c r="B8892" i="53"/>
  <c r="D8891" i="53"/>
  <c r="B8891" i="53"/>
  <c r="F8886" i="53"/>
  <c r="G8886" i="53" s="1"/>
  <c r="F8885" i="53"/>
  <c r="G8885" i="53" s="1"/>
  <c r="B8885" i="53"/>
  <c r="D8885" i="53"/>
  <c r="D8884" i="53"/>
  <c r="F8884" i="53"/>
  <c r="G8884" i="53" s="1"/>
  <c r="F11574" i="53" l="1"/>
  <c r="G11574" i="53" s="1"/>
  <c r="G11575" i="53" s="1"/>
  <c r="G11622" i="53" s="1"/>
  <c r="J210" i="1" s="1"/>
  <c r="F11767" i="53"/>
  <c r="G11767" i="53" s="1"/>
  <c r="G11768" i="53" s="1"/>
  <c r="G11815" i="53" s="1"/>
  <c r="J211" i="1"/>
  <c r="G11690" i="53"/>
  <c r="G11694" i="53" s="1"/>
  <c r="G11689" i="53"/>
  <c r="G11688" i="53"/>
  <c r="G8907" i="53"/>
  <c r="B8884" i="53"/>
  <c r="B8886" i="53"/>
  <c r="D8886" i="53"/>
  <c r="C361" i="55"/>
  <c r="C360" i="55"/>
  <c r="A8818" i="53"/>
  <c r="A8817" i="53"/>
  <c r="B8817" i="53" s="1"/>
  <c r="A8816" i="53"/>
  <c r="D8816" i="53" s="1"/>
  <c r="A8815" i="53"/>
  <c r="B8815" i="53" s="1"/>
  <c r="A8819" i="53"/>
  <c r="B8819" i="53" s="1"/>
  <c r="B8812" i="53"/>
  <c r="G8864" i="53"/>
  <c r="D8863" i="53"/>
  <c r="B8863" i="53"/>
  <c r="D8862" i="53"/>
  <c r="B8862" i="53"/>
  <c r="F8861" i="53"/>
  <c r="G8861" i="53" s="1"/>
  <c r="D8861" i="53"/>
  <c r="B8861" i="53"/>
  <c r="E8856" i="53"/>
  <c r="D8856" i="53"/>
  <c r="B8856" i="53"/>
  <c r="E8855" i="53"/>
  <c r="D8855" i="53"/>
  <c r="B8855" i="53"/>
  <c r="E8854" i="53"/>
  <c r="D8854" i="53"/>
  <c r="B8854" i="53"/>
  <c r="E8853" i="53"/>
  <c r="D8853" i="53"/>
  <c r="B8853" i="53"/>
  <c r="E8852" i="53"/>
  <c r="D8852" i="53"/>
  <c r="B8852" i="53"/>
  <c r="E8851" i="53"/>
  <c r="D8851" i="53"/>
  <c r="B8851" i="53"/>
  <c r="E8850" i="53"/>
  <c r="D8850" i="53"/>
  <c r="B8850" i="53"/>
  <c r="E8849" i="53"/>
  <c r="D8849" i="53"/>
  <c r="B8849" i="53"/>
  <c r="E8848" i="53"/>
  <c r="D8848" i="53"/>
  <c r="B8848" i="53"/>
  <c r="E8847" i="53"/>
  <c r="D8847" i="53"/>
  <c r="B8847" i="53"/>
  <c r="E8846" i="53"/>
  <c r="D8846" i="53"/>
  <c r="B8846" i="53"/>
  <c r="E8845" i="53"/>
  <c r="D8845" i="53"/>
  <c r="B8845" i="53"/>
  <c r="E8844" i="53"/>
  <c r="D8844" i="53"/>
  <c r="B8844" i="53"/>
  <c r="F8839" i="53"/>
  <c r="G8839" i="53" s="1"/>
  <c r="B8839" i="53"/>
  <c r="F8838" i="53"/>
  <c r="G8838" i="53" s="1"/>
  <c r="B8838" i="53"/>
  <c r="F8837" i="53"/>
  <c r="G8837" i="53" s="1"/>
  <c r="B8837" i="53"/>
  <c r="F8836" i="53"/>
  <c r="G8836" i="53" s="1"/>
  <c r="B8836" i="53"/>
  <c r="F8835" i="53"/>
  <c r="G8835" i="53" s="1"/>
  <c r="B8835" i="53"/>
  <c r="F8834" i="53"/>
  <c r="G8834" i="53" s="1"/>
  <c r="B8834" i="53"/>
  <c r="D8829" i="53"/>
  <c r="B8829" i="53"/>
  <c r="D8828" i="53"/>
  <c r="B8828" i="53"/>
  <c r="D8827" i="53"/>
  <c r="B8827" i="53"/>
  <c r="D8826" i="53"/>
  <c r="B8826" i="53"/>
  <c r="D8825" i="53"/>
  <c r="B8825" i="53"/>
  <c r="D8824" i="53"/>
  <c r="B8824" i="53"/>
  <c r="C359" i="55"/>
  <c r="A8745" i="53"/>
  <c r="B8745" i="53" s="1"/>
  <c r="C358" i="55"/>
  <c r="B8742" i="53"/>
  <c r="D8796" i="53"/>
  <c r="B8796" i="53"/>
  <c r="F8795" i="53"/>
  <c r="G8795" i="53" s="1"/>
  <c r="D8795" i="53"/>
  <c r="B8795" i="53"/>
  <c r="D8794" i="53"/>
  <c r="B8794" i="53"/>
  <c r="D8793" i="53"/>
  <c r="B8793" i="53"/>
  <c r="F8792" i="53"/>
  <c r="G8792" i="53" s="1"/>
  <c r="D8792" i="53"/>
  <c r="B8792" i="53"/>
  <c r="E8787" i="53"/>
  <c r="D8787" i="53"/>
  <c r="B8787" i="53"/>
  <c r="E8786" i="53"/>
  <c r="D8786" i="53"/>
  <c r="B8786" i="53"/>
  <c r="E8785" i="53"/>
  <c r="D8785" i="53"/>
  <c r="B8785" i="53"/>
  <c r="E8784" i="53"/>
  <c r="D8784" i="53"/>
  <c r="B8784" i="53"/>
  <c r="E8783" i="53"/>
  <c r="D8783" i="53"/>
  <c r="B8783" i="53"/>
  <c r="E8782" i="53"/>
  <c r="D8782" i="53"/>
  <c r="B8782" i="53"/>
  <c r="E8781" i="53"/>
  <c r="D8781" i="53"/>
  <c r="B8781" i="53"/>
  <c r="E8780" i="53"/>
  <c r="D8780" i="53"/>
  <c r="B8780" i="53"/>
  <c r="E8779" i="53"/>
  <c r="D8779" i="53"/>
  <c r="B8779" i="53"/>
  <c r="E8778" i="53"/>
  <c r="D8778" i="53"/>
  <c r="B8778" i="53"/>
  <c r="E8777" i="53"/>
  <c r="D8777" i="53"/>
  <c r="B8777" i="53"/>
  <c r="E8776" i="53"/>
  <c r="D8776" i="53"/>
  <c r="B8776" i="53"/>
  <c r="E8775" i="53"/>
  <c r="D8775" i="53"/>
  <c r="B8775" i="53"/>
  <c r="F8770" i="53"/>
  <c r="G8770" i="53" s="1"/>
  <c r="B8770" i="53"/>
  <c r="F8769" i="53"/>
  <c r="G8769" i="53" s="1"/>
  <c r="B8769" i="53"/>
  <c r="F8768" i="53"/>
  <c r="G8768" i="53" s="1"/>
  <c r="B8768" i="53"/>
  <c r="F8767" i="53"/>
  <c r="G8767" i="53" s="1"/>
  <c r="B8767" i="53"/>
  <c r="F8766" i="53"/>
  <c r="G8766" i="53" s="1"/>
  <c r="B8766" i="53"/>
  <c r="F8765" i="53"/>
  <c r="G8765" i="53" s="1"/>
  <c r="B8765" i="53"/>
  <c r="D8760" i="53"/>
  <c r="B8760" i="53"/>
  <c r="D8759" i="53"/>
  <c r="B8759" i="53"/>
  <c r="D8758" i="53"/>
  <c r="B8758" i="53"/>
  <c r="D8757" i="53"/>
  <c r="B8757" i="53"/>
  <c r="D8756" i="53"/>
  <c r="B8756" i="53"/>
  <c r="D8755" i="53"/>
  <c r="B8755" i="53"/>
  <c r="F8750" i="53"/>
  <c r="G8750" i="53" s="1"/>
  <c r="D8750" i="53"/>
  <c r="B8750" i="53"/>
  <c r="F8749" i="53"/>
  <c r="G8749" i="53" s="1"/>
  <c r="D8749" i="53"/>
  <c r="B8749" i="53"/>
  <c r="F8748" i="53"/>
  <c r="G8748" i="53" s="1"/>
  <c r="D8748" i="53"/>
  <c r="B8748" i="53"/>
  <c r="F8747" i="53"/>
  <c r="G8747" i="53" s="1"/>
  <c r="D8747" i="53"/>
  <c r="B8747" i="53"/>
  <c r="F8746" i="53"/>
  <c r="G8746" i="53" s="1"/>
  <c r="D8746" i="53"/>
  <c r="B8746" i="53"/>
  <c r="D7931" i="53"/>
  <c r="B7928" i="53"/>
  <c r="D7979" i="53"/>
  <c r="B7979" i="53"/>
  <c r="F7978" i="53"/>
  <c r="G7978" i="53" s="1"/>
  <c r="D7978" i="53"/>
  <c r="B7978" i="53"/>
  <c r="D7977" i="53"/>
  <c r="B7977" i="53"/>
  <c r="D7976" i="53"/>
  <c r="B7976" i="53"/>
  <c r="F7975" i="53"/>
  <c r="G7975" i="53" s="1"/>
  <c r="D7975" i="53"/>
  <c r="B7975" i="53"/>
  <c r="E7970" i="53"/>
  <c r="D7970" i="53"/>
  <c r="B7970" i="53"/>
  <c r="E7969" i="53"/>
  <c r="D7969" i="53"/>
  <c r="B7969" i="53"/>
  <c r="E7968" i="53"/>
  <c r="D7968" i="53"/>
  <c r="B7968" i="53"/>
  <c r="E7967" i="53"/>
  <c r="D7967" i="53"/>
  <c r="B7967" i="53"/>
  <c r="E7966" i="53"/>
  <c r="D7966" i="53"/>
  <c r="B7966" i="53"/>
  <c r="E7965" i="53"/>
  <c r="D7965" i="53"/>
  <c r="B7965" i="53"/>
  <c r="E7964" i="53"/>
  <c r="D7964" i="53"/>
  <c r="B7964" i="53"/>
  <c r="E7963" i="53"/>
  <c r="D7963" i="53"/>
  <c r="B7963" i="53"/>
  <c r="E7962" i="53"/>
  <c r="D7962" i="53"/>
  <c r="B7962" i="53"/>
  <c r="E7961" i="53"/>
  <c r="D7961" i="53"/>
  <c r="B7961" i="53"/>
  <c r="E7960" i="53"/>
  <c r="D7960" i="53"/>
  <c r="B7960" i="53"/>
  <c r="E7959" i="53"/>
  <c r="D7959" i="53"/>
  <c r="B7959" i="53"/>
  <c r="E7958" i="53"/>
  <c r="D7958" i="53"/>
  <c r="B7958" i="53"/>
  <c r="F7953" i="53"/>
  <c r="G7953" i="53" s="1"/>
  <c r="B7953" i="53"/>
  <c r="F7952" i="53"/>
  <c r="G7952" i="53" s="1"/>
  <c r="B7952" i="53"/>
  <c r="F7951" i="53"/>
  <c r="G7951" i="53" s="1"/>
  <c r="B7951" i="53"/>
  <c r="F7950" i="53"/>
  <c r="G7950" i="53" s="1"/>
  <c r="B7950" i="53"/>
  <c r="F7949" i="53"/>
  <c r="G7949" i="53" s="1"/>
  <c r="B7949" i="53"/>
  <c r="F7948" i="53"/>
  <c r="G7948" i="53" s="1"/>
  <c r="B7948" i="53"/>
  <c r="D7943" i="53"/>
  <c r="B7943" i="53"/>
  <c r="D7942" i="53"/>
  <c r="B7942" i="53"/>
  <c r="D7941" i="53"/>
  <c r="B7941" i="53"/>
  <c r="D7940" i="53"/>
  <c r="B7940" i="53"/>
  <c r="D7939" i="53"/>
  <c r="B7939" i="53"/>
  <c r="D7938" i="53"/>
  <c r="B7938" i="53"/>
  <c r="F7933" i="53"/>
  <c r="G7933" i="53" s="1"/>
  <c r="D7933" i="53"/>
  <c r="B7933" i="53"/>
  <c r="D7932" i="53"/>
  <c r="B7932" i="53"/>
  <c r="D8405" i="53"/>
  <c r="B8401" i="53"/>
  <c r="D8452" i="53"/>
  <c r="B8452" i="53"/>
  <c r="F8451" i="53"/>
  <c r="G8451" i="53" s="1"/>
  <c r="D8451" i="53"/>
  <c r="B8451" i="53"/>
  <c r="D8450" i="53"/>
  <c r="B8450" i="53"/>
  <c r="D8449" i="53"/>
  <c r="B8449" i="53"/>
  <c r="F8448" i="53"/>
  <c r="G8448" i="53" s="1"/>
  <c r="D8448" i="53"/>
  <c r="B8448" i="53"/>
  <c r="E8443" i="53"/>
  <c r="D8443" i="53"/>
  <c r="B8443" i="53"/>
  <c r="E8442" i="53"/>
  <c r="D8442" i="53"/>
  <c r="B8442" i="53"/>
  <c r="E8441" i="53"/>
  <c r="D8441" i="53"/>
  <c r="B8441" i="53"/>
  <c r="E8440" i="53"/>
  <c r="D8440" i="53"/>
  <c r="B8440" i="53"/>
  <c r="E8439" i="53"/>
  <c r="D8439" i="53"/>
  <c r="B8439" i="53"/>
  <c r="E8438" i="53"/>
  <c r="D8438" i="53"/>
  <c r="B8438" i="53"/>
  <c r="E8437" i="53"/>
  <c r="D8437" i="53"/>
  <c r="B8437" i="53"/>
  <c r="E8436" i="53"/>
  <c r="D8436" i="53"/>
  <c r="B8436" i="53"/>
  <c r="E8435" i="53"/>
  <c r="D8435" i="53"/>
  <c r="B8435" i="53"/>
  <c r="E8434" i="53"/>
  <c r="D8434" i="53"/>
  <c r="B8434" i="53"/>
  <c r="E8433" i="53"/>
  <c r="D8433" i="53"/>
  <c r="B8433" i="53"/>
  <c r="E8432" i="53"/>
  <c r="D8432" i="53"/>
  <c r="B8432" i="53"/>
  <c r="E8431" i="53"/>
  <c r="D8431" i="53"/>
  <c r="B8431" i="53"/>
  <c r="F8426" i="53"/>
  <c r="G8426" i="53" s="1"/>
  <c r="B8426" i="53"/>
  <c r="F8425" i="53"/>
  <c r="G8425" i="53" s="1"/>
  <c r="B8425" i="53"/>
  <c r="F8424" i="53"/>
  <c r="G8424" i="53" s="1"/>
  <c r="B8424" i="53"/>
  <c r="F8423" i="53"/>
  <c r="G8423" i="53" s="1"/>
  <c r="B8423" i="53"/>
  <c r="F8422" i="53"/>
  <c r="G8422" i="53" s="1"/>
  <c r="B8422" i="53"/>
  <c r="F8421" i="53"/>
  <c r="G8421" i="53" s="1"/>
  <c r="B8421" i="53"/>
  <c r="D8416" i="53"/>
  <c r="B8416" i="53"/>
  <c r="D8415" i="53"/>
  <c r="B8415" i="53"/>
  <c r="D8414" i="53"/>
  <c r="B8414" i="53"/>
  <c r="D8413" i="53"/>
  <c r="B8413" i="53"/>
  <c r="D8412" i="53"/>
  <c r="B8412" i="53"/>
  <c r="D8411" i="53"/>
  <c r="B8411" i="53"/>
  <c r="C357" i="55"/>
  <c r="D8608" i="53"/>
  <c r="B8609" i="53"/>
  <c r="B8604" i="53"/>
  <c r="D8659" i="53"/>
  <c r="B8659" i="53"/>
  <c r="F8658" i="53"/>
  <c r="G8658" i="53" s="1"/>
  <c r="D8658" i="53"/>
  <c r="B8658" i="53"/>
  <c r="D8657" i="53"/>
  <c r="B8657" i="53"/>
  <c r="D8656" i="53"/>
  <c r="B8656" i="53"/>
  <c r="F8655" i="53"/>
  <c r="G8655" i="53" s="1"/>
  <c r="D8655" i="53"/>
  <c r="B8655" i="53"/>
  <c r="E8650" i="53"/>
  <c r="D8650" i="53"/>
  <c r="B8650" i="53"/>
  <c r="E8649" i="53"/>
  <c r="D8649" i="53"/>
  <c r="B8649" i="53"/>
  <c r="E8648" i="53"/>
  <c r="D8648" i="53"/>
  <c r="B8648" i="53"/>
  <c r="E8647" i="53"/>
  <c r="D8647" i="53"/>
  <c r="B8647" i="53"/>
  <c r="E8646" i="53"/>
  <c r="D8646" i="53"/>
  <c r="B8646" i="53"/>
  <c r="E8645" i="53"/>
  <c r="D8645" i="53"/>
  <c r="B8645" i="53"/>
  <c r="E8644" i="53"/>
  <c r="D8644" i="53"/>
  <c r="B8644" i="53"/>
  <c r="E8643" i="53"/>
  <c r="D8643" i="53"/>
  <c r="B8643" i="53"/>
  <c r="E8642" i="53"/>
  <c r="D8642" i="53"/>
  <c r="B8642" i="53"/>
  <c r="E8641" i="53"/>
  <c r="D8641" i="53"/>
  <c r="B8641" i="53"/>
  <c r="E8640" i="53"/>
  <c r="D8640" i="53"/>
  <c r="B8640" i="53"/>
  <c r="E8639" i="53"/>
  <c r="D8639" i="53"/>
  <c r="B8639" i="53"/>
  <c r="E8638" i="53"/>
  <c r="D8638" i="53"/>
  <c r="B8638" i="53"/>
  <c r="F8633" i="53"/>
  <c r="G8633" i="53" s="1"/>
  <c r="B8633" i="53"/>
  <c r="F8632" i="53"/>
  <c r="G8632" i="53" s="1"/>
  <c r="B8632" i="53"/>
  <c r="F8631" i="53"/>
  <c r="G8631" i="53" s="1"/>
  <c r="B8631" i="53"/>
  <c r="F8630" i="53"/>
  <c r="G8630" i="53" s="1"/>
  <c r="B8630" i="53"/>
  <c r="F8629" i="53"/>
  <c r="G8629" i="53" s="1"/>
  <c r="B8629" i="53"/>
  <c r="F8628" i="53"/>
  <c r="G8628" i="53" s="1"/>
  <c r="B8628" i="53"/>
  <c r="D8623" i="53"/>
  <c r="B8623" i="53"/>
  <c r="D8622" i="53"/>
  <c r="B8622" i="53"/>
  <c r="D8621" i="53"/>
  <c r="B8621" i="53"/>
  <c r="D8620" i="53"/>
  <c r="B8620" i="53"/>
  <c r="D8619" i="53"/>
  <c r="B8619" i="53"/>
  <c r="D8618" i="53"/>
  <c r="B8618" i="53"/>
  <c r="F8613" i="53"/>
  <c r="G8613" i="53" s="1"/>
  <c r="D8612" i="53"/>
  <c r="F8611" i="53"/>
  <c r="G8611" i="53" s="1"/>
  <c r="C356" i="55"/>
  <c r="C355" i="55"/>
  <c r="C354" i="55"/>
  <c r="C353" i="55"/>
  <c r="C347" i="55"/>
  <c r="C348" i="55"/>
  <c r="C349" i="55"/>
  <c r="F9870" i="53" s="1"/>
  <c r="G9870" i="53" s="1"/>
  <c r="C350" i="55"/>
  <c r="F9871" i="53" s="1"/>
  <c r="G9871" i="53" s="1"/>
  <c r="C351" i="55"/>
  <c r="C352" i="55"/>
  <c r="E346" i="55"/>
  <c r="C346" i="55" s="1"/>
  <c r="A8540" i="53"/>
  <c r="D8588" i="53"/>
  <c r="B8588" i="53"/>
  <c r="F8587" i="53"/>
  <c r="G8587" i="53" s="1"/>
  <c r="D8587" i="53"/>
  <c r="B8587" i="53"/>
  <c r="D8586" i="53"/>
  <c r="B8586" i="53"/>
  <c r="D8585" i="53"/>
  <c r="B8585" i="53"/>
  <c r="F8584" i="53"/>
  <c r="G8584" i="53" s="1"/>
  <c r="D8584" i="53"/>
  <c r="B8584" i="53"/>
  <c r="E8579" i="53"/>
  <c r="D8579" i="53"/>
  <c r="B8579" i="53"/>
  <c r="E8578" i="53"/>
  <c r="D8578" i="53"/>
  <c r="B8578" i="53"/>
  <c r="E8577" i="53"/>
  <c r="D8577" i="53"/>
  <c r="B8577" i="53"/>
  <c r="E8576" i="53"/>
  <c r="D8576" i="53"/>
  <c r="B8576" i="53"/>
  <c r="E8575" i="53"/>
  <c r="D8575" i="53"/>
  <c r="B8575" i="53"/>
  <c r="E8574" i="53"/>
  <c r="D8574" i="53"/>
  <c r="B8574" i="53"/>
  <c r="E8573" i="53"/>
  <c r="D8573" i="53"/>
  <c r="B8573" i="53"/>
  <c r="E8572" i="53"/>
  <c r="D8572" i="53"/>
  <c r="B8572" i="53"/>
  <c r="E8571" i="53"/>
  <c r="D8571" i="53"/>
  <c r="B8571" i="53"/>
  <c r="E8570" i="53"/>
  <c r="D8570" i="53"/>
  <c r="B8570" i="53"/>
  <c r="E8569" i="53"/>
  <c r="D8569" i="53"/>
  <c r="B8569" i="53"/>
  <c r="E8568" i="53"/>
  <c r="D8568" i="53"/>
  <c r="B8568" i="53"/>
  <c r="E8567" i="53"/>
  <c r="D8567" i="53"/>
  <c r="B8567" i="53"/>
  <c r="F8562" i="53"/>
  <c r="G8562" i="53" s="1"/>
  <c r="B8562" i="53"/>
  <c r="F8561" i="53"/>
  <c r="G8561" i="53" s="1"/>
  <c r="B8561" i="53"/>
  <c r="F8560" i="53"/>
  <c r="G8560" i="53" s="1"/>
  <c r="B8560" i="53"/>
  <c r="F8559" i="53"/>
  <c r="G8559" i="53" s="1"/>
  <c r="B8559" i="53"/>
  <c r="F8558" i="53"/>
  <c r="G8558" i="53" s="1"/>
  <c r="B8558" i="53"/>
  <c r="F8557" i="53"/>
  <c r="G8557" i="53" s="1"/>
  <c r="B8557" i="53"/>
  <c r="D8552" i="53"/>
  <c r="B8552" i="53"/>
  <c r="D8551" i="53"/>
  <c r="B8551" i="53"/>
  <c r="D8550" i="53"/>
  <c r="B8550" i="53"/>
  <c r="D8549" i="53"/>
  <c r="B8549" i="53"/>
  <c r="D8548" i="53"/>
  <c r="B8548" i="53"/>
  <c r="D8547" i="53"/>
  <c r="B8547" i="53"/>
  <c r="F8542" i="53"/>
  <c r="G8542" i="53" s="1"/>
  <c r="D8541" i="53"/>
  <c r="A8472" i="53"/>
  <c r="D8472" i="53" s="1"/>
  <c r="C345" i="55"/>
  <c r="A8471" i="53"/>
  <c r="C344" i="55"/>
  <c r="B8468" i="53"/>
  <c r="D8521" i="53"/>
  <c r="B8521" i="53"/>
  <c r="F8520" i="53"/>
  <c r="G8520" i="53" s="1"/>
  <c r="D8520" i="53"/>
  <c r="B8520" i="53"/>
  <c r="D8519" i="53"/>
  <c r="B8519" i="53"/>
  <c r="D8518" i="53"/>
  <c r="B8518" i="53"/>
  <c r="F8517" i="53"/>
  <c r="G8517" i="53" s="1"/>
  <c r="D8517" i="53"/>
  <c r="B8517" i="53"/>
  <c r="E8512" i="53"/>
  <c r="D8512" i="53"/>
  <c r="B8512" i="53"/>
  <c r="E8511" i="53"/>
  <c r="D8511" i="53"/>
  <c r="B8511" i="53"/>
  <c r="E8510" i="53"/>
  <c r="D8510" i="53"/>
  <c r="B8510" i="53"/>
  <c r="E8509" i="53"/>
  <c r="D8509" i="53"/>
  <c r="B8509" i="53"/>
  <c r="E8508" i="53"/>
  <c r="D8508" i="53"/>
  <c r="B8508" i="53"/>
  <c r="E8507" i="53"/>
  <c r="D8507" i="53"/>
  <c r="B8507" i="53"/>
  <c r="E8506" i="53"/>
  <c r="D8506" i="53"/>
  <c r="B8506" i="53"/>
  <c r="E8505" i="53"/>
  <c r="D8505" i="53"/>
  <c r="B8505" i="53"/>
  <c r="E8504" i="53"/>
  <c r="D8504" i="53"/>
  <c r="B8504" i="53"/>
  <c r="E8503" i="53"/>
  <c r="D8503" i="53"/>
  <c r="B8503" i="53"/>
  <c r="E8502" i="53"/>
  <c r="D8502" i="53"/>
  <c r="B8502" i="53"/>
  <c r="E8501" i="53"/>
  <c r="D8501" i="53"/>
  <c r="B8501" i="53"/>
  <c r="F8496" i="53"/>
  <c r="G8496" i="53" s="1"/>
  <c r="B8496" i="53"/>
  <c r="F8495" i="53"/>
  <c r="G8495" i="53" s="1"/>
  <c r="B8495" i="53"/>
  <c r="F8494" i="53"/>
  <c r="G8494" i="53" s="1"/>
  <c r="B8494" i="53"/>
  <c r="F8493" i="53"/>
  <c r="G8493" i="53" s="1"/>
  <c r="B8493" i="53"/>
  <c r="F8492" i="53"/>
  <c r="G8492" i="53" s="1"/>
  <c r="B8492" i="53"/>
  <c r="F8491" i="53"/>
  <c r="G8491" i="53" s="1"/>
  <c r="B8491" i="53"/>
  <c r="D8486" i="53"/>
  <c r="B8486" i="53"/>
  <c r="D8485" i="53"/>
  <c r="B8485" i="53"/>
  <c r="D8484" i="53"/>
  <c r="B8484" i="53"/>
  <c r="D8483" i="53"/>
  <c r="B8483" i="53"/>
  <c r="D8482" i="53"/>
  <c r="B8482" i="53"/>
  <c r="D8481" i="53"/>
  <c r="B8481" i="53"/>
  <c r="F8476" i="53"/>
  <c r="G8476" i="53" s="1"/>
  <c r="D8475" i="53"/>
  <c r="F8474" i="53"/>
  <c r="G8474" i="53" s="1"/>
  <c r="D8473" i="53"/>
  <c r="E343" i="55"/>
  <c r="C343" i="55" s="1"/>
  <c r="C342" i="55"/>
  <c r="C341" i="55"/>
  <c r="G11625" i="53" l="1"/>
  <c r="G11624" i="53"/>
  <c r="G11626" i="53"/>
  <c r="G11630" i="53" s="1"/>
  <c r="J213" i="1"/>
  <c r="O213" i="1" s="1"/>
  <c r="G11819" i="53"/>
  <c r="G11823" i="53" s="1"/>
  <c r="G11818" i="53"/>
  <c r="G11817" i="53"/>
  <c r="F2832" i="53"/>
  <c r="G2832" i="53" s="1"/>
  <c r="F3754" i="53"/>
  <c r="G3754" i="53" s="1"/>
  <c r="G3757" i="53" s="1"/>
  <c r="G3805" i="53" s="1"/>
  <c r="J74" i="1" s="1"/>
  <c r="K211" i="1"/>
  <c r="L211" i="1"/>
  <c r="K213" i="1"/>
  <c r="L210" i="1"/>
  <c r="K210" i="1"/>
  <c r="N211" i="1"/>
  <c r="M211" i="1"/>
  <c r="O211" i="1"/>
  <c r="N210" i="1"/>
  <c r="O210" i="1"/>
  <c r="M210" i="1"/>
  <c r="G11692" i="53"/>
  <c r="G11696" i="53" s="1"/>
  <c r="G11635" i="53" s="1"/>
  <c r="F8273" i="53"/>
  <c r="G8273" i="53" s="1"/>
  <c r="F9513" i="53"/>
  <c r="G9513" i="53" s="1"/>
  <c r="G9515" i="53" s="1"/>
  <c r="G9569" i="53" s="1"/>
  <c r="F2563" i="53"/>
  <c r="G2563" i="53" s="1"/>
  <c r="F3683" i="53"/>
  <c r="G3683" i="53" s="1"/>
  <c r="F2491" i="53"/>
  <c r="G2491" i="53" s="1"/>
  <c r="F16417" i="53"/>
  <c r="G16417" i="53" s="1"/>
  <c r="G16419" i="53" s="1"/>
  <c r="G16467" i="53" s="1"/>
  <c r="F9872" i="53"/>
  <c r="G9872" i="53" s="1"/>
  <c r="B8816" i="53"/>
  <c r="D8745" i="53"/>
  <c r="F8745" i="53"/>
  <c r="G8745" i="53" s="1"/>
  <c r="G8751" i="53" s="1"/>
  <c r="D8815" i="53"/>
  <c r="F8815" i="53"/>
  <c r="G8815" i="53" s="1"/>
  <c r="D8817" i="53"/>
  <c r="F8471" i="53"/>
  <c r="G8471" i="53" s="1"/>
  <c r="D8818" i="53"/>
  <c r="G8840" i="53"/>
  <c r="D8819" i="53"/>
  <c r="F8819" i="53"/>
  <c r="G8819" i="53" s="1"/>
  <c r="G8771" i="53"/>
  <c r="B7931" i="53"/>
  <c r="F7931" i="53"/>
  <c r="G7931" i="53" s="1"/>
  <c r="G7954" i="53"/>
  <c r="F7932" i="53"/>
  <c r="G7932" i="53" s="1"/>
  <c r="D8406" i="53"/>
  <c r="G8427" i="53"/>
  <c r="B8404" i="53"/>
  <c r="D8404" i="53"/>
  <c r="B8406" i="53"/>
  <c r="B8405" i="53"/>
  <c r="B8540" i="53"/>
  <c r="F8610" i="53"/>
  <c r="G8610" i="53" s="1"/>
  <c r="D8611" i="53"/>
  <c r="B8610" i="53"/>
  <c r="D8610" i="53"/>
  <c r="B8608" i="53"/>
  <c r="F8608" i="53"/>
  <c r="G8608" i="53" s="1"/>
  <c r="G8634" i="53"/>
  <c r="D8609" i="53"/>
  <c r="B8612" i="53"/>
  <c r="F8612" i="53"/>
  <c r="G8612" i="53" s="1"/>
  <c r="F8609" i="53"/>
  <c r="G8609" i="53" s="1"/>
  <c r="B8611" i="53"/>
  <c r="B8613" i="53"/>
  <c r="D8613" i="53"/>
  <c r="F8473" i="53"/>
  <c r="G8473" i="53" s="1"/>
  <c r="B8472" i="53"/>
  <c r="B8473" i="53"/>
  <c r="B8541" i="53"/>
  <c r="F8541" i="53"/>
  <c r="G8541" i="53" s="1"/>
  <c r="B8475" i="53"/>
  <c r="F8540" i="53"/>
  <c r="G8540" i="53" s="1"/>
  <c r="D8540" i="53"/>
  <c r="G8563" i="53"/>
  <c r="B8542" i="53"/>
  <c r="D8474" i="53"/>
  <c r="D8542" i="53"/>
  <c r="F8475" i="53"/>
  <c r="G8475" i="53" s="1"/>
  <c r="G8497" i="53"/>
  <c r="D8471" i="53"/>
  <c r="B8471" i="53"/>
  <c r="F8472" i="53"/>
  <c r="G8472" i="53" s="1"/>
  <c r="B8474" i="53"/>
  <c r="B8476" i="53"/>
  <c r="D8476" i="53"/>
  <c r="B7730" i="53"/>
  <c r="B7728" i="53"/>
  <c r="B4725" i="53"/>
  <c r="A4728" i="53"/>
  <c r="D4729" i="53"/>
  <c r="B4730" i="53"/>
  <c r="D4730" i="53"/>
  <c r="F4730" i="53"/>
  <c r="G4730" i="53" s="1"/>
  <c r="B4735" i="53"/>
  <c r="D4735" i="53"/>
  <c r="B4736" i="53"/>
  <c r="D4736" i="53"/>
  <c r="B4737" i="53"/>
  <c r="D4737" i="53"/>
  <c r="B4738" i="53"/>
  <c r="D4738" i="53"/>
  <c r="B4739" i="53"/>
  <c r="D4739" i="53"/>
  <c r="B4740" i="53"/>
  <c r="D4740" i="53"/>
  <c r="B4745" i="53"/>
  <c r="F4745" i="53"/>
  <c r="G4745" i="53" s="1"/>
  <c r="B4746" i="53"/>
  <c r="F4746" i="53"/>
  <c r="G4746" i="53" s="1"/>
  <c r="B4747" i="53"/>
  <c r="F4747" i="53"/>
  <c r="G4747" i="53" s="1"/>
  <c r="B4748" i="53"/>
  <c r="F4748" i="53"/>
  <c r="G4748" i="53" s="1"/>
  <c r="B4749" i="53"/>
  <c r="F4749" i="53"/>
  <c r="G4749" i="53" s="1"/>
  <c r="B4750" i="53"/>
  <c r="F4750" i="53"/>
  <c r="G4750" i="53" s="1"/>
  <c r="B4755" i="53"/>
  <c r="D4755" i="53"/>
  <c r="E4755" i="53"/>
  <c r="B4756" i="53"/>
  <c r="D4756" i="53"/>
  <c r="E4756" i="53"/>
  <c r="B4757" i="53"/>
  <c r="D4757" i="53"/>
  <c r="E4757" i="53"/>
  <c r="B4758" i="53"/>
  <c r="D4758" i="53"/>
  <c r="E4758" i="53"/>
  <c r="B4759" i="53"/>
  <c r="D4759" i="53"/>
  <c r="E4759" i="53"/>
  <c r="B4760" i="53"/>
  <c r="D4760" i="53"/>
  <c r="E4760" i="53"/>
  <c r="B4761" i="53"/>
  <c r="D4761" i="53"/>
  <c r="E4761" i="53"/>
  <c r="B4762" i="53"/>
  <c r="D4762" i="53"/>
  <c r="E4762" i="53"/>
  <c r="B4763" i="53"/>
  <c r="D4763" i="53"/>
  <c r="E4763" i="53"/>
  <c r="B4764" i="53"/>
  <c r="D4764" i="53"/>
  <c r="E4764" i="53"/>
  <c r="B4765" i="53"/>
  <c r="D4765" i="53"/>
  <c r="E4765" i="53"/>
  <c r="B4766" i="53"/>
  <c r="D4766" i="53"/>
  <c r="E4766" i="53"/>
  <c r="B4767" i="53"/>
  <c r="D4767" i="53"/>
  <c r="E4767" i="53"/>
  <c r="B4772" i="53"/>
  <c r="D4772" i="53"/>
  <c r="F4772" i="53"/>
  <c r="G4772" i="53" s="1"/>
  <c r="B4773" i="53"/>
  <c r="D4773" i="53"/>
  <c r="F4773" i="53"/>
  <c r="G4773" i="53" s="1"/>
  <c r="B4774" i="53"/>
  <c r="D4774" i="53"/>
  <c r="B4775" i="53"/>
  <c r="D4775" i="53"/>
  <c r="F4775" i="53"/>
  <c r="G4775" i="53" s="1"/>
  <c r="B4776" i="53"/>
  <c r="D4776" i="53"/>
  <c r="B6087" i="53"/>
  <c r="A6090" i="53"/>
  <c r="B6090" i="53" s="1"/>
  <c r="B6091" i="53"/>
  <c r="D6091" i="53"/>
  <c r="F6091" i="53"/>
  <c r="G6091" i="53" s="1"/>
  <c r="B6092" i="53"/>
  <c r="D6092" i="53"/>
  <c r="F6092" i="53"/>
  <c r="G6092" i="53" s="1"/>
  <c r="B6093" i="53"/>
  <c r="D6093" i="53"/>
  <c r="F6093" i="53"/>
  <c r="G6093" i="53" s="1"/>
  <c r="B6098" i="53"/>
  <c r="D6098" i="53"/>
  <c r="B6099" i="53"/>
  <c r="D6099" i="53"/>
  <c r="B6100" i="53"/>
  <c r="D6100" i="53"/>
  <c r="B6101" i="53"/>
  <c r="D6101" i="53"/>
  <c r="B6102" i="53"/>
  <c r="D6102" i="53"/>
  <c r="B6103" i="53"/>
  <c r="D6103" i="53"/>
  <c r="B6108" i="53"/>
  <c r="F6108" i="53"/>
  <c r="G6108" i="53" s="1"/>
  <c r="B6109" i="53"/>
  <c r="F6109" i="53"/>
  <c r="G6109" i="53" s="1"/>
  <c r="B6110" i="53"/>
  <c r="F6110" i="53"/>
  <c r="G6110" i="53" s="1"/>
  <c r="B6111" i="53"/>
  <c r="F6111" i="53"/>
  <c r="G6111" i="53" s="1"/>
  <c r="B6112" i="53"/>
  <c r="F6112" i="53"/>
  <c r="G6112" i="53" s="1"/>
  <c r="B6113" i="53"/>
  <c r="F6113" i="53"/>
  <c r="G6113" i="53" s="1"/>
  <c r="B6118" i="53"/>
  <c r="D6118" i="53"/>
  <c r="E6118" i="53"/>
  <c r="B6119" i="53"/>
  <c r="D6119" i="53"/>
  <c r="E6119" i="53"/>
  <c r="B6120" i="53"/>
  <c r="D6120" i="53"/>
  <c r="E6120" i="53"/>
  <c r="B6121" i="53"/>
  <c r="D6121" i="53"/>
  <c r="E6121" i="53"/>
  <c r="B6122" i="53"/>
  <c r="D6122" i="53"/>
  <c r="E6122" i="53"/>
  <c r="B6123" i="53"/>
  <c r="D6123" i="53"/>
  <c r="E6123" i="53"/>
  <c r="B6124" i="53"/>
  <c r="D6124" i="53"/>
  <c r="E6124" i="53"/>
  <c r="B6125" i="53"/>
  <c r="D6125" i="53"/>
  <c r="E6125" i="53"/>
  <c r="B6126" i="53"/>
  <c r="D6126" i="53"/>
  <c r="E6126" i="53"/>
  <c r="B6127" i="53"/>
  <c r="D6127" i="53"/>
  <c r="E6127" i="53"/>
  <c r="B6128" i="53"/>
  <c r="D6128" i="53"/>
  <c r="E6128" i="53"/>
  <c r="B6129" i="53"/>
  <c r="D6129" i="53"/>
  <c r="E6129" i="53"/>
  <c r="B6130" i="53"/>
  <c r="D6130" i="53"/>
  <c r="E6130" i="53"/>
  <c r="B6135" i="53"/>
  <c r="D6135" i="53"/>
  <c r="F6135" i="53"/>
  <c r="G6135" i="53" s="1"/>
  <c r="B6136" i="53"/>
  <c r="D6136" i="53"/>
  <c r="F6136" i="53"/>
  <c r="G6136" i="53" s="1"/>
  <c r="B6137" i="53"/>
  <c r="D6137" i="53"/>
  <c r="B6138" i="53"/>
  <c r="D6138" i="53"/>
  <c r="F6138" i="53"/>
  <c r="G6138" i="53" s="1"/>
  <c r="B6139" i="53"/>
  <c r="D6139" i="53"/>
  <c r="B6155" i="53"/>
  <c r="A6158" i="53"/>
  <c r="B6159" i="53"/>
  <c r="D6159" i="53"/>
  <c r="F6159" i="53"/>
  <c r="G6159" i="53" s="1"/>
  <c r="B6160" i="53"/>
  <c r="D6160" i="53"/>
  <c r="F6160" i="53"/>
  <c r="G6160" i="53" s="1"/>
  <c r="B6161" i="53"/>
  <c r="D6161" i="53"/>
  <c r="F6161" i="53"/>
  <c r="G6161" i="53" s="1"/>
  <c r="B6166" i="53"/>
  <c r="D6166" i="53"/>
  <c r="B6167" i="53"/>
  <c r="D6167" i="53"/>
  <c r="B6168" i="53"/>
  <c r="D6168" i="53"/>
  <c r="B6169" i="53"/>
  <c r="D6169" i="53"/>
  <c r="B6170" i="53"/>
  <c r="D6170" i="53"/>
  <c r="B6171" i="53"/>
  <c r="D6171" i="53"/>
  <c r="B6176" i="53"/>
  <c r="F6176" i="53"/>
  <c r="G6176" i="53" s="1"/>
  <c r="B6177" i="53"/>
  <c r="F6177" i="53"/>
  <c r="G6177" i="53" s="1"/>
  <c r="B6178" i="53"/>
  <c r="F6178" i="53"/>
  <c r="G6178" i="53" s="1"/>
  <c r="B6179" i="53"/>
  <c r="F6179" i="53"/>
  <c r="G6179" i="53" s="1"/>
  <c r="B6180" i="53"/>
  <c r="F6180" i="53"/>
  <c r="G6180" i="53" s="1"/>
  <c r="B6181" i="53"/>
  <c r="F6181" i="53"/>
  <c r="G6181" i="53" s="1"/>
  <c r="B6186" i="53"/>
  <c r="D6186" i="53"/>
  <c r="E6186" i="53"/>
  <c r="B6187" i="53"/>
  <c r="D6187" i="53"/>
  <c r="E6187" i="53"/>
  <c r="B6188" i="53"/>
  <c r="D6188" i="53"/>
  <c r="E6188" i="53"/>
  <c r="B6189" i="53"/>
  <c r="D6189" i="53"/>
  <c r="E6189" i="53"/>
  <c r="B6190" i="53"/>
  <c r="D6190" i="53"/>
  <c r="E6190" i="53"/>
  <c r="B6191" i="53"/>
  <c r="D6191" i="53"/>
  <c r="E6191" i="53"/>
  <c r="B6192" i="53"/>
  <c r="D6192" i="53"/>
  <c r="E6192" i="53"/>
  <c r="B6193" i="53"/>
  <c r="D6193" i="53"/>
  <c r="E6193" i="53"/>
  <c r="B6194" i="53"/>
  <c r="D6194" i="53"/>
  <c r="E6194" i="53"/>
  <c r="B6195" i="53"/>
  <c r="D6195" i="53"/>
  <c r="E6195" i="53"/>
  <c r="B6196" i="53"/>
  <c r="D6196" i="53"/>
  <c r="E6196" i="53"/>
  <c r="B6197" i="53"/>
  <c r="D6197" i="53"/>
  <c r="E6197" i="53"/>
  <c r="B6198" i="53"/>
  <c r="D6198" i="53"/>
  <c r="E6198" i="53"/>
  <c r="B6203" i="53"/>
  <c r="D6203" i="53"/>
  <c r="F6203" i="53"/>
  <c r="G6203" i="53" s="1"/>
  <c r="B6204" i="53"/>
  <c r="D6204" i="53"/>
  <c r="F6204" i="53"/>
  <c r="G6204" i="53" s="1"/>
  <c r="B6205" i="53"/>
  <c r="D6205" i="53"/>
  <c r="B6206" i="53"/>
  <c r="D6206" i="53"/>
  <c r="F6206" i="53"/>
  <c r="G6206" i="53" s="1"/>
  <c r="B6207" i="53"/>
  <c r="D6207" i="53"/>
  <c r="A6699" i="53"/>
  <c r="D6699" i="53" s="1"/>
  <c r="A6700" i="53"/>
  <c r="B6700" i="53" s="1"/>
  <c r="B6701" i="53"/>
  <c r="D6701" i="53"/>
  <c r="F6701" i="53"/>
  <c r="G6701" i="53" s="1"/>
  <c r="B6702" i="53"/>
  <c r="D6702" i="53"/>
  <c r="F6702" i="53"/>
  <c r="G6702" i="53" s="1"/>
  <c r="B6707" i="53"/>
  <c r="D6707" i="53"/>
  <c r="B6708" i="53"/>
  <c r="D6708" i="53"/>
  <c r="B6709" i="53"/>
  <c r="D6709" i="53"/>
  <c r="B6710" i="53"/>
  <c r="D6710" i="53"/>
  <c r="B6711" i="53"/>
  <c r="D6711" i="53"/>
  <c r="B6712" i="53"/>
  <c r="D6712" i="53"/>
  <c r="B6717" i="53"/>
  <c r="F6717" i="53"/>
  <c r="G6717" i="53" s="1"/>
  <c r="B6718" i="53"/>
  <c r="F6718" i="53"/>
  <c r="G6718" i="53" s="1"/>
  <c r="B6719" i="53"/>
  <c r="F6719" i="53"/>
  <c r="G6719" i="53" s="1"/>
  <c r="B6720" i="53"/>
  <c r="F6720" i="53"/>
  <c r="G6720" i="53" s="1"/>
  <c r="B6721" i="53"/>
  <c r="F6721" i="53"/>
  <c r="G6721" i="53" s="1"/>
  <c r="B6722" i="53"/>
  <c r="F6722" i="53"/>
  <c r="G6722" i="53" s="1"/>
  <c r="B6727" i="53"/>
  <c r="D6727" i="53"/>
  <c r="E6727" i="53"/>
  <c r="B6728" i="53"/>
  <c r="D6728" i="53"/>
  <c r="E6728" i="53"/>
  <c r="B6729" i="53"/>
  <c r="D6729" i="53"/>
  <c r="E6729" i="53"/>
  <c r="B6730" i="53"/>
  <c r="D6730" i="53"/>
  <c r="E6730" i="53"/>
  <c r="B6731" i="53"/>
  <c r="D6731" i="53"/>
  <c r="E6731" i="53"/>
  <c r="B6732" i="53"/>
  <c r="D6732" i="53"/>
  <c r="E6732" i="53"/>
  <c r="B6733" i="53"/>
  <c r="D6733" i="53"/>
  <c r="E6733" i="53"/>
  <c r="B6734" i="53"/>
  <c r="D6734" i="53"/>
  <c r="E6734" i="53"/>
  <c r="B6735" i="53"/>
  <c r="D6735" i="53"/>
  <c r="E6735" i="53"/>
  <c r="B6736" i="53"/>
  <c r="D6736" i="53"/>
  <c r="E6736" i="53"/>
  <c r="B6737" i="53"/>
  <c r="D6737" i="53"/>
  <c r="E6737" i="53"/>
  <c r="B6738" i="53"/>
  <c r="D6738" i="53"/>
  <c r="E6738" i="53"/>
  <c r="B6739" i="53"/>
  <c r="D6739" i="53"/>
  <c r="E6739" i="53"/>
  <c r="B6744" i="53"/>
  <c r="D6744" i="53"/>
  <c r="E6744" i="53"/>
  <c r="F6744" i="53"/>
  <c r="B6745" i="53"/>
  <c r="D6745" i="53"/>
  <c r="F6745" i="53"/>
  <c r="G6745" i="53" s="1"/>
  <c r="B6746" i="53"/>
  <c r="D6746" i="53"/>
  <c r="B6747" i="53"/>
  <c r="D6747" i="53"/>
  <c r="F6747" i="53"/>
  <c r="G6747" i="53" s="1"/>
  <c r="B6748" i="53"/>
  <c r="D6748" i="53"/>
  <c r="A6498" i="53"/>
  <c r="B6498" i="53" s="1"/>
  <c r="A6499" i="53"/>
  <c r="A6500" i="53"/>
  <c r="A6501" i="53"/>
  <c r="B6501" i="53" s="1"/>
  <c r="A6502" i="53"/>
  <c r="E6502" i="53"/>
  <c r="B6507" i="53"/>
  <c r="D6507" i="53"/>
  <c r="B6508" i="53"/>
  <c r="D6508" i="53"/>
  <c r="B6509" i="53"/>
  <c r="D6509" i="53"/>
  <c r="B6510" i="53"/>
  <c r="D6510" i="53"/>
  <c r="B6511" i="53"/>
  <c r="D6511" i="53"/>
  <c r="B6512" i="53"/>
  <c r="D6512" i="53"/>
  <c r="B6517" i="53"/>
  <c r="F6517" i="53"/>
  <c r="G6517" i="53" s="1"/>
  <c r="B6518" i="53"/>
  <c r="F6518" i="53"/>
  <c r="G6518" i="53" s="1"/>
  <c r="B6519" i="53"/>
  <c r="F6519" i="53"/>
  <c r="G6519" i="53" s="1"/>
  <c r="B6520" i="53"/>
  <c r="F6520" i="53"/>
  <c r="G6520" i="53" s="1"/>
  <c r="B6521" i="53"/>
  <c r="F6521" i="53"/>
  <c r="G6521" i="53" s="1"/>
  <c r="B6522" i="53"/>
  <c r="F6522" i="53"/>
  <c r="G6522" i="53" s="1"/>
  <c r="B6527" i="53"/>
  <c r="D6527" i="53"/>
  <c r="E6527" i="53"/>
  <c r="B6528" i="53"/>
  <c r="D6528" i="53"/>
  <c r="E6528" i="53"/>
  <c r="B6529" i="53"/>
  <c r="D6529" i="53"/>
  <c r="E6529" i="53"/>
  <c r="B6530" i="53"/>
  <c r="D6530" i="53"/>
  <c r="E6530" i="53"/>
  <c r="B6531" i="53"/>
  <c r="D6531" i="53"/>
  <c r="E6531" i="53"/>
  <c r="B6532" i="53"/>
  <c r="D6532" i="53"/>
  <c r="E6532" i="53"/>
  <c r="B6533" i="53"/>
  <c r="D6533" i="53"/>
  <c r="E6533" i="53"/>
  <c r="B6534" i="53"/>
  <c r="D6534" i="53"/>
  <c r="E6534" i="53"/>
  <c r="B6535" i="53"/>
  <c r="D6535" i="53"/>
  <c r="E6535" i="53"/>
  <c r="B6536" i="53"/>
  <c r="D6536" i="53"/>
  <c r="E6536" i="53"/>
  <c r="B6537" i="53"/>
  <c r="D6537" i="53"/>
  <c r="E6537" i="53"/>
  <c r="B6538" i="53"/>
  <c r="D6538" i="53"/>
  <c r="E6538" i="53"/>
  <c r="B6539" i="53"/>
  <c r="D6539" i="53"/>
  <c r="E6539" i="53"/>
  <c r="B6544" i="53"/>
  <c r="D6544" i="53"/>
  <c r="F6544" i="53"/>
  <c r="G6544" i="53" s="1"/>
  <c r="B6545" i="53"/>
  <c r="D6545" i="53"/>
  <c r="F6545" i="53"/>
  <c r="G6545" i="53" s="1"/>
  <c r="B6546" i="53"/>
  <c r="D6546" i="53"/>
  <c r="B6547" i="53"/>
  <c r="D6547" i="53"/>
  <c r="F6547" i="53"/>
  <c r="G6547" i="53" s="1"/>
  <c r="B6548" i="53"/>
  <c r="D6548" i="53"/>
  <c r="A6836" i="53"/>
  <c r="A6837" i="53"/>
  <c r="A6838" i="53"/>
  <c r="B6839" i="53"/>
  <c r="D6839" i="53"/>
  <c r="F6839" i="53"/>
  <c r="G6839" i="53" s="1"/>
  <c r="B6840" i="53"/>
  <c r="D6840" i="53"/>
  <c r="F6840" i="53"/>
  <c r="G6840" i="53" s="1"/>
  <c r="B6845" i="53"/>
  <c r="D6845" i="53"/>
  <c r="B6846" i="53"/>
  <c r="D6846" i="53"/>
  <c r="B6847" i="53"/>
  <c r="D6847" i="53"/>
  <c r="B6848" i="53"/>
  <c r="D6848" i="53"/>
  <c r="B6849" i="53"/>
  <c r="D6849" i="53"/>
  <c r="B6850" i="53"/>
  <c r="D6850" i="53"/>
  <c r="B6855" i="53"/>
  <c r="F6855" i="53"/>
  <c r="G6855" i="53" s="1"/>
  <c r="B6856" i="53"/>
  <c r="F6856" i="53"/>
  <c r="G6856" i="53" s="1"/>
  <c r="B6857" i="53"/>
  <c r="F6857" i="53"/>
  <c r="G6857" i="53" s="1"/>
  <c r="B6858" i="53"/>
  <c r="F6858" i="53"/>
  <c r="G6858" i="53" s="1"/>
  <c r="B6859" i="53"/>
  <c r="F6859" i="53"/>
  <c r="G6859" i="53" s="1"/>
  <c r="B6860" i="53"/>
  <c r="F6860" i="53"/>
  <c r="G6860" i="53" s="1"/>
  <c r="B6865" i="53"/>
  <c r="D6865" i="53"/>
  <c r="E6865" i="53"/>
  <c r="B6866" i="53"/>
  <c r="D6866" i="53"/>
  <c r="E6866" i="53"/>
  <c r="B6867" i="53"/>
  <c r="D6867" i="53"/>
  <c r="E6867" i="53"/>
  <c r="B6868" i="53"/>
  <c r="D6868" i="53"/>
  <c r="E6868" i="53"/>
  <c r="B6869" i="53"/>
  <c r="D6869" i="53"/>
  <c r="E6869" i="53"/>
  <c r="B6870" i="53"/>
  <c r="D6870" i="53"/>
  <c r="E6870" i="53"/>
  <c r="B6871" i="53"/>
  <c r="D6871" i="53"/>
  <c r="E6871" i="53"/>
  <c r="B6872" i="53"/>
  <c r="D6872" i="53"/>
  <c r="E6872" i="53"/>
  <c r="B6873" i="53"/>
  <c r="D6873" i="53"/>
  <c r="E6873" i="53"/>
  <c r="B6874" i="53"/>
  <c r="D6874" i="53"/>
  <c r="E6874" i="53"/>
  <c r="B6875" i="53"/>
  <c r="D6875" i="53"/>
  <c r="E6875" i="53"/>
  <c r="B6876" i="53"/>
  <c r="D6876" i="53"/>
  <c r="E6876" i="53"/>
  <c r="B6877" i="53"/>
  <c r="D6877" i="53"/>
  <c r="E6877" i="53"/>
  <c r="B6882" i="53"/>
  <c r="D6882" i="53"/>
  <c r="F6882" i="53"/>
  <c r="G6882" i="53" s="1"/>
  <c r="B6883" i="53"/>
  <c r="D6883" i="53"/>
  <c r="F6883" i="53"/>
  <c r="G6883" i="53" s="1"/>
  <c r="B6884" i="53"/>
  <c r="D6884" i="53"/>
  <c r="B6885" i="53"/>
  <c r="D6885" i="53"/>
  <c r="F6885" i="53"/>
  <c r="G6885" i="53" s="1"/>
  <c r="B6886" i="53"/>
  <c r="D6886" i="53"/>
  <c r="B6764" i="53"/>
  <c r="A6767" i="53"/>
  <c r="D6767" i="53" s="1"/>
  <c r="E6767" i="53"/>
  <c r="B6768" i="53"/>
  <c r="D6768" i="53"/>
  <c r="F6768" i="53"/>
  <c r="G6768" i="53" s="1"/>
  <c r="B6769" i="53"/>
  <c r="D6769" i="53"/>
  <c r="F6769" i="53"/>
  <c r="G6769" i="53" s="1"/>
  <c r="B6770" i="53"/>
  <c r="D6770" i="53"/>
  <c r="F6770" i="53"/>
  <c r="G6770" i="53" s="1"/>
  <c r="B6771" i="53"/>
  <c r="D6771" i="53"/>
  <c r="F6771" i="53"/>
  <c r="G6771" i="53" s="1"/>
  <c r="B6776" i="53"/>
  <c r="D6776" i="53"/>
  <c r="B6777" i="53"/>
  <c r="D6777" i="53"/>
  <c r="B6778" i="53"/>
  <c r="D6778" i="53"/>
  <c r="B6779" i="53"/>
  <c r="D6779" i="53"/>
  <c r="B6780" i="53"/>
  <c r="D6780" i="53"/>
  <c r="B6781" i="53"/>
  <c r="D6781" i="53"/>
  <c r="B6786" i="53"/>
  <c r="F6786" i="53"/>
  <c r="G6786" i="53" s="1"/>
  <c r="B6787" i="53"/>
  <c r="F6787" i="53"/>
  <c r="G6787" i="53" s="1"/>
  <c r="B6788" i="53"/>
  <c r="F6788" i="53"/>
  <c r="G6788" i="53" s="1"/>
  <c r="B6789" i="53"/>
  <c r="F6789" i="53"/>
  <c r="G6789" i="53" s="1"/>
  <c r="B6790" i="53"/>
  <c r="F6790" i="53"/>
  <c r="G6790" i="53" s="1"/>
  <c r="B6791" i="53"/>
  <c r="F6791" i="53"/>
  <c r="G6791" i="53" s="1"/>
  <c r="B6796" i="53"/>
  <c r="D6796" i="53"/>
  <c r="E6796" i="53"/>
  <c r="B6797" i="53"/>
  <c r="D6797" i="53"/>
  <c r="E6797" i="53"/>
  <c r="B6798" i="53"/>
  <c r="D6798" i="53"/>
  <c r="E6798" i="53"/>
  <c r="B6799" i="53"/>
  <c r="D6799" i="53"/>
  <c r="E6799" i="53"/>
  <c r="B6800" i="53"/>
  <c r="D6800" i="53"/>
  <c r="E6800" i="53"/>
  <c r="B6801" i="53"/>
  <c r="D6801" i="53"/>
  <c r="E6801" i="53"/>
  <c r="B6802" i="53"/>
  <c r="D6802" i="53"/>
  <c r="E6802" i="53"/>
  <c r="B6803" i="53"/>
  <c r="D6803" i="53"/>
  <c r="E6803" i="53"/>
  <c r="B6804" i="53"/>
  <c r="D6804" i="53"/>
  <c r="E6804" i="53"/>
  <c r="B6805" i="53"/>
  <c r="D6805" i="53"/>
  <c r="E6805" i="53"/>
  <c r="B6806" i="53"/>
  <c r="D6806" i="53"/>
  <c r="E6806" i="53"/>
  <c r="B6807" i="53"/>
  <c r="D6807" i="53"/>
  <c r="E6807" i="53"/>
  <c r="B6808" i="53"/>
  <c r="D6808" i="53"/>
  <c r="E6808" i="53"/>
  <c r="B6813" i="53"/>
  <c r="D6813" i="53"/>
  <c r="F6813" i="53"/>
  <c r="G6813" i="53" s="1"/>
  <c r="B6814" i="53"/>
  <c r="D6814" i="53"/>
  <c r="F6814" i="53"/>
  <c r="G6814" i="53" s="1"/>
  <c r="B6815" i="53"/>
  <c r="D6815" i="53"/>
  <c r="B6816" i="53"/>
  <c r="D6816" i="53"/>
  <c r="F6816" i="53"/>
  <c r="G6816" i="53" s="1"/>
  <c r="B6817" i="53"/>
  <c r="D6817" i="53"/>
  <c r="D4864" i="53"/>
  <c r="D4865" i="53"/>
  <c r="B4867" i="53"/>
  <c r="D4867" i="53"/>
  <c r="F4867" i="53"/>
  <c r="G4867" i="53" s="1"/>
  <c r="B4868" i="53"/>
  <c r="D4868" i="53"/>
  <c r="F4868" i="53"/>
  <c r="G4868" i="53" s="1"/>
  <c r="B4873" i="53"/>
  <c r="D4873" i="53"/>
  <c r="B4874" i="53"/>
  <c r="D4874" i="53"/>
  <c r="B4875" i="53"/>
  <c r="D4875" i="53"/>
  <c r="B4876" i="53"/>
  <c r="D4876" i="53"/>
  <c r="B4877" i="53"/>
  <c r="D4877" i="53"/>
  <c r="B4878" i="53"/>
  <c r="D4878" i="53"/>
  <c r="B4883" i="53"/>
  <c r="F4883" i="53"/>
  <c r="G4883" i="53" s="1"/>
  <c r="B4884" i="53"/>
  <c r="F4884" i="53"/>
  <c r="G4884" i="53" s="1"/>
  <c r="B4885" i="53"/>
  <c r="F4885" i="53"/>
  <c r="G4885" i="53" s="1"/>
  <c r="B4886" i="53"/>
  <c r="F4886" i="53"/>
  <c r="G4886" i="53" s="1"/>
  <c r="B4887" i="53"/>
  <c r="F4887" i="53"/>
  <c r="G4887" i="53" s="1"/>
  <c r="B4888" i="53"/>
  <c r="F4888" i="53"/>
  <c r="G4888" i="53" s="1"/>
  <c r="B4893" i="53"/>
  <c r="D4893" i="53"/>
  <c r="E4893" i="53"/>
  <c r="B4894" i="53"/>
  <c r="D4894" i="53"/>
  <c r="E4894" i="53"/>
  <c r="B4895" i="53"/>
  <c r="D4895" i="53"/>
  <c r="E4895" i="53"/>
  <c r="B4896" i="53"/>
  <c r="D4896" i="53"/>
  <c r="E4896" i="53"/>
  <c r="B4897" i="53"/>
  <c r="D4897" i="53"/>
  <c r="E4897" i="53"/>
  <c r="B4898" i="53"/>
  <c r="D4898" i="53"/>
  <c r="E4898" i="53"/>
  <c r="B4899" i="53"/>
  <c r="D4899" i="53"/>
  <c r="E4899" i="53"/>
  <c r="B4900" i="53"/>
  <c r="D4900" i="53"/>
  <c r="E4900" i="53"/>
  <c r="B4901" i="53"/>
  <c r="D4901" i="53"/>
  <c r="E4901" i="53"/>
  <c r="B4902" i="53"/>
  <c r="D4902" i="53"/>
  <c r="E4902" i="53"/>
  <c r="B4903" i="53"/>
  <c r="D4903" i="53"/>
  <c r="E4903" i="53"/>
  <c r="B4904" i="53"/>
  <c r="D4904" i="53"/>
  <c r="E4904" i="53"/>
  <c r="B4905" i="53"/>
  <c r="D4905" i="53"/>
  <c r="E4905" i="53"/>
  <c r="B4910" i="53"/>
  <c r="D4910" i="53"/>
  <c r="E4910" i="53"/>
  <c r="F4910" i="53"/>
  <c r="B4911" i="53"/>
  <c r="D4911" i="53"/>
  <c r="B4912" i="53"/>
  <c r="D4912" i="53"/>
  <c r="B4913" i="53"/>
  <c r="D4913" i="53"/>
  <c r="F4913" i="53"/>
  <c r="G4913" i="53" s="1"/>
  <c r="B4914" i="53"/>
  <c r="D4914" i="53"/>
  <c r="B4999" i="53"/>
  <c r="B5002" i="53"/>
  <c r="B5008" i="53"/>
  <c r="D5008" i="53"/>
  <c r="B5009" i="53"/>
  <c r="D5009" i="53"/>
  <c r="B5010" i="53"/>
  <c r="D5010" i="53"/>
  <c r="B5011" i="53"/>
  <c r="D5011" i="53"/>
  <c r="B5012" i="53"/>
  <c r="D5012" i="53"/>
  <c r="B5013" i="53"/>
  <c r="D5013" i="53"/>
  <c r="B5018" i="53"/>
  <c r="F5018" i="53"/>
  <c r="G5018" i="53" s="1"/>
  <c r="B5019" i="53"/>
  <c r="F5019" i="53"/>
  <c r="G5019" i="53" s="1"/>
  <c r="B5020" i="53"/>
  <c r="F5020" i="53"/>
  <c r="G5020" i="53" s="1"/>
  <c r="B5021" i="53"/>
  <c r="F5021" i="53"/>
  <c r="G5021" i="53" s="1"/>
  <c r="B5022" i="53"/>
  <c r="F5022" i="53"/>
  <c r="G5022" i="53" s="1"/>
  <c r="B5023" i="53"/>
  <c r="F5023" i="53"/>
  <c r="G5023" i="53" s="1"/>
  <c r="B5028" i="53"/>
  <c r="D5028" i="53"/>
  <c r="E5028" i="53"/>
  <c r="B5029" i="53"/>
  <c r="D5029" i="53"/>
  <c r="E5029" i="53"/>
  <c r="B5030" i="53"/>
  <c r="D5030" i="53"/>
  <c r="E5030" i="53"/>
  <c r="B5031" i="53"/>
  <c r="D5031" i="53"/>
  <c r="E5031" i="53"/>
  <c r="B5032" i="53"/>
  <c r="D5032" i="53"/>
  <c r="E5032" i="53"/>
  <c r="B5033" i="53"/>
  <c r="D5033" i="53"/>
  <c r="E5033" i="53"/>
  <c r="B5034" i="53"/>
  <c r="D5034" i="53"/>
  <c r="E5034" i="53"/>
  <c r="B5035" i="53"/>
  <c r="D5035" i="53"/>
  <c r="E5035" i="53"/>
  <c r="B5036" i="53"/>
  <c r="D5036" i="53"/>
  <c r="E5036" i="53"/>
  <c r="B5037" i="53"/>
  <c r="D5037" i="53"/>
  <c r="E5037" i="53"/>
  <c r="B5038" i="53"/>
  <c r="D5038" i="53"/>
  <c r="E5038" i="53"/>
  <c r="B5039" i="53"/>
  <c r="D5039" i="53"/>
  <c r="E5039" i="53"/>
  <c r="B5040" i="53"/>
  <c r="D5040" i="53"/>
  <c r="E5040" i="53"/>
  <c r="B5045" i="53"/>
  <c r="D5045" i="53"/>
  <c r="F5045" i="53"/>
  <c r="G5045" i="53" s="1"/>
  <c r="B5046" i="53"/>
  <c r="D5046" i="53"/>
  <c r="B5047" i="53"/>
  <c r="D5047" i="53"/>
  <c r="B5048" i="53"/>
  <c r="D5048" i="53"/>
  <c r="F5048" i="53"/>
  <c r="G5048" i="53" s="1"/>
  <c r="B5049" i="53"/>
  <c r="D5049" i="53"/>
  <c r="B5611" i="53"/>
  <c r="B5614" i="53"/>
  <c r="B5615" i="53"/>
  <c r="B5616" i="53"/>
  <c r="B5621" i="53"/>
  <c r="D5621" i="53"/>
  <c r="B5622" i="53"/>
  <c r="D5622" i="53"/>
  <c r="B5623" i="53"/>
  <c r="D5623" i="53"/>
  <c r="B5624" i="53"/>
  <c r="D5624" i="53"/>
  <c r="B5625" i="53"/>
  <c r="D5625" i="53"/>
  <c r="B5626" i="53"/>
  <c r="D5626" i="53"/>
  <c r="B5631" i="53"/>
  <c r="F5631" i="53"/>
  <c r="G5631" i="53" s="1"/>
  <c r="B5632" i="53"/>
  <c r="F5632" i="53"/>
  <c r="G5632" i="53" s="1"/>
  <c r="B5633" i="53"/>
  <c r="F5633" i="53"/>
  <c r="G5633" i="53" s="1"/>
  <c r="B5634" i="53"/>
  <c r="F5634" i="53"/>
  <c r="G5634" i="53" s="1"/>
  <c r="B5635" i="53"/>
  <c r="F5635" i="53"/>
  <c r="G5635" i="53" s="1"/>
  <c r="B5636" i="53"/>
  <c r="F5636" i="53"/>
  <c r="G5636" i="53" s="1"/>
  <c r="B5641" i="53"/>
  <c r="D5641" i="53"/>
  <c r="E5641" i="53"/>
  <c r="B5642" i="53"/>
  <c r="D5642" i="53"/>
  <c r="E5642" i="53"/>
  <c r="B5643" i="53"/>
  <c r="D5643" i="53"/>
  <c r="E5643" i="53"/>
  <c r="B5644" i="53"/>
  <c r="D5644" i="53"/>
  <c r="E5644" i="53"/>
  <c r="B5645" i="53"/>
  <c r="D5645" i="53"/>
  <c r="E5645" i="53"/>
  <c r="B5646" i="53"/>
  <c r="D5646" i="53"/>
  <c r="E5646" i="53"/>
  <c r="B5647" i="53"/>
  <c r="D5647" i="53"/>
  <c r="E5647" i="53"/>
  <c r="B5648" i="53"/>
  <c r="D5648" i="53"/>
  <c r="E5648" i="53"/>
  <c r="B5649" i="53"/>
  <c r="D5649" i="53"/>
  <c r="E5649" i="53"/>
  <c r="B5650" i="53"/>
  <c r="D5650" i="53"/>
  <c r="E5650" i="53"/>
  <c r="B5651" i="53"/>
  <c r="D5651" i="53"/>
  <c r="E5651" i="53"/>
  <c r="B5652" i="53"/>
  <c r="D5652" i="53"/>
  <c r="E5652" i="53"/>
  <c r="B5653" i="53"/>
  <c r="D5653" i="53"/>
  <c r="E5653" i="53"/>
  <c r="B5658" i="53"/>
  <c r="D5658" i="53"/>
  <c r="F5658" i="53"/>
  <c r="G5658" i="53" s="1"/>
  <c r="B5659" i="53"/>
  <c r="D5659" i="53"/>
  <c r="B5660" i="53"/>
  <c r="D5660" i="53"/>
  <c r="B5661" i="53"/>
  <c r="D5661" i="53"/>
  <c r="F5661" i="53"/>
  <c r="G5661" i="53" s="1"/>
  <c r="B5662" i="53"/>
  <c r="D5662" i="53"/>
  <c r="B5678" i="53"/>
  <c r="B5681" i="53"/>
  <c r="B5683" i="53"/>
  <c r="B5688" i="53"/>
  <c r="D5688" i="53"/>
  <c r="B5689" i="53"/>
  <c r="D5689" i="53"/>
  <c r="B5690" i="53"/>
  <c r="D5690" i="53"/>
  <c r="B5691" i="53"/>
  <c r="D5691" i="53"/>
  <c r="B5692" i="53"/>
  <c r="D5692" i="53"/>
  <c r="B5693" i="53"/>
  <c r="D5693" i="53"/>
  <c r="B5698" i="53"/>
  <c r="F5698" i="53"/>
  <c r="G5698" i="53" s="1"/>
  <c r="B5699" i="53"/>
  <c r="F5699" i="53"/>
  <c r="G5699" i="53" s="1"/>
  <c r="B5700" i="53"/>
  <c r="F5700" i="53"/>
  <c r="G5700" i="53" s="1"/>
  <c r="B5701" i="53"/>
  <c r="F5701" i="53"/>
  <c r="G5701" i="53" s="1"/>
  <c r="B5702" i="53"/>
  <c r="F5702" i="53"/>
  <c r="G5702" i="53" s="1"/>
  <c r="B5703" i="53"/>
  <c r="F5703" i="53"/>
  <c r="G5703" i="53" s="1"/>
  <c r="B5708" i="53"/>
  <c r="D5708" i="53"/>
  <c r="E5708" i="53"/>
  <c r="B5709" i="53"/>
  <c r="D5709" i="53"/>
  <c r="E5709" i="53"/>
  <c r="B5710" i="53"/>
  <c r="D5710" i="53"/>
  <c r="E5710" i="53"/>
  <c r="B5711" i="53"/>
  <c r="D5711" i="53"/>
  <c r="E5711" i="53"/>
  <c r="B5712" i="53"/>
  <c r="D5712" i="53"/>
  <c r="E5712" i="53"/>
  <c r="B5713" i="53"/>
  <c r="D5713" i="53"/>
  <c r="E5713" i="53"/>
  <c r="B5714" i="53"/>
  <c r="D5714" i="53"/>
  <c r="E5714" i="53"/>
  <c r="B5715" i="53"/>
  <c r="D5715" i="53"/>
  <c r="E5715" i="53"/>
  <c r="B5716" i="53"/>
  <c r="D5716" i="53"/>
  <c r="E5716" i="53"/>
  <c r="B5717" i="53"/>
  <c r="D5717" i="53"/>
  <c r="E5717" i="53"/>
  <c r="B5718" i="53"/>
  <c r="D5718" i="53"/>
  <c r="E5718" i="53"/>
  <c r="B5719" i="53"/>
  <c r="D5719" i="53"/>
  <c r="E5719" i="53"/>
  <c r="B5720" i="53"/>
  <c r="D5720" i="53"/>
  <c r="E5720" i="53"/>
  <c r="B5725" i="53"/>
  <c r="D5725" i="53"/>
  <c r="F5725" i="53"/>
  <c r="G5725" i="53" s="1"/>
  <c r="B5726" i="53"/>
  <c r="D5726" i="53"/>
  <c r="B5727" i="53"/>
  <c r="D5727" i="53"/>
  <c r="B5728" i="53"/>
  <c r="D5728" i="53"/>
  <c r="F5728" i="53"/>
  <c r="G5728" i="53" s="1"/>
  <c r="B5729" i="53"/>
  <c r="D5729" i="53"/>
  <c r="B7725" i="53"/>
  <c r="B7736" i="53"/>
  <c r="D7736" i="53"/>
  <c r="B7737" i="53"/>
  <c r="D7737" i="53"/>
  <c r="B7738" i="53"/>
  <c r="D7738" i="53"/>
  <c r="B7739" i="53"/>
  <c r="D7739" i="53"/>
  <c r="B7740" i="53"/>
  <c r="D7740" i="53"/>
  <c r="B7741" i="53"/>
  <c r="D7741" i="53"/>
  <c r="B7746" i="53"/>
  <c r="F7746" i="53"/>
  <c r="G7746" i="53" s="1"/>
  <c r="B7747" i="53"/>
  <c r="F7747" i="53"/>
  <c r="G7747" i="53" s="1"/>
  <c r="B7748" i="53"/>
  <c r="F7748" i="53"/>
  <c r="G7748" i="53" s="1"/>
  <c r="B7749" i="53"/>
  <c r="F7749" i="53"/>
  <c r="G7749" i="53" s="1"/>
  <c r="B7750" i="53"/>
  <c r="F7750" i="53"/>
  <c r="G7750" i="53" s="1"/>
  <c r="B7751" i="53"/>
  <c r="F7751" i="53"/>
  <c r="G7751" i="53" s="1"/>
  <c r="B7756" i="53"/>
  <c r="D7756" i="53"/>
  <c r="E7756" i="53"/>
  <c r="B7757" i="53"/>
  <c r="D7757" i="53"/>
  <c r="E7757" i="53"/>
  <c r="B7758" i="53"/>
  <c r="D7758" i="53"/>
  <c r="E7758" i="53"/>
  <c r="B7759" i="53"/>
  <c r="D7759" i="53"/>
  <c r="E7759" i="53"/>
  <c r="B7760" i="53"/>
  <c r="D7760" i="53"/>
  <c r="E7760" i="53"/>
  <c r="B7761" i="53"/>
  <c r="D7761" i="53"/>
  <c r="E7761" i="53"/>
  <c r="B7762" i="53"/>
  <c r="D7762" i="53"/>
  <c r="E7762" i="53"/>
  <c r="B7763" i="53"/>
  <c r="D7763" i="53"/>
  <c r="E7763" i="53"/>
  <c r="B7764" i="53"/>
  <c r="D7764" i="53"/>
  <c r="E7764" i="53"/>
  <c r="B7765" i="53"/>
  <c r="D7765" i="53"/>
  <c r="E7765" i="53"/>
  <c r="B7766" i="53"/>
  <c r="D7766" i="53"/>
  <c r="E7766" i="53"/>
  <c r="B7767" i="53"/>
  <c r="D7767" i="53"/>
  <c r="E7767" i="53"/>
  <c r="B7768" i="53"/>
  <c r="D7768" i="53"/>
  <c r="E7768" i="53"/>
  <c r="B7773" i="53"/>
  <c r="D7773" i="53"/>
  <c r="F7773" i="53"/>
  <c r="G7773" i="53" s="1"/>
  <c r="B7774" i="53"/>
  <c r="D7774" i="53"/>
  <c r="B7775" i="53"/>
  <c r="D7775" i="53"/>
  <c r="B7776" i="53"/>
  <c r="D7776" i="53"/>
  <c r="F7776" i="53"/>
  <c r="G7776" i="53" s="1"/>
  <c r="B7777" i="53"/>
  <c r="D7777" i="53"/>
  <c r="B842" i="53"/>
  <c r="A845" i="53"/>
  <c r="D845" i="53" s="1"/>
  <c r="B846" i="53"/>
  <c r="D846" i="53"/>
  <c r="F846" i="53"/>
  <c r="G846" i="53" s="1"/>
  <c r="B852" i="53"/>
  <c r="D852" i="53"/>
  <c r="B853" i="53"/>
  <c r="D853" i="53"/>
  <c r="B854" i="53"/>
  <c r="D854" i="53"/>
  <c r="B855" i="53"/>
  <c r="D855" i="53"/>
  <c r="B856" i="53"/>
  <c r="D856" i="53"/>
  <c r="B857" i="53"/>
  <c r="D857" i="53"/>
  <c r="B862" i="53"/>
  <c r="F862" i="53"/>
  <c r="G862" i="53" s="1"/>
  <c r="B863" i="53"/>
  <c r="F863" i="53"/>
  <c r="G863" i="53" s="1"/>
  <c r="B864" i="53"/>
  <c r="F864" i="53"/>
  <c r="G864" i="53" s="1"/>
  <c r="B865" i="53"/>
  <c r="F865" i="53"/>
  <c r="G865" i="53" s="1"/>
  <c r="B866" i="53"/>
  <c r="F866" i="53"/>
  <c r="G866" i="53" s="1"/>
  <c r="B867" i="53"/>
  <c r="F867" i="53"/>
  <c r="G867" i="53" s="1"/>
  <c r="B872" i="53"/>
  <c r="D872" i="53"/>
  <c r="E872" i="53"/>
  <c r="B873" i="53"/>
  <c r="D873" i="53"/>
  <c r="E873" i="53"/>
  <c r="B874" i="53"/>
  <c r="D874" i="53"/>
  <c r="E874" i="53"/>
  <c r="B875" i="53"/>
  <c r="D875" i="53"/>
  <c r="E875" i="53"/>
  <c r="B876" i="53"/>
  <c r="D876" i="53"/>
  <c r="E876" i="53"/>
  <c r="B877" i="53"/>
  <c r="D877" i="53"/>
  <c r="E877" i="53"/>
  <c r="B878" i="53"/>
  <c r="D878" i="53"/>
  <c r="E878" i="53"/>
  <c r="B879" i="53"/>
  <c r="D879" i="53"/>
  <c r="E879" i="53"/>
  <c r="B880" i="53"/>
  <c r="D880" i="53"/>
  <c r="E880" i="53"/>
  <c r="B881" i="53"/>
  <c r="D881" i="53"/>
  <c r="E881" i="53"/>
  <c r="B882" i="53"/>
  <c r="D882" i="53"/>
  <c r="E882" i="53"/>
  <c r="B883" i="53"/>
  <c r="D883" i="53"/>
  <c r="E883" i="53"/>
  <c r="B884" i="53"/>
  <c r="D884" i="53"/>
  <c r="E884" i="53"/>
  <c r="B889" i="53"/>
  <c r="D889" i="53"/>
  <c r="F889" i="53"/>
  <c r="G889" i="53" s="1"/>
  <c r="B890" i="53"/>
  <c r="D890" i="53"/>
  <c r="F890" i="53"/>
  <c r="G890" i="53" s="1"/>
  <c r="B891" i="53"/>
  <c r="D891" i="53"/>
  <c r="B892" i="53"/>
  <c r="D892" i="53"/>
  <c r="F892" i="53"/>
  <c r="G892" i="53" s="1"/>
  <c r="B893" i="53"/>
  <c r="D893" i="53"/>
  <c r="A141" i="53"/>
  <c r="D141" i="53" s="1"/>
  <c r="B142" i="53"/>
  <c r="D142" i="53"/>
  <c r="F142" i="53"/>
  <c r="G142" i="53" s="1"/>
  <c r="B143" i="53"/>
  <c r="D143" i="53"/>
  <c r="F143" i="53"/>
  <c r="G143" i="53" s="1"/>
  <c r="B144" i="53"/>
  <c r="D144" i="53"/>
  <c r="F144" i="53"/>
  <c r="G144" i="53" s="1"/>
  <c r="B150" i="53"/>
  <c r="D150" i="53"/>
  <c r="B151" i="53"/>
  <c r="D151" i="53"/>
  <c r="B152" i="53"/>
  <c r="D152" i="53"/>
  <c r="B153" i="53"/>
  <c r="D153" i="53"/>
  <c r="B154" i="53"/>
  <c r="D154" i="53"/>
  <c r="B155" i="53"/>
  <c r="D155" i="53"/>
  <c r="B160" i="53"/>
  <c r="F160" i="53"/>
  <c r="G160" i="53" s="1"/>
  <c r="B161" i="53"/>
  <c r="F161" i="53"/>
  <c r="G161" i="53" s="1"/>
  <c r="B162" i="53"/>
  <c r="F162" i="53"/>
  <c r="G162" i="53" s="1"/>
  <c r="B163" i="53"/>
  <c r="F163" i="53"/>
  <c r="G163" i="53" s="1"/>
  <c r="B164" i="53"/>
  <c r="F164" i="53"/>
  <c r="G164" i="53" s="1"/>
  <c r="B165" i="53"/>
  <c r="F165" i="53"/>
  <c r="G165" i="53" s="1"/>
  <c r="B170" i="53"/>
  <c r="D170" i="53"/>
  <c r="E170" i="53"/>
  <c r="B171" i="53"/>
  <c r="D171" i="53"/>
  <c r="E171" i="53"/>
  <c r="B172" i="53"/>
  <c r="D172" i="53"/>
  <c r="E172" i="53"/>
  <c r="B173" i="53"/>
  <c r="D173" i="53"/>
  <c r="E173" i="53"/>
  <c r="B174" i="53"/>
  <c r="D174" i="53"/>
  <c r="E174" i="53"/>
  <c r="B175" i="53"/>
  <c r="D175" i="53"/>
  <c r="E175" i="53"/>
  <c r="B176" i="53"/>
  <c r="D176" i="53"/>
  <c r="E176" i="53"/>
  <c r="B177" i="53"/>
  <c r="D177" i="53"/>
  <c r="E177" i="53"/>
  <c r="B178" i="53"/>
  <c r="D178" i="53"/>
  <c r="E178" i="53"/>
  <c r="B179" i="53"/>
  <c r="D179" i="53"/>
  <c r="E179" i="53"/>
  <c r="B180" i="53"/>
  <c r="D180" i="53"/>
  <c r="E180" i="53"/>
  <c r="B181" i="53"/>
  <c r="D181" i="53"/>
  <c r="E181" i="53"/>
  <c r="B182" i="53"/>
  <c r="D182" i="53"/>
  <c r="E182" i="53"/>
  <c r="B187" i="53"/>
  <c r="D187" i="53"/>
  <c r="F187" i="53"/>
  <c r="G187" i="53" s="1"/>
  <c r="B188" i="53"/>
  <c r="D188" i="53"/>
  <c r="B189" i="53"/>
  <c r="D189" i="53"/>
  <c r="B190" i="53"/>
  <c r="D190" i="53"/>
  <c r="F190" i="53"/>
  <c r="G190" i="53" s="1"/>
  <c r="B191" i="53"/>
  <c r="D191" i="53"/>
  <c r="A416" i="53"/>
  <c r="D416" i="53" s="1"/>
  <c r="A417" i="53"/>
  <c r="A418" i="53"/>
  <c r="B418" i="53" s="1"/>
  <c r="A419" i="53"/>
  <c r="D419" i="53" s="1"/>
  <c r="A420" i="53"/>
  <c r="B420" i="53" s="1"/>
  <c r="A421" i="53"/>
  <c r="B421" i="53" s="1"/>
  <c r="A422" i="53"/>
  <c r="D422" i="53" s="1"/>
  <c r="A423" i="53"/>
  <c r="B423" i="53" s="1"/>
  <c r="A424" i="53"/>
  <c r="D424" i="53" s="1"/>
  <c r="A425" i="53"/>
  <c r="B425" i="53" s="1"/>
  <c r="A426" i="53"/>
  <c r="B431" i="53"/>
  <c r="D431" i="53"/>
  <c r="B432" i="53"/>
  <c r="D432" i="53"/>
  <c r="B433" i="53"/>
  <c r="D433" i="53"/>
  <c r="B434" i="53"/>
  <c r="D434" i="53"/>
  <c r="B435" i="53"/>
  <c r="D435" i="53"/>
  <c r="B436" i="53"/>
  <c r="D436" i="53"/>
  <c r="B441" i="53"/>
  <c r="F441" i="53"/>
  <c r="G441" i="53" s="1"/>
  <c r="B442" i="53"/>
  <c r="F442" i="53"/>
  <c r="G442" i="53" s="1"/>
  <c r="B443" i="53"/>
  <c r="F443" i="53"/>
  <c r="G443" i="53" s="1"/>
  <c r="B444" i="53"/>
  <c r="F444" i="53"/>
  <c r="G444" i="53" s="1"/>
  <c r="B445" i="53"/>
  <c r="F445" i="53"/>
  <c r="G445" i="53" s="1"/>
  <c r="B446" i="53"/>
  <c r="F446" i="53"/>
  <c r="G446" i="53" s="1"/>
  <c r="B451" i="53"/>
  <c r="D451" i="53"/>
  <c r="E451" i="53"/>
  <c r="B452" i="53"/>
  <c r="D452" i="53"/>
  <c r="E452" i="53"/>
  <c r="B453" i="53"/>
  <c r="D453" i="53"/>
  <c r="E453" i="53"/>
  <c r="B454" i="53"/>
  <c r="D454" i="53"/>
  <c r="E454" i="53"/>
  <c r="B455" i="53"/>
  <c r="D455" i="53"/>
  <c r="E455" i="53"/>
  <c r="B456" i="53"/>
  <c r="D456" i="53"/>
  <c r="E456" i="53"/>
  <c r="B457" i="53"/>
  <c r="D457" i="53"/>
  <c r="E457" i="53"/>
  <c r="B458" i="53"/>
  <c r="D458" i="53"/>
  <c r="E458" i="53"/>
  <c r="B459" i="53"/>
  <c r="D459" i="53"/>
  <c r="E459" i="53"/>
  <c r="B460" i="53"/>
  <c r="D460" i="53"/>
  <c r="E460" i="53"/>
  <c r="B461" i="53"/>
  <c r="D461" i="53"/>
  <c r="E461" i="53"/>
  <c r="B462" i="53"/>
  <c r="D462" i="53"/>
  <c r="E462" i="53"/>
  <c r="B463" i="53"/>
  <c r="D463" i="53"/>
  <c r="E463" i="53"/>
  <c r="B468" i="53"/>
  <c r="D468" i="53"/>
  <c r="F468" i="53"/>
  <c r="G468" i="53" s="1"/>
  <c r="B469" i="53"/>
  <c r="D469" i="53"/>
  <c r="F469" i="53"/>
  <c r="G469" i="53" s="1"/>
  <c r="B470" i="53"/>
  <c r="D470" i="53"/>
  <c r="B471" i="53"/>
  <c r="D471" i="53"/>
  <c r="F471" i="53"/>
  <c r="G471" i="53" s="1"/>
  <c r="B472" i="53"/>
  <c r="D472" i="53"/>
  <c r="B9092" i="53"/>
  <c r="A9095" i="53"/>
  <c r="B9096" i="53"/>
  <c r="D9096" i="53"/>
  <c r="F9096" i="53"/>
  <c r="G9096" i="53" s="1"/>
  <c r="B9102" i="53"/>
  <c r="D9102" i="53"/>
  <c r="B9103" i="53"/>
  <c r="D9103" i="53"/>
  <c r="B9104" i="53"/>
  <c r="D9104" i="53"/>
  <c r="B9105" i="53"/>
  <c r="D9105" i="53"/>
  <c r="B9106" i="53"/>
  <c r="D9106" i="53"/>
  <c r="B9107" i="53"/>
  <c r="D9107" i="53"/>
  <c r="B9112" i="53"/>
  <c r="F9112" i="53"/>
  <c r="G9112" i="53" s="1"/>
  <c r="B9113" i="53"/>
  <c r="F9113" i="53"/>
  <c r="G9113" i="53" s="1"/>
  <c r="B9114" i="53"/>
  <c r="F9114" i="53"/>
  <c r="G9114" i="53" s="1"/>
  <c r="B9115" i="53"/>
  <c r="F9115" i="53"/>
  <c r="G9115" i="53" s="1"/>
  <c r="B9116" i="53"/>
  <c r="F9116" i="53"/>
  <c r="G9116" i="53" s="1"/>
  <c r="B9117" i="53"/>
  <c r="F9117" i="53"/>
  <c r="G9117" i="53" s="1"/>
  <c r="B9122" i="53"/>
  <c r="D9122" i="53"/>
  <c r="E9122" i="53"/>
  <c r="B9123" i="53"/>
  <c r="D9123" i="53"/>
  <c r="E9123" i="53"/>
  <c r="B9124" i="53"/>
  <c r="D9124" i="53"/>
  <c r="E9124" i="53"/>
  <c r="B9125" i="53"/>
  <c r="D9125" i="53"/>
  <c r="E9125" i="53"/>
  <c r="B9126" i="53"/>
  <c r="D9126" i="53"/>
  <c r="E9126" i="53"/>
  <c r="B9127" i="53"/>
  <c r="D9127" i="53"/>
  <c r="E9127" i="53"/>
  <c r="B9128" i="53"/>
  <c r="D9128" i="53"/>
  <c r="E9128" i="53"/>
  <c r="B9129" i="53"/>
  <c r="D9129" i="53"/>
  <c r="E9129" i="53"/>
  <c r="B9130" i="53"/>
  <c r="D9130" i="53"/>
  <c r="E9130" i="53"/>
  <c r="B9131" i="53"/>
  <c r="D9131" i="53"/>
  <c r="E9131" i="53"/>
  <c r="B9132" i="53"/>
  <c r="D9132" i="53"/>
  <c r="E9132" i="53"/>
  <c r="B9133" i="53"/>
  <c r="D9133" i="53"/>
  <c r="E9133" i="53"/>
  <c r="B9134" i="53"/>
  <c r="D9134" i="53"/>
  <c r="E9134" i="53"/>
  <c r="B9139" i="53"/>
  <c r="D9139" i="53"/>
  <c r="F9139" i="53"/>
  <c r="G9139" i="53" s="1"/>
  <c r="B9140" i="53"/>
  <c r="D9140" i="53"/>
  <c r="F9140" i="53"/>
  <c r="G9140" i="53" s="1"/>
  <c r="B9141" i="53"/>
  <c r="D9141" i="53"/>
  <c r="B9142" i="53"/>
  <c r="D9142" i="53"/>
  <c r="F9142" i="53"/>
  <c r="G9142" i="53" s="1"/>
  <c r="B9143" i="53"/>
  <c r="D9143" i="53"/>
  <c r="D708" i="53"/>
  <c r="B709" i="53"/>
  <c r="D709" i="53"/>
  <c r="F709" i="53"/>
  <c r="G709" i="53" s="1"/>
  <c r="B716" i="53"/>
  <c r="D716" i="53"/>
  <c r="B717" i="53"/>
  <c r="D717" i="53"/>
  <c r="B718" i="53"/>
  <c r="D718" i="53"/>
  <c r="B719" i="53"/>
  <c r="D719" i="53"/>
  <c r="B720" i="53"/>
  <c r="D720" i="53"/>
  <c r="B721" i="53"/>
  <c r="D721" i="53"/>
  <c r="B726" i="53"/>
  <c r="F726" i="53"/>
  <c r="G726" i="53" s="1"/>
  <c r="B727" i="53"/>
  <c r="F727" i="53"/>
  <c r="G727" i="53" s="1"/>
  <c r="B728" i="53"/>
  <c r="F728" i="53"/>
  <c r="G728" i="53" s="1"/>
  <c r="B729" i="53"/>
  <c r="F729" i="53"/>
  <c r="G729" i="53" s="1"/>
  <c r="B730" i="53"/>
  <c r="F730" i="53"/>
  <c r="G730" i="53" s="1"/>
  <c r="B731" i="53"/>
  <c r="F731" i="53"/>
  <c r="G731" i="53" s="1"/>
  <c r="B736" i="53"/>
  <c r="D736" i="53"/>
  <c r="E736" i="53"/>
  <c r="B737" i="53"/>
  <c r="D737" i="53"/>
  <c r="E737" i="53"/>
  <c r="B738" i="53"/>
  <c r="D738" i="53"/>
  <c r="E738" i="53"/>
  <c r="B739" i="53"/>
  <c r="D739" i="53"/>
  <c r="E739" i="53"/>
  <c r="B740" i="53"/>
  <c r="D740" i="53"/>
  <c r="E740" i="53"/>
  <c r="B741" i="53"/>
  <c r="D741" i="53"/>
  <c r="E741" i="53"/>
  <c r="B742" i="53"/>
  <c r="D742" i="53"/>
  <c r="E742" i="53"/>
  <c r="B743" i="53"/>
  <c r="D743" i="53"/>
  <c r="E743" i="53"/>
  <c r="B744" i="53"/>
  <c r="D744" i="53"/>
  <c r="E744" i="53"/>
  <c r="B745" i="53"/>
  <c r="D745" i="53"/>
  <c r="E745" i="53"/>
  <c r="B746" i="53"/>
  <c r="D746" i="53"/>
  <c r="E746" i="53"/>
  <c r="B747" i="53"/>
  <c r="D747" i="53"/>
  <c r="E747" i="53"/>
  <c r="B748" i="53"/>
  <c r="D748" i="53"/>
  <c r="E748" i="53"/>
  <c r="B753" i="53"/>
  <c r="D753" i="53"/>
  <c r="F753" i="53"/>
  <c r="G753" i="53" s="1"/>
  <c r="B754" i="53"/>
  <c r="D754" i="53"/>
  <c r="F754" i="53"/>
  <c r="G754" i="53" s="1"/>
  <c r="B755" i="53"/>
  <c r="D755" i="53"/>
  <c r="B756" i="53"/>
  <c r="D756" i="53"/>
  <c r="F756" i="53"/>
  <c r="B757" i="53"/>
  <c r="D757" i="53"/>
  <c r="B348" i="53"/>
  <c r="D348" i="53"/>
  <c r="F348" i="53"/>
  <c r="G348" i="53" s="1"/>
  <c r="B349" i="53"/>
  <c r="D349" i="53"/>
  <c r="F349" i="53"/>
  <c r="G349" i="53" s="1"/>
  <c r="B356" i="53"/>
  <c r="D356" i="53"/>
  <c r="B357" i="53"/>
  <c r="D357" i="53"/>
  <c r="B358" i="53"/>
  <c r="D358" i="53"/>
  <c r="B359" i="53"/>
  <c r="D359" i="53"/>
  <c r="B360" i="53"/>
  <c r="D360" i="53"/>
  <c r="B361" i="53"/>
  <c r="D361" i="53"/>
  <c r="B366" i="53"/>
  <c r="F366" i="53"/>
  <c r="G366" i="53" s="1"/>
  <c r="B367" i="53"/>
  <c r="F367" i="53"/>
  <c r="G367" i="53" s="1"/>
  <c r="B368" i="53"/>
  <c r="F368" i="53"/>
  <c r="G368" i="53" s="1"/>
  <c r="B369" i="53"/>
  <c r="F369" i="53"/>
  <c r="G369" i="53" s="1"/>
  <c r="B370" i="53"/>
  <c r="F370" i="53"/>
  <c r="G370" i="53" s="1"/>
  <c r="B371" i="53"/>
  <c r="F371" i="53"/>
  <c r="G371" i="53" s="1"/>
  <c r="B376" i="53"/>
  <c r="D376" i="53"/>
  <c r="E376" i="53"/>
  <c r="B377" i="53"/>
  <c r="D377" i="53"/>
  <c r="E377" i="53"/>
  <c r="B378" i="53"/>
  <c r="D378" i="53"/>
  <c r="E378" i="53"/>
  <c r="B379" i="53"/>
  <c r="D379" i="53"/>
  <c r="E379" i="53"/>
  <c r="B380" i="53"/>
  <c r="D380" i="53"/>
  <c r="E380" i="53"/>
  <c r="B381" i="53"/>
  <c r="D381" i="53"/>
  <c r="E381" i="53"/>
  <c r="B382" i="53"/>
  <c r="D382" i="53"/>
  <c r="E382" i="53"/>
  <c r="B383" i="53"/>
  <c r="D383" i="53"/>
  <c r="E383" i="53"/>
  <c r="B384" i="53"/>
  <c r="D384" i="53"/>
  <c r="E384" i="53"/>
  <c r="B385" i="53"/>
  <c r="D385" i="53"/>
  <c r="E385" i="53"/>
  <c r="B386" i="53"/>
  <c r="D386" i="53"/>
  <c r="E386" i="53"/>
  <c r="B387" i="53"/>
  <c r="D387" i="53"/>
  <c r="E387" i="53"/>
  <c r="B388" i="53"/>
  <c r="D388" i="53"/>
  <c r="E388" i="53"/>
  <c r="B393" i="53"/>
  <c r="D393" i="53"/>
  <c r="F393" i="53"/>
  <c r="G393" i="53" s="1"/>
  <c r="B394" i="53"/>
  <c r="D394" i="53"/>
  <c r="F394" i="53"/>
  <c r="G394" i="53" s="1"/>
  <c r="B395" i="53"/>
  <c r="D395" i="53"/>
  <c r="B396" i="53"/>
  <c r="D396" i="53"/>
  <c r="F396" i="53"/>
  <c r="G396" i="53" s="1"/>
  <c r="B397" i="53"/>
  <c r="D397" i="53"/>
  <c r="B643" i="53"/>
  <c r="D643" i="53"/>
  <c r="F643" i="53"/>
  <c r="G643" i="53" s="1"/>
  <c r="B648" i="53"/>
  <c r="D648" i="53"/>
  <c r="B649" i="53"/>
  <c r="D649" i="53"/>
  <c r="B650" i="53"/>
  <c r="D650" i="53"/>
  <c r="B651" i="53"/>
  <c r="D651" i="53"/>
  <c r="B652" i="53"/>
  <c r="D652" i="53"/>
  <c r="B653" i="53"/>
  <c r="D653" i="53"/>
  <c r="B658" i="53"/>
  <c r="F658" i="53"/>
  <c r="G658" i="53" s="1"/>
  <c r="B659" i="53"/>
  <c r="F659" i="53"/>
  <c r="G659" i="53" s="1"/>
  <c r="B660" i="53"/>
  <c r="F660" i="53"/>
  <c r="G660" i="53" s="1"/>
  <c r="B661" i="53"/>
  <c r="F661" i="53"/>
  <c r="G661" i="53" s="1"/>
  <c r="B662" i="53"/>
  <c r="F662" i="53"/>
  <c r="G662" i="53" s="1"/>
  <c r="B663" i="53"/>
  <c r="F663" i="53"/>
  <c r="G663" i="53" s="1"/>
  <c r="B668" i="53"/>
  <c r="D668" i="53"/>
  <c r="E668" i="53"/>
  <c r="B669" i="53"/>
  <c r="D669" i="53"/>
  <c r="E669" i="53"/>
  <c r="B670" i="53"/>
  <c r="D670" i="53"/>
  <c r="E670" i="53"/>
  <c r="B671" i="53"/>
  <c r="D671" i="53"/>
  <c r="E671" i="53"/>
  <c r="B672" i="53"/>
  <c r="D672" i="53"/>
  <c r="E672" i="53"/>
  <c r="B673" i="53"/>
  <c r="D673" i="53"/>
  <c r="E673" i="53"/>
  <c r="B674" i="53"/>
  <c r="D674" i="53"/>
  <c r="E674" i="53"/>
  <c r="B675" i="53"/>
  <c r="D675" i="53"/>
  <c r="E675" i="53"/>
  <c r="B676" i="53"/>
  <c r="D676" i="53"/>
  <c r="E676" i="53"/>
  <c r="B677" i="53"/>
  <c r="D677" i="53"/>
  <c r="E677" i="53"/>
  <c r="B678" i="53"/>
  <c r="D678" i="53"/>
  <c r="E678" i="53"/>
  <c r="B679" i="53"/>
  <c r="D679" i="53"/>
  <c r="E679" i="53"/>
  <c r="B680" i="53"/>
  <c r="D680" i="53"/>
  <c r="E680" i="53"/>
  <c r="B685" i="53"/>
  <c r="D685" i="53"/>
  <c r="F685" i="53"/>
  <c r="G685" i="53" s="1"/>
  <c r="B686" i="53"/>
  <c r="D686" i="53"/>
  <c r="F686" i="53"/>
  <c r="G686" i="53" s="1"/>
  <c r="B687" i="53"/>
  <c r="D687" i="53"/>
  <c r="F687" i="53"/>
  <c r="G687" i="53" s="1"/>
  <c r="B688" i="53"/>
  <c r="D688" i="53"/>
  <c r="F688" i="53"/>
  <c r="G688" i="53" s="1"/>
  <c r="B689" i="53"/>
  <c r="D689" i="53"/>
  <c r="G11628" i="53" l="1"/>
  <c r="G11632" i="53" s="1"/>
  <c r="G11571" i="53" s="1"/>
  <c r="L213" i="1"/>
  <c r="G11821" i="53"/>
  <c r="G11825" i="53" s="1"/>
  <c r="G11764" i="53" s="1"/>
  <c r="M213" i="1"/>
  <c r="N213" i="1"/>
  <c r="N74" i="1"/>
  <c r="O74" i="1"/>
  <c r="K74" i="1"/>
  <c r="L74" i="1"/>
  <c r="M74" i="1"/>
  <c r="G3809" i="53"/>
  <c r="G3813" i="53" s="1"/>
  <c r="G3807" i="53"/>
  <c r="G3808" i="53"/>
  <c r="G756" i="53"/>
  <c r="G8275" i="53"/>
  <c r="G8323" i="53" s="1"/>
  <c r="G9573" i="53"/>
  <c r="G9577" i="53" s="1"/>
  <c r="G9572" i="53"/>
  <c r="G9571" i="53"/>
  <c r="G352" i="53"/>
  <c r="G644" i="53"/>
  <c r="J321" i="1"/>
  <c r="G16470" i="53"/>
  <c r="G16471" i="53"/>
  <c r="G16475" i="53" s="1"/>
  <c r="G16469" i="53"/>
  <c r="G7934" i="53"/>
  <c r="G8614" i="53"/>
  <c r="D7730" i="53"/>
  <c r="G8477" i="53"/>
  <c r="G6744" i="53"/>
  <c r="D5614" i="53"/>
  <c r="G5024" i="53"/>
  <c r="D418" i="53"/>
  <c r="B141" i="53"/>
  <c r="D5683" i="53"/>
  <c r="G6723" i="53"/>
  <c r="B708" i="53"/>
  <c r="D5002" i="53"/>
  <c r="G4910" i="53"/>
  <c r="G6523" i="53"/>
  <c r="B7731" i="53"/>
  <c r="D7731" i="53"/>
  <c r="D6838" i="53"/>
  <c r="D6498" i="53"/>
  <c r="B845" i="53"/>
  <c r="B416" i="53"/>
  <c r="B419" i="53"/>
  <c r="D6837" i="53"/>
  <c r="D6501" i="53"/>
  <c r="D6090" i="53"/>
  <c r="D7728" i="53"/>
  <c r="D9095" i="53"/>
  <c r="B9095" i="53"/>
  <c r="D423" i="53"/>
  <c r="G5637" i="53"/>
  <c r="G6792" i="53"/>
  <c r="B426" i="53"/>
  <c r="D426" i="53"/>
  <c r="G447" i="53"/>
  <c r="B422" i="53"/>
  <c r="G5704" i="53"/>
  <c r="D5682" i="53"/>
  <c r="B5682" i="53"/>
  <c r="G7752" i="53"/>
  <c r="D5616" i="53"/>
  <c r="G4889" i="53"/>
  <c r="D425" i="53"/>
  <c r="D417" i="53"/>
  <c r="B417" i="53"/>
  <c r="D7729" i="53"/>
  <c r="B7729" i="53"/>
  <c r="B424" i="53"/>
  <c r="D5681" i="53"/>
  <c r="D5615" i="53"/>
  <c r="B6158" i="53"/>
  <c r="D6158" i="53"/>
  <c r="D6502" i="53"/>
  <c r="D5003" i="53"/>
  <c r="G6114" i="53"/>
  <c r="D4866" i="53"/>
  <c r="G4751" i="53"/>
  <c r="G6861" i="53"/>
  <c r="D6500" i="53"/>
  <c r="G6182" i="53"/>
  <c r="D6836" i="53"/>
  <c r="D6700" i="53"/>
  <c r="D6499" i="53"/>
  <c r="D4728" i="53"/>
  <c r="G166" i="53"/>
  <c r="G868" i="53"/>
  <c r="G732" i="53"/>
  <c r="G9118" i="53"/>
  <c r="G372" i="53"/>
  <c r="D420" i="53"/>
  <c r="D421" i="53"/>
  <c r="G664" i="53"/>
  <c r="G3811" i="53" l="1"/>
  <c r="G3815" i="53" s="1"/>
  <c r="G3749" i="53" s="1"/>
  <c r="K321" i="1"/>
  <c r="L321" i="1"/>
  <c r="O321" i="1"/>
  <c r="N321" i="1"/>
  <c r="M321" i="1"/>
  <c r="J154" i="1"/>
  <c r="G8327" i="53"/>
  <c r="G8331" i="53" s="1"/>
  <c r="G8326" i="53"/>
  <c r="G8325" i="53"/>
  <c r="G9575" i="53"/>
  <c r="G9579" i="53" s="1"/>
  <c r="G9510" i="53" s="1"/>
  <c r="G16473" i="53"/>
  <c r="G16477" i="53" s="1"/>
  <c r="G16414" i="53" s="1"/>
  <c r="O154" i="1" l="1"/>
  <c r="N154" i="1"/>
  <c r="K154" i="1"/>
  <c r="M154" i="1"/>
  <c r="L154" i="1"/>
  <c r="G8329" i="53"/>
  <c r="G8333" i="53" s="1"/>
  <c r="G8270" i="53" s="1"/>
  <c r="A22739" i="53"/>
  <c r="D22739" i="53" s="1"/>
  <c r="C340" i="55"/>
  <c r="A22736" i="53"/>
  <c r="B22736" i="53"/>
  <c r="D22792" i="53"/>
  <c r="B22792" i="53"/>
  <c r="F22791" i="53"/>
  <c r="G22791" i="53" s="1"/>
  <c r="D22791" i="53"/>
  <c r="B22791" i="53"/>
  <c r="F22790" i="53"/>
  <c r="G22790" i="53" s="1"/>
  <c r="D22790" i="53"/>
  <c r="B22790" i="53"/>
  <c r="F22789" i="53"/>
  <c r="G22789" i="53" s="1"/>
  <c r="D22789" i="53"/>
  <c r="B22789" i="53"/>
  <c r="F22788" i="53"/>
  <c r="G22788" i="53" s="1"/>
  <c r="D22788" i="53"/>
  <c r="B22788" i="53"/>
  <c r="E22783" i="53"/>
  <c r="D22783" i="53"/>
  <c r="B22783" i="53"/>
  <c r="E22782" i="53"/>
  <c r="D22782" i="53"/>
  <c r="B22782" i="53"/>
  <c r="E22781" i="53"/>
  <c r="D22781" i="53"/>
  <c r="B22781" i="53"/>
  <c r="E22780" i="53"/>
  <c r="D22780" i="53"/>
  <c r="B22780" i="53"/>
  <c r="E22779" i="53"/>
  <c r="D22779" i="53"/>
  <c r="B22779" i="53"/>
  <c r="E22778" i="53"/>
  <c r="D22778" i="53"/>
  <c r="B22778" i="53"/>
  <c r="E22777" i="53"/>
  <c r="D22777" i="53"/>
  <c r="B22777" i="53"/>
  <c r="E22776" i="53"/>
  <c r="D22776" i="53"/>
  <c r="B22776" i="53"/>
  <c r="E22775" i="53"/>
  <c r="D22775" i="53"/>
  <c r="B22775" i="53"/>
  <c r="E22774" i="53"/>
  <c r="D22774" i="53"/>
  <c r="B22774" i="53"/>
  <c r="E22773" i="53"/>
  <c r="D22773" i="53"/>
  <c r="B22773" i="53"/>
  <c r="E22772" i="53"/>
  <c r="D22772" i="53"/>
  <c r="B22772" i="53"/>
  <c r="E22771" i="53"/>
  <c r="D22771" i="53"/>
  <c r="B22771" i="53"/>
  <c r="F22766" i="53"/>
  <c r="F22765" i="53"/>
  <c r="G22765" i="53" s="1"/>
  <c r="B22765" i="53"/>
  <c r="F22764" i="53"/>
  <c r="G22764" i="53" s="1"/>
  <c r="B22764" i="53"/>
  <c r="F22763" i="53"/>
  <c r="G22763" i="53" s="1"/>
  <c r="B22763" i="53"/>
  <c r="F22762" i="53"/>
  <c r="G22762" i="53" s="1"/>
  <c r="B22762" i="53"/>
  <c r="F22761" i="53"/>
  <c r="G22761" i="53" s="1"/>
  <c r="B22761" i="53"/>
  <c r="F22760" i="53"/>
  <c r="G22760" i="53" s="1"/>
  <c r="B22760" i="53"/>
  <c r="D22755" i="53"/>
  <c r="B22755" i="53"/>
  <c r="D22754" i="53"/>
  <c r="B22754" i="53"/>
  <c r="D22753" i="53"/>
  <c r="B22753" i="53"/>
  <c r="D22752" i="53"/>
  <c r="B22752" i="53"/>
  <c r="D22751" i="53"/>
  <c r="B22751" i="53"/>
  <c r="D22750" i="53"/>
  <c r="B22750" i="53"/>
  <c r="D22741" i="53"/>
  <c r="B22741" i="53"/>
  <c r="F22740" i="53"/>
  <c r="G22740" i="53" s="1"/>
  <c r="D22740" i="53"/>
  <c r="B22740" i="53"/>
  <c r="F22739" i="53" l="1"/>
  <c r="G22739" i="53" s="1"/>
  <c r="G22766" i="53"/>
  <c r="G22767" i="53"/>
  <c r="F22741" i="53"/>
  <c r="G22741" i="53" s="1"/>
  <c r="B22739" i="53"/>
  <c r="G22746" i="53" l="1"/>
  <c r="C339" i="55" l="1"/>
  <c r="C338" i="55"/>
  <c r="F708" i="53" l="1"/>
  <c r="G708" i="53" s="1"/>
  <c r="G712" i="53" s="1"/>
  <c r="C334" i="55"/>
  <c r="C335" i="55"/>
  <c r="C336" i="55"/>
  <c r="C337" i="55"/>
  <c r="C333" i="55"/>
  <c r="F14085" i="53" l="1"/>
  <c r="G14085" i="53" s="1"/>
  <c r="F13877" i="53"/>
  <c r="G13877" i="53" s="1"/>
  <c r="C324" i="55"/>
  <c r="C325" i="55"/>
  <c r="F20146" i="53" s="1"/>
  <c r="G20146" i="53" s="1"/>
  <c r="C326" i="55"/>
  <c r="C327" i="55"/>
  <c r="C328" i="55"/>
  <c r="C329" i="55"/>
  <c r="C330" i="55"/>
  <c r="C331" i="55"/>
  <c r="C332" i="55"/>
  <c r="C323" i="55"/>
  <c r="C322" i="55"/>
  <c r="C321" i="55"/>
  <c r="Q13" i="54"/>
  <c r="Q12" i="54"/>
  <c r="Q11" i="54"/>
  <c r="Q10" i="54"/>
  <c r="C320" i="55"/>
  <c r="F4866" i="53" s="1"/>
  <c r="G4866" i="53" s="1"/>
  <c r="B4866" i="53"/>
  <c r="C319" i="55"/>
  <c r="B4864" i="53"/>
  <c r="B6767" i="53"/>
  <c r="C318" i="55"/>
  <c r="C317" i="55"/>
  <c r="F6838" i="53" s="1"/>
  <c r="G6838" i="53" s="1"/>
  <c r="B6838" i="53"/>
  <c r="C316" i="55"/>
  <c r="F6837" i="53" s="1"/>
  <c r="G6837" i="53" s="1"/>
  <c r="B6837" i="53"/>
  <c r="E315" i="55"/>
  <c r="C315" i="55" s="1"/>
  <c r="F6502" i="53" s="1"/>
  <c r="G6502" i="53" s="1"/>
  <c r="B6502" i="53"/>
  <c r="F8000" i="53" l="1"/>
  <c r="G8000" i="53" s="1"/>
  <c r="F8068" i="53"/>
  <c r="G8068" i="53" s="1"/>
  <c r="F2900" i="53"/>
  <c r="G2900" i="53" s="1"/>
  <c r="F6767" i="53"/>
  <c r="G6767" i="53" s="1"/>
  <c r="G6772" i="53" s="1"/>
  <c r="F4589" i="53"/>
  <c r="G4589" i="53" s="1"/>
  <c r="F3112" i="53"/>
  <c r="G3112" i="53" s="1"/>
  <c r="F9874" i="53"/>
  <c r="G9874" i="53" s="1"/>
  <c r="F9946" i="53"/>
  <c r="G9946" i="53" s="1"/>
  <c r="F8406" i="53"/>
  <c r="G8406" i="53" s="1"/>
  <c r="B8818" i="53"/>
  <c r="G8930" i="53"/>
  <c r="F8450" i="53"/>
  <c r="G8450" i="53" s="1"/>
  <c r="F7977" i="53"/>
  <c r="G7977" i="53" s="1"/>
  <c r="F8863" i="53"/>
  <c r="G8863" i="53" s="1"/>
  <c r="F8657" i="53"/>
  <c r="G8657" i="53" s="1"/>
  <c r="F8586" i="53"/>
  <c r="G8586" i="53" s="1"/>
  <c r="F8519" i="53"/>
  <c r="G8519" i="53" s="1"/>
  <c r="F8794" i="53"/>
  <c r="G8794" i="53" s="1"/>
  <c r="F6746" i="53"/>
  <c r="G6746" i="53" s="1"/>
  <c r="F6815" i="53"/>
  <c r="G6815" i="53" s="1"/>
  <c r="F6205" i="53"/>
  <c r="G6205" i="53" s="1"/>
  <c r="F6884" i="53"/>
  <c r="G6884" i="53" s="1"/>
  <c r="F4774" i="53"/>
  <c r="G4774" i="53" s="1"/>
  <c r="F4912" i="53"/>
  <c r="G4912" i="53" s="1"/>
  <c r="F5047" i="53"/>
  <c r="G5047" i="53" s="1"/>
  <c r="F5727" i="53"/>
  <c r="G5727" i="53" s="1"/>
  <c r="F6137" i="53"/>
  <c r="G6137" i="53" s="1"/>
  <c r="F6546" i="53"/>
  <c r="G6546" i="53" s="1"/>
  <c r="F5660" i="53"/>
  <c r="G5660" i="53" s="1"/>
  <c r="F9141" i="53"/>
  <c r="G9141" i="53" s="1"/>
  <c r="F891" i="53"/>
  <c r="G891" i="53" s="1"/>
  <c r="F470" i="53"/>
  <c r="G470" i="53" s="1"/>
  <c r="F395" i="53"/>
  <c r="G395" i="53" s="1"/>
  <c r="F755" i="53"/>
  <c r="G755" i="53" s="1"/>
  <c r="F7775" i="53"/>
  <c r="G7775" i="53" s="1"/>
  <c r="F188" i="53"/>
  <c r="G188" i="53" s="1"/>
  <c r="F189" i="53"/>
  <c r="G189" i="53" s="1"/>
  <c r="G8929" i="53"/>
  <c r="F8518" i="53"/>
  <c r="G8518" i="53" s="1"/>
  <c r="F8793" i="53"/>
  <c r="G8793" i="53" s="1"/>
  <c r="F8449" i="53"/>
  <c r="G8449" i="53" s="1"/>
  <c r="F7976" i="53"/>
  <c r="G7976" i="53" s="1"/>
  <c r="F8862" i="53"/>
  <c r="G8862" i="53" s="1"/>
  <c r="F8656" i="53"/>
  <c r="G8656" i="53" s="1"/>
  <c r="F8585" i="53"/>
  <c r="G8585" i="53" s="1"/>
  <c r="F4911" i="53"/>
  <c r="G4911" i="53" s="1"/>
  <c r="F5046" i="53"/>
  <c r="G5046" i="53" s="1"/>
  <c r="F5659" i="53"/>
  <c r="G5659" i="53" s="1"/>
  <c r="F7774" i="53"/>
  <c r="G7774" i="53" s="1"/>
  <c r="F5726" i="53"/>
  <c r="G5726" i="53" s="1"/>
  <c r="F7730" i="53"/>
  <c r="G7730" i="53" s="1"/>
  <c r="F5683" i="53"/>
  <c r="G5683" i="53" s="1"/>
  <c r="F5616" i="53"/>
  <c r="G5616" i="53" s="1"/>
  <c r="B5003" i="53"/>
  <c r="C312" i="55" l="1"/>
  <c r="C313" i="55"/>
  <c r="C314" i="55"/>
  <c r="F4729" i="53" s="1"/>
  <c r="G4729" i="53" s="1"/>
  <c r="B4729" i="53"/>
  <c r="C311" i="55"/>
  <c r="C310" i="55"/>
  <c r="E309" i="55"/>
  <c r="C309" i="55" s="1"/>
  <c r="C308" i="55"/>
  <c r="C307" i="55"/>
  <c r="F2564" i="53" l="1"/>
  <c r="G2564" i="53" s="1"/>
  <c r="F3684" i="53"/>
  <c r="G3684" i="53" s="1"/>
  <c r="F2492" i="53"/>
  <c r="G2492" i="53" s="1"/>
  <c r="B4865" i="53"/>
  <c r="B4728" i="53"/>
  <c r="F4728" i="53"/>
  <c r="G4728" i="53" s="1"/>
  <c r="G4731" i="53" s="1"/>
  <c r="E306" i="55"/>
  <c r="C306" i="55" s="1"/>
  <c r="F6501" i="53" s="1"/>
  <c r="G6501" i="53" s="1"/>
  <c r="B6500" i="53"/>
  <c r="C305" i="55"/>
  <c r="B6499" i="53"/>
  <c r="E304" i="55"/>
  <c r="C304" i="55" s="1"/>
  <c r="C303" i="55"/>
  <c r="G128" i="1"/>
  <c r="B6699" i="53"/>
  <c r="C302" i="55"/>
  <c r="C298" i="55"/>
  <c r="C299" i="55"/>
  <c r="C300" i="55"/>
  <c r="F18324" i="53" s="1"/>
  <c r="G18324" i="53" s="1"/>
  <c r="C301" i="55"/>
  <c r="F18325" i="53" s="1"/>
  <c r="G18325" i="53" s="1"/>
  <c r="C297" i="55"/>
  <c r="C296" i="55"/>
  <c r="F18327" i="53" l="1"/>
  <c r="G18327" i="53" s="1"/>
  <c r="F18326" i="53"/>
  <c r="G18326" i="53" s="1"/>
  <c r="F6500" i="53"/>
  <c r="G6500" i="53" s="1"/>
  <c r="F6699" i="53"/>
  <c r="G6699" i="53" s="1"/>
  <c r="F6090" i="53"/>
  <c r="G6090" i="53" s="1"/>
  <c r="G6094" i="53" s="1"/>
  <c r="F6158" i="53"/>
  <c r="G6158" i="53" s="1"/>
  <c r="G6162" i="53" s="1"/>
  <c r="F6499" i="53"/>
  <c r="G6499" i="53" s="1"/>
  <c r="F6498" i="53"/>
  <c r="G6498" i="53" s="1"/>
  <c r="F6836" i="53"/>
  <c r="G6836" i="53" s="1"/>
  <c r="G6841" i="53" s="1"/>
  <c r="B6836" i="53"/>
  <c r="D1236" i="53"/>
  <c r="B1236" i="53"/>
  <c r="F1235" i="53"/>
  <c r="G1235" i="53" s="1"/>
  <c r="D1235" i="53"/>
  <c r="B1235" i="53"/>
  <c r="F1234" i="53"/>
  <c r="G1234" i="53" s="1"/>
  <c r="D1234" i="53"/>
  <c r="B1234" i="53"/>
  <c r="F1233" i="53"/>
  <c r="G1233" i="53" s="1"/>
  <c r="D1233" i="53"/>
  <c r="B1233" i="53"/>
  <c r="F1232" i="53"/>
  <c r="G1232" i="53" s="1"/>
  <c r="D1232" i="53"/>
  <c r="B1232" i="53"/>
  <c r="E1227" i="53"/>
  <c r="D1227" i="53"/>
  <c r="B1227" i="53"/>
  <c r="E1226" i="53"/>
  <c r="D1226" i="53"/>
  <c r="B1226" i="53"/>
  <c r="E1225" i="53"/>
  <c r="D1225" i="53"/>
  <c r="B1225" i="53"/>
  <c r="E1224" i="53"/>
  <c r="D1224" i="53"/>
  <c r="B1224" i="53"/>
  <c r="E1223" i="53"/>
  <c r="D1223" i="53"/>
  <c r="B1223" i="53"/>
  <c r="E1222" i="53"/>
  <c r="D1222" i="53"/>
  <c r="B1222" i="53"/>
  <c r="E1221" i="53"/>
  <c r="D1221" i="53"/>
  <c r="B1221" i="53"/>
  <c r="E1220" i="53"/>
  <c r="D1220" i="53"/>
  <c r="B1220" i="53"/>
  <c r="E1219" i="53"/>
  <c r="D1219" i="53"/>
  <c r="B1219" i="53"/>
  <c r="E1218" i="53"/>
  <c r="D1218" i="53"/>
  <c r="B1218" i="53"/>
  <c r="E1217" i="53"/>
  <c r="D1217" i="53"/>
  <c r="B1217" i="53"/>
  <c r="E1216" i="53"/>
  <c r="D1216" i="53"/>
  <c r="B1216" i="53"/>
  <c r="E1215" i="53"/>
  <c r="D1215" i="53"/>
  <c r="B1215" i="53"/>
  <c r="F1210" i="53"/>
  <c r="G1210" i="53" s="1"/>
  <c r="B1210" i="53"/>
  <c r="F1209" i="53"/>
  <c r="G1209" i="53" s="1"/>
  <c r="B1209" i="53"/>
  <c r="F1208" i="53"/>
  <c r="G1208" i="53" s="1"/>
  <c r="B1208" i="53"/>
  <c r="F1207" i="53"/>
  <c r="G1207" i="53" s="1"/>
  <c r="B1207" i="53"/>
  <c r="F1206" i="53"/>
  <c r="G1206" i="53" s="1"/>
  <c r="B1206" i="53"/>
  <c r="F1205" i="53"/>
  <c r="G1205" i="53" s="1"/>
  <c r="B1205" i="53"/>
  <c r="D1200" i="53"/>
  <c r="B1200" i="53"/>
  <c r="D1199" i="53"/>
  <c r="B1199" i="53"/>
  <c r="D1198" i="53"/>
  <c r="B1198" i="53"/>
  <c r="D1197" i="53"/>
  <c r="B1197" i="53"/>
  <c r="D1196" i="53"/>
  <c r="B1196" i="53"/>
  <c r="D1195" i="53"/>
  <c r="B1195" i="53"/>
  <c r="F1190" i="53"/>
  <c r="G1190" i="53" s="1"/>
  <c r="F1189" i="53"/>
  <c r="G1189" i="53" s="1"/>
  <c r="D1189" i="53"/>
  <c r="B1189" i="53"/>
  <c r="D1188" i="53"/>
  <c r="B1188" i="53"/>
  <c r="F1187" i="53"/>
  <c r="G1187" i="53" s="1"/>
  <c r="B1187" i="53"/>
  <c r="D1187" i="53"/>
  <c r="F1186" i="53"/>
  <c r="G1186" i="53" s="1"/>
  <c r="E136" i="55"/>
  <c r="D983" i="53"/>
  <c r="A981" i="53"/>
  <c r="B978" i="53"/>
  <c r="D1031" i="53"/>
  <c r="B1031" i="53"/>
  <c r="F1030" i="53"/>
  <c r="G1030" i="53" s="1"/>
  <c r="D1030" i="53"/>
  <c r="B1030" i="53"/>
  <c r="F1029" i="53"/>
  <c r="G1029" i="53" s="1"/>
  <c r="D1029" i="53"/>
  <c r="B1029" i="53"/>
  <c r="F1028" i="53"/>
  <c r="G1028" i="53" s="1"/>
  <c r="D1028" i="53"/>
  <c r="B1028" i="53"/>
  <c r="F1027" i="53"/>
  <c r="G1027" i="53" s="1"/>
  <c r="D1027" i="53"/>
  <c r="B1027" i="53"/>
  <c r="E1022" i="53"/>
  <c r="D1022" i="53"/>
  <c r="B1022" i="53"/>
  <c r="E1021" i="53"/>
  <c r="D1021" i="53"/>
  <c r="B1021" i="53"/>
  <c r="E1020" i="53"/>
  <c r="D1020" i="53"/>
  <c r="B1020" i="53"/>
  <c r="E1019" i="53"/>
  <c r="D1019" i="53"/>
  <c r="B1019" i="53"/>
  <c r="E1018" i="53"/>
  <c r="D1018" i="53"/>
  <c r="B1018" i="53"/>
  <c r="E1017" i="53"/>
  <c r="D1017" i="53"/>
  <c r="B1017" i="53"/>
  <c r="E1016" i="53"/>
  <c r="D1016" i="53"/>
  <c r="B1016" i="53"/>
  <c r="E1015" i="53"/>
  <c r="D1015" i="53"/>
  <c r="B1015" i="53"/>
  <c r="E1014" i="53"/>
  <c r="D1014" i="53"/>
  <c r="B1014" i="53"/>
  <c r="E1013" i="53"/>
  <c r="D1013" i="53"/>
  <c r="B1013" i="53"/>
  <c r="E1012" i="53"/>
  <c r="D1012" i="53"/>
  <c r="B1012" i="53"/>
  <c r="E1011" i="53"/>
  <c r="D1011" i="53"/>
  <c r="B1011" i="53"/>
  <c r="E1010" i="53"/>
  <c r="D1010" i="53"/>
  <c r="B1010" i="53"/>
  <c r="F1005" i="53"/>
  <c r="G1005" i="53" s="1"/>
  <c r="B1005" i="53"/>
  <c r="F1004" i="53"/>
  <c r="G1004" i="53" s="1"/>
  <c r="B1004" i="53"/>
  <c r="F1003" i="53"/>
  <c r="G1003" i="53" s="1"/>
  <c r="B1003" i="53"/>
  <c r="F1002" i="53"/>
  <c r="G1002" i="53" s="1"/>
  <c r="B1002" i="53"/>
  <c r="F1001" i="53"/>
  <c r="G1001" i="53" s="1"/>
  <c r="B1001" i="53"/>
  <c r="F1000" i="53"/>
  <c r="G1000" i="53" s="1"/>
  <c r="B1000" i="53"/>
  <c r="D995" i="53"/>
  <c r="B995" i="53"/>
  <c r="D994" i="53"/>
  <c r="B994" i="53"/>
  <c r="D993" i="53"/>
  <c r="B993" i="53"/>
  <c r="D992" i="53"/>
  <c r="B992" i="53"/>
  <c r="D991" i="53"/>
  <c r="B991" i="53"/>
  <c r="D990" i="53"/>
  <c r="B990" i="53"/>
  <c r="G6503" i="53" l="1"/>
  <c r="G1211" i="53"/>
  <c r="F1188" i="53"/>
  <c r="G1188" i="53" s="1"/>
  <c r="G1191" i="53" s="1"/>
  <c r="B1190" i="53"/>
  <c r="D1190" i="53"/>
  <c r="B1186" i="53"/>
  <c r="B983" i="53"/>
  <c r="B984" i="53"/>
  <c r="D984" i="53"/>
  <c r="B981" i="53"/>
  <c r="D981" i="53"/>
  <c r="G1006" i="53"/>
  <c r="E295" i="55" l="1"/>
  <c r="G8932" i="53" l="1"/>
  <c r="G8933" i="53" s="1"/>
  <c r="F8521" i="53"/>
  <c r="G8521" i="53" s="1"/>
  <c r="G8522" i="53" s="1"/>
  <c r="F8796" i="53"/>
  <c r="G8796" i="53" s="1"/>
  <c r="G8797" i="53" s="1"/>
  <c r="F8452" i="53"/>
  <c r="G8452" i="53" s="1"/>
  <c r="G8453" i="53" s="1"/>
  <c r="F7979" i="53"/>
  <c r="G7979" i="53" s="1"/>
  <c r="G7980" i="53" s="1"/>
  <c r="G8865" i="53"/>
  <c r="G8866" i="53" s="1"/>
  <c r="F8659" i="53"/>
  <c r="G8659" i="53" s="1"/>
  <c r="G8660" i="53" s="1"/>
  <c r="F8588" i="53"/>
  <c r="G8588" i="53" s="1"/>
  <c r="G8589" i="53" s="1"/>
  <c r="F4776" i="53"/>
  <c r="G4776" i="53" s="1"/>
  <c r="G4777" i="53" s="1"/>
  <c r="F4914" i="53"/>
  <c r="G4914" i="53" s="1"/>
  <c r="G4915" i="53" s="1"/>
  <c r="F5049" i="53"/>
  <c r="G5049" i="53" s="1"/>
  <c r="G5050" i="53" s="1"/>
  <c r="F6139" i="53"/>
  <c r="G6139" i="53" s="1"/>
  <c r="G6140" i="53" s="1"/>
  <c r="F5662" i="53"/>
  <c r="G5662" i="53" s="1"/>
  <c r="G5663" i="53" s="1"/>
  <c r="F6548" i="53"/>
  <c r="G6548" i="53" s="1"/>
  <c r="G6549" i="53" s="1"/>
  <c r="F6748" i="53"/>
  <c r="G6748" i="53" s="1"/>
  <c r="G6749" i="53" s="1"/>
  <c r="F6817" i="53"/>
  <c r="G6817" i="53" s="1"/>
  <c r="G6818" i="53" s="1"/>
  <c r="F6207" i="53"/>
  <c r="G6207" i="53" s="1"/>
  <c r="G6208" i="53" s="1"/>
  <c r="F6886" i="53"/>
  <c r="G6886" i="53" s="1"/>
  <c r="G6887" i="53" s="1"/>
  <c r="F893" i="53"/>
  <c r="G893" i="53" s="1"/>
  <c r="G894" i="53" s="1"/>
  <c r="F472" i="53"/>
  <c r="G472" i="53" s="1"/>
  <c r="G473" i="53" s="1"/>
  <c r="F397" i="53"/>
  <c r="G397" i="53" s="1"/>
  <c r="G398" i="53" s="1"/>
  <c r="F757" i="53"/>
  <c r="F5729" i="53"/>
  <c r="G5729" i="53" s="1"/>
  <c r="G5730" i="53" s="1"/>
  <c r="F7777" i="53"/>
  <c r="G7777" i="53" s="1"/>
  <c r="G7778" i="53" s="1"/>
  <c r="F191" i="53"/>
  <c r="G191" i="53" s="1"/>
  <c r="G192" i="53" s="1"/>
  <c r="F9143" i="53"/>
  <c r="G9143" i="53" s="1"/>
  <c r="G9144" i="53" s="1"/>
  <c r="F689" i="53"/>
  <c r="G689" i="53" s="1"/>
  <c r="G690" i="53" s="1"/>
  <c r="F22792" i="53"/>
  <c r="G22792" i="53" s="1"/>
  <c r="G22793" i="53" s="1"/>
  <c r="F1031" i="53"/>
  <c r="G1031" i="53" s="1"/>
  <c r="G1032" i="53" s="1"/>
  <c r="F1236" i="53"/>
  <c r="G1236" i="53" s="1"/>
  <c r="G1237" i="53" s="1"/>
  <c r="C295" i="55"/>
  <c r="G757" i="53" l="1"/>
  <c r="G758" i="53" s="1"/>
  <c r="F9095" i="53"/>
  <c r="G9095" i="53" s="1"/>
  <c r="G9098" i="53" s="1"/>
  <c r="C294" i="55"/>
  <c r="C284" i="55"/>
  <c r="C285" i="55"/>
  <c r="C286" i="55"/>
  <c r="F418" i="53" s="1"/>
  <c r="G418" i="53" s="1"/>
  <c r="C287" i="55"/>
  <c r="F2084" i="53" s="1"/>
  <c r="G2084" i="53" s="1"/>
  <c r="C288" i="55"/>
  <c r="F420" i="53" s="1"/>
  <c r="G420" i="53" s="1"/>
  <c r="C289" i="55"/>
  <c r="F421" i="53" s="1"/>
  <c r="G421" i="53" s="1"/>
  <c r="C290" i="55"/>
  <c r="F422" i="53" s="1"/>
  <c r="G422" i="53" s="1"/>
  <c r="C291" i="55"/>
  <c r="F1119" i="53" s="1"/>
  <c r="G1119" i="53" s="1"/>
  <c r="C292" i="55"/>
  <c r="F424" i="53" s="1"/>
  <c r="G424" i="53" s="1"/>
  <c r="C293" i="55"/>
  <c r="F425" i="53" s="1"/>
  <c r="G425" i="53" s="1"/>
  <c r="C283" i="55"/>
  <c r="F426" i="53" l="1"/>
  <c r="G426" i="53" s="1"/>
  <c r="F419" i="53"/>
  <c r="G419" i="53" s="1"/>
  <c r="F423" i="53"/>
  <c r="G423" i="53" s="1"/>
  <c r="F1051" i="53"/>
  <c r="G1051" i="53" s="1"/>
  <c r="F417" i="53"/>
  <c r="G417" i="53" s="1"/>
  <c r="F141" i="53"/>
  <c r="G141" i="53" s="1"/>
  <c r="G146" i="53" s="1"/>
  <c r="F8817" i="53"/>
  <c r="G8817" i="53" s="1"/>
  <c r="F416" i="53"/>
  <c r="G416" i="53" s="1"/>
  <c r="F8818" i="53"/>
  <c r="G8818" i="53" s="1"/>
  <c r="F983" i="53"/>
  <c r="G983" i="53" s="1"/>
  <c r="C278" i="55"/>
  <c r="C279" i="55"/>
  <c r="F913" i="53" s="1"/>
  <c r="G913" i="53" s="1"/>
  <c r="C280" i="55"/>
  <c r="F914" i="53" s="1"/>
  <c r="G914" i="53" s="1"/>
  <c r="C281" i="55"/>
  <c r="C282" i="55"/>
  <c r="F23847" i="53"/>
  <c r="G23847" i="53" s="1"/>
  <c r="D23847" i="53"/>
  <c r="B23847" i="53"/>
  <c r="F23846" i="53"/>
  <c r="G23846" i="53" s="1"/>
  <c r="D23846" i="53"/>
  <c r="B23846" i="53"/>
  <c r="F23845" i="53"/>
  <c r="G23845" i="53" s="1"/>
  <c r="D23845" i="53"/>
  <c r="B23845" i="53"/>
  <c r="F23844" i="53"/>
  <c r="G23844" i="53" s="1"/>
  <c r="D23844" i="53"/>
  <c r="B23844" i="53"/>
  <c r="F23843" i="53"/>
  <c r="G23843" i="53" s="1"/>
  <c r="D23843" i="53"/>
  <c r="B23843" i="53"/>
  <c r="F17950" i="53"/>
  <c r="D17950" i="53"/>
  <c r="B17950" i="53"/>
  <c r="F17949" i="53"/>
  <c r="D17949" i="53"/>
  <c r="B17949" i="53"/>
  <c r="F17948" i="53"/>
  <c r="D17948" i="53"/>
  <c r="B17948" i="53"/>
  <c r="F17947" i="53"/>
  <c r="D17947" i="53"/>
  <c r="B17947" i="53"/>
  <c r="F17946" i="53"/>
  <c r="D17946" i="53"/>
  <c r="B17946" i="53"/>
  <c r="F18165" i="53"/>
  <c r="D18165" i="53"/>
  <c r="B18165" i="53"/>
  <c r="F18164" i="53"/>
  <c r="D18164" i="53"/>
  <c r="B18164" i="53"/>
  <c r="F18163" i="53"/>
  <c r="D18163" i="53"/>
  <c r="B18163" i="53"/>
  <c r="F18162" i="53"/>
  <c r="D18162" i="53"/>
  <c r="B18162" i="53"/>
  <c r="F18161" i="53"/>
  <c r="D18161" i="53"/>
  <c r="B18161" i="53"/>
  <c r="F23214" i="53"/>
  <c r="D23214" i="53"/>
  <c r="B23214" i="53"/>
  <c r="F23213" i="53"/>
  <c r="D23213" i="53"/>
  <c r="B23213" i="53"/>
  <c r="F23212" i="53"/>
  <c r="D23212" i="53"/>
  <c r="B23212" i="53"/>
  <c r="F23211" i="53"/>
  <c r="D23211" i="53"/>
  <c r="B23211" i="53"/>
  <c r="F23210" i="53"/>
  <c r="D23210" i="53"/>
  <c r="B23210" i="53"/>
  <c r="F23209" i="53"/>
  <c r="D23209" i="53"/>
  <c r="B23209" i="53"/>
  <c r="F23148" i="53"/>
  <c r="D23148" i="53"/>
  <c r="B23148" i="53"/>
  <c r="F23147" i="53"/>
  <c r="D23147" i="53"/>
  <c r="B23147" i="53"/>
  <c r="F23146" i="53"/>
  <c r="D23146" i="53"/>
  <c r="B23146" i="53"/>
  <c r="F23145" i="53"/>
  <c r="D23145" i="53"/>
  <c r="B23145" i="53"/>
  <c r="F23144" i="53"/>
  <c r="D23144" i="53"/>
  <c r="B23144" i="53"/>
  <c r="F23077" i="53"/>
  <c r="D23077" i="53"/>
  <c r="B23077" i="53"/>
  <c r="F23076" i="53"/>
  <c r="D23076" i="53"/>
  <c r="B23076" i="53"/>
  <c r="F23075" i="53"/>
  <c r="D23075" i="53"/>
  <c r="B23075" i="53"/>
  <c r="F23074" i="53"/>
  <c r="D23074" i="53"/>
  <c r="B23074" i="53"/>
  <c r="F23073" i="53"/>
  <c r="D23073" i="53"/>
  <c r="B23073" i="53"/>
  <c r="F22720" i="53"/>
  <c r="D22720" i="53"/>
  <c r="B22720" i="53"/>
  <c r="F22719" i="53"/>
  <c r="D22719" i="53"/>
  <c r="B22719" i="53"/>
  <c r="F22718" i="53"/>
  <c r="D22718" i="53"/>
  <c r="B22718" i="53"/>
  <c r="F22717" i="53"/>
  <c r="D22717" i="53"/>
  <c r="B22717" i="53"/>
  <c r="F22716" i="53"/>
  <c r="D22716" i="53"/>
  <c r="B22716" i="53"/>
  <c r="F22578" i="53"/>
  <c r="D22578" i="53"/>
  <c r="B22578" i="53"/>
  <c r="F22577" i="53"/>
  <c r="D22577" i="53"/>
  <c r="B22577" i="53"/>
  <c r="F22576" i="53"/>
  <c r="D22576" i="53"/>
  <c r="B22576" i="53"/>
  <c r="F22575" i="53"/>
  <c r="D22575" i="53"/>
  <c r="B22575" i="53"/>
  <c r="F22574" i="53"/>
  <c r="D22574" i="53"/>
  <c r="B22574" i="53"/>
  <c r="F22436" i="53"/>
  <c r="D22436" i="53"/>
  <c r="B22436" i="53"/>
  <c r="F22435" i="53"/>
  <c r="D22435" i="53"/>
  <c r="B22435" i="53"/>
  <c r="F22434" i="53"/>
  <c r="D22434" i="53"/>
  <c r="B22434" i="53"/>
  <c r="F22433" i="53"/>
  <c r="D22433" i="53"/>
  <c r="B22433" i="53"/>
  <c r="F22432" i="53"/>
  <c r="D22432" i="53"/>
  <c r="B22432" i="53"/>
  <c r="F22365" i="53"/>
  <c r="D22365" i="53"/>
  <c r="B22365" i="53"/>
  <c r="F22364" i="53"/>
  <c r="D22364" i="53"/>
  <c r="B22364" i="53"/>
  <c r="F22363" i="53"/>
  <c r="D22363" i="53"/>
  <c r="B22363" i="53"/>
  <c r="F22362" i="53"/>
  <c r="D22362" i="53"/>
  <c r="B22362" i="53"/>
  <c r="F22361" i="53"/>
  <c r="D22361" i="53"/>
  <c r="B22361" i="53"/>
  <c r="F22293" i="53"/>
  <c r="D22293" i="53"/>
  <c r="B22293" i="53"/>
  <c r="F22292" i="53"/>
  <c r="D22292" i="53"/>
  <c r="B22292" i="53"/>
  <c r="F22291" i="53"/>
  <c r="D22291" i="53"/>
  <c r="B22291" i="53"/>
  <c r="F22290" i="53"/>
  <c r="D22290" i="53"/>
  <c r="B22290" i="53"/>
  <c r="F22289" i="53"/>
  <c r="D22289" i="53"/>
  <c r="B22289" i="53"/>
  <c r="F22221" i="53"/>
  <c r="D22221" i="53"/>
  <c r="B22221" i="53"/>
  <c r="F22220" i="53"/>
  <c r="D22220" i="53"/>
  <c r="B22220" i="53"/>
  <c r="F22219" i="53"/>
  <c r="D22219" i="53"/>
  <c r="B22219" i="53"/>
  <c r="F22218" i="53"/>
  <c r="D22218" i="53"/>
  <c r="B22218" i="53"/>
  <c r="F22217" i="53"/>
  <c r="D22217" i="53"/>
  <c r="B22217" i="53"/>
  <c r="F22008" i="53"/>
  <c r="D22008" i="53"/>
  <c r="B22008" i="53"/>
  <c r="F22007" i="53"/>
  <c r="D22007" i="53"/>
  <c r="B22007" i="53"/>
  <c r="F20425" i="53"/>
  <c r="D20425" i="53"/>
  <c r="B20425" i="53"/>
  <c r="F20424" i="53"/>
  <c r="D20424" i="53"/>
  <c r="B20424" i="53"/>
  <c r="F20423" i="53"/>
  <c r="D20423" i="53"/>
  <c r="B20423" i="53"/>
  <c r="F20422" i="53"/>
  <c r="D20422" i="53"/>
  <c r="B20422" i="53"/>
  <c r="F20421" i="53"/>
  <c r="D20421" i="53"/>
  <c r="B20421" i="53"/>
  <c r="F20351" i="53"/>
  <c r="D20351" i="53"/>
  <c r="B20351" i="53"/>
  <c r="F20350" i="53"/>
  <c r="D20350" i="53"/>
  <c r="B20350" i="53"/>
  <c r="F20349" i="53"/>
  <c r="D20349" i="53"/>
  <c r="B20349" i="53"/>
  <c r="F20348" i="53"/>
  <c r="D20348" i="53"/>
  <c r="B20348" i="53"/>
  <c r="F20347" i="53"/>
  <c r="D20347" i="53"/>
  <c r="B20347" i="53"/>
  <c r="F19979" i="53"/>
  <c r="D19979" i="53"/>
  <c r="B19979" i="53"/>
  <c r="F19978" i="53"/>
  <c r="D19978" i="53"/>
  <c r="B19978" i="53"/>
  <c r="F19977" i="53"/>
  <c r="D19977" i="53"/>
  <c r="B19977" i="53"/>
  <c r="F19976" i="53"/>
  <c r="D19976" i="53"/>
  <c r="B19976" i="53"/>
  <c r="F19975" i="53"/>
  <c r="D19975" i="53"/>
  <c r="B19975" i="53"/>
  <c r="F20933" i="53"/>
  <c r="D20933" i="53"/>
  <c r="B20933" i="53"/>
  <c r="F20932" i="53"/>
  <c r="D20932" i="53"/>
  <c r="B20932" i="53"/>
  <c r="F20931" i="53"/>
  <c r="D20931" i="53"/>
  <c r="B20931" i="53"/>
  <c r="F20930" i="53"/>
  <c r="D20930" i="53"/>
  <c r="B20930" i="53"/>
  <c r="F20929" i="53"/>
  <c r="D20929" i="53"/>
  <c r="B20929" i="53"/>
  <c r="F20642" i="53"/>
  <c r="D20642" i="53"/>
  <c r="B20642" i="53"/>
  <c r="F20641" i="53"/>
  <c r="D20641" i="53"/>
  <c r="B20641" i="53"/>
  <c r="F20640" i="53"/>
  <c r="D20640" i="53"/>
  <c r="B20640" i="53"/>
  <c r="F20639" i="53"/>
  <c r="D20639" i="53"/>
  <c r="B20639" i="53"/>
  <c r="F20567" i="53"/>
  <c r="D20567" i="53"/>
  <c r="B20567" i="53"/>
  <c r="F20566" i="53"/>
  <c r="D20566" i="53"/>
  <c r="B20566" i="53"/>
  <c r="F20565" i="53"/>
  <c r="D20565" i="53"/>
  <c r="B20565" i="53"/>
  <c r="F20564" i="53"/>
  <c r="D20564" i="53"/>
  <c r="B20564" i="53"/>
  <c r="F20563" i="53"/>
  <c r="D20563" i="53"/>
  <c r="B20563" i="53"/>
  <c r="F19238" i="53"/>
  <c r="D19238" i="53"/>
  <c r="B19238" i="53"/>
  <c r="F19237" i="53"/>
  <c r="D19237" i="53"/>
  <c r="B19237" i="53"/>
  <c r="F19236" i="53"/>
  <c r="D19236" i="53"/>
  <c r="B19236" i="53"/>
  <c r="F19235" i="53"/>
  <c r="D19235" i="53"/>
  <c r="B19235" i="53"/>
  <c r="F19234" i="53"/>
  <c r="D19234" i="53"/>
  <c r="B19234" i="53"/>
  <c r="F19683" i="53"/>
  <c r="D19683" i="53"/>
  <c r="B19683" i="53"/>
  <c r="F19682" i="53"/>
  <c r="D19682" i="53"/>
  <c r="B19682" i="53"/>
  <c r="F19681" i="53"/>
  <c r="D19681" i="53"/>
  <c r="B19681" i="53"/>
  <c r="F19680" i="53"/>
  <c r="D19680" i="53"/>
  <c r="B19680" i="53"/>
  <c r="F19679" i="53"/>
  <c r="D19679" i="53"/>
  <c r="B19679" i="53"/>
  <c r="F19608" i="53"/>
  <c r="D19608" i="53"/>
  <c r="B19608" i="53"/>
  <c r="F19607" i="53"/>
  <c r="D19607" i="53"/>
  <c r="B19607" i="53"/>
  <c r="F19606" i="53"/>
  <c r="D19606" i="53"/>
  <c r="B19606" i="53"/>
  <c r="F19605" i="53"/>
  <c r="D19605" i="53"/>
  <c r="B19605" i="53"/>
  <c r="F19604" i="53"/>
  <c r="D19604" i="53"/>
  <c r="B19604" i="53"/>
  <c r="F19535" i="53"/>
  <c r="D19535" i="53"/>
  <c r="B19535" i="53"/>
  <c r="F19534" i="53"/>
  <c r="D19534" i="53"/>
  <c r="B19534" i="53"/>
  <c r="F19533" i="53"/>
  <c r="D19533" i="53"/>
  <c r="B19533" i="53"/>
  <c r="F19532" i="53"/>
  <c r="D19532" i="53"/>
  <c r="B19532" i="53"/>
  <c r="F19531" i="53"/>
  <c r="D19531" i="53"/>
  <c r="B19531" i="53"/>
  <c r="F19462" i="53"/>
  <c r="D19462" i="53"/>
  <c r="B19462" i="53"/>
  <c r="F19461" i="53"/>
  <c r="D19461" i="53"/>
  <c r="B19461" i="53"/>
  <c r="F19460" i="53"/>
  <c r="D19460" i="53"/>
  <c r="B19460" i="53"/>
  <c r="F19459" i="53"/>
  <c r="D19459" i="53"/>
  <c r="B19459" i="53"/>
  <c r="F19458" i="53"/>
  <c r="D19458" i="53"/>
  <c r="B19458" i="53"/>
  <c r="F19389" i="53"/>
  <c r="D19389" i="53"/>
  <c r="B19389" i="53"/>
  <c r="F19388" i="53"/>
  <c r="D19388" i="53"/>
  <c r="B19388" i="53"/>
  <c r="F19387" i="53"/>
  <c r="D19387" i="53"/>
  <c r="B19387" i="53"/>
  <c r="F19386" i="53"/>
  <c r="D19386" i="53"/>
  <c r="B19386" i="53"/>
  <c r="F19385" i="53"/>
  <c r="D19385" i="53"/>
  <c r="B19385" i="53"/>
  <c r="F21294" i="53"/>
  <c r="D21294" i="53"/>
  <c r="B21294" i="53"/>
  <c r="F21293" i="53"/>
  <c r="D21293" i="53"/>
  <c r="B21293" i="53"/>
  <c r="F21292" i="53"/>
  <c r="D21292" i="53"/>
  <c r="B21292" i="53"/>
  <c r="F19019" i="53"/>
  <c r="D19019" i="53"/>
  <c r="B19019" i="53"/>
  <c r="F19018" i="53"/>
  <c r="D19018" i="53"/>
  <c r="B19018" i="53"/>
  <c r="F19017" i="53"/>
  <c r="D19017" i="53"/>
  <c r="B19017" i="53"/>
  <c r="F19016" i="53"/>
  <c r="D19016" i="53"/>
  <c r="B19016" i="53"/>
  <c r="F19015" i="53"/>
  <c r="D19015" i="53"/>
  <c r="B19015" i="53"/>
  <c r="F16333" i="53"/>
  <c r="D16333" i="53"/>
  <c r="B16333" i="53"/>
  <c r="F16332" i="53"/>
  <c r="D16332" i="53"/>
  <c r="B16332" i="53"/>
  <c r="F16331" i="53"/>
  <c r="D16331" i="53"/>
  <c r="B16331" i="53"/>
  <c r="F16330" i="53"/>
  <c r="D16330" i="53"/>
  <c r="B16330" i="53"/>
  <c r="F16329" i="53"/>
  <c r="D16329" i="53"/>
  <c r="B16329" i="53"/>
  <c r="F18945" i="53"/>
  <c r="D18945" i="53"/>
  <c r="B18945" i="53"/>
  <c r="F18944" i="53"/>
  <c r="D18944" i="53"/>
  <c r="B18944" i="53"/>
  <c r="F18943" i="53"/>
  <c r="D18943" i="53"/>
  <c r="B18943" i="53"/>
  <c r="F18942" i="53"/>
  <c r="D18942" i="53"/>
  <c r="B18942" i="53"/>
  <c r="F18941" i="53"/>
  <c r="D18941" i="53"/>
  <c r="B18941" i="53"/>
  <c r="F18800" i="53"/>
  <c r="D18800" i="53"/>
  <c r="B18800" i="53"/>
  <c r="F18799" i="53"/>
  <c r="D18799" i="53"/>
  <c r="B18799" i="53"/>
  <c r="F18798" i="53"/>
  <c r="D18798" i="53"/>
  <c r="B18798" i="53"/>
  <c r="F18797" i="53"/>
  <c r="D18797" i="53"/>
  <c r="B18797" i="53"/>
  <c r="F18796" i="53"/>
  <c r="D18796" i="53"/>
  <c r="B18796" i="53"/>
  <c r="F18873" i="53"/>
  <c r="D18873" i="53"/>
  <c r="B18873" i="53"/>
  <c r="F18872" i="53"/>
  <c r="D18872" i="53"/>
  <c r="B18872" i="53"/>
  <c r="F18871" i="53"/>
  <c r="D18871" i="53"/>
  <c r="B18871" i="53"/>
  <c r="F18870" i="53"/>
  <c r="D18870" i="53"/>
  <c r="B18870" i="53"/>
  <c r="F18869" i="53"/>
  <c r="D18869" i="53"/>
  <c r="B18869" i="53"/>
  <c r="F18660" i="53"/>
  <c r="D18660" i="53"/>
  <c r="B18660" i="53"/>
  <c r="F18659" i="53"/>
  <c r="D18659" i="53"/>
  <c r="B18659" i="53"/>
  <c r="F18658" i="53"/>
  <c r="D18658" i="53"/>
  <c r="B18658" i="53"/>
  <c r="F18657" i="53"/>
  <c r="D18657" i="53"/>
  <c r="B18657" i="53"/>
  <c r="F18656" i="53"/>
  <c r="D18656" i="53"/>
  <c r="B18656" i="53"/>
  <c r="F18095" i="53"/>
  <c r="D18095" i="53"/>
  <c r="B18095" i="53"/>
  <c r="F18094" i="53"/>
  <c r="D18094" i="53"/>
  <c r="B18094" i="53"/>
  <c r="F18093" i="53"/>
  <c r="D18093" i="53"/>
  <c r="B18093" i="53"/>
  <c r="F18092" i="53"/>
  <c r="D18092" i="53"/>
  <c r="B18092" i="53"/>
  <c r="F18091" i="53"/>
  <c r="D18091" i="53"/>
  <c r="B18091" i="53"/>
  <c r="F17808" i="53"/>
  <c r="D17808" i="53"/>
  <c r="B17808" i="53"/>
  <c r="F17807" i="53"/>
  <c r="D17807" i="53"/>
  <c r="B17807" i="53"/>
  <c r="F17806" i="53"/>
  <c r="D17806" i="53"/>
  <c r="B17806" i="53"/>
  <c r="F17805" i="53"/>
  <c r="D17805" i="53"/>
  <c r="B17805" i="53"/>
  <c r="F17804" i="53"/>
  <c r="D17804" i="53"/>
  <c r="B17804" i="53"/>
  <c r="F17738" i="53"/>
  <c r="D17738" i="53"/>
  <c r="B17738" i="53"/>
  <c r="F17737" i="53"/>
  <c r="D17737" i="53"/>
  <c r="B17737" i="53"/>
  <c r="F17736" i="53"/>
  <c r="D17736" i="53"/>
  <c r="B17736" i="53"/>
  <c r="F17735" i="53"/>
  <c r="D17735" i="53"/>
  <c r="B17735" i="53"/>
  <c r="F17734" i="53"/>
  <c r="D17734" i="53"/>
  <c r="B17734" i="53"/>
  <c r="F17670" i="53"/>
  <c r="D17670" i="53"/>
  <c r="B17670" i="53"/>
  <c r="F17669" i="53"/>
  <c r="D17669" i="53"/>
  <c r="B17669" i="53"/>
  <c r="F17668" i="53"/>
  <c r="D17668" i="53"/>
  <c r="B17668" i="53"/>
  <c r="F17667" i="53"/>
  <c r="D17667" i="53"/>
  <c r="B17667" i="53"/>
  <c r="F17666" i="53"/>
  <c r="D17666" i="53"/>
  <c r="B17666" i="53"/>
  <c r="F17241" i="53"/>
  <c r="D17241" i="53"/>
  <c r="B17241" i="53"/>
  <c r="F17240" i="53"/>
  <c r="D17240" i="53"/>
  <c r="B17240" i="53"/>
  <c r="F17239" i="53"/>
  <c r="D17239" i="53"/>
  <c r="B17239" i="53"/>
  <c r="F17238" i="53"/>
  <c r="D17238" i="53"/>
  <c r="B17238" i="53"/>
  <c r="F17237" i="53"/>
  <c r="D17237" i="53"/>
  <c r="B17237" i="53"/>
  <c r="F17030" i="53"/>
  <c r="D17030" i="53"/>
  <c r="B17030" i="53"/>
  <c r="F17029" i="53"/>
  <c r="D17029" i="53"/>
  <c r="B17029" i="53"/>
  <c r="F17028" i="53"/>
  <c r="D17028" i="53"/>
  <c r="B17028" i="53"/>
  <c r="F17027" i="53"/>
  <c r="D17027" i="53"/>
  <c r="B17027" i="53"/>
  <c r="F17026" i="53"/>
  <c r="D17026" i="53"/>
  <c r="B17026" i="53"/>
  <c r="F16962" i="53"/>
  <c r="D16962" i="53"/>
  <c r="B16962" i="53"/>
  <c r="F16961" i="53"/>
  <c r="D16961" i="53"/>
  <c r="B16961" i="53"/>
  <c r="F16960" i="53"/>
  <c r="D16960" i="53"/>
  <c r="B16960" i="53"/>
  <c r="F16959" i="53"/>
  <c r="D16959" i="53"/>
  <c r="B16959" i="53"/>
  <c r="F16958" i="53"/>
  <c r="D16958" i="53"/>
  <c r="B16958" i="53"/>
  <c r="F16892" i="53"/>
  <c r="D16892" i="53"/>
  <c r="B16892" i="53"/>
  <c r="F16891" i="53"/>
  <c r="D16891" i="53"/>
  <c r="B16891" i="53"/>
  <c r="F16890" i="53"/>
  <c r="D16890" i="53"/>
  <c r="B16890" i="53"/>
  <c r="F16889" i="53"/>
  <c r="D16889" i="53"/>
  <c r="B16889" i="53"/>
  <c r="F16888" i="53"/>
  <c r="D16888" i="53"/>
  <c r="B16888" i="53"/>
  <c r="F13785" i="53"/>
  <c r="D13785" i="53"/>
  <c r="B13785" i="53"/>
  <c r="F13784" i="53"/>
  <c r="D13784" i="53"/>
  <c r="B13784" i="53"/>
  <c r="F13783" i="53"/>
  <c r="D13783" i="53"/>
  <c r="B13783" i="53"/>
  <c r="F13782" i="53"/>
  <c r="D13782" i="53"/>
  <c r="B13782" i="53"/>
  <c r="F13781" i="53"/>
  <c r="D13781" i="53"/>
  <c r="B13781" i="53"/>
  <c r="F13713" i="53"/>
  <c r="D13713" i="53"/>
  <c r="B13713" i="53"/>
  <c r="F13712" i="53"/>
  <c r="D13712" i="53"/>
  <c r="B13712" i="53"/>
  <c r="F13711" i="53"/>
  <c r="D13711" i="53"/>
  <c r="B13711" i="53"/>
  <c r="F13710" i="53"/>
  <c r="D13710" i="53"/>
  <c r="B13710" i="53"/>
  <c r="F13709" i="53"/>
  <c r="D13709" i="53"/>
  <c r="B13709" i="53"/>
  <c r="F16398" i="53"/>
  <c r="D16398" i="53"/>
  <c r="B16398" i="53"/>
  <c r="F16397" i="53"/>
  <c r="D16397" i="53"/>
  <c r="B16397" i="53"/>
  <c r="F16396" i="53"/>
  <c r="D16396" i="53"/>
  <c r="B16396" i="53"/>
  <c r="F16395" i="53"/>
  <c r="D16395" i="53"/>
  <c r="B16395" i="53"/>
  <c r="F16394" i="53"/>
  <c r="D16394" i="53"/>
  <c r="B16394" i="53"/>
  <c r="F16125" i="53"/>
  <c r="D16125" i="53"/>
  <c r="B16125" i="53"/>
  <c r="F16124" i="53"/>
  <c r="D16124" i="53"/>
  <c r="B16124" i="53"/>
  <c r="F16123" i="53"/>
  <c r="D16123" i="53"/>
  <c r="B16123" i="53"/>
  <c r="F16122" i="53"/>
  <c r="D16122" i="53"/>
  <c r="B16122" i="53"/>
  <c r="F16121" i="53"/>
  <c r="D16121" i="53"/>
  <c r="B16121" i="53"/>
  <c r="F16059" i="53"/>
  <c r="D16059" i="53"/>
  <c r="B16059" i="53"/>
  <c r="F16058" i="53"/>
  <c r="D16058" i="53"/>
  <c r="B16058" i="53"/>
  <c r="F16057" i="53"/>
  <c r="D16057" i="53"/>
  <c r="B16057" i="53"/>
  <c r="F16056" i="53"/>
  <c r="D16056" i="53"/>
  <c r="B16056" i="53"/>
  <c r="F16055" i="53"/>
  <c r="D16055" i="53"/>
  <c r="B16055" i="53"/>
  <c r="F15852" i="53"/>
  <c r="D15852" i="53"/>
  <c r="B15852" i="53"/>
  <c r="F15851" i="53"/>
  <c r="D15851" i="53"/>
  <c r="B15851" i="53"/>
  <c r="F15850" i="53"/>
  <c r="D15850" i="53"/>
  <c r="B15850" i="53"/>
  <c r="F15849" i="53"/>
  <c r="D15849" i="53"/>
  <c r="B15849" i="53"/>
  <c r="F15848" i="53"/>
  <c r="D15848" i="53"/>
  <c r="B15848" i="53"/>
  <c r="F15991" i="53"/>
  <c r="D15991" i="53"/>
  <c r="B15991" i="53"/>
  <c r="F15990" i="53"/>
  <c r="D15990" i="53"/>
  <c r="B15990" i="53"/>
  <c r="F15989" i="53"/>
  <c r="D15989" i="53"/>
  <c r="B15989" i="53"/>
  <c r="F15988" i="53"/>
  <c r="D15988" i="53"/>
  <c r="B15988" i="53"/>
  <c r="F15987" i="53"/>
  <c r="D15987" i="53"/>
  <c r="B15987" i="53"/>
  <c r="F15919" i="53"/>
  <c r="D15919" i="53"/>
  <c r="B15919" i="53"/>
  <c r="F15918" i="53"/>
  <c r="D15918" i="53"/>
  <c r="B15918" i="53"/>
  <c r="F15917" i="53"/>
  <c r="D15917" i="53"/>
  <c r="B15917" i="53"/>
  <c r="F15916" i="53"/>
  <c r="D15916" i="53"/>
  <c r="B15916" i="53"/>
  <c r="F15915" i="53"/>
  <c r="D15915" i="53"/>
  <c r="B15915" i="53"/>
  <c r="F15712" i="53"/>
  <c r="D15712" i="53"/>
  <c r="B15712" i="53"/>
  <c r="F15711" i="53"/>
  <c r="D15711" i="53"/>
  <c r="B15711" i="53"/>
  <c r="F15710" i="53"/>
  <c r="D15710" i="53"/>
  <c r="B15710" i="53"/>
  <c r="F15709" i="53"/>
  <c r="D15709" i="53"/>
  <c r="B15709" i="53"/>
  <c r="F15708" i="53"/>
  <c r="D15708" i="53"/>
  <c r="B15708" i="53"/>
  <c r="F15640" i="53"/>
  <c r="D15640" i="53"/>
  <c r="B15640" i="53"/>
  <c r="F15639" i="53"/>
  <c r="D15639" i="53"/>
  <c r="B15639" i="53"/>
  <c r="F15638" i="53"/>
  <c r="D15638" i="53"/>
  <c r="B15638" i="53"/>
  <c r="F15637" i="53"/>
  <c r="D15637" i="53"/>
  <c r="B15637" i="53"/>
  <c r="F15636" i="53"/>
  <c r="D15636" i="53"/>
  <c r="B15636" i="53"/>
  <c r="F15568" i="53"/>
  <c r="D15568" i="53"/>
  <c r="B15568" i="53"/>
  <c r="F15567" i="53"/>
  <c r="D15567" i="53"/>
  <c r="B15567" i="53"/>
  <c r="F15566" i="53"/>
  <c r="D15566" i="53"/>
  <c r="B15566" i="53"/>
  <c r="F15565" i="53"/>
  <c r="D15565" i="53"/>
  <c r="B15565" i="53"/>
  <c r="F15564" i="53"/>
  <c r="D15564" i="53"/>
  <c r="B15564" i="53"/>
  <c r="F9851" i="53"/>
  <c r="D9851" i="53"/>
  <c r="B9851" i="53"/>
  <c r="F9850" i="53"/>
  <c r="D9850" i="53"/>
  <c r="B9850" i="53"/>
  <c r="F9849" i="53"/>
  <c r="D9849" i="53"/>
  <c r="B9849" i="53"/>
  <c r="F9848" i="53"/>
  <c r="D9848" i="53"/>
  <c r="B9848" i="53"/>
  <c r="F9847" i="53"/>
  <c r="D9847" i="53"/>
  <c r="B9847" i="53"/>
  <c r="F9780" i="53"/>
  <c r="D9780" i="53"/>
  <c r="B9780" i="53"/>
  <c r="F9779" i="53"/>
  <c r="D9779" i="53"/>
  <c r="B9779" i="53"/>
  <c r="F9778" i="53"/>
  <c r="D9778" i="53"/>
  <c r="B9778" i="53"/>
  <c r="F9777" i="53"/>
  <c r="D9777" i="53"/>
  <c r="B9777" i="53"/>
  <c r="F9776" i="53"/>
  <c r="D9776" i="53"/>
  <c r="B9776" i="53"/>
  <c r="F14735" i="53"/>
  <c r="D14735" i="53"/>
  <c r="B14735" i="53"/>
  <c r="F14734" i="53"/>
  <c r="D14734" i="53"/>
  <c r="B14734" i="53"/>
  <c r="F14733" i="53"/>
  <c r="D14733" i="53"/>
  <c r="B14733" i="53"/>
  <c r="F14732" i="53"/>
  <c r="D14732" i="53"/>
  <c r="B14732" i="53"/>
  <c r="F14731" i="53"/>
  <c r="D14731" i="53"/>
  <c r="B14731" i="53"/>
  <c r="F14604" i="53"/>
  <c r="D14604" i="53"/>
  <c r="B14604" i="53"/>
  <c r="F14541" i="53"/>
  <c r="D14541" i="53"/>
  <c r="B14541" i="53"/>
  <c r="F13426" i="53"/>
  <c r="D13426" i="53"/>
  <c r="B13426" i="53"/>
  <c r="F13425" i="53"/>
  <c r="D13425" i="53"/>
  <c r="B13425" i="53"/>
  <c r="F13424" i="53"/>
  <c r="D13424" i="53"/>
  <c r="B13424" i="53"/>
  <c r="F13423" i="53"/>
  <c r="D13423" i="53"/>
  <c r="B13423" i="53"/>
  <c r="F13422" i="53"/>
  <c r="D13422" i="53"/>
  <c r="B13422" i="53"/>
  <c r="F12922" i="53"/>
  <c r="D12922" i="53"/>
  <c r="B12922" i="53"/>
  <c r="F12921" i="53"/>
  <c r="D12921" i="53"/>
  <c r="B12921" i="53"/>
  <c r="F12920" i="53"/>
  <c r="D12920" i="53"/>
  <c r="B12920" i="53"/>
  <c r="F12919" i="53"/>
  <c r="D12919" i="53"/>
  <c r="B12919" i="53"/>
  <c r="F12918" i="53"/>
  <c r="D12918" i="53"/>
  <c r="B12918" i="53"/>
  <c r="F12495" i="53"/>
  <c r="D12495" i="53"/>
  <c r="B12495" i="53"/>
  <c r="F12494" i="53"/>
  <c r="D12494" i="53"/>
  <c r="B12494" i="53"/>
  <c r="F12493" i="53"/>
  <c r="D12493" i="53"/>
  <c r="B12493" i="53"/>
  <c r="F12492" i="53"/>
  <c r="D12492" i="53"/>
  <c r="B12492" i="53"/>
  <c r="F15077" i="53"/>
  <c r="D15077" i="53"/>
  <c r="B15077" i="53"/>
  <c r="F15076" i="53"/>
  <c r="D15076" i="53"/>
  <c r="B15076" i="53"/>
  <c r="F15075" i="53"/>
  <c r="D15075" i="53"/>
  <c r="B15075" i="53"/>
  <c r="F15074" i="53"/>
  <c r="D15074" i="53"/>
  <c r="B15074" i="53"/>
  <c r="F15073" i="53"/>
  <c r="D15073" i="53"/>
  <c r="B15073" i="53"/>
  <c r="F15011" i="53"/>
  <c r="D15011" i="53"/>
  <c r="B15011" i="53"/>
  <c r="F15010" i="53"/>
  <c r="D15010" i="53"/>
  <c r="B15010" i="53"/>
  <c r="F15009" i="53"/>
  <c r="D15009" i="53"/>
  <c r="B15009" i="53"/>
  <c r="F11883" i="53"/>
  <c r="D11883" i="53"/>
  <c r="B11883" i="53"/>
  <c r="F11882" i="53"/>
  <c r="D11882" i="53"/>
  <c r="B11882" i="53"/>
  <c r="F11881" i="53"/>
  <c r="D11881" i="53"/>
  <c r="B11881" i="53"/>
  <c r="F11748" i="53"/>
  <c r="D11748" i="53"/>
  <c r="B11748" i="53"/>
  <c r="F11747" i="53"/>
  <c r="D11747" i="53"/>
  <c r="B11747" i="53"/>
  <c r="F11746" i="53"/>
  <c r="D11746" i="53"/>
  <c r="B11746" i="53"/>
  <c r="F11555" i="53"/>
  <c r="D11555" i="53"/>
  <c r="B11555" i="53"/>
  <c r="F11428" i="53"/>
  <c r="D11428" i="53"/>
  <c r="B11428" i="53"/>
  <c r="F11427" i="53"/>
  <c r="D11427" i="53"/>
  <c r="B11427" i="53"/>
  <c r="F11426" i="53"/>
  <c r="D11426" i="53"/>
  <c r="B11426" i="53"/>
  <c r="F11425" i="53"/>
  <c r="D11425" i="53"/>
  <c r="B11425" i="53"/>
  <c r="C277" i="55"/>
  <c r="F2356" i="53" s="1"/>
  <c r="G2356" i="53" s="1"/>
  <c r="G2357" i="53" s="1"/>
  <c r="G2405" i="53" s="1"/>
  <c r="K15" i="54"/>
  <c r="A17904" i="53"/>
  <c r="A17903" i="53"/>
  <c r="A17902" i="53"/>
  <c r="A18119" i="53"/>
  <c r="A18118" i="53"/>
  <c r="A18117" i="53"/>
  <c r="E276" i="55"/>
  <c r="C276" i="55" s="1"/>
  <c r="F18257" i="53" s="1"/>
  <c r="G18257" i="53" s="1"/>
  <c r="A18116" i="53"/>
  <c r="A18114" i="53"/>
  <c r="C275" i="55"/>
  <c r="F22100" i="53" s="1"/>
  <c r="G22100" i="53" s="1"/>
  <c r="C274" i="55"/>
  <c r="C273" i="55"/>
  <c r="B23794" i="53"/>
  <c r="E23838" i="53"/>
  <c r="D23838" i="53"/>
  <c r="B23838" i="53"/>
  <c r="E23837" i="53"/>
  <c r="D23837" i="53"/>
  <c r="B23837" i="53"/>
  <c r="E23836" i="53"/>
  <c r="D23836" i="53"/>
  <c r="B23836" i="53"/>
  <c r="E23835" i="53"/>
  <c r="D23835" i="53"/>
  <c r="B23835" i="53"/>
  <c r="E23834" i="53"/>
  <c r="D23834" i="53"/>
  <c r="B23834" i="53"/>
  <c r="E23833" i="53"/>
  <c r="D23833" i="53"/>
  <c r="B23833" i="53"/>
  <c r="E23832" i="53"/>
  <c r="D23832" i="53"/>
  <c r="B23832" i="53"/>
  <c r="E23831" i="53"/>
  <c r="D23831" i="53"/>
  <c r="B23831" i="53"/>
  <c r="E23830" i="53"/>
  <c r="D23830" i="53"/>
  <c r="B23830" i="53"/>
  <c r="E23829" i="53"/>
  <c r="D23829" i="53"/>
  <c r="B23829" i="53"/>
  <c r="E23828" i="53"/>
  <c r="D23828" i="53"/>
  <c r="B23828" i="53"/>
  <c r="E23827" i="53"/>
  <c r="D23827" i="53"/>
  <c r="B23827" i="53"/>
  <c r="E23826" i="53"/>
  <c r="D23826" i="53"/>
  <c r="B23826" i="53"/>
  <c r="F23821" i="53"/>
  <c r="G23821" i="53" s="1"/>
  <c r="B23821" i="53"/>
  <c r="F23820" i="53"/>
  <c r="G23820" i="53" s="1"/>
  <c r="B23820" i="53"/>
  <c r="F23819" i="53"/>
  <c r="G23819" i="53" s="1"/>
  <c r="B23819" i="53"/>
  <c r="F23818" i="53"/>
  <c r="G23818" i="53" s="1"/>
  <c r="B23818" i="53"/>
  <c r="F23817" i="53"/>
  <c r="G23817" i="53" s="1"/>
  <c r="B23817" i="53"/>
  <c r="F23816" i="53"/>
  <c r="G23816" i="53" s="1"/>
  <c r="B23816" i="53"/>
  <c r="D23811" i="53"/>
  <c r="B23811" i="53"/>
  <c r="D23810" i="53"/>
  <c r="B23810" i="53"/>
  <c r="D23809" i="53"/>
  <c r="B23809" i="53"/>
  <c r="D23808" i="53"/>
  <c r="B23808" i="53"/>
  <c r="D23807" i="53"/>
  <c r="B23807" i="53"/>
  <c r="D23806" i="53"/>
  <c r="B23806" i="53"/>
  <c r="F23801" i="53"/>
  <c r="G23801" i="53" s="1"/>
  <c r="D23801" i="53"/>
  <c r="B23801" i="53"/>
  <c r="F23800" i="53"/>
  <c r="G23800" i="53" s="1"/>
  <c r="D23800" i="53"/>
  <c r="B23800" i="53"/>
  <c r="F23799" i="53"/>
  <c r="G23799" i="53" s="1"/>
  <c r="D23799" i="53"/>
  <c r="B23799" i="53"/>
  <c r="F23798" i="53"/>
  <c r="G23798" i="53" s="1"/>
  <c r="D23798" i="53"/>
  <c r="B23798" i="53"/>
  <c r="F23797" i="53"/>
  <c r="G23797" i="53" s="1"/>
  <c r="F7588" i="53" l="1"/>
  <c r="G7588" i="53" s="1"/>
  <c r="G7594" i="53" s="1"/>
  <c r="G7642" i="53" s="1"/>
  <c r="F7659" i="53"/>
  <c r="G7659" i="53" s="1"/>
  <c r="G7664" i="53" s="1"/>
  <c r="G7712" i="53" s="1"/>
  <c r="F777" i="53"/>
  <c r="G777" i="53" s="1"/>
  <c r="F18188" i="53"/>
  <c r="G18188" i="53" s="1"/>
  <c r="F18328" i="53"/>
  <c r="G18328" i="53" s="1"/>
  <c r="G18330" i="53" s="1"/>
  <c r="G18378" i="53" s="1"/>
  <c r="F18115" i="53"/>
  <c r="G18115" i="53" s="1"/>
  <c r="F22102" i="53"/>
  <c r="G22102" i="53" s="1"/>
  <c r="F916" i="53"/>
  <c r="G916" i="53" s="1"/>
  <c r="G2634" i="53"/>
  <c r="G2682" i="53" s="1"/>
  <c r="F915" i="53"/>
  <c r="G915" i="53" s="1"/>
  <c r="G8887" i="53"/>
  <c r="F8952" i="53"/>
  <c r="G8952" i="53" s="1"/>
  <c r="G8956" i="53" s="1"/>
  <c r="G9007" i="53" s="1"/>
  <c r="F9024" i="53"/>
  <c r="G9024" i="53" s="1"/>
  <c r="G9028" i="53" s="1"/>
  <c r="G9079" i="53" s="1"/>
  <c r="G2700" i="53"/>
  <c r="G2748" i="53" s="1"/>
  <c r="F2562" i="53"/>
  <c r="G2562" i="53" s="1"/>
  <c r="F3682" i="53"/>
  <c r="G3682" i="53" s="1"/>
  <c r="G3688" i="53" s="1"/>
  <c r="G3736" i="53" s="1"/>
  <c r="F2490" i="53"/>
  <c r="G2490" i="53" s="1"/>
  <c r="G2409" i="53"/>
  <c r="G2413" i="53" s="1"/>
  <c r="J48" i="1"/>
  <c r="G2407" i="53"/>
  <c r="G2408" i="53"/>
  <c r="F845" i="53"/>
  <c r="G845" i="53" s="1"/>
  <c r="G848" i="53" s="1"/>
  <c r="F3894" i="53"/>
  <c r="G3894" i="53" s="1"/>
  <c r="F4588" i="53"/>
  <c r="G4588" i="53" s="1"/>
  <c r="F3111" i="53"/>
  <c r="G3111" i="53" s="1"/>
  <c r="F20664" i="53"/>
  <c r="G20664" i="53" s="1"/>
  <c r="G427" i="53"/>
  <c r="F20671" i="53"/>
  <c r="G20671" i="53" s="1"/>
  <c r="B20664" i="53"/>
  <c r="B20743" i="53"/>
  <c r="L15" i="54"/>
  <c r="F651" i="53" s="1"/>
  <c r="E651" i="53"/>
  <c r="F8816" i="53"/>
  <c r="G8816" i="53" s="1"/>
  <c r="G23802" i="53"/>
  <c r="G23822" i="53"/>
  <c r="G23848" i="53"/>
  <c r="B23797" i="53"/>
  <c r="D23797" i="53"/>
  <c r="G2568" i="53" l="1"/>
  <c r="G2616" i="53" s="1"/>
  <c r="G2496" i="53"/>
  <c r="G2544" i="53" s="1"/>
  <c r="J142" i="1"/>
  <c r="G7714" i="53"/>
  <c r="G7716" i="53"/>
  <c r="G7720" i="53" s="1"/>
  <c r="G7715" i="53"/>
  <c r="J141" i="1"/>
  <c r="G7645" i="53"/>
  <c r="G7644" i="53"/>
  <c r="G7646" i="53"/>
  <c r="G7650" i="53" s="1"/>
  <c r="J357" i="1"/>
  <c r="G18382" i="53"/>
  <c r="G18386" i="53" s="1"/>
  <c r="G18381" i="53"/>
  <c r="G18380" i="53"/>
  <c r="K48" i="1"/>
  <c r="L48" i="1"/>
  <c r="O48" i="1"/>
  <c r="M48" i="1"/>
  <c r="N48" i="1"/>
  <c r="G2684" i="53"/>
  <c r="G2686" i="53"/>
  <c r="G2690" i="53" s="1"/>
  <c r="G2685" i="53"/>
  <c r="J52" i="1"/>
  <c r="J73" i="1"/>
  <c r="J168" i="1"/>
  <c r="G9083" i="53"/>
  <c r="G9087" i="53" s="1"/>
  <c r="G9081" i="53"/>
  <c r="G9082" i="53"/>
  <c r="G9010" i="53"/>
  <c r="J167" i="1"/>
  <c r="G9009" i="53"/>
  <c r="G9011" i="53"/>
  <c r="G9015" i="53" s="1"/>
  <c r="J53" i="1"/>
  <c r="G2752" i="53"/>
  <c r="G2756" i="53" s="1"/>
  <c r="G2750" i="53"/>
  <c r="G2751" i="53"/>
  <c r="G3739" i="53"/>
  <c r="G2411" i="53"/>
  <c r="G2415" i="53" s="1"/>
  <c r="G2351" i="53" s="1"/>
  <c r="G3738" i="53"/>
  <c r="G3740" i="53"/>
  <c r="G3744" i="53" s="1"/>
  <c r="G651" i="53"/>
  <c r="G8820" i="53"/>
  <c r="G2546" i="53" l="1"/>
  <c r="G2547" i="53"/>
  <c r="J50" i="1"/>
  <c r="N50" i="1" s="1"/>
  <c r="G2548" i="53"/>
  <c r="G2552" i="53" s="1"/>
  <c r="G2619" i="53"/>
  <c r="J51" i="1"/>
  <c r="M51" i="1" s="1"/>
  <c r="G2620" i="53"/>
  <c r="G2624" i="53" s="1"/>
  <c r="G2618" i="53"/>
  <c r="K73" i="1"/>
  <c r="L73" i="1"/>
  <c r="O73" i="1"/>
  <c r="M73" i="1"/>
  <c r="N73" i="1"/>
  <c r="K141" i="1"/>
  <c r="L141" i="1"/>
  <c r="M141" i="1"/>
  <c r="N141" i="1"/>
  <c r="O141" i="1"/>
  <c r="N142" i="1"/>
  <c r="O142" i="1"/>
  <c r="K142" i="1"/>
  <c r="L142" i="1"/>
  <c r="M142" i="1"/>
  <c r="G7718" i="53"/>
  <c r="G7722" i="53" s="1"/>
  <c r="G7655" i="53" s="1"/>
  <c r="G7648" i="53"/>
  <c r="G7652" i="53" s="1"/>
  <c r="G7584" i="53" s="1"/>
  <c r="G18384" i="53"/>
  <c r="G18388" i="53" s="1"/>
  <c r="G18321" i="53" s="1"/>
  <c r="K357" i="1"/>
  <c r="L357" i="1"/>
  <c r="N357" i="1"/>
  <c r="M357" i="1"/>
  <c r="O357" i="1"/>
  <c r="L52" i="1"/>
  <c r="K52" i="1"/>
  <c r="K168" i="1"/>
  <c r="L168" i="1"/>
  <c r="K53" i="1"/>
  <c r="L53" i="1"/>
  <c r="K167" i="1"/>
  <c r="L167" i="1"/>
  <c r="O53" i="1"/>
  <c r="N53" i="1"/>
  <c r="M53" i="1"/>
  <c r="O168" i="1"/>
  <c r="N168" i="1"/>
  <c r="M168" i="1"/>
  <c r="O167" i="1"/>
  <c r="N167" i="1"/>
  <c r="M167" i="1"/>
  <c r="N52" i="1"/>
  <c r="M52" i="1"/>
  <c r="O52" i="1"/>
  <c r="G2688" i="53"/>
  <c r="G2692" i="53" s="1"/>
  <c r="G2629" i="53" s="1"/>
  <c r="G9013" i="53"/>
  <c r="G9017" i="53" s="1"/>
  <c r="G8948" i="53" s="1"/>
  <c r="G9085" i="53"/>
  <c r="G9089" i="53" s="1"/>
  <c r="G9020" i="53" s="1"/>
  <c r="G2754" i="53"/>
  <c r="G2758" i="53" s="1"/>
  <c r="G2695" i="53" s="1"/>
  <c r="G3742" i="53"/>
  <c r="G3746" i="53" s="1"/>
  <c r="G3677" i="53" s="1"/>
  <c r="C272" i="55"/>
  <c r="C268" i="55"/>
  <c r="C271" i="55"/>
  <c r="C270" i="55"/>
  <c r="B20661" i="53"/>
  <c r="C269" i="55"/>
  <c r="C267" i="55"/>
  <c r="G23214" i="53"/>
  <c r="K50" i="1" l="1"/>
  <c r="L50" i="1"/>
  <c r="G2622" i="53"/>
  <c r="G2626" i="53" s="1"/>
  <c r="G2557" i="53" s="1"/>
  <c r="M50" i="1"/>
  <c r="O50" i="1"/>
  <c r="N51" i="1"/>
  <c r="O51" i="1"/>
  <c r="G2550" i="53"/>
  <c r="G2554" i="53" s="1"/>
  <c r="G2485" i="53" s="1"/>
  <c r="L51" i="1"/>
  <c r="K51" i="1"/>
  <c r="F23599" i="53"/>
  <c r="G23599" i="53" s="1"/>
  <c r="F23591" i="53"/>
  <c r="G23591" i="53" s="1"/>
  <c r="F3043" i="53"/>
  <c r="G3043" i="53" s="1"/>
  <c r="F23661" i="53"/>
  <c r="G23661" i="53" s="1"/>
  <c r="G23664" i="53" s="1"/>
  <c r="G23712" i="53" s="1"/>
  <c r="C266" i="55"/>
  <c r="F23595" i="53" s="1"/>
  <c r="G23595" i="53" s="1"/>
  <c r="C265" i="55"/>
  <c r="F23596" i="53" s="1"/>
  <c r="G23596" i="53" s="1"/>
  <c r="C264" i="55"/>
  <c r="F21457" i="53" s="1"/>
  <c r="G21457" i="53" s="1"/>
  <c r="J447" i="1" l="1"/>
  <c r="G23716" i="53"/>
  <c r="G23720" i="53" s="1"/>
  <c r="G23715" i="53"/>
  <c r="G23714" i="53"/>
  <c r="A23725" i="53"/>
  <c r="A23794" i="53"/>
  <c r="A23863" i="53"/>
  <c r="A23930" i="53"/>
  <c r="A23164" i="53"/>
  <c r="C8" i="55"/>
  <c r="A22669" i="53"/>
  <c r="G23213" i="53"/>
  <c r="G23212" i="53"/>
  <c r="G23211" i="53"/>
  <c r="G23210" i="53"/>
  <c r="G23209" i="53"/>
  <c r="E23204" i="53"/>
  <c r="D23204" i="53"/>
  <c r="B23204" i="53"/>
  <c r="E23203" i="53"/>
  <c r="D23203" i="53"/>
  <c r="B23203" i="53"/>
  <c r="E23202" i="53"/>
  <c r="D23202" i="53"/>
  <c r="B23202" i="53"/>
  <c r="E23201" i="53"/>
  <c r="D23201" i="53"/>
  <c r="B23201" i="53"/>
  <c r="E23200" i="53"/>
  <c r="D23200" i="53"/>
  <c r="B23200" i="53"/>
  <c r="E23199" i="53"/>
  <c r="D23199" i="53"/>
  <c r="B23199" i="53"/>
  <c r="E23198" i="53"/>
  <c r="D23198" i="53"/>
  <c r="B23198" i="53"/>
  <c r="E23197" i="53"/>
  <c r="D23197" i="53"/>
  <c r="B23197" i="53"/>
  <c r="E23196" i="53"/>
  <c r="D23196" i="53"/>
  <c r="B23196" i="53"/>
  <c r="E23195" i="53"/>
  <c r="D23195" i="53"/>
  <c r="B23195" i="53"/>
  <c r="E23194" i="53"/>
  <c r="D23194" i="53"/>
  <c r="B23194" i="53"/>
  <c r="E23193" i="53"/>
  <c r="D23193" i="53"/>
  <c r="B23193" i="53"/>
  <c r="E23192" i="53"/>
  <c r="D23192" i="53"/>
  <c r="B23192" i="53"/>
  <c r="F23187" i="53"/>
  <c r="G23187" i="53" s="1"/>
  <c r="B23187" i="53"/>
  <c r="F23186" i="53"/>
  <c r="G23186" i="53" s="1"/>
  <c r="B23186" i="53"/>
  <c r="F23185" i="53"/>
  <c r="G23185" i="53" s="1"/>
  <c r="B23185" i="53"/>
  <c r="F23184" i="53"/>
  <c r="G23184" i="53" s="1"/>
  <c r="B23184" i="53"/>
  <c r="F23183" i="53"/>
  <c r="G23183" i="53" s="1"/>
  <c r="B23183" i="53"/>
  <c r="F23182" i="53"/>
  <c r="G23182" i="53" s="1"/>
  <c r="B23182" i="53"/>
  <c r="D23177" i="53"/>
  <c r="B23177" i="53"/>
  <c r="D23176" i="53"/>
  <c r="B23176" i="53"/>
  <c r="D23175" i="53"/>
  <c r="B23175" i="53"/>
  <c r="D23174" i="53"/>
  <c r="B23174" i="53"/>
  <c r="D23173" i="53"/>
  <c r="B23173" i="53"/>
  <c r="D23172" i="53"/>
  <c r="B23172" i="53"/>
  <c r="D23167" i="53"/>
  <c r="B23167" i="53"/>
  <c r="B23164" i="53"/>
  <c r="E22267" i="53"/>
  <c r="E22339" i="53"/>
  <c r="E22410" i="53"/>
  <c r="E22552" i="53"/>
  <c r="T8" i="54"/>
  <c r="E23122" i="53"/>
  <c r="F23122" i="53"/>
  <c r="C263" i="55"/>
  <c r="F22101" i="53" s="1"/>
  <c r="G22101" i="53" s="1"/>
  <c r="E23051" i="53"/>
  <c r="F23051" i="53"/>
  <c r="K447" i="1" l="1"/>
  <c r="L447" i="1"/>
  <c r="O447" i="1"/>
  <c r="N447" i="1"/>
  <c r="M447" i="1"/>
  <c r="G23718" i="53"/>
  <c r="G23722" i="53" s="1"/>
  <c r="G23658" i="53" s="1"/>
  <c r="B23051" i="53"/>
  <c r="B22766" i="53"/>
  <c r="G23122" i="53"/>
  <c r="G23215" i="53"/>
  <c r="G23188" i="53"/>
  <c r="B23122" i="53"/>
  <c r="B23097" i="53"/>
  <c r="D23097" i="53"/>
  <c r="G23051" i="53"/>
  <c r="C262" i="55"/>
  <c r="D23096" i="53"/>
  <c r="F20663" i="53" l="1"/>
  <c r="G20663" i="53" s="1"/>
  <c r="F23588" i="53"/>
  <c r="G23588" i="53" s="1"/>
  <c r="B23096" i="53"/>
  <c r="A22670" i="53" l="1"/>
  <c r="A9800" i="53"/>
  <c r="A9799" i="53"/>
  <c r="D9799" i="53" s="1"/>
  <c r="B9658" i="53"/>
  <c r="E60" i="55"/>
  <c r="C60" i="55" s="1"/>
  <c r="F10155" i="53" s="1"/>
  <c r="G10155" i="53" s="1"/>
  <c r="E59" i="55"/>
  <c r="C59" i="55" s="1"/>
  <c r="F10154" i="53" s="1"/>
  <c r="G10154" i="53" s="1"/>
  <c r="A9802" i="53"/>
  <c r="D9802" i="53" s="1"/>
  <c r="A9803" i="53"/>
  <c r="A9804" i="53"/>
  <c r="B9804" i="53" s="1"/>
  <c r="A9801" i="53"/>
  <c r="B9801" i="53" s="1"/>
  <c r="A9796" i="53"/>
  <c r="B9796" i="53"/>
  <c r="G9851" i="53"/>
  <c r="G9850" i="53"/>
  <c r="G9849" i="53"/>
  <c r="G9848" i="53"/>
  <c r="G9847" i="53"/>
  <c r="E9842" i="53"/>
  <c r="D9842" i="53"/>
  <c r="B9842" i="53"/>
  <c r="E9841" i="53"/>
  <c r="D9841" i="53"/>
  <c r="B9841" i="53"/>
  <c r="E9840" i="53"/>
  <c r="D9840" i="53"/>
  <c r="B9840" i="53"/>
  <c r="E9839" i="53"/>
  <c r="D9839" i="53"/>
  <c r="B9839" i="53"/>
  <c r="E9838" i="53"/>
  <c r="D9838" i="53"/>
  <c r="B9838" i="53"/>
  <c r="E9837" i="53"/>
  <c r="D9837" i="53"/>
  <c r="B9837" i="53"/>
  <c r="E9836" i="53"/>
  <c r="D9836" i="53"/>
  <c r="B9836" i="53"/>
  <c r="E9835" i="53"/>
  <c r="D9835" i="53"/>
  <c r="B9835" i="53"/>
  <c r="E9834" i="53"/>
  <c r="D9834" i="53"/>
  <c r="B9834" i="53"/>
  <c r="E9833" i="53"/>
  <c r="D9833" i="53"/>
  <c r="B9833" i="53"/>
  <c r="E9832" i="53"/>
  <c r="D9832" i="53"/>
  <c r="B9832" i="53"/>
  <c r="E9831" i="53"/>
  <c r="D9831" i="53"/>
  <c r="B9831" i="53"/>
  <c r="E9830" i="53"/>
  <c r="D9830" i="53"/>
  <c r="B9830" i="53"/>
  <c r="F9825" i="53"/>
  <c r="G9825" i="53" s="1"/>
  <c r="B9825" i="53"/>
  <c r="F9824" i="53"/>
  <c r="G9824" i="53" s="1"/>
  <c r="B9824" i="53"/>
  <c r="F9823" i="53"/>
  <c r="G9823" i="53" s="1"/>
  <c r="B9823" i="53"/>
  <c r="F9822" i="53"/>
  <c r="G9822" i="53" s="1"/>
  <c r="B9822" i="53"/>
  <c r="F9821" i="53"/>
  <c r="G9821" i="53" s="1"/>
  <c r="B9821" i="53"/>
  <c r="F9820" i="53"/>
  <c r="G9820" i="53" s="1"/>
  <c r="B9820" i="53"/>
  <c r="D9815" i="53"/>
  <c r="B9815" i="53"/>
  <c r="D9814" i="53"/>
  <c r="B9814" i="53"/>
  <c r="D9813" i="53"/>
  <c r="B9813" i="53"/>
  <c r="D9812" i="53"/>
  <c r="B9812" i="53"/>
  <c r="D9811" i="53"/>
  <c r="B9811" i="53"/>
  <c r="D9810" i="53"/>
  <c r="B9810" i="53"/>
  <c r="F9805" i="53"/>
  <c r="G9805" i="53" s="1"/>
  <c r="D9805" i="53"/>
  <c r="B9805" i="53"/>
  <c r="A20588" i="53"/>
  <c r="A21963" i="53"/>
  <c r="B21963" i="53" s="1"/>
  <c r="C261" i="55"/>
  <c r="A21962" i="53"/>
  <c r="D21962" i="53" s="1"/>
  <c r="A21249" i="53"/>
  <c r="A12447" i="53"/>
  <c r="A14964" i="53"/>
  <c r="F22552" i="53"/>
  <c r="B22552" i="53"/>
  <c r="C260" i="55"/>
  <c r="C259" i="55"/>
  <c r="F22034" i="53" s="1"/>
  <c r="G22034" i="53" s="1"/>
  <c r="E158" i="55"/>
  <c r="A22384" i="53"/>
  <c r="B22384" i="53" s="1"/>
  <c r="F22410" i="53"/>
  <c r="B22410" i="53"/>
  <c r="F22339" i="53"/>
  <c r="B22339" i="53"/>
  <c r="F22267" i="53"/>
  <c r="B22267" i="53"/>
  <c r="A21961" i="53"/>
  <c r="A20300" i="53"/>
  <c r="C258" i="55"/>
  <c r="A20374" i="53"/>
  <c r="C257" i="55"/>
  <c r="A20373" i="53"/>
  <c r="C256" i="55"/>
  <c r="C255" i="55"/>
  <c r="A20370" i="53"/>
  <c r="F23233" i="53" l="1"/>
  <c r="G23233" i="53" s="1"/>
  <c r="F22035" i="53"/>
  <c r="G22035" i="53" s="1"/>
  <c r="G22267" i="53"/>
  <c r="D21963" i="53"/>
  <c r="B9802" i="53"/>
  <c r="D9803" i="53"/>
  <c r="D9801" i="53"/>
  <c r="D9800" i="53"/>
  <c r="G9852" i="53"/>
  <c r="G9826" i="53"/>
  <c r="D9804" i="53"/>
  <c r="G22410" i="53"/>
  <c r="B9803" i="53"/>
  <c r="F21963" i="53"/>
  <c r="G21963" i="53" s="1"/>
  <c r="G22552" i="53"/>
  <c r="B21962" i="53"/>
  <c r="F21962" i="53"/>
  <c r="G21962" i="53" s="1"/>
  <c r="G22339" i="53"/>
  <c r="D22384" i="53"/>
  <c r="A20367" i="53" l="1"/>
  <c r="B426" i="1"/>
  <c r="B383" i="1"/>
  <c r="A19925" i="53" s="1"/>
  <c r="B19925" i="53"/>
  <c r="G19979" i="53"/>
  <c r="G19978" i="53"/>
  <c r="G19977" i="53"/>
  <c r="G19976" i="53"/>
  <c r="G19975" i="53"/>
  <c r="E19970" i="53"/>
  <c r="D19970" i="53"/>
  <c r="B19970" i="53"/>
  <c r="E19969" i="53"/>
  <c r="D19969" i="53"/>
  <c r="B19969" i="53"/>
  <c r="E19968" i="53"/>
  <c r="D19968" i="53"/>
  <c r="B19968" i="53"/>
  <c r="E19967" i="53"/>
  <c r="D19967" i="53"/>
  <c r="B19967" i="53"/>
  <c r="E19966" i="53"/>
  <c r="D19966" i="53"/>
  <c r="B19966" i="53"/>
  <c r="E19965" i="53"/>
  <c r="D19965" i="53"/>
  <c r="B19965" i="53"/>
  <c r="E19964" i="53"/>
  <c r="D19964" i="53"/>
  <c r="B19964" i="53"/>
  <c r="E19963" i="53"/>
  <c r="D19963" i="53"/>
  <c r="B19963" i="53"/>
  <c r="E19962" i="53"/>
  <c r="D19962" i="53"/>
  <c r="B19962" i="53"/>
  <c r="E19961" i="53"/>
  <c r="D19961" i="53"/>
  <c r="B19961" i="53"/>
  <c r="E19960" i="53"/>
  <c r="D19960" i="53"/>
  <c r="B19960" i="53"/>
  <c r="E19959" i="53"/>
  <c r="D19959" i="53"/>
  <c r="B19959" i="53"/>
  <c r="E19958" i="53"/>
  <c r="D19958" i="53"/>
  <c r="B19958" i="53"/>
  <c r="F19953" i="53"/>
  <c r="G19953" i="53" s="1"/>
  <c r="B19953" i="53"/>
  <c r="F19952" i="53"/>
  <c r="G19952" i="53" s="1"/>
  <c r="B19952" i="53"/>
  <c r="F19951" i="53"/>
  <c r="G19951" i="53" s="1"/>
  <c r="B19951" i="53"/>
  <c r="F19950" i="53"/>
  <c r="G19950" i="53" s="1"/>
  <c r="B19950" i="53"/>
  <c r="F19949" i="53"/>
  <c r="G19949" i="53" s="1"/>
  <c r="B19949" i="53"/>
  <c r="F19948" i="53"/>
  <c r="G19948" i="53" s="1"/>
  <c r="B19948" i="53"/>
  <c r="D19943" i="53"/>
  <c r="B19943" i="53"/>
  <c r="D19942" i="53"/>
  <c r="B19942" i="53"/>
  <c r="D19941" i="53"/>
  <c r="B19941" i="53"/>
  <c r="D19940" i="53"/>
  <c r="B19940" i="53"/>
  <c r="D19939" i="53"/>
  <c r="B19939" i="53"/>
  <c r="D19938" i="53"/>
  <c r="B19938" i="53"/>
  <c r="A20297" i="53"/>
  <c r="E147" i="55"/>
  <c r="E20378" i="53"/>
  <c r="E20377" i="53"/>
  <c r="A20378" i="53"/>
  <c r="A20377" i="53"/>
  <c r="B20377" i="53" s="1"/>
  <c r="E20305" i="53"/>
  <c r="E20304" i="53"/>
  <c r="A20305" i="53"/>
  <c r="A20304" i="53"/>
  <c r="D20304" i="53" s="1"/>
  <c r="E18971" i="53"/>
  <c r="E18970" i="53"/>
  <c r="A18971" i="53"/>
  <c r="A18827" i="53"/>
  <c r="C254" i="55"/>
  <c r="F19933" i="53" s="1"/>
  <c r="G19933" i="53" s="1"/>
  <c r="A18826" i="53"/>
  <c r="B18826" i="53" s="1"/>
  <c r="C253" i="55"/>
  <c r="F13452" i="53" s="1"/>
  <c r="G13452" i="53" s="1"/>
  <c r="A18825" i="53"/>
  <c r="B18825" i="53" s="1"/>
  <c r="A18824" i="53"/>
  <c r="B18824" i="53" s="1"/>
  <c r="C252" i="55"/>
  <c r="E18826" i="53"/>
  <c r="E18825" i="53"/>
  <c r="C251" i="55"/>
  <c r="B18187" i="53"/>
  <c r="A20375" i="53"/>
  <c r="A20371" i="53"/>
  <c r="C250" i="55"/>
  <c r="C249" i="55"/>
  <c r="C248" i="55"/>
  <c r="F21458" i="53" s="1"/>
  <c r="G21458" i="53" s="1"/>
  <c r="C247" i="55"/>
  <c r="F21456" i="53" s="1"/>
  <c r="G21456" i="53" s="1"/>
  <c r="E246" i="55"/>
  <c r="C246" i="55" s="1"/>
  <c r="F21455" i="53" s="1"/>
  <c r="G21455" i="53" s="1"/>
  <c r="A20303" i="53"/>
  <c r="A20299" i="53"/>
  <c r="A20302" i="53"/>
  <c r="A20298" i="53"/>
  <c r="D20595" i="53"/>
  <c r="A20594" i="53"/>
  <c r="D20594" i="53" s="1"/>
  <c r="A20593" i="53"/>
  <c r="B20593" i="53" s="1"/>
  <c r="B20588" i="53"/>
  <c r="D20589" i="53"/>
  <c r="A20591" i="53"/>
  <c r="D20590" i="53"/>
  <c r="B20583" i="53"/>
  <c r="G20642" i="53"/>
  <c r="G20641" i="53"/>
  <c r="G20640" i="53"/>
  <c r="G20639" i="53"/>
  <c r="E20634" i="53"/>
  <c r="D20634" i="53"/>
  <c r="B20634" i="53"/>
  <c r="E20633" i="53"/>
  <c r="D20633" i="53"/>
  <c r="B20633" i="53"/>
  <c r="E20632" i="53"/>
  <c r="D20632" i="53"/>
  <c r="B20632" i="53"/>
  <c r="E20631" i="53"/>
  <c r="D20631" i="53"/>
  <c r="B20631" i="53"/>
  <c r="E20630" i="53"/>
  <c r="D20630" i="53"/>
  <c r="B20630" i="53"/>
  <c r="E20629" i="53"/>
  <c r="D20629" i="53"/>
  <c r="B20629" i="53"/>
  <c r="E20628" i="53"/>
  <c r="D20628" i="53"/>
  <c r="B20628" i="53"/>
  <c r="E20627" i="53"/>
  <c r="D20627" i="53"/>
  <c r="B20627" i="53"/>
  <c r="E20626" i="53"/>
  <c r="D20626" i="53"/>
  <c r="B20626" i="53"/>
  <c r="E20625" i="53"/>
  <c r="D20625" i="53"/>
  <c r="B20625" i="53"/>
  <c r="E20624" i="53"/>
  <c r="D20624" i="53"/>
  <c r="B20624" i="53"/>
  <c r="E20623" i="53"/>
  <c r="D20623" i="53"/>
  <c r="B20623" i="53"/>
  <c r="E20622" i="53"/>
  <c r="D20622" i="53"/>
  <c r="B20622" i="53"/>
  <c r="F20617" i="53"/>
  <c r="G20617" i="53" s="1"/>
  <c r="B20617" i="53"/>
  <c r="F20616" i="53"/>
  <c r="G20616" i="53" s="1"/>
  <c r="B20616" i="53"/>
  <c r="F20615" i="53"/>
  <c r="G20615" i="53" s="1"/>
  <c r="B20615" i="53"/>
  <c r="F20614" i="53"/>
  <c r="G20614" i="53" s="1"/>
  <c r="B20614" i="53"/>
  <c r="F20613" i="53"/>
  <c r="G20613" i="53" s="1"/>
  <c r="B20613" i="53"/>
  <c r="F20612" i="53"/>
  <c r="G20612" i="53" s="1"/>
  <c r="B20612" i="53"/>
  <c r="D20607" i="53"/>
  <c r="B20607" i="53"/>
  <c r="D20606" i="53"/>
  <c r="B20606" i="53"/>
  <c r="D20605" i="53"/>
  <c r="B20605" i="53"/>
  <c r="D20604" i="53"/>
  <c r="B20604" i="53"/>
  <c r="D20603" i="53"/>
  <c r="B20603" i="53"/>
  <c r="D20602" i="53"/>
  <c r="B20602" i="53"/>
  <c r="B19478" i="53"/>
  <c r="A19559" i="53"/>
  <c r="D19559" i="53" s="1"/>
  <c r="A19558" i="53"/>
  <c r="A19557" i="53"/>
  <c r="A19556" i="53"/>
  <c r="A19555" i="53"/>
  <c r="D19555" i="53" s="1"/>
  <c r="B19554" i="53"/>
  <c r="E19526" i="53"/>
  <c r="E19525" i="53"/>
  <c r="E19524" i="53"/>
  <c r="E19523" i="53"/>
  <c r="E19522" i="53"/>
  <c r="E19521" i="53"/>
  <c r="E19520" i="53"/>
  <c r="E19519" i="53"/>
  <c r="E19518" i="53"/>
  <c r="E19517" i="53"/>
  <c r="E19516" i="53"/>
  <c r="E19515" i="53"/>
  <c r="E19514" i="53"/>
  <c r="A19486" i="53"/>
  <c r="A19485" i="53"/>
  <c r="B19485" i="53" s="1"/>
  <c r="A19484" i="53"/>
  <c r="A19483" i="53"/>
  <c r="A19482" i="53"/>
  <c r="D19482" i="53" s="1"/>
  <c r="B19481" i="53"/>
  <c r="B19420" i="53"/>
  <c r="D19420" i="53"/>
  <c r="B19421" i="53"/>
  <c r="D19421" i="53"/>
  <c r="B19422" i="53"/>
  <c r="D19422" i="53"/>
  <c r="B19423" i="53"/>
  <c r="D19423" i="53"/>
  <c r="B19424" i="53"/>
  <c r="D19424" i="53"/>
  <c r="B19425" i="53"/>
  <c r="D19425" i="53"/>
  <c r="B19426" i="53"/>
  <c r="D19426" i="53"/>
  <c r="A19412" i="53"/>
  <c r="A19410" i="53"/>
  <c r="A19413" i="53"/>
  <c r="D19409" i="53"/>
  <c r="A20583" i="53"/>
  <c r="A19478" i="53"/>
  <c r="A19624" i="53"/>
  <c r="A19188" i="53"/>
  <c r="A19411" i="53"/>
  <c r="A19342" i="53"/>
  <c r="C244" i="55"/>
  <c r="E245" i="55"/>
  <c r="C245" i="55" s="1"/>
  <c r="A19341" i="53"/>
  <c r="D19353" i="53"/>
  <c r="B19353" i="53"/>
  <c r="D19352" i="53"/>
  <c r="B19352" i="53"/>
  <c r="D19351" i="53"/>
  <c r="B19351" i="53"/>
  <c r="D19350" i="53"/>
  <c r="B19350" i="53"/>
  <c r="D19349" i="53"/>
  <c r="B19349" i="53"/>
  <c r="D19348" i="53"/>
  <c r="B19348" i="53"/>
  <c r="D19347" i="53"/>
  <c r="B19347" i="53"/>
  <c r="A19340" i="53"/>
  <c r="B19340" i="53" s="1"/>
  <c r="A19339" i="53"/>
  <c r="A19338" i="53"/>
  <c r="A19337" i="53"/>
  <c r="A19336" i="53"/>
  <c r="A19335" i="53"/>
  <c r="D19335" i="53" s="1"/>
  <c r="E243" i="55"/>
  <c r="C243" i="55" s="1"/>
  <c r="F19264" i="53" s="1"/>
  <c r="G19264" i="53" s="1"/>
  <c r="C242" i="55"/>
  <c r="E241" i="55"/>
  <c r="C241" i="55" s="1"/>
  <c r="B19262" i="53"/>
  <c r="C240" i="55"/>
  <c r="B19258" i="53"/>
  <c r="A19334" i="53"/>
  <c r="A19333" i="53"/>
  <c r="C239" i="55"/>
  <c r="F19258" i="53" s="1"/>
  <c r="G19258" i="53" s="1"/>
  <c r="G19608" i="53"/>
  <c r="G19607" i="53"/>
  <c r="G19606" i="53"/>
  <c r="G19605" i="53"/>
  <c r="G19604" i="53"/>
  <c r="E19599" i="53"/>
  <c r="D19599" i="53"/>
  <c r="B19599" i="53"/>
  <c r="E19598" i="53"/>
  <c r="D19598" i="53"/>
  <c r="B19598" i="53"/>
  <c r="E19597" i="53"/>
  <c r="D19597" i="53"/>
  <c r="B19597" i="53"/>
  <c r="E19596" i="53"/>
  <c r="D19596" i="53"/>
  <c r="B19596" i="53"/>
  <c r="E19595" i="53"/>
  <c r="D19595" i="53"/>
  <c r="B19595" i="53"/>
  <c r="E19594" i="53"/>
  <c r="D19594" i="53"/>
  <c r="B19594" i="53"/>
  <c r="E19593" i="53"/>
  <c r="D19593" i="53"/>
  <c r="B19593" i="53"/>
  <c r="E19592" i="53"/>
  <c r="D19592" i="53"/>
  <c r="B19592" i="53"/>
  <c r="E19591" i="53"/>
  <c r="D19591" i="53"/>
  <c r="B19591" i="53"/>
  <c r="E19590" i="53"/>
  <c r="D19590" i="53"/>
  <c r="B19590" i="53"/>
  <c r="E19589" i="53"/>
  <c r="D19589" i="53"/>
  <c r="B19589" i="53"/>
  <c r="E19588" i="53"/>
  <c r="D19588" i="53"/>
  <c r="B19588" i="53"/>
  <c r="E19587" i="53"/>
  <c r="D19587" i="53"/>
  <c r="B19587" i="53"/>
  <c r="F19582" i="53"/>
  <c r="G19582" i="53" s="1"/>
  <c r="B19582" i="53"/>
  <c r="F19581" i="53"/>
  <c r="G19581" i="53" s="1"/>
  <c r="B19581" i="53"/>
  <c r="F19580" i="53"/>
  <c r="G19580" i="53" s="1"/>
  <c r="B19580" i="53"/>
  <c r="F19579" i="53"/>
  <c r="G19579" i="53" s="1"/>
  <c r="B19579" i="53"/>
  <c r="F19578" i="53"/>
  <c r="G19578" i="53" s="1"/>
  <c r="B19578" i="53"/>
  <c r="F19577" i="53"/>
  <c r="G19577" i="53" s="1"/>
  <c r="B19577" i="53"/>
  <c r="D19572" i="53"/>
  <c r="B19572" i="53"/>
  <c r="D19571" i="53"/>
  <c r="B19571" i="53"/>
  <c r="D19570" i="53"/>
  <c r="B19570" i="53"/>
  <c r="D19569" i="53"/>
  <c r="B19569" i="53"/>
  <c r="D19568" i="53"/>
  <c r="B19568" i="53"/>
  <c r="D19567" i="53"/>
  <c r="B19567" i="53"/>
  <c r="D19566" i="53"/>
  <c r="B19566" i="53"/>
  <c r="F19561" i="53"/>
  <c r="G19561" i="53" s="1"/>
  <c r="D19561" i="53"/>
  <c r="B19561" i="53"/>
  <c r="F19560" i="53"/>
  <c r="G19560" i="53" s="1"/>
  <c r="D19560" i="53"/>
  <c r="B19560" i="53"/>
  <c r="G19535" i="53"/>
  <c r="G19534" i="53"/>
  <c r="G19533" i="53"/>
  <c r="G19532" i="53"/>
  <c r="G19531" i="53"/>
  <c r="D19526" i="53"/>
  <c r="B19526" i="53"/>
  <c r="D19525" i="53"/>
  <c r="B19525" i="53"/>
  <c r="D19524" i="53"/>
  <c r="B19524" i="53"/>
  <c r="D19523" i="53"/>
  <c r="B19523" i="53"/>
  <c r="D19522" i="53"/>
  <c r="B19522" i="53"/>
  <c r="D19521" i="53"/>
  <c r="B19521" i="53"/>
  <c r="D19520" i="53"/>
  <c r="B19520" i="53"/>
  <c r="D19519" i="53"/>
  <c r="B19519" i="53"/>
  <c r="D19518" i="53"/>
  <c r="B19518" i="53"/>
  <c r="D19517" i="53"/>
  <c r="B19517" i="53"/>
  <c r="D19516" i="53"/>
  <c r="B19516" i="53"/>
  <c r="D19515" i="53"/>
  <c r="B19515" i="53"/>
  <c r="D19514" i="53"/>
  <c r="B19514" i="53"/>
  <c r="F19509" i="53"/>
  <c r="G19509" i="53" s="1"/>
  <c r="B19509" i="53"/>
  <c r="F19508" i="53"/>
  <c r="G19508" i="53" s="1"/>
  <c r="B19508" i="53"/>
  <c r="F19507" i="53"/>
  <c r="G19507" i="53" s="1"/>
  <c r="B19507" i="53"/>
  <c r="F19506" i="53"/>
  <c r="G19506" i="53" s="1"/>
  <c r="B19506" i="53"/>
  <c r="F19505" i="53"/>
  <c r="G19505" i="53" s="1"/>
  <c r="B19505" i="53"/>
  <c r="F19504" i="53"/>
  <c r="G19504" i="53" s="1"/>
  <c r="B19504" i="53"/>
  <c r="D19499" i="53"/>
  <c r="B19499" i="53"/>
  <c r="D19498" i="53"/>
  <c r="B19498" i="53"/>
  <c r="D19497" i="53"/>
  <c r="B19497" i="53"/>
  <c r="D19496" i="53"/>
  <c r="B19496" i="53"/>
  <c r="D19495" i="53"/>
  <c r="B19495" i="53"/>
  <c r="D19494" i="53"/>
  <c r="B19494" i="53"/>
  <c r="D19493" i="53"/>
  <c r="B19493" i="53"/>
  <c r="F19488" i="53"/>
  <c r="G19488" i="53" s="1"/>
  <c r="D19488" i="53"/>
  <c r="B19488" i="53"/>
  <c r="F19487" i="53"/>
  <c r="G19487" i="53" s="1"/>
  <c r="D19487" i="53"/>
  <c r="B19487" i="53"/>
  <c r="G19462" i="53"/>
  <c r="G19461" i="53"/>
  <c r="G19460" i="53"/>
  <c r="G19459" i="53"/>
  <c r="G19458" i="53"/>
  <c r="E19453" i="53"/>
  <c r="D19453" i="53"/>
  <c r="B19453" i="53"/>
  <c r="E19452" i="53"/>
  <c r="D19452" i="53"/>
  <c r="B19452" i="53"/>
  <c r="E19451" i="53"/>
  <c r="D19451" i="53"/>
  <c r="B19451" i="53"/>
  <c r="E19450" i="53"/>
  <c r="D19450" i="53"/>
  <c r="B19450" i="53"/>
  <c r="E19449" i="53"/>
  <c r="D19449" i="53"/>
  <c r="B19449" i="53"/>
  <c r="E19448" i="53"/>
  <c r="D19448" i="53"/>
  <c r="B19448" i="53"/>
  <c r="E19447" i="53"/>
  <c r="D19447" i="53"/>
  <c r="B19447" i="53"/>
  <c r="E19446" i="53"/>
  <c r="D19446" i="53"/>
  <c r="B19446" i="53"/>
  <c r="E19445" i="53"/>
  <c r="D19445" i="53"/>
  <c r="B19445" i="53"/>
  <c r="E19444" i="53"/>
  <c r="D19444" i="53"/>
  <c r="B19444" i="53"/>
  <c r="E19443" i="53"/>
  <c r="D19443" i="53"/>
  <c r="B19443" i="53"/>
  <c r="E19442" i="53"/>
  <c r="D19442" i="53"/>
  <c r="B19442" i="53"/>
  <c r="E19441" i="53"/>
  <c r="D19441" i="53"/>
  <c r="B19441" i="53"/>
  <c r="F19436" i="53"/>
  <c r="G19436" i="53" s="1"/>
  <c r="B19436" i="53"/>
  <c r="F19435" i="53"/>
  <c r="G19435" i="53" s="1"/>
  <c r="B19435" i="53"/>
  <c r="F19434" i="53"/>
  <c r="G19434" i="53" s="1"/>
  <c r="B19434" i="53"/>
  <c r="F19433" i="53"/>
  <c r="G19433" i="53" s="1"/>
  <c r="B19433" i="53"/>
  <c r="F19432" i="53"/>
  <c r="G19432" i="53" s="1"/>
  <c r="B19432" i="53"/>
  <c r="F19431" i="53"/>
  <c r="G19431" i="53" s="1"/>
  <c r="B19431" i="53"/>
  <c r="A18821" i="53"/>
  <c r="E238" i="55"/>
  <c r="C238" i="55" s="1"/>
  <c r="A18819" i="53"/>
  <c r="A18613" i="53"/>
  <c r="C237" i="55"/>
  <c r="A18612" i="53"/>
  <c r="D18612" i="53" s="1"/>
  <c r="E236" i="55"/>
  <c r="C236" i="55" s="1"/>
  <c r="E235" i="55"/>
  <c r="C235" i="55" s="1"/>
  <c r="A18611" i="53"/>
  <c r="D18611" i="53" s="1"/>
  <c r="A18610" i="53"/>
  <c r="D18610" i="53" s="1"/>
  <c r="A18609" i="53"/>
  <c r="A18822" i="53"/>
  <c r="A19330" i="53"/>
  <c r="A19634" i="53"/>
  <c r="C234" i="55"/>
  <c r="C233" i="55"/>
  <c r="F18538" i="53" s="1"/>
  <c r="G18538" i="53" s="1"/>
  <c r="C232" i="55"/>
  <c r="C231" i="55"/>
  <c r="F20232" i="53" s="1"/>
  <c r="G20232" i="53" s="1"/>
  <c r="A19637" i="53"/>
  <c r="D19637" i="53" s="1"/>
  <c r="A19636" i="53"/>
  <c r="B19636" i="53" s="1"/>
  <c r="A19635" i="53"/>
  <c r="A19633" i="53"/>
  <c r="D19632" i="53"/>
  <c r="A19631" i="53"/>
  <c r="A19630" i="53"/>
  <c r="D19630" i="53" s="1"/>
  <c r="A19629" i="53"/>
  <c r="D19629" i="53" s="1"/>
  <c r="A19628" i="53"/>
  <c r="D19628" i="53" s="1"/>
  <c r="A19627" i="53"/>
  <c r="C230" i="55"/>
  <c r="B19624" i="53"/>
  <c r="G19683" i="53"/>
  <c r="G19682" i="53"/>
  <c r="G19681" i="53"/>
  <c r="G19680" i="53"/>
  <c r="G19679" i="53"/>
  <c r="E19674" i="53"/>
  <c r="D19674" i="53"/>
  <c r="B19674" i="53"/>
  <c r="E19673" i="53"/>
  <c r="D19673" i="53"/>
  <c r="B19673" i="53"/>
  <c r="E19672" i="53"/>
  <c r="D19672" i="53"/>
  <c r="B19672" i="53"/>
  <c r="E19671" i="53"/>
  <c r="D19671" i="53"/>
  <c r="B19671" i="53"/>
  <c r="E19670" i="53"/>
  <c r="D19670" i="53"/>
  <c r="B19670" i="53"/>
  <c r="E19669" i="53"/>
  <c r="D19669" i="53"/>
  <c r="B19669" i="53"/>
  <c r="E19668" i="53"/>
  <c r="D19668" i="53"/>
  <c r="B19668" i="53"/>
  <c r="E19667" i="53"/>
  <c r="D19667" i="53"/>
  <c r="B19667" i="53"/>
  <c r="E19666" i="53"/>
  <c r="D19666" i="53"/>
  <c r="B19666" i="53"/>
  <c r="E19665" i="53"/>
  <c r="D19665" i="53"/>
  <c r="B19665" i="53"/>
  <c r="E19664" i="53"/>
  <c r="D19664" i="53"/>
  <c r="B19664" i="53"/>
  <c r="E19663" i="53"/>
  <c r="D19663" i="53"/>
  <c r="B19663" i="53"/>
  <c r="E19662" i="53"/>
  <c r="D19662" i="53"/>
  <c r="B19662" i="53"/>
  <c r="F19657" i="53"/>
  <c r="G19657" i="53" s="1"/>
  <c r="B19657" i="53"/>
  <c r="F19656" i="53"/>
  <c r="G19656" i="53" s="1"/>
  <c r="B19656" i="53"/>
  <c r="F19655" i="53"/>
  <c r="G19655" i="53" s="1"/>
  <c r="B19655" i="53"/>
  <c r="F19654" i="53"/>
  <c r="G19654" i="53" s="1"/>
  <c r="B19654" i="53"/>
  <c r="F19653" i="53"/>
  <c r="G19653" i="53" s="1"/>
  <c r="B19653" i="53"/>
  <c r="F19652" i="53"/>
  <c r="G19652" i="53" s="1"/>
  <c r="B19652" i="53"/>
  <c r="D19647" i="53"/>
  <c r="B19647" i="53"/>
  <c r="D19646" i="53"/>
  <c r="B19646" i="53"/>
  <c r="D19645" i="53"/>
  <c r="B19645" i="53"/>
  <c r="D19644" i="53"/>
  <c r="B19644" i="53"/>
  <c r="D19643" i="53"/>
  <c r="B19643" i="53"/>
  <c r="D19642" i="53"/>
  <c r="B19642" i="53"/>
  <c r="A19189" i="53"/>
  <c r="A19190" i="53"/>
  <c r="E229" i="55"/>
  <c r="C229" i="55" s="1"/>
  <c r="A19191" i="53"/>
  <c r="C228" i="55"/>
  <c r="A19187" i="53"/>
  <c r="E227" i="55"/>
  <c r="C227" i="55" s="1"/>
  <c r="B21819" i="53"/>
  <c r="A19186" i="53"/>
  <c r="C226" i="55"/>
  <c r="A19185" i="53"/>
  <c r="B21816" i="53"/>
  <c r="C225" i="55"/>
  <c r="F21816" i="53" s="1"/>
  <c r="G21816" i="53" s="1"/>
  <c r="B21814" i="53"/>
  <c r="B21817" i="53"/>
  <c r="A19184" i="53"/>
  <c r="C224" i="55"/>
  <c r="A19183" i="53"/>
  <c r="B21818" i="53"/>
  <c r="C223" i="55"/>
  <c r="F21818" i="53" s="1"/>
  <c r="G21818" i="53" s="1"/>
  <c r="A19182" i="53"/>
  <c r="B19330" i="53"/>
  <c r="G19389" i="53"/>
  <c r="G19388" i="53"/>
  <c r="G19387" i="53"/>
  <c r="G19386" i="53"/>
  <c r="G19385" i="53"/>
  <c r="E19380" i="53"/>
  <c r="D19380" i="53"/>
  <c r="B19380" i="53"/>
  <c r="E19379" i="53"/>
  <c r="D19379" i="53"/>
  <c r="B19379" i="53"/>
  <c r="E19378" i="53"/>
  <c r="D19378" i="53"/>
  <c r="B19378" i="53"/>
  <c r="E19377" i="53"/>
  <c r="D19377" i="53"/>
  <c r="B19377" i="53"/>
  <c r="E19376" i="53"/>
  <c r="D19376" i="53"/>
  <c r="B19376" i="53"/>
  <c r="E19375" i="53"/>
  <c r="D19375" i="53"/>
  <c r="B19375" i="53"/>
  <c r="E19374" i="53"/>
  <c r="D19374" i="53"/>
  <c r="B19374" i="53"/>
  <c r="E19373" i="53"/>
  <c r="D19373" i="53"/>
  <c r="B19373" i="53"/>
  <c r="E19372" i="53"/>
  <c r="D19372" i="53"/>
  <c r="B19372" i="53"/>
  <c r="E19371" i="53"/>
  <c r="D19371" i="53"/>
  <c r="B19371" i="53"/>
  <c r="E19370" i="53"/>
  <c r="D19370" i="53"/>
  <c r="B19370" i="53"/>
  <c r="E19369" i="53"/>
  <c r="D19369" i="53"/>
  <c r="B19369" i="53"/>
  <c r="E19368" i="53"/>
  <c r="D19368" i="53"/>
  <c r="B19368" i="53"/>
  <c r="F19363" i="53"/>
  <c r="G19363" i="53" s="1"/>
  <c r="B19363" i="53"/>
  <c r="F19362" i="53"/>
  <c r="G19362" i="53" s="1"/>
  <c r="B19362" i="53"/>
  <c r="F19361" i="53"/>
  <c r="G19361" i="53" s="1"/>
  <c r="B19361" i="53"/>
  <c r="F19360" i="53"/>
  <c r="G19360" i="53" s="1"/>
  <c r="B19360" i="53"/>
  <c r="F19359" i="53"/>
  <c r="G19359" i="53" s="1"/>
  <c r="B19359" i="53"/>
  <c r="F19358" i="53"/>
  <c r="G19358" i="53" s="1"/>
  <c r="B19358" i="53"/>
  <c r="C222" i="55"/>
  <c r="E221" i="55"/>
  <c r="C221" i="55" s="1"/>
  <c r="F21814" i="53" s="1"/>
  <c r="G21814" i="53" s="1"/>
  <c r="E220" i="55"/>
  <c r="C220" i="55" s="1"/>
  <c r="A18966" i="53"/>
  <c r="E219" i="55"/>
  <c r="C219" i="55" s="1"/>
  <c r="E145" i="55"/>
  <c r="C145" i="55" s="1"/>
  <c r="A18964" i="53"/>
  <c r="F21528" i="53" l="1"/>
  <c r="G21528" i="53" s="1"/>
  <c r="F21460" i="53"/>
  <c r="G21460" i="53" s="1"/>
  <c r="F21462" i="53"/>
  <c r="G21462" i="53" s="1"/>
  <c r="F15309" i="53"/>
  <c r="G15309" i="53" s="1"/>
  <c r="F20451" i="53"/>
  <c r="G20451" i="53" s="1"/>
  <c r="F3539" i="53"/>
  <c r="G3539" i="53" s="1"/>
  <c r="F20155" i="53"/>
  <c r="G20155" i="53" s="1"/>
  <c r="F20231" i="53"/>
  <c r="G20231" i="53" s="1"/>
  <c r="F15450" i="53"/>
  <c r="G15450" i="53" s="1"/>
  <c r="F20151" i="53"/>
  <c r="G20151" i="53" s="1"/>
  <c r="F15451" i="53"/>
  <c r="G15451" i="53" s="1"/>
  <c r="F20152" i="53"/>
  <c r="G20152" i="53" s="1"/>
  <c r="F20150" i="53"/>
  <c r="G20150" i="53" s="1"/>
  <c r="F20149" i="53"/>
  <c r="G20149" i="53" s="1"/>
  <c r="F15443" i="53"/>
  <c r="G15443" i="53" s="1"/>
  <c r="F19262" i="53"/>
  <c r="G19262" i="53" s="1"/>
  <c r="F19259" i="53"/>
  <c r="G19259" i="53" s="1"/>
  <c r="F18753" i="53"/>
  <c r="G18753" i="53" s="1"/>
  <c r="F22103" i="53"/>
  <c r="G22103" i="53" s="1"/>
  <c r="F18258" i="53"/>
  <c r="G18258" i="53" s="1"/>
  <c r="F22104" i="53"/>
  <c r="G22104" i="53" s="1"/>
  <c r="F18259" i="53"/>
  <c r="G18259" i="53" s="1"/>
  <c r="F15448" i="53"/>
  <c r="G15448" i="53" s="1"/>
  <c r="F22033" i="53"/>
  <c r="G22033" i="53" s="1"/>
  <c r="F21322" i="53"/>
  <c r="G21322" i="53" s="1"/>
  <c r="F9591" i="53"/>
  <c r="G9591" i="53" s="1"/>
  <c r="F21531" i="53"/>
  <c r="G21531" i="53" s="1"/>
  <c r="F21815" i="53"/>
  <c r="G21815" i="53" s="1"/>
  <c r="F18539" i="53"/>
  <c r="G18539" i="53" s="1"/>
  <c r="F18541" i="53"/>
  <c r="G18541" i="53" s="1"/>
  <c r="F19113" i="53"/>
  <c r="G19113" i="53" s="1"/>
  <c r="F19042" i="53"/>
  <c r="G19042" i="53" s="1"/>
  <c r="F19112" i="53"/>
  <c r="G19112" i="53" s="1"/>
  <c r="F19041" i="53"/>
  <c r="G19041" i="53" s="1"/>
  <c r="F18684" i="53"/>
  <c r="G18684" i="53" s="1"/>
  <c r="F21604" i="53"/>
  <c r="G21604" i="53" s="1"/>
  <c r="F16703" i="53"/>
  <c r="G16703" i="53" s="1"/>
  <c r="F23518" i="53"/>
  <c r="G23518" i="53" s="1"/>
  <c r="F23593" i="53"/>
  <c r="G23593" i="53" s="1"/>
  <c r="F19263" i="53"/>
  <c r="G19263" i="53" s="1"/>
  <c r="F19043" i="53"/>
  <c r="G19043" i="53" s="1"/>
  <c r="F19114" i="53"/>
  <c r="G19114" i="53" s="1"/>
  <c r="F19266" i="53"/>
  <c r="G19266" i="53" s="1"/>
  <c r="F23587" i="53"/>
  <c r="G23587" i="53" s="1"/>
  <c r="F23513" i="53"/>
  <c r="G23513" i="53" s="1"/>
  <c r="F20449" i="53"/>
  <c r="G20449" i="53" s="1"/>
  <c r="F15099" i="53"/>
  <c r="G15099" i="53" s="1"/>
  <c r="F12309" i="53"/>
  <c r="G12309" i="53" s="1"/>
  <c r="F4593" i="53"/>
  <c r="G4593" i="53" s="1"/>
  <c r="F21748" i="53"/>
  <c r="G21748" i="53" s="1"/>
  <c r="F13170" i="53"/>
  <c r="G13170" i="53" s="1"/>
  <c r="F13096" i="53"/>
  <c r="G13096" i="53" s="1"/>
  <c r="F4110" i="53"/>
  <c r="G4110" i="53" s="1"/>
  <c r="F4182" i="53"/>
  <c r="G4182" i="53" s="1"/>
  <c r="F4039" i="53"/>
  <c r="G4039" i="53" s="1"/>
  <c r="F3467" i="53"/>
  <c r="G3467" i="53" s="1"/>
  <c r="F3824" i="53"/>
  <c r="G3824" i="53" s="1"/>
  <c r="F3114" i="53"/>
  <c r="G3114" i="53" s="1"/>
  <c r="F3330" i="53"/>
  <c r="G3330" i="53" s="1"/>
  <c r="F3258" i="53"/>
  <c r="G3258" i="53" s="1"/>
  <c r="F3186" i="53"/>
  <c r="G3186" i="53" s="1"/>
  <c r="B21815" i="53"/>
  <c r="B19858" i="53"/>
  <c r="F22597" i="53"/>
  <c r="G22597" i="53" s="1"/>
  <c r="G22603" i="53" s="1"/>
  <c r="G22652" i="53" s="1"/>
  <c r="F21819" i="53"/>
  <c r="G21819" i="53" s="1"/>
  <c r="F21817" i="53"/>
  <c r="G21817" i="53" s="1"/>
  <c r="F18187" i="53"/>
  <c r="G18187" i="53" s="1"/>
  <c r="F12801" i="53"/>
  <c r="G12801" i="53" s="1"/>
  <c r="F20665" i="53"/>
  <c r="G20665" i="53" s="1"/>
  <c r="F20666" i="53"/>
  <c r="G20666" i="53" s="1"/>
  <c r="B20229" i="53"/>
  <c r="B19863" i="53"/>
  <c r="B20079" i="53"/>
  <c r="B19788" i="53"/>
  <c r="B20225" i="53"/>
  <c r="B19999" i="53"/>
  <c r="B21885" i="53"/>
  <c r="B20075" i="53"/>
  <c r="B19783" i="53"/>
  <c r="B19713" i="53"/>
  <c r="B19708" i="53"/>
  <c r="B20003" i="53"/>
  <c r="B21890" i="53"/>
  <c r="B19857" i="53"/>
  <c r="B19782" i="53"/>
  <c r="B19707" i="53"/>
  <c r="B20001" i="53"/>
  <c r="B21888" i="53"/>
  <c r="B19855" i="53"/>
  <c r="B19780" i="53"/>
  <c r="B19705" i="53"/>
  <c r="B20222" i="53"/>
  <c r="B20071" i="53"/>
  <c r="B19998" i="53"/>
  <c r="B21884" i="53"/>
  <c r="B19853" i="53"/>
  <c r="B19778" i="53"/>
  <c r="B19703" i="53"/>
  <c r="B20000" i="53"/>
  <c r="B21887" i="53"/>
  <c r="B19856" i="53"/>
  <c r="B19781" i="53"/>
  <c r="B19706" i="53"/>
  <c r="B21886" i="53"/>
  <c r="B19859" i="53"/>
  <c r="B19784" i="53"/>
  <c r="B19709" i="53"/>
  <c r="B20002" i="53"/>
  <c r="B21889" i="53"/>
  <c r="B19854" i="53"/>
  <c r="B19779" i="53"/>
  <c r="B19704" i="53"/>
  <c r="F21886" i="53"/>
  <c r="G21886" i="53" s="1"/>
  <c r="F20225" i="53"/>
  <c r="G20225" i="53" s="1"/>
  <c r="F20222" i="53"/>
  <c r="G20222" i="53" s="1"/>
  <c r="F20229" i="53"/>
  <c r="G20229" i="53" s="1"/>
  <c r="F19861" i="53"/>
  <c r="G19861" i="53" s="1"/>
  <c r="F20227" i="53"/>
  <c r="G20227" i="53" s="1"/>
  <c r="F19862" i="53"/>
  <c r="G19862" i="53" s="1"/>
  <c r="F20228" i="53"/>
  <c r="G20228" i="53" s="1"/>
  <c r="F20226" i="53"/>
  <c r="G20226" i="53" s="1"/>
  <c r="F20002" i="53"/>
  <c r="G20002" i="53" s="1"/>
  <c r="F21885" i="53"/>
  <c r="G21885" i="53" s="1"/>
  <c r="F20003" i="53"/>
  <c r="G20003" i="53" s="1"/>
  <c r="F20001" i="53"/>
  <c r="G20001" i="53" s="1"/>
  <c r="F21884" i="53"/>
  <c r="G21884" i="53" s="1"/>
  <c r="F19859" i="53"/>
  <c r="G19859" i="53" s="1"/>
  <c r="F19999" i="53"/>
  <c r="G19999" i="53" s="1"/>
  <c r="F19856" i="53"/>
  <c r="G19856" i="53" s="1"/>
  <c r="F21887" i="53"/>
  <c r="G21887" i="53" s="1"/>
  <c r="F19857" i="53"/>
  <c r="G19857" i="53" s="1"/>
  <c r="F21890" i="53"/>
  <c r="G21890" i="53" s="1"/>
  <c r="F20076" i="53"/>
  <c r="G20076" i="53" s="1"/>
  <c r="F19854" i="53"/>
  <c r="G19854" i="53" s="1"/>
  <c r="F21889" i="53"/>
  <c r="G21889" i="53" s="1"/>
  <c r="F19855" i="53"/>
  <c r="G19855" i="53" s="1"/>
  <c r="F21888" i="53"/>
  <c r="G21888" i="53" s="1"/>
  <c r="F19863" i="53"/>
  <c r="G19863" i="53" s="1"/>
  <c r="F19853" i="53"/>
  <c r="G19853" i="53" s="1"/>
  <c r="F19783" i="53"/>
  <c r="G19783" i="53" s="1"/>
  <c r="F19858" i="53"/>
  <c r="G19858" i="53" s="1"/>
  <c r="F19704" i="53"/>
  <c r="G19704" i="53" s="1"/>
  <c r="F20071" i="53"/>
  <c r="G20071" i="53" s="1"/>
  <c r="F19779" i="53"/>
  <c r="G19779" i="53" s="1"/>
  <c r="F19711" i="53"/>
  <c r="G19711" i="53" s="1"/>
  <c r="F20077" i="53"/>
  <c r="G20077" i="53" s="1"/>
  <c r="F19786" i="53"/>
  <c r="G19786" i="53" s="1"/>
  <c r="F19707" i="53"/>
  <c r="G19707" i="53" s="1"/>
  <c r="F19782" i="53"/>
  <c r="G19782" i="53" s="1"/>
  <c r="F20074" i="53"/>
  <c r="G20074" i="53" s="1"/>
  <c r="F19787" i="53"/>
  <c r="G19787" i="53" s="1"/>
  <c r="F20078" i="53"/>
  <c r="G20078" i="53" s="1"/>
  <c r="F19705" i="53"/>
  <c r="G19705" i="53" s="1"/>
  <c r="F19780" i="53"/>
  <c r="G19780" i="53" s="1"/>
  <c r="F20072" i="53"/>
  <c r="G20072" i="53" s="1"/>
  <c r="F19706" i="53"/>
  <c r="G19706" i="53" s="1"/>
  <c r="F19781" i="53"/>
  <c r="G19781" i="53" s="1"/>
  <c r="F19703" i="53"/>
  <c r="G19703" i="53" s="1"/>
  <c r="F19778" i="53"/>
  <c r="G19778" i="53" s="1"/>
  <c r="F20079" i="53"/>
  <c r="G20079" i="53" s="1"/>
  <c r="F19788" i="53"/>
  <c r="G19788" i="53" s="1"/>
  <c r="F19709" i="53"/>
  <c r="G19709" i="53" s="1"/>
  <c r="F20075" i="53"/>
  <c r="G20075" i="53" s="1"/>
  <c r="F19784" i="53"/>
  <c r="G19784" i="53" s="1"/>
  <c r="F19708" i="53"/>
  <c r="G19708" i="53" s="1"/>
  <c r="F19713" i="53"/>
  <c r="G19713" i="53" s="1"/>
  <c r="F19261" i="53"/>
  <c r="G19261" i="53" s="1"/>
  <c r="F19712" i="53"/>
  <c r="G19712" i="53" s="1"/>
  <c r="F6700" i="53"/>
  <c r="G6700" i="53" s="1"/>
  <c r="G6703" i="53" s="1"/>
  <c r="F19265" i="53"/>
  <c r="G19265" i="53" s="1"/>
  <c r="F20740" i="53"/>
  <c r="G20740" i="53" s="1"/>
  <c r="F20742" i="53"/>
  <c r="G20742" i="53" s="1"/>
  <c r="F20743" i="53"/>
  <c r="G20743" i="53" s="1"/>
  <c r="F20741" i="53"/>
  <c r="G20741" i="53" s="1"/>
  <c r="F20739" i="53"/>
  <c r="G20739" i="53" s="1"/>
  <c r="F20736" i="53"/>
  <c r="G20736" i="53" s="1"/>
  <c r="B19633" i="53"/>
  <c r="G19980" i="53"/>
  <c r="G19954" i="53"/>
  <c r="D20378" i="53"/>
  <c r="B20378" i="53"/>
  <c r="D20377" i="53"/>
  <c r="B20304" i="53"/>
  <c r="B20305" i="53"/>
  <c r="D20305" i="53"/>
  <c r="B18827" i="53"/>
  <c r="D18827" i="53"/>
  <c r="D18826" i="53"/>
  <c r="F20592" i="53"/>
  <c r="G20592" i="53" s="1"/>
  <c r="B19334" i="53"/>
  <c r="B20586" i="53"/>
  <c r="B20592" i="53"/>
  <c r="D20592" i="53"/>
  <c r="B20595" i="53"/>
  <c r="F19485" i="53"/>
  <c r="G19485" i="53" s="1"/>
  <c r="D19485" i="53"/>
  <c r="F20594" i="53"/>
  <c r="G20594" i="53" s="1"/>
  <c r="F20590" i="53"/>
  <c r="G20590" i="53" s="1"/>
  <c r="B20590" i="53"/>
  <c r="B20594" i="53"/>
  <c r="F19484" i="53"/>
  <c r="G19484" i="53" s="1"/>
  <c r="F19557" i="53"/>
  <c r="G19557" i="53" s="1"/>
  <c r="F20591" i="53"/>
  <c r="G20591" i="53" s="1"/>
  <c r="F20593" i="53"/>
  <c r="G20593" i="53" s="1"/>
  <c r="F19558" i="53"/>
  <c r="G19558" i="53" s="1"/>
  <c r="F20588" i="53"/>
  <c r="G20588" i="53" s="1"/>
  <c r="F19486" i="53"/>
  <c r="G19486" i="53" s="1"/>
  <c r="F20595" i="53"/>
  <c r="G20595" i="53" s="1"/>
  <c r="F20589" i="53"/>
  <c r="G20589" i="53" s="1"/>
  <c r="B20589" i="53"/>
  <c r="G20643" i="53"/>
  <c r="G20618" i="53"/>
  <c r="D20586" i="53"/>
  <c r="B20587" i="53"/>
  <c r="D20593" i="53"/>
  <c r="D20587" i="53"/>
  <c r="B19558" i="53"/>
  <c r="D19558" i="53"/>
  <c r="B20591" i="53"/>
  <c r="D20588" i="53"/>
  <c r="D20591" i="53"/>
  <c r="B19486" i="53"/>
  <c r="D19486" i="53"/>
  <c r="B19559" i="53"/>
  <c r="F19559" i="53"/>
  <c r="G19559" i="53" s="1"/>
  <c r="F19412" i="53"/>
  <c r="G19412" i="53" s="1"/>
  <c r="B19412" i="53"/>
  <c r="D19412" i="53"/>
  <c r="D19410" i="53"/>
  <c r="F19413" i="53"/>
  <c r="G19413" i="53" s="1"/>
  <c r="B19413" i="53"/>
  <c r="D19413" i="53"/>
  <c r="F19342" i="53"/>
  <c r="G19342" i="53" s="1"/>
  <c r="B19342" i="53"/>
  <c r="D19342" i="53"/>
  <c r="F19341" i="53"/>
  <c r="G19341" i="53" s="1"/>
  <c r="F19338" i="53"/>
  <c r="G19338" i="53" s="1"/>
  <c r="B19341" i="53"/>
  <c r="D19341" i="53"/>
  <c r="D19340" i="53"/>
  <c r="F19337" i="53"/>
  <c r="G19337" i="53" s="1"/>
  <c r="B19337" i="53"/>
  <c r="B19557" i="53"/>
  <c r="D19557" i="53"/>
  <c r="D19556" i="53"/>
  <c r="D19481" i="53"/>
  <c r="B19408" i="53"/>
  <c r="B19484" i="53"/>
  <c r="D19484" i="53"/>
  <c r="F19411" i="53"/>
  <c r="G19411" i="53" s="1"/>
  <c r="G19609" i="53"/>
  <c r="G19583" i="53"/>
  <c r="D19554" i="53"/>
  <c r="G19536" i="53"/>
  <c r="G19510" i="53"/>
  <c r="D19483" i="53"/>
  <c r="B19411" i="53"/>
  <c r="G19437" i="53"/>
  <c r="G19463" i="53"/>
  <c r="D19408" i="53"/>
  <c r="D19411" i="53"/>
  <c r="F19630" i="53"/>
  <c r="G19630" i="53" s="1"/>
  <c r="F19629" i="53"/>
  <c r="G19629" i="53" s="1"/>
  <c r="F19635" i="53"/>
  <c r="G19635" i="53" s="1"/>
  <c r="B19630" i="53"/>
  <c r="F19637" i="53"/>
  <c r="G19637" i="53" s="1"/>
  <c r="B19628" i="53"/>
  <c r="B19637" i="53"/>
  <c r="F19628" i="53"/>
  <c r="G19628" i="53" s="1"/>
  <c r="F19190" i="53"/>
  <c r="G19190" i="53" s="1"/>
  <c r="D19636" i="53"/>
  <c r="B19632" i="53"/>
  <c r="D19633" i="53"/>
  <c r="G19658" i="53"/>
  <c r="F19632" i="53"/>
  <c r="G19632" i="53" s="1"/>
  <c r="F19636" i="53"/>
  <c r="G19636" i="53" s="1"/>
  <c r="F19631" i="53"/>
  <c r="G19631" i="53" s="1"/>
  <c r="F19627" i="53"/>
  <c r="G19627" i="53" s="1"/>
  <c r="D19634" i="53"/>
  <c r="F19191" i="53"/>
  <c r="G19191" i="53" s="1"/>
  <c r="G19684" i="53"/>
  <c r="B19627" i="53"/>
  <c r="F19633" i="53"/>
  <c r="G19633" i="53" s="1"/>
  <c r="B19635" i="53"/>
  <c r="D19627" i="53"/>
  <c r="D19635" i="53"/>
  <c r="B19629" i="53"/>
  <c r="B19631" i="53"/>
  <c r="D19631" i="53"/>
  <c r="F19189" i="53"/>
  <c r="G19189" i="53" s="1"/>
  <c r="D19189" i="53"/>
  <c r="B19189" i="53"/>
  <c r="B19190" i="53"/>
  <c r="D19190" i="53"/>
  <c r="D19191" i="53"/>
  <c r="B19191" i="53"/>
  <c r="B19335" i="53"/>
  <c r="D19334" i="53"/>
  <c r="B19339" i="53"/>
  <c r="D19339" i="53"/>
  <c r="G19390" i="53"/>
  <c r="G19364" i="53"/>
  <c r="D19337" i="53"/>
  <c r="B19333" i="53"/>
  <c r="D19336" i="53"/>
  <c r="D19333" i="53"/>
  <c r="B19338" i="53"/>
  <c r="D19338" i="53"/>
  <c r="E218" i="55"/>
  <c r="C218" i="55" s="1"/>
  <c r="A16284" i="53"/>
  <c r="A16285" i="53"/>
  <c r="A16283" i="53"/>
  <c r="F7864" i="53" l="1"/>
  <c r="G7864" i="53" s="1"/>
  <c r="F7796" i="53"/>
  <c r="G7796" i="53" s="1"/>
  <c r="F8136" i="53"/>
  <c r="G8136" i="53" s="1"/>
  <c r="F2902" i="53"/>
  <c r="G2902" i="53" s="1"/>
  <c r="F2833" i="53"/>
  <c r="G2833" i="53" s="1"/>
  <c r="F5748" i="53"/>
  <c r="G5748" i="53" s="1"/>
  <c r="F5340" i="53"/>
  <c r="G5340" i="53" s="1"/>
  <c r="F5272" i="53"/>
  <c r="G5272" i="53" s="1"/>
  <c r="F5204" i="53"/>
  <c r="G5204" i="53" s="1"/>
  <c r="F5408" i="53"/>
  <c r="G5408" i="53" s="1"/>
  <c r="F5136" i="53"/>
  <c r="G5136" i="53" s="1"/>
  <c r="F4864" i="53"/>
  <c r="G4864" i="53" s="1"/>
  <c r="F5546" i="53"/>
  <c r="G5546" i="53" s="1"/>
  <c r="F5815" i="53"/>
  <c r="G5815" i="53" s="1"/>
  <c r="F1677" i="53"/>
  <c r="G1677" i="53" s="1"/>
  <c r="F4933" i="53"/>
  <c r="G4933" i="53" s="1"/>
  <c r="F5476" i="53"/>
  <c r="G5476" i="53" s="1"/>
  <c r="F5068" i="53"/>
  <c r="G5068" i="53" s="1"/>
  <c r="F5614" i="53"/>
  <c r="G5614" i="53" s="1"/>
  <c r="F5681" i="53"/>
  <c r="G5681" i="53" s="1"/>
  <c r="F2014" i="53"/>
  <c r="G2014" i="53" s="1"/>
  <c r="F984" i="53"/>
  <c r="G984" i="53" s="1"/>
  <c r="F7998" i="53"/>
  <c r="G7998" i="53" s="1"/>
  <c r="F8066" i="53"/>
  <c r="G8066" i="53" s="1"/>
  <c r="F8404" i="53"/>
  <c r="G8404" i="53" s="1"/>
  <c r="F7728" i="53"/>
  <c r="G7728" i="53" s="1"/>
  <c r="F5002" i="53"/>
  <c r="G5002" i="53" s="1"/>
  <c r="G22105" i="53"/>
  <c r="G22153" i="53" s="1"/>
  <c r="J422" i="1" s="1"/>
  <c r="G18260" i="53"/>
  <c r="G18308" i="53" s="1"/>
  <c r="F20445" i="53"/>
  <c r="G20445" i="53" s="1"/>
  <c r="J431" i="1"/>
  <c r="F2082" i="53"/>
  <c r="G2082" i="53" s="1"/>
  <c r="F2153" i="53"/>
  <c r="G2153" i="53" s="1"/>
  <c r="F1947" i="53"/>
  <c r="G1947" i="53" s="1"/>
  <c r="F6022" i="53"/>
  <c r="G6022" i="53" s="1"/>
  <c r="F5954" i="53"/>
  <c r="G5954" i="53" s="1"/>
  <c r="F1052" i="53"/>
  <c r="G1052" i="53" s="1"/>
  <c r="F1120" i="53"/>
  <c r="G1120" i="53" s="1"/>
  <c r="F1747" i="53"/>
  <c r="G1747" i="53" s="1"/>
  <c r="G22654" i="53"/>
  <c r="G22655" i="53"/>
  <c r="G22656" i="53"/>
  <c r="G22660" i="53" s="1"/>
  <c r="G21820" i="53"/>
  <c r="G21868" i="53" s="1"/>
  <c r="G19864" i="53"/>
  <c r="G19912" i="53" s="1"/>
  <c r="G19789" i="53"/>
  <c r="G19837" i="53" s="1"/>
  <c r="D16284" i="53"/>
  <c r="B16284" i="53"/>
  <c r="A16286" i="53"/>
  <c r="G22157" i="53" l="1"/>
  <c r="G22161" i="53" s="1"/>
  <c r="G22156" i="53"/>
  <c r="G22155" i="53"/>
  <c r="J356" i="1"/>
  <c r="G18312" i="53"/>
  <c r="G18316" i="53" s="1"/>
  <c r="G18311" i="53"/>
  <c r="G18310" i="53"/>
  <c r="N422" i="1"/>
  <c r="K422" i="1"/>
  <c r="M422" i="1"/>
  <c r="O422" i="1"/>
  <c r="L422" i="1"/>
  <c r="K431" i="1"/>
  <c r="L431" i="1"/>
  <c r="O431" i="1"/>
  <c r="N431" i="1"/>
  <c r="M431" i="1"/>
  <c r="J415" i="1"/>
  <c r="G22658" i="53"/>
  <c r="G22662" i="53" s="1"/>
  <c r="G22594" i="53" s="1"/>
  <c r="G21870" i="53"/>
  <c r="G21871" i="53"/>
  <c r="G21872" i="53"/>
  <c r="G21876" i="53" s="1"/>
  <c r="G19916" i="53"/>
  <c r="G19920" i="53" s="1"/>
  <c r="G19915" i="53"/>
  <c r="J381" i="1"/>
  <c r="G19914" i="53"/>
  <c r="J380" i="1"/>
  <c r="G19841" i="53"/>
  <c r="G19845" i="53" s="1"/>
  <c r="G19840" i="53"/>
  <c r="G19839" i="53"/>
  <c r="C217" i="55"/>
  <c r="E216" i="55"/>
  <c r="C216" i="55" s="1"/>
  <c r="E108" i="55"/>
  <c r="E76" i="55"/>
  <c r="E131" i="55"/>
  <c r="E215" i="55"/>
  <c r="C215" i="55" s="1"/>
  <c r="E17931" i="53"/>
  <c r="E18146" i="53"/>
  <c r="E23058" i="53"/>
  <c r="E23129" i="53"/>
  <c r="E22701" i="53"/>
  <c r="E22559" i="53"/>
  <c r="E22417" i="53"/>
  <c r="E22346" i="53"/>
  <c r="E22274" i="53"/>
  <c r="E22202" i="53"/>
  <c r="E21992" i="53"/>
  <c r="E20406" i="53"/>
  <c r="E20332" i="53"/>
  <c r="E20914" i="53"/>
  <c r="E20548" i="53"/>
  <c r="E19219" i="53"/>
  <c r="E21277" i="53"/>
  <c r="E19000" i="53"/>
  <c r="E16321" i="53"/>
  <c r="E16320" i="53"/>
  <c r="E16319" i="53"/>
  <c r="E16318" i="53"/>
  <c r="E16317" i="53"/>
  <c r="E16316" i="53"/>
  <c r="E16315" i="53"/>
  <c r="E16313" i="53"/>
  <c r="E16312" i="53"/>
  <c r="E16314" i="53"/>
  <c r="E18926" i="53"/>
  <c r="E18781" i="53"/>
  <c r="E18854" i="53"/>
  <c r="E18641" i="53"/>
  <c r="E17789" i="53"/>
  <c r="E17719" i="53"/>
  <c r="E17651" i="53"/>
  <c r="E17222" i="53"/>
  <c r="E17011" i="53"/>
  <c r="E16943" i="53"/>
  <c r="E16873" i="53"/>
  <c r="E13766" i="53"/>
  <c r="F9586" i="53" l="1"/>
  <c r="G9586" i="53" s="1"/>
  <c r="F21459" i="53"/>
  <c r="G21459" i="53" s="1"/>
  <c r="O356" i="1"/>
  <c r="M356" i="1"/>
  <c r="N356" i="1"/>
  <c r="L356" i="1"/>
  <c r="K356" i="1"/>
  <c r="G22159" i="53"/>
  <c r="G22163" i="53" s="1"/>
  <c r="G22097" i="53" s="1"/>
  <c r="G18314" i="53"/>
  <c r="G18318" i="53" s="1"/>
  <c r="G18251" i="53" s="1"/>
  <c r="F17480" i="53"/>
  <c r="G17480" i="53" s="1"/>
  <c r="F15447" i="53"/>
  <c r="G15447" i="53" s="1"/>
  <c r="F21385" i="53"/>
  <c r="G21385" i="53" s="1"/>
  <c r="F17481" i="53"/>
  <c r="G17481" i="53" s="1"/>
  <c r="K415" i="1"/>
  <c r="L415" i="1"/>
  <c r="K380" i="1"/>
  <c r="L380" i="1"/>
  <c r="K381" i="1"/>
  <c r="L381" i="1"/>
  <c r="N380" i="1"/>
  <c r="M380" i="1"/>
  <c r="O380" i="1"/>
  <c r="O381" i="1"/>
  <c r="M381" i="1"/>
  <c r="N381" i="1"/>
  <c r="N415" i="1"/>
  <c r="M415" i="1"/>
  <c r="O415" i="1"/>
  <c r="F21601" i="53"/>
  <c r="G21601" i="53" s="1"/>
  <c r="F18681" i="53"/>
  <c r="G18681" i="53" s="1"/>
  <c r="F19928" i="53"/>
  <c r="G19928" i="53" s="1"/>
  <c r="G21874" i="53"/>
  <c r="G21878" i="53" s="1"/>
  <c r="G21811" i="53" s="1"/>
  <c r="G19918" i="53"/>
  <c r="G19922" i="53" s="1"/>
  <c r="G19850" i="53" s="1"/>
  <c r="G19843" i="53"/>
  <c r="G19847" i="53" s="1"/>
  <c r="G19775" i="53" s="1"/>
  <c r="E18076" i="53"/>
  <c r="E18079" i="53"/>
  <c r="E21284" i="53"/>
  <c r="E21283" i="53"/>
  <c r="E21282" i="53"/>
  <c r="E21281" i="53"/>
  <c r="E21280" i="53"/>
  <c r="E21279" i="53"/>
  <c r="E21278" i="53"/>
  <c r="E21276" i="53"/>
  <c r="E21275" i="53"/>
  <c r="D21260" i="53"/>
  <c r="B21260" i="53"/>
  <c r="E21999" i="53"/>
  <c r="E21998" i="53"/>
  <c r="E21997" i="53"/>
  <c r="E21996" i="53"/>
  <c r="E21995" i="53"/>
  <c r="E21994" i="53"/>
  <c r="E21993" i="53"/>
  <c r="E21991" i="53"/>
  <c r="E21990" i="53"/>
  <c r="D21975" i="53"/>
  <c r="B21975" i="53"/>
  <c r="A12449" i="53"/>
  <c r="D12449" i="53" s="1"/>
  <c r="A12448" i="53"/>
  <c r="A12446" i="53"/>
  <c r="B12446" i="53" s="1"/>
  <c r="A12445" i="53"/>
  <c r="A12444" i="53"/>
  <c r="B12444" i="53" s="1"/>
  <c r="G12495" i="53"/>
  <c r="G12494" i="53"/>
  <c r="G12493" i="53"/>
  <c r="G12492" i="53"/>
  <c r="E12487" i="53"/>
  <c r="D12487" i="53"/>
  <c r="B12487" i="53"/>
  <c r="E12486" i="53"/>
  <c r="D12486" i="53"/>
  <c r="B12486" i="53"/>
  <c r="E12485" i="53"/>
  <c r="D12485" i="53"/>
  <c r="B12485" i="53"/>
  <c r="E12484" i="53"/>
  <c r="D12484" i="53"/>
  <c r="B12484" i="53"/>
  <c r="E12483" i="53"/>
  <c r="D12483" i="53"/>
  <c r="B12483" i="53"/>
  <c r="E12482" i="53"/>
  <c r="D12482" i="53"/>
  <c r="B12482" i="53"/>
  <c r="E12481" i="53"/>
  <c r="D12481" i="53"/>
  <c r="B12481" i="53"/>
  <c r="E12480" i="53"/>
  <c r="D12480" i="53"/>
  <c r="B12480" i="53"/>
  <c r="E12479" i="53"/>
  <c r="D12479" i="53"/>
  <c r="B12479" i="53"/>
  <c r="E12478" i="53"/>
  <c r="D12478" i="53"/>
  <c r="B12478" i="53"/>
  <c r="E12477" i="53"/>
  <c r="D12477" i="53"/>
  <c r="B12477" i="53"/>
  <c r="E12476" i="53"/>
  <c r="D12476" i="53"/>
  <c r="B12476" i="53"/>
  <c r="E12475" i="53"/>
  <c r="D12475" i="53"/>
  <c r="B12475" i="53"/>
  <c r="F12470" i="53"/>
  <c r="G12470" i="53" s="1"/>
  <c r="B12470" i="53"/>
  <c r="F12469" i="53"/>
  <c r="G12469" i="53" s="1"/>
  <c r="B12469" i="53"/>
  <c r="F12468" i="53"/>
  <c r="G12468" i="53" s="1"/>
  <c r="B12468" i="53"/>
  <c r="F12467" i="53"/>
  <c r="G12467" i="53" s="1"/>
  <c r="B12467" i="53"/>
  <c r="F12466" i="53"/>
  <c r="G12466" i="53" s="1"/>
  <c r="B12466" i="53"/>
  <c r="F12465" i="53"/>
  <c r="G12465" i="53" s="1"/>
  <c r="B12465" i="53"/>
  <c r="D12460" i="53"/>
  <c r="B12460" i="53"/>
  <c r="D12459" i="53"/>
  <c r="B12459" i="53"/>
  <c r="D12458" i="53"/>
  <c r="B12458" i="53"/>
  <c r="D12457" i="53"/>
  <c r="B12457" i="53"/>
  <c r="D12456" i="53"/>
  <c r="B12456" i="53"/>
  <c r="D12455" i="53"/>
  <c r="B12455" i="53"/>
  <c r="D12454" i="53"/>
  <c r="B12454" i="53"/>
  <c r="E17796" i="53"/>
  <c r="E17795" i="53"/>
  <c r="E17794" i="53"/>
  <c r="E17793" i="53"/>
  <c r="E17792" i="53"/>
  <c r="E17791" i="53"/>
  <c r="E17790" i="53"/>
  <c r="E17788" i="53"/>
  <c r="E17787" i="53"/>
  <c r="D17772" i="53"/>
  <c r="B17772" i="53"/>
  <c r="E13701" i="53"/>
  <c r="E13700" i="53"/>
  <c r="E13699" i="53"/>
  <c r="E13698" i="53"/>
  <c r="E13697" i="53"/>
  <c r="E13696" i="53"/>
  <c r="E13695" i="53"/>
  <c r="E13692" i="53"/>
  <c r="E13693" i="53"/>
  <c r="E13694" i="53"/>
  <c r="E16379" i="53"/>
  <c r="E16106" i="53"/>
  <c r="E16040" i="53"/>
  <c r="E15833" i="53"/>
  <c r="E15972" i="53"/>
  <c r="E15900" i="53"/>
  <c r="E15693" i="53"/>
  <c r="E15621" i="53"/>
  <c r="E15549" i="53"/>
  <c r="E9761" i="53"/>
  <c r="E14716" i="53"/>
  <c r="E14589" i="53"/>
  <c r="E14526" i="53"/>
  <c r="E13407" i="53"/>
  <c r="E12903" i="53"/>
  <c r="E15058" i="53"/>
  <c r="E14994" i="53"/>
  <c r="E11866" i="53"/>
  <c r="E11731" i="53"/>
  <c r="E11540" i="53"/>
  <c r="E11410" i="53"/>
  <c r="E11418" i="53"/>
  <c r="E11548" i="53"/>
  <c r="E11739" i="53"/>
  <c r="E11874" i="53"/>
  <c r="E15002" i="53"/>
  <c r="E15066" i="53"/>
  <c r="E12911" i="53"/>
  <c r="E13415" i="53"/>
  <c r="E14534" i="53"/>
  <c r="E14597" i="53"/>
  <c r="E14724" i="53"/>
  <c r="E9769" i="53"/>
  <c r="E15557" i="53"/>
  <c r="E15629" i="53"/>
  <c r="E15701" i="53"/>
  <c r="E15908" i="53"/>
  <c r="E15980" i="53"/>
  <c r="E15841" i="53"/>
  <c r="E16048" i="53"/>
  <c r="E16114" i="53"/>
  <c r="E16387" i="53"/>
  <c r="E13702" i="53"/>
  <c r="E13774" i="53"/>
  <c r="E16881" i="53"/>
  <c r="E16951" i="53"/>
  <c r="E17019" i="53"/>
  <c r="E17230" i="53"/>
  <c r="E17659" i="53"/>
  <c r="E17727" i="53"/>
  <c r="E17797" i="53"/>
  <c r="E18084" i="53"/>
  <c r="E18649" i="53"/>
  <c r="E18862" i="53"/>
  <c r="E18791" i="53"/>
  <c r="E18789" i="53"/>
  <c r="E18934" i="53"/>
  <c r="E16322" i="53"/>
  <c r="E19008" i="53"/>
  <c r="E21285" i="53"/>
  <c r="E19227" i="53"/>
  <c r="E20556" i="53"/>
  <c r="E20922" i="53"/>
  <c r="E20340" i="53"/>
  <c r="E20414" i="53"/>
  <c r="E22000" i="53"/>
  <c r="E22212" i="53"/>
  <c r="E22210" i="53"/>
  <c r="E22282" i="53"/>
  <c r="E22354" i="53"/>
  <c r="E22425" i="53"/>
  <c r="E22567" i="53"/>
  <c r="E22709" i="53"/>
  <c r="E23137" i="53"/>
  <c r="E23066" i="53"/>
  <c r="E18154" i="53"/>
  <c r="E17939" i="53"/>
  <c r="E17941" i="53"/>
  <c r="E18156" i="53"/>
  <c r="E23068" i="53"/>
  <c r="E23139" i="53"/>
  <c r="E22711" i="53"/>
  <c r="E22569" i="53"/>
  <c r="E22427" i="53"/>
  <c r="E22356" i="53"/>
  <c r="E22284" i="53"/>
  <c r="E22002" i="53"/>
  <c r="E20416" i="53"/>
  <c r="E20342" i="53"/>
  <c r="E20924" i="53"/>
  <c r="E20558" i="53"/>
  <c r="E19229" i="53"/>
  <c r="E21287" i="53"/>
  <c r="E19010" i="53"/>
  <c r="E19009" i="53"/>
  <c r="D16297" i="53"/>
  <c r="B16297" i="53"/>
  <c r="E11420" i="53"/>
  <c r="E11419" i="53"/>
  <c r="E11550" i="53"/>
  <c r="E11549" i="53"/>
  <c r="E11741" i="53"/>
  <c r="E11740" i="53"/>
  <c r="E11876" i="53"/>
  <c r="E11875" i="53"/>
  <c r="E15004" i="53"/>
  <c r="E15003" i="53"/>
  <c r="E15068" i="53"/>
  <c r="E15067" i="53"/>
  <c r="E12913" i="53"/>
  <c r="E12912" i="53"/>
  <c r="E13417" i="53"/>
  <c r="E13416" i="53"/>
  <c r="E14536" i="53"/>
  <c r="E14535" i="53"/>
  <c r="E14599" i="53"/>
  <c r="E14598" i="53"/>
  <c r="E14726" i="53"/>
  <c r="E14725" i="53"/>
  <c r="E9771" i="53"/>
  <c r="E9770" i="53"/>
  <c r="E15559" i="53"/>
  <c r="E15558" i="53"/>
  <c r="E15631" i="53"/>
  <c r="E15630" i="53"/>
  <c r="E15703" i="53"/>
  <c r="E15702" i="53"/>
  <c r="E15910" i="53"/>
  <c r="E15909" i="53"/>
  <c r="E15982" i="53"/>
  <c r="E15981" i="53"/>
  <c r="E15843" i="53"/>
  <c r="E15842" i="53"/>
  <c r="E16050" i="53"/>
  <c r="E16049" i="53"/>
  <c r="E16116" i="53"/>
  <c r="E16115" i="53"/>
  <c r="E13703" i="53"/>
  <c r="E13704" i="53"/>
  <c r="E16388" i="53"/>
  <c r="E16389" i="53"/>
  <c r="E13776" i="53"/>
  <c r="E13775" i="53"/>
  <c r="E16883" i="53"/>
  <c r="E16882" i="53"/>
  <c r="E16953" i="53"/>
  <c r="E16952" i="53"/>
  <c r="E17021" i="53"/>
  <c r="E17020" i="53"/>
  <c r="E17232" i="53"/>
  <c r="E17231" i="53"/>
  <c r="E17661" i="53"/>
  <c r="E17660" i="53"/>
  <c r="E17729" i="53"/>
  <c r="E17728" i="53"/>
  <c r="E17799" i="53"/>
  <c r="E17798" i="53"/>
  <c r="E18086" i="53"/>
  <c r="E18085" i="53"/>
  <c r="E18651" i="53"/>
  <c r="E18650" i="53"/>
  <c r="E17940" i="53"/>
  <c r="E18155" i="53"/>
  <c r="E23067" i="53"/>
  <c r="E23138" i="53"/>
  <c r="E22710" i="53"/>
  <c r="E22568" i="53"/>
  <c r="E22426" i="53"/>
  <c r="E22355" i="53"/>
  <c r="E22283" i="53"/>
  <c r="E22211" i="53"/>
  <c r="E22001" i="53"/>
  <c r="E20415" i="53"/>
  <c r="E20341" i="53"/>
  <c r="E20923" i="53"/>
  <c r="E20557" i="53"/>
  <c r="E19228" i="53"/>
  <c r="E21286" i="53"/>
  <c r="E16324" i="53"/>
  <c r="E16323" i="53"/>
  <c r="E18936" i="53"/>
  <c r="E18935" i="53"/>
  <c r="E18790" i="53"/>
  <c r="E18864" i="53"/>
  <c r="E18863" i="53"/>
  <c r="F16866" i="53"/>
  <c r="G16866" i="53" s="1"/>
  <c r="B16866" i="53"/>
  <c r="E121" i="55"/>
  <c r="C214" i="55"/>
  <c r="E213" i="55"/>
  <c r="C213" i="55" s="1"/>
  <c r="A15799" i="53"/>
  <c r="A15522" i="53"/>
  <c r="A15521" i="53"/>
  <c r="C211" i="55"/>
  <c r="C212" i="55"/>
  <c r="A15520" i="53"/>
  <c r="A15519" i="53"/>
  <c r="E85" i="55"/>
  <c r="E210" i="55"/>
  <c r="C210" i="55" s="1"/>
  <c r="C209" i="55"/>
  <c r="C208" i="55"/>
  <c r="C207" i="55"/>
  <c r="F12941" i="53" s="1"/>
  <c r="G12941" i="53" s="1"/>
  <c r="G12949" i="53" s="1"/>
  <c r="G12997" i="53" s="1"/>
  <c r="C206" i="55"/>
  <c r="C205" i="55"/>
  <c r="C204" i="55"/>
  <c r="E67" i="55"/>
  <c r="E63" i="55"/>
  <c r="K14" i="54"/>
  <c r="C200" i="55"/>
  <c r="F2969" i="53" s="1"/>
  <c r="G2969" i="53" s="1"/>
  <c r="C199" i="55"/>
  <c r="C201" i="55"/>
  <c r="F13451" i="53" s="1"/>
  <c r="G13451" i="53" s="1"/>
  <c r="C202" i="55"/>
  <c r="C203" i="55"/>
  <c r="F15307" i="53" s="1"/>
  <c r="G15307" i="53" s="1"/>
  <c r="J236" i="1" l="1"/>
  <c r="G13001" i="53"/>
  <c r="G13005" i="53" s="1"/>
  <c r="G12999" i="53"/>
  <c r="G13000" i="53"/>
  <c r="F21461" i="53"/>
  <c r="G21461" i="53" s="1"/>
  <c r="G21463" i="53" s="1"/>
  <c r="G21511" i="53" s="1"/>
  <c r="F15308" i="53"/>
  <c r="G15308" i="53" s="1"/>
  <c r="F20450" i="53"/>
  <c r="G20450" i="53" s="1"/>
  <c r="F3538" i="53"/>
  <c r="G3538" i="53" s="1"/>
  <c r="F776" i="53"/>
  <c r="G776" i="53" s="1"/>
  <c r="G780" i="53" s="1"/>
  <c r="G829" i="53" s="1"/>
  <c r="J19" i="1" s="1"/>
  <c r="F2968" i="53"/>
  <c r="G2968" i="53" s="1"/>
  <c r="G2972" i="53" s="1"/>
  <c r="G3022" i="53" s="1"/>
  <c r="F20154" i="53"/>
  <c r="G20154" i="53" s="1"/>
  <c r="F20230" i="53"/>
  <c r="G20230" i="53" s="1"/>
  <c r="F9590" i="53"/>
  <c r="G9590" i="53" s="1"/>
  <c r="F21529" i="53"/>
  <c r="G21529" i="53" s="1"/>
  <c r="F21530" i="53"/>
  <c r="G21530" i="53" s="1"/>
  <c r="F17479" i="53"/>
  <c r="G17479" i="53" s="1"/>
  <c r="F17476" i="53"/>
  <c r="G17476" i="53" s="1"/>
  <c r="F21603" i="53"/>
  <c r="G21603" i="53" s="1"/>
  <c r="F18683" i="53"/>
  <c r="G18683" i="53" s="1"/>
  <c r="F16702" i="53"/>
  <c r="G16702" i="53" s="1"/>
  <c r="F18679" i="53"/>
  <c r="G18679" i="53" s="1"/>
  <c r="F21599" i="53"/>
  <c r="G21599" i="53" s="1"/>
  <c r="F912" i="53"/>
  <c r="G912" i="53" s="1"/>
  <c r="G917" i="53" s="1"/>
  <c r="G965" i="53" s="1"/>
  <c r="J21" i="1" s="1"/>
  <c r="O21" i="1" s="1"/>
  <c r="F18680" i="53"/>
  <c r="G18680" i="53" s="1"/>
  <c r="F21600" i="53"/>
  <c r="G21600" i="53" s="1"/>
  <c r="F21747" i="53"/>
  <c r="G21747" i="53" s="1"/>
  <c r="F13171" i="53"/>
  <c r="G13171" i="53" s="1"/>
  <c r="F13097" i="53"/>
  <c r="G13097" i="53" s="1"/>
  <c r="F13160" i="53"/>
  <c r="G13160" i="53" s="1"/>
  <c r="F13086" i="53"/>
  <c r="G13086" i="53" s="1"/>
  <c r="F13161" i="53"/>
  <c r="G13161" i="53" s="1"/>
  <c r="F13087" i="53"/>
  <c r="G13087" i="53" s="1"/>
  <c r="F2421" i="53"/>
  <c r="G2421" i="53" s="1"/>
  <c r="G2424" i="53" s="1"/>
  <c r="G2472" i="53" s="1"/>
  <c r="F4181" i="53"/>
  <c r="G4181" i="53" s="1"/>
  <c r="F4592" i="53"/>
  <c r="G4592" i="53" s="1"/>
  <c r="F4038" i="53"/>
  <c r="G4038" i="53" s="1"/>
  <c r="G4044" i="53" s="1"/>
  <c r="G4092" i="53" s="1"/>
  <c r="F4109" i="53"/>
  <c r="G4109" i="53" s="1"/>
  <c r="F3823" i="53"/>
  <c r="G3823" i="53" s="1"/>
  <c r="G3830" i="53" s="1"/>
  <c r="G3878" i="53" s="1"/>
  <c r="F3466" i="53"/>
  <c r="G3466" i="53" s="1"/>
  <c r="F4587" i="53"/>
  <c r="G4587" i="53" s="1"/>
  <c r="F3329" i="53"/>
  <c r="G3329" i="53" s="1"/>
  <c r="G3334" i="53" s="1"/>
  <c r="G3382" i="53" s="1"/>
  <c r="F3185" i="53"/>
  <c r="G3185" i="53" s="1"/>
  <c r="G3190" i="53" s="1"/>
  <c r="G3238" i="53" s="1"/>
  <c r="F3257" i="53"/>
  <c r="G3257" i="53" s="1"/>
  <c r="G3262" i="53" s="1"/>
  <c r="G3310" i="53" s="1"/>
  <c r="F3039" i="53"/>
  <c r="G3039" i="53" s="1"/>
  <c r="F3113" i="53"/>
  <c r="G3113" i="53" s="1"/>
  <c r="G3118" i="53" s="1"/>
  <c r="G3166" i="53" s="1"/>
  <c r="F12800" i="53"/>
  <c r="G12800" i="53" s="1"/>
  <c r="G12805" i="53" s="1"/>
  <c r="G12853" i="53" s="1"/>
  <c r="J287" i="1" s="1"/>
  <c r="K287" i="1" s="1"/>
  <c r="F9875" i="53"/>
  <c r="G9875" i="53" s="1"/>
  <c r="F9947" i="53"/>
  <c r="G9947" i="53" s="1"/>
  <c r="F19339" i="53"/>
  <c r="G19339" i="53" s="1"/>
  <c r="L14" i="54"/>
  <c r="E22752" i="53"/>
  <c r="E19644" i="53"/>
  <c r="E20604" i="53"/>
  <c r="E19422" i="53"/>
  <c r="E19349" i="53"/>
  <c r="E19568" i="53"/>
  <c r="E19495" i="53"/>
  <c r="E19940" i="53"/>
  <c r="D12446" i="53"/>
  <c r="D12447" i="53"/>
  <c r="D12448" i="53"/>
  <c r="B12445" i="53"/>
  <c r="D12445" i="53"/>
  <c r="D12444" i="53"/>
  <c r="G12471" i="53"/>
  <c r="G12496" i="53"/>
  <c r="F15522" i="53"/>
  <c r="G15522" i="53" s="1"/>
  <c r="D15522" i="53"/>
  <c r="B15522" i="53"/>
  <c r="G13003" i="53" l="1"/>
  <c r="G13007" i="53" s="1"/>
  <c r="G12938" i="53" s="1"/>
  <c r="J409" i="1"/>
  <c r="G21513" i="53"/>
  <c r="G21515" i="53"/>
  <c r="G21519" i="53" s="1"/>
  <c r="G21514" i="53"/>
  <c r="G4184" i="53"/>
  <c r="G4232" i="53" s="1"/>
  <c r="G4114" i="53"/>
  <c r="G4162" i="53" s="1"/>
  <c r="J69" i="1"/>
  <c r="N69" i="1" s="1"/>
  <c r="J81" i="1"/>
  <c r="G833" i="53"/>
  <c r="G837" i="53" s="1"/>
  <c r="G831" i="53"/>
  <c r="G832" i="53"/>
  <c r="J76" i="1"/>
  <c r="G3472" i="53"/>
  <c r="G3520" i="53" s="1"/>
  <c r="J70" i="1" s="1"/>
  <c r="J59" i="1"/>
  <c r="J286" i="1"/>
  <c r="G3026" i="53"/>
  <c r="G3030" i="53" s="1"/>
  <c r="G3025" i="53"/>
  <c r="J233" i="1"/>
  <c r="G3024" i="53"/>
  <c r="L21" i="1"/>
  <c r="M21" i="1"/>
  <c r="L287" i="1"/>
  <c r="M287" i="1"/>
  <c r="O287" i="1"/>
  <c r="N287" i="1"/>
  <c r="K21" i="1"/>
  <c r="N21" i="1"/>
  <c r="G967" i="53"/>
  <c r="G968" i="53"/>
  <c r="G969" i="53"/>
  <c r="G973" i="53" s="1"/>
  <c r="J83" i="1"/>
  <c r="J77" i="1"/>
  <c r="J49" i="1"/>
  <c r="G2474" i="53"/>
  <c r="G2476" i="53"/>
  <c r="G2480" i="53" s="1"/>
  <c r="G2475" i="53"/>
  <c r="G4596" i="53"/>
  <c r="G4644" i="53" s="1"/>
  <c r="G4094" i="53"/>
  <c r="G4095" i="53"/>
  <c r="G4096" i="53"/>
  <c r="G4100" i="53" s="1"/>
  <c r="G3880" i="53"/>
  <c r="G3881" i="53"/>
  <c r="G3882" i="53"/>
  <c r="G3886" i="53" s="1"/>
  <c r="J63" i="1"/>
  <c r="G3314" i="53"/>
  <c r="G3318" i="53" s="1"/>
  <c r="G3312" i="53"/>
  <c r="G3313" i="53"/>
  <c r="J62" i="1"/>
  <c r="G3241" i="53"/>
  <c r="G3242" i="53"/>
  <c r="G3246" i="53" s="1"/>
  <c r="G3240" i="53"/>
  <c r="J64" i="1"/>
  <c r="G3386" i="53"/>
  <c r="G3390" i="53" s="1"/>
  <c r="G3385" i="53"/>
  <c r="G3384" i="53"/>
  <c r="J61" i="1"/>
  <c r="G3170" i="53"/>
  <c r="G3174" i="53" s="1"/>
  <c r="G3169" i="53"/>
  <c r="G3168" i="53"/>
  <c r="J234" i="1"/>
  <c r="G12856" i="53"/>
  <c r="G12857" i="53"/>
  <c r="G12861" i="53" s="1"/>
  <c r="G12855" i="53"/>
  <c r="F22752" i="53"/>
  <c r="G22752" i="53" s="1"/>
  <c r="F20604" i="53"/>
  <c r="G20604" i="53" s="1"/>
  <c r="F19349" i="53"/>
  <c r="G19349" i="53" s="1"/>
  <c r="F19568" i="53"/>
  <c r="G19568" i="53" s="1"/>
  <c r="F19422" i="53"/>
  <c r="G19422" i="53" s="1"/>
  <c r="F19495" i="53"/>
  <c r="G19495" i="53" s="1"/>
  <c r="F19940" i="53"/>
  <c r="G19940" i="53" s="1"/>
  <c r="F19644" i="53"/>
  <c r="G19644" i="53" s="1"/>
  <c r="G21517" i="53" l="1"/>
  <c r="G21521" i="53" s="1"/>
  <c r="G21452" i="53" s="1"/>
  <c r="J85" i="1"/>
  <c r="K85" i="1" s="1"/>
  <c r="G4234" i="53"/>
  <c r="G4236" i="53"/>
  <c r="G4240" i="53" s="1"/>
  <c r="G4235" i="53"/>
  <c r="L69" i="1"/>
  <c r="G4165" i="53"/>
  <c r="J84" i="1"/>
  <c r="L84" i="1" s="1"/>
  <c r="G4166" i="53"/>
  <c r="G4170" i="53" s="1"/>
  <c r="G4164" i="53"/>
  <c r="K69" i="1"/>
  <c r="M69" i="1"/>
  <c r="O69" i="1"/>
  <c r="K81" i="1"/>
  <c r="M81" i="1"/>
  <c r="N81" i="1"/>
  <c r="L81" i="1"/>
  <c r="O81" i="1"/>
  <c r="G835" i="53"/>
  <c r="G839" i="53" s="1"/>
  <c r="G773" i="53" s="1"/>
  <c r="O76" i="1"/>
  <c r="N76" i="1"/>
  <c r="M76" i="1"/>
  <c r="L76" i="1"/>
  <c r="K76" i="1"/>
  <c r="M77" i="1"/>
  <c r="K77" i="1"/>
  <c r="L77" i="1"/>
  <c r="N77" i="1"/>
  <c r="O77" i="1"/>
  <c r="G3523" i="53"/>
  <c r="G3522" i="53"/>
  <c r="G3524" i="53"/>
  <c r="G3528" i="53" s="1"/>
  <c r="L286" i="1"/>
  <c r="O286" i="1"/>
  <c r="K286" i="1"/>
  <c r="N286" i="1"/>
  <c r="M286" i="1"/>
  <c r="K59" i="1"/>
  <c r="O59" i="1"/>
  <c r="N59" i="1"/>
  <c r="M59" i="1"/>
  <c r="L59" i="1"/>
  <c r="L233" i="1"/>
  <c r="K233" i="1"/>
  <c r="O233" i="1"/>
  <c r="M233" i="1"/>
  <c r="N233" i="1"/>
  <c r="G3028" i="53"/>
  <c r="G3032" i="53" s="1"/>
  <c r="G2965" i="53" s="1"/>
  <c r="K234" i="1"/>
  <c r="L234" i="1"/>
  <c r="M234" i="1"/>
  <c r="O234" i="1"/>
  <c r="N234" i="1"/>
  <c r="K19" i="1"/>
  <c r="N19" i="1"/>
  <c r="O19" i="1"/>
  <c r="M19" i="1"/>
  <c r="L19" i="1"/>
  <c r="K64" i="1"/>
  <c r="L64" i="1"/>
  <c r="K63" i="1"/>
  <c r="L63" i="1"/>
  <c r="L62" i="1"/>
  <c r="K62" i="1"/>
  <c r="K49" i="1"/>
  <c r="L49" i="1"/>
  <c r="L83" i="1"/>
  <c r="K83" i="1"/>
  <c r="K61" i="1"/>
  <c r="L61" i="1"/>
  <c r="N63" i="1"/>
  <c r="O63" i="1"/>
  <c r="M63" i="1"/>
  <c r="N83" i="1"/>
  <c r="M83" i="1"/>
  <c r="O83" i="1"/>
  <c r="O61" i="1"/>
  <c r="N61" i="1"/>
  <c r="M61" i="1"/>
  <c r="M62" i="1"/>
  <c r="O62" i="1"/>
  <c r="N62" i="1"/>
  <c r="O64" i="1"/>
  <c r="N64" i="1"/>
  <c r="M64" i="1"/>
  <c r="O49" i="1"/>
  <c r="N49" i="1"/>
  <c r="M49" i="1"/>
  <c r="G971" i="53"/>
  <c r="G975" i="53" s="1"/>
  <c r="G909" i="53" s="1"/>
  <c r="G2478" i="53"/>
  <c r="G2482" i="53" s="1"/>
  <c r="G2418" i="53" s="1"/>
  <c r="G4646" i="53"/>
  <c r="G4647" i="53"/>
  <c r="J91" i="1"/>
  <c r="G4648" i="53"/>
  <c r="G4652" i="53" s="1"/>
  <c r="G4098" i="53"/>
  <c r="G4102" i="53" s="1"/>
  <c r="G4033" i="53" s="1"/>
  <c r="G3884" i="53"/>
  <c r="G3888" i="53" s="1"/>
  <c r="G3818" i="53" s="1"/>
  <c r="G3316" i="53"/>
  <c r="G3320" i="53" s="1"/>
  <c r="G3251" i="53" s="1"/>
  <c r="G3388" i="53"/>
  <c r="G3392" i="53" s="1"/>
  <c r="G3323" i="53" s="1"/>
  <c r="G3244" i="53"/>
  <c r="G3248" i="53" s="1"/>
  <c r="G3179" i="53" s="1"/>
  <c r="G3172" i="53"/>
  <c r="G3176" i="53" s="1"/>
  <c r="G3107" i="53" s="1"/>
  <c r="G12859" i="53"/>
  <c r="G12863" i="53" s="1"/>
  <c r="G12794" i="53" s="1"/>
  <c r="A9729" i="53"/>
  <c r="A9728" i="53"/>
  <c r="D9728" i="53" s="1"/>
  <c r="E58" i="55"/>
  <c r="C58" i="55" s="1"/>
  <c r="F10085" i="53" s="1"/>
  <c r="G10085" i="53" s="1"/>
  <c r="E55" i="55"/>
  <c r="C55" i="55" s="1"/>
  <c r="F10084" i="53" s="1"/>
  <c r="G10084" i="53" s="1"/>
  <c r="E54" i="55"/>
  <c r="E53" i="55"/>
  <c r="C53" i="55" s="1"/>
  <c r="B9800" i="53"/>
  <c r="A9731" i="53"/>
  <c r="A9732" i="53"/>
  <c r="D9732" i="53" s="1"/>
  <c r="A9733" i="53"/>
  <c r="B9733" i="53" s="1"/>
  <c r="A9730" i="53"/>
  <c r="B9725" i="53"/>
  <c r="G9780" i="53"/>
  <c r="G9779" i="53"/>
  <c r="G9778" i="53"/>
  <c r="G9777" i="53"/>
  <c r="G9776" i="53"/>
  <c r="D9771" i="53"/>
  <c r="B9771" i="53"/>
  <c r="D9770" i="53"/>
  <c r="B9770" i="53"/>
  <c r="D9769" i="53"/>
  <c r="B9769" i="53"/>
  <c r="E9768" i="53"/>
  <c r="D9768" i="53"/>
  <c r="B9768" i="53"/>
  <c r="E9767" i="53"/>
  <c r="D9767" i="53"/>
  <c r="B9767" i="53"/>
  <c r="E9766" i="53"/>
  <c r="D9766" i="53"/>
  <c r="B9766" i="53"/>
  <c r="E9765" i="53"/>
  <c r="D9765" i="53"/>
  <c r="B9765" i="53"/>
  <c r="E9764" i="53"/>
  <c r="D9764" i="53"/>
  <c r="B9764" i="53"/>
  <c r="E9763" i="53"/>
  <c r="D9763" i="53"/>
  <c r="B9763" i="53"/>
  <c r="E9762" i="53"/>
  <c r="D9762" i="53"/>
  <c r="B9762" i="53"/>
  <c r="D9761" i="53"/>
  <c r="B9761" i="53"/>
  <c r="E9760" i="53"/>
  <c r="D9760" i="53"/>
  <c r="B9760" i="53"/>
  <c r="E9759" i="53"/>
  <c r="D9759" i="53"/>
  <c r="B9759" i="53"/>
  <c r="F9754" i="53"/>
  <c r="G9754" i="53" s="1"/>
  <c r="B9754" i="53"/>
  <c r="F9753" i="53"/>
  <c r="G9753" i="53" s="1"/>
  <c r="B9753" i="53"/>
  <c r="F9752" i="53"/>
  <c r="G9752" i="53" s="1"/>
  <c r="B9752" i="53"/>
  <c r="F9751" i="53"/>
  <c r="G9751" i="53" s="1"/>
  <c r="B9751" i="53"/>
  <c r="F9750" i="53"/>
  <c r="G9750" i="53" s="1"/>
  <c r="B9750" i="53"/>
  <c r="F9749" i="53"/>
  <c r="G9749" i="53" s="1"/>
  <c r="B9749" i="53"/>
  <c r="D9744" i="53"/>
  <c r="B9744" i="53"/>
  <c r="D9743" i="53"/>
  <c r="B9743" i="53"/>
  <c r="D9742" i="53"/>
  <c r="B9742" i="53"/>
  <c r="D9741" i="53"/>
  <c r="B9741" i="53"/>
  <c r="D9740" i="53"/>
  <c r="B9740" i="53"/>
  <c r="D9739" i="53"/>
  <c r="B9739" i="53"/>
  <c r="F9734" i="53"/>
  <c r="G9734" i="53" s="1"/>
  <c r="D9734" i="53"/>
  <c r="B9734" i="53"/>
  <c r="C198" i="55"/>
  <c r="F10159" i="53" s="1"/>
  <c r="G10159" i="53" s="1"/>
  <c r="E197" i="55"/>
  <c r="C197" i="55" s="1"/>
  <c r="F10158" i="53" s="1"/>
  <c r="G10158" i="53" s="1"/>
  <c r="E196" i="55"/>
  <c r="C196" i="55" s="1"/>
  <c r="F20005" i="53" s="1"/>
  <c r="G20005" i="53" s="1"/>
  <c r="C195" i="55"/>
  <c r="A9725" i="53"/>
  <c r="F14709" i="53"/>
  <c r="G14709" i="53" s="1"/>
  <c r="B14709" i="53"/>
  <c r="F14582" i="53"/>
  <c r="G14582" i="53" s="1"/>
  <c r="B14582" i="53"/>
  <c r="M85" i="1" l="1"/>
  <c r="L85" i="1"/>
  <c r="N85" i="1"/>
  <c r="O85" i="1"/>
  <c r="G4168" i="53"/>
  <c r="G4172" i="53" s="1"/>
  <c r="G4105" i="53" s="1"/>
  <c r="G4238" i="53"/>
  <c r="G4242" i="53" s="1"/>
  <c r="G4175" i="53" s="1"/>
  <c r="M84" i="1"/>
  <c r="N84" i="1"/>
  <c r="K84" i="1"/>
  <c r="O84" i="1"/>
  <c r="M70" i="1"/>
  <c r="N70" i="1"/>
  <c r="O70" i="1"/>
  <c r="K70" i="1"/>
  <c r="L70" i="1"/>
  <c r="G3526" i="53"/>
  <c r="G3530" i="53" s="1"/>
  <c r="G3461" i="53" s="1"/>
  <c r="L91" i="1"/>
  <c r="K91" i="1"/>
  <c r="O91" i="1"/>
  <c r="N91" i="1"/>
  <c r="M91" i="1"/>
  <c r="F10157" i="53"/>
  <c r="G10157" i="53" s="1"/>
  <c r="F23234" i="53"/>
  <c r="G23234" i="53" s="1"/>
  <c r="F10086" i="53"/>
  <c r="G10086" i="53" s="1"/>
  <c r="F10156" i="53"/>
  <c r="G10156" i="53" s="1"/>
  <c r="F10088" i="53"/>
  <c r="G10088" i="53" s="1"/>
  <c r="F10018" i="53"/>
  <c r="G10018" i="53" s="1"/>
  <c r="F10089" i="53"/>
  <c r="G10089" i="53" s="1"/>
  <c r="F10019" i="53"/>
  <c r="G10019" i="53" s="1"/>
  <c r="F10087" i="53"/>
  <c r="G10087" i="53" s="1"/>
  <c r="F10017" i="53"/>
  <c r="G10017" i="53" s="1"/>
  <c r="F1814" i="53"/>
  <c r="G1814" i="53" s="1"/>
  <c r="F2831" i="53"/>
  <c r="G2831" i="53" s="1"/>
  <c r="G4650" i="53"/>
  <c r="G4654" i="53" s="1"/>
  <c r="G4584" i="53" s="1"/>
  <c r="B9799" i="53"/>
  <c r="B9657" i="53"/>
  <c r="F9799" i="53"/>
  <c r="G9799" i="53" s="1"/>
  <c r="F9657" i="53"/>
  <c r="G9657" i="53" s="1"/>
  <c r="F9803" i="53"/>
  <c r="G9803" i="53" s="1"/>
  <c r="F9661" i="53"/>
  <c r="G9661" i="53" s="1"/>
  <c r="F9800" i="53"/>
  <c r="G9800" i="53" s="1"/>
  <c r="F9658" i="53"/>
  <c r="G9658" i="53" s="1"/>
  <c r="F9804" i="53"/>
  <c r="G9804" i="53" s="1"/>
  <c r="F9662" i="53"/>
  <c r="G9662" i="53" s="1"/>
  <c r="F9801" i="53"/>
  <c r="G9801" i="53" s="1"/>
  <c r="F9659" i="53"/>
  <c r="G9659" i="53" s="1"/>
  <c r="F9802" i="53"/>
  <c r="G9802" i="53" s="1"/>
  <c r="F9660" i="53"/>
  <c r="G9660" i="53" s="1"/>
  <c r="B9729" i="53"/>
  <c r="F9730" i="53"/>
  <c r="G9730" i="53" s="1"/>
  <c r="F9733" i="53"/>
  <c r="G9733" i="53" s="1"/>
  <c r="G9755" i="53"/>
  <c r="F9732" i="53"/>
  <c r="G9732" i="53" s="1"/>
  <c r="D9729" i="53"/>
  <c r="B9732" i="53"/>
  <c r="F9731" i="53"/>
  <c r="G9731" i="53" s="1"/>
  <c r="D9731" i="53"/>
  <c r="B9728" i="53"/>
  <c r="G9781" i="53"/>
  <c r="F9728" i="53"/>
  <c r="G9728" i="53" s="1"/>
  <c r="B9730" i="53"/>
  <c r="D9733" i="53"/>
  <c r="D9730" i="53"/>
  <c r="B9731" i="53"/>
  <c r="F14519" i="53"/>
  <c r="G14519" i="53" s="1"/>
  <c r="B14519" i="53"/>
  <c r="B13729" i="53"/>
  <c r="A13732" i="53"/>
  <c r="D13732" i="53" s="1"/>
  <c r="C193" i="55"/>
  <c r="F10016" i="53" s="1"/>
  <c r="G10016" i="53" s="1"/>
  <c r="C194" i="55"/>
  <c r="G13785" i="53"/>
  <c r="G13784" i="53"/>
  <c r="G13783" i="53"/>
  <c r="G13782" i="53"/>
  <c r="G13781" i="53"/>
  <c r="D13776" i="53"/>
  <c r="B13776" i="53"/>
  <c r="D13775" i="53"/>
  <c r="B13775" i="53"/>
  <c r="D13774" i="53"/>
  <c r="B13774" i="53"/>
  <c r="E13773" i="53"/>
  <c r="D13773" i="53"/>
  <c r="B13773" i="53"/>
  <c r="E13772" i="53"/>
  <c r="D13772" i="53"/>
  <c r="B13772" i="53"/>
  <c r="E13771" i="53"/>
  <c r="D13771" i="53"/>
  <c r="B13771" i="53"/>
  <c r="E13770" i="53"/>
  <c r="D13770" i="53"/>
  <c r="B13770" i="53"/>
  <c r="E13769" i="53"/>
  <c r="D13769" i="53"/>
  <c r="B13769" i="53"/>
  <c r="E13768" i="53"/>
  <c r="D13768" i="53"/>
  <c r="B13768" i="53"/>
  <c r="E13767" i="53"/>
  <c r="D13767" i="53"/>
  <c r="B13767" i="53"/>
  <c r="D13766" i="53"/>
  <c r="B13766" i="53"/>
  <c r="E13765" i="53"/>
  <c r="D13765" i="53"/>
  <c r="B13765" i="53"/>
  <c r="E13764" i="53"/>
  <c r="D13764" i="53"/>
  <c r="B13764" i="53"/>
  <c r="F13759" i="53"/>
  <c r="G13759" i="53" s="1"/>
  <c r="B13759" i="53"/>
  <c r="F13758" i="53"/>
  <c r="G13758" i="53" s="1"/>
  <c r="B13758" i="53"/>
  <c r="F13757" i="53"/>
  <c r="G13757" i="53" s="1"/>
  <c r="B13757" i="53"/>
  <c r="F13756" i="53"/>
  <c r="G13756" i="53" s="1"/>
  <c r="B13756" i="53"/>
  <c r="F13755" i="53"/>
  <c r="G13755" i="53" s="1"/>
  <c r="B13755" i="53"/>
  <c r="F13754" i="53"/>
  <c r="G13754" i="53" s="1"/>
  <c r="B13754" i="53"/>
  <c r="D13749" i="53"/>
  <c r="B13749" i="53"/>
  <c r="D13748" i="53"/>
  <c r="B13748" i="53"/>
  <c r="D13747" i="53"/>
  <c r="B13747" i="53"/>
  <c r="D13746" i="53"/>
  <c r="B13746" i="53"/>
  <c r="F13745" i="53"/>
  <c r="E13745" i="53"/>
  <c r="D13745" i="53"/>
  <c r="B13745" i="53"/>
  <c r="D13744" i="53"/>
  <c r="B13744" i="53"/>
  <c r="D13743" i="53"/>
  <c r="B13743" i="53"/>
  <c r="F13738" i="53"/>
  <c r="G13738" i="53" s="1"/>
  <c r="D13738" i="53"/>
  <c r="B13738" i="53"/>
  <c r="F13737" i="53"/>
  <c r="G13737" i="53" s="1"/>
  <c r="D13737" i="53"/>
  <c r="B13737" i="53"/>
  <c r="F13736" i="53"/>
  <c r="G13736" i="53" s="1"/>
  <c r="D13736" i="53"/>
  <c r="B13736" i="53"/>
  <c r="F13735" i="53"/>
  <c r="G13735" i="53" s="1"/>
  <c r="D13735" i="53"/>
  <c r="B13735" i="53"/>
  <c r="F13734" i="53"/>
  <c r="G13734" i="53" s="1"/>
  <c r="D13734" i="53"/>
  <c r="B13734" i="53"/>
  <c r="D13733" i="53"/>
  <c r="F13733" i="53"/>
  <c r="G13733" i="53" s="1"/>
  <c r="B13657" i="53"/>
  <c r="A13729" i="53"/>
  <c r="F11859" i="53"/>
  <c r="G11859" i="53" s="1"/>
  <c r="B11859" i="53"/>
  <c r="F11724" i="53"/>
  <c r="G11724" i="53" s="1"/>
  <c r="B11724" i="53"/>
  <c r="F17924" i="53"/>
  <c r="B17924" i="53"/>
  <c r="F17923" i="53"/>
  <c r="B17923" i="53"/>
  <c r="F17922" i="53"/>
  <c r="B17922" i="53"/>
  <c r="F17921" i="53"/>
  <c r="B17921" i="53"/>
  <c r="F17920" i="53"/>
  <c r="B17920" i="53"/>
  <c r="F17919" i="53"/>
  <c r="B17919" i="53"/>
  <c r="F18139" i="53"/>
  <c r="B18139" i="53"/>
  <c r="F18138" i="53"/>
  <c r="B18138" i="53"/>
  <c r="F18137" i="53"/>
  <c r="B18137" i="53"/>
  <c r="F18136" i="53"/>
  <c r="B18136" i="53"/>
  <c r="F18135" i="53"/>
  <c r="B18135" i="53"/>
  <c r="F18134" i="53"/>
  <c r="B18134" i="53"/>
  <c r="F23050" i="53"/>
  <c r="B23050" i="53"/>
  <c r="F23049" i="53"/>
  <c r="B23049" i="53"/>
  <c r="F23048" i="53"/>
  <c r="B23048" i="53"/>
  <c r="F23047" i="53"/>
  <c r="B23047" i="53"/>
  <c r="F23046" i="53"/>
  <c r="B23046" i="53"/>
  <c r="F23045" i="53"/>
  <c r="B23045" i="53"/>
  <c r="F23121" i="53"/>
  <c r="B23121" i="53"/>
  <c r="F23120" i="53"/>
  <c r="B23120" i="53"/>
  <c r="F23119" i="53"/>
  <c r="B23119" i="53"/>
  <c r="F23118" i="53"/>
  <c r="B23118" i="53"/>
  <c r="F23117" i="53"/>
  <c r="B23117" i="53"/>
  <c r="F23116" i="53"/>
  <c r="B23116" i="53"/>
  <c r="F22694" i="53"/>
  <c r="B22694" i="53"/>
  <c r="F22693" i="53"/>
  <c r="B22693" i="53"/>
  <c r="F22692" i="53"/>
  <c r="B22692" i="53"/>
  <c r="F22691" i="53"/>
  <c r="B22691" i="53"/>
  <c r="F22690" i="53"/>
  <c r="B22690" i="53"/>
  <c r="F22689" i="53"/>
  <c r="B22689" i="53"/>
  <c r="F22551" i="53"/>
  <c r="B22551" i="53"/>
  <c r="F22550" i="53"/>
  <c r="B22550" i="53"/>
  <c r="F22549" i="53"/>
  <c r="B22549" i="53"/>
  <c r="F22548" i="53"/>
  <c r="B22548" i="53"/>
  <c r="F22547" i="53"/>
  <c r="B22547" i="53"/>
  <c r="F22546" i="53"/>
  <c r="B22546" i="53"/>
  <c r="F22409" i="53"/>
  <c r="B22409" i="53"/>
  <c r="F22408" i="53"/>
  <c r="B22408" i="53"/>
  <c r="F22407" i="53"/>
  <c r="B22407" i="53"/>
  <c r="F22406" i="53"/>
  <c r="B22406" i="53"/>
  <c r="F22405" i="53"/>
  <c r="B22405" i="53"/>
  <c r="F22404" i="53"/>
  <c r="B22404" i="53"/>
  <c r="F22338" i="53"/>
  <c r="B22338" i="53"/>
  <c r="F22337" i="53"/>
  <c r="B22337" i="53"/>
  <c r="F22336" i="53"/>
  <c r="B22336" i="53"/>
  <c r="F22335" i="53"/>
  <c r="B22335" i="53"/>
  <c r="F22334" i="53"/>
  <c r="B22334" i="53"/>
  <c r="F22333" i="53"/>
  <c r="B22333" i="53"/>
  <c r="F22266" i="53"/>
  <c r="B22266" i="53"/>
  <c r="F22265" i="53"/>
  <c r="B22265" i="53"/>
  <c r="F22264" i="53"/>
  <c r="B22264" i="53"/>
  <c r="F22263" i="53"/>
  <c r="B22263" i="53"/>
  <c r="F22262" i="53"/>
  <c r="B22262" i="53"/>
  <c r="F22261" i="53"/>
  <c r="B22261" i="53"/>
  <c r="F22195" i="53"/>
  <c r="B22195" i="53"/>
  <c r="F22194" i="53"/>
  <c r="B22194" i="53"/>
  <c r="F22193" i="53"/>
  <c r="B22193" i="53"/>
  <c r="F22192" i="53"/>
  <c r="B22192" i="53"/>
  <c r="F22191" i="53"/>
  <c r="B22191" i="53"/>
  <c r="F22190" i="53"/>
  <c r="B22190" i="53"/>
  <c r="F21985" i="53"/>
  <c r="B21985" i="53"/>
  <c r="F21984" i="53"/>
  <c r="B21984" i="53"/>
  <c r="F21983" i="53"/>
  <c r="B21983" i="53"/>
  <c r="F21982" i="53"/>
  <c r="B21982" i="53"/>
  <c r="F21981" i="53"/>
  <c r="B21981" i="53"/>
  <c r="F21980" i="53"/>
  <c r="B21980" i="53"/>
  <c r="F20399" i="53"/>
  <c r="B20399" i="53"/>
  <c r="F20398" i="53"/>
  <c r="B20398" i="53"/>
  <c r="F20397" i="53"/>
  <c r="B20397" i="53"/>
  <c r="F20396" i="53"/>
  <c r="B20396" i="53"/>
  <c r="F20395" i="53"/>
  <c r="B20395" i="53"/>
  <c r="F20394" i="53"/>
  <c r="B20394" i="53"/>
  <c r="F20325" i="53"/>
  <c r="B20325" i="53"/>
  <c r="F20324" i="53"/>
  <c r="B20324" i="53"/>
  <c r="F20323" i="53"/>
  <c r="B20323" i="53"/>
  <c r="F20322" i="53"/>
  <c r="B20322" i="53"/>
  <c r="F20321" i="53"/>
  <c r="B20321" i="53"/>
  <c r="F20320" i="53"/>
  <c r="B20320" i="53"/>
  <c r="F20907" i="53"/>
  <c r="B20907" i="53"/>
  <c r="F20906" i="53"/>
  <c r="B20906" i="53"/>
  <c r="F20905" i="53"/>
  <c r="B20905" i="53"/>
  <c r="F20904" i="53"/>
  <c r="B20904" i="53"/>
  <c r="F20903" i="53"/>
  <c r="B20903" i="53"/>
  <c r="F20902" i="53"/>
  <c r="B20902" i="53"/>
  <c r="F20541" i="53"/>
  <c r="B20541" i="53"/>
  <c r="F20540" i="53"/>
  <c r="B20540" i="53"/>
  <c r="F20539" i="53"/>
  <c r="B20539" i="53"/>
  <c r="F20538" i="53"/>
  <c r="B20538" i="53"/>
  <c r="F20537" i="53"/>
  <c r="B20537" i="53"/>
  <c r="F20536" i="53"/>
  <c r="B20536" i="53"/>
  <c r="F19212" i="53"/>
  <c r="B19212" i="53"/>
  <c r="F19211" i="53"/>
  <c r="B19211" i="53"/>
  <c r="F19210" i="53"/>
  <c r="B19210" i="53"/>
  <c r="F19209" i="53"/>
  <c r="B19209" i="53"/>
  <c r="F19208" i="53"/>
  <c r="B19208" i="53"/>
  <c r="F19207" i="53"/>
  <c r="B19207" i="53"/>
  <c r="F21270" i="53"/>
  <c r="B21270" i="53"/>
  <c r="F21269" i="53"/>
  <c r="B21269" i="53"/>
  <c r="F21268" i="53"/>
  <c r="B21268" i="53"/>
  <c r="F21267" i="53"/>
  <c r="B21267" i="53"/>
  <c r="F21266" i="53"/>
  <c r="B21266" i="53"/>
  <c r="F21265" i="53"/>
  <c r="B21265" i="53"/>
  <c r="F18993" i="53"/>
  <c r="B18993" i="53"/>
  <c r="F18992" i="53"/>
  <c r="B18992" i="53"/>
  <c r="F18991" i="53"/>
  <c r="B18991" i="53"/>
  <c r="F18990" i="53"/>
  <c r="B18990" i="53"/>
  <c r="F18989" i="53"/>
  <c r="B18989" i="53"/>
  <c r="F18988" i="53"/>
  <c r="B18988" i="53"/>
  <c r="F16307" i="53"/>
  <c r="B16307" i="53"/>
  <c r="F16306" i="53"/>
  <c r="B16306" i="53"/>
  <c r="F16305" i="53"/>
  <c r="B16305" i="53"/>
  <c r="F16304" i="53"/>
  <c r="B16304" i="53"/>
  <c r="F16303" i="53"/>
  <c r="B16303" i="53"/>
  <c r="F16302" i="53"/>
  <c r="B16302" i="53"/>
  <c r="F18919" i="53"/>
  <c r="B18919" i="53"/>
  <c r="F18918" i="53"/>
  <c r="B18918" i="53"/>
  <c r="F18917" i="53"/>
  <c r="B18917" i="53"/>
  <c r="F18916" i="53"/>
  <c r="B18916" i="53"/>
  <c r="F18915" i="53"/>
  <c r="B18915" i="53"/>
  <c r="F18914" i="53"/>
  <c r="B18914" i="53"/>
  <c r="F18774" i="53"/>
  <c r="B18774" i="53"/>
  <c r="F18773" i="53"/>
  <c r="B18773" i="53"/>
  <c r="F18772" i="53"/>
  <c r="B18772" i="53"/>
  <c r="F18771" i="53"/>
  <c r="B18771" i="53"/>
  <c r="F18770" i="53"/>
  <c r="B18770" i="53"/>
  <c r="F18769" i="53"/>
  <c r="B18769" i="53"/>
  <c r="F18847" i="53"/>
  <c r="B18847" i="53"/>
  <c r="F18846" i="53"/>
  <c r="B18846" i="53"/>
  <c r="F18845" i="53"/>
  <c r="B18845" i="53"/>
  <c r="F18844" i="53"/>
  <c r="B18844" i="53"/>
  <c r="F18843" i="53"/>
  <c r="B18843" i="53"/>
  <c r="F18842" i="53"/>
  <c r="B18842" i="53"/>
  <c r="F18634" i="53"/>
  <c r="B18634" i="53"/>
  <c r="F18633" i="53"/>
  <c r="B18633" i="53"/>
  <c r="F18632" i="53"/>
  <c r="B18632" i="53"/>
  <c r="F18631" i="53"/>
  <c r="B18631" i="53"/>
  <c r="F18630" i="53"/>
  <c r="B18630" i="53"/>
  <c r="F18629" i="53"/>
  <c r="B18629" i="53"/>
  <c r="F18069" i="53"/>
  <c r="B18069" i="53"/>
  <c r="F18068" i="53"/>
  <c r="B18068" i="53"/>
  <c r="F18067" i="53"/>
  <c r="B18067" i="53"/>
  <c r="F18066" i="53"/>
  <c r="B18066" i="53"/>
  <c r="F18065" i="53"/>
  <c r="B18065" i="53"/>
  <c r="F18064" i="53"/>
  <c r="B18064" i="53"/>
  <c r="F17782" i="53"/>
  <c r="B17782" i="53"/>
  <c r="F17781" i="53"/>
  <c r="B17781" i="53"/>
  <c r="F17780" i="53"/>
  <c r="B17780" i="53"/>
  <c r="F17779" i="53"/>
  <c r="B17779" i="53"/>
  <c r="F17778" i="53"/>
  <c r="B17778" i="53"/>
  <c r="F17777" i="53"/>
  <c r="B17777" i="53"/>
  <c r="F17712" i="53"/>
  <c r="B17712" i="53"/>
  <c r="F17711" i="53"/>
  <c r="B17711" i="53"/>
  <c r="F17710" i="53"/>
  <c r="B17710" i="53"/>
  <c r="F17709" i="53"/>
  <c r="B17709" i="53"/>
  <c r="F17708" i="53"/>
  <c r="B17708" i="53"/>
  <c r="F17707" i="53"/>
  <c r="B17707" i="53"/>
  <c r="F17644" i="53"/>
  <c r="B17644" i="53"/>
  <c r="F17643" i="53"/>
  <c r="B17643" i="53"/>
  <c r="F17642" i="53"/>
  <c r="B17642" i="53"/>
  <c r="F17641" i="53"/>
  <c r="B17641" i="53"/>
  <c r="F17640" i="53"/>
  <c r="B17640" i="53"/>
  <c r="F17639" i="53"/>
  <c r="B17639" i="53"/>
  <c r="F17215" i="53"/>
  <c r="B17215" i="53"/>
  <c r="F17214" i="53"/>
  <c r="B17214" i="53"/>
  <c r="F17213" i="53"/>
  <c r="B17213" i="53"/>
  <c r="F17212" i="53"/>
  <c r="B17212" i="53"/>
  <c r="F17211" i="53"/>
  <c r="B17211" i="53"/>
  <c r="F17210" i="53"/>
  <c r="B17210" i="53"/>
  <c r="F17004" i="53"/>
  <c r="B17004" i="53"/>
  <c r="F17003" i="53"/>
  <c r="B17003" i="53"/>
  <c r="F17002" i="53"/>
  <c r="B17002" i="53"/>
  <c r="F17001" i="53"/>
  <c r="B17001" i="53"/>
  <c r="F17000" i="53"/>
  <c r="B17000" i="53"/>
  <c r="F16999" i="53"/>
  <c r="B16999" i="53"/>
  <c r="F16936" i="53"/>
  <c r="B16936" i="53"/>
  <c r="F16935" i="53"/>
  <c r="B16935" i="53"/>
  <c r="F16934" i="53"/>
  <c r="B16934" i="53"/>
  <c r="F16933" i="53"/>
  <c r="B16933" i="53"/>
  <c r="F16932" i="53"/>
  <c r="B16932" i="53"/>
  <c r="F16931" i="53"/>
  <c r="B16931" i="53"/>
  <c r="F16865" i="53"/>
  <c r="B16865" i="53"/>
  <c r="F16864" i="53"/>
  <c r="B16864" i="53"/>
  <c r="F16863" i="53"/>
  <c r="B16863" i="53"/>
  <c r="F16862" i="53"/>
  <c r="B16862" i="53"/>
  <c r="F16861" i="53"/>
  <c r="B16861" i="53"/>
  <c r="F16860" i="53"/>
  <c r="B16860" i="53"/>
  <c r="F13687" i="53"/>
  <c r="B13687" i="53"/>
  <c r="F13686" i="53"/>
  <c r="B13686" i="53"/>
  <c r="F13685" i="53"/>
  <c r="B13685" i="53"/>
  <c r="F13684" i="53"/>
  <c r="B13684" i="53"/>
  <c r="F13683" i="53"/>
  <c r="B13683" i="53"/>
  <c r="F13682" i="53"/>
  <c r="B13682" i="53"/>
  <c r="F16372" i="53"/>
  <c r="B16372" i="53"/>
  <c r="F16371" i="53"/>
  <c r="B16371" i="53"/>
  <c r="F16370" i="53"/>
  <c r="B16370" i="53"/>
  <c r="F16369" i="53"/>
  <c r="B16369" i="53"/>
  <c r="F16368" i="53"/>
  <c r="B16368" i="53"/>
  <c r="F16367" i="53"/>
  <c r="B16367" i="53"/>
  <c r="F16099" i="53"/>
  <c r="B16099" i="53"/>
  <c r="F16098" i="53"/>
  <c r="B16098" i="53"/>
  <c r="F16097" i="53"/>
  <c r="B16097" i="53"/>
  <c r="F16096" i="53"/>
  <c r="B16096" i="53"/>
  <c r="F16095" i="53"/>
  <c r="B16095" i="53"/>
  <c r="F16094" i="53"/>
  <c r="B16094" i="53"/>
  <c r="F16033" i="53"/>
  <c r="B16033" i="53"/>
  <c r="F16032" i="53"/>
  <c r="B16032" i="53"/>
  <c r="F16031" i="53"/>
  <c r="B16031" i="53"/>
  <c r="F16030" i="53"/>
  <c r="B16030" i="53"/>
  <c r="F16029" i="53"/>
  <c r="B16029" i="53"/>
  <c r="F16028" i="53"/>
  <c r="B16028" i="53"/>
  <c r="F15826" i="53"/>
  <c r="B15826" i="53"/>
  <c r="F15825" i="53"/>
  <c r="B15825" i="53"/>
  <c r="F15824" i="53"/>
  <c r="B15824" i="53"/>
  <c r="F15823" i="53"/>
  <c r="B15823" i="53"/>
  <c r="F15822" i="53"/>
  <c r="B15822" i="53"/>
  <c r="F15821" i="53"/>
  <c r="B15821" i="53"/>
  <c r="F15965" i="53"/>
  <c r="B15965" i="53"/>
  <c r="F15964" i="53"/>
  <c r="B15964" i="53"/>
  <c r="F15963" i="53"/>
  <c r="B15963" i="53"/>
  <c r="F15962" i="53"/>
  <c r="B15962" i="53"/>
  <c r="F15961" i="53"/>
  <c r="B15961" i="53"/>
  <c r="F15960" i="53"/>
  <c r="B15960" i="53"/>
  <c r="F15893" i="53"/>
  <c r="B15893" i="53"/>
  <c r="F15892" i="53"/>
  <c r="B15892" i="53"/>
  <c r="F15891" i="53"/>
  <c r="B15891" i="53"/>
  <c r="F15890" i="53"/>
  <c r="B15890" i="53"/>
  <c r="F15889" i="53"/>
  <c r="B15889" i="53"/>
  <c r="F15888" i="53"/>
  <c r="B15888" i="53"/>
  <c r="F15686" i="53"/>
  <c r="B15686" i="53"/>
  <c r="F15685" i="53"/>
  <c r="B15685" i="53"/>
  <c r="F15684" i="53"/>
  <c r="B15684" i="53"/>
  <c r="F15683" i="53"/>
  <c r="B15683" i="53"/>
  <c r="F15682" i="53"/>
  <c r="B15682" i="53"/>
  <c r="F15681" i="53"/>
  <c r="B15681" i="53"/>
  <c r="F15614" i="53"/>
  <c r="B15614" i="53"/>
  <c r="F15613" i="53"/>
  <c r="B15613" i="53"/>
  <c r="F15612" i="53"/>
  <c r="B15612" i="53"/>
  <c r="F15611" i="53"/>
  <c r="B15611" i="53"/>
  <c r="F15610" i="53"/>
  <c r="B15610" i="53"/>
  <c r="F15609" i="53"/>
  <c r="B15609" i="53"/>
  <c r="F15542" i="53"/>
  <c r="B15542" i="53"/>
  <c r="F15541" i="53"/>
  <c r="B15541" i="53"/>
  <c r="F15540" i="53"/>
  <c r="B15540" i="53"/>
  <c r="F15539" i="53"/>
  <c r="B15539" i="53"/>
  <c r="F15538" i="53"/>
  <c r="B15538" i="53"/>
  <c r="F15537" i="53"/>
  <c r="B15537" i="53"/>
  <c r="F14708" i="53"/>
  <c r="B14708" i="53"/>
  <c r="F14707" i="53"/>
  <c r="B14707" i="53"/>
  <c r="F14706" i="53"/>
  <c r="B14706" i="53"/>
  <c r="F14705" i="53"/>
  <c r="B14705" i="53"/>
  <c r="F14704" i="53"/>
  <c r="B14704" i="53"/>
  <c r="F14703" i="53"/>
  <c r="B14703" i="53"/>
  <c r="F14581" i="53"/>
  <c r="B14581" i="53"/>
  <c r="F14580" i="53"/>
  <c r="B14580" i="53"/>
  <c r="F14579" i="53"/>
  <c r="B14579" i="53"/>
  <c r="F14578" i="53"/>
  <c r="B14578" i="53"/>
  <c r="F14577" i="53"/>
  <c r="B14577" i="53"/>
  <c r="F14576" i="53"/>
  <c r="B14576" i="53"/>
  <c r="F14518" i="53"/>
  <c r="B14518" i="53"/>
  <c r="F14517" i="53"/>
  <c r="B14517" i="53"/>
  <c r="F14516" i="53"/>
  <c r="B14516" i="53"/>
  <c r="F14515" i="53"/>
  <c r="B14515" i="53"/>
  <c r="F14514" i="53"/>
  <c r="B14514" i="53"/>
  <c r="F14513" i="53"/>
  <c r="B14513" i="53"/>
  <c r="F13400" i="53"/>
  <c r="B13400" i="53"/>
  <c r="F13399" i="53"/>
  <c r="B13399" i="53"/>
  <c r="F13398" i="53"/>
  <c r="B13398" i="53"/>
  <c r="F13397" i="53"/>
  <c r="B13397" i="53"/>
  <c r="F13396" i="53"/>
  <c r="B13396" i="53"/>
  <c r="F13395" i="53"/>
  <c r="B13395" i="53"/>
  <c r="B12896" i="53"/>
  <c r="F12895" i="53"/>
  <c r="B12895" i="53"/>
  <c r="F12894" i="53"/>
  <c r="B12894" i="53"/>
  <c r="F12893" i="53"/>
  <c r="B12893" i="53"/>
  <c r="F12892" i="53"/>
  <c r="B12892" i="53"/>
  <c r="F12891" i="53"/>
  <c r="B12891" i="53"/>
  <c r="F12890" i="53"/>
  <c r="B12890" i="53"/>
  <c r="F15051" i="53"/>
  <c r="B15051" i="53"/>
  <c r="F15050" i="53"/>
  <c r="B15050" i="53"/>
  <c r="F15049" i="53"/>
  <c r="B15049" i="53"/>
  <c r="F15048" i="53"/>
  <c r="B15048" i="53"/>
  <c r="F15047" i="53"/>
  <c r="B15047" i="53"/>
  <c r="F15046" i="53"/>
  <c r="B15046" i="53"/>
  <c r="F14987" i="53"/>
  <c r="B14987" i="53"/>
  <c r="F14986" i="53"/>
  <c r="B14986" i="53"/>
  <c r="F14985" i="53"/>
  <c r="B14985" i="53"/>
  <c r="F14984" i="53"/>
  <c r="B14984" i="53"/>
  <c r="F14983" i="53"/>
  <c r="B14983" i="53"/>
  <c r="F14982" i="53"/>
  <c r="B14982" i="53"/>
  <c r="F11858" i="53"/>
  <c r="B11858" i="53"/>
  <c r="F11857" i="53"/>
  <c r="B11857" i="53"/>
  <c r="F11856" i="53"/>
  <c r="B11856" i="53"/>
  <c r="F11855" i="53"/>
  <c r="B11855" i="53"/>
  <c r="F11854" i="53"/>
  <c r="B11854" i="53"/>
  <c r="F11853" i="53"/>
  <c r="B11853" i="53"/>
  <c r="F11723" i="53"/>
  <c r="B11723" i="53"/>
  <c r="F11722" i="53"/>
  <c r="B11722" i="53"/>
  <c r="F11721" i="53"/>
  <c r="B11721" i="53"/>
  <c r="F11720" i="53"/>
  <c r="B11720" i="53"/>
  <c r="F11719" i="53"/>
  <c r="B11719" i="53"/>
  <c r="F11718" i="53"/>
  <c r="B11718" i="53"/>
  <c r="F11533" i="53"/>
  <c r="G11533" i="53" s="1"/>
  <c r="B11533" i="53"/>
  <c r="F11532" i="53"/>
  <c r="B11532" i="53"/>
  <c r="F11531" i="53"/>
  <c r="B11531" i="53"/>
  <c r="F11530" i="53"/>
  <c r="B11530" i="53"/>
  <c r="F11529" i="53"/>
  <c r="B11529" i="53"/>
  <c r="F11528" i="53"/>
  <c r="B11528" i="53"/>
  <c r="F11403" i="53"/>
  <c r="B11403" i="53"/>
  <c r="F11402" i="53"/>
  <c r="B11402" i="53"/>
  <c r="F11401" i="53"/>
  <c r="B11401" i="53"/>
  <c r="F11400" i="53"/>
  <c r="B11400" i="53"/>
  <c r="F11399" i="53"/>
  <c r="B11399" i="53"/>
  <c r="F11398" i="53"/>
  <c r="B11398" i="53"/>
  <c r="V9" i="54"/>
  <c r="F12896" i="53" s="1"/>
  <c r="G12896" i="53" s="1"/>
  <c r="A13662" i="53"/>
  <c r="E13677" i="53"/>
  <c r="D13677" i="53"/>
  <c r="B13677" i="53"/>
  <c r="K13" i="54"/>
  <c r="E13749" i="53" s="1"/>
  <c r="L13" i="54"/>
  <c r="F13749" i="53" s="1"/>
  <c r="A13657" i="53"/>
  <c r="Q8" i="54"/>
  <c r="K12" i="54"/>
  <c r="E14958" i="53"/>
  <c r="A15031" i="53"/>
  <c r="A14967" i="53"/>
  <c r="E26" i="55"/>
  <c r="E21" i="55"/>
  <c r="E11417" i="53"/>
  <c r="E11416" i="53"/>
  <c r="E11414" i="53"/>
  <c r="E11413" i="53"/>
  <c r="E11412" i="53"/>
  <c r="E11411" i="53"/>
  <c r="E11409" i="53"/>
  <c r="E11408" i="53"/>
  <c r="E11393" i="53"/>
  <c r="D11393" i="53"/>
  <c r="B11393" i="53"/>
  <c r="K11" i="54"/>
  <c r="L11" i="54" s="1"/>
  <c r="F11393" i="53" s="1"/>
  <c r="D11392" i="53"/>
  <c r="B11392" i="53"/>
  <c r="K3" i="54"/>
  <c r="K4" i="54"/>
  <c r="K5" i="54"/>
  <c r="L5" i="54" s="1"/>
  <c r="K6" i="54"/>
  <c r="K7" i="54"/>
  <c r="K8" i="54"/>
  <c r="K9" i="54"/>
  <c r="E11392" i="53" s="1"/>
  <c r="K10" i="54"/>
  <c r="K2" i="54"/>
  <c r="E13743" i="53" s="1"/>
  <c r="L4" i="54"/>
  <c r="L6" i="54"/>
  <c r="D17914" i="53"/>
  <c r="B17914" i="53"/>
  <c r="E17913" i="53"/>
  <c r="D17913" i="53"/>
  <c r="B17913" i="53"/>
  <c r="E17912" i="53"/>
  <c r="D17912" i="53"/>
  <c r="B17912" i="53"/>
  <c r="F17911" i="53"/>
  <c r="E17911" i="53"/>
  <c r="D17911" i="53"/>
  <c r="B17911" i="53"/>
  <c r="D17910" i="53"/>
  <c r="B17910" i="53"/>
  <c r="D17909" i="53"/>
  <c r="B17909" i="53"/>
  <c r="D18129" i="53"/>
  <c r="B18129" i="53"/>
  <c r="E18128" i="53"/>
  <c r="D18128" i="53"/>
  <c r="B18128" i="53"/>
  <c r="E18127" i="53"/>
  <c r="D18127" i="53"/>
  <c r="B18127" i="53"/>
  <c r="F18126" i="53"/>
  <c r="E18126" i="53"/>
  <c r="D18126" i="53"/>
  <c r="B18126" i="53"/>
  <c r="D18125" i="53"/>
  <c r="B18125" i="53"/>
  <c r="D18124" i="53"/>
  <c r="B18124" i="53"/>
  <c r="E23040" i="53"/>
  <c r="D23040" i="53"/>
  <c r="B23040" i="53"/>
  <c r="E23039" i="53"/>
  <c r="D23039" i="53"/>
  <c r="B23039" i="53"/>
  <c r="E23038" i="53"/>
  <c r="D23038" i="53"/>
  <c r="B23038" i="53"/>
  <c r="F23037" i="53"/>
  <c r="E23037" i="53"/>
  <c r="D23037" i="53"/>
  <c r="B23037" i="53"/>
  <c r="E23036" i="53"/>
  <c r="D23036" i="53"/>
  <c r="B23036" i="53"/>
  <c r="E23035" i="53"/>
  <c r="D23035" i="53"/>
  <c r="B23035" i="53"/>
  <c r="E23111" i="53"/>
  <c r="D23111" i="53"/>
  <c r="B23111" i="53"/>
  <c r="F23110" i="53"/>
  <c r="E23110" i="53"/>
  <c r="D23110" i="53"/>
  <c r="B23110" i="53"/>
  <c r="E23109" i="53"/>
  <c r="D23109" i="53"/>
  <c r="B23109" i="53"/>
  <c r="F23108" i="53"/>
  <c r="E23108" i="53"/>
  <c r="D23108" i="53"/>
  <c r="B23108" i="53"/>
  <c r="E23107" i="53"/>
  <c r="D23107" i="53"/>
  <c r="B23107" i="53"/>
  <c r="E23106" i="53"/>
  <c r="D23106" i="53"/>
  <c r="B23106" i="53"/>
  <c r="E22684" i="53"/>
  <c r="D22684" i="53"/>
  <c r="B22684" i="53"/>
  <c r="F22683" i="53"/>
  <c r="E22683" i="53"/>
  <c r="D22683" i="53"/>
  <c r="B22683" i="53"/>
  <c r="E22682" i="53"/>
  <c r="D22682" i="53"/>
  <c r="B22682" i="53"/>
  <c r="F22681" i="53"/>
  <c r="E22681" i="53"/>
  <c r="D22681" i="53"/>
  <c r="B22681" i="53"/>
  <c r="E22680" i="53"/>
  <c r="D22680" i="53"/>
  <c r="B22680" i="53"/>
  <c r="E22679" i="53"/>
  <c r="D22679" i="53"/>
  <c r="B22679" i="53"/>
  <c r="E22541" i="53"/>
  <c r="D22541" i="53"/>
  <c r="B22541" i="53"/>
  <c r="F22540" i="53"/>
  <c r="E22540" i="53"/>
  <c r="D22540" i="53"/>
  <c r="B22540" i="53"/>
  <c r="E22539" i="53"/>
  <c r="D22539" i="53"/>
  <c r="B22539" i="53"/>
  <c r="F22538" i="53"/>
  <c r="E22538" i="53"/>
  <c r="D22538" i="53"/>
  <c r="B22538" i="53"/>
  <c r="E22537" i="53"/>
  <c r="D22537" i="53"/>
  <c r="B22537" i="53"/>
  <c r="E22536" i="53"/>
  <c r="D22536" i="53"/>
  <c r="B22536" i="53"/>
  <c r="E22399" i="53"/>
  <c r="D22399" i="53"/>
  <c r="B22399" i="53"/>
  <c r="F22398" i="53"/>
  <c r="E22398" i="53"/>
  <c r="D22398" i="53"/>
  <c r="B22398" i="53"/>
  <c r="E22397" i="53"/>
  <c r="D22397" i="53"/>
  <c r="B22397" i="53"/>
  <c r="F22396" i="53"/>
  <c r="E22396" i="53"/>
  <c r="D22396" i="53"/>
  <c r="B22396" i="53"/>
  <c r="E22395" i="53"/>
  <c r="D22395" i="53"/>
  <c r="B22395" i="53"/>
  <c r="E22394" i="53"/>
  <c r="D22394" i="53"/>
  <c r="B22394" i="53"/>
  <c r="E22328" i="53"/>
  <c r="D22328" i="53"/>
  <c r="B22328" i="53"/>
  <c r="F22327" i="53"/>
  <c r="E22327" i="53"/>
  <c r="D22327" i="53"/>
  <c r="B22327" i="53"/>
  <c r="E22326" i="53"/>
  <c r="D22326" i="53"/>
  <c r="B22326" i="53"/>
  <c r="F22325" i="53"/>
  <c r="E22325" i="53"/>
  <c r="D22325" i="53"/>
  <c r="B22325" i="53"/>
  <c r="E22324" i="53"/>
  <c r="D22324" i="53"/>
  <c r="B22324" i="53"/>
  <c r="E22323" i="53"/>
  <c r="D22323" i="53"/>
  <c r="B22323" i="53"/>
  <c r="E22256" i="53"/>
  <c r="D22256" i="53"/>
  <c r="B22256" i="53"/>
  <c r="F22255" i="53"/>
  <c r="E22255" i="53"/>
  <c r="D22255" i="53"/>
  <c r="B22255" i="53"/>
  <c r="E22254" i="53"/>
  <c r="D22254" i="53"/>
  <c r="B22254" i="53"/>
  <c r="F22253" i="53"/>
  <c r="E22253" i="53"/>
  <c r="D22253" i="53"/>
  <c r="B22253" i="53"/>
  <c r="E22252" i="53"/>
  <c r="D22252" i="53"/>
  <c r="B22252" i="53"/>
  <c r="E22251" i="53"/>
  <c r="D22251" i="53"/>
  <c r="B22251" i="53"/>
  <c r="E22185" i="53"/>
  <c r="D22185" i="53"/>
  <c r="B22185" i="53"/>
  <c r="F22184" i="53"/>
  <c r="E22184" i="53"/>
  <c r="D22184" i="53"/>
  <c r="B22184" i="53"/>
  <c r="E22183" i="53"/>
  <c r="D22183" i="53"/>
  <c r="B22183" i="53"/>
  <c r="F22182" i="53"/>
  <c r="E22182" i="53"/>
  <c r="D22182" i="53"/>
  <c r="B22182" i="53"/>
  <c r="E22181" i="53"/>
  <c r="D22181" i="53"/>
  <c r="B22181" i="53"/>
  <c r="E22180" i="53"/>
  <c r="D22180" i="53"/>
  <c r="B22180" i="53"/>
  <c r="E21974" i="53"/>
  <c r="D21974" i="53"/>
  <c r="B21974" i="53"/>
  <c r="F21973" i="53"/>
  <c r="E21973" i="53"/>
  <c r="D21973" i="53"/>
  <c r="B21973" i="53"/>
  <c r="E21972" i="53"/>
  <c r="D21972" i="53"/>
  <c r="B21972" i="53"/>
  <c r="F21971" i="53"/>
  <c r="E21971" i="53"/>
  <c r="D21971" i="53"/>
  <c r="B21971" i="53"/>
  <c r="E21970" i="53"/>
  <c r="D21970" i="53"/>
  <c r="B21970" i="53"/>
  <c r="E21969" i="53"/>
  <c r="D21969" i="53"/>
  <c r="B21969" i="53"/>
  <c r="E20389" i="53"/>
  <c r="D20389" i="53"/>
  <c r="B20389" i="53"/>
  <c r="F20388" i="53"/>
  <c r="E20388" i="53"/>
  <c r="D20388" i="53"/>
  <c r="B20388" i="53"/>
  <c r="E20387" i="53"/>
  <c r="D20387" i="53"/>
  <c r="B20387" i="53"/>
  <c r="F20386" i="53"/>
  <c r="E20386" i="53"/>
  <c r="D20386" i="53"/>
  <c r="B20386" i="53"/>
  <c r="E20385" i="53"/>
  <c r="D20385" i="53"/>
  <c r="B20385" i="53"/>
  <c r="E20384" i="53"/>
  <c r="D20384" i="53"/>
  <c r="B20384" i="53"/>
  <c r="E20315" i="53"/>
  <c r="D20315" i="53"/>
  <c r="B20315" i="53"/>
  <c r="F20314" i="53"/>
  <c r="E20314" i="53"/>
  <c r="D20314" i="53"/>
  <c r="B20314" i="53"/>
  <c r="E20313" i="53"/>
  <c r="D20313" i="53"/>
  <c r="B20313" i="53"/>
  <c r="F20312" i="53"/>
  <c r="E20312" i="53"/>
  <c r="D20312" i="53"/>
  <c r="B20312" i="53"/>
  <c r="E20311" i="53"/>
  <c r="D20311" i="53"/>
  <c r="B20311" i="53"/>
  <c r="E20310" i="53"/>
  <c r="D20310" i="53"/>
  <c r="B20310" i="53"/>
  <c r="E20897" i="53"/>
  <c r="D20897" i="53"/>
  <c r="B20897" i="53"/>
  <c r="F20896" i="53"/>
  <c r="E20896" i="53"/>
  <c r="D20896" i="53"/>
  <c r="B20896" i="53"/>
  <c r="E20895" i="53"/>
  <c r="D20895" i="53"/>
  <c r="B20895" i="53"/>
  <c r="F20894" i="53"/>
  <c r="E20894" i="53"/>
  <c r="D20894" i="53"/>
  <c r="B20894" i="53"/>
  <c r="E20893" i="53"/>
  <c r="D20893" i="53"/>
  <c r="B20893" i="53"/>
  <c r="E20892" i="53"/>
  <c r="D20892" i="53"/>
  <c r="B20892" i="53"/>
  <c r="E20531" i="53"/>
  <c r="D20531" i="53"/>
  <c r="B20531" i="53"/>
  <c r="F20530" i="53"/>
  <c r="E20530" i="53"/>
  <c r="D20530" i="53"/>
  <c r="B20530" i="53"/>
  <c r="E20529" i="53"/>
  <c r="D20529" i="53"/>
  <c r="B20529" i="53"/>
  <c r="F20528" i="53"/>
  <c r="E20528" i="53"/>
  <c r="D20528" i="53"/>
  <c r="B20528" i="53"/>
  <c r="E20527" i="53"/>
  <c r="D20527" i="53"/>
  <c r="B20527" i="53"/>
  <c r="E20526" i="53"/>
  <c r="D20526" i="53"/>
  <c r="B20526" i="53"/>
  <c r="E19202" i="53"/>
  <c r="D19202" i="53"/>
  <c r="B19202" i="53"/>
  <c r="F19201" i="53"/>
  <c r="E19201" i="53"/>
  <c r="D19201" i="53"/>
  <c r="B19201" i="53"/>
  <c r="E19200" i="53"/>
  <c r="D19200" i="53"/>
  <c r="B19200" i="53"/>
  <c r="F19199" i="53"/>
  <c r="E19199" i="53"/>
  <c r="D19199" i="53"/>
  <c r="B19199" i="53"/>
  <c r="E19198" i="53"/>
  <c r="D19198" i="53"/>
  <c r="B19198" i="53"/>
  <c r="E19197" i="53"/>
  <c r="D19197" i="53"/>
  <c r="B19197" i="53"/>
  <c r="E21259" i="53"/>
  <c r="D21259" i="53"/>
  <c r="B21259" i="53"/>
  <c r="F21258" i="53"/>
  <c r="E21258" i="53"/>
  <c r="D21258" i="53"/>
  <c r="B21258" i="53"/>
  <c r="E21257" i="53"/>
  <c r="D21257" i="53"/>
  <c r="B21257" i="53"/>
  <c r="F21256" i="53"/>
  <c r="E21256" i="53"/>
  <c r="D21256" i="53"/>
  <c r="B21256" i="53"/>
  <c r="E21255" i="53"/>
  <c r="D21255" i="53"/>
  <c r="B21255" i="53"/>
  <c r="E21254" i="53"/>
  <c r="D21254" i="53"/>
  <c r="B21254" i="53"/>
  <c r="E18983" i="53"/>
  <c r="D18983" i="53"/>
  <c r="B18983" i="53"/>
  <c r="F18982" i="53"/>
  <c r="E18982" i="53"/>
  <c r="D18982" i="53"/>
  <c r="B18982" i="53"/>
  <c r="E18981" i="53"/>
  <c r="D18981" i="53"/>
  <c r="B18981" i="53"/>
  <c r="F18980" i="53"/>
  <c r="E18980" i="53"/>
  <c r="D18980" i="53"/>
  <c r="B18980" i="53"/>
  <c r="E18979" i="53"/>
  <c r="D18979" i="53"/>
  <c r="B18979" i="53"/>
  <c r="E18978" i="53"/>
  <c r="D18978" i="53"/>
  <c r="B18978" i="53"/>
  <c r="E16296" i="53"/>
  <c r="D16296" i="53"/>
  <c r="B16296" i="53"/>
  <c r="F16295" i="53"/>
  <c r="E16295" i="53"/>
  <c r="D16295" i="53"/>
  <c r="B16295" i="53"/>
  <c r="E16294" i="53"/>
  <c r="D16294" i="53"/>
  <c r="B16294" i="53"/>
  <c r="F16293" i="53"/>
  <c r="E16293" i="53"/>
  <c r="D16293" i="53"/>
  <c r="B16293" i="53"/>
  <c r="E16292" i="53"/>
  <c r="D16292" i="53"/>
  <c r="B16292" i="53"/>
  <c r="E16291" i="53"/>
  <c r="D16291" i="53"/>
  <c r="B16291" i="53"/>
  <c r="E18909" i="53"/>
  <c r="D18909" i="53"/>
  <c r="B18909" i="53"/>
  <c r="F18908" i="53"/>
  <c r="E18908" i="53"/>
  <c r="D18908" i="53"/>
  <c r="B18908" i="53"/>
  <c r="E18907" i="53"/>
  <c r="D18907" i="53"/>
  <c r="B18907" i="53"/>
  <c r="F18906" i="53"/>
  <c r="E18906" i="53"/>
  <c r="D18906" i="53"/>
  <c r="B18906" i="53"/>
  <c r="E18905" i="53"/>
  <c r="D18905" i="53"/>
  <c r="B18905" i="53"/>
  <c r="E18904" i="53"/>
  <c r="D18904" i="53"/>
  <c r="B18904" i="53"/>
  <c r="E18764" i="53"/>
  <c r="D18764" i="53"/>
  <c r="B18764" i="53"/>
  <c r="F18763" i="53"/>
  <c r="E18763" i="53"/>
  <c r="D18763" i="53"/>
  <c r="B18763" i="53"/>
  <c r="E18762" i="53"/>
  <c r="D18762" i="53"/>
  <c r="B18762" i="53"/>
  <c r="F18761" i="53"/>
  <c r="E18761" i="53"/>
  <c r="D18761" i="53"/>
  <c r="B18761" i="53"/>
  <c r="E18760" i="53"/>
  <c r="D18760" i="53"/>
  <c r="B18760" i="53"/>
  <c r="E18759" i="53"/>
  <c r="D18759" i="53"/>
  <c r="B18759" i="53"/>
  <c r="E18837" i="53"/>
  <c r="D18837" i="53"/>
  <c r="B18837" i="53"/>
  <c r="F18836" i="53"/>
  <c r="E18836" i="53"/>
  <c r="D18836" i="53"/>
  <c r="B18836" i="53"/>
  <c r="E18835" i="53"/>
  <c r="D18835" i="53"/>
  <c r="B18835" i="53"/>
  <c r="F18834" i="53"/>
  <c r="E18834" i="53"/>
  <c r="D18834" i="53"/>
  <c r="B18834" i="53"/>
  <c r="E18833" i="53"/>
  <c r="D18833" i="53"/>
  <c r="B18833" i="53"/>
  <c r="E18832" i="53"/>
  <c r="D18832" i="53"/>
  <c r="B18832" i="53"/>
  <c r="E18624" i="53"/>
  <c r="D18624" i="53"/>
  <c r="B18624" i="53"/>
  <c r="F18623" i="53"/>
  <c r="E18623" i="53"/>
  <c r="D18623" i="53"/>
  <c r="B18623" i="53"/>
  <c r="E18622" i="53"/>
  <c r="D18622" i="53"/>
  <c r="B18622" i="53"/>
  <c r="F18621" i="53"/>
  <c r="E18621" i="53"/>
  <c r="D18621" i="53"/>
  <c r="B18621" i="53"/>
  <c r="E18620" i="53"/>
  <c r="D18620" i="53"/>
  <c r="B18620" i="53"/>
  <c r="E18619" i="53"/>
  <c r="D18619" i="53"/>
  <c r="B18619" i="53"/>
  <c r="E18059" i="53"/>
  <c r="D18059" i="53"/>
  <c r="B18059" i="53"/>
  <c r="F18058" i="53"/>
  <c r="E18058" i="53"/>
  <c r="D18058" i="53"/>
  <c r="B18058" i="53"/>
  <c r="E18057" i="53"/>
  <c r="D18057" i="53"/>
  <c r="B18057" i="53"/>
  <c r="F18056" i="53"/>
  <c r="E18056" i="53"/>
  <c r="D18056" i="53"/>
  <c r="B18056" i="53"/>
  <c r="E18055" i="53"/>
  <c r="D18055" i="53"/>
  <c r="B18055" i="53"/>
  <c r="E18054" i="53"/>
  <c r="D18054" i="53"/>
  <c r="B18054" i="53"/>
  <c r="E17771" i="53"/>
  <c r="D17771" i="53"/>
  <c r="B17771" i="53"/>
  <c r="F17770" i="53"/>
  <c r="E17770" i="53"/>
  <c r="D17770" i="53"/>
  <c r="B17770" i="53"/>
  <c r="E17769" i="53"/>
  <c r="D17769" i="53"/>
  <c r="B17769" i="53"/>
  <c r="F17768" i="53"/>
  <c r="E17768" i="53"/>
  <c r="D17768" i="53"/>
  <c r="B17768" i="53"/>
  <c r="E17767" i="53"/>
  <c r="D17767" i="53"/>
  <c r="B17767" i="53"/>
  <c r="E17766" i="53"/>
  <c r="D17766" i="53"/>
  <c r="B17766" i="53"/>
  <c r="E17702" i="53"/>
  <c r="D17702" i="53"/>
  <c r="B17702" i="53"/>
  <c r="F17701" i="53"/>
  <c r="E17701" i="53"/>
  <c r="D17701" i="53"/>
  <c r="B17701" i="53"/>
  <c r="E17700" i="53"/>
  <c r="D17700" i="53"/>
  <c r="B17700" i="53"/>
  <c r="F17699" i="53"/>
  <c r="E17699" i="53"/>
  <c r="D17699" i="53"/>
  <c r="B17699" i="53"/>
  <c r="E17698" i="53"/>
  <c r="D17698" i="53"/>
  <c r="B17698" i="53"/>
  <c r="E17697" i="53"/>
  <c r="D17697" i="53"/>
  <c r="B17697" i="53"/>
  <c r="E17634" i="53"/>
  <c r="D17634" i="53"/>
  <c r="B17634" i="53"/>
  <c r="F17633" i="53"/>
  <c r="E17633" i="53"/>
  <c r="D17633" i="53"/>
  <c r="B17633" i="53"/>
  <c r="E17632" i="53"/>
  <c r="D17632" i="53"/>
  <c r="B17632" i="53"/>
  <c r="F17631" i="53"/>
  <c r="E17631" i="53"/>
  <c r="D17631" i="53"/>
  <c r="B17631" i="53"/>
  <c r="E17630" i="53"/>
  <c r="D17630" i="53"/>
  <c r="B17630" i="53"/>
  <c r="E17629" i="53"/>
  <c r="D17629" i="53"/>
  <c r="B17629" i="53"/>
  <c r="E17205" i="53"/>
  <c r="D17205" i="53"/>
  <c r="B17205" i="53"/>
  <c r="F17204" i="53"/>
  <c r="E17204" i="53"/>
  <c r="D17204" i="53"/>
  <c r="B17204" i="53"/>
  <c r="E17203" i="53"/>
  <c r="D17203" i="53"/>
  <c r="B17203" i="53"/>
  <c r="F17202" i="53"/>
  <c r="E17202" i="53"/>
  <c r="D17202" i="53"/>
  <c r="B17202" i="53"/>
  <c r="E17201" i="53"/>
  <c r="D17201" i="53"/>
  <c r="B17201" i="53"/>
  <c r="E17200" i="53"/>
  <c r="D17200" i="53"/>
  <c r="B17200" i="53"/>
  <c r="E16994" i="53"/>
  <c r="D16994" i="53"/>
  <c r="B16994" i="53"/>
  <c r="F16993" i="53"/>
  <c r="E16993" i="53"/>
  <c r="D16993" i="53"/>
  <c r="B16993" i="53"/>
  <c r="E16992" i="53"/>
  <c r="D16992" i="53"/>
  <c r="B16992" i="53"/>
  <c r="F16991" i="53"/>
  <c r="E16991" i="53"/>
  <c r="D16991" i="53"/>
  <c r="B16991" i="53"/>
  <c r="E16990" i="53"/>
  <c r="D16990" i="53"/>
  <c r="B16990" i="53"/>
  <c r="E16989" i="53"/>
  <c r="D16989" i="53"/>
  <c r="B16989" i="53"/>
  <c r="E16926" i="53"/>
  <c r="D16926" i="53"/>
  <c r="B16926" i="53"/>
  <c r="F16925" i="53"/>
  <c r="E16925" i="53"/>
  <c r="D16925" i="53"/>
  <c r="B16925" i="53"/>
  <c r="E16924" i="53"/>
  <c r="D16924" i="53"/>
  <c r="B16924" i="53"/>
  <c r="F16923" i="53"/>
  <c r="E16923" i="53"/>
  <c r="D16923" i="53"/>
  <c r="B16923" i="53"/>
  <c r="E16922" i="53"/>
  <c r="D16922" i="53"/>
  <c r="B16922" i="53"/>
  <c r="E16921" i="53"/>
  <c r="D16921" i="53"/>
  <c r="B16921" i="53"/>
  <c r="E16855" i="53"/>
  <c r="D16855" i="53"/>
  <c r="B16855" i="53"/>
  <c r="F16854" i="53"/>
  <c r="E16854" i="53"/>
  <c r="D16854" i="53"/>
  <c r="B16854" i="53"/>
  <c r="E16853" i="53"/>
  <c r="D16853" i="53"/>
  <c r="B16853" i="53"/>
  <c r="F16852" i="53"/>
  <c r="E16852" i="53"/>
  <c r="D16852" i="53"/>
  <c r="B16852" i="53"/>
  <c r="E16851" i="53"/>
  <c r="D16851" i="53"/>
  <c r="B16851" i="53"/>
  <c r="E16850" i="53"/>
  <c r="D16850" i="53"/>
  <c r="B16850" i="53"/>
  <c r="E13676" i="53"/>
  <c r="D13676" i="53"/>
  <c r="B13676" i="53"/>
  <c r="F13675" i="53"/>
  <c r="E13675" i="53"/>
  <c r="D13675" i="53"/>
  <c r="B13675" i="53"/>
  <c r="E13674" i="53"/>
  <c r="D13674" i="53"/>
  <c r="B13674" i="53"/>
  <c r="F13673" i="53"/>
  <c r="E13673" i="53"/>
  <c r="D13673" i="53"/>
  <c r="B13673" i="53"/>
  <c r="E13672" i="53"/>
  <c r="D13672" i="53"/>
  <c r="B13672" i="53"/>
  <c r="E13671" i="53"/>
  <c r="D13671" i="53"/>
  <c r="B13671" i="53"/>
  <c r="F16362" i="53"/>
  <c r="E16362" i="53"/>
  <c r="D16362" i="53"/>
  <c r="B16362" i="53"/>
  <c r="F16361" i="53"/>
  <c r="E16361" i="53"/>
  <c r="D16361" i="53"/>
  <c r="B16361" i="53"/>
  <c r="E16360" i="53"/>
  <c r="D16360" i="53"/>
  <c r="B16360" i="53"/>
  <c r="F16359" i="53"/>
  <c r="E16359" i="53"/>
  <c r="D16359" i="53"/>
  <c r="B16359" i="53"/>
  <c r="E16358" i="53"/>
  <c r="D16358" i="53"/>
  <c r="B16358" i="53"/>
  <c r="E16357" i="53"/>
  <c r="D16357" i="53"/>
  <c r="B16357" i="53"/>
  <c r="E16089" i="53"/>
  <c r="D16089" i="53"/>
  <c r="B16089" i="53"/>
  <c r="F16088" i="53"/>
  <c r="E16088" i="53"/>
  <c r="D16088" i="53"/>
  <c r="B16088" i="53"/>
  <c r="E16087" i="53"/>
  <c r="D16087" i="53"/>
  <c r="B16087" i="53"/>
  <c r="F16086" i="53"/>
  <c r="E16086" i="53"/>
  <c r="D16086" i="53"/>
  <c r="B16086" i="53"/>
  <c r="E16085" i="53"/>
  <c r="D16085" i="53"/>
  <c r="B16085" i="53"/>
  <c r="E16084" i="53"/>
  <c r="D16084" i="53"/>
  <c r="B16084" i="53"/>
  <c r="E16023" i="53"/>
  <c r="D16023" i="53"/>
  <c r="B16023" i="53"/>
  <c r="F16022" i="53"/>
  <c r="E16022" i="53"/>
  <c r="D16022" i="53"/>
  <c r="B16022" i="53"/>
  <c r="E16021" i="53"/>
  <c r="D16021" i="53"/>
  <c r="B16021" i="53"/>
  <c r="F16020" i="53"/>
  <c r="E16020" i="53"/>
  <c r="D16020" i="53"/>
  <c r="B16020" i="53"/>
  <c r="E16019" i="53"/>
  <c r="D16019" i="53"/>
  <c r="B16019" i="53"/>
  <c r="E16018" i="53"/>
  <c r="D16018" i="53"/>
  <c r="B16018" i="53"/>
  <c r="E15816" i="53"/>
  <c r="D15816" i="53"/>
  <c r="B15816" i="53"/>
  <c r="F15815" i="53"/>
  <c r="E15815" i="53"/>
  <c r="D15815" i="53"/>
  <c r="B15815" i="53"/>
  <c r="E15814" i="53"/>
  <c r="D15814" i="53"/>
  <c r="B15814" i="53"/>
  <c r="F15813" i="53"/>
  <c r="E15813" i="53"/>
  <c r="D15813" i="53"/>
  <c r="B15813" i="53"/>
  <c r="E15812" i="53"/>
  <c r="D15812" i="53"/>
  <c r="B15812" i="53"/>
  <c r="E15811" i="53"/>
  <c r="D15811" i="53"/>
  <c r="B15811" i="53"/>
  <c r="E15955" i="53"/>
  <c r="D15955" i="53"/>
  <c r="B15955" i="53"/>
  <c r="F15954" i="53"/>
  <c r="E15954" i="53"/>
  <c r="D15954" i="53"/>
  <c r="B15954" i="53"/>
  <c r="E15953" i="53"/>
  <c r="D15953" i="53"/>
  <c r="B15953" i="53"/>
  <c r="F15952" i="53"/>
  <c r="E15952" i="53"/>
  <c r="D15952" i="53"/>
  <c r="B15952" i="53"/>
  <c r="E15951" i="53"/>
  <c r="D15951" i="53"/>
  <c r="B15951" i="53"/>
  <c r="E15950" i="53"/>
  <c r="D15950" i="53"/>
  <c r="B15950" i="53"/>
  <c r="E15883" i="53"/>
  <c r="D15883" i="53"/>
  <c r="B15883" i="53"/>
  <c r="F15882" i="53"/>
  <c r="E15882" i="53"/>
  <c r="D15882" i="53"/>
  <c r="B15882" i="53"/>
  <c r="E15881" i="53"/>
  <c r="D15881" i="53"/>
  <c r="B15881" i="53"/>
  <c r="F15880" i="53"/>
  <c r="E15880" i="53"/>
  <c r="D15880" i="53"/>
  <c r="B15880" i="53"/>
  <c r="E15879" i="53"/>
  <c r="D15879" i="53"/>
  <c r="B15879" i="53"/>
  <c r="E15878" i="53"/>
  <c r="D15878" i="53"/>
  <c r="B15878" i="53"/>
  <c r="E15676" i="53"/>
  <c r="D15676" i="53"/>
  <c r="B15676" i="53"/>
  <c r="F15675" i="53"/>
  <c r="E15675" i="53"/>
  <c r="D15675" i="53"/>
  <c r="B15675" i="53"/>
  <c r="F15674" i="53"/>
  <c r="E15674" i="53"/>
  <c r="D15674" i="53"/>
  <c r="B15674" i="53"/>
  <c r="F15673" i="53"/>
  <c r="E15673" i="53"/>
  <c r="D15673" i="53"/>
  <c r="B15673" i="53"/>
  <c r="E15672" i="53"/>
  <c r="D15672" i="53"/>
  <c r="B15672" i="53"/>
  <c r="E15671" i="53"/>
  <c r="D15671" i="53"/>
  <c r="B15671" i="53"/>
  <c r="E15604" i="53"/>
  <c r="D15604" i="53"/>
  <c r="B15604" i="53"/>
  <c r="F15603" i="53"/>
  <c r="E15603" i="53"/>
  <c r="D15603" i="53"/>
  <c r="B15603" i="53"/>
  <c r="F15602" i="53"/>
  <c r="E15602" i="53"/>
  <c r="D15602" i="53"/>
  <c r="B15602" i="53"/>
  <c r="F15601" i="53"/>
  <c r="E15601" i="53"/>
  <c r="D15601" i="53"/>
  <c r="B15601" i="53"/>
  <c r="E15600" i="53"/>
  <c r="D15600" i="53"/>
  <c r="B15600" i="53"/>
  <c r="E15599" i="53"/>
  <c r="D15599" i="53"/>
  <c r="B15599" i="53"/>
  <c r="E15532" i="53"/>
  <c r="D15532" i="53"/>
  <c r="B15532" i="53"/>
  <c r="F15531" i="53"/>
  <c r="E15531" i="53"/>
  <c r="D15531" i="53"/>
  <c r="B15531" i="53"/>
  <c r="F15530" i="53"/>
  <c r="E15530" i="53"/>
  <c r="D15530" i="53"/>
  <c r="B15530" i="53"/>
  <c r="F15529" i="53"/>
  <c r="E15529" i="53"/>
  <c r="D15529" i="53"/>
  <c r="B15529" i="53"/>
  <c r="E15528" i="53"/>
  <c r="D15528" i="53"/>
  <c r="B15528" i="53"/>
  <c r="E15527" i="53"/>
  <c r="D15527" i="53"/>
  <c r="B15527" i="53"/>
  <c r="E14697" i="53"/>
  <c r="D14697" i="53"/>
  <c r="B14697" i="53"/>
  <c r="F14696" i="53"/>
  <c r="E14696" i="53"/>
  <c r="D14696" i="53"/>
  <c r="B14696" i="53"/>
  <c r="F14695" i="53"/>
  <c r="E14695" i="53"/>
  <c r="D14695" i="53"/>
  <c r="B14695" i="53"/>
  <c r="F14694" i="53"/>
  <c r="E14694" i="53"/>
  <c r="D14694" i="53"/>
  <c r="B14694" i="53"/>
  <c r="E14693" i="53"/>
  <c r="D14693" i="53"/>
  <c r="B14693" i="53"/>
  <c r="E14692" i="53"/>
  <c r="D14692" i="53"/>
  <c r="B14692" i="53"/>
  <c r="E14570" i="53"/>
  <c r="D14570" i="53"/>
  <c r="B14570" i="53"/>
  <c r="F14569" i="53"/>
  <c r="E14569" i="53"/>
  <c r="D14569" i="53"/>
  <c r="B14569" i="53"/>
  <c r="F14568" i="53"/>
  <c r="E14568" i="53"/>
  <c r="D14568" i="53"/>
  <c r="B14568" i="53"/>
  <c r="F14567" i="53"/>
  <c r="E14567" i="53"/>
  <c r="D14567" i="53"/>
  <c r="B14567" i="53"/>
  <c r="E14566" i="53"/>
  <c r="D14566" i="53"/>
  <c r="B14566" i="53"/>
  <c r="E14565" i="53"/>
  <c r="D14565" i="53"/>
  <c r="B14565" i="53"/>
  <c r="E14507" i="53"/>
  <c r="D14507" i="53"/>
  <c r="B14507" i="53"/>
  <c r="F14506" i="53"/>
  <c r="E14506" i="53"/>
  <c r="D14506" i="53"/>
  <c r="B14506" i="53"/>
  <c r="F14505" i="53"/>
  <c r="E14505" i="53"/>
  <c r="D14505" i="53"/>
  <c r="B14505" i="53"/>
  <c r="F14504" i="53"/>
  <c r="E14504" i="53"/>
  <c r="D14504" i="53"/>
  <c r="B14504" i="53"/>
  <c r="E14503" i="53"/>
  <c r="D14503" i="53"/>
  <c r="B14503" i="53"/>
  <c r="E14502" i="53"/>
  <c r="D14502" i="53"/>
  <c r="B14502" i="53"/>
  <c r="E13390" i="53"/>
  <c r="D13390" i="53"/>
  <c r="B13390" i="53"/>
  <c r="F13389" i="53"/>
  <c r="E13389" i="53"/>
  <c r="D13389" i="53"/>
  <c r="B13389" i="53"/>
  <c r="F13388" i="53"/>
  <c r="E13388" i="53"/>
  <c r="D13388" i="53"/>
  <c r="B13388" i="53"/>
  <c r="F13387" i="53"/>
  <c r="E13387" i="53"/>
  <c r="D13387" i="53"/>
  <c r="B13387" i="53"/>
  <c r="E13386" i="53"/>
  <c r="D13386" i="53"/>
  <c r="B13386" i="53"/>
  <c r="E13385" i="53"/>
  <c r="D13385" i="53"/>
  <c r="B13385" i="53"/>
  <c r="E12885" i="53"/>
  <c r="D12885" i="53"/>
  <c r="B12885" i="53"/>
  <c r="F12884" i="53"/>
  <c r="E12884" i="53"/>
  <c r="D12884" i="53"/>
  <c r="B12884" i="53"/>
  <c r="F12883" i="53"/>
  <c r="E12883" i="53"/>
  <c r="D12883" i="53"/>
  <c r="B12883" i="53"/>
  <c r="F12882" i="53"/>
  <c r="E12882" i="53"/>
  <c r="D12882" i="53"/>
  <c r="B12882" i="53"/>
  <c r="E12881" i="53"/>
  <c r="D12881" i="53"/>
  <c r="B12881" i="53"/>
  <c r="E12880" i="53"/>
  <c r="D12880" i="53"/>
  <c r="B12880" i="53"/>
  <c r="E15041" i="53"/>
  <c r="D15041" i="53"/>
  <c r="B15041" i="53"/>
  <c r="F15040" i="53"/>
  <c r="E15040" i="53"/>
  <c r="D15040" i="53"/>
  <c r="B15040" i="53"/>
  <c r="F15039" i="53"/>
  <c r="E15039" i="53"/>
  <c r="D15039" i="53"/>
  <c r="B15039" i="53"/>
  <c r="F15038" i="53"/>
  <c r="E15038" i="53"/>
  <c r="D15038" i="53"/>
  <c r="B15038" i="53"/>
  <c r="E15037" i="53"/>
  <c r="D15037" i="53"/>
  <c r="B15037" i="53"/>
  <c r="E15036" i="53"/>
  <c r="D15036" i="53"/>
  <c r="B15036" i="53"/>
  <c r="E14977" i="53"/>
  <c r="D14977" i="53"/>
  <c r="B14977" i="53"/>
  <c r="F14976" i="53"/>
  <c r="E14976" i="53"/>
  <c r="D14976" i="53"/>
  <c r="B14976" i="53"/>
  <c r="F14975" i="53"/>
  <c r="E14975" i="53"/>
  <c r="D14975" i="53"/>
  <c r="B14975" i="53"/>
  <c r="F14974" i="53"/>
  <c r="E14974" i="53"/>
  <c r="D14974" i="53"/>
  <c r="B14974" i="53"/>
  <c r="E14973" i="53"/>
  <c r="D14973" i="53"/>
  <c r="B14973" i="53"/>
  <c r="E14972" i="53"/>
  <c r="D14972" i="53"/>
  <c r="B14972" i="53"/>
  <c r="E11847" i="53"/>
  <c r="D11847" i="53"/>
  <c r="B11847" i="53"/>
  <c r="F11846" i="53"/>
  <c r="E11846" i="53"/>
  <c r="D11846" i="53"/>
  <c r="B11846" i="53"/>
  <c r="F11845" i="53"/>
  <c r="E11845" i="53"/>
  <c r="D11845" i="53"/>
  <c r="B11845" i="53"/>
  <c r="F11844" i="53"/>
  <c r="E11844" i="53"/>
  <c r="D11844" i="53"/>
  <c r="B11844" i="53"/>
  <c r="E11843" i="53"/>
  <c r="D11843" i="53"/>
  <c r="B11843" i="53"/>
  <c r="E11842" i="53"/>
  <c r="D11842" i="53"/>
  <c r="B11842" i="53"/>
  <c r="E11712" i="53"/>
  <c r="D11712" i="53"/>
  <c r="B11712" i="53"/>
  <c r="F11711" i="53"/>
  <c r="E11711" i="53"/>
  <c r="D11711" i="53"/>
  <c r="B11711" i="53"/>
  <c r="F11710" i="53"/>
  <c r="E11710" i="53"/>
  <c r="D11710" i="53"/>
  <c r="B11710" i="53"/>
  <c r="F11709" i="53"/>
  <c r="E11709" i="53"/>
  <c r="D11709" i="53"/>
  <c r="B11709" i="53"/>
  <c r="E11708" i="53"/>
  <c r="D11708" i="53"/>
  <c r="B11708" i="53"/>
  <c r="E11707" i="53"/>
  <c r="D11707" i="53"/>
  <c r="B11707" i="53"/>
  <c r="E11522" i="53"/>
  <c r="D11522" i="53"/>
  <c r="B11522" i="53"/>
  <c r="F11521" i="53"/>
  <c r="E11521" i="53"/>
  <c r="D11521" i="53"/>
  <c r="B11521" i="53"/>
  <c r="F11520" i="53"/>
  <c r="E11520" i="53"/>
  <c r="D11520" i="53"/>
  <c r="B11520" i="53"/>
  <c r="F11519" i="53"/>
  <c r="E11519" i="53"/>
  <c r="D11519" i="53"/>
  <c r="B11519" i="53"/>
  <c r="E11518" i="53"/>
  <c r="D11518" i="53"/>
  <c r="B11518" i="53"/>
  <c r="E11517" i="53"/>
  <c r="D11517" i="53"/>
  <c r="B11517" i="53"/>
  <c r="E11391" i="53"/>
  <c r="D11391" i="53"/>
  <c r="B11391" i="53"/>
  <c r="F11390" i="53"/>
  <c r="E11390" i="53"/>
  <c r="D11390" i="53"/>
  <c r="B11390" i="53"/>
  <c r="F11389" i="53"/>
  <c r="E11389" i="53"/>
  <c r="D11389" i="53"/>
  <c r="B11389" i="53"/>
  <c r="F11388" i="53"/>
  <c r="E11388" i="53"/>
  <c r="D11388" i="53"/>
  <c r="B11388" i="53"/>
  <c r="E11387" i="53"/>
  <c r="D11387" i="53"/>
  <c r="B11387" i="53"/>
  <c r="E11386" i="53"/>
  <c r="D11386" i="53"/>
  <c r="B11386" i="53"/>
  <c r="C192" i="55"/>
  <c r="F8339" i="53" s="1"/>
  <c r="G8339" i="53" s="1"/>
  <c r="G8340" i="53" s="1"/>
  <c r="G8388" i="53" s="1"/>
  <c r="C191" i="55"/>
  <c r="C15" i="55"/>
  <c r="G9664" i="53" l="1"/>
  <c r="F1466" i="53"/>
  <c r="G1466" i="53" s="1"/>
  <c r="G1471" i="53" s="1"/>
  <c r="G1519" i="53" s="1"/>
  <c r="F8137" i="53"/>
  <c r="G8137" i="53" s="1"/>
  <c r="G8142" i="53" s="1"/>
  <c r="G8190" i="53" s="1"/>
  <c r="F7797" i="53"/>
  <c r="G7797" i="53" s="1"/>
  <c r="G7800" i="53" s="1"/>
  <c r="G7848" i="53" s="1"/>
  <c r="F7865" i="53"/>
  <c r="G7865" i="53" s="1"/>
  <c r="G7867" i="53" s="1"/>
  <c r="G7915" i="53" s="1"/>
  <c r="F982" i="53"/>
  <c r="G982" i="53" s="1"/>
  <c r="F3398" i="53"/>
  <c r="G3398" i="53" s="1"/>
  <c r="G3400" i="53" s="1"/>
  <c r="G3448" i="53" s="1"/>
  <c r="F5409" i="53"/>
  <c r="G5409" i="53" s="1"/>
  <c r="G5412" i="53" s="1"/>
  <c r="G5460" i="53" s="1"/>
  <c r="F5273" i="53"/>
  <c r="G5273" i="53" s="1"/>
  <c r="G5276" i="53" s="1"/>
  <c r="G5324" i="53" s="1"/>
  <c r="F5341" i="53"/>
  <c r="G5341" i="53" s="1"/>
  <c r="G5344" i="53" s="1"/>
  <c r="G5392" i="53" s="1"/>
  <c r="F5205" i="53"/>
  <c r="G5205" i="53" s="1"/>
  <c r="G5208" i="53" s="1"/>
  <c r="G5256" i="53" s="1"/>
  <c r="F5137" i="53"/>
  <c r="G5137" i="53" s="1"/>
  <c r="G5140" i="53" s="1"/>
  <c r="G5188" i="53" s="1"/>
  <c r="F5749" i="53"/>
  <c r="G5749" i="53" s="1"/>
  <c r="G5751" i="53" s="1"/>
  <c r="G5799" i="53" s="1"/>
  <c r="F4865" i="53"/>
  <c r="G4865" i="53" s="1"/>
  <c r="G4869" i="53" s="1"/>
  <c r="F5816" i="53"/>
  <c r="G5816" i="53" s="1"/>
  <c r="G5818" i="53" s="1"/>
  <c r="G5866" i="53" s="1"/>
  <c r="F5547" i="53"/>
  <c r="G5547" i="53" s="1"/>
  <c r="G5550" i="53" s="1"/>
  <c r="G5598" i="53" s="1"/>
  <c r="F1675" i="53"/>
  <c r="G1675" i="53" s="1"/>
  <c r="F4934" i="53"/>
  <c r="G4934" i="53" s="1"/>
  <c r="G4938" i="53" s="1"/>
  <c r="G4986" i="53" s="1"/>
  <c r="F5477" i="53"/>
  <c r="G5477" i="53" s="1"/>
  <c r="G5482" i="53" s="1"/>
  <c r="G5530" i="53" s="1"/>
  <c r="F5069" i="53"/>
  <c r="G5069" i="53" s="1"/>
  <c r="G5072" i="53" s="1"/>
  <c r="G5120" i="53" s="1"/>
  <c r="F5682" i="53"/>
  <c r="G5682" i="53" s="1"/>
  <c r="F5615" i="53"/>
  <c r="G5615" i="53" s="1"/>
  <c r="F2015" i="53"/>
  <c r="G2015" i="53" s="1"/>
  <c r="G2017" i="53" s="1"/>
  <c r="G2065" i="53" s="1"/>
  <c r="J40" i="1" s="1"/>
  <c r="N40" i="1" s="1"/>
  <c r="F1535" i="53"/>
  <c r="G1535" i="53" s="1"/>
  <c r="G1542" i="53" s="1"/>
  <c r="G1590" i="53" s="1"/>
  <c r="F1397" i="53"/>
  <c r="G1397" i="53" s="1"/>
  <c r="G1402" i="53" s="1"/>
  <c r="G1450" i="53" s="1"/>
  <c r="J155" i="1"/>
  <c r="G8392" i="53"/>
  <c r="G8396" i="53" s="1"/>
  <c r="G8391" i="53"/>
  <c r="G8390" i="53"/>
  <c r="F7999" i="53"/>
  <c r="G7999" i="53" s="1"/>
  <c r="G8002" i="53" s="1"/>
  <c r="G8050" i="53" s="1"/>
  <c r="F7729" i="53"/>
  <c r="G7729" i="53" s="1"/>
  <c r="F8067" i="53"/>
  <c r="G8067" i="53" s="1"/>
  <c r="F8405" i="53"/>
  <c r="G8405" i="53" s="1"/>
  <c r="F5003" i="53"/>
  <c r="G5003" i="53" s="1"/>
  <c r="G5004" i="53" s="1"/>
  <c r="F7731" i="53"/>
  <c r="G7731" i="53" s="1"/>
  <c r="F17478" i="53"/>
  <c r="G17478" i="53" s="1"/>
  <c r="F18461" i="53"/>
  <c r="G18461" i="53" s="1"/>
  <c r="F1944" i="53"/>
  <c r="G1944" i="53" s="1"/>
  <c r="G1949" i="53" s="1"/>
  <c r="F18462" i="53"/>
  <c r="G18462" i="53" s="1"/>
  <c r="F18463" i="53"/>
  <c r="G18463" i="53" s="1"/>
  <c r="G10160" i="53"/>
  <c r="G10208" i="53" s="1"/>
  <c r="J185" i="1" s="1"/>
  <c r="F2081" i="53"/>
  <c r="G2081" i="53" s="1"/>
  <c r="F10708" i="53"/>
  <c r="G10708" i="53" s="1"/>
  <c r="G10090" i="53"/>
  <c r="G10138" i="53" s="1"/>
  <c r="J184" i="1" s="1"/>
  <c r="F6020" i="53"/>
  <c r="G6020" i="53" s="1"/>
  <c r="F2151" i="53"/>
  <c r="G2151" i="53" s="1"/>
  <c r="G2155" i="53" s="1"/>
  <c r="G2203" i="53" s="1"/>
  <c r="J42" i="1" s="1"/>
  <c r="F2830" i="53"/>
  <c r="G2830" i="53" s="1"/>
  <c r="F5952" i="53"/>
  <c r="G5952" i="53" s="1"/>
  <c r="F1813" i="53"/>
  <c r="G1813" i="53" s="1"/>
  <c r="F1050" i="53"/>
  <c r="G1050" i="53" s="1"/>
  <c r="F1744" i="53"/>
  <c r="G1744" i="53" s="1"/>
  <c r="F1118" i="53"/>
  <c r="G1118" i="53" s="1"/>
  <c r="F1606" i="53"/>
  <c r="G1606" i="53" s="1"/>
  <c r="F9873" i="53"/>
  <c r="G9873" i="53" s="1"/>
  <c r="G9878" i="53" s="1"/>
  <c r="G9926" i="53" s="1"/>
  <c r="F9945" i="53"/>
  <c r="G9945" i="53" s="1"/>
  <c r="G9950" i="53" s="1"/>
  <c r="G9998" i="53" s="1"/>
  <c r="G9806" i="53"/>
  <c r="G9712" i="53"/>
  <c r="F22753" i="53"/>
  <c r="F23809" i="53"/>
  <c r="F23175" i="53"/>
  <c r="F9813" i="53"/>
  <c r="F19645" i="53"/>
  <c r="F20605" i="53"/>
  <c r="F19350" i="53"/>
  <c r="F19569" i="53"/>
  <c r="F19423" i="53"/>
  <c r="F19496" i="53"/>
  <c r="F19941" i="53"/>
  <c r="F12457" i="53"/>
  <c r="F9742" i="53"/>
  <c r="F13746" i="53"/>
  <c r="F17912" i="53"/>
  <c r="F18127" i="53"/>
  <c r="F23038" i="53"/>
  <c r="F23109" i="53"/>
  <c r="F22682" i="53"/>
  <c r="F22539" i="53"/>
  <c r="F22397" i="53"/>
  <c r="F22326" i="53"/>
  <c r="F22254" i="53"/>
  <c r="F22183" i="53"/>
  <c r="F21972" i="53"/>
  <c r="F20387" i="53"/>
  <c r="F20313" i="53"/>
  <c r="F20895" i="53"/>
  <c r="F20529" i="53"/>
  <c r="F19200" i="53"/>
  <c r="F21257" i="53"/>
  <c r="F18981" i="53"/>
  <c r="F16294" i="53"/>
  <c r="F18907" i="53"/>
  <c r="F18762" i="53"/>
  <c r="F18835" i="53"/>
  <c r="F18622" i="53"/>
  <c r="F18057" i="53"/>
  <c r="F17769" i="53"/>
  <c r="F17700" i="53"/>
  <c r="F17632" i="53"/>
  <c r="F17203" i="53"/>
  <c r="F16992" i="53"/>
  <c r="F16924" i="53"/>
  <c r="F16853" i="53"/>
  <c r="F13674" i="53"/>
  <c r="F16360" i="53"/>
  <c r="F16087" i="53"/>
  <c r="F16021" i="53"/>
  <c r="F15814" i="53"/>
  <c r="F15953" i="53"/>
  <c r="F15881" i="53"/>
  <c r="E8896" i="53"/>
  <c r="E8486" i="53"/>
  <c r="E8760" i="53"/>
  <c r="E8416" i="53"/>
  <c r="E7943" i="53"/>
  <c r="E8829" i="53"/>
  <c r="E8623" i="53"/>
  <c r="E8552" i="53"/>
  <c r="E4878" i="53"/>
  <c r="E4740" i="53"/>
  <c r="E5013" i="53"/>
  <c r="E5693" i="53"/>
  <c r="E6103" i="53"/>
  <c r="E5626" i="53"/>
  <c r="E6712" i="53"/>
  <c r="E6512" i="53"/>
  <c r="E6781" i="53"/>
  <c r="E6171" i="53"/>
  <c r="E6850" i="53"/>
  <c r="E857" i="53"/>
  <c r="E436" i="53"/>
  <c r="E361" i="53"/>
  <c r="E721" i="53"/>
  <c r="E7741" i="53"/>
  <c r="E9107" i="53"/>
  <c r="E995" i="53"/>
  <c r="E1200" i="53"/>
  <c r="F8895" i="53"/>
  <c r="F8828" i="53"/>
  <c r="F8622" i="53"/>
  <c r="F8551" i="53"/>
  <c r="F8485" i="53"/>
  <c r="F8759" i="53"/>
  <c r="F8415" i="53"/>
  <c r="F7942" i="53"/>
  <c r="F6102" i="53"/>
  <c r="F5625" i="53"/>
  <c r="F6711" i="53"/>
  <c r="F6511" i="53"/>
  <c r="F6780" i="53"/>
  <c r="F6170" i="53"/>
  <c r="F6849" i="53"/>
  <c r="F4877" i="53"/>
  <c r="F4739" i="53"/>
  <c r="F5012" i="53"/>
  <c r="F360" i="53"/>
  <c r="F720" i="53"/>
  <c r="F7740" i="53"/>
  <c r="F154" i="53"/>
  <c r="F5692" i="53"/>
  <c r="F9106" i="53"/>
  <c r="F856" i="53"/>
  <c r="F435" i="53"/>
  <c r="F652" i="53"/>
  <c r="F22754" i="53"/>
  <c r="F1199" i="53"/>
  <c r="F994" i="53"/>
  <c r="F23810" i="53"/>
  <c r="F23176" i="53"/>
  <c r="F9814" i="53"/>
  <c r="F20606" i="53"/>
  <c r="F19351" i="53"/>
  <c r="F19570" i="53"/>
  <c r="F19424" i="53"/>
  <c r="F19497" i="53"/>
  <c r="F19942" i="53"/>
  <c r="F19646" i="53"/>
  <c r="F12458" i="53"/>
  <c r="F9743" i="53"/>
  <c r="L7" i="54"/>
  <c r="E653" i="53"/>
  <c r="E155" i="53"/>
  <c r="E22755" i="53"/>
  <c r="E23811" i="53"/>
  <c r="E23177" i="53"/>
  <c r="E9815" i="53"/>
  <c r="E19943" i="53"/>
  <c r="E19647" i="53"/>
  <c r="E20607" i="53"/>
  <c r="E19425" i="53"/>
  <c r="E19352" i="53"/>
  <c r="E19571" i="53"/>
  <c r="E19498" i="53"/>
  <c r="E12459" i="53"/>
  <c r="E9744" i="53"/>
  <c r="E8895" i="53"/>
  <c r="E7942" i="53"/>
  <c r="E8828" i="53"/>
  <c r="E8622" i="53"/>
  <c r="E8551" i="53"/>
  <c r="E8485" i="53"/>
  <c r="E8759" i="53"/>
  <c r="E8415" i="53"/>
  <c r="E6102" i="53"/>
  <c r="E5625" i="53"/>
  <c r="E6711" i="53"/>
  <c r="E6511" i="53"/>
  <c r="E6780" i="53"/>
  <c r="E6170" i="53"/>
  <c r="E6849" i="53"/>
  <c r="E4877" i="53"/>
  <c r="E4739" i="53"/>
  <c r="E5012" i="53"/>
  <c r="E720" i="53"/>
  <c r="E7740" i="53"/>
  <c r="E154" i="53"/>
  <c r="E5692" i="53"/>
  <c r="E9106" i="53"/>
  <c r="E856" i="53"/>
  <c r="E435" i="53"/>
  <c r="E652" i="53"/>
  <c r="E360" i="53"/>
  <c r="E22754" i="53"/>
  <c r="E994" i="53"/>
  <c r="E1199" i="53"/>
  <c r="E23810" i="53"/>
  <c r="E23176" i="53"/>
  <c r="E9814" i="53"/>
  <c r="E19646" i="53"/>
  <c r="E20606" i="53"/>
  <c r="E19424" i="53"/>
  <c r="E19351" i="53"/>
  <c r="E19570" i="53"/>
  <c r="E19497" i="53"/>
  <c r="E19942" i="53"/>
  <c r="E12458" i="53"/>
  <c r="E9743" i="53"/>
  <c r="E18124" i="53"/>
  <c r="E17909" i="53"/>
  <c r="F151" i="53"/>
  <c r="F650" i="53"/>
  <c r="F23808" i="53"/>
  <c r="F9812" i="53"/>
  <c r="F12456" i="53"/>
  <c r="F9741" i="53"/>
  <c r="E22753" i="53"/>
  <c r="E23809" i="53"/>
  <c r="E23175" i="53"/>
  <c r="E9813" i="53"/>
  <c r="E19941" i="53"/>
  <c r="E19645" i="53"/>
  <c r="E20605" i="53"/>
  <c r="E19423" i="53"/>
  <c r="E19350" i="53"/>
  <c r="E19569" i="53"/>
  <c r="E19496" i="53"/>
  <c r="E12457" i="53"/>
  <c r="E9742" i="53"/>
  <c r="E13747" i="53"/>
  <c r="F23039" i="53"/>
  <c r="F18128" i="53"/>
  <c r="F17913" i="53"/>
  <c r="L8" i="54"/>
  <c r="E151" i="53"/>
  <c r="E650" i="53"/>
  <c r="E23808" i="53"/>
  <c r="E9812" i="53"/>
  <c r="E12456" i="53"/>
  <c r="E9741" i="53"/>
  <c r="F13677" i="53"/>
  <c r="G13677" i="53" s="1"/>
  <c r="F13747" i="53"/>
  <c r="L2" i="54"/>
  <c r="E8891" i="53"/>
  <c r="E7938" i="53"/>
  <c r="E8824" i="53"/>
  <c r="E8618" i="53"/>
  <c r="E8547" i="53"/>
  <c r="E8481" i="53"/>
  <c r="E8755" i="53"/>
  <c r="E8411" i="53"/>
  <c r="E6098" i="53"/>
  <c r="E5621" i="53"/>
  <c r="E6707" i="53"/>
  <c r="E6507" i="53"/>
  <c r="E6776" i="53"/>
  <c r="E6166" i="53"/>
  <c r="E6845" i="53"/>
  <c r="E4873" i="53"/>
  <c r="E4735" i="53"/>
  <c r="E5008" i="53"/>
  <c r="E5688" i="53"/>
  <c r="E716" i="53"/>
  <c r="E7736" i="53"/>
  <c r="E150" i="53"/>
  <c r="E9102" i="53"/>
  <c r="E852" i="53"/>
  <c r="E431" i="53"/>
  <c r="E648" i="53"/>
  <c r="E356" i="53"/>
  <c r="E22750" i="53"/>
  <c r="E990" i="53"/>
  <c r="E1195" i="53"/>
  <c r="E23806" i="53"/>
  <c r="E23172" i="53"/>
  <c r="E9810" i="53"/>
  <c r="E19642" i="53"/>
  <c r="E20602" i="53"/>
  <c r="E19420" i="53"/>
  <c r="E19347" i="53"/>
  <c r="E19566" i="53"/>
  <c r="E19493" i="53"/>
  <c r="E19938" i="53"/>
  <c r="E12454" i="53"/>
  <c r="E9739" i="53"/>
  <c r="E8892" i="53"/>
  <c r="E8482" i="53"/>
  <c r="E8756" i="53"/>
  <c r="E8412" i="53"/>
  <c r="E8548" i="53"/>
  <c r="E7939" i="53"/>
  <c r="E8825" i="53"/>
  <c r="E8619" i="53"/>
  <c r="E4874" i="53"/>
  <c r="E4736" i="53"/>
  <c r="E5009" i="53"/>
  <c r="E5689" i="53"/>
  <c r="E6099" i="53"/>
  <c r="E5622" i="53"/>
  <c r="E6708" i="53"/>
  <c r="E6508" i="53"/>
  <c r="E6777" i="53"/>
  <c r="E6167" i="53"/>
  <c r="E6846" i="53"/>
  <c r="E853" i="53"/>
  <c r="E432" i="53"/>
  <c r="E649" i="53"/>
  <c r="E357" i="53"/>
  <c r="E717" i="53"/>
  <c r="E7737" i="53"/>
  <c r="E9103" i="53"/>
  <c r="E22751" i="53"/>
  <c r="E991" i="53"/>
  <c r="E1196" i="53"/>
  <c r="E23807" i="53"/>
  <c r="E23173" i="53"/>
  <c r="E9811" i="53"/>
  <c r="E19939" i="53"/>
  <c r="E19643" i="53"/>
  <c r="E20603" i="53"/>
  <c r="E19421" i="53"/>
  <c r="E19348" i="53"/>
  <c r="E19567" i="53"/>
  <c r="E19494" i="53"/>
  <c r="E12455" i="53"/>
  <c r="E9740" i="53"/>
  <c r="L12" i="54"/>
  <c r="E19426" i="53"/>
  <c r="E19353" i="53"/>
  <c r="E19572" i="53"/>
  <c r="E19499" i="53"/>
  <c r="E12460" i="53"/>
  <c r="E17772" i="53"/>
  <c r="E21260" i="53"/>
  <c r="E21975" i="53"/>
  <c r="L10" i="54"/>
  <c r="E8894" i="53"/>
  <c r="E8484" i="53"/>
  <c r="E8758" i="53"/>
  <c r="E8414" i="53"/>
  <c r="E7941" i="53"/>
  <c r="E8827" i="53"/>
  <c r="E8621" i="53"/>
  <c r="E8550" i="53"/>
  <c r="E4876" i="53"/>
  <c r="E4738" i="53"/>
  <c r="E5011" i="53"/>
  <c r="E5691" i="53"/>
  <c r="E6101" i="53"/>
  <c r="E5624" i="53"/>
  <c r="E6710" i="53"/>
  <c r="E6510" i="53"/>
  <c r="E6779" i="53"/>
  <c r="E6169" i="53"/>
  <c r="E6848" i="53"/>
  <c r="E855" i="53"/>
  <c r="E434" i="53"/>
  <c r="E359" i="53"/>
  <c r="E719" i="53"/>
  <c r="E7739" i="53"/>
  <c r="E153" i="53"/>
  <c r="E9105" i="53"/>
  <c r="E993" i="53"/>
  <c r="E1198" i="53"/>
  <c r="E23174" i="53"/>
  <c r="E16297" i="53"/>
  <c r="E18125" i="53"/>
  <c r="E18129" i="53"/>
  <c r="E17910" i="53"/>
  <c r="E17914" i="53"/>
  <c r="L9" i="54"/>
  <c r="E8893" i="53"/>
  <c r="E7940" i="53"/>
  <c r="E8826" i="53"/>
  <c r="E8620" i="53"/>
  <c r="E8549" i="53"/>
  <c r="E8483" i="53"/>
  <c r="E8757" i="53"/>
  <c r="E8413" i="53"/>
  <c r="E6100" i="53"/>
  <c r="E5623" i="53"/>
  <c r="E6709" i="53"/>
  <c r="E6509" i="53"/>
  <c r="E6778" i="53"/>
  <c r="E6168" i="53"/>
  <c r="E6847" i="53"/>
  <c r="E4875" i="53"/>
  <c r="E4737" i="53"/>
  <c r="E5010" i="53"/>
  <c r="E5690" i="53"/>
  <c r="E718" i="53"/>
  <c r="E7738" i="53"/>
  <c r="E152" i="53"/>
  <c r="E9104" i="53"/>
  <c r="E854" i="53"/>
  <c r="E433" i="53"/>
  <c r="E358" i="53"/>
  <c r="E992" i="53"/>
  <c r="E1197" i="53"/>
  <c r="E13744" i="53"/>
  <c r="E13746" i="53"/>
  <c r="E13748" i="53"/>
  <c r="F981" i="53"/>
  <c r="G981" i="53" s="1"/>
  <c r="F13732" i="53"/>
  <c r="G13732" i="53" s="1"/>
  <c r="G13739" i="53" s="1"/>
  <c r="G13745" i="53"/>
  <c r="G13749" i="53"/>
  <c r="G13786" i="53"/>
  <c r="G13760" i="53"/>
  <c r="B13733" i="53"/>
  <c r="B13732" i="53"/>
  <c r="G11393" i="53"/>
  <c r="L3" i="54"/>
  <c r="J148" i="1" l="1"/>
  <c r="G7917" i="53"/>
  <c r="G7918" i="53"/>
  <c r="G7919" i="53"/>
  <c r="G7923" i="53" s="1"/>
  <c r="J147" i="1"/>
  <c r="N147" i="1" s="1"/>
  <c r="G7850" i="53"/>
  <c r="G7851" i="53"/>
  <c r="G7852" i="53"/>
  <c r="G7856" i="53" s="1"/>
  <c r="J152" i="1"/>
  <c r="G8193" i="53"/>
  <c r="G8194" i="53"/>
  <c r="G8198" i="53" s="1"/>
  <c r="G8192" i="53"/>
  <c r="J31" i="1"/>
  <c r="G1521" i="53"/>
  <c r="G1522" i="53"/>
  <c r="G1523" i="53"/>
  <c r="G1527" i="53" s="1"/>
  <c r="J65" i="1"/>
  <c r="G3452" i="53"/>
  <c r="G3456" i="53" s="1"/>
  <c r="G3451" i="53"/>
  <c r="G3450" i="53"/>
  <c r="G2834" i="53"/>
  <c r="G2882" i="53" s="1"/>
  <c r="J112" i="1"/>
  <c r="G5803" i="53"/>
  <c r="G5807" i="53" s="1"/>
  <c r="G5801" i="53"/>
  <c r="G5802" i="53"/>
  <c r="J103" i="1"/>
  <c r="G5190" i="53"/>
  <c r="G5192" i="53"/>
  <c r="G5196" i="53" s="1"/>
  <c r="G5191" i="53"/>
  <c r="J104" i="1"/>
  <c r="G5260" i="53"/>
  <c r="G5264" i="53" s="1"/>
  <c r="G5259" i="53"/>
  <c r="G5258" i="53"/>
  <c r="J106" i="1"/>
  <c r="G5396" i="53"/>
  <c r="G5400" i="53" s="1"/>
  <c r="G5394" i="53"/>
  <c r="G5395" i="53"/>
  <c r="J105" i="1"/>
  <c r="G5327" i="53"/>
  <c r="G5328" i="53"/>
  <c r="G5332" i="53" s="1"/>
  <c r="G5326" i="53"/>
  <c r="J107" i="1"/>
  <c r="G5464" i="53"/>
  <c r="G5468" i="53" s="1"/>
  <c r="G5463" i="53"/>
  <c r="G5462" i="53"/>
  <c r="J109" i="1"/>
  <c r="G5600" i="53"/>
  <c r="G5602" i="53"/>
  <c r="G5606" i="53" s="1"/>
  <c r="G5601" i="53"/>
  <c r="J113" i="1"/>
  <c r="G5870" i="53"/>
  <c r="G5874" i="53" s="1"/>
  <c r="G5869" i="53"/>
  <c r="G5868" i="53"/>
  <c r="J102" i="1"/>
  <c r="G5124" i="53"/>
  <c r="G5128" i="53" s="1"/>
  <c r="G5123" i="53"/>
  <c r="G5122" i="53"/>
  <c r="J108" i="1"/>
  <c r="G5534" i="53"/>
  <c r="G5538" i="53" s="1"/>
  <c r="G5532" i="53"/>
  <c r="G5533" i="53"/>
  <c r="J99" i="1"/>
  <c r="G4990" i="53"/>
  <c r="G4994" i="53" s="1"/>
  <c r="G4989" i="53"/>
  <c r="G4988" i="53"/>
  <c r="G2067" i="53"/>
  <c r="G2069" i="53"/>
  <c r="G2073" i="53" s="1"/>
  <c r="G2068" i="53"/>
  <c r="L40" i="1"/>
  <c r="K40" i="1"/>
  <c r="M40" i="1"/>
  <c r="O40" i="1"/>
  <c r="G1453" i="53"/>
  <c r="G1454" i="53"/>
  <c r="G1458" i="53" s="1"/>
  <c r="G1452" i="53"/>
  <c r="J30" i="1"/>
  <c r="G1594" i="53"/>
  <c r="G1598" i="53" s="1"/>
  <c r="J32" i="1"/>
  <c r="G1592" i="53"/>
  <c r="G1593" i="53"/>
  <c r="K42" i="1"/>
  <c r="O42" i="1"/>
  <c r="M42" i="1"/>
  <c r="L42" i="1"/>
  <c r="N42" i="1"/>
  <c r="G8394" i="53"/>
  <c r="G8398" i="53" s="1"/>
  <c r="G8336" i="53" s="1"/>
  <c r="K155" i="1"/>
  <c r="L155" i="1"/>
  <c r="M155" i="1"/>
  <c r="N155" i="1"/>
  <c r="O155" i="1"/>
  <c r="G8072" i="53"/>
  <c r="G8120" i="53" s="1"/>
  <c r="G7732" i="53"/>
  <c r="J150" i="1"/>
  <c r="G8054" i="53"/>
  <c r="G8058" i="53" s="1"/>
  <c r="G8052" i="53"/>
  <c r="G8053" i="53"/>
  <c r="K184" i="1"/>
  <c r="L184" i="1"/>
  <c r="M184" i="1"/>
  <c r="N184" i="1"/>
  <c r="O184" i="1"/>
  <c r="L185" i="1"/>
  <c r="M185" i="1"/>
  <c r="O185" i="1"/>
  <c r="K185" i="1"/>
  <c r="N185" i="1"/>
  <c r="G10211" i="53"/>
  <c r="G10212" i="53"/>
  <c r="G10216" i="53" s="1"/>
  <c r="G10210" i="53"/>
  <c r="G10142" i="53"/>
  <c r="G10146" i="53" s="1"/>
  <c r="G10140" i="53"/>
  <c r="G10141" i="53"/>
  <c r="G2207" i="53"/>
  <c r="G2211" i="53" s="1"/>
  <c r="G2206" i="53"/>
  <c r="G2205" i="53"/>
  <c r="J178" i="1"/>
  <c r="J181" i="1"/>
  <c r="G9929" i="53"/>
  <c r="G9930" i="53"/>
  <c r="G9934" i="53" s="1"/>
  <c r="G9928" i="53"/>
  <c r="J182" i="1"/>
  <c r="G10000" i="53"/>
  <c r="G10002" i="53"/>
  <c r="G10006" i="53" s="1"/>
  <c r="G10001" i="53"/>
  <c r="G19423" i="53"/>
  <c r="G22753" i="53"/>
  <c r="G19496" i="53"/>
  <c r="G23809" i="53"/>
  <c r="G19350" i="53"/>
  <c r="G9742" i="53"/>
  <c r="G652" i="53"/>
  <c r="G13746" i="53"/>
  <c r="G23175" i="53"/>
  <c r="G19569" i="53"/>
  <c r="G19645" i="53"/>
  <c r="G12457" i="53"/>
  <c r="G9813" i="53"/>
  <c r="G12458" i="53"/>
  <c r="G435" i="53"/>
  <c r="G1199" i="53"/>
  <c r="G360" i="53"/>
  <c r="G856" i="53"/>
  <c r="G8828" i="53"/>
  <c r="G19570" i="53"/>
  <c r="G19497" i="53"/>
  <c r="G9743" i="53"/>
  <c r="G23176" i="53"/>
  <c r="G4739" i="53"/>
  <c r="G5625" i="53"/>
  <c r="G19351" i="53"/>
  <c r="G13747" i="53"/>
  <c r="G8415" i="53"/>
  <c r="G9814" i="53"/>
  <c r="G6511" i="53"/>
  <c r="G8895" i="53"/>
  <c r="G19941" i="53"/>
  <c r="G19942" i="53"/>
  <c r="G8759" i="53"/>
  <c r="G8485" i="53"/>
  <c r="G5012" i="53"/>
  <c r="G6711" i="53"/>
  <c r="G23810" i="53"/>
  <c r="G9106" i="53"/>
  <c r="G6102" i="53"/>
  <c r="G154" i="53"/>
  <c r="G9716" i="53"/>
  <c r="G9720" i="53" s="1"/>
  <c r="G9715" i="53"/>
  <c r="G9714" i="53"/>
  <c r="G23808" i="53"/>
  <c r="G6849" i="53"/>
  <c r="G9741" i="53"/>
  <c r="G650" i="53"/>
  <c r="G994" i="53"/>
  <c r="G7740" i="53"/>
  <c r="G20605" i="53"/>
  <c r="G5692" i="53"/>
  <c r="G19424" i="53"/>
  <c r="G22754" i="53"/>
  <c r="G4877" i="53"/>
  <c r="G9812" i="53"/>
  <c r="G8551" i="53"/>
  <c r="G20606" i="53"/>
  <c r="G8622" i="53"/>
  <c r="G19646" i="53"/>
  <c r="G6170" i="53"/>
  <c r="G12456" i="53"/>
  <c r="G151" i="53"/>
  <c r="G6780" i="53"/>
  <c r="G7942" i="53"/>
  <c r="G720" i="53"/>
  <c r="F8891" i="53"/>
  <c r="G8891" i="53" s="1"/>
  <c r="F8824" i="53"/>
  <c r="G8824" i="53" s="1"/>
  <c r="F8618" i="53"/>
  <c r="G8618" i="53" s="1"/>
  <c r="F8547" i="53"/>
  <c r="G8547" i="53" s="1"/>
  <c r="F8481" i="53"/>
  <c r="G8481" i="53" s="1"/>
  <c r="F8755" i="53"/>
  <c r="G8755" i="53" s="1"/>
  <c r="F8411" i="53"/>
  <c r="G8411" i="53" s="1"/>
  <c r="F7938" i="53"/>
  <c r="G7938" i="53" s="1"/>
  <c r="F6098" i="53"/>
  <c r="G6098" i="53" s="1"/>
  <c r="F5621" i="53"/>
  <c r="G5621" i="53" s="1"/>
  <c r="F6707" i="53"/>
  <c r="G6707" i="53" s="1"/>
  <c r="F6507" i="53"/>
  <c r="G6507" i="53" s="1"/>
  <c r="F6776" i="53"/>
  <c r="G6776" i="53" s="1"/>
  <c r="F6166" i="53"/>
  <c r="G6166" i="53" s="1"/>
  <c r="F6845" i="53"/>
  <c r="G6845" i="53" s="1"/>
  <c r="F4873" i="53"/>
  <c r="G4873" i="53" s="1"/>
  <c r="F4735" i="53"/>
  <c r="G4735" i="53" s="1"/>
  <c r="F5008" i="53"/>
  <c r="G5008" i="53" s="1"/>
  <c r="F356" i="53"/>
  <c r="G356" i="53" s="1"/>
  <c r="F716" i="53"/>
  <c r="G716" i="53" s="1"/>
  <c r="F7736" i="53"/>
  <c r="G7736" i="53" s="1"/>
  <c r="F150" i="53"/>
  <c r="G150" i="53" s="1"/>
  <c r="F9102" i="53"/>
  <c r="G9102" i="53" s="1"/>
  <c r="F5688" i="53"/>
  <c r="G5688" i="53" s="1"/>
  <c r="F852" i="53"/>
  <c r="G852" i="53" s="1"/>
  <c r="F431" i="53"/>
  <c r="G431" i="53" s="1"/>
  <c r="F648" i="53"/>
  <c r="G648" i="53" s="1"/>
  <c r="F22750" i="53"/>
  <c r="G22750" i="53" s="1"/>
  <c r="F1195" i="53"/>
  <c r="G1195" i="53" s="1"/>
  <c r="F990" i="53"/>
  <c r="G990" i="53" s="1"/>
  <c r="F23806" i="53"/>
  <c r="G23806" i="53" s="1"/>
  <c r="F23172" i="53"/>
  <c r="G23172" i="53" s="1"/>
  <c r="F9810" i="53"/>
  <c r="G9810" i="53" s="1"/>
  <c r="F20602" i="53"/>
  <c r="G20602" i="53" s="1"/>
  <c r="F19347" i="53"/>
  <c r="G19347" i="53" s="1"/>
  <c r="F19566" i="53"/>
  <c r="G19566" i="53" s="1"/>
  <c r="F19420" i="53"/>
  <c r="G19420" i="53" s="1"/>
  <c r="F19493" i="53"/>
  <c r="G19493" i="53" s="1"/>
  <c r="F19938" i="53"/>
  <c r="G19938" i="53" s="1"/>
  <c r="F19642" i="53"/>
  <c r="G19642" i="53" s="1"/>
  <c r="F12454" i="53"/>
  <c r="G12454" i="53" s="1"/>
  <c r="F9739" i="53"/>
  <c r="G9739" i="53" s="1"/>
  <c r="F13743" i="53"/>
  <c r="G13743" i="53" s="1"/>
  <c r="F17909" i="53"/>
  <c r="G17909" i="53" s="1"/>
  <c r="F18124" i="53"/>
  <c r="G18124" i="53" s="1"/>
  <c r="F23035" i="53"/>
  <c r="F23106" i="53"/>
  <c r="F22679" i="53"/>
  <c r="F22536" i="53"/>
  <c r="F22394" i="53"/>
  <c r="F22323" i="53"/>
  <c r="F22251" i="53"/>
  <c r="F22180" i="53"/>
  <c r="F21969" i="53"/>
  <c r="F20384" i="53"/>
  <c r="F20310" i="53"/>
  <c r="F20892" i="53"/>
  <c r="F20526" i="53"/>
  <c r="F19197" i="53"/>
  <c r="F21254" i="53"/>
  <c r="F18978" i="53"/>
  <c r="F16291" i="53"/>
  <c r="F18904" i="53"/>
  <c r="F18759" i="53"/>
  <c r="F18832" i="53"/>
  <c r="F18619" i="53"/>
  <c r="F18054" i="53"/>
  <c r="F17766" i="53"/>
  <c r="F17697" i="53"/>
  <c r="F17629" i="53"/>
  <c r="F17200" i="53"/>
  <c r="F16989" i="53"/>
  <c r="F16921" i="53"/>
  <c r="F16850" i="53"/>
  <c r="F13671" i="53"/>
  <c r="F16357" i="53"/>
  <c r="F16084" i="53"/>
  <c r="F16018" i="53"/>
  <c r="F15811" i="53"/>
  <c r="F15950" i="53"/>
  <c r="F15878" i="53"/>
  <c r="F15671" i="53"/>
  <c r="F15599" i="53"/>
  <c r="F15527" i="53"/>
  <c r="F14692" i="53"/>
  <c r="F14565" i="53"/>
  <c r="F14502" i="53"/>
  <c r="F13385" i="53"/>
  <c r="F12880" i="53"/>
  <c r="F15036" i="53"/>
  <c r="F14972" i="53"/>
  <c r="F11842" i="53"/>
  <c r="F11707" i="53"/>
  <c r="F11517" i="53"/>
  <c r="F11386" i="53"/>
  <c r="F8892" i="53"/>
  <c r="G8892" i="53" s="1"/>
  <c r="F8756" i="53"/>
  <c r="G8756" i="53" s="1"/>
  <c r="F8412" i="53"/>
  <c r="G8412" i="53" s="1"/>
  <c r="F7939" i="53"/>
  <c r="G7939" i="53" s="1"/>
  <c r="F8825" i="53"/>
  <c r="G8825" i="53" s="1"/>
  <c r="F8619" i="53"/>
  <c r="G8619" i="53" s="1"/>
  <c r="F8548" i="53"/>
  <c r="G8548" i="53" s="1"/>
  <c r="F8482" i="53"/>
  <c r="G8482" i="53" s="1"/>
  <c r="F6167" i="53"/>
  <c r="G6167" i="53" s="1"/>
  <c r="F6846" i="53"/>
  <c r="G6846" i="53" s="1"/>
  <c r="F4874" i="53"/>
  <c r="G4874" i="53" s="1"/>
  <c r="F4736" i="53"/>
  <c r="G4736" i="53" s="1"/>
  <c r="F5009" i="53"/>
  <c r="G5009" i="53" s="1"/>
  <c r="F6099" i="53"/>
  <c r="G6099" i="53" s="1"/>
  <c r="F5622" i="53"/>
  <c r="G5622" i="53" s="1"/>
  <c r="F6708" i="53"/>
  <c r="G6708" i="53" s="1"/>
  <c r="F6508" i="53"/>
  <c r="G6508" i="53" s="1"/>
  <c r="F6777" i="53"/>
  <c r="G6777" i="53" s="1"/>
  <c r="F9103" i="53"/>
  <c r="G9103" i="53" s="1"/>
  <c r="F5689" i="53"/>
  <c r="G5689" i="53" s="1"/>
  <c r="F853" i="53"/>
  <c r="G853" i="53" s="1"/>
  <c r="F432" i="53"/>
  <c r="G432" i="53" s="1"/>
  <c r="F649" i="53"/>
  <c r="G649" i="53" s="1"/>
  <c r="F357" i="53"/>
  <c r="G357" i="53" s="1"/>
  <c r="F717" i="53"/>
  <c r="G717" i="53" s="1"/>
  <c r="F7737" i="53"/>
  <c r="G7737" i="53" s="1"/>
  <c r="F22751" i="53"/>
  <c r="G22751" i="53" s="1"/>
  <c r="F991" i="53"/>
  <c r="G991" i="53" s="1"/>
  <c r="F1196" i="53"/>
  <c r="G1196" i="53" s="1"/>
  <c r="F23807" i="53"/>
  <c r="G23807" i="53" s="1"/>
  <c r="F23173" i="53"/>
  <c r="G23173" i="53" s="1"/>
  <c r="F9811" i="53"/>
  <c r="G9811" i="53" s="1"/>
  <c r="F19643" i="53"/>
  <c r="G19643" i="53" s="1"/>
  <c r="F20603" i="53"/>
  <c r="G20603" i="53" s="1"/>
  <c r="F19348" i="53"/>
  <c r="G19348" i="53" s="1"/>
  <c r="F19567" i="53"/>
  <c r="G19567" i="53" s="1"/>
  <c r="F19421" i="53"/>
  <c r="G19421" i="53" s="1"/>
  <c r="F19494" i="53"/>
  <c r="G19494" i="53" s="1"/>
  <c r="F19939" i="53"/>
  <c r="G19939" i="53" s="1"/>
  <c r="F12455" i="53"/>
  <c r="G12455" i="53" s="1"/>
  <c r="F9740" i="53"/>
  <c r="G9740" i="53" s="1"/>
  <c r="F13744" i="53"/>
  <c r="G13744" i="53" s="1"/>
  <c r="F17910" i="53"/>
  <c r="F18125" i="53"/>
  <c r="G18125" i="53" s="1"/>
  <c r="F23036" i="53"/>
  <c r="F23107" i="53"/>
  <c r="F22680" i="53"/>
  <c r="F22537" i="53"/>
  <c r="F22395" i="53"/>
  <c r="F22324" i="53"/>
  <c r="F22252" i="53"/>
  <c r="F22181" i="53"/>
  <c r="F21970" i="53"/>
  <c r="F20385" i="53"/>
  <c r="F20311" i="53"/>
  <c r="F20893" i="53"/>
  <c r="F20527" i="53"/>
  <c r="F19198" i="53"/>
  <c r="F21255" i="53"/>
  <c r="F18979" i="53"/>
  <c r="F18905" i="53"/>
  <c r="F18760" i="53"/>
  <c r="F18833" i="53"/>
  <c r="F18620" i="53"/>
  <c r="F18055" i="53"/>
  <c r="F17767" i="53"/>
  <c r="F17698" i="53"/>
  <c r="F17630" i="53"/>
  <c r="F17201" i="53"/>
  <c r="F16990" i="53"/>
  <c r="F16922" i="53"/>
  <c r="F16851" i="53"/>
  <c r="F13672" i="53"/>
  <c r="F16358" i="53"/>
  <c r="F16085" i="53"/>
  <c r="F16019" i="53"/>
  <c r="F15812" i="53"/>
  <c r="F15951" i="53"/>
  <c r="F15879" i="53"/>
  <c r="F15528" i="53"/>
  <c r="F15600" i="53"/>
  <c r="F15672" i="53"/>
  <c r="F14693" i="53"/>
  <c r="F14566" i="53"/>
  <c r="F14503" i="53"/>
  <c r="F13386" i="53"/>
  <c r="F12881" i="53"/>
  <c r="F15037" i="53"/>
  <c r="F14973" i="53"/>
  <c r="F11843" i="53"/>
  <c r="F11708" i="53"/>
  <c r="F11518" i="53"/>
  <c r="F11387" i="53"/>
  <c r="F8893" i="53"/>
  <c r="G8893" i="53" s="1"/>
  <c r="F8826" i="53"/>
  <c r="G8826" i="53" s="1"/>
  <c r="F8620" i="53"/>
  <c r="G8620" i="53" s="1"/>
  <c r="F8549" i="53"/>
  <c r="G8549" i="53" s="1"/>
  <c r="F8483" i="53"/>
  <c r="G8483" i="53" s="1"/>
  <c r="F8757" i="53"/>
  <c r="G8757" i="53" s="1"/>
  <c r="F8413" i="53"/>
  <c r="G8413" i="53" s="1"/>
  <c r="F7940" i="53"/>
  <c r="G7940" i="53" s="1"/>
  <c r="F6100" i="53"/>
  <c r="G6100" i="53" s="1"/>
  <c r="F5623" i="53"/>
  <c r="G5623" i="53" s="1"/>
  <c r="F6709" i="53"/>
  <c r="G6709" i="53" s="1"/>
  <c r="F6509" i="53"/>
  <c r="G6509" i="53" s="1"/>
  <c r="F6778" i="53"/>
  <c r="G6778" i="53" s="1"/>
  <c r="F6168" i="53"/>
  <c r="G6168" i="53" s="1"/>
  <c r="F6847" i="53"/>
  <c r="G6847" i="53" s="1"/>
  <c r="F4875" i="53"/>
  <c r="G4875" i="53" s="1"/>
  <c r="F4737" i="53"/>
  <c r="G4737" i="53" s="1"/>
  <c r="F5010" i="53"/>
  <c r="G5010" i="53" s="1"/>
  <c r="F358" i="53"/>
  <c r="G358" i="53" s="1"/>
  <c r="F718" i="53"/>
  <c r="G718" i="53" s="1"/>
  <c r="F7738" i="53"/>
  <c r="G7738" i="53" s="1"/>
  <c r="F152" i="53"/>
  <c r="G152" i="53" s="1"/>
  <c r="F9104" i="53"/>
  <c r="G9104" i="53" s="1"/>
  <c r="F5690" i="53"/>
  <c r="G5690" i="53" s="1"/>
  <c r="F854" i="53"/>
  <c r="G854" i="53" s="1"/>
  <c r="F433" i="53"/>
  <c r="G433" i="53" s="1"/>
  <c r="F1197" i="53"/>
  <c r="G1197" i="53" s="1"/>
  <c r="F992" i="53"/>
  <c r="G992" i="53" s="1"/>
  <c r="F11392" i="53"/>
  <c r="G11392" i="53" s="1"/>
  <c r="F16292" i="53"/>
  <c r="F8894" i="53"/>
  <c r="G8894" i="53" s="1"/>
  <c r="F8758" i="53"/>
  <c r="G8758" i="53" s="1"/>
  <c r="F8414" i="53"/>
  <c r="G8414" i="53" s="1"/>
  <c r="F7941" i="53"/>
  <c r="G7941" i="53" s="1"/>
  <c r="F8827" i="53"/>
  <c r="G8827" i="53" s="1"/>
  <c r="F8621" i="53"/>
  <c r="G8621" i="53" s="1"/>
  <c r="F8550" i="53"/>
  <c r="G8550" i="53" s="1"/>
  <c r="F8484" i="53"/>
  <c r="G8484" i="53" s="1"/>
  <c r="F6169" i="53"/>
  <c r="G6169" i="53" s="1"/>
  <c r="F6848" i="53"/>
  <c r="G6848" i="53" s="1"/>
  <c r="F4876" i="53"/>
  <c r="G4876" i="53" s="1"/>
  <c r="F4738" i="53"/>
  <c r="G4738" i="53" s="1"/>
  <c r="F5011" i="53"/>
  <c r="G5011" i="53" s="1"/>
  <c r="F6101" i="53"/>
  <c r="G6101" i="53" s="1"/>
  <c r="F5624" i="53"/>
  <c r="G5624" i="53" s="1"/>
  <c r="F6710" i="53"/>
  <c r="G6710" i="53" s="1"/>
  <c r="F6510" i="53"/>
  <c r="G6510" i="53" s="1"/>
  <c r="F6779" i="53"/>
  <c r="G6779" i="53" s="1"/>
  <c r="F5691" i="53"/>
  <c r="G5691" i="53" s="1"/>
  <c r="F9105" i="53"/>
  <c r="G9105" i="53" s="1"/>
  <c r="F855" i="53"/>
  <c r="G855" i="53" s="1"/>
  <c r="F434" i="53"/>
  <c r="G434" i="53" s="1"/>
  <c r="F359" i="53"/>
  <c r="G359" i="53" s="1"/>
  <c r="F719" i="53"/>
  <c r="G719" i="53" s="1"/>
  <c r="F7739" i="53"/>
  <c r="G7739" i="53" s="1"/>
  <c r="F153" i="53"/>
  <c r="G153" i="53" s="1"/>
  <c r="F993" i="53"/>
  <c r="G993" i="53" s="1"/>
  <c r="F1198" i="53"/>
  <c r="G1198" i="53" s="1"/>
  <c r="F23174" i="53"/>
  <c r="G23174" i="53" s="1"/>
  <c r="F16297" i="53"/>
  <c r="G16297" i="53" s="1"/>
  <c r="F653" i="53"/>
  <c r="G653" i="53" s="1"/>
  <c r="F155" i="53"/>
  <c r="G155" i="53" s="1"/>
  <c r="F22755" i="53"/>
  <c r="G22755" i="53" s="1"/>
  <c r="F23811" i="53"/>
  <c r="G23811" i="53" s="1"/>
  <c r="F23177" i="53"/>
  <c r="G23177" i="53" s="1"/>
  <c r="F9815" i="53"/>
  <c r="G9815" i="53" s="1"/>
  <c r="F19647" i="53"/>
  <c r="G19647" i="53" s="1"/>
  <c r="F20607" i="53"/>
  <c r="G20607" i="53" s="1"/>
  <c r="F19352" i="53"/>
  <c r="G19352" i="53" s="1"/>
  <c r="F19571" i="53"/>
  <c r="G19571" i="53" s="1"/>
  <c r="F19425" i="53"/>
  <c r="G19425" i="53" s="1"/>
  <c r="F19498" i="53"/>
  <c r="G19498" i="53" s="1"/>
  <c r="F19943" i="53"/>
  <c r="G19943" i="53" s="1"/>
  <c r="F12459" i="53"/>
  <c r="G12459" i="53" s="1"/>
  <c r="F9744" i="53"/>
  <c r="G9744" i="53" s="1"/>
  <c r="F13748" i="53"/>
  <c r="G13748" i="53" s="1"/>
  <c r="F17914" i="53"/>
  <c r="F18129" i="53"/>
  <c r="F23040" i="53"/>
  <c r="F23111" i="53"/>
  <c r="F22684" i="53"/>
  <c r="F22541" i="53"/>
  <c r="F22399" i="53"/>
  <c r="F22328" i="53"/>
  <c r="F22256" i="53"/>
  <c r="F22185" i="53"/>
  <c r="F21974" i="53"/>
  <c r="F20389" i="53"/>
  <c r="F20315" i="53"/>
  <c r="F20897" i="53"/>
  <c r="F20531" i="53"/>
  <c r="F19202" i="53"/>
  <c r="F21259" i="53"/>
  <c r="F18983" i="53"/>
  <c r="F18909" i="53"/>
  <c r="F18764" i="53"/>
  <c r="F18837" i="53"/>
  <c r="F18624" i="53"/>
  <c r="F18059" i="53"/>
  <c r="F17771" i="53"/>
  <c r="F17205" i="53"/>
  <c r="F16994" i="53"/>
  <c r="F16926" i="53"/>
  <c r="F16855" i="53"/>
  <c r="F13676" i="53"/>
  <c r="F16023" i="53"/>
  <c r="F15883" i="53"/>
  <c r="F15532" i="53"/>
  <c r="F14697" i="53"/>
  <c r="F14570" i="53"/>
  <c r="F14507" i="53"/>
  <c r="F13390" i="53"/>
  <c r="F12885" i="53"/>
  <c r="F15041" i="53"/>
  <c r="F14977" i="53"/>
  <c r="F11847" i="53"/>
  <c r="F11712" i="53"/>
  <c r="F11522" i="53"/>
  <c r="F11391" i="53"/>
  <c r="F19353" i="53"/>
  <c r="G19353" i="53" s="1"/>
  <c r="F19572" i="53"/>
  <c r="G19572" i="53" s="1"/>
  <c r="F19426" i="53"/>
  <c r="G19426" i="53" s="1"/>
  <c r="F19499" i="53"/>
  <c r="G19499" i="53" s="1"/>
  <c r="F21260" i="53"/>
  <c r="G21260" i="53" s="1"/>
  <c r="F21975" i="53"/>
  <c r="G21975" i="53" s="1"/>
  <c r="F12460" i="53"/>
  <c r="G12460" i="53" s="1"/>
  <c r="F17772" i="53"/>
  <c r="G17772" i="53" s="1"/>
  <c r="F17702" i="53"/>
  <c r="F17634" i="53"/>
  <c r="F16089" i="53"/>
  <c r="F15816" i="53"/>
  <c r="F15955" i="53"/>
  <c r="F15604" i="53"/>
  <c r="F15676" i="53"/>
  <c r="F8896" i="53"/>
  <c r="G8896" i="53" s="1"/>
  <c r="F8760" i="53"/>
  <c r="G8760" i="53" s="1"/>
  <c r="F8416" i="53"/>
  <c r="G8416" i="53" s="1"/>
  <c r="F7943" i="53"/>
  <c r="G7943" i="53" s="1"/>
  <c r="F8829" i="53"/>
  <c r="G8829" i="53" s="1"/>
  <c r="F8623" i="53"/>
  <c r="G8623" i="53" s="1"/>
  <c r="F8552" i="53"/>
  <c r="G8552" i="53" s="1"/>
  <c r="F8486" i="53"/>
  <c r="G8486" i="53" s="1"/>
  <c r="F6171" i="53"/>
  <c r="G6171" i="53" s="1"/>
  <c r="F6850" i="53"/>
  <c r="G6850" i="53" s="1"/>
  <c r="F4878" i="53"/>
  <c r="G4878" i="53" s="1"/>
  <c r="F4740" i="53"/>
  <c r="G4740" i="53" s="1"/>
  <c r="F5013" i="53"/>
  <c r="G5013" i="53" s="1"/>
  <c r="F6103" i="53"/>
  <c r="G6103" i="53" s="1"/>
  <c r="F5626" i="53"/>
  <c r="G5626" i="53" s="1"/>
  <c r="F6712" i="53"/>
  <c r="G6712" i="53" s="1"/>
  <c r="F6512" i="53"/>
  <c r="G6512" i="53" s="1"/>
  <c r="F6781" i="53"/>
  <c r="G6781" i="53" s="1"/>
  <c r="F9107" i="53"/>
  <c r="G9107" i="53" s="1"/>
  <c r="F857" i="53"/>
  <c r="G857" i="53" s="1"/>
  <c r="F436" i="53"/>
  <c r="G436" i="53" s="1"/>
  <c r="F361" i="53"/>
  <c r="G361" i="53" s="1"/>
  <c r="F721" i="53"/>
  <c r="G721" i="53" s="1"/>
  <c r="F7741" i="53"/>
  <c r="G7741" i="53" s="1"/>
  <c r="F5693" i="53"/>
  <c r="G5693" i="53" s="1"/>
  <c r="F995" i="53"/>
  <c r="G995" i="53" s="1"/>
  <c r="F1200" i="53"/>
  <c r="G1200" i="53" s="1"/>
  <c r="F16296" i="53"/>
  <c r="G17950" i="53"/>
  <c r="G17949" i="53"/>
  <c r="G17948" i="53"/>
  <c r="G17947" i="53"/>
  <c r="G17946" i="53"/>
  <c r="D17941" i="53"/>
  <c r="B17941" i="53"/>
  <c r="D17940" i="53"/>
  <c r="B17940" i="53"/>
  <c r="D17939" i="53"/>
  <c r="B17939" i="53"/>
  <c r="E17938" i="53"/>
  <c r="D17938" i="53"/>
  <c r="B17938" i="53"/>
  <c r="E17937" i="53"/>
  <c r="D17937" i="53"/>
  <c r="B17937" i="53"/>
  <c r="E17936" i="53"/>
  <c r="D17936" i="53"/>
  <c r="B17936" i="53"/>
  <c r="E17935" i="53"/>
  <c r="D17935" i="53"/>
  <c r="B17935" i="53"/>
  <c r="E17934" i="53"/>
  <c r="D17934" i="53"/>
  <c r="B17934" i="53"/>
  <c r="E17933" i="53"/>
  <c r="D17933" i="53"/>
  <c r="B17933" i="53"/>
  <c r="E17932" i="53"/>
  <c r="D17932" i="53"/>
  <c r="B17932" i="53"/>
  <c r="D17931" i="53"/>
  <c r="B17931" i="53"/>
  <c r="E17930" i="53"/>
  <c r="D17930" i="53"/>
  <c r="B17930" i="53"/>
  <c r="E17929" i="53"/>
  <c r="D17929" i="53"/>
  <c r="B17929" i="53"/>
  <c r="G17924" i="53"/>
  <c r="G17923" i="53"/>
  <c r="G17922" i="53"/>
  <c r="G17921" i="53"/>
  <c r="G17920" i="53"/>
  <c r="G17919" i="53"/>
  <c r="G18165" i="53"/>
  <c r="G18164" i="53"/>
  <c r="G18163" i="53"/>
  <c r="G18162" i="53"/>
  <c r="G18161" i="53"/>
  <c r="D18156" i="53"/>
  <c r="B18156" i="53"/>
  <c r="D18155" i="53"/>
  <c r="B18155" i="53"/>
  <c r="D18154" i="53"/>
  <c r="B18154" i="53"/>
  <c r="E18153" i="53"/>
  <c r="D18153" i="53"/>
  <c r="B18153" i="53"/>
  <c r="E18152" i="53"/>
  <c r="D18152" i="53"/>
  <c r="B18152" i="53"/>
  <c r="E18151" i="53"/>
  <c r="D18151" i="53"/>
  <c r="B18151" i="53"/>
  <c r="E18150" i="53"/>
  <c r="D18150" i="53"/>
  <c r="B18150" i="53"/>
  <c r="E18149" i="53"/>
  <c r="D18149" i="53"/>
  <c r="B18149" i="53"/>
  <c r="E18148" i="53"/>
  <c r="D18148" i="53"/>
  <c r="B18148" i="53"/>
  <c r="E18147" i="53"/>
  <c r="D18147" i="53"/>
  <c r="B18147" i="53"/>
  <c r="D18146" i="53"/>
  <c r="B18146" i="53"/>
  <c r="E18145" i="53"/>
  <c r="D18145" i="53"/>
  <c r="B18145" i="53"/>
  <c r="E18144" i="53"/>
  <c r="D18144" i="53"/>
  <c r="B18144" i="53"/>
  <c r="G18139" i="53"/>
  <c r="G18138" i="53"/>
  <c r="G18137" i="53"/>
  <c r="G18136" i="53"/>
  <c r="G18135" i="53"/>
  <c r="G18134" i="53"/>
  <c r="G18128" i="53"/>
  <c r="G18126" i="53"/>
  <c r="G23077" i="53"/>
  <c r="G23076" i="53"/>
  <c r="G23075" i="53"/>
  <c r="G23074" i="53"/>
  <c r="G23073" i="53"/>
  <c r="D23068" i="53"/>
  <c r="B23068" i="53"/>
  <c r="D23067" i="53"/>
  <c r="B23067" i="53"/>
  <c r="D23066" i="53"/>
  <c r="B23066" i="53"/>
  <c r="E23065" i="53"/>
  <c r="D23065" i="53"/>
  <c r="B23065" i="53"/>
  <c r="E23064" i="53"/>
  <c r="D23064" i="53"/>
  <c r="B23064" i="53"/>
  <c r="E23063" i="53"/>
  <c r="D23063" i="53"/>
  <c r="B23063" i="53"/>
  <c r="E23062" i="53"/>
  <c r="D23062" i="53"/>
  <c r="B23062" i="53"/>
  <c r="E23061" i="53"/>
  <c r="D23061" i="53"/>
  <c r="B23061" i="53"/>
  <c r="E23060" i="53"/>
  <c r="D23060" i="53"/>
  <c r="B23060" i="53"/>
  <c r="E23059" i="53"/>
  <c r="D23059" i="53"/>
  <c r="B23059" i="53"/>
  <c r="D23058" i="53"/>
  <c r="B23058" i="53"/>
  <c r="E23057" i="53"/>
  <c r="D23057" i="53"/>
  <c r="B23057" i="53"/>
  <c r="E23056" i="53"/>
  <c r="D23056" i="53"/>
  <c r="B23056" i="53"/>
  <c r="G23050" i="53"/>
  <c r="G23049" i="53"/>
  <c r="G23048" i="53"/>
  <c r="G23047" i="53"/>
  <c r="G23046" i="53"/>
  <c r="G23045" i="53"/>
  <c r="G23148" i="53"/>
  <c r="G23147" i="53"/>
  <c r="G23146" i="53"/>
  <c r="G23145" i="53"/>
  <c r="G23144" i="53"/>
  <c r="D23139" i="53"/>
  <c r="B23139" i="53"/>
  <c r="D23138" i="53"/>
  <c r="B23138" i="53"/>
  <c r="D23137" i="53"/>
  <c r="B23137" i="53"/>
  <c r="E23136" i="53"/>
  <c r="D23136" i="53"/>
  <c r="B23136" i="53"/>
  <c r="E23135" i="53"/>
  <c r="D23135" i="53"/>
  <c r="B23135" i="53"/>
  <c r="E23134" i="53"/>
  <c r="D23134" i="53"/>
  <c r="B23134" i="53"/>
  <c r="E23133" i="53"/>
  <c r="D23133" i="53"/>
  <c r="B23133" i="53"/>
  <c r="E23132" i="53"/>
  <c r="D23132" i="53"/>
  <c r="B23132" i="53"/>
  <c r="E23131" i="53"/>
  <c r="D23131" i="53"/>
  <c r="B23131" i="53"/>
  <c r="E23130" i="53"/>
  <c r="D23130" i="53"/>
  <c r="B23130" i="53"/>
  <c r="D23129" i="53"/>
  <c r="B23129" i="53"/>
  <c r="E23128" i="53"/>
  <c r="D23128" i="53"/>
  <c r="B23128" i="53"/>
  <c r="E23127" i="53"/>
  <c r="D23127" i="53"/>
  <c r="B23127" i="53"/>
  <c r="G23121" i="53"/>
  <c r="G23120" i="53"/>
  <c r="G23119" i="53"/>
  <c r="G23118" i="53"/>
  <c r="G23117" i="53"/>
  <c r="G23116" i="53"/>
  <c r="G22720" i="53"/>
  <c r="G22719" i="53"/>
  <c r="G22718" i="53"/>
  <c r="G22717" i="53"/>
  <c r="G22716" i="53"/>
  <c r="D22711" i="53"/>
  <c r="B22711" i="53"/>
  <c r="D22710" i="53"/>
  <c r="B22710" i="53"/>
  <c r="D22709" i="53"/>
  <c r="B22709" i="53"/>
  <c r="E22708" i="53"/>
  <c r="D22708" i="53"/>
  <c r="B22708" i="53"/>
  <c r="E22707" i="53"/>
  <c r="D22707" i="53"/>
  <c r="B22707" i="53"/>
  <c r="E22706" i="53"/>
  <c r="D22706" i="53"/>
  <c r="B22706" i="53"/>
  <c r="E22705" i="53"/>
  <c r="D22705" i="53"/>
  <c r="B22705" i="53"/>
  <c r="E22704" i="53"/>
  <c r="D22704" i="53"/>
  <c r="B22704" i="53"/>
  <c r="E22703" i="53"/>
  <c r="D22703" i="53"/>
  <c r="B22703" i="53"/>
  <c r="E22702" i="53"/>
  <c r="D22702" i="53"/>
  <c r="B22702" i="53"/>
  <c r="D22701" i="53"/>
  <c r="B22701" i="53"/>
  <c r="E22700" i="53"/>
  <c r="D22700" i="53"/>
  <c r="B22700" i="53"/>
  <c r="E22699" i="53"/>
  <c r="D22699" i="53"/>
  <c r="B22699" i="53"/>
  <c r="G22694" i="53"/>
  <c r="G22693" i="53"/>
  <c r="G22692" i="53"/>
  <c r="G22691" i="53"/>
  <c r="G22690" i="53"/>
  <c r="G22689" i="53"/>
  <c r="F22674" i="53"/>
  <c r="G22674" i="53" s="1"/>
  <c r="D22673" i="53"/>
  <c r="B22673" i="53"/>
  <c r="D22672" i="53"/>
  <c r="F22672" i="53"/>
  <c r="G22672" i="53" s="1"/>
  <c r="D22671" i="53"/>
  <c r="F22671" i="53"/>
  <c r="G22671" i="53" s="1"/>
  <c r="F22670" i="53"/>
  <c r="G22670" i="53" s="1"/>
  <c r="D22670" i="53"/>
  <c r="B22670" i="53"/>
  <c r="B22669" i="53"/>
  <c r="G22578" i="53"/>
  <c r="G22577" i="53"/>
  <c r="G22576" i="53"/>
  <c r="G22575" i="53"/>
  <c r="G22574" i="53"/>
  <c r="D22569" i="53"/>
  <c r="B22569" i="53"/>
  <c r="D22568" i="53"/>
  <c r="B22568" i="53"/>
  <c r="D22567" i="53"/>
  <c r="B22567" i="53"/>
  <c r="E22566" i="53"/>
  <c r="D22566" i="53"/>
  <c r="B22566" i="53"/>
  <c r="E22565" i="53"/>
  <c r="D22565" i="53"/>
  <c r="B22565" i="53"/>
  <c r="E22564" i="53"/>
  <c r="D22564" i="53"/>
  <c r="B22564" i="53"/>
  <c r="E22563" i="53"/>
  <c r="D22563" i="53"/>
  <c r="B22563" i="53"/>
  <c r="E22562" i="53"/>
  <c r="D22562" i="53"/>
  <c r="B22562" i="53"/>
  <c r="E22561" i="53"/>
  <c r="D22561" i="53"/>
  <c r="B22561" i="53"/>
  <c r="E22560" i="53"/>
  <c r="D22560" i="53"/>
  <c r="B22560" i="53"/>
  <c r="D22559" i="53"/>
  <c r="B22559" i="53"/>
  <c r="E22558" i="53"/>
  <c r="D22558" i="53"/>
  <c r="B22558" i="53"/>
  <c r="E22557" i="53"/>
  <c r="D22557" i="53"/>
  <c r="B22557" i="53"/>
  <c r="G22551" i="53"/>
  <c r="G22550" i="53"/>
  <c r="G22549" i="53"/>
  <c r="G22548" i="53"/>
  <c r="G22547" i="53"/>
  <c r="G22546" i="53"/>
  <c r="G22436" i="53"/>
  <c r="G22435" i="53"/>
  <c r="G22434" i="53"/>
  <c r="G22433" i="53"/>
  <c r="G22432" i="53"/>
  <c r="D22427" i="53"/>
  <c r="B22427" i="53"/>
  <c r="D22426" i="53"/>
  <c r="B22426" i="53"/>
  <c r="D22425" i="53"/>
  <c r="B22425" i="53"/>
  <c r="E22424" i="53"/>
  <c r="D22424" i="53"/>
  <c r="B22424" i="53"/>
  <c r="E22423" i="53"/>
  <c r="D22423" i="53"/>
  <c r="B22423" i="53"/>
  <c r="E22422" i="53"/>
  <c r="D22422" i="53"/>
  <c r="B22422" i="53"/>
  <c r="E22421" i="53"/>
  <c r="D22421" i="53"/>
  <c r="B22421" i="53"/>
  <c r="E22420" i="53"/>
  <c r="D22420" i="53"/>
  <c r="B22420" i="53"/>
  <c r="E22419" i="53"/>
  <c r="D22419" i="53"/>
  <c r="B22419" i="53"/>
  <c r="E22418" i="53"/>
  <c r="D22418" i="53"/>
  <c r="B22418" i="53"/>
  <c r="D22417" i="53"/>
  <c r="B22417" i="53"/>
  <c r="E22416" i="53"/>
  <c r="D22416" i="53"/>
  <c r="B22416" i="53"/>
  <c r="E22415" i="53"/>
  <c r="D22415" i="53"/>
  <c r="B22415" i="53"/>
  <c r="G22409" i="53"/>
  <c r="G22408" i="53"/>
  <c r="G22407" i="53"/>
  <c r="G22406" i="53"/>
  <c r="G22405" i="53"/>
  <c r="G22404" i="53"/>
  <c r="G22365" i="53"/>
  <c r="G22364" i="53"/>
  <c r="G22363" i="53"/>
  <c r="G22362" i="53"/>
  <c r="G22361" i="53"/>
  <c r="D22356" i="53"/>
  <c r="B22356" i="53"/>
  <c r="D22355" i="53"/>
  <c r="B22355" i="53"/>
  <c r="D22354" i="53"/>
  <c r="B22354" i="53"/>
  <c r="E22353" i="53"/>
  <c r="D22353" i="53"/>
  <c r="B22353" i="53"/>
  <c r="E22352" i="53"/>
  <c r="D22352" i="53"/>
  <c r="B22352" i="53"/>
  <c r="E22351" i="53"/>
  <c r="D22351" i="53"/>
  <c r="B22351" i="53"/>
  <c r="E22350" i="53"/>
  <c r="D22350" i="53"/>
  <c r="B22350" i="53"/>
  <c r="E22349" i="53"/>
  <c r="D22349" i="53"/>
  <c r="B22349" i="53"/>
  <c r="E22348" i="53"/>
  <c r="D22348" i="53"/>
  <c r="B22348" i="53"/>
  <c r="E22347" i="53"/>
  <c r="D22347" i="53"/>
  <c r="B22347" i="53"/>
  <c r="D22346" i="53"/>
  <c r="B22346" i="53"/>
  <c r="E22345" i="53"/>
  <c r="D22345" i="53"/>
  <c r="B22345" i="53"/>
  <c r="E22344" i="53"/>
  <c r="D22344" i="53"/>
  <c r="B22344" i="53"/>
  <c r="G22338" i="53"/>
  <c r="G22337" i="53"/>
  <c r="G22336" i="53"/>
  <c r="G22335" i="53"/>
  <c r="G22334" i="53"/>
  <c r="G22333" i="53"/>
  <c r="F22318" i="53"/>
  <c r="G22318" i="53" s="1"/>
  <c r="D22317" i="53"/>
  <c r="B22317" i="53"/>
  <c r="F22316" i="53"/>
  <c r="G22316" i="53" s="1"/>
  <c r="D22316" i="53"/>
  <c r="B22316" i="53"/>
  <c r="F22315" i="53"/>
  <c r="G22315" i="53" s="1"/>
  <c r="F22314" i="53"/>
  <c r="G22314" i="53" s="1"/>
  <c r="B22314" i="53"/>
  <c r="D22314" i="53"/>
  <c r="F22313" i="53"/>
  <c r="G22313" i="53" s="1"/>
  <c r="G22293" i="53"/>
  <c r="G22292" i="53"/>
  <c r="G22291" i="53"/>
  <c r="G22290" i="53"/>
  <c r="G22289" i="53"/>
  <c r="D22284" i="53"/>
  <c r="B22284" i="53"/>
  <c r="D22283" i="53"/>
  <c r="B22283" i="53"/>
  <c r="D22282" i="53"/>
  <c r="B22282" i="53"/>
  <c r="E22281" i="53"/>
  <c r="D22281" i="53"/>
  <c r="B22281" i="53"/>
  <c r="E22280" i="53"/>
  <c r="D22280" i="53"/>
  <c r="B22280" i="53"/>
  <c r="E22279" i="53"/>
  <c r="D22279" i="53"/>
  <c r="B22279" i="53"/>
  <c r="E22278" i="53"/>
  <c r="D22278" i="53"/>
  <c r="B22278" i="53"/>
  <c r="E22277" i="53"/>
  <c r="D22277" i="53"/>
  <c r="B22277" i="53"/>
  <c r="E22276" i="53"/>
  <c r="D22276" i="53"/>
  <c r="B22276" i="53"/>
  <c r="E22275" i="53"/>
  <c r="D22275" i="53"/>
  <c r="B22275" i="53"/>
  <c r="D22274" i="53"/>
  <c r="B22274" i="53"/>
  <c r="E22273" i="53"/>
  <c r="D22273" i="53"/>
  <c r="B22273" i="53"/>
  <c r="E22272" i="53"/>
  <c r="D22272" i="53"/>
  <c r="B22272" i="53"/>
  <c r="G22266" i="53"/>
  <c r="G22265" i="53"/>
  <c r="G22264" i="53"/>
  <c r="G22263" i="53"/>
  <c r="G22262" i="53"/>
  <c r="G22261" i="53"/>
  <c r="F22246" i="53"/>
  <c r="G22246" i="53" s="1"/>
  <c r="D22246" i="53"/>
  <c r="B22246" i="53"/>
  <c r="F22245" i="53"/>
  <c r="G22245" i="53" s="1"/>
  <c r="D22245" i="53"/>
  <c r="B22245" i="53"/>
  <c r="F22244" i="53"/>
  <c r="G22244" i="53" s="1"/>
  <c r="D22244" i="53"/>
  <c r="B22244" i="53"/>
  <c r="F22243" i="53"/>
  <c r="G22243" i="53" s="1"/>
  <c r="D22243" i="53"/>
  <c r="B22243" i="53"/>
  <c r="F22242" i="53"/>
  <c r="G22242" i="53" s="1"/>
  <c r="D22242" i="53"/>
  <c r="B22242" i="53"/>
  <c r="D22241" i="53"/>
  <c r="B22241" i="53"/>
  <c r="F22241" i="53"/>
  <c r="G22241" i="53" s="1"/>
  <c r="G22221" i="53"/>
  <c r="G22220" i="53"/>
  <c r="G22219" i="53"/>
  <c r="G22218" i="53"/>
  <c r="G22217" i="53"/>
  <c r="D22212" i="53"/>
  <c r="B22212" i="53"/>
  <c r="D22211" i="53"/>
  <c r="B22211" i="53"/>
  <c r="D22210" i="53"/>
  <c r="B22210" i="53"/>
  <c r="E22209" i="53"/>
  <c r="D22209" i="53"/>
  <c r="B22209" i="53"/>
  <c r="E22208" i="53"/>
  <c r="D22208" i="53"/>
  <c r="B22208" i="53"/>
  <c r="E22207" i="53"/>
  <c r="D22207" i="53"/>
  <c r="B22207" i="53"/>
  <c r="E22206" i="53"/>
  <c r="D22206" i="53"/>
  <c r="B22206" i="53"/>
  <c r="E22205" i="53"/>
  <c r="D22205" i="53"/>
  <c r="B22205" i="53"/>
  <c r="E22204" i="53"/>
  <c r="D22204" i="53"/>
  <c r="B22204" i="53"/>
  <c r="E22203" i="53"/>
  <c r="D22203" i="53"/>
  <c r="B22203" i="53"/>
  <c r="D22202" i="53"/>
  <c r="B22202" i="53"/>
  <c r="E22201" i="53"/>
  <c r="D22201" i="53"/>
  <c r="B22201" i="53"/>
  <c r="E22200" i="53"/>
  <c r="D22200" i="53"/>
  <c r="B22200" i="53"/>
  <c r="G22195" i="53"/>
  <c r="G22194" i="53"/>
  <c r="G22193" i="53"/>
  <c r="G22192" i="53"/>
  <c r="G22191" i="53"/>
  <c r="G22190" i="53"/>
  <c r="F22175" i="53"/>
  <c r="G22175" i="53" s="1"/>
  <c r="D22175" i="53"/>
  <c r="B22175" i="53"/>
  <c r="F22174" i="53"/>
  <c r="G22174" i="53" s="1"/>
  <c r="B22174" i="53"/>
  <c r="D22172" i="53"/>
  <c r="B22172" i="53"/>
  <c r="F22172" i="53"/>
  <c r="G22172" i="53" s="1"/>
  <c r="F22171" i="53"/>
  <c r="G22171" i="53" s="1"/>
  <c r="D22171" i="53"/>
  <c r="B22171" i="53"/>
  <c r="G22008" i="53"/>
  <c r="G22007" i="53"/>
  <c r="D22002" i="53"/>
  <c r="B22002" i="53"/>
  <c r="D22001" i="53"/>
  <c r="B22001" i="53"/>
  <c r="D22000" i="53"/>
  <c r="B22000" i="53"/>
  <c r="D21999" i="53"/>
  <c r="B21999" i="53"/>
  <c r="D21998" i="53"/>
  <c r="B21998" i="53"/>
  <c r="D21997" i="53"/>
  <c r="B21997" i="53"/>
  <c r="D21996" i="53"/>
  <c r="B21996" i="53"/>
  <c r="D21995" i="53"/>
  <c r="B21995" i="53"/>
  <c r="D21994" i="53"/>
  <c r="B21994" i="53"/>
  <c r="D21993" i="53"/>
  <c r="B21993" i="53"/>
  <c r="D21992" i="53"/>
  <c r="B21992" i="53"/>
  <c r="D21991" i="53"/>
  <c r="B21991" i="53"/>
  <c r="D21990" i="53"/>
  <c r="B21990" i="53"/>
  <c r="G21985" i="53"/>
  <c r="G21984" i="53"/>
  <c r="G21983" i="53"/>
  <c r="G21982" i="53"/>
  <c r="G21981" i="53"/>
  <c r="G21980" i="53"/>
  <c r="G20425" i="53"/>
  <c r="G20424" i="53"/>
  <c r="G20423" i="53"/>
  <c r="G20422" i="53"/>
  <c r="G20421" i="53"/>
  <c r="D20416" i="53"/>
  <c r="B20416" i="53"/>
  <c r="D20415" i="53"/>
  <c r="B20415" i="53"/>
  <c r="D20414" i="53"/>
  <c r="B20414" i="53"/>
  <c r="E20413" i="53"/>
  <c r="D20413" i="53"/>
  <c r="B20413" i="53"/>
  <c r="E20412" i="53"/>
  <c r="D20412" i="53"/>
  <c r="B20412" i="53"/>
  <c r="E20411" i="53"/>
  <c r="D20411" i="53"/>
  <c r="B20411" i="53"/>
  <c r="E20410" i="53"/>
  <c r="D20410" i="53"/>
  <c r="B20410" i="53"/>
  <c r="E20409" i="53"/>
  <c r="D20409" i="53"/>
  <c r="B20409" i="53"/>
  <c r="E20408" i="53"/>
  <c r="D20408" i="53"/>
  <c r="B20408" i="53"/>
  <c r="E20407" i="53"/>
  <c r="D20407" i="53"/>
  <c r="B20407" i="53"/>
  <c r="D20406" i="53"/>
  <c r="B20406" i="53"/>
  <c r="E20405" i="53"/>
  <c r="D20405" i="53"/>
  <c r="B20405" i="53"/>
  <c r="E20404" i="53"/>
  <c r="D20404" i="53"/>
  <c r="B20404" i="53"/>
  <c r="G20399" i="53"/>
  <c r="G20398" i="53"/>
  <c r="G20397" i="53"/>
  <c r="G20396" i="53"/>
  <c r="G20395" i="53"/>
  <c r="G20394" i="53"/>
  <c r="G20351" i="53"/>
  <c r="G20350" i="53"/>
  <c r="G20349" i="53"/>
  <c r="G20348" i="53"/>
  <c r="G20347" i="53"/>
  <c r="D20342" i="53"/>
  <c r="B20342" i="53"/>
  <c r="D20341" i="53"/>
  <c r="B20341" i="53"/>
  <c r="D20340" i="53"/>
  <c r="B20340" i="53"/>
  <c r="E20339" i="53"/>
  <c r="D20339" i="53"/>
  <c r="B20339" i="53"/>
  <c r="E20338" i="53"/>
  <c r="D20338" i="53"/>
  <c r="B20338" i="53"/>
  <c r="E20337" i="53"/>
  <c r="D20337" i="53"/>
  <c r="B20337" i="53"/>
  <c r="E20336" i="53"/>
  <c r="D20336" i="53"/>
  <c r="B20336" i="53"/>
  <c r="E20335" i="53"/>
  <c r="D20335" i="53"/>
  <c r="B20335" i="53"/>
  <c r="E20334" i="53"/>
  <c r="D20334" i="53"/>
  <c r="B20334" i="53"/>
  <c r="E20333" i="53"/>
  <c r="D20333" i="53"/>
  <c r="B20333" i="53"/>
  <c r="D20332" i="53"/>
  <c r="B20332" i="53"/>
  <c r="E20331" i="53"/>
  <c r="D20331" i="53"/>
  <c r="B20331" i="53"/>
  <c r="E20330" i="53"/>
  <c r="D20330" i="53"/>
  <c r="B20330" i="53"/>
  <c r="G20325" i="53"/>
  <c r="G20324" i="53"/>
  <c r="G20323" i="53"/>
  <c r="G20322" i="53"/>
  <c r="G20321" i="53"/>
  <c r="G20320" i="53"/>
  <c r="G20933" i="53"/>
  <c r="G20932" i="53"/>
  <c r="G20931" i="53"/>
  <c r="G20930" i="53"/>
  <c r="G20929" i="53"/>
  <c r="D20924" i="53"/>
  <c r="B20924" i="53"/>
  <c r="D20923" i="53"/>
  <c r="B20923" i="53"/>
  <c r="D20922" i="53"/>
  <c r="B20922" i="53"/>
  <c r="E20921" i="53"/>
  <c r="D20921" i="53"/>
  <c r="B20921" i="53"/>
  <c r="E20920" i="53"/>
  <c r="D20920" i="53"/>
  <c r="B20920" i="53"/>
  <c r="E20919" i="53"/>
  <c r="D20919" i="53"/>
  <c r="B20919" i="53"/>
  <c r="E20918" i="53"/>
  <c r="D20918" i="53"/>
  <c r="B20918" i="53"/>
  <c r="E20917" i="53"/>
  <c r="D20917" i="53"/>
  <c r="B20917" i="53"/>
  <c r="E20916" i="53"/>
  <c r="D20916" i="53"/>
  <c r="B20916" i="53"/>
  <c r="E20915" i="53"/>
  <c r="D20915" i="53"/>
  <c r="B20915" i="53"/>
  <c r="D20914" i="53"/>
  <c r="B20914" i="53"/>
  <c r="E20913" i="53"/>
  <c r="D20913" i="53"/>
  <c r="B20913" i="53"/>
  <c r="E20912" i="53"/>
  <c r="D20912" i="53"/>
  <c r="B20912" i="53"/>
  <c r="G20907" i="53"/>
  <c r="G20906" i="53"/>
  <c r="G20905" i="53"/>
  <c r="G20904" i="53"/>
  <c r="G20903" i="53"/>
  <c r="G20902" i="53"/>
  <c r="G20567" i="53"/>
  <c r="G20566" i="53"/>
  <c r="G20565" i="53"/>
  <c r="G20564" i="53"/>
  <c r="G20563" i="53"/>
  <c r="D20558" i="53"/>
  <c r="B20558" i="53"/>
  <c r="D20557" i="53"/>
  <c r="B20557" i="53"/>
  <c r="D20556" i="53"/>
  <c r="B20556" i="53"/>
  <c r="E20555" i="53"/>
  <c r="D20555" i="53"/>
  <c r="B20555" i="53"/>
  <c r="E20554" i="53"/>
  <c r="D20554" i="53"/>
  <c r="B20554" i="53"/>
  <c r="E20553" i="53"/>
  <c r="D20553" i="53"/>
  <c r="B20553" i="53"/>
  <c r="E20552" i="53"/>
  <c r="D20552" i="53"/>
  <c r="B20552" i="53"/>
  <c r="E20551" i="53"/>
  <c r="D20551" i="53"/>
  <c r="B20551" i="53"/>
  <c r="E20550" i="53"/>
  <c r="D20550" i="53"/>
  <c r="B20550" i="53"/>
  <c r="E20549" i="53"/>
  <c r="D20549" i="53"/>
  <c r="B20549" i="53"/>
  <c r="D20548" i="53"/>
  <c r="B20548" i="53"/>
  <c r="E20547" i="53"/>
  <c r="D20547" i="53"/>
  <c r="B20547" i="53"/>
  <c r="E20546" i="53"/>
  <c r="D20546" i="53"/>
  <c r="B20546" i="53"/>
  <c r="G20541" i="53"/>
  <c r="G20540" i="53"/>
  <c r="G20539" i="53"/>
  <c r="G20538" i="53"/>
  <c r="G20537" i="53"/>
  <c r="G20536" i="53"/>
  <c r="G19238" i="53"/>
  <c r="G19237" i="53"/>
  <c r="G19236" i="53"/>
  <c r="G19235" i="53"/>
  <c r="G19234" i="53"/>
  <c r="D19229" i="53"/>
  <c r="B19229" i="53"/>
  <c r="D19228" i="53"/>
  <c r="B19228" i="53"/>
  <c r="D19227" i="53"/>
  <c r="B19227" i="53"/>
  <c r="E19226" i="53"/>
  <c r="D19226" i="53"/>
  <c r="B19226" i="53"/>
  <c r="E19225" i="53"/>
  <c r="D19225" i="53"/>
  <c r="B19225" i="53"/>
  <c r="E19224" i="53"/>
  <c r="D19224" i="53"/>
  <c r="B19224" i="53"/>
  <c r="E19223" i="53"/>
  <c r="D19223" i="53"/>
  <c r="B19223" i="53"/>
  <c r="E19222" i="53"/>
  <c r="D19222" i="53"/>
  <c r="B19222" i="53"/>
  <c r="E19221" i="53"/>
  <c r="D19221" i="53"/>
  <c r="B19221" i="53"/>
  <c r="E19220" i="53"/>
  <c r="D19220" i="53"/>
  <c r="B19220" i="53"/>
  <c r="D19219" i="53"/>
  <c r="B19219" i="53"/>
  <c r="E19218" i="53"/>
  <c r="D19218" i="53"/>
  <c r="B19218" i="53"/>
  <c r="E19217" i="53"/>
  <c r="D19217" i="53"/>
  <c r="B19217" i="53"/>
  <c r="G19212" i="53"/>
  <c r="G19211" i="53"/>
  <c r="G19210" i="53"/>
  <c r="G19209" i="53"/>
  <c r="G19208" i="53"/>
  <c r="G19207" i="53"/>
  <c r="G21294" i="53"/>
  <c r="G21293" i="53"/>
  <c r="G21292" i="53"/>
  <c r="D21287" i="53"/>
  <c r="B21287" i="53"/>
  <c r="D21286" i="53"/>
  <c r="B21286" i="53"/>
  <c r="D21285" i="53"/>
  <c r="B21285" i="53"/>
  <c r="D21284" i="53"/>
  <c r="B21284" i="53"/>
  <c r="D21283" i="53"/>
  <c r="B21283" i="53"/>
  <c r="D21282" i="53"/>
  <c r="B21282" i="53"/>
  <c r="D21281" i="53"/>
  <c r="B21281" i="53"/>
  <c r="D21280" i="53"/>
  <c r="B21280" i="53"/>
  <c r="D21279" i="53"/>
  <c r="B21279" i="53"/>
  <c r="D21278" i="53"/>
  <c r="B21278" i="53"/>
  <c r="D21277" i="53"/>
  <c r="B21277" i="53"/>
  <c r="D21276" i="53"/>
  <c r="B21276" i="53"/>
  <c r="D21275" i="53"/>
  <c r="B21275" i="53"/>
  <c r="G21270" i="53"/>
  <c r="G21269" i="53"/>
  <c r="G21268" i="53"/>
  <c r="G21267" i="53"/>
  <c r="G21266" i="53"/>
  <c r="G21265" i="53"/>
  <c r="G19019" i="53"/>
  <c r="G19018" i="53"/>
  <c r="G19017" i="53"/>
  <c r="G19016" i="53"/>
  <c r="G19015" i="53"/>
  <c r="D19010" i="53"/>
  <c r="B19010" i="53"/>
  <c r="D19009" i="53"/>
  <c r="B19009" i="53"/>
  <c r="D19008" i="53"/>
  <c r="B19008" i="53"/>
  <c r="E19007" i="53"/>
  <c r="D19007" i="53"/>
  <c r="B19007" i="53"/>
  <c r="E19006" i="53"/>
  <c r="D19006" i="53"/>
  <c r="B19006" i="53"/>
  <c r="E19005" i="53"/>
  <c r="D19005" i="53"/>
  <c r="B19005" i="53"/>
  <c r="E19004" i="53"/>
  <c r="D19004" i="53"/>
  <c r="B19004" i="53"/>
  <c r="E19003" i="53"/>
  <c r="D19003" i="53"/>
  <c r="B19003" i="53"/>
  <c r="E19002" i="53"/>
  <c r="D19002" i="53"/>
  <c r="B19002" i="53"/>
  <c r="E19001" i="53"/>
  <c r="D19001" i="53"/>
  <c r="B19001" i="53"/>
  <c r="D19000" i="53"/>
  <c r="B19000" i="53"/>
  <c r="E18999" i="53"/>
  <c r="D18999" i="53"/>
  <c r="B18999" i="53"/>
  <c r="E18998" i="53"/>
  <c r="D18998" i="53"/>
  <c r="B18998" i="53"/>
  <c r="G18993" i="53"/>
  <c r="G18992" i="53"/>
  <c r="G18991" i="53"/>
  <c r="G18990" i="53"/>
  <c r="G18989" i="53"/>
  <c r="G18988" i="53"/>
  <c r="G16333" i="53"/>
  <c r="G16332" i="53"/>
  <c r="G16331" i="53"/>
  <c r="G16330" i="53"/>
  <c r="G16329" i="53"/>
  <c r="D16324" i="53"/>
  <c r="B16324" i="53"/>
  <c r="D16323" i="53"/>
  <c r="B16323" i="53"/>
  <c r="D16322" i="53"/>
  <c r="B16322" i="53"/>
  <c r="D16321" i="53"/>
  <c r="B16321" i="53"/>
  <c r="D16320" i="53"/>
  <c r="B16320" i="53"/>
  <c r="D16319" i="53"/>
  <c r="B16319" i="53"/>
  <c r="D16318" i="53"/>
  <c r="B16318" i="53"/>
  <c r="D16317" i="53"/>
  <c r="B16317" i="53"/>
  <c r="D16316" i="53"/>
  <c r="B16316" i="53"/>
  <c r="D16315" i="53"/>
  <c r="B16315" i="53"/>
  <c r="D16314" i="53"/>
  <c r="B16314" i="53"/>
  <c r="D16313" i="53"/>
  <c r="B16313" i="53"/>
  <c r="D16312" i="53"/>
  <c r="B16312" i="53"/>
  <c r="G16307" i="53"/>
  <c r="G16306" i="53"/>
  <c r="G16305" i="53"/>
  <c r="G16304" i="53"/>
  <c r="G16303" i="53"/>
  <c r="G16302" i="53"/>
  <c r="G18945" i="53"/>
  <c r="G18944" i="53"/>
  <c r="G18943" i="53"/>
  <c r="G18942" i="53"/>
  <c r="G18941" i="53"/>
  <c r="D18936" i="53"/>
  <c r="B18936" i="53"/>
  <c r="D18935" i="53"/>
  <c r="B18935" i="53"/>
  <c r="D18934" i="53"/>
  <c r="B18934" i="53"/>
  <c r="E18933" i="53"/>
  <c r="D18933" i="53"/>
  <c r="B18933" i="53"/>
  <c r="E18932" i="53"/>
  <c r="D18932" i="53"/>
  <c r="B18932" i="53"/>
  <c r="E18931" i="53"/>
  <c r="D18931" i="53"/>
  <c r="B18931" i="53"/>
  <c r="E18930" i="53"/>
  <c r="D18930" i="53"/>
  <c r="B18930" i="53"/>
  <c r="E18929" i="53"/>
  <c r="D18929" i="53"/>
  <c r="B18929" i="53"/>
  <c r="E18928" i="53"/>
  <c r="D18928" i="53"/>
  <c r="B18928" i="53"/>
  <c r="E18927" i="53"/>
  <c r="D18927" i="53"/>
  <c r="B18927" i="53"/>
  <c r="D18926" i="53"/>
  <c r="B18926" i="53"/>
  <c r="E18925" i="53"/>
  <c r="D18925" i="53"/>
  <c r="B18925" i="53"/>
  <c r="E18924" i="53"/>
  <c r="D18924" i="53"/>
  <c r="B18924" i="53"/>
  <c r="G18919" i="53"/>
  <c r="G18918" i="53"/>
  <c r="G18917" i="53"/>
  <c r="G18916" i="53"/>
  <c r="G18915" i="53"/>
  <c r="G18914" i="53"/>
  <c r="G18800" i="53"/>
  <c r="G18799" i="53"/>
  <c r="G18798" i="53"/>
  <c r="G18797" i="53"/>
  <c r="G18796" i="53"/>
  <c r="D18791" i="53"/>
  <c r="B18791" i="53"/>
  <c r="D18790" i="53"/>
  <c r="B18790" i="53"/>
  <c r="D18789" i="53"/>
  <c r="B18789" i="53"/>
  <c r="E18788" i="53"/>
  <c r="D18788" i="53"/>
  <c r="B18788" i="53"/>
  <c r="E18787" i="53"/>
  <c r="D18787" i="53"/>
  <c r="B18787" i="53"/>
  <c r="E18786" i="53"/>
  <c r="D18786" i="53"/>
  <c r="B18786" i="53"/>
  <c r="E18785" i="53"/>
  <c r="D18785" i="53"/>
  <c r="B18785" i="53"/>
  <c r="E18784" i="53"/>
  <c r="D18784" i="53"/>
  <c r="B18784" i="53"/>
  <c r="E18783" i="53"/>
  <c r="D18783" i="53"/>
  <c r="B18783" i="53"/>
  <c r="E18782" i="53"/>
  <c r="D18782" i="53"/>
  <c r="B18782" i="53"/>
  <c r="D18781" i="53"/>
  <c r="B18781" i="53"/>
  <c r="E18780" i="53"/>
  <c r="D18780" i="53"/>
  <c r="B18780" i="53"/>
  <c r="E18779" i="53"/>
  <c r="D18779" i="53"/>
  <c r="B18779" i="53"/>
  <c r="G18774" i="53"/>
  <c r="G18773" i="53"/>
  <c r="G18772" i="53"/>
  <c r="G18771" i="53"/>
  <c r="G18770" i="53"/>
  <c r="G18769" i="53"/>
  <c r="G18873" i="53"/>
  <c r="G18872" i="53"/>
  <c r="G18871" i="53"/>
  <c r="G18870" i="53"/>
  <c r="G18869" i="53"/>
  <c r="D18864" i="53"/>
  <c r="B18864" i="53"/>
  <c r="D18863" i="53"/>
  <c r="B18863" i="53"/>
  <c r="D18862" i="53"/>
  <c r="B18862" i="53"/>
  <c r="E18861" i="53"/>
  <c r="D18861" i="53"/>
  <c r="B18861" i="53"/>
  <c r="E18860" i="53"/>
  <c r="D18860" i="53"/>
  <c r="B18860" i="53"/>
  <c r="E18859" i="53"/>
  <c r="D18859" i="53"/>
  <c r="B18859" i="53"/>
  <c r="E18858" i="53"/>
  <c r="D18858" i="53"/>
  <c r="B18858" i="53"/>
  <c r="E18857" i="53"/>
  <c r="D18857" i="53"/>
  <c r="B18857" i="53"/>
  <c r="E18856" i="53"/>
  <c r="D18856" i="53"/>
  <c r="B18856" i="53"/>
  <c r="E18855" i="53"/>
  <c r="D18855" i="53"/>
  <c r="B18855" i="53"/>
  <c r="D18854" i="53"/>
  <c r="B18854" i="53"/>
  <c r="E18853" i="53"/>
  <c r="D18853" i="53"/>
  <c r="B18853" i="53"/>
  <c r="E18852" i="53"/>
  <c r="D18852" i="53"/>
  <c r="B18852" i="53"/>
  <c r="G18847" i="53"/>
  <c r="G18846" i="53"/>
  <c r="G18845" i="53"/>
  <c r="G18844" i="53"/>
  <c r="G18843" i="53"/>
  <c r="G18842" i="53"/>
  <c r="G18660" i="53"/>
  <c r="G18659" i="53"/>
  <c r="G18658" i="53"/>
  <c r="G18657" i="53"/>
  <c r="G18656" i="53"/>
  <c r="D18651" i="53"/>
  <c r="B18651" i="53"/>
  <c r="D18650" i="53"/>
  <c r="B18650" i="53"/>
  <c r="D18649" i="53"/>
  <c r="B18649" i="53"/>
  <c r="E18648" i="53"/>
  <c r="D18648" i="53"/>
  <c r="B18648" i="53"/>
  <c r="E18647" i="53"/>
  <c r="D18647" i="53"/>
  <c r="B18647" i="53"/>
  <c r="E18646" i="53"/>
  <c r="D18646" i="53"/>
  <c r="B18646" i="53"/>
  <c r="E18645" i="53"/>
  <c r="D18645" i="53"/>
  <c r="B18645" i="53"/>
  <c r="E18644" i="53"/>
  <c r="D18644" i="53"/>
  <c r="B18644" i="53"/>
  <c r="E18643" i="53"/>
  <c r="D18643" i="53"/>
  <c r="B18643" i="53"/>
  <c r="E18642" i="53"/>
  <c r="D18642" i="53"/>
  <c r="B18642" i="53"/>
  <c r="D18641" i="53"/>
  <c r="B18641" i="53"/>
  <c r="E18640" i="53"/>
  <c r="D18640" i="53"/>
  <c r="B18640" i="53"/>
  <c r="E18639" i="53"/>
  <c r="D18639" i="53"/>
  <c r="B18639" i="53"/>
  <c r="G18634" i="53"/>
  <c r="G18633" i="53"/>
  <c r="G18632" i="53"/>
  <c r="G18631" i="53"/>
  <c r="G18630" i="53"/>
  <c r="G18629" i="53"/>
  <c r="G18095" i="53"/>
  <c r="G18094" i="53"/>
  <c r="G18093" i="53"/>
  <c r="G18092" i="53"/>
  <c r="G18091" i="53"/>
  <c r="D18086" i="53"/>
  <c r="B18086" i="53"/>
  <c r="D18085" i="53"/>
  <c r="B18085" i="53"/>
  <c r="D18084" i="53"/>
  <c r="B18084" i="53"/>
  <c r="E18083" i="53"/>
  <c r="D18083" i="53"/>
  <c r="B18083" i="53"/>
  <c r="E18082" i="53"/>
  <c r="D18082" i="53"/>
  <c r="B18082" i="53"/>
  <c r="E18081" i="53"/>
  <c r="D18081" i="53"/>
  <c r="B18081" i="53"/>
  <c r="E18080" i="53"/>
  <c r="D18080" i="53"/>
  <c r="B18080" i="53"/>
  <c r="D18079" i="53"/>
  <c r="B18079" i="53"/>
  <c r="E18078" i="53"/>
  <c r="D18078" i="53"/>
  <c r="B18078" i="53"/>
  <c r="E18077" i="53"/>
  <c r="D18077" i="53"/>
  <c r="B18077" i="53"/>
  <c r="D18076" i="53"/>
  <c r="B18076" i="53"/>
  <c r="E18075" i="53"/>
  <c r="D18075" i="53"/>
  <c r="B18075" i="53"/>
  <c r="E18074" i="53"/>
  <c r="D18074" i="53"/>
  <c r="B18074" i="53"/>
  <c r="G18069" i="53"/>
  <c r="G18068" i="53"/>
  <c r="G18067" i="53"/>
  <c r="G18066" i="53"/>
  <c r="G18065" i="53"/>
  <c r="G18064" i="53"/>
  <c r="G17808" i="53"/>
  <c r="G17807" i="53"/>
  <c r="G17806" i="53"/>
  <c r="G17805" i="53"/>
  <c r="G17804" i="53"/>
  <c r="D17799" i="53"/>
  <c r="B17799" i="53"/>
  <c r="D17798" i="53"/>
  <c r="B17798" i="53"/>
  <c r="D17797" i="53"/>
  <c r="B17797" i="53"/>
  <c r="D17796" i="53"/>
  <c r="B17796" i="53"/>
  <c r="D17795" i="53"/>
  <c r="B17795" i="53"/>
  <c r="D17794" i="53"/>
  <c r="B17794" i="53"/>
  <c r="D17793" i="53"/>
  <c r="B17793" i="53"/>
  <c r="D17792" i="53"/>
  <c r="B17792" i="53"/>
  <c r="D17791" i="53"/>
  <c r="B17791" i="53"/>
  <c r="D17790" i="53"/>
  <c r="B17790" i="53"/>
  <c r="D17789" i="53"/>
  <c r="B17789" i="53"/>
  <c r="D17788" i="53"/>
  <c r="B17788" i="53"/>
  <c r="D17787" i="53"/>
  <c r="B17787" i="53"/>
  <c r="G17782" i="53"/>
  <c r="G17781" i="53"/>
  <c r="G17780" i="53"/>
  <c r="G17779" i="53"/>
  <c r="G17778" i="53"/>
  <c r="G17777" i="53"/>
  <c r="G17738" i="53"/>
  <c r="G17737" i="53"/>
  <c r="G17736" i="53"/>
  <c r="G17735" i="53"/>
  <c r="G17734" i="53"/>
  <c r="D17729" i="53"/>
  <c r="B17729" i="53"/>
  <c r="D17728" i="53"/>
  <c r="B17728" i="53"/>
  <c r="D17727" i="53"/>
  <c r="B17727" i="53"/>
  <c r="E17726" i="53"/>
  <c r="D17726" i="53"/>
  <c r="B17726" i="53"/>
  <c r="E17725" i="53"/>
  <c r="D17725" i="53"/>
  <c r="B17725" i="53"/>
  <c r="E17724" i="53"/>
  <c r="D17724" i="53"/>
  <c r="B17724" i="53"/>
  <c r="E17723" i="53"/>
  <c r="D17723" i="53"/>
  <c r="B17723" i="53"/>
  <c r="E17722" i="53"/>
  <c r="D17722" i="53"/>
  <c r="B17722" i="53"/>
  <c r="E17721" i="53"/>
  <c r="D17721" i="53"/>
  <c r="B17721" i="53"/>
  <c r="E17720" i="53"/>
  <c r="D17720" i="53"/>
  <c r="B17720" i="53"/>
  <c r="D17719" i="53"/>
  <c r="B17719" i="53"/>
  <c r="E17718" i="53"/>
  <c r="D17718" i="53"/>
  <c r="B17718" i="53"/>
  <c r="E17717" i="53"/>
  <c r="D17717" i="53"/>
  <c r="B17717" i="53"/>
  <c r="G17712" i="53"/>
  <c r="G17711" i="53"/>
  <c r="G17710" i="53"/>
  <c r="G17709" i="53"/>
  <c r="G17708" i="53"/>
  <c r="G17707" i="53"/>
  <c r="G17670" i="53"/>
  <c r="G17669" i="53"/>
  <c r="G17668" i="53"/>
  <c r="G17667" i="53"/>
  <c r="G17666" i="53"/>
  <c r="D17661" i="53"/>
  <c r="B17661" i="53"/>
  <c r="D17660" i="53"/>
  <c r="B17660" i="53"/>
  <c r="D17659" i="53"/>
  <c r="B17659" i="53"/>
  <c r="E17658" i="53"/>
  <c r="D17658" i="53"/>
  <c r="B17658" i="53"/>
  <c r="E17657" i="53"/>
  <c r="D17657" i="53"/>
  <c r="B17657" i="53"/>
  <c r="E17656" i="53"/>
  <c r="D17656" i="53"/>
  <c r="B17656" i="53"/>
  <c r="E17655" i="53"/>
  <c r="D17655" i="53"/>
  <c r="B17655" i="53"/>
  <c r="E17654" i="53"/>
  <c r="D17654" i="53"/>
  <c r="B17654" i="53"/>
  <c r="E17653" i="53"/>
  <c r="D17653" i="53"/>
  <c r="B17653" i="53"/>
  <c r="E17652" i="53"/>
  <c r="D17652" i="53"/>
  <c r="B17652" i="53"/>
  <c r="D17651" i="53"/>
  <c r="B17651" i="53"/>
  <c r="E17650" i="53"/>
  <c r="D17650" i="53"/>
  <c r="B17650" i="53"/>
  <c r="E17649" i="53"/>
  <c r="D17649" i="53"/>
  <c r="B17649" i="53"/>
  <c r="G17644" i="53"/>
  <c r="G17643" i="53"/>
  <c r="G17642" i="53"/>
  <c r="G17641" i="53"/>
  <c r="G17640" i="53"/>
  <c r="G17639" i="53"/>
  <c r="G17241" i="53"/>
  <c r="G17240" i="53"/>
  <c r="G17239" i="53"/>
  <c r="G17238" i="53"/>
  <c r="G17237" i="53"/>
  <c r="D17232" i="53"/>
  <c r="B17232" i="53"/>
  <c r="D17231" i="53"/>
  <c r="B17231" i="53"/>
  <c r="D17230" i="53"/>
  <c r="B17230" i="53"/>
  <c r="E17229" i="53"/>
  <c r="D17229" i="53"/>
  <c r="B17229" i="53"/>
  <c r="E17228" i="53"/>
  <c r="D17228" i="53"/>
  <c r="B17228" i="53"/>
  <c r="E17227" i="53"/>
  <c r="D17227" i="53"/>
  <c r="B17227" i="53"/>
  <c r="E17226" i="53"/>
  <c r="D17226" i="53"/>
  <c r="B17226" i="53"/>
  <c r="E17225" i="53"/>
  <c r="D17225" i="53"/>
  <c r="B17225" i="53"/>
  <c r="E17224" i="53"/>
  <c r="D17224" i="53"/>
  <c r="B17224" i="53"/>
  <c r="E17223" i="53"/>
  <c r="D17223" i="53"/>
  <c r="B17223" i="53"/>
  <c r="D17222" i="53"/>
  <c r="B17222" i="53"/>
  <c r="E17221" i="53"/>
  <c r="D17221" i="53"/>
  <c r="B17221" i="53"/>
  <c r="E17220" i="53"/>
  <c r="D17220" i="53"/>
  <c r="B17220" i="53"/>
  <c r="G17215" i="53"/>
  <c r="G17214" i="53"/>
  <c r="G17213" i="53"/>
  <c r="G17212" i="53"/>
  <c r="G17211" i="53"/>
  <c r="G17210" i="53"/>
  <c r="G17030" i="53"/>
  <c r="G17029" i="53"/>
  <c r="G17028" i="53"/>
  <c r="G17027" i="53"/>
  <c r="G17026" i="53"/>
  <c r="D17021" i="53"/>
  <c r="B17021" i="53"/>
  <c r="D17020" i="53"/>
  <c r="B17020" i="53"/>
  <c r="D17019" i="53"/>
  <c r="B17019" i="53"/>
  <c r="E17018" i="53"/>
  <c r="D17018" i="53"/>
  <c r="B17018" i="53"/>
  <c r="E17017" i="53"/>
  <c r="D17017" i="53"/>
  <c r="B17017" i="53"/>
  <c r="E17016" i="53"/>
  <c r="D17016" i="53"/>
  <c r="B17016" i="53"/>
  <c r="E17015" i="53"/>
  <c r="D17015" i="53"/>
  <c r="B17015" i="53"/>
  <c r="E17014" i="53"/>
  <c r="D17014" i="53"/>
  <c r="B17014" i="53"/>
  <c r="E17013" i="53"/>
  <c r="D17013" i="53"/>
  <c r="B17013" i="53"/>
  <c r="E17012" i="53"/>
  <c r="D17012" i="53"/>
  <c r="B17012" i="53"/>
  <c r="D17011" i="53"/>
  <c r="B17011" i="53"/>
  <c r="E17010" i="53"/>
  <c r="D17010" i="53"/>
  <c r="B17010" i="53"/>
  <c r="E17009" i="53"/>
  <c r="D17009" i="53"/>
  <c r="B17009" i="53"/>
  <c r="G17004" i="53"/>
  <c r="G17003" i="53"/>
  <c r="G17002" i="53"/>
  <c r="G17001" i="53"/>
  <c r="G17000" i="53"/>
  <c r="G16999" i="53"/>
  <c r="G16962" i="53"/>
  <c r="G16961" i="53"/>
  <c r="G16960" i="53"/>
  <c r="G16959" i="53"/>
  <c r="G16958" i="53"/>
  <c r="D16953" i="53"/>
  <c r="B16953" i="53"/>
  <c r="D16952" i="53"/>
  <c r="B16952" i="53"/>
  <c r="D16951" i="53"/>
  <c r="B16951" i="53"/>
  <c r="E16950" i="53"/>
  <c r="D16950" i="53"/>
  <c r="B16950" i="53"/>
  <c r="E16949" i="53"/>
  <c r="D16949" i="53"/>
  <c r="B16949" i="53"/>
  <c r="E16948" i="53"/>
  <c r="D16948" i="53"/>
  <c r="B16948" i="53"/>
  <c r="E16947" i="53"/>
  <c r="D16947" i="53"/>
  <c r="B16947" i="53"/>
  <c r="E16946" i="53"/>
  <c r="D16946" i="53"/>
  <c r="B16946" i="53"/>
  <c r="E16945" i="53"/>
  <c r="D16945" i="53"/>
  <c r="B16945" i="53"/>
  <c r="E16944" i="53"/>
  <c r="D16944" i="53"/>
  <c r="B16944" i="53"/>
  <c r="D16943" i="53"/>
  <c r="B16943" i="53"/>
  <c r="E16942" i="53"/>
  <c r="D16942" i="53"/>
  <c r="B16942" i="53"/>
  <c r="E16941" i="53"/>
  <c r="D16941" i="53"/>
  <c r="B16941" i="53"/>
  <c r="G16936" i="53"/>
  <c r="G16935" i="53"/>
  <c r="G16934" i="53"/>
  <c r="G16933" i="53"/>
  <c r="G16932" i="53"/>
  <c r="G16931" i="53"/>
  <c r="B16913" i="53"/>
  <c r="B16914" i="53"/>
  <c r="B16915" i="53"/>
  <c r="D16913" i="53"/>
  <c r="D16914" i="53"/>
  <c r="D16915" i="53"/>
  <c r="G16892" i="53"/>
  <c r="G16891" i="53"/>
  <c r="G16890" i="53"/>
  <c r="G16889" i="53"/>
  <c r="G16888" i="53"/>
  <c r="D16883" i="53"/>
  <c r="B16883" i="53"/>
  <c r="D16882" i="53"/>
  <c r="B16882" i="53"/>
  <c r="D16881" i="53"/>
  <c r="B16881" i="53"/>
  <c r="E16880" i="53"/>
  <c r="D16880" i="53"/>
  <c r="B16880" i="53"/>
  <c r="E16879" i="53"/>
  <c r="D16879" i="53"/>
  <c r="B16879" i="53"/>
  <c r="E16878" i="53"/>
  <c r="D16878" i="53"/>
  <c r="B16878" i="53"/>
  <c r="E16877" i="53"/>
  <c r="D16877" i="53"/>
  <c r="B16877" i="53"/>
  <c r="E16876" i="53"/>
  <c r="D16876" i="53"/>
  <c r="B16876" i="53"/>
  <c r="E16875" i="53"/>
  <c r="D16875" i="53"/>
  <c r="B16875" i="53"/>
  <c r="E16874" i="53"/>
  <c r="D16874" i="53"/>
  <c r="B16874" i="53"/>
  <c r="D16873" i="53"/>
  <c r="B16873" i="53"/>
  <c r="E16872" i="53"/>
  <c r="D16872" i="53"/>
  <c r="B16872" i="53"/>
  <c r="E16871" i="53"/>
  <c r="D16871" i="53"/>
  <c r="B16871" i="53"/>
  <c r="G16865" i="53"/>
  <c r="G16864" i="53"/>
  <c r="G16863" i="53"/>
  <c r="G16862" i="53"/>
  <c r="G16861" i="53"/>
  <c r="G16860" i="53"/>
  <c r="G13713" i="53"/>
  <c r="G13712" i="53"/>
  <c r="G13711" i="53"/>
  <c r="G13710" i="53"/>
  <c r="G13709" i="53"/>
  <c r="D13704" i="53"/>
  <c r="B13704" i="53"/>
  <c r="D13703" i="53"/>
  <c r="B13703" i="53"/>
  <c r="D13702" i="53"/>
  <c r="B13702" i="53"/>
  <c r="D13701" i="53"/>
  <c r="B13701" i="53"/>
  <c r="D13700" i="53"/>
  <c r="B13700" i="53"/>
  <c r="D13699" i="53"/>
  <c r="B13699" i="53"/>
  <c r="D13698" i="53"/>
  <c r="B13698" i="53"/>
  <c r="D13697" i="53"/>
  <c r="B13697" i="53"/>
  <c r="D13696" i="53"/>
  <c r="B13696" i="53"/>
  <c r="D13695" i="53"/>
  <c r="B13695" i="53"/>
  <c r="D13694" i="53"/>
  <c r="B13694" i="53"/>
  <c r="D13693" i="53"/>
  <c r="B13693" i="53"/>
  <c r="D13692" i="53"/>
  <c r="B13692" i="53"/>
  <c r="G13687" i="53"/>
  <c r="G13686" i="53"/>
  <c r="G13685" i="53"/>
  <c r="G13684" i="53"/>
  <c r="G13683" i="53"/>
  <c r="G13682" i="53"/>
  <c r="G16398" i="53"/>
  <c r="G16397" i="53"/>
  <c r="G16396" i="53"/>
  <c r="G16395" i="53"/>
  <c r="G16394" i="53"/>
  <c r="D16389" i="53"/>
  <c r="B16389" i="53"/>
  <c r="D16388" i="53"/>
  <c r="B16388" i="53"/>
  <c r="D16387" i="53"/>
  <c r="B16387" i="53"/>
  <c r="E16386" i="53"/>
  <c r="D16386" i="53"/>
  <c r="B16386" i="53"/>
  <c r="E16385" i="53"/>
  <c r="D16385" i="53"/>
  <c r="B16385" i="53"/>
  <c r="E16384" i="53"/>
  <c r="D16384" i="53"/>
  <c r="B16384" i="53"/>
  <c r="E16383" i="53"/>
  <c r="D16383" i="53"/>
  <c r="B16383" i="53"/>
  <c r="E16382" i="53"/>
  <c r="D16382" i="53"/>
  <c r="B16382" i="53"/>
  <c r="E16381" i="53"/>
  <c r="D16381" i="53"/>
  <c r="B16381" i="53"/>
  <c r="E16380" i="53"/>
  <c r="D16380" i="53"/>
  <c r="B16380" i="53"/>
  <c r="D16379" i="53"/>
  <c r="B16379" i="53"/>
  <c r="E16378" i="53"/>
  <c r="D16378" i="53"/>
  <c r="B16378" i="53"/>
  <c r="E16377" i="53"/>
  <c r="D16377" i="53"/>
  <c r="B16377" i="53"/>
  <c r="G16372" i="53"/>
  <c r="G16371" i="53"/>
  <c r="G16370" i="53"/>
  <c r="G16369" i="53"/>
  <c r="G16368" i="53"/>
  <c r="G16367" i="53"/>
  <c r="G16125" i="53"/>
  <c r="G16124" i="53"/>
  <c r="G16123" i="53"/>
  <c r="G16122" i="53"/>
  <c r="G16121" i="53"/>
  <c r="D16116" i="53"/>
  <c r="B16116" i="53"/>
  <c r="D16115" i="53"/>
  <c r="B16115" i="53"/>
  <c r="D16114" i="53"/>
  <c r="B16114" i="53"/>
  <c r="E16113" i="53"/>
  <c r="D16113" i="53"/>
  <c r="B16113" i="53"/>
  <c r="E16112" i="53"/>
  <c r="D16112" i="53"/>
  <c r="B16112" i="53"/>
  <c r="E16111" i="53"/>
  <c r="D16111" i="53"/>
  <c r="B16111" i="53"/>
  <c r="E16110" i="53"/>
  <c r="D16110" i="53"/>
  <c r="B16110" i="53"/>
  <c r="E16109" i="53"/>
  <c r="D16109" i="53"/>
  <c r="B16109" i="53"/>
  <c r="E16108" i="53"/>
  <c r="D16108" i="53"/>
  <c r="B16108" i="53"/>
  <c r="E16107" i="53"/>
  <c r="D16107" i="53"/>
  <c r="B16107" i="53"/>
  <c r="D16106" i="53"/>
  <c r="B16106" i="53"/>
  <c r="E16105" i="53"/>
  <c r="D16105" i="53"/>
  <c r="B16105" i="53"/>
  <c r="E16104" i="53"/>
  <c r="D16104" i="53"/>
  <c r="B16104" i="53"/>
  <c r="G16099" i="53"/>
  <c r="G16098" i="53"/>
  <c r="G16097" i="53"/>
  <c r="G16096" i="53"/>
  <c r="G16095" i="53"/>
  <c r="G16094" i="53"/>
  <c r="G16059" i="53"/>
  <c r="G16058" i="53"/>
  <c r="G16057" i="53"/>
  <c r="G16056" i="53"/>
  <c r="G16055" i="53"/>
  <c r="D16050" i="53"/>
  <c r="B16050" i="53"/>
  <c r="D16049" i="53"/>
  <c r="B16049" i="53"/>
  <c r="D16048" i="53"/>
  <c r="B16048" i="53"/>
  <c r="E16047" i="53"/>
  <c r="D16047" i="53"/>
  <c r="B16047" i="53"/>
  <c r="E16046" i="53"/>
  <c r="D16046" i="53"/>
  <c r="B16046" i="53"/>
  <c r="E16045" i="53"/>
  <c r="D16045" i="53"/>
  <c r="B16045" i="53"/>
  <c r="E16044" i="53"/>
  <c r="D16044" i="53"/>
  <c r="B16044" i="53"/>
  <c r="E16043" i="53"/>
  <c r="D16043" i="53"/>
  <c r="B16043" i="53"/>
  <c r="E16042" i="53"/>
  <c r="D16042" i="53"/>
  <c r="B16042" i="53"/>
  <c r="E16041" i="53"/>
  <c r="D16041" i="53"/>
  <c r="B16041" i="53"/>
  <c r="D16040" i="53"/>
  <c r="B16040" i="53"/>
  <c r="E16039" i="53"/>
  <c r="D16039" i="53"/>
  <c r="B16039" i="53"/>
  <c r="E16038" i="53"/>
  <c r="D16038" i="53"/>
  <c r="B16038" i="53"/>
  <c r="G16033" i="53"/>
  <c r="G16032" i="53"/>
  <c r="G16031" i="53"/>
  <c r="G16030" i="53"/>
  <c r="G16029" i="53"/>
  <c r="G16028" i="53"/>
  <c r="G15852" i="53"/>
  <c r="G15851" i="53"/>
  <c r="G15850" i="53"/>
  <c r="G15849" i="53"/>
  <c r="G15848" i="53"/>
  <c r="D15843" i="53"/>
  <c r="B15843" i="53"/>
  <c r="D15842" i="53"/>
  <c r="B15842" i="53"/>
  <c r="D15841" i="53"/>
  <c r="B15841" i="53"/>
  <c r="E15840" i="53"/>
  <c r="D15840" i="53"/>
  <c r="B15840" i="53"/>
  <c r="E15839" i="53"/>
  <c r="D15839" i="53"/>
  <c r="B15839" i="53"/>
  <c r="E15838" i="53"/>
  <c r="D15838" i="53"/>
  <c r="B15838" i="53"/>
  <c r="E15837" i="53"/>
  <c r="D15837" i="53"/>
  <c r="B15837" i="53"/>
  <c r="E15836" i="53"/>
  <c r="D15836" i="53"/>
  <c r="B15836" i="53"/>
  <c r="E15835" i="53"/>
  <c r="D15835" i="53"/>
  <c r="B15835" i="53"/>
  <c r="E15834" i="53"/>
  <c r="D15834" i="53"/>
  <c r="B15834" i="53"/>
  <c r="D15833" i="53"/>
  <c r="B15833" i="53"/>
  <c r="E15832" i="53"/>
  <c r="D15832" i="53"/>
  <c r="B15832" i="53"/>
  <c r="E15831" i="53"/>
  <c r="D15831" i="53"/>
  <c r="B15831" i="53"/>
  <c r="G15826" i="53"/>
  <c r="G15825" i="53"/>
  <c r="G15824" i="53"/>
  <c r="G15823" i="53"/>
  <c r="G15822" i="53"/>
  <c r="G15821" i="53"/>
  <c r="G15991" i="53"/>
  <c r="G15990" i="53"/>
  <c r="G15989" i="53"/>
  <c r="G15988" i="53"/>
  <c r="G15987" i="53"/>
  <c r="D15982" i="53"/>
  <c r="B15982" i="53"/>
  <c r="D15981" i="53"/>
  <c r="B15981" i="53"/>
  <c r="D15980" i="53"/>
  <c r="B15980" i="53"/>
  <c r="E15979" i="53"/>
  <c r="D15979" i="53"/>
  <c r="B15979" i="53"/>
  <c r="E15978" i="53"/>
  <c r="D15978" i="53"/>
  <c r="B15978" i="53"/>
  <c r="E15977" i="53"/>
  <c r="D15977" i="53"/>
  <c r="B15977" i="53"/>
  <c r="E15976" i="53"/>
  <c r="D15976" i="53"/>
  <c r="B15976" i="53"/>
  <c r="E15975" i="53"/>
  <c r="D15975" i="53"/>
  <c r="B15975" i="53"/>
  <c r="E15974" i="53"/>
  <c r="D15974" i="53"/>
  <c r="B15974" i="53"/>
  <c r="E15973" i="53"/>
  <c r="D15973" i="53"/>
  <c r="B15973" i="53"/>
  <c r="D15972" i="53"/>
  <c r="B15972" i="53"/>
  <c r="E15971" i="53"/>
  <c r="D15971" i="53"/>
  <c r="B15971" i="53"/>
  <c r="E15970" i="53"/>
  <c r="D15970" i="53"/>
  <c r="B15970" i="53"/>
  <c r="G15965" i="53"/>
  <c r="G15964" i="53"/>
  <c r="G15963" i="53"/>
  <c r="G15962" i="53"/>
  <c r="G15961" i="53"/>
  <c r="G15960" i="53"/>
  <c r="G15919" i="53"/>
  <c r="G15918" i="53"/>
  <c r="G15917" i="53"/>
  <c r="G15916" i="53"/>
  <c r="G15915" i="53"/>
  <c r="D15910" i="53"/>
  <c r="B15910" i="53"/>
  <c r="D15909" i="53"/>
  <c r="B15909" i="53"/>
  <c r="D15908" i="53"/>
  <c r="B15908" i="53"/>
  <c r="E15907" i="53"/>
  <c r="D15907" i="53"/>
  <c r="B15907" i="53"/>
  <c r="E15906" i="53"/>
  <c r="D15906" i="53"/>
  <c r="B15906" i="53"/>
  <c r="E15905" i="53"/>
  <c r="D15905" i="53"/>
  <c r="B15905" i="53"/>
  <c r="E15904" i="53"/>
  <c r="D15904" i="53"/>
  <c r="B15904" i="53"/>
  <c r="E15903" i="53"/>
  <c r="D15903" i="53"/>
  <c r="B15903" i="53"/>
  <c r="E15902" i="53"/>
  <c r="D15902" i="53"/>
  <c r="B15902" i="53"/>
  <c r="E15901" i="53"/>
  <c r="D15901" i="53"/>
  <c r="B15901" i="53"/>
  <c r="D15900" i="53"/>
  <c r="B15900" i="53"/>
  <c r="E15899" i="53"/>
  <c r="D15899" i="53"/>
  <c r="B15899" i="53"/>
  <c r="E15898" i="53"/>
  <c r="D15898" i="53"/>
  <c r="B15898" i="53"/>
  <c r="G15893" i="53"/>
  <c r="G15892" i="53"/>
  <c r="G15891" i="53"/>
  <c r="G15890" i="53"/>
  <c r="G15889" i="53"/>
  <c r="G15888" i="53"/>
  <c r="G15712" i="53"/>
  <c r="G15711" i="53"/>
  <c r="G15710" i="53"/>
  <c r="G15709" i="53"/>
  <c r="G15708" i="53"/>
  <c r="D15703" i="53"/>
  <c r="B15703" i="53"/>
  <c r="D15702" i="53"/>
  <c r="B15702" i="53"/>
  <c r="D15701" i="53"/>
  <c r="B15701" i="53"/>
  <c r="E15700" i="53"/>
  <c r="D15700" i="53"/>
  <c r="B15700" i="53"/>
  <c r="E15699" i="53"/>
  <c r="D15699" i="53"/>
  <c r="B15699" i="53"/>
  <c r="E15698" i="53"/>
  <c r="D15698" i="53"/>
  <c r="B15698" i="53"/>
  <c r="E15697" i="53"/>
  <c r="D15697" i="53"/>
  <c r="B15697" i="53"/>
  <c r="E15696" i="53"/>
  <c r="D15696" i="53"/>
  <c r="B15696" i="53"/>
  <c r="E15695" i="53"/>
  <c r="D15695" i="53"/>
  <c r="B15695" i="53"/>
  <c r="E15694" i="53"/>
  <c r="D15694" i="53"/>
  <c r="B15694" i="53"/>
  <c r="D15693" i="53"/>
  <c r="B15693" i="53"/>
  <c r="E15692" i="53"/>
  <c r="D15692" i="53"/>
  <c r="B15692" i="53"/>
  <c r="E15691" i="53"/>
  <c r="D15691" i="53"/>
  <c r="B15691" i="53"/>
  <c r="G15686" i="53"/>
  <c r="G15685" i="53"/>
  <c r="G15684" i="53"/>
  <c r="G15683" i="53"/>
  <c r="G15682" i="53"/>
  <c r="G15681" i="53"/>
  <c r="G15640" i="53"/>
  <c r="G15639" i="53"/>
  <c r="G15638" i="53"/>
  <c r="G15637" i="53"/>
  <c r="G15636" i="53"/>
  <c r="D15631" i="53"/>
  <c r="B15631" i="53"/>
  <c r="D15630" i="53"/>
  <c r="B15630" i="53"/>
  <c r="D15629" i="53"/>
  <c r="B15629" i="53"/>
  <c r="E15628" i="53"/>
  <c r="D15628" i="53"/>
  <c r="B15628" i="53"/>
  <c r="E15627" i="53"/>
  <c r="D15627" i="53"/>
  <c r="B15627" i="53"/>
  <c r="E15626" i="53"/>
  <c r="D15626" i="53"/>
  <c r="B15626" i="53"/>
  <c r="E15625" i="53"/>
  <c r="D15625" i="53"/>
  <c r="B15625" i="53"/>
  <c r="E15624" i="53"/>
  <c r="D15624" i="53"/>
  <c r="B15624" i="53"/>
  <c r="E15623" i="53"/>
  <c r="D15623" i="53"/>
  <c r="B15623" i="53"/>
  <c r="E15622" i="53"/>
  <c r="D15622" i="53"/>
  <c r="B15622" i="53"/>
  <c r="D15621" i="53"/>
  <c r="B15621" i="53"/>
  <c r="E15620" i="53"/>
  <c r="D15620" i="53"/>
  <c r="B15620" i="53"/>
  <c r="E15619" i="53"/>
  <c r="D15619" i="53"/>
  <c r="B15619" i="53"/>
  <c r="G15614" i="53"/>
  <c r="G15613" i="53"/>
  <c r="G15612" i="53"/>
  <c r="G15611" i="53"/>
  <c r="G15610" i="53"/>
  <c r="G15609" i="53"/>
  <c r="G15568" i="53"/>
  <c r="G15567" i="53"/>
  <c r="G15566" i="53"/>
  <c r="G15565" i="53"/>
  <c r="G15564" i="53"/>
  <c r="D15559" i="53"/>
  <c r="B15559" i="53"/>
  <c r="D15558" i="53"/>
  <c r="B15558" i="53"/>
  <c r="D15557" i="53"/>
  <c r="B15557" i="53"/>
  <c r="E15556" i="53"/>
  <c r="D15556" i="53"/>
  <c r="B15556" i="53"/>
  <c r="E15555" i="53"/>
  <c r="D15555" i="53"/>
  <c r="B15555" i="53"/>
  <c r="E15554" i="53"/>
  <c r="D15554" i="53"/>
  <c r="B15554" i="53"/>
  <c r="E15553" i="53"/>
  <c r="D15553" i="53"/>
  <c r="B15553" i="53"/>
  <c r="E15552" i="53"/>
  <c r="D15552" i="53"/>
  <c r="B15552" i="53"/>
  <c r="E15551" i="53"/>
  <c r="D15551" i="53"/>
  <c r="B15551" i="53"/>
  <c r="E15550" i="53"/>
  <c r="D15550" i="53"/>
  <c r="B15550" i="53"/>
  <c r="D15549" i="53"/>
  <c r="B15549" i="53"/>
  <c r="E15548" i="53"/>
  <c r="D15548" i="53"/>
  <c r="B15548" i="53"/>
  <c r="E15547" i="53"/>
  <c r="D15547" i="53"/>
  <c r="B15547" i="53"/>
  <c r="G15542" i="53"/>
  <c r="G15541" i="53"/>
  <c r="G15540" i="53"/>
  <c r="G15539" i="53"/>
  <c r="G15538" i="53"/>
  <c r="G15537" i="53"/>
  <c r="G14735" i="53"/>
  <c r="G14734" i="53"/>
  <c r="G14733" i="53"/>
  <c r="G14732" i="53"/>
  <c r="G14731" i="53"/>
  <c r="D14726" i="53"/>
  <c r="B14726" i="53"/>
  <c r="D14725" i="53"/>
  <c r="B14725" i="53"/>
  <c r="D14724" i="53"/>
  <c r="B14724" i="53"/>
  <c r="E14723" i="53"/>
  <c r="D14723" i="53"/>
  <c r="B14723" i="53"/>
  <c r="E14722" i="53"/>
  <c r="D14722" i="53"/>
  <c r="B14722" i="53"/>
  <c r="E14721" i="53"/>
  <c r="D14721" i="53"/>
  <c r="B14721" i="53"/>
  <c r="E14720" i="53"/>
  <c r="D14720" i="53"/>
  <c r="B14720" i="53"/>
  <c r="E14719" i="53"/>
  <c r="D14719" i="53"/>
  <c r="B14719" i="53"/>
  <c r="E14718" i="53"/>
  <c r="D14718" i="53"/>
  <c r="B14718" i="53"/>
  <c r="E14717" i="53"/>
  <c r="D14717" i="53"/>
  <c r="B14717" i="53"/>
  <c r="D14716" i="53"/>
  <c r="B14716" i="53"/>
  <c r="E14715" i="53"/>
  <c r="D14715" i="53"/>
  <c r="B14715" i="53"/>
  <c r="E14714" i="53"/>
  <c r="D14714" i="53"/>
  <c r="B14714" i="53"/>
  <c r="G14708" i="53"/>
  <c r="G14707" i="53"/>
  <c r="G14706" i="53"/>
  <c r="G14705" i="53"/>
  <c r="G14704" i="53"/>
  <c r="G14703" i="53"/>
  <c r="G14604" i="53"/>
  <c r="D14599" i="53"/>
  <c r="B14599" i="53"/>
  <c r="D14598" i="53"/>
  <c r="B14598" i="53"/>
  <c r="D14597" i="53"/>
  <c r="B14597" i="53"/>
  <c r="E14596" i="53"/>
  <c r="D14596" i="53"/>
  <c r="B14596" i="53"/>
  <c r="E14595" i="53"/>
  <c r="D14595" i="53"/>
  <c r="B14595" i="53"/>
  <c r="E14594" i="53"/>
  <c r="D14594" i="53"/>
  <c r="B14594" i="53"/>
  <c r="E14593" i="53"/>
  <c r="D14593" i="53"/>
  <c r="B14593" i="53"/>
  <c r="E14592" i="53"/>
  <c r="D14592" i="53"/>
  <c r="B14592" i="53"/>
  <c r="E14591" i="53"/>
  <c r="D14591" i="53"/>
  <c r="B14591" i="53"/>
  <c r="E14590" i="53"/>
  <c r="D14590" i="53"/>
  <c r="B14590" i="53"/>
  <c r="D14589" i="53"/>
  <c r="B14589" i="53"/>
  <c r="E14588" i="53"/>
  <c r="D14588" i="53"/>
  <c r="B14588" i="53"/>
  <c r="E14587" i="53"/>
  <c r="D14587" i="53"/>
  <c r="B14587" i="53"/>
  <c r="G14581" i="53"/>
  <c r="G14580" i="53"/>
  <c r="G14579" i="53"/>
  <c r="G14578" i="53"/>
  <c r="G14577" i="53"/>
  <c r="G14576" i="53"/>
  <c r="G14541" i="53"/>
  <c r="D14536" i="53"/>
  <c r="B14536" i="53"/>
  <c r="D14535" i="53"/>
  <c r="B14535" i="53"/>
  <c r="D14534" i="53"/>
  <c r="B14534" i="53"/>
  <c r="E14533" i="53"/>
  <c r="D14533" i="53"/>
  <c r="B14533" i="53"/>
  <c r="E14532" i="53"/>
  <c r="D14532" i="53"/>
  <c r="B14532" i="53"/>
  <c r="E14531" i="53"/>
  <c r="D14531" i="53"/>
  <c r="B14531" i="53"/>
  <c r="E14530" i="53"/>
  <c r="D14530" i="53"/>
  <c r="B14530" i="53"/>
  <c r="E14529" i="53"/>
  <c r="D14529" i="53"/>
  <c r="B14529" i="53"/>
  <c r="E14528" i="53"/>
  <c r="D14528" i="53"/>
  <c r="B14528" i="53"/>
  <c r="E14527" i="53"/>
  <c r="D14527" i="53"/>
  <c r="B14527" i="53"/>
  <c r="D14526" i="53"/>
  <c r="B14526" i="53"/>
  <c r="E14525" i="53"/>
  <c r="D14525" i="53"/>
  <c r="B14525" i="53"/>
  <c r="E14524" i="53"/>
  <c r="D14524" i="53"/>
  <c r="B14524" i="53"/>
  <c r="G14518" i="53"/>
  <c r="G14517" i="53"/>
  <c r="G14516" i="53"/>
  <c r="G14515" i="53"/>
  <c r="G14514" i="53"/>
  <c r="G14513" i="53"/>
  <c r="G13426" i="53"/>
  <c r="G13425" i="53"/>
  <c r="G13424" i="53"/>
  <c r="G13423" i="53"/>
  <c r="G13422" i="53"/>
  <c r="D13417" i="53"/>
  <c r="B13417" i="53"/>
  <c r="D13416" i="53"/>
  <c r="B13416" i="53"/>
  <c r="D13415" i="53"/>
  <c r="B13415" i="53"/>
  <c r="E13414" i="53"/>
  <c r="D13414" i="53"/>
  <c r="B13414" i="53"/>
  <c r="E13413" i="53"/>
  <c r="D13413" i="53"/>
  <c r="B13413" i="53"/>
  <c r="E13412" i="53"/>
  <c r="D13412" i="53"/>
  <c r="B13412" i="53"/>
  <c r="E13411" i="53"/>
  <c r="D13411" i="53"/>
  <c r="B13411" i="53"/>
  <c r="E13410" i="53"/>
  <c r="D13410" i="53"/>
  <c r="B13410" i="53"/>
  <c r="E13409" i="53"/>
  <c r="D13409" i="53"/>
  <c r="B13409" i="53"/>
  <c r="E13408" i="53"/>
  <c r="D13408" i="53"/>
  <c r="B13408" i="53"/>
  <c r="D13407" i="53"/>
  <c r="B13407" i="53"/>
  <c r="E13406" i="53"/>
  <c r="D13406" i="53"/>
  <c r="B13406" i="53"/>
  <c r="E13405" i="53"/>
  <c r="D13405" i="53"/>
  <c r="B13405" i="53"/>
  <c r="G13400" i="53"/>
  <c r="G13399" i="53"/>
  <c r="G13398" i="53"/>
  <c r="G13397" i="53"/>
  <c r="G13396" i="53"/>
  <c r="G13395" i="53"/>
  <c r="O147" i="1" l="1"/>
  <c r="K147" i="1"/>
  <c r="M147" i="1"/>
  <c r="L147" i="1"/>
  <c r="G1525" i="53"/>
  <c r="G1529" i="53" s="1"/>
  <c r="G1463" i="53" s="1"/>
  <c r="G8196" i="53"/>
  <c r="G8200" i="53" s="1"/>
  <c r="G8133" i="53" s="1"/>
  <c r="G7921" i="53"/>
  <c r="G7925" i="53" s="1"/>
  <c r="G7861" i="53" s="1"/>
  <c r="G7854" i="53"/>
  <c r="G7858" i="53" s="1"/>
  <c r="G7793" i="53" s="1"/>
  <c r="G3454" i="53"/>
  <c r="G3458" i="53" s="1"/>
  <c r="G3395" i="53" s="1"/>
  <c r="M65" i="1"/>
  <c r="O65" i="1"/>
  <c r="L65" i="1"/>
  <c r="N65" i="1"/>
  <c r="K65" i="1"/>
  <c r="J55" i="1"/>
  <c r="O55" i="1" s="1"/>
  <c r="G2886" i="53"/>
  <c r="G2890" i="53" s="1"/>
  <c r="G2885" i="53"/>
  <c r="G2884" i="53"/>
  <c r="G5805" i="53"/>
  <c r="G5809" i="53" s="1"/>
  <c r="G5745" i="53" s="1"/>
  <c r="G5262" i="53"/>
  <c r="G5266" i="53" s="1"/>
  <c r="G5201" i="53" s="1"/>
  <c r="G5330" i="53"/>
  <c r="G5334" i="53" s="1"/>
  <c r="G5269" i="53" s="1"/>
  <c r="G5466" i="53"/>
  <c r="G5470" i="53" s="1"/>
  <c r="G5405" i="53" s="1"/>
  <c r="G5194" i="53"/>
  <c r="G5198" i="53" s="1"/>
  <c r="G5133" i="53" s="1"/>
  <c r="G5398" i="53"/>
  <c r="G5402" i="53" s="1"/>
  <c r="G5337" i="53" s="1"/>
  <c r="N106" i="1"/>
  <c r="M106" i="1"/>
  <c r="K106" i="1"/>
  <c r="L106" i="1"/>
  <c r="O106" i="1"/>
  <c r="L103" i="1"/>
  <c r="K103" i="1"/>
  <c r="O103" i="1"/>
  <c r="N103" i="1"/>
  <c r="M103" i="1"/>
  <c r="O105" i="1"/>
  <c r="L105" i="1"/>
  <c r="K105" i="1"/>
  <c r="M105" i="1"/>
  <c r="N105" i="1"/>
  <c r="L104" i="1"/>
  <c r="K104" i="1"/>
  <c r="M104" i="1"/>
  <c r="N104" i="1"/>
  <c r="O104" i="1"/>
  <c r="M107" i="1"/>
  <c r="L107" i="1"/>
  <c r="K107" i="1"/>
  <c r="O107" i="1"/>
  <c r="N107" i="1"/>
  <c r="O112" i="1"/>
  <c r="M112" i="1"/>
  <c r="L112" i="1"/>
  <c r="N112" i="1"/>
  <c r="K112" i="1"/>
  <c r="M108" i="1"/>
  <c r="N108" i="1"/>
  <c r="O108" i="1"/>
  <c r="K108" i="1"/>
  <c r="L108" i="1"/>
  <c r="K113" i="1"/>
  <c r="N113" i="1"/>
  <c r="L113" i="1"/>
  <c r="M113" i="1"/>
  <c r="O113" i="1"/>
  <c r="K99" i="1"/>
  <c r="L99" i="1"/>
  <c r="N99" i="1"/>
  <c r="M99" i="1"/>
  <c r="O99" i="1"/>
  <c r="K102" i="1"/>
  <c r="L102" i="1"/>
  <c r="O102" i="1"/>
  <c r="M102" i="1"/>
  <c r="N102" i="1"/>
  <c r="L109" i="1"/>
  <c r="K109" i="1"/>
  <c r="M109" i="1"/>
  <c r="N109" i="1"/>
  <c r="O109" i="1"/>
  <c r="G5872" i="53"/>
  <c r="G5876" i="53" s="1"/>
  <c r="G5812" i="53" s="1"/>
  <c r="G5604" i="53"/>
  <c r="G5608" i="53" s="1"/>
  <c r="G5543" i="53" s="1"/>
  <c r="G5126" i="53"/>
  <c r="G5130" i="53" s="1"/>
  <c r="G5065" i="53" s="1"/>
  <c r="G4992" i="53"/>
  <c r="G4996" i="53" s="1"/>
  <c r="G4930" i="53" s="1"/>
  <c r="G5536" i="53"/>
  <c r="G5540" i="53" s="1"/>
  <c r="G5473" i="53" s="1"/>
  <c r="G2071" i="53"/>
  <c r="G2075" i="53" s="1"/>
  <c r="G2010" i="53" s="1"/>
  <c r="G1456" i="53"/>
  <c r="G1460" i="53" s="1"/>
  <c r="G1394" i="53" s="1"/>
  <c r="G1596" i="53"/>
  <c r="G1600" i="53" s="1"/>
  <c r="G1532" i="53" s="1"/>
  <c r="L32" i="1"/>
  <c r="N32" i="1"/>
  <c r="M32" i="1"/>
  <c r="K32" i="1"/>
  <c r="O32" i="1"/>
  <c r="L31" i="1"/>
  <c r="K31" i="1"/>
  <c r="O31" i="1"/>
  <c r="N31" i="1"/>
  <c r="M31" i="1"/>
  <c r="K30" i="1"/>
  <c r="O30" i="1"/>
  <c r="M30" i="1"/>
  <c r="L30" i="1"/>
  <c r="N30" i="1"/>
  <c r="J151" i="1"/>
  <c r="M151" i="1" s="1"/>
  <c r="G8123" i="53"/>
  <c r="G8124" i="53"/>
  <c r="G8128" i="53" s="1"/>
  <c r="G8122" i="53"/>
  <c r="K150" i="1"/>
  <c r="L150" i="1"/>
  <c r="M150" i="1"/>
  <c r="N150" i="1"/>
  <c r="O150" i="1"/>
  <c r="G8056" i="53"/>
  <c r="G8060" i="53" s="1"/>
  <c r="G7995" i="53" s="1"/>
  <c r="L182" i="1"/>
  <c r="K182" i="1"/>
  <c r="K178" i="1"/>
  <c r="L178" i="1"/>
  <c r="K181" i="1"/>
  <c r="L181" i="1"/>
  <c r="O178" i="1"/>
  <c r="N178" i="1"/>
  <c r="M178" i="1"/>
  <c r="O182" i="1"/>
  <c r="N182" i="1"/>
  <c r="M182" i="1"/>
  <c r="M181" i="1"/>
  <c r="O181" i="1"/>
  <c r="N181" i="1"/>
  <c r="G10214" i="53"/>
  <c r="G10218" i="53" s="1"/>
  <c r="G10151" i="53" s="1"/>
  <c r="G10144" i="53"/>
  <c r="G10148" i="53" s="1"/>
  <c r="G10081" i="53" s="1"/>
  <c r="G2209" i="53"/>
  <c r="G2213" i="53" s="1"/>
  <c r="G2148" i="53" s="1"/>
  <c r="G10004" i="53"/>
  <c r="G10008" i="53" s="1"/>
  <c r="G9939" i="53" s="1"/>
  <c r="G9932" i="53"/>
  <c r="G9936" i="53" s="1"/>
  <c r="G9867" i="53" s="1"/>
  <c r="G13750" i="53"/>
  <c r="G9718" i="53"/>
  <c r="G9722" i="53" s="1"/>
  <c r="G9654" i="53" s="1"/>
  <c r="G6782" i="53"/>
  <c r="G9816" i="53"/>
  <c r="G19944" i="53"/>
  <c r="G5014" i="53"/>
  <c r="G6713" i="53"/>
  <c r="G8761" i="53"/>
  <c r="G19500" i="53"/>
  <c r="G8487" i="53"/>
  <c r="G19573" i="53"/>
  <c r="G996" i="53"/>
  <c r="G654" i="53"/>
  <c r="G722" i="53"/>
  <c r="G7944" i="53"/>
  <c r="G5694" i="53"/>
  <c r="G6513" i="53"/>
  <c r="G8897" i="53"/>
  <c r="G8417" i="53"/>
  <c r="G23812" i="53"/>
  <c r="G4879" i="53"/>
  <c r="G23178" i="53"/>
  <c r="G6851" i="53"/>
  <c r="G20608" i="53"/>
  <c r="G858" i="53"/>
  <c r="G19354" i="53"/>
  <c r="G156" i="53"/>
  <c r="G22756" i="53"/>
  <c r="G9745" i="53"/>
  <c r="G362" i="53"/>
  <c r="G8624" i="53"/>
  <c r="G1201" i="53"/>
  <c r="G6104" i="53"/>
  <c r="G19427" i="53"/>
  <c r="G5627" i="53"/>
  <c r="G19648" i="53"/>
  <c r="G4741" i="53"/>
  <c r="G6172" i="53"/>
  <c r="G12461" i="53"/>
  <c r="G9108" i="53"/>
  <c r="G8553" i="53"/>
  <c r="G437" i="53"/>
  <c r="G7742" i="53"/>
  <c r="G8830" i="53"/>
  <c r="G22411" i="53"/>
  <c r="G22268" i="53"/>
  <c r="G22340" i="53"/>
  <c r="G22553" i="53"/>
  <c r="G16867" i="53"/>
  <c r="G14710" i="53"/>
  <c r="G14583" i="53"/>
  <c r="G14520" i="53"/>
  <c r="G17911" i="53"/>
  <c r="G17913" i="53"/>
  <c r="G18127" i="53"/>
  <c r="G17910" i="53"/>
  <c r="G17914" i="53"/>
  <c r="G14736" i="53"/>
  <c r="G14605" i="53"/>
  <c r="G13427" i="53"/>
  <c r="G14542" i="53"/>
  <c r="G17925" i="53"/>
  <c r="G17951" i="53"/>
  <c r="G17912" i="53"/>
  <c r="G18129" i="53"/>
  <c r="G18166" i="53"/>
  <c r="G18140" i="53"/>
  <c r="G23036" i="53"/>
  <c r="G23038" i="53"/>
  <c r="G23040" i="53"/>
  <c r="G23035" i="53"/>
  <c r="G23037" i="53"/>
  <c r="G23039" i="53"/>
  <c r="G23078" i="53"/>
  <c r="G23052" i="53"/>
  <c r="G23111" i="53"/>
  <c r="G23108" i="53"/>
  <c r="G23107" i="53"/>
  <c r="G23109" i="53"/>
  <c r="G23106" i="53"/>
  <c r="G23110" i="53"/>
  <c r="G23149" i="53"/>
  <c r="G23123" i="53"/>
  <c r="G22684" i="53"/>
  <c r="G22681" i="53"/>
  <c r="G22683" i="53"/>
  <c r="G22540" i="53"/>
  <c r="G22680" i="53"/>
  <c r="G22682" i="53"/>
  <c r="G22679" i="53"/>
  <c r="G22721" i="53"/>
  <c r="G22695" i="53"/>
  <c r="F22673" i="53"/>
  <c r="G22673" i="53" s="1"/>
  <c r="B22672" i="53"/>
  <c r="D22669" i="53"/>
  <c r="B22674" i="53"/>
  <c r="B22671" i="53"/>
  <c r="D22674" i="53"/>
  <c r="G22537" i="53"/>
  <c r="G22541" i="53"/>
  <c r="G22579" i="53"/>
  <c r="G22539" i="53"/>
  <c r="G22536" i="53"/>
  <c r="G22538" i="53"/>
  <c r="G22394" i="53"/>
  <c r="G22396" i="53"/>
  <c r="G22398" i="53"/>
  <c r="G22397" i="53"/>
  <c r="G22395" i="53"/>
  <c r="G22399" i="53"/>
  <c r="G22437" i="53"/>
  <c r="G22324" i="53"/>
  <c r="G22326" i="53"/>
  <c r="G22323" i="53"/>
  <c r="G22327" i="53"/>
  <c r="G22328" i="53"/>
  <c r="G22325" i="53"/>
  <c r="G22366" i="53"/>
  <c r="F22317" i="53"/>
  <c r="G22317" i="53" s="1"/>
  <c r="B22313" i="53"/>
  <c r="D22313" i="53"/>
  <c r="B22318" i="53"/>
  <c r="B22315" i="53"/>
  <c r="D22318" i="53"/>
  <c r="D22315" i="53"/>
  <c r="G22294" i="53"/>
  <c r="G22252" i="53"/>
  <c r="G22256" i="53"/>
  <c r="G22253" i="53"/>
  <c r="G22254" i="53"/>
  <c r="G22251" i="53"/>
  <c r="G22255" i="53"/>
  <c r="G22183" i="53"/>
  <c r="G22182" i="53"/>
  <c r="G22181" i="53"/>
  <c r="G22185" i="53"/>
  <c r="G22180" i="53"/>
  <c r="G22184" i="53"/>
  <c r="G22196" i="53"/>
  <c r="G21972" i="53"/>
  <c r="G21971" i="53"/>
  <c r="G21973" i="53"/>
  <c r="G22222" i="53"/>
  <c r="D22174" i="53"/>
  <c r="B22173" i="53"/>
  <c r="B22170" i="53"/>
  <c r="D22173" i="53"/>
  <c r="D22170" i="53"/>
  <c r="G21970" i="53"/>
  <c r="G21974" i="53"/>
  <c r="G21969" i="53"/>
  <c r="G21986" i="53"/>
  <c r="G22009" i="53"/>
  <c r="G20386" i="53"/>
  <c r="G18619" i="53"/>
  <c r="G18621" i="53"/>
  <c r="G20895" i="53"/>
  <c r="G20315" i="53"/>
  <c r="G20896" i="53"/>
  <c r="G20385" i="53"/>
  <c r="G20389" i="53"/>
  <c r="G20426" i="53"/>
  <c r="G20313" i="53"/>
  <c r="G20387" i="53"/>
  <c r="G20384" i="53"/>
  <c r="G20388" i="53"/>
  <c r="G20400" i="53"/>
  <c r="G20311" i="53"/>
  <c r="G20530" i="53"/>
  <c r="G20310" i="53"/>
  <c r="G20312" i="53"/>
  <c r="G20527" i="53"/>
  <c r="G20529" i="53"/>
  <c r="G20531" i="53"/>
  <c r="G20314" i="53"/>
  <c r="G20352" i="53"/>
  <c r="G20326" i="53"/>
  <c r="G20893" i="53"/>
  <c r="G20897" i="53"/>
  <c r="G20526" i="53"/>
  <c r="G20892" i="53"/>
  <c r="G20894" i="53"/>
  <c r="G20934" i="53"/>
  <c r="G20908" i="53"/>
  <c r="G20528" i="53"/>
  <c r="G20568" i="53"/>
  <c r="G20542" i="53"/>
  <c r="G18982" i="53"/>
  <c r="G19197" i="53"/>
  <c r="G19201" i="53"/>
  <c r="G21256" i="53"/>
  <c r="G21258" i="53"/>
  <c r="G19198" i="53"/>
  <c r="G19202" i="53"/>
  <c r="G18835" i="53"/>
  <c r="G18837" i="53"/>
  <c r="G19199" i="53"/>
  <c r="G18056" i="53"/>
  <c r="G21255" i="53"/>
  <c r="G21257" i="53"/>
  <c r="G19200" i="53"/>
  <c r="G19239" i="53"/>
  <c r="G19213" i="53"/>
  <c r="G21259" i="53"/>
  <c r="G18058" i="53"/>
  <c r="G18759" i="53"/>
  <c r="G18761" i="53"/>
  <c r="G18763" i="53"/>
  <c r="G21254" i="53"/>
  <c r="G21295" i="53"/>
  <c r="G21271" i="53"/>
  <c r="G18762" i="53"/>
  <c r="G16293" i="53"/>
  <c r="G16295" i="53"/>
  <c r="G18979" i="53"/>
  <c r="G18981" i="53"/>
  <c r="G18983" i="53"/>
  <c r="G17634" i="53"/>
  <c r="G18801" i="53"/>
  <c r="G16292" i="53"/>
  <c r="G18978" i="53"/>
  <c r="G18980" i="53"/>
  <c r="G18905" i="53"/>
  <c r="G18907" i="53"/>
  <c r="G18909" i="53"/>
  <c r="G19020" i="53"/>
  <c r="G18994" i="53"/>
  <c r="G18832" i="53"/>
  <c r="G18836" i="53"/>
  <c r="G18622" i="53"/>
  <c r="G18624" i="53"/>
  <c r="G16296" i="53"/>
  <c r="G18057" i="53"/>
  <c r="G18764" i="53"/>
  <c r="G18054" i="53"/>
  <c r="G18623" i="53"/>
  <c r="G18760" i="53"/>
  <c r="G18908" i="53"/>
  <c r="G18833" i="53"/>
  <c r="G16291" i="53"/>
  <c r="G18055" i="53"/>
  <c r="G18059" i="53"/>
  <c r="G18620" i="53"/>
  <c r="G18834" i="53"/>
  <c r="G18904" i="53"/>
  <c r="G18906" i="53"/>
  <c r="G16294" i="53"/>
  <c r="G16334" i="53"/>
  <c r="G16308" i="53"/>
  <c r="G18946" i="53"/>
  <c r="G18920" i="53"/>
  <c r="G18775" i="53"/>
  <c r="G18874" i="53"/>
  <c r="G18848" i="53"/>
  <c r="G18661" i="53"/>
  <c r="G18635" i="53"/>
  <c r="G18096" i="53"/>
  <c r="G18070" i="53"/>
  <c r="G17698" i="53"/>
  <c r="G17700" i="53"/>
  <c r="G17766" i="53"/>
  <c r="G17768" i="53"/>
  <c r="G17701" i="53"/>
  <c r="G16992" i="53"/>
  <c r="G16994" i="53"/>
  <c r="G17631" i="53"/>
  <c r="G17204" i="53"/>
  <c r="G17202" i="53"/>
  <c r="G15883" i="53"/>
  <c r="G13675" i="53"/>
  <c r="G17201" i="53"/>
  <c r="G17203" i="53"/>
  <c r="G17205" i="53"/>
  <c r="G17632" i="53"/>
  <c r="G17771" i="53"/>
  <c r="G17697" i="53"/>
  <c r="G17699" i="53"/>
  <c r="G17630" i="53"/>
  <c r="G17702" i="53"/>
  <c r="G17809" i="53"/>
  <c r="G17770" i="53"/>
  <c r="G15811" i="53"/>
  <c r="G15815" i="53"/>
  <c r="G16087" i="53"/>
  <c r="G17629" i="53"/>
  <c r="G17645" i="53"/>
  <c r="G17200" i="53"/>
  <c r="G17633" i="53"/>
  <c r="G17767" i="53"/>
  <c r="G17769" i="53"/>
  <c r="G17783" i="53"/>
  <c r="G17739" i="53"/>
  <c r="G17713" i="53"/>
  <c r="G17671" i="53"/>
  <c r="G17242" i="53"/>
  <c r="G17216" i="53"/>
  <c r="G16990" i="53"/>
  <c r="G16360" i="53"/>
  <c r="G16989" i="53"/>
  <c r="G16991" i="53"/>
  <c r="G16993" i="53"/>
  <c r="G17031" i="53"/>
  <c r="G17005" i="53"/>
  <c r="G16855" i="53"/>
  <c r="G16921" i="53"/>
  <c r="G16923" i="53"/>
  <c r="G16853" i="53"/>
  <c r="G16925" i="53"/>
  <c r="G16963" i="53"/>
  <c r="G16850" i="53"/>
  <c r="G16852" i="53"/>
  <c r="G16854" i="53"/>
  <c r="G16922" i="53"/>
  <c r="G16924" i="53"/>
  <c r="G16926" i="53"/>
  <c r="G16361" i="53"/>
  <c r="G16937" i="53"/>
  <c r="G16089" i="53"/>
  <c r="G13674" i="53"/>
  <c r="G16851" i="53"/>
  <c r="G16084" i="53"/>
  <c r="G16086" i="53"/>
  <c r="G16358" i="53"/>
  <c r="G13672" i="53"/>
  <c r="G13688" i="53"/>
  <c r="G16088" i="53"/>
  <c r="G16362" i="53"/>
  <c r="G13676" i="53"/>
  <c r="G16085" i="53"/>
  <c r="G16357" i="53"/>
  <c r="G16359" i="53"/>
  <c r="G13671" i="53"/>
  <c r="G13673" i="53"/>
  <c r="G16893" i="53"/>
  <c r="G13714" i="53"/>
  <c r="G16399" i="53"/>
  <c r="G16373" i="53"/>
  <c r="G16126" i="53"/>
  <c r="G16100" i="53"/>
  <c r="G15880" i="53"/>
  <c r="G16023" i="53"/>
  <c r="G13389" i="53"/>
  <c r="G13387" i="53"/>
  <c r="G14505" i="53"/>
  <c r="G15676" i="53"/>
  <c r="G15816" i="53"/>
  <c r="G14696" i="53"/>
  <c r="G13386" i="53"/>
  <c r="G13388" i="53"/>
  <c r="G14506" i="53"/>
  <c r="G15954" i="53"/>
  <c r="G14695" i="53"/>
  <c r="G14697" i="53"/>
  <c r="G14566" i="53"/>
  <c r="G14568" i="53"/>
  <c r="G14570" i="53"/>
  <c r="G15878" i="53"/>
  <c r="G15882" i="53"/>
  <c r="G15814" i="53"/>
  <c r="G16019" i="53"/>
  <c r="G15528" i="53"/>
  <c r="G15530" i="53"/>
  <c r="G16022" i="53"/>
  <c r="G15615" i="53"/>
  <c r="G15955" i="53"/>
  <c r="G15529" i="53"/>
  <c r="G15599" i="53"/>
  <c r="G15603" i="53"/>
  <c r="G15673" i="53"/>
  <c r="G13390" i="53"/>
  <c r="G14502" i="53"/>
  <c r="G14504" i="53"/>
  <c r="G14692" i="53"/>
  <c r="G14694" i="53"/>
  <c r="G15532" i="53"/>
  <c r="G15601" i="53"/>
  <c r="G15674" i="53"/>
  <c r="G15951" i="53"/>
  <c r="G15953" i="53"/>
  <c r="G15812" i="53"/>
  <c r="G15671" i="53"/>
  <c r="G15687" i="53"/>
  <c r="G15879" i="53"/>
  <c r="G15881" i="53"/>
  <c r="G16018" i="53"/>
  <c r="G16020" i="53"/>
  <c r="G15641" i="53"/>
  <c r="G13385" i="53"/>
  <c r="G14503" i="53"/>
  <c r="G14507" i="53"/>
  <c r="G14693" i="53"/>
  <c r="G15527" i="53"/>
  <c r="G15531" i="53"/>
  <c r="G15600" i="53"/>
  <c r="G15602" i="53"/>
  <c r="G15604" i="53"/>
  <c r="G15675" i="53"/>
  <c r="G15950" i="53"/>
  <c r="G15952" i="53"/>
  <c r="G15966" i="53"/>
  <c r="G15813" i="53"/>
  <c r="G14565" i="53"/>
  <c r="G14567" i="53"/>
  <c r="G14569" i="53"/>
  <c r="G15672" i="53"/>
  <c r="G16021" i="53"/>
  <c r="G16060" i="53"/>
  <c r="G16034" i="53"/>
  <c r="G15853" i="53"/>
  <c r="G15827" i="53"/>
  <c r="G15992" i="53"/>
  <c r="G15920" i="53"/>
  <c r="G15894" i="53"/>
  <c r="G15713" i="53"/>
  <c r="G15569" i="53"/>
  <c r="G15543" i="53"/>
  <c r="G13401" i="53"/>
  <c r="G12922" i="53"/>
  <c r="G12921" i="53"/>
  <c r="G12920" i="53"/>
  <c r="G12919" i="53"/>
  <c r="G12918" i="53"/>
  <c r="D12913" i="53"/>
  <c r="B12913" i="53"/>
  <c r="D12912" i="53"/>
  <c r="B12912" i="53"/>
  <c r="D12911" i="53"/>
  <c r="B12911" i="53"/>
  <c r="E12910" i="53"/>
  <c r="D12910" i="53"/>
  <c r="B12910" i="53"/>
  <c r="E12909" i="53"/>
  <c r="D12909" i="53"/>
  <c r="B12909" i="53"/>
  <c r="E12908" i="53"/>
  <c r="D12908" i="53"/>
  <c r="B12908" i="53"/>
  <c r="E12907" i="53"/>
  <c r="D12907" i="53"/>
  <c r="B12907" i="53"/>
  <c r="E12906" i="53"/>
  <c r="D12906" i="53"/>
  <c r="B12906" i="53"/>
  <c r="E12905" i="53"/>
  <c r="D12905" i="53"/>
  <c r="B12905" i="53"/>
  <c r="E12904" i="53"/>
  <c r="D12904" i="53"/>
  <c r="B12904" i="53"/>
  <c r="D12903" i="53"/>
  <c r="B12903" i="53"/>
  <c r="E12902" i="53"/>
  <c r="D12902" i="53"/>
  <c r="B12902" i="53"/>
  <c r="E12901" i="53"/>
  <c r="D12901" i="53"/>
  <c r="B12901" i="53"/>
  <c r="G12895" i="53"/>
  <c r="G12894" i="53"/>
  <c r="G12893" i="53"/>
  <c r="G12892" i="53"/>
  <c r="G12891" i="53"/>
  <c r="G12890" i="53"/>
  <c r="G15077" i="53"/>
  <c r="G15076" i="53"/>
  <c r="G15075" i="53"/>
  <c r="G15074" i="53"/>
  <c r="G15073" i="53"/>
  <c r="D15068" i="53"/>
  <c r="B15068" i="53"/>
  <c r="D15067" i="53"/>
  <c r="B15067" i="53"/>
  <c r="D15066" i="53"/>
  <c r="B15066" i="53"/>
  <c r="E15065" i="53"/>
  <c r="D15065" i="53"/>
  <c r="B15065" i="53"/>
  <c r="E15064" i="53"/>
  <c r="D15064" i="53"/>
  <c r="B15064" i="53"/>
  <c r="E15063" i="53"/>
  <c r="D15063" i="53"/>
  <c r="B15063" i="53"/>
  <c r="E15062" i="53"/>
  <c r="D15062" i="53"/>
  <c r="B15062" i="53"/>
  <c r="E15061" i="53"/>
  <c r="D15061" i="53"/>
  <c r="B15061" i="53"/>
  <c r="E15060" i="53"/>
  <c r="D15060" i="53"/>
  <c r="B15060" i="53"/>
  <c r="E15059" i="53"/>
  <c r="D15059" i="53"/>
  <c r="B15059" i="53"/>
  <c r="D15058" i="53"/>
  <c r="B15058" i="53"/>
  <c r="E15057" i="53"/>
  <c r="D15057" i="53"/>
  <c r="B15057" i="53"/>
  <c r="E15056" i="53"/>
  <c r="D15056" i="53"/>
  <c r="B15056" i="53"/>
  <c r="G15051" i="53"/>
  <c r="G15050" i="53"/>
  <c r="G15049" i="53"/>
  <c r="G15048" i="53"/>
  <c r="G15047" i="53"/>
  <c r="G15046" i="53"/>
  <c r="G15011" i="53"/>
  <c r="G15010" i="53"/>
  <c r="G15009" i="53"/>
  <c r="D15004" i="53"/>
  <c r="B15004" i="53"/>
  <c r="D15003" i="53"/>
  <c r="B15003" i="53"/>
  <c r="D15002" i="53"/>
  <c r="B15002" i="53"/>
  <c r="E15001" i="53"/>
  <c r="D15001" i="53"/>
  <c r="B15001" i="53"/>
  <c r="E15000" i="53"/>
  <c r="D15000" i="53"/>
  <c r="B15000" i="53"/>
  <c r="E14999" i="53"/>
  <c r="D14999" i="53"/>
  <c r="B14999" i="53"/>
  <c r="E14998" i="53"/>
  <c r="D14998" i="53"/>
  <c r="B14998" i="53"/>
  <c r="E14997" i="53"/>
  <c r="D14997" i="53"/>
  <c r="B14997" i="53"/>
  <c r="E14996" i="53"/>
  <c r="D14996" i="53"/>
  <c r="B14996" i="53"/>
  <c r="E14995" i="53"/>
  <c r="D14995" i="53"/>
  <c r="B14995" i="53"/>
  <c r="D14994" i="53"/>
  <c r="B14994" i="53"/>
  <c r="E14993" i="53"/>
  <c r="D14993" i="53"/>
  <c r="B14993" i="53"/>
  <c r="E14992" i="53"/>
  <c r="D14992" i="53"/>
  <c r="B14992" i="53"/>
  <c r="G14987" i="53"/>
  <c r="G14986" i="53"/>
  <c r="G14985" i="53"/>
  <c r="G14984" i="53"/>
  <c r="G14983" i="53"/>
  <c r="G14982" i="53"/>
  <c r="G11883" i="53"/>
  <c r="G11882" i="53"/>
  <c r="G11881" i="53"/>
  <c r="D11876" i="53"/>
  <c r="B11876" i="53"/>
  <c r="D11875" i="53"/>
  <c r="B11875" i="53"/>
  <c r="D11874" i="53"/>
  <c r="B11874" i="53"/>
  <c r="E11873" i="53"/>
  <c r="D11873" i="53"/>
  <c r="B11873" i="53"/>
  <c r="E11872" i="53"/>
  <c r="D11872" i="53"/>
  <c r="B11872" i="53"/>
  <c r="E11871" i="53"/>
  <c r="D11871" i="53"/>
  <c r="B11871" i="53"/>
  <c r="E11870" i="53"/>
  <c r="D11870" i="53"/>
  <c r="B11870" i="53"/>
  <c r="E11869" i="53"/>
  <c r="D11869" i="53"/>
  <c r="B11869" i="53"/>
  <c r="E11868" i="53"/>
  <c r="D11868" i="53"/>
  <c r="B11868" i="53"/>
  <c r="E11867" i="53"/>
  <c r="D11867" i="53"/>
  <c r="B11867" i="53"/>
  <c r="D11866" i="53"/>
  <c r="B11866" i="53"/>
  <c r="E11865" i="53"/>
  <c r="D11865" i="53"/>
  <c r="B11865" i="53"/>
  <c r="E11864" i="53"/>
  <c r="D11864" i="53"/>
  <c r="B11864" i="53"/>
  <c r="G11858" i="53"/>
  <c r="G11857" i="53"/>
  <c r="G11856" i="53"/>
  <c r="G11855" i="53"/>
  <c r="G11854" i="53"/>
  <c r="G11853" i="53"/>
  <c r="G11748" i="53"/>
  <c r="G11747" i="53"/>
  <c r="G11746" i="53"/>
  <c r="D11741" i="53"/>
  <c r="B11741" i="53"/>
  <c r="D11740" i="53"/>
  <c r="B11740" i="53"/>
  <c r="D11739" i="53"/>
  <c r="B11739" i="53"/>
  <c r="E11738" i="53"/>
  <c r="D11738" i="53"/>
  <c r="B11738" i="53"/>
  <c r="E11737" i="53"/>
  <c r="D11737" i="53"/>
  <c r="B11737" i="53"/>
  <c r="E11736" i="53"/>
  <c r="D11736" i="53"/>
  <c r="B11736" i="53"/>
  <c r="E11735" i="53"/>
  <c r="D11735" i="53"/>
  <c r="B11735" i="53"/>
  <c r="E11734" i="53"/>
  <c r="D11734" i="53"/>
  <c r="B11734" i="53"/>
  <c r="E11733" i="53"/>
  <c r="D11733" i="53"/>
  <c r="B11733" i="53"/>
  <c r="E11732" i="53"/>
  <c r="D11732" i="53"/>
  <c r="B11732" i="53"/>
  <c r="D11731" i="53"/>
  <c r="B11731" i="53"/>
  <c r="E11730" i="53"/>
  <c r="D11730" i="53"/>
  <c r="B11730" i="53"/>
  <c r="E11729" i="53"/>
  <c r="D11729" i="53"/>
  <c r="B11729" i="53"/>
  <c r="G11723" i="53"/>
  <c r="G11722" i="53"/>
  <c r="G11721" i="53"/>
  <c r="G11720" i="53"/>
  <c r="G11719" i="53"/>
  <c r="G11718" i="53"/>
  <c r="G11555" i="53"/>
  <c r="D11550" i="53"/>
  <c r="B11550" i="53"/>
  <c r="D11549" i="53"/>
  <c r="B11549" i="53"/>
  <c r="D11548" i="53"/>
  <c r="B11548" i="53"/>
  <c r="E11547" i="53"/>
  <c r="D11547" i="53"/>
  <c r="B11547" i="53"/>
  <c r="E11546" i="53"/>
  <c r="D11546" i="53"/>
  <c r="B11546" i="53"/>
  <c r="E11545" i="53"/>
  <c r="D11545" i="53"/>
  <c r="B11545" i="53"/>
  <c r="E11544" i="53"/>
  <c r="D11544" i="53"/>
  <c r="B11544" i="53"/>
  <c r="E11543" i="53"/>
  <c r="D11543" i="53"/>
  <c r="B11543" i="53"/>
  <c r="E11542" i="53"/>
  <c r="D11542" i="53"/>
  <c r="B11542" i="53"/>
  <c r="E11541" i="53"/>
  <c r="D11541" i="53"/>
  <c r="B11541" i="53"/>
  <c r="D11540" i="53"/>
  <c r="B11540" i="53"/>
  <c r="E11539" i="53"/>
  <c r="D11539" i="53"/>
  <c r="B11539" i="53"/>
  <c r="E11538" i="53"/>
  <c r="D11538" i="53"/>
  <c r="B11538" i="53"/>
  <c r="G11532" i="53"/>
  <c r="G11531" i="53"/>
  <c r="G11530" i="53"/>
  <c r="G11529" i="53"/>
  <c r="G11528" i="53"/>
  <c r="G11428" i="53"/>
  <c r="G11427" i="53"/>
  <c r="G11426" i="53"/>
  <c r="G11425" i="53"/>
  <c r="D11420" i="53"/>
  <c r="B11420" i="53"/>
  <c r="D11419" i="53"/>
  <c r="B11419" i="53"/>
  <c r="D11418" i="53"/>
  <c r="B11418" i="53"/>
  <c r="D11417" i="53"/>
  <c r="B11417" i="53"/>
  <c r="D11416" i="53"/>
  <c r="B11416" i="53"/>
  <c r="E11415" i="53"/>
  <c r="D11415" i="53"/>
  <c r="B11415" i="53"/>
  <c r="D11414" i="53"/>
  <c r="B11414" i="53"/>
  <c r="D11413" i="53"/>
  <c r="B11413" i="53"/>
  <c r="D11412" i="53"/>
  <c r="B11412" i="53"/>
  <c r="D11411" i="53"/>
  <c r="B11411" i="53"/>
  <c r="D11410" i="53"/>
  <c r="B11410" i="53"/>
  <c r="D11409" i="53"/>
  <c r="B11409" i="53"/>
  <c r="D11408" i="53"/>
  <c r="B11408" i="53"/>
  <c r="G11403" i="53"/>
  <c r="G11402" i="53"/>
  <c r="G11401" i="53"/>
  <c r="G11400" i="53"/>
  <c r="G11399" i="53"/>
  <c r="G11398" i="53"/>
  <c r="C190" i="55"/>
  <c r="F14154" i="53" s="1"/>
  <c r="G14154" i="53" s="1"/>
  <c r="G14161" i="53" s="1"/>
  <c r="G14209" i="53" s="1"/>
  <c r="G2888" i="53" l="1"/>
  <c r="G2892" i="53" s="1"/>
  <c r="G2827" i="53" s="1"/>
  <c r="M55" i="1"/>
  <c r="L55" i="1"/>
  <c r="N55" i="1"/>
  <c r="K55" i="1"/>
  <c r="K151" i="1"/>
  <c r="G8126" i="53"/>
  <c r="G8130" i="53" s="1"/>
  <c r="G8063" i="53" s="1"/>
  <c r="L151" i="1"/>
  <c r="O151" i="1"/>
  <c r="N151" i="1"/>
  <c r="K152" i="1"/>
  <c r="O152" i="1"/>
  <c r="L152" i="1"/>
  <c r="M152" i="1"/>
  <c r="N152" i="1"/>
  <c r="J258" i="1"/>
  <c r="G14213" i="53"/>
  <c r="G14217" i="53" s="1"/>
  <c r="G14212" i="53"/>
  <c r="G14211" i="53"/>
  <c r="G14699" i="53"/>
  <c r="G14572" i="53"/>
  <c r="G14509" i="53"/>
  <c r="F10710" i="53"/>
  <c r="G10710" i="53" s="1"/>
  <c r="G21261" i="53"/>
  <c r="G21976" i="53"/>
  <c r="G17773" i="53"/>
  <c r="G16298" i="53"/>
  <c r="G11534" i="53"/>
  <c r="G11725" i="53"/>
  <c r="G11860" i="53"/>
  <c r="G12897" i="53"/>
  <c r="G13678" i="53"/>
  <c r="G18130" i="53"/>
  <c r="G15677" i="53"/>
  <c r="G15817" i="53"/>
  <c r="G17915" i="53"/>
  <c r="G11884" i="53"/>
  <c r="G11749" i="53"/>
  <c r="G11429" i="53"/>
  <c r="G11556" i="53"/>
  <c r="G15605" i="53"/>
  <c r="G15956" i="53"/>
  <c r="G15078" i="53"/>
  <c r="G13391" i="53"/>
  <c r="G15884" i="53"/>
  <c r="G12923" i="53"/>
  <c r="G15533" i="53"/>
  <c r="G15012" i="53"/>
  <c r="G23041" i="53"/>
  <c r="G23112" i="53"/>
  <c r="G22685" i="53"/>
  <c r="G22542" i="53"/>
  <c r="G22400" i="53"/>
  <c r="G22329" i="53"/>
  <c r="G22257" i="53"/>
  <c r="G22186" i="53"/>
  <c r="G20390" i="53"/>
  <c r="G20316" i="53"/>
  <c r="G20898" i="53"/>
  <c r="G20532" i="53"/>
  <c r="G19203" i="53"/>
  <c r="G18838" i="53"/>
  <c r="G18984" i="53"/>
  <c r="G18765" i="53"/>
  <c r="G18060" i="53"/>
  <c r="G18625" i="53"/>
  <c r="G18910" i="53"/>
  <c r="G17206" i="53"/>
  <c r="G17635" i="53"/>
  <c r="G17703" i="53"/>
  <c r="G16995" i="53"/>
  <c r="G16090" i="53"/>
  <c r="G16927" i="53"/>
  <c r="G16856" i="53"/>
  <c r="G16363" i="53"/>
  <c r="G15038" i="53"/>
  <c r="G12880" i="53"/>
  <c r="G12882" i="53"/>
  <c r="G12884" i="53"/>
  <c r="G12881" i="53"/>
  <c r="G14975" i="53"/>
  <c r="G14973" i="53"/>
  <c r="G14977" i="53"/>
  <c r="G15036" i="53"/>
  <c r="G14972" i="53"/>
  <c r="G14974" i="53"/>
  <c r="G14976" i="53"/>
  <c r="G15037" i="53"/>
  <c r="G12883" i="53"/>
  <c r="G12885" i="53"/>
  <c r="G16024" i="53"/>
  <c r="G15040" i="53"/>
  <c r="G15039" i="53"/>
  <c r="G15041" i="53"/>
  <c r="G15052" i="53"/>
  <c r="G14988" i="53"/>
  <c r="G11517" i="53"/>
  <c r="G11519" i="53"/>
  <c r="G11522" i="53"/>
  <c r="G11520" i="53"/>
  <c r="G11708" i="53"/>
  <c r="G11710" i="53"/>
  <c r="G11712" i="53"/>
  <c r="G11842" i="53"/>
  <c r="G11709" i="53"/>
  <c r="G11845" i="53"/>
  <c r="G11847" i="53"/>
  <c r="G11518" i="53"/>
  <c r="G11844" i="53"/>
  <c r="G11707" i="53"/>
  <c r="G11711" i="53"/>
  <c r="G11846" i="53"/>
  <c r="G11521" i="53"/>
  <c r="G11843" i="53"/>
  <c r="G11388" i="53"/>
  <c r="G11389" i="53"/>
  <c r="G11391" i="53"/>
  <c r="G11386" i="53"/>
  <c r="G11404" i="53"/>
  <c r="G11390" i="53"/>
  <c r="G11387" i="53"/>
  <c r="G14215" i="53" l="1"/>
  <c r="G14219" i="53" s="1"/>
  <c r="G14151" i="53" s="1"/>
  <c r="G11849" i="53"/>
  <c r="G11714" i="53"/>
  <c r="G11524" i="53"/>
  <c r="G11394" i="53"/>
  <c r="G15042" i="53"/>
  <c r="G14978" i="53"/>
  <c r="G12886" i="53"/>
  <c r="D3" i="54" l="1"/>
  <c r="D4" i="54"/>
  <c r="D5" i="54"/>
  <c r="D6" i="54"/>
  <c r="D7" i="54"/>
  <c r="D8" i="54"/>
  <c r="D9" i="54"/>
  <c r="D10" i="54"/>
  <c r="D11" i="54"/>
  <c r="D12" i="54"/>
  <c r="D13" i="54"/>
  <c r="D14" i="54"/>
  <c r="D2" i="54"/>
  <c r="F8918" i="53" l="1"/>
  <c r="G8918" i="53" s="1"/>
  <c r="F8851" i="53"/>
  <c r="G8851" i="53" s="1"/>
  <c r="F8645" i="53"/>
  <c r="G8645" i="53" s="1"/>
  <c r="F8574" i="53"/>
  <c r="G8574" i="53" s="1"/>
  <c r="F8508" i="53"/>
  <c r="G8508" i="53" s="1"/>
  <c r="F8782" i="53"/>
  <c r="G8782" i="53" s="1"/>
  <c r="F8438" i="53"/>
  <c r="G8438" i="53" s="1"/>
  <c r="F7965" i="53"/>
  <c r="G7965" i="53" s="1"/>
  <c r="F6125" i="53"/>
  <c r="G6125" i="53" s="1"/>
  <c r="F5648" i="53"/>
  <c r="G5648" i="53" s="1"/>
  <c r="F6734" i="53"/>
  <c r="G6734" i="53" s="1"/>
  <c r="F6534" i="53"/>
  <c r="G6534" i="53" s="1"/>
  <c r="F6803" i="53"/>
  <c r="G6803" i="53" s="1"/>
  <c r="F6193" i="53"/>
  <c r="G6193" i="53" s="1"/>
  <c r="F6872" i="53"/>
  <c r="G6872" i="53" s="1"/>
  <c r="F4900" i="53"/>
  <c r="G4900" i="53" s="1"/>
  <c r="F4762" i="53"/>
  <c r="G4762" i="53" s="1"/>
  <c r="F5035" i="53"/>
  <c r="G5035" i="53" s="1"/>
  <c r="F383" i="53"/>
  <c r="G383" i="53" s="1"/>
  <c r="F743" i="53"/>
  <c r="G743" i="53" s="1"/>
  <c r="F7763" i="53"/>
  <c r="G7763" i="53" s="1"/>
  <c r="F5715" i="53"/>
  <c r="G5715" i="53" s="1"/>
  <c r="F177" i="53"/>
  <c r="G177" i="53" s="1"/>
  <c r="F9129" i="53"/>
  <c r="G9129" i="53" s="1"/>
  <c r="F879" i="53"/>
  <c r="G879" i="53" s="1"/>
  <c r="F458" i="53"/>
  <c r="G458" i="53" s="1"/>
  <c r="F675" i="53"/>
  <c r="G675" i="53" s="1"/>
  <c r="F22778" i="53"/>
  <c r="G22778" i="53" s="1"/>
  <c r="F1222" i="53"/>
  <c r="G1222" i="53" s="1"/>
  <c r="F1017" i="53"/>
  <c r="G1017" i="53" s="1"/>
  <c r="F23833" i="53"/>
  <c r="G23833" i="53" s="1"/>
  <c r="F23199" i="53"/>
  <c r="G23199" i="53" s="1"/>
  <c r="F9837" i="53"/>
  <c r="G9837" i="53" s="1"/>
  <c r="F20629" i="53"/>
  <c r="G20629" i="53" s="1"/>
  <c r="F19965" i="53"/>
  <c r="G19965" i="53" s="1"/>
  <c r="F19594" i="53"/>
  <c r="G19594" i="53" s="1"/>
  <c r="F19375" i="53"/>
  <c r="G19375" i="53" s="1"/>
  <c r="F19448" i="53"/>
  <c r="G19448" i="53" s="1"/>
  <c r="F19521" i="53"/>
  <c r="G19521" i="53" s="1"/>
  <c r="F19669" i="53"/>
  <c r="G19669" i="53" s="1"/>
  <c r="F12482" i="53"/>
  <c r="G12482" i="53" s="1"/>
  <c r="F9766" i="53"/>
  <c r="G9766" i="53" s="1"/>
  <c r="F13771" i="53"/>
  <c r="G13771" i="53" s="1"/>
  <c r="F8915" i="53"/>
  <c r="G8915" i="53" s="1"/>
  <c r="F8779" i="53"/>
  <c r="G8779" i="53" s="1"/>
  <c r="F8435" i="53"/>
  <c r="G8435" i="53" s="1"/>
  <c r="F7962" i="53"/>
  <c r="G7962" i="53" s="1"/>
  <c r="F8848" i="53"/>
  <c r="G8848" i="53" s="1"/>
  <c r="F8642" i="53"/>
  <c r="G8642" i="53" s="1"/>
  <c r="F8571" i="53"/>
  <c r="G8571" i="53" s="1"/>
  <c r="F8505" i="53"/>
  <c r="G8505" i="53" s="1"/>
  <c r="F6190" i="53"/>
  <c r="G6190" i="53" s="1"/>
  <c r="F6869" i="53"/>
  <c r="G6869" i="53" s="1"/>
  <c r="F4897" i="53"/>
  <c r="G4897" i="53" s="1"/>
  <c r="F4759" i="53"/>
  <c r="G4759" i="53" s="1"/>
  <c r="F5032" i="53"/>
  <c r="G5032" i="53" s="1"/>
  <c r="F6122" i="53"/>
  <c r="G6122" i="53" s="1"/>
  <c r="F5645" i="53"/>
  <c r="G5645" i="53" s="1"/>
  <c r="F6731" i="53"/>
  <c r="G6731" i="53" s="1"/>
  <c r="F6531" i="53"/>
  <c r="G6531" i="53" s="1"/>
  <c r="F6800" i="53"/>
  <c r="G6800" i="53" s="1"/>
  <c r="F9126" i="53"/>
  <c r="G9126" i="53" s="1"/>
  <c r="F876" i="53"/>
  <c r="G876" i="53" s="1"/>
  <c r="F455" i="53"/>
  <c r="G455" i="53" s="1"/>
  <c r="F672" i="53"/>
  <c r="G672" i="53" s="1"/>
  <c r="F380" i="53"/>
  <c r="G380" i="53" s="1"/>
  <c r="F740" i="53"/>
  <c r="G740" i="53" s="1"/>
  <c r="F7760" i="53"/>
  <c r="G7760" i="53" s="1"/>
  <c r="F5712" i="53"/>
  <c r="G5712" i="53" s="1"/>
  <c r="F174" i="53"/>
  <c r="G174" i="53" s="1"/>
  <c r="F22775" i="53"/>
  <c r="G22775" i="53" s="1"/>
  <c r="F1014" i="53"/>
  <c r="G1014" i="53" s="1"/>
  <c r="F1219" i="53"/>
  <c r="G1219" i="53" s="1"/>
  <c r="F23830" i="53"/>
  <c r="G23830" i="53" s="1"/>
  <c r="F23196" i="53"/>
  <c r="G23196" i="53" s="1"/>
  <c r="F9834" i="53"/>
  <c r="G9834" i="53" s="1"/>
  <c r="F19591" i="53"/>
  <c r="G19591" i="53" s="1"/>
  <c r="F19372" i="53"/>
  <c r="G19372" i="53" s="1"/>
  <c r="F19445" i="53"/>
  <c r="G19445" i="53" s="1"/>
  <c r="F19666" i="53"/>
  <c r="G19666" i="53" s="1"/>
  <c r="F20626" i="53"/>
  <c r="G20626" i="53" s="1"/>
  <c r="F19962" i="53"/>
  <c r="G19962" i="53" s="1"/>
  <c r="F19518" i="53"/>
  <c r="G19518" i="53" s="1"/>
  <c r="F12479" i="53"/>
  <c r="G12479" i="53" s="1"/>
  <c r="F9763" i="53"/>
  <c r="G9763" i="53" s="1"/>
  <c r="F13768" i="53"/>
  <c r="G13768" i="53" s="1"/>
  <c r="F8912" i="53"/>
  <c r="G8912" i="53" s="1"/>
  <c r="F8845" i="53"/>
  <c r="G8845" i="53" s="1"/>
  <c r="F8639" i="53"/>
  <c r="G8639" i="53" s="1"/>
  <c r="F8568" i="53"/>
  <c r="G8568" i="53" s="1"/>
  <c r="F8502" i="53"/>
  <c r="G8502" i="53" s="1"/>
  <c r="F8776" i="53"/>
  <c r="G8776" i="53" s="1"/>
  <c r="F8432" i="53"/>
  <c r="G8432" i="53" s="1"/>
  <c r="F7959" i="53"/>
  <c r="G7959" i="53" s="1"/>
  <c r="F6119" i="53"/>
  <c r="G6119" i="53" s="1"/>
  <c r="F5642" i="53"/>
  <c r="G5642" i="53" s="1"/>
  <c r="F6728" i="53"/>
  <c r="G6728" i="53" s="1"/>
  <c r="F6528" i="53"/>
  <c r="G6528" i="53" s="1"/>
  <c r="F6797" i="53"/>
  <c r="G6797" i="53" s="1"/>
  <c r="F6187" i="53"/>
  <c r="G6187" i="53" s="1"/>
  <c r="F6866" i="53"/>
  <c r="G6866" i="53" s="1"/>
  <c r="F4894" i="53"/>
  <c r="G4894" i="53" s="1"/>
  <c r="F4756" i="53"/>
  <c r="G4756" i="53" s="1"/>
  <c r="F5029" i="53"/>
  <c r="G5029" i="53" s="1"/>
  <c r="F377" i="53"/>
  <c r="G377" i="53" s="1"/>
  <c r="F737" i="53"/>
  <c r="G737" i="53" s="1"/>
  <c r="F7757" i="53"/>
  <c r="G7757" i="53" s="1"/>
  <c r="F5709" i="53"/>
  <c r="G5709" i="53" s="1"/>
  <c r="F171" i="53"/>
  <c r="G171" i="53" s="1"/>
  <c r="F9123" i="53"/>
  <c r="G9123" i="53" s="1"/>
  <c r="F873" i="53"/>
  <c r="G873" i="53" s="1"/>
  <c r="F452" i="53"/>
  <c r="G452" i="53" s="1"/>
  <c r="F669" i="53"/>
  <c r="G669" i="53" s="1"/>
  <c r="F22772" i="53"/>
  <c r="G22772" i="53" s="1"/>
  <c r="F1216" i="53"/>
  <c r="G1216" i="53" s="1"/>
  <c r="F1011" i="53"/>
  <c r="G1011" i="53" s="1"/>
  <c r="F23827" i="53"/>
  <c r="G23827" i="53" s="1"/>
  <c r="F23193" i="53"/>
  <c r="G23193" i="53" s="1"/>
  <c r="F9831" i="53"/>
  <c r="G9831" i="53" s="1"/>
  <c r="F20623" i="53"/>
  <c r="G20623" i="53" s="1"/>
  <c r="F19515" i="53"/>
  <c r="G19515" i="53" s="1"/>
  <c r="F19959" i="53"/>
  <c r="G19959" i="53" s="1"/>
  <c r="F19588" i="53"/>
  <c r="G19588" i="53" s="1"/>
  <c r="F19369" i="53"/>
  <c r="G19369" i="53" s="1"/>
  <c r="F19442" i="53"/>
  <c r="G19442" i="53" s="1"/>
  <c r="F19663" i="53"/>
  <c r="G19663" i="53" s="1"/>
  <c r="F12476" i="53"/>
  <c r="G12476" i="53" s="1"/>
  <c r="F9760" i="53"/>
  <c r="G9760" i="53" s="1"/>
  <c r="F13765" i="53"/>
  <c r="G13765" i="53" s="1"/>
  <c r="F8917" i="53"/>
  <c r="G8917" i="53" s="1"/>
  <c r="F8781" i="53"/>
  <c r="G8781" i="53" s="1"/>
  <c r="F8437" i="53"/>
  <c r="G8437" i="53" s="1"/>
  <c r="F7964" i="53"/>
  <c r="G7964" i="53" s="1"/>
  <c r="F8850" i="53"/>
  <c r="G8850" i="53" s="1"/>
  <c r="F8644" i="53"/>
  <c r="G8644" i="53" s="1"/>
  <c r="F8573" i="53"/>
  <c r="G8573" i="53" s="1"/>
  <c r="F8507" i="53"/>
  <c r="G8507" i="53" s="1"/>
  <c r="F6192" i="53"/>
  <c r="G6192" i="53" s="1"/>
  <c r="F6871" i="53"/>
  <c r="G6871" i="53" s="1"/>
  <c r="F4899" i="53"/>
  <c r="G4899" i="53" s="1"/>
  <c r="F4761" i="53"/>
  <c r="G4761" i="53" s="1"/>
  <c r="F5034" i="53"/>
  <c r="G5034" i="53" s="1"/>
  <c r="F6124" i="53"/>
  <c r="G6124" i="53" s="1"/>
  <c r="F5647" i="53"/>
  <c r="G5647" i="53" s="1"/>
  <c r="F6733" i="53"/>
  <c r="G6733" i="53" s="1"/>
  <c r="F6533" i="53"/>
  <c r="G6533" i="53" s="1"/>
  <c r="F6802" i="53"/>
  <c r="G6802" i="53" s="1"/>
  <c r="F9128" i="53"/>
  <c r="G9128" i="53" s="1"/>
  <c r="F878" i="53"/>
  <c r="G878" i="53" s="1"/>
  <c r="F457" i="53"/>
  <c r="G457" i="53" s="1"/>
  <c r="F674" i="53"/>
  <c r="G674" i="53" s="1"/>
  <c r="F382" i="53"/>
  <c r="G382" i="53" s="1"/>
  <c r="F742" i="53"/>
  <c r="G742" i="53" s="1"/>
  <c r="F7762" i="53"/>
  <c r="G7762" i="53" s="1"/>
  <c r="F5714" i="53"/>
  <c r="G5714" i="53" s="1"/>
  <c r="F176" i="53"/>
  <c r="G176" i="53" s="1"/>
  <c r="F22777" i="53"/>
  <c r="G22777" i="53" s="1"/>
  <c r="F1016" i="53"/>
  <c r="G1016" i="53" s="1"/>
  <c r="F1221" i="53"/>
  <c r="G1221" i="53" s="1"/>
  <c r="F23832" i="53"/>
  <c r="G23832" i="53" s="1"/>
  <c r="F23198" i="53"/>
  <c r="G23198" i="53" s="1"/>
  <c r="F9836" i="53"/>
  <c r="G9836" i="53" s="1"/>
  <c r="F19593" i="53"/>
  <c r="G19593" i="53" s="1"/>
  <c r="F19374" i="53"/>
  <c r="G19374" i="53" s="1"/>
  <c r="F19520" i="53"/>
  <c r="G19520" i="53" s="1"/>
  <c r="F19447" i="53"/>
  <c r="G19447" i="53" s="1"/>
  <c r="F19668" i="53"/>
  <c r="G19668" i="53" s="1"/>
  <c r="F20628" i="53"/>
  <c r="G20628" i="53" s="1"/>
  <c r="F19964" i="53"/>
  <c r="G19964" i="53" s="1"/>
  <c r="F12481" i="53"/>
  <c r="G12481" i="53" s="1"/>
  <c r="F9765" i="53"/>
  <c r="G9765" i="53" s="1"/>
  <c r="F13770" i="53"/>
  <c r="G13770" i="53" s="1"/>
  <c r="F8916" i="53"/>
  <c r="G8916" i="53" s="1"/>
  <c r="F8849" i="53"/>
  <c r="G8849" i="53" s="1"/>
  <c r="F8643" i="53"/>
  <c r="G8643" i="53" s="1"/>
  <c r="F8572" i="53"/>
  <c r="G8572" i="53" s="1"/>
  <c r="F8506" i="53"/>
  <c r="G8506" i="53" s="1"/>
  <c r="F8780" i="53"/>
  <c r="G8780" i="53" s="1"/>
  <c r="F8436" i="53"/>
  <c r="G8436" i="53" s="1"/>
  <c r="F7963" i="53"/>
  <c r="G7963" i="53" s="1"/>
  <c r="F6123" i="53"/>
  <c r="G6123" i="53" s="1"/>
  <c r="F5646" i="53"/>
  <c r="G5646" i="53" s="1"/>
  <c r="F6732" i="53"/>
  <c r="G6732" i="53" s="1"/>
  <c r="F6532" i="53"/>
  <c r="G6532" i="53" s="1"/>
  <c r="F6801" i="53"/>
  <c r="G6801" i="53" s="1"/>
  <c r="F6191" i="53"/>
  <c r="G6191" i="53" s="1"/>
  <c r="F6870" i="53"/>
  <c r="G6870" i="53" s="1"/>
  <c r="F4898" i="53"/>
  <c r="G4898" i="53" s="1"/>
  <c r="F4760" i="53"/>
  <c r="G4760" i="53" s="1"/>
  <c r="F5033" i="53"/>
  <c r="G5033" i="53" s="1"/>
  <c r="F381" i="53"/>
  <c r="G381" i="53" s="1"/>
  <c r="F741" i="53"/>
  <c r="G741" i="53" s="1"/>
  <c r="F7761" i="53"/>
  <c r="G7761" i="53" s="1"/>
  <c r="F5713" i="53"/>
  <c r="G5713" i="53" s="1"/>
  <c r="F175" i="53"/>
  <c r="G175" i="53" s="1"/>
  <c r="F9127" i="53"/>
  <c r="G9127" i="53" s="1"/>
  <c r="F877" i="53"/>
  <c r="G877" i="53" s="1"/>
  <c r="F456" i="53"/>
  <c r="G456" i="53" s="1"/>
  <c r="F673" i="53"/>
  <c r="G673" i="53" s="1"/>
  <c r="F22776" i="53"/>
  <c r="G22776" i="53" s="1"/>
  <c r="F1220" i="53"/>
  <c r="G1220" i="53" s="1"/>
  <c r="F1015" i="53"/>
  <c r="G1015" i="53" s="1"/>
  <c r="F23831" i="53"/>
  <c r="G23831" i="53" s="1"/>
  <c r="F23197" i="53"/>
  <c r="G23197" i="53" s="1"/>
  <c r="F9835" i="53"/>
  <c r="G9835" i="53" s="1"/>
  <c r="F20627" i="53"/>
  <c r="G20627" i="53" s="1"/>
  <c r="F19963" i="53"/>
  <c r="G19963" i="53" s="1"/>
  <c r="F19592" i="53"/>
  <c r="G19592" i="53" s="1"/>
  <c r="F19519" i="53"/>
  <c r="G19519" i="53" s="1"/>
  <c r="F19373" i="53"/>
  <c r="G19373" i="53" s="1"/>
  <c r="F19446" i="53"/>
  <c r="G19446" i="53" s="1"/>
  <c r="F19667" i="53"/>
  <c r="G19667" i="53" s="1"/>
  <c r="F12480" i="53"/>
  <c r="G12480" i="53" s="1"/>
  <c r="F9764" i="53"/>
  <c r="G9764" i="53" s="1"/>
  <c r="F13769" i="53"/>
  <c r="G13769" i="53" s="1"/>
  <c r="F8922" i="53"/>
  <c r="G8922" i="53" s="1"/>
  <c r="F8855" i="53"/>
  <c r="G8855" i="53" s="1"/>
  <c r="F8649" i="53"/>
  <c r="G8649" i="53" s="1"/>
  <c r="F8578" i="53"/>
  <c r="G8578" i="53" s="1"/>
  <c r="F8512" i="53"/>
  <c r="G8512" i="53" s="1"/>
  <c r="F8786" i="53"/>
  <c r="G8786" i="53" s="1"/>
  <c r="F8442" i="53"/>
  <c r="G8442" i="53" s="1"/>
  <c r="F7969" i="53"/>
  <c r="G7969" i="53" s="1"/>
  <c r="F6129" i="53"/>
  <c r="G6129" i="53" s="1"/>
  <c r="F5652" i="53"/>
  <c r="G5652" i="53" s="1"/>
  <c r="F6738" i="53"/>
  <c r="G6738" i="53" s="1"/>
  <c r="F6538" i="53"/>
  <c r="G6538" i="53" s="1"/>
  <c r="F6807" i="53"/>
  <c r="G6807" i="53" s="1"/>
  <c r="F6197" i="53"/>
  <c r="G6197" i="53" s="1"/>
  <c r="F6876" i="53"/>
  <c r="G6876" i="53" s="1"/>
  <c r="F4904" i="53"/>
  <c r="G4904" i="53" s="1"/>
  <c r="F4766" i="53"/>
  <c r="G4766" i="53" s="1"/>
  <c r="F5039" i="53"/>
  <c r="G5039" i="53" s="1"/>
  <c r="F387" i="53"/>
  <c r="G387" i="53" s="1"/>
  <c r="F747" i="53"/>
  <c r="G747" i="53" s="1"/>
  <c r="F7767" i="53"/>
  <c r="G7767" i="53" s="1"/>
  <c r="F5719" i="53"/>
  <c r="G5719" i="53" s="1"/>
  <c r="F181" i="53"/>
  <c r="G181" i="53" s="1"/>
  <c r="F9133" i="53"/>
  <c r="G9133" i="53" s="1"/>
  <c r="F883" i="53"/>
  <c r="G883" i="53" s="1"/>
  <c r="F462" i="53"/>
  <c r="G462" i="53" s="1"/>
  <c r="F679" i="53"/>
  <c r="G679" i="53" s="1"/>
  <c r="F22782" i="53"/>
  <c r="G22782" i="53" s="1"/>
  <c r="F1226" i="53"/>
  <c r="G1226" i="53" s="1"/>
  <c r="F1021" i="53"/>
  <c r="G1021" i="53" s="1"/>
  <c r="F23837" i="53"/>
  <c r="G23837" i="53" s="1"/>
  <c r="F23203" i="53"/>
  <c r="G23203" i="53" s="1"/>
  <c r="F9841" i="53"/>
  <c r="G9841" i="53" s="1"/>
  <c r="F20633" i="53"/>
  <c r="G20633" i="53" s="1"/>
  <c r="F19525" i="53"/>
  <c r="G19525" i="53" s="1"/>
  <c r="F19969" i="53"/>
  <c r="G19969" i="53" s="1"/>
  <c r="F19598" i="53"/>
  <c r="G19598" i="53" s="1"/>
  <c r="F19379" i="53"/>
  <c r="G19379" i="53" s="1"/>
  <c r="F19452" i="53"/>
  <c r="G19452" i="53" s="1"/>
  <c r="F19673" i="53"/>
  <c r="G19673" i="53" s="1"/>
  <c r="F12486" i="53"/>
  <c r="G12486" i="53" s="1"/>
  <c r="F9770" i="53"/>
  <c r="G9770" i="53" s="1"/>
  <c r="F13775" i="53"/>
  <c r="G13775" i="53" s="1"/>
  <c r="F8914" i="53"/>
  <c r="G8914" i="53" s="1"/>
  <c r="F8847" i="53"/>
  <c r="G8847" i="53" s="1"/>
  <c r="F8641" i="53"/>
  <c r="G8641" i="53" s="1"/>
  <c r="F8570" i="53"/>
  <c r="G8570" i="53" s="1"/>
  <c r="F8504" i="53"/>
  <c r="G8504" i="53" s="1"/>
  <c r="F8778" i="53"/>
  <c r="G8778" i="53" s="1"/>
  <c r="F8434" i="53"/>
  <c r="G8434" i="53" s="1"/>
  <c r="F7961" i="53"/>
  <c r="G7961" i="53" s="1"/>
  <c r="F6121" i="53"/>
  <c r="G6121" i="53" s="1"/>
  <c r="F5644" i="53"/>
  <c r="G5644" i="53" s="1"/>
  <c r="F6730" i="53"/>
  <c r="G6730" i="53" s="1"/>
  <c r="F6530" i="53"/>
  <c r="G6530" i="53" s="1"/>
  <c r="F6799" i="53"/>
  <c r="G6799" i="53" s="1"/>
  <c r="F6189" i="53"/>
  <c r="G6189" i="53" s="1"/>
  <c r="F6868" i="53"/>
  <c r="G6868" i="53" s="1"/>
  <c r="F4896" i="53"/>
  <c r="G4896" i="53" s="1"/>
  <c r="F4758" i="53"/>
  <c r="G4758" i="53" s="1"/>
  <c r="F5031" i="53"/>
  <c r="G5031" i="53" s="1"/>
  <c r="F379" i="53"/>
  <c r="G379" i="53" s="1"/>
  <c r="F739" i="53"/>
  <c r="G739" i="53" s="1"/>
  <c r="F7759" i="53"/>
  <c r="G7759" i="53" s="1"/>
  <c r="F5711" i="53"/>
  <c r="G5711" i="53" s="1"/>
  <c r="F173" i="53"/>
  <c r="G173" i="53" s="1"/>
  <c r="F9125" i="53"/>
  <c r="G9125" i="53" s="1"/>
  <c r="F875" i="53"/>
  <c r="G875" i="53" s="1"/>
  <c r="F454" i="53"/>
  <c r="G454" i="53" s="1"/>
  <c r="F671" i="53"/>
  <c r="G671" i="53" s="1"/>
  <c r="F22774" i="53"/>
  <c r="G22774" i="53" s="1"/>
  <c r="F1218" i="53"/>
  <c r="G1218" i="53" s="1"/>
  <c r="F1013" i="53"/>
  <c r="G1013" i="53" s="1"/>
  <c r="F23829" i="53"/>
  <c r="G23829" i="53" s="1"/>
  <c r="F23195" i="53"/>
  <c r="G23195" i="53" s="1"/>
  <c r="F9833" i="53"/>
  <c r="G9833" i="53" s="1"/>
  <c r="F20625" i="53"/>
  <c r="G20625" i="53" s="1"/>
  <c r="F19517" i="53"/>
  <c r="G19517" i="53" s="1"/>
  <c r="F19961" i="53"/>
  <c r="G19961" i="53" s="1"/>
  <c r="F19590" i="53"/>
  <c r="G19590" i="53" s="1"/>
  <c r="F19371" i="53"/>
  <c r="G19371" i="53" s="1"/>
  <c r="F19444" i="53"/>
  <c r="G19444" i="53" s="1"/>
  <c r="F19665" i="53"/>
  <c r="G19665" i="53" s="1"/>
  <c r="F12478" i="53"/>
  <c r="G12478" i="53" s="1"/>
  <c r="F9762" i="53"/>
  <c r="G9762" i="53" s="1"/>
  <c r="F13767" i="53"/>
  <c r="G13767" i="53" s="1"/>
  <c r="F8920" i="53"/>
  <c r="G8920" i="53" s="1"/>
  <c r="F8853" i="53"/>
  <c r="G8853" i="53" s="1"/>
  <c r="F8647" i="53"/>
  <c r="G8647" i="53" s="1"/>
  <c r="F8576" i="53"/>
  <c r="G8576" i="53" s="1"/>
  <c r="F8510" i="53"/>
  <c r="G8510" i="53" s="1"/>
  <c r="F8784" i="53"/>
  <c r="G8784" i="53" s="1"/>
  <c r="F8440" i="53"/>
  <c r="G8440" i="53" s="1"/>
  <c r="F7967" i="53"/>
  <c r="G7967" i="53" s="1"/>
  <c r="F6127" i="53"/>
  <c r="G6127" i="53" s="1"/>
  <c r="F5650" i="53"/>
  <c r="G5650" i="53" s="1"/>
  <c r="F6736" i="53"/>
  <c r="G6736" i="53" s="1"/>
  <c r="F6536" i="53"/>
  <c r="G6536" i="53" s="1"/>
  <c r="F6805" i="53"/>
  <c r="G6805" i="53" s="1"/>
  <c r="F6195" i="53"/>
  <c r="G6195" i="53" s="1"/>
  <c r="F6874" i="53"/>
  <c r="G6874" i="53" s="1"/>
  <c r="F4902" i="53"/>
  <c r="G4902" i="53" s="1"/>
  <c r="F4764" i="53"/>
  <c r="G4764" i="53" s="1"/>
  <c r="F5037" i="53"/>
  <c r="G5037" i="53" s="1"/>
  <c r="F385" i="53"/>
  <c r="G385" i="53" s="1"/>
  <c r="F745" i="53"/>
  <c r="G745" i="53" s="1"/>
  <c r="F7765" i="53"/>
  <c r="G7765" i="53" s="1"/>
  <c r="F5717" i="53"/>
  <c r="G5717" i="53" s="1"/>
  <c r="F179" i="53"/>
  <c r="G179" i="53" s="1"/>
  <c r="F9131" i="53"/>
  <c r="G9131" i="53" s="1"/>
  <c r="F881" i="53"/>
  <c r="G881" i="53" s="1"/>
  <c r="F460" i="53"/>
  <c r="G460" i="53" s="1"/>
  <c r="F677" i="53"/>
  <c r="G677" i="53" s="1"/>
  <c r="F22780" i="53"/>
  <c r="G22780" i="53" s="1"/>
  <c r="F1224" i="53"/>
  <c r="G1224" i="53" s="1"/>
  <c r="F1019" i="53"/>
  <c r="G1019" i="53" s="1"/>
  <c r="F23835" i="53"/>
  <c r="G23835" i="53" s="1"/>
  <c r="F23201" i="53"/>
  <c r="G23201" i="53" s="1"/>
  <c r="F9839" i="53"/>
  <c r="G9839" i="53" s="1"/>
  <c r="F20631" i="53"/>
  <c r="G20631" i="53" s="1"/>
  <c r="F19523" i="53"/>
  <c r="G19523" i="53" s="1"/>
  <c r="F19967" i="53"/>
  <c r="G19967" i="53" s="1"/>
  <c r="F19596" i="53"/>
  <c r="G19596" i="53" s="1"/>
  <c r="F19377" i="53"/>
  <c r="G19377" i="53" s="1"/>
  <c r="F19450" i="53"/>
  <c r="G19450" i="53" s="1"/>
  <c r="F19671" i="53"/>
  <c r="G19671" i="53" s="1"/>
  <c r="F12484" i="53"/>
  <c r="G12484" i="53" s="1"/>
  <c r="F9768" i="53"/>
  <c r="G9768" i="53" s="1"/>
  <c r="F13773" i="53"/>
  <c r="G13773" i="53" s="1"/>
  <c r="F8919" i="53"/>
  <c r="G8919" i="53" s="1"/>
  <c r="F8783" i="53"/>
  <c r="G8783" i="53" s="1"/>
  <c r="F8439" i="53"/>
  <c r="G8439" i="53" s="1"/>
  <c r="F7966" i="53"/>
  <c r="G7966" i="53" s="1"/>
  <c r="F8852" i="53"/>
  <c r="G8852" i="53" s="1"/>
  <c r="F8646" i="53"/>
  <c r="G8646" i="53" s="1"/>
  <c r="F8575" i="53"/>
  <c r="G8575" i="53" s="1"/>
  <c r="F8509" i="53"/>
  <c r="G8509" i="53" s="1"/>
  <c r="F6194" i="53"/>
  <c r="G6194" i="53" s="1"/>
  <c r="F6873" i="53"/>
  <c r="G6873" i="53" s="1"/>
  <c r="F4901" i="53"/>
  <c r="G4901" i="53" s="1"/>
  <c r="F4763" i="53"/>
  <c r="G4763" i="53" s="1"/>
  <c r="F5036" i="53"/>
  <c r="G5036" i="53" s="1"/>
  <c r="F6126" i="53"/>
  <c r="G6126" i="53" s="1"/>
  <c r="F5649" i="53"/>
  <c r="G5649" i="53" s="1"/>
  <c r="F6735" i="53"/>
  <c r="G6735" i="53" s="1"/>
  <c r="F6535" i="53"/>
  <c r="G6535" i="53" s="1"/>
  <c r="F6804" i="53"/>
  <c r="G6804" i="53" s="1"/>
  <c r="F9130" i="53"/>
  <c r="G9130" i="53" s="1"/>
  <c r="F880" i="53"/>
  <c r="G880" i="53" s="1"/>
  <c r="F459" i="53"/>
  <c r="G459" i="53" s="1"/>
  <c r="F676" i="53"/>
  <c r="G676" i="53" s="1"/>
  <c r="F384" i="53"/>
  <c r="G384" i="53" s="1"/>
  <c r="F744" i="53"/>
  <c r="G744" i="53" s="1"/>
  <c r="F7764" i="53"/>
  <c r="G7764" i="53" s="1"/>
  <c r="F5716" i="53"/>
  <c r="G5716" i="53" s="1"/>
  <c r="F178" i="53"/>
  <c r="G178" i="53" s="1"/>
  <c r="F22779" i="53"/>
  <c r="G22779" i="53" s="1"/>
  <c r="F1018" i="53"/>
  <c r="G1018" i="53" s="1"/>
  <c r="F1223" i="53"/>
  <c r="G1223" i="53" s="1"/>
  <c r="F23834" i="53"/>
  <c r="G23834" i="53" s="1"/>
  <c r="F23200" i="53"/>
  <c r="G23200" i="53" s="1"/>
  <c r="F9838" i="53"/>
  <c r="G9838" i="53" s="1"/>
  <c r="F19595" i="53"/>
  <c r="G19595" i="53" s="1"/>
  <c r="F19376" i="53"/>
  <c r="G19376" i="53" s="1"/>
  <c r="F19449" i="53"/>
  <c r="G19449" i="53" s="1"/>
  <c r="F19522" i="53"/>
  <c r="G19522" i="53" s="1"/>
  <c r="F19670" i="53"/>
  <c r="G19670" i="53" s="1"/>
  <c r="F20630" i="53"/>
  <c r="G20630" i="53" s="1"/>
  <c r="F19966" i="53"/>
  <c r="G19966" i="53" s="1"/>
  <c r="F12483" i="53"/>
  <c r="G12483" i="53" s="1"/>
  <c r="F9767" i="53"/>
  <c r="G9767" i="53" s="1"/>
  <c r="F13772" i="53"/>
  <c r="G13772" i="53" s="1"/>
  <c r="F8911" i="53"/>
  <c r="G8911" i="53" s="1"/>
  <c r="F8775" i="53"/>
  <c r="G8775" i="53" s="1"/>
  <c r="F8431" i="53"/>
  <c r="G8431" i="53" s="1"/>
  <c r="F7958" i="53"/>
  <c r="G7958" i="53" s="1"/>
  <c r="F8844" i="53"/>
  <c r="G8844" i="53" s="1"/>
  <c r="F8638" i="53"/>
  <c r="G8638" i="53" s="1"/>
  <c r="F8567" i="53"/>
  <c r="G8567" i="53" s="1"/>
  <c r="F8501" i="53"/>
  <c r="G8501" i="53" s="1"/>
  <c r="F6186" i="53"/>
  <c r="G6186" i="53" s="1"/>
  <c r="F6865" i="53"/>
  <c r="G6865" i="53" s="1"/>
  <c r="F4893" i="53"/>
  <c r="G4893" i="53" s="1"/>
  <c r="F4755" i="53"/>
  <c r="G4755" i="53" s="1"/>
  <c r="F5028" i="53"/>
  <c r="G5028" i="53" s="1"/>
  <c r="F6118" i="53"/>
  <c r="G6118" i="53" s="1"/>
  <c r="F5641" i="53"/>
  <c r="G5641" i="53" s="1"/>
  <c r="F6727" i="53"/>
  <c r="G6727" i="53" s="1"/>
  <c r="F6527" i="53"/>
  <c r="G6527" i="53" s="1"/>
  <c r="F6796" i="53"/>
  <c r="G6796" i="53" s="1"/>
  <c r="F9122" i="53"/>
  <c r="G9122" i="53" s="1"/>
  <c r="F872" i="53"/>
  <c r="G872" i="53" s="1"/>
  <c r="F451" i="53"/>
  <c r="G451" i="53" s="1"/>
  <c r="F668" i="53"/>
  <c r="G668" i="53" s="1"/>
  <c r="F376" i="53"/>
  <c r="G376" i="53" s="1"/>
  <c r="F736" i="53"/>
  <c r="G736" i="53" s="1"/>
  <c r="F7756" i="53"/>
  <c r="G7756" i="53" s="1"/>
  <c r="F5708" i="53"/>
  <c r="G5708" i="53" s="1"/>
  <c r="F170" i="53"/>
  <c r="G170" i="53" s="1"/>
  <c r="F22771" i="53"/>
  <c r="G22771" i="53" s="1"/>
  <c r="F1010" i="53"/>
  <c r="G1010" i="53" s="1"/>
  <c r="F1215" i="53"/>
  <c r="G1215" i="53" s="1"/>
  <c r="F23826" i="53"/>
  <c r="G23826" i="53" s="1"/>
  <c r="F23192" i="53"/>
  <c r="G23192" i="53" s="1"/>
  <c r="F9830" i="53"/>
  <c r="G9830" i="53" s="1"/>
  <c r="F19587" i="53"/>
  <c r="G19587" i="53" s="1"/>
  <c r="F19368" i="53"/>
  <c r="G19368" i="53" s="1"/>
  <c r="F19441" i="53"/>
  <c r="G19441" i="53" s="1"/>
  <c r="F19514" i="53"/>
  <c r="G19514" i="53" s="1"/>
  <c r="F19662" i="53"/>
  <c r="G19662" i="53" s="1"/>
  <c r="F20622" i="53"/>
  <c r="G20622" i="53" s="1"/>
  <c r="F19958" i="53"/>
  <c r="G19958" i="53" s="1"/>
  <c r="F12475" i="53"/>
  <c r="G12475" i="53" s="1"/>
  <c r="F9759" i="53"/>
  <c r="G9759" i="53" s="1"/>
  <c r="F13764" i="53"/>
  <c r="G13764" i="53" s="1"/>
  <c r="F8923" i="53"/>
  <c r="G8923" i="53" s="1"/>
  <c r="F8787" i="53"/>
  <c r="G8787" i="53" s="1"/>
  <c r="F8443" i="53"/>
  <c r="G8443" i="53" s="1"/>
  <c r="F7970" i="53"/>
  <c r="G7970" i="53" s="1"/>
  <c r="F8856" i="53"/>
  <c r="G8856" i="53" s="1"/>
  <c r="F8650" i="53"/>
  <c r="G8650" i="53" s="1"/>
  <c r="F8579" i="53"/>
  <c r="G8579" i="53" s="1"/>
  <c r="F6198" i="53"/>
  <c r="G6198" i="53" s="1"/>
  <c r="F6877" i="53"/>
  <c r="G6877" i="53" s="1"/>
  <c r="F4905" i="53"/>
  <c r="G4905" i="53" s="1"/>
  <c r="F4767" i="53"/>
  <c r="G4767" i="53" s="1"/>
  <c r="F5040" i="53"/>
  <c r="G5040" i="53" s="1"/>
  <c r="F6130" i="53"/>
  <c r="G6130" i="53" s="1"/>
  <c r="F5653" i="53"/>
  <c r="G5653" i="53" s="1"/>
  <c r="F6739" i="53"/>
  <c r="G6739" i="53" s="1"/>
  <c r="F6539" i="53"/>
  <c r="G6539" i="53" s="1"/>
  <c r="F6808" i="53"/>
  <c r="G6808" i="53" s="1"/>
  <c r="F9134" i="53"/>
  <c r="G9134" i="53" s="1"/>
  <c r="F884" i="53"/>
  <c r="G884" i="53" s="1"/>
  <c r="F463" i="53"/>
  <c r="G463" i="53" s="1"/>
  <c r="F680" i="53"/>
  <c r="G680" i="53" s="1"/>
  <c r="F388" i="53"/>
  <c r="G388" i="53" s="1"/>
  <c r="F748" i="53"/>
  <c r="G748" i="53" s="1"/>
  <c r="F7768" i="53"/>
  <c r="G7768" i="53" s="1"/>
  <c r="F5720" i="53"/>
  <c r="G5720" i="53" s="1"/>
  <c r="F182" i="53"/>
  <c r="G182" i="53" s="1"/>
  <c r="F22783" i="53"/>
  <c r="G22783" i="53" s="1"/>
  <c r="F1022" i="53"/>
  <c r="G1022" i="53" s="1"/>
  <c r="F1227" i="53"/>
  <c r="G1227" i="53" s="1"/>
  <c r="F23838" i="53"/>
  <c r="G23838" i="53" s="1"/>
  <c r="F23204" i="53"/>
  <c r="G23204" i="53" s="1"/>
  <c r="F9842" i="53"/>
  <c r="G9842" i="53" s="1"/>
  <c r="F19599" i="53"/>
  <c r="G19599" i="53" s="1"/>
  <c r="F19380" i="53"/>
  <c r="G19380" i="53" s="1"/>
  <c r="F19453" i="53"/>
  <c r="G19453" i="53" s="1"/>
  <c r="F19674" i="53"/>
  <c r="G19674" i="53" s="1"/>
  <c r="F20634" i="53"/>
  <c r="G20634" i="53" s="1"/>
  <c r="F19970" i="53"/>
  <c r="G19970" i="53" s="1"/>
  <c r="F19526" i="53"/>
  <c r="G19526" i="53" s="1"/>
  <c r="F12487" i="53"/>
  <c r="G12487" i="53" s="1"/>
  <c r="F9771" i="53"/>
  <c r="G9771" i="53" s="1"/>
  <c r="F13776" i="53"/>
  <c r="G13776" i="53" s="1"/>
  <c r="F8921" i="53"/>
  <c r="G8921" i="53" s="1"/>
  <c r="F8785" i="53"/>
  <c r="G8785" i="53" s="1"/>
  <c r="F8441" i="53"/>
  <c r="G8441" i="53" s="1"/>
  <c r="F7968" i="53"/>
  <c r="G7968" i="53" s="1"/>
  <c r="F8854" i="53"/>
  <c r="G8854" i="53" s="1"/>
  <c r="F8648" i="53"/>
  <c r="G8648" i="53" s="1"/>
  <c r="F8577" i="53"/>
  <c r="G8577" i="53" s="1"/>
  <c r="F8511" i="53"/>
  <c r="G8511" i="53" s="1"/>
  <c r="F6196" i="53"/>
  <c r="G6196" i="53" s="1"/>
  <c r="F6875" i="53"/>
  <c r="G6875" i="53" s="1"/>
  <c r="F4903" i="53"/>
  <c r="G4903" i="53" s="1"/>
  <c r="F4765" i="53"/>
  <c r="G4765" i="53" s="1"/>
  <c r="F5038" i="53"/>
  <c r="G5038" i="53" s="1"/>
  <c r="F6128" i="53"/>
  <c r="G6128" i="53" s="1"/>
  <c r="F5651" i="53"/>
  <c r="G5651" i="53" s="1"/>
  <c r="F6737" i="53"/>
  <c r="G6737" i="53" s="1"/>
  <c r="F6537" i="53"/>
  <c r="G6537" i="53" s="1"/>
  <c r="F6806" i="53"/>
  <c r="G6806" i="53" s="1"/>
  <c r="F9132" i="53"/>
  <c r="G9132" i="53" s="1"/>
  <c r="F882" i="53"/>
  <c r="G882" i="53" s="1"/>
  <c r="F461" i="53"/>
  <c r="G461" i="53" s="1"/>
  <c r="F678" i="53"/>
  <c r="G678" i="53" s="1"/>
  <c r="F386" i="53"/>
  <c r="G386" i="53" s="1"/>
  <c r="F746" i="53"/>
  <c r="G746" i="53" s="1"/>
  <c r="F7766" i="53"/>
  <c r="G7766" i="53" s="1"/>
  <c r="F5718" i="53"/>
  <c r="G5718" i="53" s="1"/>
  <c r="F180" i="53"/>
  <c r="G180" i="53" s="1"/>
  <c r="F22781" i="53"/>
  <c r="G22781" i="53" s="1"/>
  <c r="F1020" i="53"/>
  <c r="G1020" i="53" s="1"/>
  <c r="F1225" i="53"/>
  <c r="G1225" i="53" s="1"/>
  <c r="F23836" i="53"/>
  <c r="G23836" i="53" s="1"/>
  <c r="F23202" i="53"/>
  <c r="G23202" i="53" s="1"/>
  <c r="F9840" i="53"/>
  <c r="G9840" i="53" s="1"/>
  <c r="F19597" i="53"/>
  <c r="G19597" i="53" s="1"/>
  <c r="F19378" i="53"/>
  <c r="G19378" i="53" s="1"/>
  <c r="F19451" i="53"/>
  <c r="G19451" i="53" s="1"/>
  <c r="F19672" i="53"/>
  <c r="G19672" i="53" s="1"/>
  <c r="F20632" i="53"/>
  <c r="G20632" i="53" s="1"/>
  <c r="F19524" i="53"/>
  <c r="G19524" i="53" s="1"/>
  <c r="F19968" i="53"/>
  <c r="G19968" i="53" s="1"/>
  <c r="F12485" i="53"/>
  <c r="G12485" i="53" s="1"/>
  <c r="F9769" i="53"/>
  <c r="G9769" i="53" s="1"/>
  <c r="F13774" i="53"/>
  <c r="G13774" i="53" s="1"/>
  <c r="F8913" i="53"/>
  <c r="G8913" i="53" s="1"/>
  <c r="F8777" i="53"/>
  <c r="G8777" i="53" s="1"/>
  <c r="F8433" i="53"/>
  <c r="G8433" i="53" s="1"/>
  <c r="F7960" i="53"/>
  <c r="G7960" i="53" s="1"/>
  <c r="F8846" i="53"/>
  <c r="G8846" i="53" s="1"/>
  <c r="F8640" i="53"/>
  <c r="G8640" i="53" s="1"/>
  <c r="F8569" i="53"/>
  <c r="G8569" i="53" s="1"/>
  <c r="F8503" i="53"/>
  <c r="G8503" i="53" s="1"/>
  <c r="F6188" i="53"/>
  <c r="G6188" i="53" s="1"/>
  <c r="F6867" i="53"/>
  <c r="G6867" i="53" s="1"/>
  <c r="F4895" i="53"/>
  <c r="G4895" i="53" s="1"/>
  <c r="F4757" i="53"/>
  <c r="G4757" i="53" s="1"/>
  <c r="F5030" i="53"/>
  <c r="G5030" i="53" s="1"/>
  <c r="F6120" i="53"/>
  <c r="G6120" i="53" s="1"/>
  <c r="F5643" i="53"/>
  <c r="G5643" i="53" s="1"/>
  <c r="F6729" i="53"/>
  <c r="G6729" i="53" s="1"/>
  <c r="F6529" i="53"/>
  <c r="G6529" i="53" s="1"/>
  <c r="F6798" i="53"/>
  <c r="G6798" i="53" s="1"/>
  <c r="F9124" i="53"/>
  <c r="G9124" i="53" s="1"/>
  <c r="F874" i="53"/>
  <c r="G874" i="53" s="1"/>
  <c r="F453" i="53"/>
  <c r="G453" i="53" s="1"/>
  <c r="F670" i="53"/>
  <c r="G670" i="53" s="1"/>
  <c r="F378" i="53"/>
  <c r="G378" i="53" s="1"/>
  <c r="F738" i="53"/>
  <c r="G738" i="53" s="1"/>
  <c r="F7758" i="53"/>
  <c r="G7758" i="53" s="1"/>
  <c r="F5710" i="53"/>
  <c r="G5710" i="53" s="1"/>
  <c r="F172" i="53"/>
  <c r="G172" i="53" s="1"/>
  <c r="F22773" i="53"/>
  <c r="G22773" i="53" s="1"/>
  <c r="F1012" i="53"/>
  <c r="G1012" i="53" s="1"/>
  <c r="F1217" i="53"/>
  <c r="G1217" i="53" s="1"/>
  <c r="F23828" i="53"/>
  <c r="G23828" i="53" s="1"/>
  <c r="F23194" i="53"/>
  <c r="G23194" i="53" s="1"/>
  <c r="F9832" i="53"/>
  <c r="G9832" i="53" s="1"/>
  <c r="F19589" i="53"/>
  <c r="G19589" i="53" s="1"/>
  <c r="F19370" i="53"/>
  <c r="G19370" i="53" s="1"/>
  <c r="F19443" i="53"/>
  <c r="G19443" i="53" s="1"/>
  <c r="F19664" i="53"/>
  <c r="G19664" i="53" s="1"/>
  <c r="F20624" i="53"/>
  <c r="G20624" i="53" s="1"/>
  <c r="F19516" i="53"/>
  <c r="G19516" i="53" s="1"/>
  <c r="F19960" i="53"/>
  <c r="G19960" i="53" s="1"/>
  <c r="F12477" i="53"/>
  <c r="G12477" i="53" s="1"/>
  <c r="F9761" i="53"/>
  <c r="G9761" i="53" s="1"/>
  <c r="F13766" i="53"/>
  <c r="G13766" i="53" s="1"/>
  <c r="F23068" i="53"/>
  <c r="G23068" i="53" s="1"/>
  <c r="F22569" i="53"/>
  <c r="G22569" i="53" s="1"/>
  <c r="F22002" i="53"/>
  <c r="G22002" i="53" s="1"/>
  <c r="F20416" i="53"/>
  <c r="G20416" i="53" s="1"/>
  <c r="F18156" i="53"/>
  <c r="G18156" i="53" s="1"/>
  <c r="F23139" i="53"/>
  <c r="G23139" i="53" s="1"/>
  <c r="F20558" i="53"/>
  <c r="G20558" i="53" s="1"/>
  <c r="F22356" i="53"/>
  <c r="G22356" i="53" s="1"/>
  <c r="F20924" i="53"/>
  <c r="G20924" i="53" s="1"/>
  <c r="F22284" i="53"/>
  <c r="G22284" i="53" s="1"/>
  <c r="F22212" i="53"/>
  <c r="G22212" i="53" s="1"/>
  <c r="F17941" i="53"/>
  <c r="G17941" i="53" s="1"/>
  <c r="F22711" i="53"/>
  <c r="G22711" i="53" s="1"/>
  <c r="F22427" i="53"/>
  <c r="G22427" i="53" s="1"/>
  <c r="F20342" i="53"/>
  <c r="G20342" i="53" s="1"/>
  <c r="F18864" i="53"/>
  <c r="G18864" i="53" s="1"/>
  <c r="F17799" i="53"/>
  <c r="G17799" i="53" s="1"/>
  <c r="F17232" i="53"/>
  <c r="G17232" i="53" s="1"/>
  <c r="F16953" i="53"/>
  <c r="G16953" i="53" s="1"/>
  <c r="F16389" i="53"/>
  <c r="G16389" i="53" s="1"/>
  <c r="F15982" i="53"/>
  <c r="G15982" i="53" s="1"/>
  <c r="F15559" i="53"/>
  <c r="G15559" i="53" s="1"/>
  <c r="F19010" i="53"/>
  <c r="G19010" i="53" s="1"/>
  <c r="F18791" i="53"/>
  <c r="G18791" i="53" s="1"/>
  <c r="F18086" i="53"/>
  <c r="G18086" i="53" s="1"/>
  <c r="F17661" i="53"/>
  <c r="G17661" i="53" s="1"/>
  <c r="F13704" i="53"/>
  <c r="G13704" i="53" s="1"/>
  <c r="F15843" i="53"/>
  <c r="G15843" i="53" s="1"/>
  <c r="F15631" i="53"/>
  <c r="G15631" i="53" s="1"/>
  <c r="F21287" i="53"/>
  <c r="G21287" i="53" s="1"/>
  <c r="F18936" i="53"/>
  <c r="G18936" i="53" s="1"/>
  <c r="F17729" i="53"/>
  <c r="G17729" i="53" s="1"/>
  <c r="F17021" i="53"/>
  <c r="G17021" i="53" s="1"/>
  <c r="F16883" i="53"/>
  <c r="G16883" i="53" s="1"/>
  <c r="F16050" i="53"/>
  <c r="G16050" i="53" s="1"/>
  <c r="F15703" i="53"/>
  <c r="G15703" i="53" s="1"/>
  <c r="F19229" i="53"/>
  <c r="G19229" i="53" s="1"/>
  <c r="F16324" i="53"/>
  <c r="G16324" i="53" s="1"/>
  <c r="F18651" i="53"/>
  <c r="G18651" i="53" s="1"/>
  <c r="F16116" i="53"/>
  <c r="G16116" i="53" s="1"/>
  <c r="F14599" i="53"/>
  <c r="G14599" i="53" s="1"/>
  <c r="F14726" i="53"/>
  <c r="G14726" i="53" s="1"/>
  <c r="F15910" i="53"/>
  <c r="G15910" i="53" s="1"/>
  <c r="F14536" i="53"/>
  <c r="G14536" i="53" s="1"/>
  <c r="F13417" i="53"/>
  <c r="G13417" i="53" s="1"/>
  <c r="F15004" i="53"/>
  <c r="G15004" i="53" s="1"/>
  <c r="F12913" i="53"/>
  <c r="G12913" i="53" s="1"/>
  <c r="F15068" i="53"/>
  <c r="G15068" i="53" s="1"/>
  <c r="F11876" i="53"/>
  <c r="G11876" i="53" s="1"/>
  <c r="F11741" i="53"/>
  <c r="G11741" i="53" s="1"/>
  <c r="F11550" i="53"/>
  <c r="G11550" i="53" s="1"/>
  <c r="F11420" i="53"/>
  <c r="G11420" i="53" s="1"/>
  <c r="F22275" i="53"/>
  <c r="G22275" i="53" s="1"/>
  <c r="F22203" i="53"/>
  <c r="G22203" i="53" s="1"/>
  <c r="F22702" i="53"/>
  <c r="G22702" i="53" s="1"/>
  <c r="F22418" i="53"/>
  <c r="G22418" i="53" s="1"/>
  <c r="F20333" i="53"/>
  <c r="G20333" i="53" s="1"/>
  <c r="F23059" i="53"/>
  <c r="G23059" i="53" s="1"/>
  <c r="F22560" i="53"/>
  <c r="G22560" i="53" s="1"/>
  <c r="F21993" i="53"/>
  <c r="G21993" i="53" s="1"/>
  <c r="F20407" i="53"/>
  <c r="G20407" i="53" s="1"/>
  <c r="F17932" i="53"/>
  <c r="G17932" i="53" s="1"/>
  <c r="F23130" i="53"/>
  <c r="G23130" i="53" s="1"/>
  <c r="F20549" i="53"/>
  <c r="G20549" i="53" s="1"/>
  <c r="F19220" i="53"/>
  <c r="G19220" i="53" s="1"/>
  <c r="F16315" i="53"/>
  <c r="G16315" i="53" s="1"/>
  <c r="F18642" i="53"/>
  <c r="G18642" i="53" s="1"/>
  <c r="F18855" i="53"/>
  <c r="G18855" i="53" s="1"/>
  <c r="F17790" i="53"/>
  <c r="G17790" i="53" s="1"/>
  <c r="F17223" i="53"/>
  <c r="G17223" i="53" s="1"/>
  <c r="F16944" i="53"/>
  <c r="G16944" i="53" s="1"/>
  <c r="F22347" i="53"/>
  <c r="G22347" i="53" s="1"/>
  <c r="F20915" i="53"/>
  <c r="G20915" i="53" s="1"/>
  <c r="F19001" i="53"/>
  <c r="G19001" i="53" s="1"/>
  <c r="F18782" i="53"/>
  <c r="G18782" i="53" s="1"/>
  <c r="F18077" i="53"/>
  <c r="G18077" i="53" s="1"/>
  <c r="F17652" i="53"/>
  <c r="G17652" i="53" s="1"/>
  <c r="F18147" i="53"/>
  <c r="G18147" i="53" s="1"/>
  <c r="F17720" i="53"/>
  <c r="G17720" i="53" s="1"/>
  <c r="F17012" i="53"/>
  <c r="G17012" i="53" s="1"/>
  <c r="F15622" i="53"/>
  <c r="G15622" i="53" s="1"/>
  <c r="F16380" i="53"/>
  <c r="G16380" i="53" s="1"/>
  <c r="F16041" i="53"/>
  <c r="G16041" i="53" s="1"/>
  <c r="F18927" i="53"/>
  <c r="G18927" i="53" s="1"/>
  <c r="F15973" i="53"/>
  <c r="G15973" i="53" s="1"/>
  <c r="F21278" i="53"/>
  <c r="G21278" i="53" s="1"/>
  <c r="F15694" i="53"/>
  <c r="G15694" i="53" s="1"/>
  <c r="F14590" i="53"/>
  <c r="G14590" i="53" s="1"/>
  <c r="F16874" i="53"/>
  <c r="G16874" i="53" s="1"/>
  <c r="F16107" i="53"/>
  <c r="G16107" i="53" s="1"/>
  <c r="F15550" i="53"/>
  <c r="G15550" i="53" s="1"/>
  <c r="F14717" i="53"/>
  <c r="G14717" i="53" s="1"/>
  <c r="F15834" i="53"/>
  <c r="G15834" i="53" s="1"/>
  <c r="F13695" i="53"/>
  <c r="G13695" i="53" s="1"/>
  <c r="F15901" i="53"/>
  <c r="G15901" i="53" s="1"/>
  <c r="F13408" i="53"/>
  <c r="G13408" i="53" s="1"/>
  <c r="F14527" i="53"/>
  <c r="G14527" i="53" s="1"/>
  <c r="F15059" i="53"/>
  <c r="G15059" i="53" s="1"/>
  <c r="F12904" i="53"/>
  <c r="G12904" i="53" s="1"/>
  <c r="F14995" i="53"/>
  <c r="G14995" i="53" s="1"/>
  <c r="F11732" i="53"/>
  <c r="G11732" i="53" s="1"/>
  <c r="F11867" i="53"/>
  <c r="G11867" i="53" s="1"/>
  <c r="F11541" i="53"/>
  <c r="G11541" i="53" s="1"/>
  <c r="F11411" i="53"/>
  <c r="G11411" i="53" s="1"/>
  <c r="F18154" i="53"/>
  <c r="G18154" i="53" s="1"/>
  <c r="F23137" i="53"/>
  <c r="G23137" i="53" s="1"/>
  <c r="F20556" i="53"/>
  <c r="G20556" i="53" s="1"/>
  <c r="F22354" i="53"/>
  <c r="G22354" i="53" s="1"/>
  <c r="F20922" i="53"/>
  <c r="G20922" i="53" s="1"/>
  <c r="F22282" i="53"/>
  <c r="G22282" i="53" s="1"/>
  <c r="F22210" i="53"/>
  <c r="G22210" i="53" s="1"/>
  <c r="F22709" i="53"/>
  <c r="G22709" i="53" s="1"/>
  <c r="F22425" i="53"/>
  <c r="G22425" i="53" s="1"/>
  <c r="F20340" i="53"/>
  <c r="G20340" i="53" s="1"/>
  <c r="F23066" i="53"/>
  <c r="G23066" i="53" s="1"/>
  <c r="F19008" i="53"/>
  <c r="G19008" i="53" s="1"/>
  <c r="F18789" i="53"/>
  <c r="G18789" i="53" s="1"/>
  <c r="F18084" i="53"/>
  <c r="G18084" i="53" s="1"/>
  <c r="F21285" i="53"/>
  <c r="G21285" i="53" s="1"/>
  <c r="F18934" i="53"/>
  <c r="G18934" i="53" s="1"/>
  <c r="F17727" i="53"/>
  <c r="G17727" i="53" s="1"/>
  <c r="F17019" i="53"/>
  <c r="G17019" i="53" s="1"/>
  <c r="F16881" i="53"/>
  <c r="G16881" i="53" s="1"/>
  <c r="F22567" i="53"/>
  <c r="G22567" i="53" s="1"/>
  <c r="F17939" i="53"/>
  <c r="G17939" i="53" s="1"/>
  <c r="F20414" i="53"/>
  <c r="G20414" i="53" s="1"/>
  <c r="F19227" i="53"/>
  <c r="G19227" i="53" s="1"/>
  <c r="F16322" i="53"/>
  <c r="G16322" i="53" s="1"/>
  <c r="F18649" i="53"/>
  <c r="G18649" i="53" s="1"/>
  <c r="F22000" i="53"/>
  <c r="G22000" i="53" s="1"/>
  <c r="F17797" i="53"/>
  <c r="G17797" i="53" s="1"/>
  <c r="F18862" i="53"/>
  <c r="G18862" i="53" s="1"/>
  <c r="F16114" i="53"/>
  <c r="G16114" i="53" s="1"/>
  <c r="F15557" i="53"/>
  <c r="G15557" i="53" s="1"/>
  <c r="F16951" i="53"/>
  <c r="G16951" i="53" s="1"/>
  <c r="F15841" i="53"/>
  <c r="G15841" i="53" s="1"/>
  <c r="F13702" i="53"/>
  <c r="G13702" i="53" s="1"/>
  <c r="F15908" i="53"/>
  <c r="G15908" i="53" s="1"/>
  <c r="F13415" i="53"/>
  <c r="G13415" i="53" s="1"/>
  <c r="F15629" i="53"/>
  <c r="G15629" i="53" s="1"/>
  <c r="F17230" i="53"/>
  <c r="G17230" i="53" s="1"/>
  <c r="F16048" i="53"/>
  <c r="G16048" i="53" s="1"/>
  <c r="F14534" i="53"/>
  <c r="G14534" i="53" s="1"/>
  <c r="F17659" i="53"/>
  <c r="G17659" i="53" s="1"/>
  <c r="F15980" i="53"/>
  <c r="G15980" i="53" s="1"/>
  <c r="F16387" i="53"/>
  <c r="G16387" i="53" s="1"/>
  <c r="F15701" i="53"/>
  <c r="G15701" i="53" s="1"/>
  <c r="F14597" i="53"/>
  <c r="G14597" i="53" s="1"/>
  <c r="F14724" i="53"/>
  <c r="G14724" i="53" s="1"/>
  <c r="F12911" i="53"/>
  <c r="G12911" i="53" s="1"/>
  <c r="F15002" i="53"/>
  <c r="G15002" i="53" s="1"/>
  <c r="F15066" i="53"/>
  <c r="G15066" i="53" s="1"/>
  <c r="F11548" i="53"/>
  <c r="G11548" i="53" s="1"/>
  <c r="F11418" i="53"/>
  <c r="G11418" i="53" s="1"/>
  <c r="F11739" i="53"/>
  <c r="G11739" i="53" s="1"/>
  <c r="F11874" i="53"/>
  <c r="G11874" i="53" s="1"/>
  <c r="F22355" i="53"/>
  <c r="G22355" i="53" s="1"/>
  <c r="F20923" i="53"/>
  <c r="G20923" i="53" s="1"/>
  <c r="F22283" i="53"/>
  <c r="G22283" i="53" s="1"/>
  <c r="F22211" i="53"/>
  <c r="G22211" i="53" s="1"/>
  <c r="F22710" i="53"/>
  <c r="G22710" i="53" s="1"/>
  <c r="F22426" i="53"/>
  <c r="G22426" i="53" s="1"/>
  <c r="F20341" i="53"/>
  <c r="G20341" i="53" s="1"/>
  <c r="F17940" i="53"/>
  <c r="G17940" i="53" s="1"/>
  <c r="F23067" i="53"/>
  <c r="G23067" i="53" s="1"/>
  <c r="F22568" i="53"/>
  <c r="G22568" i="53" s="1"/>
  <c r="F22001" i="53"/>
  <c r="G22001" i="53" s="1"/>
  <c r="F20415" i="53"/>
  <c r="G20415" i="53" s="1"/>
  <c r="F18155" i="53"/>
  <c r="G18155" i="53" s="1"/>
  <c r="F23138" i="53"/>
  <c r="G23138" i="53" s="1"/>
  <c r="F20557" i="53"/>
  <c r="G20557" i="53" s="1"/>
  <c r="F21286" i="53"/>
  <c r="G21286" i="53" s="1"/>
  <c r="F18935" i="53"/>
  <c r="G18935" i="53" s="1"/>
  <c r="F17728" i="53"/>
  <c r="G17728" i="53" s="1"/>
  <c r="F17020" i="53"/>
  <c r="G17020" i="53" s="1"/>
  <c r="F16882" i="53"/>
  <c r="G16882" i="53" s="1"/>
  <c r="F16049" i="53"/>
  <c r="G16049" i="53" s="1"/>
  <c r="F15702" i="53"/>
  <c r="G15702" i="53" s="1"/>
  <c r="F19228" i="53"/>
  <c r="G19228" i="53" s="1"/>
  <c r="F16323" i="53"/>
  <c r="G16323" i="53" s="1"/>
  <c r="F18650" i="53"/>
  <c r="G18650" i="53" s="1"/>
  <c r="F16115" i="53"/>
  <c r="G16115" i="53" s="1"/>
  <c r="F15909" i="53"/>
  <c r="G15909" i="53" s="1"/>
  <c r="F18863" i="53"/>
  <c r="G18863" i="53" s="1"/>
  <c r="F17798" i="53"/>
  <c r="G17798" i="53" s="1"/>
  <c r="F17231" i="53"/>
  <c r="G17231" i="53" s="1"/>
  <c r="F16952" i="53"/>
  <c r="G16952" i="53" s="1"/>
  <c r="F16388" i="53"/>
  <c r="G16388" i="53" s="1"/>
  <c r="F15981" i="53"/>
  <c r="G15981" i="53" s="1"/>
  <c r="F19009" i="53"/>
  <c r="G19009" i="53" s="1"/>
  <c r="F18790" i="53"/>
  <c r="G18790" i="53" s="1"/>
  <c r="F18085" i="53"/>
  <c r="G18085" i="53" s="1"/>
  <c r="F17660" i="53"/>
  <c r="G17660" i="53" s="1"/>
  <c r="F13703" i="53"/>
  <c r="G13703" i="53" s="1"/>
  <c r="F15630" i="53"/>
  <c r="G15630" i="53" s="1"/>
  <c r="F14535" i="53"/>
  <c r="G14535" i="53" s="1"/>
  <c r="F13416" i="53"/>
  <c r="G13416" i="53" s="1"/>
  <c r="F15558" i="53"/>
  <c r="G15558" i="53" s="1"/>
  <c r="F14598" i="53"/>
  <c r="G14598" i="53" s="1"/>
  <c r="F15842" i="53"/>
  <c r="G15842" i="53" s="1"/>
  <c r="F14725" i="53"/>
  <c r="G14725" i="53" s="1"/>
  <c r="F15067" i="53"/>
  <c r="G15067" i="53" s="1"/>
  <c r="F15003" i="53"/>
  <c r="G15003" i="53" s="1"/>
  <c r="F11549" i="53"/>
  <c r="G11549" i="53" s="1"/>
  <c r="F11419" i="53"/>
  <c r="G11419" i="53" s="1"/>
  <c r="F12912" i="53"/>
  <c r="G12912" i="53" s="1"/>
  <c r="F11740" i="53"/>
  <c r="G11740" i="53" s="1"/>
  <c r="F11875" i="53"/>
  <c r="G11875" i="53" s="1"/>
  <c r="F18152" i="53"/>
  <c r="G18152" i="53" s="1"/>
  <c r="F23135" i="53"/>
  <c r="G23135" i="53" s="1"/>
  <c r="F20554" i="53"/>
  <c r="G20554" i="53" s="1"/>
  <c r="F22352" i="53"/>
  <c r="G22352" i="53" s="1"/>
  <c r="F20920" i="53"/>
  <c r="G20920" i="53" s="1"/>
  <c r="F22280" i="53"/>
  <c r="G22280" i="53" s="1"/>
  <c r="F22208" i="53"/>
  <c r="G22208" i="53" s="1"/>
  <c r="F22707" i="53"/>
  <c r="G22707" i="53" s="1"/>
  <c r="F22423" i="53"/>
  <c r="G22423" i="53" s="1"/>
  <c r="F20338" i="53"/>
  <c r="G20338" i="53" s="1"/>
  <c r="F23064" i="53"/>
  <c r="G23064" i="53" s="1"/>
  <c r="F19006" i="53"/>
  <c r="G19006" i="53" s="1"/>
  <c r="F18787" i="53"/>
  <c r="G18787" i="53" s="1"/>
  <c r="F18082" i="53"/>
  <c r="G18082" i="53" s="1"/>
  <c r="F22565" i="53"/>
  <c r="G22565" i="53" s="1"/>
  <c r="F21283" i="53"/>
  <c r="G21283" i="53" s="1"/>
  <c r="F18932" i="53"/>
  <c r="G18932" i="53" s="1"/>
  <c r="F17725" i="53"/>
  <c r="G17725" i="53" s="1"/>
  <c r="F17017" i="53"/>
  <c r="G17017" i="53" s="1"/>
  <c r="F16879" i="53"/>
  <c r="G16879" i="53" s="1"/>
  <c r="F17937" i="53"/>
  <c r="G17937" i="53" s="1"/>
  <c r="F20412" i="53"/>
  <c r="G20412" i="53" s="1"/>
  <c r="F21998" i="53"/>
  <c r="G21998" i="53" s="1"/>
  <c r="F19225" i="53"/>
  <c r="G19225" i="53" s="1"/>
  <c r="F16320" i="53"/>
  <c r="G16320" i="53" s="1"/>
  <c r="F18647" i="53"/>
  <c r="G18647" i="53" s="1"/>
  <c r="F18860" i="53"/>
  <c r="G18860" i="53" s="1"/>
  <c r="F14722" i="53"/>
  <c r="G14722" i="53" s="1"/>
  <c r="F16949" i="53"/>
  <c r="G16949" i="53" s="1"/>
  <c r="F16112" i="53"/>
  <c r="G16112" i="53" s="1"/>
  <c r="F15555" i="53"/>
  <c r="G15555" i="53" s="1"/>
  <c r="F15839" i="53"/>
  <c r="G15839" i="53" s="1"/>
  <c r="F13700" i="53"/>
  <c r="G13700" i="53" s="1"/>
  <c r="F15906" i="53"/>
  <c r="G15906" i="53" s="1"/>
  <c r="F17228" i="53"/>
  <c r="G17228" i="53" s="1"/>
  <c r="F15627" i="53"/>
  <c r="G15627" i="53" s="1"/>
  <c r="F13413" i="53"/>
  <c r="G13413" i="53" s="1"/>
  <c r="F17657" i="53"/>
  <c r="G17657" i="53" s="1"/>
  <c r="F16046" i="53"/>
  <c r="G16046" i="53" s="1"/>
  <c r="F14532" i="53"/>
  <c r="G14532" i="53" s="1"/>
  <c r="F16385" i="53"/>
  <c r="G16385" i="53" s="1"/>
  <c r="F15978" i="53"/>
  <c r="G15978" i="53" s="1"/>
  <c r="F17795" i="53"/>
  <c r="G17795" i="53" s="1"/>
  <c r="F15699" i="53"/>
  <c r="G15699" i="53" s="1"/>
  <c r="F14595" i="53"/>
  <c r="G14595" i="53" s="1"/>
  <c r="F12909" i="53"/>
  <c r="G12909" i="53" s="1"/>
  <c r="F15000" i="53"/>
  <c r="G15000" i="53" s="1"/>
  <c r="F15064" i="53"/>
  <c r="G15064" i="53" s="1"/>
  <c r="F11546" i="53"/>
  <c r="G11546" i="53" s="1"/>
  <c r="F11416" i="53"/>
  <c r="G11416" i="53" s="1"/>
  <c r="F11737" i="53"/>
  <c r="G11737" i="53" s="1"/>
  <c r="F11872" i="53"/>
  <c r="G11872" i="53" s="1"/>
  <c r="F17935" i="53"/>
  <c r="G17935" i="53" s="1"/>
  <c r="F18150" i="53"/>
  <c r="G18150" i="53" s="1"/>
  <c r="F23133" i="53"/>
  <c r="G23133" i="53" s="1"/>
  <c r="F20552" i="53"/>
  <c r="G20552" i="53" s="1"/>
  <c r="F22350" i="53"/>
  <c r="G22350" i="53" s="1"/>
  <c r="F20918" i="53"/>
  <c r="G20918" i="53" s="1"/>
  <c r="F22278" i="53"/>
  <c r="G22278" i="53" s="1"/>
  <c r="F22206" i="53"/>
  <c r="G22206" i="53" s="1"/>
  <c r="F22705" i="53"/>
  <c r="G22705" i="53" s="1"/>
  <c r="F22421" i="53"/>
  <c r="G22421" i="53" s="1"/>
  <c r="F20336" i="53"/>
  <c r="G20336" i="53" s="1"/>
  <c r="F19004" i="53"/>
  <c r="G19004" i="53" s="1"/>
  <c r="F18785" i="53"/>
  <c r="G18785" i="53" s="1"/>
  <c r="F18080" i="53"/>
  <c r="G18080" i="53" s="1"/>
  <c r="F22563" i="53"/>
  <c r="G22563" i="53" s="1"/>
  <c r="F20410" i="53"/>
  <c r="G20410" i="53" s="1"/>
  <c r="F21281" i="53"/>
  <c r="G21281" i="53" s="1"/>
  <c r="F18930" i="53"/>
  <c r="G18930" i="53" s="1"/>
  <c r="F17723" i="53"/>
  <c r="G17723" i="53" s="1"/>
  <c r="F17015" i="53"/>
  <c r="G17015" i="53" s="1"/>
  <c r="F16877" i="53"/>
  <c r="G16877" i="53" s="1"/>
  <c r="F21996" i="53"/>
  <c r="G21996" i="53" s="1"/>
  <c r="F19223" i="53"/>
  <c r="G19223" i="53" s="1"/>
  <c r="F16318" i="53"/>
  <c r="G16318" i="53" s="1"/>
  <c r="F18645" i="53"/>
  <c r="G18645" i="53" s="1"/>
  <c r="F16947" i="53"/>
  <c r="G16947" i="53" s="1"/>
  <c r="F16110" i="53"/>
  <c r="G16110" i="53" s="1"/>
  <c r="F15553" i="53"/>
  <c r="G15553" i="53" s="1"/>
  <c r="F15837" i="53"/>
  <c r="G15837" i="53" s="1"/>
  <c r="F13411" i="53"/>
  <c r="G13411" i="53" s="1"/>
  <c r="F17226" i="53"/>
  <c r="G17226" i="53" s="1"/>
  <c r="F13698" i="53"/>
  <c r="G13698" i="53" s="1"/>
  <c r="F15904" i="53"/>
  <c r="G15904" i="53" s="1"/>
  <c r="F23062" i="53"/>
  <c r="G23062" i="53" s="1"/>
  <c r="F17655" i="53"/>
  <c r="G17655" i="53" s="1"/>
  <c r="F15625" i="53"/>
  <c r="G15625" i="53" s="1"/>
  <c r="F16383" i="53"/>
  <c r="G16383" i="53" s="1"/>
  <c r="F16044" i="53"/>
  <c r="G16044" i="53" s="1"/>
  <c r="F14530" i="53"/>
  <c r="G14530" i="53" s="1"/>
  <c r="F17793" i="53"/>
  <c r="G17793" i="53" s="1"/>
  <c r="F15976" i="53"/>
  <c r="G15976" i="53" s="1"/>
  <c r="F18858" i="53"/>
  <c r="G18858" i="53" s="1"/>
  <c r="F15697" i="53"/>
  <c r="G15697" i="53" s="1"/>
  <c r="F14593" i="53"/>
  <c r="G14593" i="53" s="1"/>
  <c r="F14720" i="53"/>
  <c r="G14720" i="53" s="1"/>
  <c r="F12907" i="53"/>
  <c r="G12907" i="53" s="1"/>
  <c r="F14998" i="53"/>
  <c r="G14998" i="53" s="1"/>
  <c r="F15062" i="53"/>
  <c r="G15062" i="53" s="1"/>
  <c r="F11544" i="53"/>
  <c r="G11544" i="53" s="1"/>
  <c r="F11414" i="53"/>
  <c r="G11414" i="53" s="1"/>
  <c r="F11735" i="53"/>
  <c r="G11735" i="53" s="1"/>
  <c r="F11870" i="53"/>
  <c r="G11870" i="53" s="1"/>
  <c r="F17933" i="53"/>
  <c r="G17933" i="53" s="1"/>
  <c r="F23131" i="53"/>
  <c r="G23131" i="53" s="1"/>
  <c r="F20550" i="53"/>
  <c r="G20550" i="53" s="1"/>
  <c r="F18148" i="53"/>
  <c r="G18148" i="53" s="1"/>
  <c r="F22348" i="53"/>
  <c r="G22348" i="53" s="1"/>
  <c r="F20916" i="53"/>
  <c r="G20916" i="53" s="1"/>
  <c r="F22276" i="53"/>
  <c r="G22276" i="53" s="1"/>
  <c r="F22204" i="53"/>
  <c r="G22204" i="53" s="1"/>
  <c r="F22703" i="53"/>
  <c r="G22703" i="53" s="1"/>
  <c r="F22419" i="53"/>
  <c r="G22419" i="53" s="1"/>
  <c r="F20334" i="53"/>
  <c r="G20334" i="53" s="1"/>
  <c r="F22561" i="53"/>
  <c r="G22561" i="53" s="1"/>
  <c r="F19002" i="53"/>
  <c r="G19002" i="53" s="1"/>
  <c r="F18783" i="53"/>
  <c r="G18783" i="53" s="1"/>
  <c r="F18078" i="53"/>
  <c r="G18078" i="53" s="1"/>
  <c r="F20408" i="53"/>
  <c r="G20408" i="53" s="1"/>
  <c r="F21994" i="53"/>
  <c r="G21994" i="53" s="1"/>
  <c r="F21279" i="53"/>
  <c r="G21279" i="53" s="1"/>
  <c r="F18928" i="53"/>
  <c r="G18928" i="53" s="1"/>
  <c r="F17721" i="53"/>
  <c r="G17721" i="53" s="1"/>
  <c r="F17013" i="53"/>
  <c r="G17013" i="53" s="1"/>
  <c r="F16875" i="53"/>
  <c r="G16875" i="53" s="1"/>
  <c r="F19221" i="53"/>
  <c r="G19221" i="53" s="1"/>
  <c r="F16316" i="53"/>
  <c r="G16316" i="53" s="1"/>
  <c r="F18643" i="53"/>
  <c r="G18643" i="53" s="1"/>
  <c r="F23060" i="53"/>
  <c r="G23060" i="53" s="1"/>
  <c r="F16108" i="53"/>
  <c r="G16108" i="53" s="1"/>
  <c r="F15551" i="53"/>
  <c r="G15551" i="53" s="1"/>
  <c r="F14718" i="53"/>
  <c r="G14718" i="53" s="1"/>
  <c r="F17224" i="53"/>
  <c r="G17224" i="53" s="1"/>
  <c r="F15835" i="53"/>
  <c r="G15835" i="53" s="1"/>
  <c r="F17653" i="53"/>
  <c r="G17653" i="53" s="1"/>
  <c r="F13696" i="53"/>
  <c r="G13696" i="53" s="1"/>
  <c r="F15902" i="53"/>
  <c r="G15902" i="53" s="1"/>
  <c r="F13409" i="53"/>
  <c r="G13409" i="53" s="1"/>
  <c r="F15623" i="53"/>
  <c r="G15623" i="53" s="1"/>
  <c r="F17791" i="53"/>
  <c r="G17791" i="53" s="1"/>
  <c r="F16381" i="53"/>
  <c r="G16381" i="53" s="1"/>
  <c r="F16042" i="53"/>
  <c r="G16042" i="53" s="1"/>
  <c r="F14528" i="53"/>
  <c r="G14528" i="53" s="1"/>
  <c r="F18856" i="53"/>
  <c r="G18856" i="53" s="1"/>
  <c r="F15974" i="53"/>
  <c r="G15974" i="53" s="1"/>
  <c r="F16945" i="53"/>
  <c r="G16945" i="53" s="1"/>
  <c r="F15695" i="53"/>
  <c r="G15695" i="53" s="1"/>
  <c r="F14591" i="53"/>
  <c r="G14591" i="53" s="1"/>
  <c r="F12905" i="53"/>
  <c r="G12905" i="53" s="1"/>
  <c r="F14996" i="53"/>
  <c r="G14996" i="53" s="1"/>
  <c r="F15060" i="53"/>
  <c r="G15060" i="53" s="1"/>
  <c r="F11542" i="53"/>
  <c r="G11542" i="53" s="1"/>
  <c r="F11412" i="53"/>
  <c r="G11412" i="53" s="1"/>
  <c r="F11733" i="53"/>
  <c r="G11733" i="53" s="1"/>
  <c r="F11868" i="53"/>
  <c r="G11868" i="53" s="1"/>
  <c r="F23129" i="53"/>
  <c r="G23129" i="53" s="1"/>
  <c r="F20548" i="53"/>
  <c r="G20548" i="53" s="1"/>
  <c r="F17931" i="53"/>
  <c r="G17931" i="53" s="1"/>
  <c r="F18146" i="53"/>
  <c r="G18146" i="53" s="1"/>
  <c r="F22346" i="53"/>
  <c r="G22346" i="53" s="1"/>
  <c r="F20914" i="53"/>
  <c r="G20914" i="53" s="1"/>
  <c r="F22274" i="53"/>
  <c r="G22274" i="53" s="1"/>
  <c r="F22202" i="53"/>
  <c r="G22202" i="53" s="1"/>
  <c r="F22701" i="53"/>
  <c r="G22701" i="53" s="1"/>
  <c r="F22417" i="53"/>
  <c r="G22417" i="53" s="1"/>
  <c r="F20332" i="53"/>
  <c r="G20332" i="53" s="1"/>
  <c r="F22559" i="53"/>
  <c r="G22559" i="53" s="1"/>
  <c r="F20406" i="53"/>
  <c r="G20406" i="53" s="1"/>
  <c r="F19000" i="53"/>
  <c r="G19000" i="53" s="1"/>
  <c r="F18781" i="53"/>
  <c r="G18781" i="53" s="1"/>
  <c r="F18076" i="53"/>
  <c r="G18076" i="53" s="1"/>
  <c r="F21992" i="53"/>
  <c r="G21992" i="53" s="1"/>
  <c r="F21277" i="53"/>
  <c r="G21277" i="53" s="1"/>
  <c r="F18926" i="53"/>
  <c r="G18926" i="53" s="1"/>
  <c r="F17719" i="53"/>
  <c r="G17719" i="53" s="1"/>
  <c r="F17011" i="53"/>
  <c r="G17011" i="53" s="1"/>
  <c r="F16873" i="53"/>
  <c r="G16873" i="53" s="1"/>
  <c r="F23058" i="53"/>
  <c r="G23058" i="53" s="1"/>
  <c r="F19219" i="53"/>
  <c r="G19219" i="53" s="1"/>
  <c r="F16314" i="53"/>
  <c r="G16314" i="53" s="1"/>
  <c r="F18641" i="53"/>
  <c r="G18641" i="53" s="1"/>
  <c r="F14716" i="53"/>
  <c r="G14716" i="53" s="1"/>
  <c r="F17222" i="53"/>
  <c r="G17222" i="53" s="1"/>
  <c r="F16106" i="53"/>
  <c r="G16106" i="53" s="1"/>
  <c r="F15549" i="53"/>
  <c r="G15549" i="53" s="1"/>
  <c r="F17651" i="53"/>
  <c r="G17651" i="53" s="1"/>
  <c r="F15833" i="53"/>
  <c r="G15833" i="53" s="1"/>
  <c r="F13694" i="53"/>
  <c r="G13694" i="53" s="1"/>
  <c r="F15900" i="53"/>
  <c r="G15900" i="53" s="1"/>
  <c r="F17789" i="53"/>
  <c r="G17789" i="53" s="1"/>
  <c r="F15621" i="53"/>
  <c r="G15621" i="53" s="1"/>
  <c r="F18854" i="53"/>
  <c r="G18854" i="53" s="1"/>
  <c r="F16379" i="53"/>
  <c r="G16379" i="53" s="1"/>
  <c r="F16040" i="53"/>
  <c r="G16040" i="53" s="1"/>
  <c r="F14526" i="53"/>
  <c r="G14526" i="53" s="1"/>
  <c r="F13407" i="53"/>
  <c r="G13407" i="53" s="1"/>
  <c r="F16943" i="53"/>
  <c r="G16943" i="53" s="1"/>
  <c r="F15972" i="53"/>
  <c r="G15972" i="53" s="1"/>
  <c r="F15693" i="53"/>
  <c r="G15693" i="53" s="1"/>
  <c r="F14589" i="53"/>
  <c r="G14589" i="53" s="1"/>
  <c r="F12903" i="53"/>
  <c r="G12903" i="53" s="1"/>
  <c r="F14994" i="53"/>
  <c r="G14994" i="53" s="1"/>
  <c r="F15058" i="53"/>
  <c r="G15058" i="53" s="1"/>
  <c r="F11540" i="53"/>
  <c r="G11540" i="53" s="1"/>
  <c r="F11410" i="53"/>
  <c r="G11410" i="53" s="1"/>
  <c r="F11731" i="53"/>
  <c r="G11731" i="53" s="1"/>
  <c r="F11866" i="53"/>
  <c r="G11866" i="53" s="1"/>
  <c r="F22281" i="53"/>
  <c r="G22281" i="53" s="1"/>
  <c r="F22209" i="53"/>
  <c r="G22209" i="53" s="1"/>
  <c r="F22708" i="53"/>
  <c r="G22708" i="53" s="1"/>
  <c r="F22424" i="53"/>
  <c r="G22424" i="53" s="1"/>
  <c r="F20339" i="53"/>
  <c r="G20339" i="53" s="1"/>
  <c r="F17938" i="53"/>
  <c r="G17938" i="53" s="1"/>
  <c r="F23065" i="53"/>
  <c r="G23065" i="53" s="1"/>
  <c r="F22566" i="53"/>
  <c r="G22566" i="53" s="1"/>
  <c r="F21999" i="53"/>
  <c r="G21999" i="53" s="1"/>
  <c r="F20413" i="53"/>
  <c r="G20413" i="53" s="1"/>
  <c r="F18153" i="53"/>
  <c r="G18153" i="53" s="1"/>
  <c r="F23136" i="53"/>
  <c r="G23136" i="53" s="1"/>
  <c r="F20555" i="53"/>
  <c r="G20555" i="53" s="1"/>
  <c r="F20921" i="53"/>
  <c r="G20921" i="53" s="1"/>
  <c r="F19226" i="53"/>
  <c r="G19226" i="53" s="1"/>
  <c r="F16321" i="53"/>
  <c r="G16321" i="53" s="1"/>
  <c r="F18648" i="53"/>
  <c r="G18648" i="53" s="1"/>
  <c r="F18861" i="53"/>
  <c r="G18861" i="53" s="1"/>
  <c r="F17796" i="53"/>
  <c r="G17796" i="53" s="1"/>
  <c r="F17229" i="53"/>
  <c r="G17229" i="53" s="1"/>
  <c r="F16950" i="53"/>
  <c r="G16950" i="53" s="1"/>
  <c r="F16386" i="53"/>
  <c r="G16386" i="53" s="1"/>
  <c r="F19007" i="53"/>
  <c r="G19007" i="53" s="1"/>
  <c r="F18788" i="53"/>
  <c r="G18788" i="53" s="1"/>
  <c r="F18083" i="53"/>
  <c r="G18083" i="53" s="1"/>
  <c r="F17658" i="53"/>
  <c r="G17658" i="53" s="1"/>
  <c r="F16880" i="53"/>
  <c r="G16880" i="53" s="1"/>
  <c r="F15628" i="53"/>
  <c r="G15628" i="53" s="1"/>
  <c r="F16047" i="53"/>
  <c r="G16047" i="53" s="1"/>
  <c r="F22353" i="53"/>
  <c r="G22353" i="53" s="1"/>
  <c r="F15979" i="53"/>
  <c r="G15979" i="53" s="1"/>
  <c r="F17726" i="53"/>
  <c r="G17726" i="53" s="1"/>
  <c r="F17018" i="53"/>
  <c r="G17018" i="53" s="1"/>
  <c r="F15700" i="53"/>
  <c r="G15700" i="53" s="1"/>
  <c r="F14596" i="53"/>
  <c r="G14596" i="53" s="1"/>
  <c r="F18933" i="53"/>
  <c r="G18933" i="53" s="1"/>
  <c r="F16113" i="53"/>
  <c r="G16113" i="53" s="1"/>
  <c r="F15556" i="53"/>
  <c r="G15556" i="53" s="1"/>
  <c r="F14723" i="53"/>
  <c r="G14723" i="53" s="1"/>
  <c r="F21284" i="53"/>
  <c r="G21284" i="53" s="1"/>
  <c r="F15840" i="53"/>
  <c r="G15840" i="53" s="1"/>
  <c r="F13701" i="53"/>
  <c r="G13701" i="53" s="1"/>
  <c r="F15907" i="53"/>
  <c r="G15907" i="53" s="1"/>
  <c r="F14533" i="53"/>
  <c r="G14533" i="53" s="1"/>
  <c r="F13414" i="53"/>
  <c r="G13414" i="53" s="1"/>
  <c r="F15065" i="53"/>
  <c r="G15065" i="53" s="1"/>
  <c r="F12910" i="53"/>
  <c r="G12910" i="53" s="1"/>
  <c r="F15001" i="53"/>
  <c r="G15001" i="53" s="1"/>
  <c r="F11738" i="53"/>
  <c r="G11738" i="53" s="1"/>
  <c r="F11873" i="53"/>
  <c r="G11873" i="53" s="1"/>
  <c r="F11547" i="53"/>
  <c r="G11547" i="53" s="1"/>
  <c r="F11417" i="53"/>
  <c r="G11417" i="53" s="1"/>
  <c r="F22273" i="53"/>
  <c r="G22273" i="53" s="1"/>
  <c r="F22201" i="53"/>
  <c r="G22201" i="53" s="1"/>
  <c r="F22700" i="53"/>
  <c r="G22700" i="53" s="1"/>
  <c r="F22416" i="53"/>
  <c r="G22416" i="53" s="1"/>
  <c r="F20331" i="53"/>
  <c r="G20331" i="53" s="1"/>
  <c r="F23057" i="53"/>
  <c r="G23057" i="53" s="1"/>
  <c r="F22558" i="53"/>
  <c r="G22558" i="53" s="1"/>
  <c r="F21991" i="53"/>
  <c r="G21991" i="53" s="1"/>
  <c r="F20405" i="53"/>
  <c r="G20405" i="53" s="1"/>
  <c r="F23128" i="53"/>
  <c r="G23128" i="53" s="1"/>
  <c r="F20547" i="53"/>
  <c r="G20547" i="53" s="1"/>
  <c r="F17930" i="53"/>
  <c r="G17930" i="53" s="1"/>
  <c r="F19218" i="53"/>
  <c r="G19218" i="53" s="1"/>
  <c r="F16313" i="53"/>
  <c r="G16313" i="53" s="1"/>
  <c r="F18640" i="53"/>
  <c r="G18640" i="53" s="1"/>
  <c r="F22345" i="53"/>
  <c r="G22345" i="53" s="1"/>
  <c r="F18853" i="53"/>
  <c r="G18853" i="53" s="1"/>
  <c r="F17788" i="53"/>
  <c r="G17788" i="53" s="1"/>
  <c r="F17221" i="53"/>
  <c r="G17221" i="53" s="1"/>
  <c r="F16942" i="53"/>
  <c r="G16942" i="53" s="1"/>
  <c r="F20913" i="53"/>
  <c r="G20913" i="53" s="1"/>
  <c r="F18145" i="53"/>
  <c r="G18145" i="53" s="1"/>
  <c r="F18999" i="53"/>
  <c r="G18999" i="53" s="1"/>
  <c r="F18780" i="53"/>
  <c r="G18780" i="53" s="1"/>
  <c r="F18075" i="53"/>
  <c r="G18075" i="53" s="1"/>
  <c r="F17650" i="53"/>
  <c r="G17650" i="53" s="1"/>
  <c r="F15620" i="53"/>
  <c r="G15620" i="53" s="1"/>
  <c r="F18925" i="53"/>
  <c r="G18925" i="53" s="1"/>
  <c r="F16378" i="53"/>
  <c r="G16378" i="53" s="1"/>
  <c r="F16039" i="53"/>
  <c r="G16039" i="53" s="1"/>
  <c r="F21276" i="53"/>
  <c r="G21276" i="53" s="1"/>
  <c r="F15971" i="53"/>
  <c r="G15971" i="53" s="1"/>
  <c r="F15692" i="53"/>
  <c r="G15692" i="53" s="1"/>
  <c r="F14588" i="53"/>
  <c r="G14588" i="53" s="1"/>
  <c r="F16872" i="53"/>
  <c r="G16872" i="53" s="1"/>
  <c r="F16105" i="53"/>
  <c r="G16105" i="53" s="1"/>
  <c r="F15548" i="53"/>
  <c r="G15548" i="53" s="1"/>
  <c r="F14715" i="53"/>
  <c r="G14715" i="53" s="1"/>
  <c r="F15832" i="53"/>
  <c r="G15832" i="53" s="1"/>
  <c r="F17718" i="53"/>
  <c r="G17718" i="53" s="1"/>
  <c r="F17010" i="53"/>
  <c r="G17010" i="53" s="1"/>
  <c r="F13693" i="53"/>
  <c r="G13693" i="53" s="1"/>
  <c r="F15899" i="53"/>
  <c r="G15899" i="53" s="1"/>
  <c r="F14525" i="53"/>
  <c r="G14525" i="53" s="1"/>
  <c r="F13406" i="53"/>
  <c r="G13406" i="53" s="1"/>
  <c r="F15057" i="53"/>
  <c r="G15057" i="53" s="1"/>
  <c r="F12902" i="53"/>
  <c r="G12902" i="53" s="1"/>
  <c r="F14993" i="53"/>
  <c r="G14993" i="53" s="1"/>
  <c r="F11730" i="53"/>
  <c r="G11730" i="53" s="1"/>
  <c r="F11865" i="53"/>
  <c r="G11865" i="53" s="1"/>
  <c r="F11539" i="53"/>
  <c r="G11539" i="53" s="1"/>
  <c r="F11409" i="53"/>
  <c r="G11409" i="53" s="1"/>
  <c r="F22279" i="53"/>
  <c r="G22279" i="53" s="1"/>
  <c r="F22207" i="53"/>
  <c r="G22207" i="53" s="1"/>
  <c r="F22706" i="53"/>
  <c r="G22706" i="53" s="1"/>
  <c r="F22422" i="53"/>
  <c r="G22422" i="53" s="1"/>
  <c r="F20337" i="53"/>
  <c r="G20337" i="53" s="1"/>
  <c r="F17936" i="53"/>
  <c r="G17936" i="53" s="1"/>
  <c r="F23063" i="53"/>
  <c r="G23063" i="53" s="1"/>
  <c r="F22564" i="53"/>
  <c r="G22564" i="53" s="1"/>
  <c r="F21997" i="53"/>
  <c r="G21997" i="53" s="1"/>
  <c r="F20411" i="53"/>
  <c r="G20411" i="53" s="1"/>
  <c r="F18151" i="53"/>
  <c r="G18151" i="53" s="1"/>
  <c r="F23134" i="53"/>
  <c r="G23134" i="53" s="1"/>
  <c r="F20553" i="53"/>
  <c r="G20553" i="53" s="1"/>
  <c r="F19224" i="53"/>
  <c r="G19224" i="53" s="1"/>
  <c r="F16319" i="53"/>
  <c r="G16319" i="53" s="1"/>
  <c r="F18646" i="53"/>
  <c r="G18646" i="53" s="1"/>
  <c r="F18859" i="53"/>
  <c r="G18859" i="53" s="1"/>
  <c r="F17794" i="53"/>
  <c r="G17794" i="53" s="1"/>
  <c r="F17227" i="53"/>
  <c r="G17227" i="53" s="1"/>
  <c r="F16948" i="53"/>
  <c r="G16948" i="53" s="1"/>
  <c r="F16384" i="53"/>
  <c r="G16384" i="53" s="1"/>
  <c r="F19005" i="53"/>
  <c r="G19005" i="53" s="1"/>
  <c r="F18786" i="53"/>
  <c r="G18786" i="53" s="1"/>
  <c r="F18081" i="53"/>
  <c r="G18081" i="53" s="1"/>
  <c r="F17656" i="53"/>
  <c r="G17656" i="53" s="1"/>
  <c r="F22351" i="53"/>
  <c r="G22351" i="53" s="1"/>
  <c r="F15626" i="53"/>
  <c r="G15626" i="53" s="1"/>
  <c r="F16045" i="53"/>
  <c r="G16045" i="53" s="1"/>
  <c r="F17724" i="53"/>
  <c r="G17724" i="53" s="1"/>
  <c r="F17016" i="53"/>
  <c r="G17016" i="53" s="1"/>
  <c r="F15977" i="53"/>
  <c r="G15977" i="53" s="1"/>
  <c r="F15698" i="53"/>
  <c r="G15698" i="53" s="1"/>
  <c r="F14594" i="53"/>
  <c r="G14594" i="53" s="1"/>
  <c r="F18931" i="53"/>
  <c r="G18931" i="53" s="1"/>
  <c r="F20919" i="53"/>
  <c r="G20919" i="53" s="1"/>
  <c r="F21282" i="53"/>
  <c r="G21282" i="53" s="1"/>
  <c r="F16111" i="53"/>
  <c r="G16111" i="53" s="1"/>
  <c r="F15554" i="53"/>
  <c r="G15554" i="53" s="1"/>
  <c r="F14721" i="53"/>
  <c r="G14721" i="53" s="1"/>
  <c r="F15838" i="53"/>
  <c r="G15838" i="53" s="1"/>
  <c r="F16878" i="53"/>
  <c r="G16878" i="53" s="1"/>
  <c r="F13699" i="53"/>
  <c r="G13699" i="53" s="1"/>
  <c r="F15905" i="53"/>
  <c r="G15905" i="53" s="1"/>
  <c r="F14531" i="53"/>
  <c r="G14531" i="53" s="1"/>
  <c r="F13412" i="53"/>
  <c r="G13412" i="53" s="1"/>
  <c r="F15063" i="53"/>
  <c r="G15063" i="53" s="1"/>
  <c r="F12908" i="53"/>
  <c r="G12908" i="53" s="1"/>
  <c r="F14999" i="53"/>
  <c r="G14999" i="53" s="1"/>
  <c r="F11736" i="53"/>
  <c r="G11736" i="53" s="1"/>
  <c r="F11871" i="53"/>
  <c r="G11871" i="53" s="1"/>
  <c r="F11545" i="53"/>
  <c r="G11545" i="53" s="1"/>
  <c r="F11415" i="53"/>
  <c r="G11415" i="53" s="1"/>
  <c r="F23127" i="53"/>
  <c r="G23127" i="53" s="1"/>
  <c r="F20546" i="53"/>
  <c r="G20546" i="53" s="1"/>
  <c r="F17929" i="53"/>
  <c r="G17929" i="53" s="1"/>
  <c r="F22344" i="53"/>
  <c r="G22344" i="53" s="1"/>
  <c r="F20912" i="53"/>
  <c r="G20912" i="53" s="1"/>
  <c r="F18144" i="53"/>
  <c r="G18144" i="53" s="1"/>
  <c r="F22272" i="53"/>
  <c r="G22272" i="53" s="1"/>
  <c r="F22200" i="53"/>
  <c r="G22200" i="53" s="1"/>
  <c r="F22699" i="53"/>
  <c r="G22699" i="53" s="1"/>
  <c r="F22415" i="53"/>
  <c r="G22415" i="53" s="1"/>
  <c r="F20330" i="53"/>
  <c r="G20330" i="53" s="1"/>
  <c r="F20404" i="53"/>
  <c r="G20404" i="53" s="1"/>
  <c r="F21990" i="53"/>
  <c r="G21990" i="53" s="1"/>
  <c r="F18998" i="53"/>
  <c r="G18998" i="53" s="1"/>
  <c r="F18779" i="53"/>
  <c r="G18779" i="53" s="1"/>
  <c r="F18074" i="53"/>
  <c r="G18074" i="53" s="1"/>
  <c r="F21275" i="53"/>
  <c r="G21275" i="53" s="1"/>
  <c r="F18924" i="53"/>
  <c r="G18924" i="53" s="1"/>
  <c r="F17717" i="53"/>
  <c r="G17717" i="53" s="1"/>
  <c r="F17009" i="53"/>
  <c r="G17009" i="53" s="1"/>
  <c r="F16871" i="53"/>
  <c r="G16871" i="53" s="1"/>
  <c r="F23056" i="53"/>
  <c r="G23056" i="53" s="1"/>
  <c r="F19217" i="53"/>
  <c r="G19217" i="53" s="1"/>
  <c r="F16312" i="53"/>
  <c r="G16312" i="53" s="1"/>
  <c r="F18639" i="53"/>
  <c r="G18639" i="53" s="1"/>
  <c r="F17220" i="53"/>
  <c r="G17220" i="53" s="1"/>
  <c r="F17649" i="53"/>
  <c r="G17649" i="53" s="1"/>
  <c r="F16104" i="53"/>
  <c r="G16104" i="53" s="1"/>
  <c r="F15547" i="53"/>
  <c r="G15547" i="53" s="1"/>
  <c r="F22557" i="53"/>
  <c r="G22557" i="53" s="1"/>
  <c r="F15831" i="53"/>
  <c r="G15831" i="53" s="1"/>
  <c r="F17787" i="53"/>
  <c r="G17787" i="53" s="1"/>
  <c r="F13692" i="53"/>
  <c r="G13692" i="53" s="1"/>
  <c r="F15898" i="53"/>
  <c r="G15898" i="53" s="1"/>
  <c r="F18852" i="53"/>
  <c r="G18852" i="53" s="1"/>
  <c r="F15619" i="53"/>
  <c r="G15619" i="53" s="1"/>
  <c r="F13405" i="53"/>
  <c r="G13405" i="53" s="1"/>
  <c r="F16941" i="53"/>
  <c r="G16941" i="53" s="1"/>
  <c r="F16377" i="53"/>
  <c r="G16377" i="53" s="1"/>
  <c r="F16038" i="53"/>
  <c r="G16038" i="53" s="1"/>
  <c r="F14524" i="53"/>
  <c r="G14524" i="53" s="1"/>
  <c r="F15970" i="53"/>
  <c r="G15970" i="53" s="1"/>
  <c r="F15691" i="53"/>
  <c r="G15691" i="53" s="1"/>
  <c r="F14587" i="53"/>
  <c r="G14587" i="53" s="1"/>
  <c r="F14714" i="53"/>
  <c r="G14714" i="53" s="1"/>
  <c r="F12901" i="53"/>
  <c r="G12901" i="53" s="1"/>
  <c r="F14992" i="53"/>
  <c r="G14992" i="53" s="1"/>
  <c r="F15056" i="53"/>
  <c r="G15056" i="53" s="1"/>
  <c r="F11538" i="53"/>
  <c r="G11538" i="53" s="1"/>
  <c r="F11408" i="53"/>
  <c r="G11408" i="53" s="1"/>
  <c r="F11729" i="53"/>
  <c r="G11729" i="53" s="1"/>
  <c r="F11864" i="53"/>
  <c r="G11864" i="53" s="1"/>
  <c r="F22277" i="53"/>
  <c r="G22277" i="53" s="1"/>
  <c r="F22205" i="53"/>
  <c r="G22205" i="53" s="1"/>
  <c r="F22704" i="53"/>
  <c r="G22704" i="53" s="1"/>
  <c r="F22420" i="53"/>
  <c r="G22420" i="53" s="1"/>
  <c r="F20335" i="53"/>
  <c r="G20335" i="53" s="1"/>
  <c r="F23061" i="53"/>
  <c r="G23061" i="53" s="1"/>
  <c r="F22562" i="53"/>
  <c r="G22562" i="53" s="1"/>
  <c r="F21995" i="53"/>
  <c r="G21995" i="53" s="1"/>
  <c r="F20409" i="53"/>
  <c r="G20409" i="53" s="1"/>
  <c r="F17934" i="53"/>
  <c r="G17934" i="53" s="1"/>
  <c r="F23132" i="53"/>
  <c r="G23132" i="53" s="1"/>
  <c r="F20551" i="53"/>
  <c r="G20551" i="53" s="1"/>
  <c r="F18149" i="53"/>
  <c r="G18149" i="53" s="1"/>
  <c r="F19222" i="53"/>
  <c r="G19222" i="53" s="1"/>
  <c r="F16317" i="53"/>
  <c r="G16317" i="53" s="1"/>
  <c r="F18644" i="53"/>
  <c r="G18644" i="53" s="1"/>
  <c r="F18857" i="53"/>
  <c r="G18857" i="53" s="1"/>
  <c r="F17792" i="53"/>
  <c r="G17792" i="53" s="1"/>
  <c r="F17225" i="53"/>
  <c r="G17225" i="53" s="1"/>
  <c r="F16946" i="53"/>
  <c r="G16946" i="53" s="1"/>
  <c r="F22349" i="53"/>
  <c r="G22349" i="53" s="1"/>
  <c r="F19003" i="53"/>
  <c r="G19003" i="53" s="1"/>
  <c r="F18784" i="53"/>
  <c r="G18784" i="53" s="1"/>
  <c r="F18079" i="53"/>
  <c r="G18079" i="53" s="1"/>
  <c r="F17654" i="53"/>
  <c r="G17654" i="53" s="1"/>
  <c r="F20917" i="53"/>
  <c r="G20917" i="53" s="1"/>
  <c r="F15624" i="53"/>
  <c r="G15624" i="53" s="1"/>
  <c r="F17722" i="53"/>
  <c r="G17722" i="53" s="1"/>
  <c r="F17014" i="53"/>
  <c r="G17014" i="53" s="1"/>
  <c r="F16382" i="53"/>
  <c r="G16382" i="53" s="1"/>
  <c r="F16043" i="53"/>
  <c r="G16043" i="53" s="1"/>
  <c r="F15975" i="53"/>
  <c r="G15975" i="53" s="1"/>
  <c r="F18929" i="53"/>
  <c r="G18929" i="53" s="1"/>
  <c r="F15696" i="53"/>
  <c r="G15696" i="53" s="1"/>
  <c r="F14592" i="53"/>
  <c r="G14592" i="53" s="1"/>
  <c r="F21280" i="53"/>
  <c r="G21280" i="53" s="1"/>
  <c r="F16109" i="53"/>
  <c r="G16109" i="53" s="1"/>
  <c r="F15552" i="53"/>
  <c r="G15552" i="53" s="1"/>
  <c r="F14719" i="53"/>
  <c r="G14719" i="53" s="1"/>
  <c r="F16876" i="53"/>
  <c r="G16876" i="53" s="1"/>
  <c r="F15836" i="53"/>
  <c r="G15836" i="53" s="1"/>
  <c r="F13697" i="53"/>
  <c r="G13697" i="53" s="1"/>
  <c r="F15903" i="53"/>
  <c r="G15903" i="53" s="1"/>
  <c r="F13410" i="53"/>
  <c r="G13410" i="53" s="1"/>
  <c r="F14529" i="53"/>
  <c r="G14529" i="53" s="1"/>
  <c r="F15061" i="53"/>
  <c r="G15061" i="53" s="1"/>
  <c r="F12906" i="53"/>
  <c r="G12906" i="53" s="1"/>
  <c r="F14997" i="53"/>
  <c r="G14997" i="53" s="1"/>
  <c r="F11734" i="53"/>
  <c r="G11734" i="53" s="1"/>
  <c r="F11869" i="53"/>
  <c r="G11869" i="53" s="1"/>
  <c r="F11543" i="53"/>
  <c r="G11543" i="53" s="1"/>
  <c r="F11413" i="53"/>
  <c r="G11413" i="53" s="1"/>
  <c r="C3" i="55"/>
  <c r="F13951" i="53" s="1"/>
  <c r="G13951" i="53" s="1"/>
  <c r="C4" i="55"/>
  <c r="F13950" i="53" s="1"/>
  <c r="G13950" i="53" s="1"/>
  <c r="C5" i="55"/>
  <c r="C6" i="55"/>
  <c r="C7" i="55"/>
  <c r="C9" i="55"/>
  <c r="C10" i="55"/>
  <c r="C11" i="55"/>
  <c r="F13948" i="53" s="1"/>
  <c r="G13948" i="53" s="1"/>
  <c r="C12" i="55"/>
  <c r="C13" i="55"/>
  <c r="C16" i="55"/>
  <c r="C17" i="55"/>
  <c r="C18" i="55"/>
  <c r="F3895" i="53" s="1"/>
  <c r="G3895" i="53" s="1"/>
  <c r="G3897" i="53" s="1"/>
  <c r="G3945" i="53" s="1"/>
  <c r="C19" i="55"/>
  <c r="C20" i="55"/>
  <c r="C21" i="55"/>
  <c r="C22" i="55"/>
  <c r="F10983" i="53" s="1"/>
  <c r="G10983" i="53" s="1"/>
  <c r="G10985" i="53" s="1"/>
  <c r="G11032" i="53" s="1"/>
  <c r="C23" i="55"/>
  <c r="F11115" i="53" s="1"/>
  <c r="G11115" i="53" s="1"/>
  <c r="G11117" i="53" s="1"/>
  <c r="G11166" i="53" s="1"/>
  <c r="C24" i="55"/>
  <c r="F11182" i="53" s="1"/>
  <c r="G11182" i="53" s="1"/>
  <c r="G11184" i="53" s="1"/>
  <c r="G11233" i="53" s="1"/>
  <c r="C25" i="55"/>
  <c r="C26" i="55"/>
  <c r="F11315" i="53" s="1"/>
  <c r="G11315" i="53" s="1"/>
  <c r="G11317" i="53" s="1"/>
  <c r="G11365" i="53" s="1"/>
  <c r="C27" i="55"/>
  <c r="F11902" i="53" s="1"/>
  <c r="G11902" i="53" s="1"/>
  <c r="G11903" i="53" s="1"/>
  <c r="G11952" i="53" s="1"/>
  <c r="C28" i="55"/>
  <c r="F12035" i="53" s="1"/>
  <c r="G12035" i="53" s="1"/>
  <c r="G12038" i="53" s="1"/>
  <c r="G12087" i="53" s="1"/>
  <c r="C29" i="55"/>
  <c r="F12103" i="53" s="1"/>
  <c r="G12103" i="53" s="1"/>
  <c r="G12105" i="53" s="1"/>
  <c r="G12154" i="53" s="1"/>
  <c r="C30" i="55"/>
  <c r="F12170" i="53" s="1"/>
  <c r="G12170" i="53" s="1"/>
  <c r="G12173" i="53" s="1"/>
  <c r="G12222" i="53" s="1"/>
  <c r="C31" i="55"/>
  <c r="F12238" i="53" s="1"/>
  <c r="G12238" i="53" s="1"/>
  <c r="G12241" i="53" s="1"/>
  <c r="G12290" i="53" s="1"/>
  <c r="C32" i="55"/>
  <c r="C33" i="55"/>
  <c r="F12447" i="53"/>
  <c r="G12447" i="53" s="1"/>
  <c r="C34" i="55"/>
  <c r="C35" i="55"/>
  <c r="C36" i="55"/>
  <c r="F12377" i="53" s="1"/>
  <c r="G12377" i="53" s="1"/>
  <c r="C37" i="55"/>
  <c r="F22031" i="53" s="1"/>
  <c r="G22031" i="53" s="1"/>
  <c r="C38" i="55"/>
  <c r="F12376" i="53" s="1"/>
  <c r="G12376" i="53" s="1"/>
  <c r="C39" i="55"/>
  <c r="F12514" i="53" s="1"/>
  <c r="G12514" i="53" s="1"/>
  <c r="G12518" i="53" s="1"/>
  <c r="G12567" i="53" s="1"/>
  <c r="C40" i="55"/>
  <c r="F12583" i="53" s="1"/>
  <c r="G12583" i="53" s="1"/>
  <c r="G12586" i="53" s="1"/>
  <c r="G12635" i="53" s="1"/>
  <c r="C41" i="55"/>
  <c r="C42" i="55"/>
  <c r="C43" i="55"/>
  <c r="F13232" i="53" s="1"/>
  <c r="G13232" i="53" s="1"/>
  <c r="G13239" i="53" s="1"/>
  <c r="G13287" i="53" s="1"/>
  <c r="J293" i="1" s="1"/>
  <c r="C44" i="55"/>
  <c r="C45" i="55"/>
  <c r="C46" i="55"/>
  <c r="F14225" i="53" s="1"/>
  <c r="G14225" i="53" s="1"/>
  <c r="G14226" i="53" s="1"/>
  <c r="G14275" i="53" s="1"/>
  <c r="C47" i="55"/>
  <c r="F14291" i="53" s="1"/>
  <c r="G14291" i="53" s="1"/>
  <c r="G14293" i="53" s="1"/>
  <c r="G14342" i="53" s="1"/>
  <c r="C48" i="55"/>
  <c r="F14358" i="53" s="1"/>
  <c r="G14358" i="53" s="1"/>
  <c r="G14361" i="53" s="1"/>
  <c r="G14410" i="53" s="1"/>
  <c r="C49" i="55"/>
  <c r="C50" i="55"/>
  <c r="F14754" i="53" s="1"/>
  <c r="G14754" i="53" s="1"/>
  <c r="G14756" i="53" s="1"/>
  <c r="G14805" i="53" s="1"/>
  <c r="C51" i="55"/>
  <c r="F14821" i="53" s="1"/>
  <c r="G14821" i="53" s="1"/>
  <c r="G14824" i="53" s="1"/>
  <c r="G14873" i="53" s="1"/>
  <c r="C52" i="55"/>
  <c r="F14889" i="53" s="1"/>
  <c r="G14889" i="53" s="1"/>
  <c r="G14896" i="53" s="1"/>
  <c r="G14945" i="53" s="1"/>
  <c r="C54" i="55"/>
  <c r="C61" i="55"/>
  <c r="F15305" i="53" s="1"/>
  <c r="G15305" i="53" s="1"/>
  <c r="G15310" i="53" s="1"/>
  <c r="G15358" i="53" s="1"/>
  <c r="C62" i="55"/>
  <c r="F9588" i="53" s="1"/>
  <c r="G9588" i="53" s="1"/>
  <c r="C63" i="55"/>
  <c r="C64" i="55"/>
  <c r="C65" i="55"/>
  <c r="C66" i="55"/>
  <c r="C67" i="55"/>
  <c r="C68" i="55"/>
  <c r="C69" i="55"/>
  <c r="F501" i="53" s="1"/>
  <c r="G501" i="53" s="1"/>
  <c r="C70" i="55"/>
  <c r="C71" i="55"/>
  <c r="C72" i="55"/>
  <c r="F13447" i="53" s="1"/>
  <c r="G13447" i="53" s="1"/>
  <c r="C73" i="55"/>
  <c r="C74" i="55"/>
  <c r="C75" i="55"/>
  <c r="C76" i="55"/>
  <c r="C77" i="55"/>
  <c r="C78" i="55"/>
  <c r="C79" i="55"/>
  <c r="C80" i="55"/>
  <c r="C81" i="55"/>
  <c r="C82" i="55"/>
  <c r="C83" i="55"/>
  <c r="C84" i="55"/>
  <c r="C85" i="55"/>
  <c r="C86" i="55"/>
  <c r="C87" i="55"/>
  <c r="F3042" i="53" s="1"/>
  <c r="G3042" i="53" s="1"/>
  <c r="C88" i="55"/>
  <c r="C89" i="55"/>
  <c r="C90" i="55"/>
  <c r="F572" i="53" s="1"/>
  <c r="G572" i="53" s="1"/>
  <c r="C91" i="55"/>
  <c r="C92" i="55"/>
  <c r="C93" i="55"/>
  <c r="C94" i="55"/>
  <c r="C95" i="55"/>
  <c r="C96" i="55"/>
  <c r="C97" i="55"/>
  <c r="C98" i="55"/>
  <c r="C99" i="55"/>
  <c r="F11968" i="53" s="1"/>
  <c r="G11968" i="53" s="1"/>
  <c r="G11970" i="53" s="1"/>
  <c r="G12019" i="53" s="1"/>
  <c r="J218" i="1" s="1"/>
  <c r="C100" i="55"/>
  <c r="C101" i="55"/>
  <c r="F493" i="53" s="1"/>
  <c r="G493" i="53" s="1"/>
  <c r="C102" i="55"/>
  <c r="F494" i="53" s="1"/>
  <c r="G494" i="53" s="1"/>
  <c r="C103" i="55"/>
  <c r="F495" i="53" s="1"/>
  <c r="G495" i="53" s="1"/>
  <c r="C104" i="55"/>
  <c r="F496" i="53" s="1"/>
  <c r="G496" i="53" s="1"/>
  <c r="C105" i="55"/>
  <c r="C106" i="55"/>
  <c r="F498" i="53" s="1"/>
  <c r="G498" i="53" s="1"/>
  <c r="C107" i="55"/>
  <c r="C108" i="55"/>
  <c r="F500" i="53" s="1"/>
  <c r="G500" i="53" s="1"/>
  <c r="C109" i="55"/>
  <c r="C110" i="55"/>
  <c r="C111" i="55"/>
  <c r="F502" i="53" s="1"/>
  <c r="G502" i="53" s="1"/>
  <c r="C112" i="55"/>
  <c r="C113" i="55"/>
  <c r="C114" i="55"/>
  <c r="C115" i="55"/>
  <c r="C116" i="55"/>
  <c r="C117" i="55"/>
  <c r="C118" i="55"/>
  <c r="C119" i="55"/>
  <c r="C120" i="55"/>
  <c r="C121" i="55"/>
  <c r="C122" i="55"/>
  <c r="C123" i="55"/>
  <c r="C124" i="55"/>
  <c r="C125" i="55"/>
  <c r="F17828" i="53" s="1"/>
  <c r="G17828" i="53" s="1"/>
  <c r="C126" i="55"/>
  <c r="C127" i="55"/>
  <c r="C128" i="55"/>
  <c r="C129" i="55"/>
  <c r="F577" i="53" s="1"/>
  <c r="G577" i="53" s="1"/>
  <c r="C130" i="55"/>
  <c r="C131" i="55"/>
  <c r="C132" i="55"/>
  <c r="C133" i="55"/>
  <c r="G21391" i="53" s="1"/>
  <c r="G21439" i="53" s="1"/>
  <c r="C134" i="55"/>
  <c r="C135" i="55"/>
  <c r="F1609" i="53" s="1"/>
  <c r="G1609" i="53" s="1"/>
  <c r="C136" i="55"/>
  <c r="C137" i="55"/>
  <c r="C138" i="55"/>
  <c r="C139" i="55"/>
  <c r="C140" i="55"/>
  <c r="C141" i="55"/>
  <c r="C142" i="55"/>
  <c r="F18752" i="53" s="1"/>
  <c r="G18752" i="53" s="1"/>
  <c r="C143" i="55"/>
  <c r="C144" i="55"/>
  <c r="C146" i="55"/>
  <c r="F19408" i="53" s="1"/>
  <c r="G19408" i="53" s="1"/>
  <c r="C147" i="55"/>
  <c r="F20808" i="53" s="1"/>
  <c r="G20808" i="53" s="1"/>
  <c r="G20816" i="53" s="1"/>
  <c r="G20864" i="53" s="1"/>
  <c r="C148" i="55"/>
  <c r="C149" i="55"/>
  <c r="C150" i="55"/>
  <c r="F18754" i="53" s="1"/>
  <c r="G18754" i="53" s="1"/>
  <c r="C151" i="55"/>
  <c r="C152" i="55"/>
  <c r="F19481" i="53" s="1"/>
  <c r="G19481" i="53" s="1"/>
  <c r="C153" i="55"/>
  <c r="F19554" i="53" s="1"/>
  <c r="G19554" i="53" s="1"/>
  <c r="C154" i="55"/>
  <c r="C155" i="55"/>
  <c r="F23522" i="53" s="1"/>
  <c r="G23522" i="53" s="1"/>
  <c r="C156" i="55"/>
  <c r="F18751" i="53" s="1"/>
  <c r="G18751" i="53" s="1"/>
  <c r="C157" i="55"/>
  <c r="C158" i="55"/>
  <c r="F15442" i="53" s="1"/>
  <c r="G15442" i="53" s="1"/>
  <c r="C159" i="55"/>
  <c r="C160" i="55"/>
  <c r="F20737" i="53" s="1"/>
  <c r="G20737" i="53" s="1"/>
  <c r="C161" i="55"/>
  <c r="F20148" i="53" s="1"/>
  <c r="G20148" i="53" s="1"/>
  <c r="C162" i="55"/>
  <c r="C163" i="55"/>
  <c r="C164" i="55"/>
  <c r="F22455" i="53" s="1"/>
  <c r="G22455" i="53" s="1"/>
  <c r="G22461" i="53" s="1"/>
  <c r="G22510" i="53" s="1"/>
  <c r="C165" i="55"/>
  <c r="C166" i="55"/>
  <c r="F22953" i="53" s="1"/>
  <c r="G22953" i="53" s="1"/>
  <c r="G22959" i="53" s="1"/>
  <c r="G23008" i="53" s="1"/>
  <c r="C167" i="55"/>
  <c r="C168" i="55"/>
  <c r="C169" i="55"/>
  <c r="C170" i="55"/>
  <c r="C171" i="55"/>
  <c r="C172" i="55"/>
  <c r="F23167" i="53" s="1"/>
  <c r="G23167" i="53" s="1"/>
  <c r="G23168" i="53" s="1"/>
  <c r="C173" i="55"/>
  <c r="C174" i="55"/>
  <c r="C175" i="55"/>
  <c r="C176" i="55"/>
  <c r="C177" i="55"/>
  <c r="F571" i="53" s="1"/>
  <c r="G571" i="53" s="1"/>
  <c r="C178" i="55"/>
  <c r="C179" i="55"/>
  <c r="C180" i="55"/>
  <c r="C181" i="55"/>
  <c r="F573" i="53" s="1"/>
  <c r="G573" i="53" s="1"/>
  <c r="C182" i="55"/>
  <c r="F574" i="53" s="1"/>
  <c r="G574" i="53" s="1"/>
  <c r="C183" i="55"/>
  <c r="C184" i="55"/>
  <c r="C185" i="55"/>
  <c r="F21320" i="53" s="1"/>
  <c r="G21320" i="53" s="1"/>
  <c r="C186" i="55"/>
  <c r="F17120" i="53" s="1"/>
  <c r="G17120" i="53" s="1"/>
  <c r="G17124" i="53" s="1"/>
  <c r="G17172" i="53" s="1"/>
  <c r="J336" i="1" s="1"/>
  <c r="C187" i="55"/>
  <c r="C188" i="55"/>
  <c r="C189" i="55"/>
  <c r="F504" i="53" s="1"/>
  <c r="G504" i="53" s="1"/>
  <c r="C2" i="55"/>
  <c r="F13949" i="53" s="1"/>
  <c r="G13949" i="53" s="1"/>
  <c r="A21960" i="53"/>
  <c r="A21959" i="53"/>
  <c r="A21957" i="53"/>
  <c r="A18045" i="53"/>
  <c r="B18045" i="53" s="1"/>
  <c r="A18043" i="53"/>
  <c r="D18043" i="53" s="1"/>
  <c r="A18042" i="53"/>
  <c r="D18042" i="53" s="1"/>
  <c r="B18038" i="53"/>
  <c r="A21248" i="53"/>
  <c r="A21246" i="53"/>
  <c r="B21246" i="53" s="1"/>
  <c r="G12570" i="53" l="1"/>
  <c r="G12571" i="53"/>
  <c r="G12575" i="53" s="1"/>
  <c r="G12569" i="53"/>
  <c r="G17174" i="53"/>
  <c r="G17175" i="53"/>
  <c r="G17176" i="53"/>
  <c r="G17180" i="53" s="1"/>
  <c r="J271" i="1"/>
  <c r="J215" i="1"/>
  <c r="F21746" i="53"/>
  <c r="G21746" i="53" s="1"/>
  <c r="F13450" i="53"/>
  <c r="G13450" i="53" s="1"/>
  <c r="F21745" i="53"/>
  <c r="G21745" i="53" s="1"/>
  <c r="F13449" i="53"/>
  <c r="G13449" i="53" s="1"/>
  <c r="F13943" i="53"/>
  <c r="G13943" i="53" s="1"/>
  <c r="F13804" i="53"/>
  <c r="G13804" i="53" s="1"/>
  <c r="F10500" i="53"/>
  <c r="G10500" i="53" s="1"/>
  <c r="F21744" i="53"/>
  <c r="G21744" i="53" s="1"/>
  <c r="F13448" i="53"/>
  <c r="G13448" i="53" s="1"/>
  <c r="F13808" i="53"/>
  <c r="G13808" i="53" s="1"/>
  <c r="F10504" i="53"/>
  <c r="G10504" i="53" s="1"/>
  <c r="F13947" i="53"/>
  <c r="G13947" i="53" s="1"/>
  <c r="F13807" i="53"/>
  <c r="G13807" i="53" s="1"/>
  <c r="F13946" i="53"/>
  <c r="G13946" i="53" s="1"/>
  <c r="F10503" i="53"/>
  <c r="G10503" i="53" s="1"/>
  <c r="F21742" i="53"/>
  <c r="G21742" i="53" s="1"/>
  <c r="F13446" i="53"/>
  <c r="G13446" i="53" s="1"/>
  <c r="F13945" i="53"/>
  <c r="G13945" i="53" s="1"/>
  <c r="F13806" i="53"/>
  <c r="G13806" i="53" s="1"/>
  <c r="F10502" i="53"/>
  <c r="G10502" i="53" s="1"/>
  <c r="F6905" i="53"/>
  <c r="G6905" i="53" s="1"/>
  <c r="G6910" i="53" s="1"/>
  <c r="G6958" i="53" s="1"/>
  <c r="J131" i="1" s="1"/>
  <c r="N131" i="1" s="1"/>
  <c r="F13445" i="53"/>
  <c r="G13445" i="53" s="1"/>
  <c r="F10501" i="53"/>
  <c r="G10501" i="53" s="1"/>
  <c r="F13944" i="53"/>
  <c r="G13944" i="53" s="1"/>
  <c r="F13805" i="53"/>
  <c r="G13805" i="53" s="1"/>
  <c r="G15360" i="53"/>
  <c r="G15362" i="53"/>
  <c r="G15366" i="53" s="1"/>
  <c r="G15361" i="53"/>
  <c r="G3949" i="53"/>
  <c r="G3953" i="53" s="1"/>
  <c r="G3948" i="53"/>
  <c r="J78" i="1"/>
  <c r="G3947" i="53"/>
  <c r="F9587" i="53"/>
  <c r="G9587" i="53" s="1"/>
  <c r="F3536" i="53"/>
  <c r="G3536" i="53" s="1"/>
  <c r="G3544" i="53" s="1"/>
  <c r="G3592" i="53" s="1"/>
  <c r="J71" i="1" s="1"/>
  <c r="F8679" i="53"/>
  <c r="G8679" i="53" s="1"/>
  <c r="G8681" i="53" s="1"/>
  <c r="G8729" i="53" s="1"/>
  <c r="J161" i="1" s="1"/>
  <c r="F985" i="53"/>
  <c r="G985" i="53" s="1"/>
  <c r="G986" i="53" s="1"/>
  <c r="F6023" i="53"/>
  <c r="G6023" i="53" s="1"/>
  <c r="G6026" i="53" s="1"/>
  <c r="G6074" i="53" s="1"/>
  <c r="F5955" i="53"/>
  <c r="G5955" i="53" s="1"/>
  <c r="G5956" i="53" s="1"/>
  <c r="G6004" i="53" s="1"/>
  <c r="F7520" i="53"/>
  <c r="G7520" i="53" s="1"/>
  <c r="G7523" i="53" s="1"/>
  <c r="G7571" i="53" s="1"/>
  <c r="F1053" i="53"/>
  <c r="G1053" i="53" s="1"/>
  <c r="G1054" i="53" s="1"/>
  <c r="F1121" i="53"/>
  <c r="G1121" i="53" s="1"/>
  <c r="G1122" i="53" s="1"/>
  <c r="G1170" i="53" s="1"/>
  <c r="F1610" i="53"/>
  <c r="G1610" i="53" s="1"/>
  <c r="F1748" i="53"/>
  <c r="G1748" i="53" s="1"/>
  <c r="F1679" i="53"/>
  <c r="G1679" i="53" s="1"/>
  <c r="G1680" i="53" s="1"/>
  <c r="G1728" i="53" s="1"/>
  <c r="J34" i="1" s="1"/>
  <c r="F491" i="53"/>
  <c r="G491" i="53" s="1"/>
  <c r="F22030" i="53"/>
  <c r="G22030" i="53" s="1"/>
  <c r="F21244" i="53"/>
  <c r="G21244" i="53" s="1"/>
  <c r="F575" i="53"/>
  <c r="G575" i="53" s="1"/>
  <c r="F21245" i="53"/>
  <c r="G21245" i="53" s="1"/>
  <c r="F576" i="53"/>
  <c r="G576" i="53" s="1"/>
  <c r="F21741" i="53"/>
  <c r="G21741" i="53" s="1"/>
  <c r="F20586" i="53"/>
  <c r="G20586" i="53" s="1"/>
  <c r="F20147" i="53"/>
  <c r="G20147" i="53" s="1"/>
  <c r="F20223" i="53"/>
  <c r="G20223" i="53" s="1"/>
  <c r="F20145" i="53"/>
  <c r="G20145" i="53" s="1"/>
  <c r="F15445" i="53"/>
  <c r="G15445" i="53" s="1"/>
  <c r="G15453" i="53" s="1"/>
  <c r="G15500" i="53" s="1"/>
  <c r="F20444" i="53"/>
  <c r="G20444" i="53" s="1"/>
  <c r="F13303" i="53"/>
  <c r="G13303" i="53" s="1"/>
  <c r="G13310" i="53" s="1"/>
  <c r="G13358" i="53" s="1"/>
  <c r="F18750" i="53"/>
  <c r="G18750" i="53" s="1"/>
  <c r="F18465" i="53"/>
  <c r="G18465" i="53" s="1"/>
  <c r="F17830" i="53"/>
  <c r="G17830" i="53" s="1"/>
  <c r="F22028" i="53"/>
  <c r="G22028" i="53" s="1"/>
  <c r="F21314" i="53"/>
  <c r="G21314" i="53" s="1"/>
  <c r="F22032" i="53"/>
  <c r="G22032" i="53" s="1"/>
  <c r="F21321" i="53"/>
  <c r="G21321" i="53" s="1"/>
  <c r="F22027" i="53"/>
  <c r="G22027" i="53" s="1"/>
  <c r="F17829" i="53"/>
  <c r="G17829" i="53" s="1"/>
  <c r="F10780" i="53"/>
  <c r="G10780" i="53" s="1"/>
  <c r="G10787" i="53" s="1"/>
  <c r="G10835" i="53" s="1"/>
  <c r="J196" i="1" s="1"/>
  <c r="F22029" i="53"/>
  <c r="G22029" i="53" s="1"/>
  <c r="F9589" i="53"/>
  <c r="G9589" i="53" s="1"/>
  <c r="F21743" i="53"/>
  <c r="G21743" i="53" s="1"/>
  <c r="F9585" i="53"/>
  <c r="G9585" i="53" s="1"/>
  <c r="G21443" i="53"/>
  <c r="G21447" i="53" s="1"/>
  <c r="J408" i="1"/>
  <c r="G21441" i="53"/>
  <c r="G21442" i="53"/>
  <c r="F13165" i="53"/>
  <c r="G13165" i="53" s="1"/>
  <c r="F13091" i="53"/>
  <c r="G13091" i="53" s="1"/>
  <c r="F10224" i="53"/>
  <c r="G10224" i="53" s="1"/>
  <c r="G10226" i="53" s="1"/>
  <c r="G10274" i="53" s="1"/>
  <c r="G10278" i="53" s="1"/>
  <c r="G10282" i="53" s="1"/>
  <c r="F21527" i="53"/>
  <c r="G21527" i="53" s="1"/>
  <c r="G21535" i="53" s="1"/>
  <c r="G21583" i="53" s="1"/>
  <c r="J410" i="1" s="1"/>
  <c r="F23517" i="53"/>
  <c r="G23517" i="53" s="1"/>
  <c r="F23592" i="53"/>
  <c r="G23592" i="53" s="1"/>
  <c r="F499" i="53"/>
  <c r="G499" i="53" s="1"/>
  <c r="F23514" i="53"/>
  <c r="G23514" i="53" s="1"/>
  <c r="F23371" i="53"/>
  <c r="G23371" i="53" s="1"/>
  <c r="F18394" i="53"/>
  <c r="G18394" i="53" s="1"/>
  <c r="F23442" i="53"/>
  <c r="G23442" i="53" s="1"/>
  <c r="G23449" i="53" s="1"/>
  <c r="G23497" i="53" s="1"/>
  <c r="G23501" i="53" s="1"/>
  <c r="G23505" i="53" s="1"/>
  <c r="F17970" i="53"/>
  <c r="G17970" i="53" s="1"/>
  <c r="F18464" i="53"/>
  <c r="G18464" i="53" s="1"/>
  <c r="F505" i="53"/>
  <c r="G505" i="53" s="1"/>
  <c r="F13013" i="53"/>
  <c r="G13013" i="53" s="1"/>
  <c r="G13020" i="53" s="1"/>
  <c r="G13068" i="53" s="1"/>
  <c r="J237" i="1" s="1"/>
  <c r="F15374" i="53"/>
  <c r="G15374" i="53" s="1"/>
  <c r="G15377" i="53" s="1"/>
  <c r="G15426" i="53" s="1"/>
  <c r="F23372" i="53"/>
  <c r="G23372" i="53" s="1"/>
  <c r="F18537" i="53"/>
  <c r="G18537" i="53" s="1"/>
  <c r="F18540" i="53"/>
  <c r="G18540" i="53" s="1"/>
  <c r="F19038" i="53"/>
  <c r="G19038" i="53" s="1"/>
  <c r="F19109" i="53"/>
  <c r="G19109" i="53" s="1"/>
  <c r="F21671" i="53"/>
  <c r="G21671" i="53" s="1"/>
  <c r="F18535" i="53"/>
  <c r="G18535" i="53" s="1"/>
  <c r="F17972" i="53"/>
  <c r="G17972" i="53" s="1"/>
  <c r="G20867" i="53"/>
  <c r="J398" i="1"/>
  <c r="G20866" i="53"/>
  <c r="G20868" i="53"/>
  <c r="G20872" i="53" s="1"/>
  <c r="F17332" i="53"/>
  <c r="G17332" i="53" s="1"/>
  <c r="F17404" i="53"/>
  <c r="G17404" i="53" s="1"/>
  <c r="F17548" i="53"/>
  <c r="G17548" i="53" s="1"/>
  <c r="G17553" i="53" s="1"/>
  <c r="G17601" i="53" s="1"/>
  <c r="J343" i="1" s="1"/>
  <c r="F14086" i="53"/>
  <c r="G14086" i="53" s="1"/>
  <c r="F10573" i="53"/>
  <c r="G10573" i="53" s="1"/>
  <c r="F14017" i="53"/>
  <c r="G14017" i="53" s="1"/>
  <c r="F17477" i="53"/>
  <c r="G17477" i="53" s="1"/>
  <c r="G17484" i="53" s="1"/>
  <c r="G17532" i="53" s="1"/>
  <c r="G17536" i="53" s="1"/>
  <c r="G17540" i="53" s="1"/>
  <c r="F14016" i="53"/>
  <c r="G14016" i="53" s="1"/>
  <c r="F14015" i="53"/>
  <c r="G14015" i="53" s="1"/>
  <c r="F14014" i="53"/>
  <c r="G14014" i="53" s="1"/>
  <c r="F10436" i="53"/>
  <c r="G10436" i="53" s="1"/>
  <c r="F492" i="53"/>
  <c r="G492" i="53" s="1"/>
  <c r="F14013" i="53"/>
  <c r="G14013" i="53" s="1"/>
  <c r="F10641" i="53"/>
  <c r="G10641" i="53" s="1"/>
  <c r="G10643" i="53" s="1"/>
  <c r="G10691" i="53" s="1"/>
  <c r="G10695" i="53" s="1"/>
  <c r="G10699" i="53" s="1"/>
  <c r="F503" i="53"/>
  <c r="G503" i="53" s="1"/>
  <c r="F14426" i="53"/>
  <c r="G14426" i="53" s="1"/>
  <c r="G14433" i="53" s="1"/>
  <c r="G14481" i="53" s="1"/>
  <c r="J264" i="1" s="1"/>
  <c r="F497" i="53"/>
  <c r="G497" i="53" s="1"/>
  <c r="K218" i="1"/>
  <c r="L218" i="1"/>
  <c r="O218" i="1"/>
  <c r="N218" i="1"/>
  <c r="M218" i="1"/>
  <c r="F16489" i="53"/>
  <c r="G16489" i="53" s="1"/>
  <c r="F17264" i="53"/>
  <c r="G17264" i="53" s="1"/>
  <c r="F16561" i="53"/>
  <c r="G16561" i="53" s="1"/>
  <c r="F17262" i="53"/>
  <c r="G17262" i="53" s="1"/>
  <c r="F16697" i="53"/>
  <c r="G16697" i="53" s="1"/>
  <c r="F16696" i="53"/>
  <c r="G16696" i="53" s="1"/>
  <c r="F17261" i="53"/>
  <c r="G17261" i="53" s="1"/>
  <c r="F17049" i="53"/>
  <c r="G17049" i="53" s="1"/>
  <c r="G17056" i="53" s="1"/>
  <c r="G17104" i="53" s="1"/>
  <c r="J335" i="1" s="1"/>
  <c r="F17263" i="53"/>
  <c r="G17263" i="53" s="1"/>
  <c r="F17260" i="53"/>
  <c r="G17260" i="53" s="1"/>
  <c r="F16695" i="53"/>
  <c r="G16695" i="53" s="1"/>
  <c r="F16556" i="53"/>
  <c r="G16556" i="53" s="1"/>
  <c r="F16483" i="53"/>
  <c r="G16483" i="53" s="1"/>
  <c r="F16488" i="53"/>
  <c r="G16488" i="53" s="1"/>
  <c r="F16701" i="53"/>
  <c r="G16701" i="53" s="1"/>
  <c r="F16629" i="53"/>
  <c r="G16629" i="53" s="1"/>
  <c r="G16631" i="53" s="1"/>
  <c r="G16679" i="53" s="1"/>
  <c r="G12380" i="53"/>
  <c r="G12428" i="53" s="1"/>
  <c r="G12023" i="53"/>
  <c r="G12027" i="53" s="1"/>
  <c r="G12022" i="53"/>
  <c r="G12021" i="53"/>
  <c r="J219" i="1"/>
  <c r="G12090" i="53"/>
  <c r="G12091" i="53"/>
  <c r="G12095" i="53" s="1"/>
  <c r="G12089" i="53"/>
  <c r="F13876" i="53"/>
  <c r="G13876" i="53" s="1"/>
  <c r="F10571" i="53"/>
  <c r="G10571" i="53" s="1"/>
  <c r="F10435" i="53"/>
  <c r="G10435" i="53" s="1"/>
  <c r="F10363" i="53"/>
  <c r="G10363" i="53" s="1"/>
  <c r="F14084" i="53"/>
  <c r="G14084" i="53" s="1"/>
  <c r="F20661" i="53"/>
  <c r="G20661" i="53" s="1"/>
  <c r="F17971" i="53"/>
  <c r="G17971" i="53" s="1"/>
  <c r="F23594" i="53"/>
  <c r="G23594" i="53" s="1"/>
  <c r="F23519" i="53"/>
  <c r="G23519" i="53" s="1"/>
  <c r="F22384" i="53"/>
  <c r="G22384" i="53" s="1"/>
  <c r="F23235" i="53"/>
  <c r="G23235" i="53" s="1"/>
  <c r="G23240" i="53" s="1"/>
  <c r="G23289" i="53" s="1"/>
  <c r="F16491" i="53"/>
  <c r="G16491" i="53" s="1"/>
  <c r="F16564" i="53"/>
  <c r="G16564" i="53" s="1"/>
  <c r="J273" i="1"/>
  <c r="G14809" i="53"/>
  <c r="G14813" i="53" s="1"/>
  <c r="G14807" i="53"/>
  <c r="G14808" i="53"/>
  <c r="F12448" i="53"/>
  <c r="G12448" i="53" s="1"/>
  <c r="F15100" i="53"/>
  <c r="G15100" i="53" s="1"/>
  <c r="F12310" i="53"/>
  <c r="G12310" i="53" s="1"/>
  <c r="J217" i="1"/>
  <c r="G11956" i="53"/>
  <c r="G11960" i="53" s="1"/>
  <c r="G11954" i="53"/>
  <c r="G11955" i="53"/>
  <c r="F13881" i="53"/>
  <c r="G13881" i="53" s="1"/>
  <c r="F10294" i="53"/>
  <c r="G10294" i="53" s="1"/>
  <c r="F10368" i="53"/>
  <c r="G10368" i="53" s="1"/>
  <c r="F10433" i="53"/>
  <c r="G10433" i="53" s="1"/>
  <c r="F16563" i="53"/>
  <c r="G16563" i="53" s="1"/>
  <c r="F16490" i="53"/>
  <c r="G16490" i="53" s="1"/>
  <c r="F18967" i="53"/>
  <c r="G18967" i="53" s="1"/>
  <c r="F17265" i="53"/>
  <c r="G17265" i="53" s="1"/>
  <c r="J265" i="1"/>
  <c r="J205" i="1"/>
  <c r="G11367" i="53"/>
  <c r="G11369" i="53"/>
  <c r="G11373" i="53" s="1"/>
  <c r="G11368" i="53"/>
  <c r="F16284" i="53"/>
  <c r="G16284" i="53" s="1"/>
  <c r="F10711" i="53"/>
  <c r="G10711" i="53" s="1"/>
  <c r="F13880" i="53"/>
  <c r="G13880" i="53" s="1"/>
  <c r="F10367" i="53"/>
  <c r="G10367" i="53" s="1"/>
  <c r="F10432" i="53"/>
  <c r="G10432" i="53" s="1"/>
  <c r="F10293" i="53"/>
  <c r="G10293" i="53" s="1"/>
  <c r="F23516" i="53"/>
  <c r="G23516" i="53" s="1"/>
  <c r="F23590" i="53"/>
  <c r="G23590" i="53" s="1"/>
  <c r="J263" i="1"/>
  <c r="G14413" i="53"/>
  <c r="G14412" i="53"/>
  <c r="G14414" i="53"/>
  <c r="G14418" i="53" s="1"/>
  <c r="G12639" i="53"/>
  <c r="G12643" i="53" s="1"/>
  <c r="J281" i="1"/>
  <c r="G12637" i="53"/>
  <c r="G12638" i="53"/>
  <c r="J228" i="1"/>
  <c r="F12445" i="53"/>
  <c r="G12445" i="53" s="1"/>
  <c r="F17334" i="53"/>
  <c r="G17334" i="53" s="1"/>
  <c r="F17406" i="53"/>
  <c r="G17406" i="53" s="1"/>
  <c r="F15097" i="53"/>
  <c r="G15097" i="53" s="1"/>
  <c r="F12307" i="53"/>
  <c r="G12307" i="53" s="1"/>
  <c r="F16562" i="53"/>
  <c r="G16562" i="53" s="1"/>
  <c r="F11249" i="53"/>
  <c r="G11249" i="53" s="1"/>
  <c r="G11251" i="53" s="1"/>
  <c r="G11299" i="53" s="1"/>
  <c r="F10366" i="53"/>
  <c r="G10366" i="53" s="1"/>
  <c r="F10431" i="53"/>
  <c r="G10431" i="53" s="1"/>
  <c r="F13879" i="53"/>
  <c r="G13879" i="53" s="1"/>
  <c r="F10292" i="53"/>
  <c r="G10292" i="53" s="1"/>
  <c r="F20448" i="53"/>
  <c r="G20448" i="53" s="1"/>
  <c r="F18536" i="53"/>
  <c r="G18536" i="53" s="1"/>
  <c r="F19039" i="53"/>
  <c r="G19039" i="53" s="1"/>
  <c r="F19110" i="53"/>
  <c r="G19110" i="53" s="1"/>
  <c r="F19340" i="53"/>
  <c r="G19340" i="53" s="1"/>
  <c r="F16698" i="53"/>
  <c r="G16698" i="53" s="1"/>
  <c r="G14346" i="53"/>
  <c r="G14350" i="53" s="1"/>
  <c r="G14345" i="53"/>
  <c r="G14344" i="53"/>
  <c r="J262" i="1"/>
  <c r="J280" i="1"/>
  <c r="J227" i="1"/>
  <c r="F12444" i="53"/>
  <c r="G12444" i="53" s="1"/>
  <c r="F17333" i="53"/>
  <c r="G17333" i="53" s="1"/>
  <c r="F15096" i="53"/>
  <c r="G15096" i="53" s="1"/>
  <c r="F17405" i="53"/>
  <c r="G17405" i="53" s="1"/>
  <c r="F12306" i="53"/>
  <c r="G12306" i="53" s="1"/>
  <c r="J203" i="1"/>
  <c r="G11236" i="53"/>
  <c r="G11237" i="53"/>
  <c r="G11241" i="53" s="1"/>
  <c r="G11235" i="53"/>
  <c r="F10430" i="53"/>
  <c r="G10430" i="53" s="1"/>
  <c r="F13878" i="53"/>
  <c r="G13878" i="53" s="1"/>
  <c r="F10365" i="53"/>
  <c r="G10365" i="53" s="1"/>
  <c r="F10291" i="53"/>
  <c r="G10291" i="53" s="1"/>
  <c r="F16560" i="53"/>
  <c r="G16560" i="53" s="1"/>
  <c r="F16487" i="53"/>
  <c r="G16487" i="53" s="1"/>
  <c r="J261" i="1"/>
  <c r="G14277" i="53"/>
  <c r="G14278" i="53"/>
  <c r="G14279" i="53"/>
  <c r="G14283" i="53" s="1"/>
  <c r="J222" i="1"/>
  <c r="G12294" i="53"/>
  <c r="G12298" i="53" s="1"/>
  <c r="G12293" i="53"/>
  <c r="G12292" i="53"/>
  <c r="J202" i="1"/>
  <c r="G11168" i="53"/>
  <c r="G11169" i="53"/>
  <c r="G11170" i="53"/>
  <c r="G11174" i="53" s="1"/>
  <c r="F10709" i="53"/>
  <c r="G10709" i="53" s="1"/>
  <c r="F23520" i="53"/>
  <c r="G23520" i="53" s="1"/>
  <c r="F23597" i="53"/>
  <c r="G23597" i="53" s="1"/>
  <c r="F16559" i="53"/>
  <c r="G16559" i="53" s="1"/>
  <c r="F17266" i="53"/>
  <c r="G17266" i="53" s="1"/>
  <c r="F16699" i="53"/>
  <c r="G16699" i="53" s="1"/>
  <c r="F16486" i="53"/>
  <c r="G16486" i="53" s="1"/>
  <c r="F15102" i="53"/>
  <c r="G15102" i="53" s="1"/>
  <c r="F12312" i="53"/>
  <c r="G12312" i="53" s="1"/>
  <c r="J221" i="1"/>
  <c r="G12224" i="53"/>
  <c r="G12225" i="53"/>
  <c r="G12226" i="53"/>
  <c r="G12230" i="53" s="1"/>
  <c r="J200" i="1"/>
  <c r="G11035" i="53"/>
  <c r="G11036" i="53"/>
  <c r="G11040" i="53" s="1"/>
  <c r="G11034" i="53"/>
  <c r="F14083" i="53"/>
  <c r="G14083" i="53" s="1"/>
  <c r="F10570" i="53"/>
  <c r="G10570" i="53" s="1"/>
  <c r="F10362" i="53"/>
  <c r="G10362" i="53" s="1"/>
  <c r="F13875" i="53"/>
  <c r="G13875" i="53" s="1"/>
  <c r="F10434" i="53"/>
  <c r="G10434" i="53" s="1"/>
  <c r="F10364" i="53"/>
  <c r="G10364" i="53" s="1"/>
  <c r="F10437" i="53"/>
  <c r="G10437" i="53" s="1"/>
  <c r="F10572" i="53"/>
  <c r="G10572" i="53" s="1"/>
  <c r="F20447" i="53"/>
  <c r="G20447" i="53" s="1"/>
  <c r="F18682" i="53"/>
  <c r="G18682" i="53" s="1"/>
  <c r="F21602" i="53"/>
  <c r="G21602" i="53" s="1"/>
  <c r="G21605" i="53" s="1"/>
  <c r="G21653" i="53" s="1"/>
  <c r="F16485" i="53"/>
  <c r="G16485" i="53" s="1"/>
  <c r="F16558" i="53"/>
  <c r="G16558" i="53" s="1"/>
  <c r="F23598" i="53"/>
  <c r="G23598" i="53" s="1"/>
  <c r="F23521" i="53"/>
  <c r="G23521" i="53" s="1"/>
  <c r="F16566" i="53"/>
  <c r="G16566" i="53" s="1"/>
  <c r="F17267" i="53"/>
  <c r="G17267" i="53" s="1"/>
  <c r="F16700" i="53"/>
  <c r="G16700" i="53" s="1"/>
  <c r="F16493" i="53"/>
  <c r="G16493" i="53" s="1"/>
  <c r="J275" i="1"/>
  <c r="G14948" i="53"/>
  <c r="G14949" i="53"/>
  <c r="G14953" i="53" s="1"/>
  <c r="G14947" i="53"/>
  <c r="F20587" i="53"/>
  <c r="G20587" i="53" s="1"/>
  <c r="F21672" i="53"/>
  <c r="G21672" i="53" s="1"/>
  <c r="G12157" i="53"/>
  <c r="G12156" i="53"/>
  <c r="G12158" i="53"/>
  <c r="G12162" i="53" s="1"/>
  <c r="F16769" i="53"/>
  <c r="G16769" i="53" s="1"/>
  <c r="G16774" i="53" s="1"/>
  <c r="G16823" i="53" s="1"/>
  <c r="F10917" i="53"/>
  <c r="G10917" i="53" s="1"/>
  <c r="G10919" i="53" s="1"/>
  <c r="G10967" i="53" s="1"/>
  <c r="F10569" i="53"/>
  <c r="G10569" i="53" s="1"/>
  <c r="F14082" i="53"/>
  <c r="G14082" i="53" s="1"/>
  <c r="F10361" i="53"/>
  <c r="G10361" i="53" s="1"/>
  <c r="F13874" i="53"/>
  <c r="G13874" i="53" s="1"/>
  <c r="F20446" i="53"/>
  <c r="G20446" i="53" s="1"/>
  <c r="F15098" i="53"/>
  <c r="G15098" i="53" s="1"/>
  <c r="F21669" i="53"/>
  <c r="G21669" i="53" s="1"/>
  <c r="F12308" i="53"/>
  <c r="G12308" i="53" s="1"/>
  <c r="F23096" i="53"/>
  <c r="G23096" i="53" s="1"/>
  <c r="F23515" i="53"/>
  <c r="G23515" i="53" s="1"/>
  <c r="F23589" i="53"/>
  <c r="G23589" i="53" s="1"/>
  <c r="F19040" i="53"/>
  <c r="G19040" i="53" s="1"/>
  <c r="F19111" i="53"/>
  <c r="G19111" i="53" s="1"/>
  <c r="F21670" i="53"/>
  <c r="G21670" i="53" s="1"/>
  <c r="F16492" i="53"/>
  <c r="G16492" i="53" s="1"/>
  <c r="F16565" i="53"/>
  <c r="G16565" i="53" s="1"/>
  <c r="J274" i="1"/>
  <c r="G14876" i="53"/>
  <c r="G14877" i="53"/>
  <c r="G14881" i="53" s="1"/>
  <c r="G14875" i="53"/>
  <c r="G13289" i="53"/>
  <c r="G13290" i="53"/>
  <c r="G13291" i="53"/>
  <c r="G13295" i="53" s="1"/>
  <c r="J240" i="1"/>
  <c r="F12449" i="53"/>
  <c r="G12449" i="53" s="1"/>
  <c r="F15101" i="53"/>
  <c r="G15101" i="53" s="1"/>
  <c r="F12311" i="53"/>
  <c r="G12311" i="53" s="1"/>
  <c r="F16210" i="53"/>
  <c r="G16210" i="53" s="1"/>
  <c r="G16218" i="53" s="1"/>
  <c r="G16266" i="53" s="1"/>
  <c r="F10851" i="53"/>
  <c r="G10851" i="53" s="1"/>
  <c r="G10853" i="53" s="1"/>
  <c r="G10901" i="53" s="1"/>
  <c r="F16484" i="53"/>
  <c r="G16484" i="53" s="1"/>
  <c r="F16557" i="53"/>
  <c r="G16557" i="53" s="1"/>
  <c r="F10429" i="53"/>
  <c r="G10429" i="53" s="1"/>
  <c r="F10360" i="53"/>
  <c r="G10360" i="53" s="1"/>
  <c r="F10290" i="53"/>
  <c r="G10290" i="53" s="1"/>
  <c r="F13873" i="53"/>
  <c r="G13873" i="53" s="1"/>
  <c r="F13162" i="53"/>
  <c r="G13162" i="53" s="1"/>
  <c r="F13088" i="53"/>
  <c r="G13088" i="53" s="1"/>
  <c r="F13159" i="53"/>
  <c r="G13159" i="53" s="1"/>
  <c r="F13085" i="53"/>
  <c r="G13085" i="53" s="1"/>
  <c r="F13164" i="53"/>
  <c r="G13164" i="53" s="1"/>
  <c r="F13090" i="53"/>
  <c r="G13090" i="53" s="1"/>
  <c r="F13084" i="53"/>
  <c r="G13084" i="53" s="1"/>
  <c r="F13158" i="53"/>
  <c r="G13158" i="53" s="1"/>
  <c r="F13169" i="53"/>
  <c r="G13169" i="53" s="1"/>
  <c r="F13095" i="53"/>
  <c r="G13095" i="53" s="1"/>
  <c r="F13168" i="53"/>
  <c r="G13168" i="53" s="1"/>
  <c r="F13094" i="53"/>
  <c r="G13094" i="53" s="1"/>
  <c r="F13093" i="53"/>
  <c r="G13093" i="53" s="1"/>
  <c r="F13167" i="53"/>
  <c r="G13167" i="53" s="1"/>
  <c r="F13092" i="53"/>
  <c r="G13092" i="53" s="1"/>
  <c r="F13166" i="53"/>
  <c r="G13166" i="53" s="1"/>
  <c r="F13089" i="53"/>
  <c r="G13089" i="53" s="1"/>
  <c r="F13163" i="53"/>
  <c r="G13163" i="53" s="1"/>
  <c r="F9729" i="53"/>
  <c r="G9729" i="53" s="1"/>
  <c r="G9735" i="53" s="1"/>
  <c r="F10015" i="53"/>
  <c r="G10015" i="53" s="1"/>
  <c r="F3040" i="53"/>
  <c r="G3040" i="53" s="1"/>
  <c r="G3046" i="53" s="1"/>
  <c r="G3094" i="53" s="1"/>
  <c r="J75" i="1" s="1"/>
  <c r="F10014" i="53"/>
  <c r="G10014" i="53" s="1"/>
  <c r="J429" i="1"/>
  <c r="G2904" i="53"/>
  <c r="G2952" i="53" s="1"/>
  <c r="F2083" i="53"/>
  <c r="G2083" i="53" s="1"/>
  <c r="G2087" i="53" s="1"/>
  <c r="F19260" i="53"/>
  <c r="G19260" i="53" s="1"/>
  <c r="G1997" i="53"/>
  <c r="J39" i="1" s="1"/>
  <c r="G1815" i="53"/>
  <c r="F1608" i="53"/>
  <c r="G1608" i="53" s="1"/>
  <c r="F1746" i="53"/>
  <c r="G1746" i="53" s="1"/>
  <c r="G1102" i="53"/>
  <c r="F22173" i="53"/>
  <c r="G22173" i="53" s="1"/>
  <c r="F20000" i="53"/>
  <c r="G20000" i="53" s="1"/>
  <c r="F19998" i="53"/>
  <c r="G19998" i="53" s="1"/>
  <c r="F20372" i="53"/>
  <c r="G20372" i="53" s="1"/>
  <c r="F18968" i="53"/>
  <c r="G18968" i="53" s="1"/>
  <c r="F21242" i="53"/>
  <c r="G21242" i="53" s="1"/>
  <c r="F20662" i="53"/>
  <c r="G20662" i="53" s="1"/>
  <c r="J436" i="1"/>
  <c r="G23012" i="53"/>
  <c r="G23016" i="53" s="1"/>
  <c r="G23011" i="53"/>
  <c r="G23010" i="53"/>
  <c r="G22513" i="53"/>
  <c r="G22512" i="53"/>
  <c r="G22514" i="53"/>
  <c r="G22518" i="53" s="1"/>
  <c r="F18184" i="53"/>
  <c r="G18184" i="53" s="1"/>
  <c r="F22170" i="53"/>
  <c r="G22170" i="53" s="1"/>
  <c r="F18185" i="53"/>
  <c r="G18185" i="53" s="1"/>
  <c r="F19257" i="53"/>
  <c r="G19257" i="53" s="1"/>
  <c r="G8543" i="53"/>
  <c r="G5684" i="53"/>
  <c r="G8407" i="53"/>
  <c r="G5617" i="53"/>
  <c r="F20305" i="53"/>
  <c r="G20305" i="53" s="1"/>
  <c r="F18826" i="53"/>
  <c r="G18826" i="53" s="1"/>
  <c r="F19932" i="53"/>
  <c r="G19932" i="53" s="1"/>
  <c r="F18827" i="53"/>
  <c r="G18827" i="53" s="1"/>
  <c r="F20378" i="53"/>
  <c r="G20378" i="53" s="1"/>
  <c r="F19931" i="53"/>
  <c r="G19931" i="53" s="1"/>
  <c r="F20377" i="53"/>
  <c r="G20377" i="53" s="1"/>
  <c r="F20304" i="53"/>
  <c r="G20304" i="53" s="1"/>
  <c r="F20221" i="53"/>
  <c r="G20221" i="53" s="1"/>
  <c r="F20224" i="53"/>
  <c r="G20224" i="53" s="1"/>
  <c r="F20073" i="53"/>
  <c r="G20073" i="53" s="1"/>
  <c r="F20070" i="53"/>
  <c r="G20070" i="53" s="1"/>
  <c r="F19929" i="53"/>
  <c r="G19929" i="53" s="1"/>
  <c r="F20738" i="53"/>
  <c r="G20738" i="53" s="1"/>
  <c r="G20744" i="53" s="1"/>
  <c r="G20792" i="53" s="1"/>
  <c r="G21891" i="53"/>
  <c r="G21939" i="53" s="1"/>
  <c r="F19930" i="53"/>
  <c r="G19930" i="53" s="1"/>
  <c r="F19710" i="53"/>
  <c r="G19710" i="53" s="1"/>
  <c r="G13777" i="53"/>
  <c r="G13788" i="53" s="1"/>
  <c r="G19527" i="53"/>
  <c r="G6809" i="53"/>
  <c r="G6820" i="53" s="1"/>
  <c r="G4906" i="53"/>
  <c r="G4917" i="53" s="1"/>
  <c r="G8857" i="53"/>
  <c r="G8868" i="53" s="1"/>
  <c r="G9772" i="53"/>
  <c r="G23205" i="53"/>
  <c r="G23217" i="53" s="1"/>
  <c r="G389" i="53"/>
  <c r="G400" i="53" s="1"/>
  <c r="J11" i="1" s="1"/>
  <c r="G6540" i="53"/>
  <c r="G6551" i="53" s="1"/>
  <c r="G7971" i="53"/>
  <c r="G7982" i="53" s="1"/>
  <c r="G19454" i="53"/>
  <c r="G23839" i="53"/>
  <c r="G23850" i="53" s="1"/>
  <c r="G681" i="53"/>
  <c r="G692" i="53" s="1"/>
  <c r="G5654" i="53"/>
  <c r="G6199" i="53"/>
  <c r="G6210" i="53" s="1"/>
  <c r="G12488" i="53"/>
  <c r="G6740" i="53"/>
  <c r="G6751" i="53" s="1"/>
  <c r="G19381" i="53"/>
  <c r="G1228" i="53"/>
  <c r="G1239" i="53" s="1"/>
  <c r="G183" i="53"/>
  <c r="G194" i="53" s="1"/>
  <c r="G464" i="53"/>
  <c r="G475" i="53" s="1"/>
  <c r="G8513" i="53"/>
  <c r="G8524" i="53" s="1"/>
  <c r="G8444" i="53"/>
  <c r="G22784" i="53"/>
  <c r="G22795" i="53" s="1"/>
  <c r="G19971" i="53"/>
  <c r="G19600" i="53"/>
  <c r="G1023" i="53"/>
  <c r="G5721" i="53"/>
  <c r="G885" i="53"/>
  <c r="G896" i="53" s="1"/>
  <c r="G6131" i="53"/>
  <c r="G6142" i="53" s="1"/>
  <c r="G6878" i="53"/>
  <c r="G6889" i="53" s="1"/>
  <c r="G20635" i="53"/>
  <c r="G9843" i="53"/>
  <c r="G9854" i="53" s="1"/>
  <c r="G7769" i="53"/>
  <c r="G7780" i="53" s="1"/>
  <c r="G5041" i="53"/>
  <c r="G5052" i="53" s="1"/>
  <c r="G8580" i="53"/>
  <c r="G8788" i="53"/>
  <c r="G8799" i="53" s="1"/>
  <c r="G19675" i="53"/>
  <c r="G749" i="53"/>
  <c r="G760" i="53" s="1"/>
  <c r="G9135" i="53"/>
  <c r="G9146" i="53" s="1"/>
  <c r="G4768" i="53"/>
  <c r="G4779" i="53" s="1"/>
  <c r="G8651" i="53"/>
  <c r="G8662" i="53" s="1"/>
  <c r="G8924" i="53"/>
  <c r="G8935" i="53" s="1"/>
  <c r="F22669" i="53"/>
  <c r="G22669" i="53" s="1"/>
  <c r="F23097" i="53"/>
  <c r="G23097" i="53" s="1"/>
  <c r="F12446" i="53"/>
  <c r="G12446" i="53" s="1"/>
  <c r="F19409" i="53"/>
  <c r="G19409" i="53" s="1"/>
  <c r="F19482" i="53"/>
  <c r="G19482" i="53" s="1"/>
  <c r="F19555" i="53"/>
  <c r="G19555" i="53" s="1"/>
  <c r="F19410" i="53"/>
  <c r="G19410" i="53" s="1"/>
  <c r="F19483" i="53"/>
  <c r="G19483" i="53" s="1"/>
  <c r="F19556" i="53"/>
  <c r="G19556" i="53" s="1"/>
  <c r="F19634" i="53"/>
  <c r="G19634" i="53" s="1"/>
  <c r="G19638" i="53" s="1"/>
  <c r="F19336" i="53"/>
  <c r="G19336" i="53" s="1"/>
  <c r="F19335" i="53"/>
  <c r="G19335" i="53" s="1"/>
  <c r="F19333" i="53"/>
  <c r="G19333" i="53" s="1"/>
  <c r="F19334" i="53"/>
  <c r="G19334" i="53" s="1"/>
  <c r="A18038" i="53"/>
  <c r="F18041" i="53"/>
  <c r="G18041" i="53" s="1"/>
  <c r="F18045" i="53"/>
  <c r="G18045" i="53" s="1"/>
  <c r="G11877" i="53"/>
  <c r="G14727" i="53"/>
  <c r="G16954" i="53"/>
  <c r="G15560" i="53"/>
  <c r="G16325" i="53"/>
  <c r="G17022" i="53"/>
  <c r="G18792" i="53"/>
  <c r="G22428" i="53"/>
  <c r="G18157" i="53"/>
  <c r="G22570" i="53"/>
  <c r="G20343" i="53"/>
  <c r="G11742" i="53"/>
  <c r="G15069" i="53"/>
  <c r="G15911" i="53"/>
  <c r="G16117" i="53"/>
  <c r="G19230" i="53"/>
  <c r="G17730" i="53"/>
  <c r="G19011" i="53"/>
  <c r="G22712" i="53"/>
  <c r="G20925" i="53"/>
  <c r="G23140" i="53"/>
  <c r="G14600" i="53"/>
  <c r="G14537" i="53"/>
  <c r="G13418" i="53"/>
  <c r="G13705" i="53"/>
  <c r="G15005" i="53"/>
  <c r="G15632" i="53"/>
  <c r="G17800" i="53"/>
  <c r="G17662" i="53"/>
  <c r="G18937" i="53"/>
  <c r="G22357" i="53"/>
  <c r="G12914" i="53"/>
  <c r="G21288" i="53"/>
  <c r="G22003" i="53"/>
  <c r="G22213" i="53"/>
  <c r="G18865" i="53"/>
  <c r="G15844" i="53"/>
  <c r="G17233" i="53"/>
  <c r="G20417" i="53"/>
  <c r="G22285" i="53"/>
  <c r="G11421" i="53"/>
  <c r="G15704" i="53"/>
  <c r="G16051" i="53"/>
  <c r="G23069" i="53"/>
  <c r="G17942" i="53"/>
  <c r="G11551" i="53"/>
  <c r="G15983" i="53"/>
  <c r="G16390" i="53"/>
  <c r="G18652" i="53"/>
  <c r="G16884" i="53"/>
  <c r="G18087" i="53"/>
  <c r="G20559" i="53"/>
  <c r="B18041" i="53"/>
  <c r="D18041" i="53"/>
  <c r="F18043" i="53"/>
  <c r="G18043" i="53" s="1"/>
  <c r="D18045" i="53"/>
  <c r="F18042" i="53"/>
  <c r="G18042" i="53" s="1"/>
  <c r="B18043" i="53"/>
  <c r="B18042" i="53"/>
  <c r="F17899" i="53"/>
  <c r="G17899" i="53" s="1"/>
  <c r="F17904" i="53"/>
  <c r="G17904" i="53" s="1"/>
  <c r="D17904" i="53"/>
  <c r="B17904" i="53"/>
  <c r="F17903" i="53"/>
  <c r="G17903" i="53" s="1"/>
  <c r="D17903" i="53"/>
  <c r="B17903" i="53"/>
  <c r="F17902" i="53"/>
  <c r="G17902" i="53" s="1"/>
  <c r="D17902" i="53"/>
  <c r="B17902" i="53"/>
  <c r="F17901" i="53"/>
  <c r="G17901" i="53" s="1"/>
  <c r="D17901" i="53"/>
  <c r="B17901" i="53"/>
  <c r="F18114" i="53"/>
  <c r="G18114" i="53" s="1"/>
  <c r="B18111" i="53"/>
  <c r="F18119" i="53"/>
  <c r="G18119" i="53" s="1"/>
  <c r="D18119" i="53"/>
  <c r="B18119" i="53"/>
  <c r="F18118" i="53"/>
  <c r="G18118" i="53" s="1"/>
  <c r="D18118" i="53"/>
  <c r="B18118" i="53"/>
  <c r="F18117" i="53"/>
  <c r="G18117" i="53" s="1"/>
  <c r="D18117" i="53"/>
  <c r="B18117" i="53"/>
  <c r="F18116" i="53"/>
  <c r="G18116" i="53" s="1"/>
  <c r="D18116" i="53"/>
  <c r="B18116" i="53"/>
  <c r="B23093" i="53"/>
  <c r="A22526" i="53"/>
  <c r="F22526" i="53" s="1"/>
  <c r="G22526" i="53" s="1"/>
  <c r="A22312" i="53"/>
  <c r="B22312" i="53" s="1"/>
  <c r="A22240" i="53"/>
  <c r="B22240" i="53" s="1"/>
  <c r="B22309" i="53"/>
  <c r="D23024" i="53"/>
  <c r="B23021" i="53"/>
  <c r="F23026" i="53"/>
  <c r="G23026" i="53" s="1"/>
  <c r="D23026" i="53"/>
  <c r="F23025" i="53"/>
  <c r="G23025" i="53" s="1"/>
  <c r="A22668" i="53"/>
  <c r="B22665" i="53"/>
  <c r="B22523" i="53"/>
  <c r="B22381" i="53"/>
  <c r="B22237" i="53"/>
  <c r="D22169" i="53"/>
  <c r="B22166" i="53"/>
  <c r="A21956" i="53"/>
  <c r="D21956" i="53" s="1"/>
  <c r="A21955" i="53"/>
  <c r="B21952" i="53"/>
  <c r="F21964" i="53"/>
  <c r="G21964" i="53" s="1"/>
  <c r="D21964" i="53"/>
  <c r="B21964" i="53"/>
  <c r="F21961" i="53"/>
  <c r="G21961" i="53" s="1"/>
  <c r="D21961" i="53"/>
  <c r="F21960" i="53"/>
  <c r="G21960" i="53" s="1"/>
  <c r="D21960" i="53"/>
  <c r="B21960" i="53"/>
  <c r="D21959" i="53"/>
  <c r="F21957" i="53"/>
  <c r="G21957" i="53" s="1"/>
  <c r="B21957" i="53"/>
  <c r="D21957" i="53"/>
  <c r="F20374" i="53"/>
  <c r="G20374" i="53" s="1"/>
  <c r="F20300" i="53"/>
  <c r="G20300" i="53" s="1"/>
  <c r="A14963" i="53"/>
  <c r="D14963" i="53" s="1"/>
  <c r="F20370" i="53"/>
  <c r="G20370" i="53" s="1"/>
  <c r="B20371" i="53"/>
  <c r="B20367" i="53"/>
  <c r="F20379" i="53"/>
  <c r="G20379" i="53" s="1"/>
  <c r="D20379" i="53"/>
  <c r="B20379" i="53"/>
  <c r="F20376" i="53"/>
  <c r="G20376" i="53" s="1"/>
  <c r="D20376" i="53"/>
  <c r="B20376" i="53"/>
  <c r="F20375" i="53"/>
  <c r="G20375" i="53" s="1"/>
  <c r="D20375" i="53"/>
  <c r="B20375" i="53"/>
  <c r="B20298" i="53"/>
  <c r="B20297" i="53"/>
  <c r="B20294" i="53"/>
  <c r="F20303" i="53"/>
  <c r="G20303" i="53" s="1"/>
  <c r="D20303" i="53"/>
  <c r="B20303" i="53"/>
  <c r="F20302" i="53"/>
  <c r="G20302" i="53" s="1"/>
  <c r="D20302" i="53"/>
  <c r="B20302" i="53"/>
  <c r="F20301" i="53"/>
  <c r="G20301" i="53" s="1"/>
  <c r="D20301" i="53"/>
  <c r="B20301" i="53"/>
  <c r="F20881" i="53"/>
  <c r="G20881" i="53" s="1"/>
  <c r="B20877" i="53"/>
  <c r="F20887" i="53"/>
  <c r="G20887" i="53" s="1"/>
  <c r="D20887" i="53"/>
  <c r="B20887" i="53"/>
  <c r="F20886" i="53"/>
  <c r="G20886" i="53" s="1"/>
  <c r="D20886" i="53"/>
  <c r="B20886" i="53"/>
  <c r="F20885" i="53"/>
  <c r="G20885" i="53" s="1"/>
  <c r="D20885" i="53"/>
  <c r="B20885" i="53"/>
  <c r="F20884" i="53"/>
  <c r="G20884" i="53" s="1"/>
  <c r="B20883" i="53"/>
  <c r="F20883" i="53"/>
  <c r="G20883" i="53" s="1"/>
  <c r="F20882" i="53"/>
  <c r="G20882" i="53" s="1"/>
  <c r="D20882" i="53"/>
  <c r="B20882" i="53"/>
  <c r="D20518" i="53"/>
  <c r="A20517" i="53"/>
  <c r="F20516" i="53"/>
  <c r="G20516" i="53" s="1"/>
  <c r="B20513" i="53"/>
  <c r="F20521" i="53"/>
  <c r="G20521" i="53" s="1"/>
  <c r="D20521" i="53"/>
  <c r="B20521" i="53"/>
  <c r="F20520" i="53"/>
  <c r="G20520" i="53" s="1"/>
  <c r="D20520" i="53"/>
  <c r="B20520" i="53"/>
  <c r="F20519" i="53"/>
  <c r="G20519" i="53" s="1"/>
  <c r="D20519" i="53"/>
  <c r="B20519" i="53"/>
  <c r="F19185" i="53"/>
  <c r="G19185" i="53" s="1"/>
  <c r="F19182" i="53"/>
  <c r="G19182" i="53" s="1"/>
  <c r="B19179" i="53"/>
  <c r="F19188" i="53"/>
  <c r="G19188" i="53" s="1"/>
  <c r="D19188" i="53"/>
  <c r="F19187" i="53"/>
  <c r="G19187" i="53" s="1"/>
  <c r="D19187" i="53"/>
  <c r="B19187" i="53"/>
  <c r="F19186" i="53"/>
  <c r="G19186" i="53" s="1"/>
  <c r="D19186" i="53"/>
  <c r="B19186" i="53"/>
  <c r="B19260" i="53"/>
  <c r="A21241" i="53"/>
  <c r="B21241" i="53" s="1"/>
  <c r="B21237" i="53"/>
  <c r="F21249" i="53"/>
  <c r="G21249" i="53" s="1"/>
  <c r="D21249" i="53"/>
  <c r="F21248" i="53"/>
  <c r="G21248" i="53" s="1"/>
  <c r="D21248" i="53"/>
  <c r="B21248" i="53"/>
  <c r="F21246" i="53"/>
  <c r="G21246" i="53" s="1"/>
  <c r="D21246" i="53"/>
  <c r="A18965" i="53"/>
  <c r="B18972" i="53"/>
  <c r="B18961" i="53"/>
  <c r="F18973" i="53"/>
  <c r="G18973" i="53" s="1"/>
  <c r="D18973" i="53"/>
  <c r="B18973" i="53"/>
  <c r="F18972" i="53"/>
  <c r="G18972" i="53" s="1"/>
  <c r="D18972" i="53"/>
  <c r="F18971" i="53"/>
  <c r="G18971" i="53" s="1"/>
  <c r="D18971" i="53"/>
  <c r="B18971" i="53"/>
  <c r="F18970" i="53"/>
  <c r="G18970" i="53" s="1"/>
  <c r="D18970" i="53"/>
  <c r="B18970" i="53"/>
  <c r="F18966" i="53"/>
  <c r="G18966" i="53" s="1"/>
  <c r="G20233" i="53" l="1"/>
  <c r="G19416" i="53"/>
  <c r="G19465" i="53" s="1"/>
  <c r="G20006" i="53"/>
  <c r="G20054" i="53" s="1"/>
  <c r="G23523" i="53"/>
  <c r="G19934" i="53"/>
  <c r="G19982" i="53" s="1"/>
  <c r="G13098" i="53"/>
  <c r="G13142" i="53" s="1"/>
  <c r="J291" i="1" s="1"/>
  <c r="K291" i="1" s="1"/>
  <c r="G19044" i="53"/>
  <c r="G19093" i="53" s="1"/>
  <c r="J370" i="1" s="1"/>
  <c r="G17977" i="53"/>
  <c r="G18025" i="53" s="1"/>
  <c r="G18028" i="53" s="1"/>
  <c r="G9593" i="53"/>
  <c r="G9641" i="53" s="1"/>
  <c r="G9645" i="53" s="1"/>
  <c r="G9649" i="53" s="1"/>
  <c r="G12573" i="53"/>
  <c r="G12577" i="53" s="1"/>
  <c r="G12511" i="53" s="1"/>
  <c r="G17178" i="53"/>
  <c r="G17182" i="53" s="1"/>
  <c r="G17117" i="53" s="1"/>
  <c r="G13360" i="53"/>
  <c r="J294" i="1"/>
  <c r="K294" i="1" s="1"/>
  <c r="G12430" i="53"/>
  <c r="J224" i="1"/>
  <c r="G6961" i="53"/>
  <c r="M131" i="1"/>
  <c r="G13454" i="53"/>
  <c r="G13502" i="53" s="1"/>
  <c r="G13504" i="53" s="1"/>
  <c r="L131" i="1"/>
  <c r="G6960" i="53"/>
  <c r="G6962" i="53"/>
  <c r="G6966" i="53" s="1"/>
  <c r="O131" i="1"/>
  <c r="G10505" i="53"/>
  <c r="G10553" i="53" s="1"/>
  <c r="G13809" i="53"/>
  <c r="G13857" i="53" s="1"/>
  <c r="G13952" i="53"/>
  <c r="G13997" i="53" s="1"/>
  <c r="K131" i="1"/>
  <c r="G15364" i="53"/>
  <c r="G15368" i="53" s="1"/>
  <c r="G15302" i="53" s="1"/>
  <c r="J68" i="1"/>
  <c r="N68" i="1" s="1"/>
  <c r="J80" i="1"/>
  <c r="G3951" i="53"/>
  <c r="G3955" i="53" s="1"/>
  <c r="G3891" i="53" s="1"/>
  <c r="M78" i="1"/>
  <c r="O78" i="1"/>
  <c r="N78" i="1"/>
  <c r="K78" i="1"/>
  <c r="L78" i="1"/>
  <c r="O71" i="1"/>
  <c r="N71" i="1"/>
  <c r="M71" i="1"/>
  <c r="L71" i="1"/>
  <c r="K71" i="1"/>
  <c r="G3596" i="53"/>
  <c r="G3600" i="53" s="1"/>
  <c r="G3594" i="53"/>
  <c r="G3595" i="53"/>
  <c r="L75" i="1"/>
  <c r="N75" i="1"/>
  <c r="O75" i="1"/>
  <c r="M75" i="1"/>
  <c r="K75" i="1"/>
  <c r="J58" i="1"/>
  <c r="O293" i="1"/>
  <c r="K293" i="1"/>
  <c r="G8732" i="53"/>
  <c r="G8733" i="53"/>
  <c r="G8737" i="53" s="1"/>
  <c r="G8731" i="53"/>
  <c r="J285" i="1"/>
  <c r="J232" i="1"/>
  <c r="K34" i="1"/>
  <c r="O34" i="1"/>
  <c r="M34" i="1"/>
  <c r="L34" i="1"/>
  <c r="N34" i="1"/>
  <c r="J47" i="1"/>
  <c r="M47" i="1" s="1"/>
  <c r="J115" i="1"/>
  <c r="G6007" i="53"/>
  <c r="G6006" i="53"/>
  <c r="G6008" i="53"/>
  <c r="G6012" i="53" s="1"/>
  <c r="G6076" i="53"/>
  <c r="G6077" i="53"/>
  <c r="J116" i="1"/>
  <c r="G6078" i="53"/>
  <c r="G6082" i="53" s="1"/>
  <c r="J140" i="1"/>
  <c r="G7575" i="53"/>
  <c r="G7579" i="53" s="1"/>
  <c r="G7573" i="53"/>
  <c r="G7574" i="53"/>
  <c r="G1732" i="53"/>
  <c r="G1736" i="53" s="1"/>
  <c r="G1731" i="53"/>
  <c r="G1730" i="53"/>
  <c r="G1611" i="53"/>
  <c r="G1659" i="53" s="1"/>
  <c r="G1749" i="53"/>
  <c r="G1797" i="53" s="1"/>
  <c r="K39" i="1"/>
  <c r="O39" i="1"/>
  <c r="N39" i="1"/>
  <c r="M39" i="1"/>
  <c r="L39" i="1"/>
  <c r="G8455" i="53"/>
  <c r="G578" i="53"/>
  <c r="G627" i="53" s="1"/>
  <c r="O11" i="1"/>
  <c r="K11" i="1"/>
  <c r="N11" i="1"/>
  <c r="M11" i="1"/>
  <c r="L11" i="1"/>
  <c r="G20598" i="53"/>
  <c r="G20645" i="53" s="1"/>
  <c r="G13361" i="53"/>
  <c r="G21750" i="53"/>
  <c r="G21798" i="53" s="1"/>
  <c r="G20081" i="53"/>
  <c r="G20129" i="53" s="1"/>
  <c r="J241" i="1"/>
  <c r="O241" i="1" s="1"/>
  <c r="G13362" i="53"/>
  <c r="G13366" i="53" s="1"/>
  <c r="G20157" i="53"/>
  <c r="G20205" i="53" s="1"/>
  <c r="G19268" i="53"/>
  <c r="G19317" i="53" s="1"/>
  <c r="G18469" i="53"/>
  <c r="G18519" i="53" s="1"/>
  <c r="J360" i="1" s="1"/>
  <c r="L293" i="1"/>
  <c r="N293" i="1"/>
  <c r="M293" i="1"/>
  <c r="G18396" i="53"/>
  <c r="G18444" i="53" s="1"/>
  <c r="G18446" i="53" s="1"/>
  <c r="G10837" i="53"/>
  <c r="G10839" i="53"/>
  <c r="G10843" i="53" s="1"/>
  <c r="G10838" i="53"/>
  <c r="G17835" i="53"/>
  <c r="G17883" i="53" s="1"/>
  <c r="G17886" i="53" s="1"/>
  <c r="G21323" i="53"/>
  <c r="G21369" i="53" s="1"/>
  <c r="G22037" i="53"/>
  <c r="G22084" i="53" s="1"/>
  <c r="J327" i="1"/>
  <c r="N327" i="1" s="1"/>
  <c r="J349" i="1"/>
  <c r="N410" i="1"/>
  <c r="O410" i="1"/>
  <c r="K410" i="1"/>
  <c r="L410" i="1"/>
  <c r="M410" i="1"/>
  <c r="J288" i="1"/>
  <c r="K288" i="1" s="1"/>
  <c r="L240" i="1"/>
  <c r="M240" i="1"/>
  <c r="N240" i="1"/>
  <c r="O240" i="1"/>
  <c r="K240" i="1"/>
  <c r="K237" i="1"/>
  <c r="L237" i="1"/>
  <c r="N237" i="1"/>
  <c r="M237" i="1"/>
  <c r="O237" i="1"/>
  <c r="G10276" i="53"/>
  <c r="G10277" i="53"/>
  <c r="J186" i="1"/>
  <c r="O186" i="1" s="1"/>
  <c r="M408" i="1"/>
  <c r="O408" i="1"/>
  <c r="L408" i="1"/>
  <c r="N408" i="1"/>
  <c r="K408" i="1"/>
  <c r="G21445" i="53"/>
  <c r="G21449" i="53" s="1"/>
  <c r="G21382" i="53" s="1"/>
  <c r="G21585" i="53"/>
  <c r="G21586" i="53"/>
  <c r="G21587" i="53"/>
  <c r="G21591" i="53" s="1"/>
  <c r="G15503" i="53"/>
  <c r="J304" i="1"/>
  <c r="G15504" i="53"/>
  <c r="G15508" i="53" s="1"/>
  <c r="G15502" i="53"/>
  <c r="G23499" i="53"/>
  <c r="G23378" i="53"/>
  <c r="G23426" i="53" s="1"/>
  <c r="G23430" i="53" s="1"/>
  <c r="G23434" i="53" s="1"/>
  <c r="J444" i="1"/>
  <c r="L444" i="1" s="1"/>
  <c r="G23500" i="53"/>
  <c r="G17603" i="53"/>
  <c r="G18685" i="53"/>
  <c r="G18733" i="53" s="1"/>
  <c r="G13072" i="53"/>
  <c r="G13076" i="53" s="1"/>
  <c r="G18543" i="53"/>
  <c r="G18591" i="53" s="1"/>
  <c r="J361" i="1" s="1"/>
  <c r="G17605" i="53"/>
  <c r="G17609" i="53" s="1"/>
  <c r="G17604" i="53"/>
  <c r="G13070" i="53"/>
  <c r="G13071" i="53"/>
  <c r="J290" i="1"/>
  <c r="K290" i="1" s="1"/>
  <c r="G15430" i="53"/>
  <c r="G15434" i="53" s="1"/>
  <c r="G15429" i="53"/>
  <c r="G15428" i="53"/>
  <c r="G10693" i="53"/>
  <c r="G20870" i="53"/>
  <c r="G20874" i="53" s="1"/>
  <c r="G20805" i="53" s="1"/>
  <c r="J256" i="1"/>
  <c r="O256" i="1" s="1"/>
  <c r="K398" i="1"/>
  <c r="L398" i="1"/>
  <c r="M398" i="1"/>
  <c r="O398" i="1"/>
  <c r="N398" i="1"/>
  <c r="J194" i="1"/>
  <c r="K194" i="1" s="1"/>
  <c r="G10694" i="53"/>
  <c r="G17535" i="53"/>
  <c r="G14090" i="53"/>
  <c r="G14138" i="53" s="1"/>
  <c r="G14140" i="53" s="1"/>
  <c r="G17534" i="53"/>
  <c r="J342" i="1"/>
  <c r="N342" i="1" s="1"/>
  <c r="G14018" i="53"/>
  <c r="G14066" i="53" s="1"/>
  <c r="J254" i="1" s="1"/>
  <c r="G14484" i="53"/>
  <c r="G14483" i="53"/>
  <c r="G14485" i="53"/>
  <c r="G14489" i="53" s="1"/>
  <c r="G506" i="53"/>
  <c r="G555" i="53" s="1"/>
  <c r="L280" i="1"/>
  <c r="K280" i="1"/>
  <c r="M280" i="1"/>
  <c r="N280" i="1"/>
  <c r="O280" i="1"/>
  <c r="O281" i="1"/>
  <c r="N281" i="1"/>
  <c r="L281" i="1"/>
  <c r="M281" i="1"/>
  <c r="K281" i="1"/>
  <c r="K429" i="1"/>
  <c r="L429" i="1"/>
  <c r="L436" i="1"/>
  <c r="K436" i="1"/>
  <c r="K202" i="1"/>
  <c r="L202" i="1"/>
  <c r="K262" i="1"/>
  <c r="L262" i="1"/>
  <c r="K228" i="1"/>
  <c r="L228" i="1"/>
  <c r="K263" i="1"/>
  <c r="L263" i="1"/>
  <c r="K219" i="1"/>
  <c r="L219" i="1"/>
  <c r="L221" i="1"/>
  <c r="K221" i="1"/>
  <c r="K261" i="1"/>
  <c r="L261" i="1"/>
  <c r="L205" i="1"/>
  <c r="K205" i="1"/>
  <c r="L335" i="1"/>
  <c r="K335" i="1"/>
  <c r="K265" i="1"/>
  <c r="L265" i="1"/>
  <c r="L217" i="1"/>
  <c r="K217" i="1"/>
  <c r="K274" i="1"/>
  <c r="L274" i="1"/>
  <c r="K275" i="1"/>
  <c r="L275" i="1"/>
  <c r="K227" i="1"/>
  <c r="L227" i="1"/>
  <c r="K343" i="1"/>
  <c r="L343" i="1"/>
  <c r="L264" i="1"/>
  <c r="K264" i="1"/>
  <c r="K196" i="1"/>
  <c r="L196" i="1"/>
  <c r="K222" i="1"/>
  <c r="L222" i="1"/>
  <c r="L200" i="1"/>
  <c r="K200" i="1"/>
  <c r="G12431" i="53"/>
  <c r="K203" i="1"/>
  <c r="L203" i="1"/>
  <c r="L273" i="1"/>
  <c r="K273" i="1"/>
  <c r="M436" i="1"/>
  <c r="O436" i="1"/>
  <c r="N436" i="1"/>
  <c r="O196" i="1"/>
  <c r="N196" i="1"/>
  <c r="M196" i="1"/>
  <c r="O222" i="1"/>
  <c r="N222" i="1"/>
  <c r="M222" i="1"/>
  <c r="N227" i="1"/>
  <c r="O227" i="1"/>
  <c r="M227" i="1"/>
  <c r="O343" i="1"/>
  <c r="N343" i="1"/>
  <c r="M343" i="1"/>
  <c r="O200" i="1"/>
  <c r="M200" i="1"/>
  <c r="N200" i="1"/>
  <c r="O203" i="1"/>
  <c r="N203" i="1"/>
  <c r="M203" i="1"/>
  <c r="O273" i="1"/>
  <c r="N273" i="1"/>
  <c r="M273" i="1"/>
  <c r="N274" i="1"/>
  <c r="O274" i="1"/>
  <c r="M274" i="1"/>
  <c r="O264" i="1"/>
  <c r="N264" i="1"/>
  <c r="M264" i="1"/>
  <c r="O202" i="1"/>
  <c r="N202" i="1"/>
  <c r="M202" i="1"/>
  <c r="O262" i="1"/>
  <c r="M262" i="1"/>
  <c r="N262" i="1"/>
  <c r="M263" i="1"/>
  <c r="O263" i="1"/>
  <c r="N263" i="1"/>
  <c r="O219" i="1"/>
  <c r="M219" i="1"/>
  <c r="N219" i="1"/>
  <c r="O221" i="1"/>
  <c r="N221" i="1"/>
  <c r="M221" i="1"/>
  <c r="O261" i="1"/>
  <c r="N261" i="1"/>
  <c r="M261" i="1"/>
  <c r="O205" i="1"/>
  <c r="N205" i="1"/>
  <c r="M205" i="1"/>
  <c r="O335" i="1"/>
  <c r="N335" i="1"/>
  <c r="M335" i="1"/>
  <c r="M429" i="1"/>
  <c r="O429" i="1"/>
  <c r="N429" i="1"/>
  <c r="O265" i="1"/>
  <c r="N265" i="1"/>
  <c r="M265" i="1"/>
  <c r="O217" i="1"/>
  <c r="M217" i="1"/>
  <c r="N217" i="1"/>
  <c r="N228" i="1"/>
  <c r="O228" i="1"/>
  <c r="M228" i="1"/>
  <c r="O275" i="1"/>
  <c r="N275" i="1"/>
  <c r="M275" i="1"/>
  <c r="G17108" i="53"/>
  <c r="G17112" i="53" s="1"/>
  <c r="G17107" i="53"/>
  <c r="G17106" i="53"/>
  <c r="G12432" i="53"/>
  <c r="G12436" i="53" s="1"/>
  <c r="J330" i="1"/>
  <c r="G16825" i="53"/>
  <c r="G16683" i="53"/>
  <c r="G16687" i="53" s="1"/>
  <c r="G16681" i="53"/>
  <c r="G16682" i="53"/>
  <c r="G16705" i="53"/>
  <c r="G16753" i="53" s="1"/>
  <c r="G16755" i="53" s="1"/>
  <c r="G10438" i="53"/>
  <c r="G10484" i="53" s="1"/>
  <c r="J191" i="1" s="1"/>
  <c r="G16567" i="53"/>
  <c r="G16613" i="53" s="1"/>
  <c r="G16617" i="53" s="1"/>
  <c r="G16621" i="53" s="1"/>
  <c r="G10714" i="53"/>
  <c r="G10764" i="53" s="1"/>
  <c r="G12093" i="53"/>
  <c r="G16826" i="53"/>
  <c r="G16827" i="53"/>
  <c r="G16831" i="53" s="1"/>
  <c r="G23571" i="53"/>
  <c r="G23573" i="53" s="1"/>
  <c r="G12025" i="53"/>
  <c r="G12029" i="53" s="1"/>
  <c r="G11965" i="53" s="1"/>
  <c r="G17412" i="53"/>
  <c r="G17460" i="53" s="1"/>
  <c r="G17464" i="53" s="1"/>
  <c r="G17468" i="53" s="1"/>
  <c r="G12228" i="53"/>
  <c r="G12232" i="53" s="1"/>
  <c r="G12167" i="53" s="1"/>
  <c r="G17340" i="53"/>
  <c r="G17388" i="53" s="1"/>
  <c r="G17391" i="53" s="1"/>
  <c r="G14811" i="53"/>
  <c r="G14815" i="53" s="1"/>
  <c r="G14751" i="53" s="1"/>
  <c r="G17268" i="53"/>
  <c r="G17316" i="53" s="1"/>
  <c r="G17319" i="53" s="1"/>
  <c r="G14416" i="53"/>
  <c r="G14420" i="53" s="1"/>
  <c r="G14355" i="53" s="1"/>
  <c r="G11038" i="53"/>
  <c r="G11042" i="53" s="1"/>
  <c r="G10980" i="53" s="1"/>
  <c r="G11239" i="53"/>
  <c r="G11243" i="53" s="1"/>
  <c r="G11179" i="53" s="1"/>
  <c r="G14348" i="53"/>
  <c r="G14352" i="53" s="1"/>
  <c r="G14288" i="53" s="1"/>
  <c r="G12641" i="53"/>
  <c r="G12645" i="53" s="1"/>
  <c r="G12580" i="53" s="1"/>
  <c r="G16494" i="53"/>
  <c r="G16540" i="53" s="1"/>
  <c r="G21677" i="53"/>
  <c r="G21725" i="53" s="1"/>
  <c r="G21727" i="53" s="1"/>
  <c r="G14281" i="53"/>
  <c r="G14285" i="53" s="1"/>
  <c r="G14222" i="53" s="1"/>
  <c r="G13293" i="53"/>
  <c r="G13297" i="53" s="1"/>
  <c r="G13229" i="53" s="1"/>
  <c r="G14879" i="53"/>
  <c r="G14883" i="53" s="1"/>
  <c r="G14818" i="53" s="1"/>
  <c r="G20452" i="53"/>
  <c r="G20500" i="53" s="1"/>
  <c r="G20503" i="53" s="1"/>
  <c r="G19117" i="53"/>
  <c r="G19166" i="53" s="1"/>
  <c r="G12160" i="53"/>
  <c r="J220" i="1" s="1"/>
  <c r="G11172" i="53"/>
  <c r="G11176" i="53" s="1"/>
  <c r="G11112" i="53" s="1"/>
  <c r="G11371" i="53"/>
  <c r="G11375" i="53" s="1"/>
  <c r="G11312" i="53" s="1"/>
  <c r="G11958" i="53"/>
  <c r="G11962" i="53" s="1"/>
  <c r="G11899" i="53" s="1"/>
  <c r="G20673" i="53"/>
  <c r="G20720" i="53" s="1"/>
  <c r="G10577" i="53"/>
  <c r="G10625" i="53" s="1"/>
  <c r="J411" i="1"/>
  <c r="G21657" i="53"/>
  <c r="G21661" i="53" s="1"/>
  <c r="G21656" i="53"/>
  <c r="G21655" i="53"/>
  <c r="G12313" i="53"/>
  <c r="G12360" i="53" s="1"/>
  <c r="J223" i="1" s="1"/>
  <c r="J204" i="1"/>
  <c r="G11301" i="53"/>
  <c r="G11303" i="53"/>
  <c r="G11307" i="53" s="1"/>
  <c r="G11302" i="53"/>
  <c r="J440" i="1"/>
  <c r="G23291" i="53"/>
  <c r="G23293" i="53"/>
  <c r="G23297" i="53" s="1"/>
  <c r="G23292" i="53"/>
  <c r="G16268" i="53"/>
  <c r="G10369" i="53"/>
  <c r="G10413" i="53" s="1"/>
  <c r="J199" i="1"/>
  <c r="G10971" i="53"/>
  <c r="G10975" i="53" s="1"/>
  <c r="G10970" i="53"/>
  <c r="G10969" i="53"/>
  <c r="G12296" i="53"/>
  <c r="G12300" i="53" s="1"/>
  <c r="G12235" i="53" s="1"/>
  <c r="G16269" i="53"/>
  <c r="J316" i="1"/>
  <c r="G14951" i="53"/>
  <c r="G14955" i="53" s="1"/>
  <c r="G14886" i="53" s="1"/>
  <c r="G15103" i="53"/>
  <c r="G15149" i="53" s="1"/>
  <c r="G16270" i="53"/>
  <c r="G16274" i="53" s="1"/>
  <c r="G23600" i="53"/>
  <c r="G23645" i="53" s="1"/>
  <c r="G12450" i="53"/>
  <c r="G12498" i="53" s="1"/>
  <c r="G13882" i="53"/>
  <c r="G13927" i="53" s="1"/>
  <c r="G10296" i="53"/>
  <c r="G10344" i="53" s="1"/>
  <c r="G10903" i="53"/>
  <c r="J197" i="1"/>
  <c r="G10904" i="53"/>
  <c r="J259" i="1"/>
  <c r="G10905" i="53"/>
  <c r="G10909" i="53" s="1"/>
  <c r="G9783" i="53"/>
  <c r="G13172" i="53"/>
  <c r="G13216" i="53" s="1"/>
  <c r="J292" i="1" s="1"/>
  <c r="K292" i="1" s="1"/>
  <c r="G10020" i="53"/>
  <c r="G10068" i="53" s="1"/>
  <c r="J169" i="1"/>
  <c r="J16" i="1"/>
  <c r="J56" i="1"/>
  <c r="J17" i="1"/>
  <c r="J8" i="1"/>
  <c r="J27" i="1"/>
  <c r="J166" i="1"/>
  <c r="J25" i="1"/>
  <c r="G2135" i="53"/>
  <c r="J41" i="1" s="1"/>
  <c r="G2954" i="53"/>
  <c r="G2955" i="53"/>
  <c r="G2956" i="53"/>
  <c r="G2960" i="53" s="1"/>
  <c r="G1999" i="53"/>
  <c r="G2001" i="53"/>
  <c r="G2005" i="53" s="1"/>
  <c r="G2000" i="53"/>
  <c r="J60" i="1"/>
  <c r="G3098" i="53"/>
  <c r="G3102" i="53" s="1"/>
  <c r="G3097" i="53"/>
  <c r="G3096" i="53"/>
  <c r="J38" i="1"/>
  <c r="G1863" i="53"/>
  <c r="G1034" i="53"/>
  <c r="J26" i="1"/>
  <c r="G1174" i="53"/>
  <c r="G1178" i="53" s="1"/>
  <c r="G1173" i="53"/>
  <c r="G1172" i="53"/>
  <c r="G1105" i="53"/>
  <c r="G1106" i="53"/>
  <c r="G1110" i="53" s="1"/>
  <c r="G1104" i="53"/>
  <c r="G23014" i="53"/>
  <c r="G23018" i="53" s="1"/>
  <c r="G22950" i="53" s="1"/>
  <c r="G20281" i="53"/>
  <c r="G22516" i="53"/>
  <c r="G22520" i="53" s="1"/>
  <c r="G22452" i="53" s="1"/>
  <c r="G18190" i="53"/>
  <c r="G18238" i="53" s="1"/>
  <c r="J355" i="1" s="1"/>
  <c r="J300" i="1"/>
  <c r="J416" i="1"/>
  <c r="J397" i="1"/>
  <c r="G5665" i="53"/>
  <c r="G8591" i="53"/>
  <c r="G5732" i="53"/>
  <c r="G5736" i="53" s="1"/>
  <c r="G5740" i="53" s="1"/>
  <c r="G18050" i="53"/>
  <c r="G18098" i="53" s="1"/>
  <c r="G19714" i="53"/>
  <c r="G19762" i="53" s="1"/>
  <c r="G20795" i="53"/>
  <c r="G20794" i="53"/>
  <c r="G20796" i="53"/>
  <c r="G20800" i="53" s="1"/>
  <c r="G21943" i="53"/>
  <c r="G21947" i="53" s="1"/>
  <c r="G21942" i="53"/>
  <c r="G21941" i="53"/>
  <c r="F20880" i="53"/>
  <c r="G20880" i="53" s="1"/>
  <c r="G20888" i="53" s="1"/>
  <c r="G20936" i="53" s="1"/>
  <c r="B20880" i="53"/>
  <c r="J130" i="1"/>
  <c r="G6891" i="53"/>
  <c r="G6893" i="53"/>
  <c r="G6897" i="53" s="1"/>
  <c r="G6892" i="53"/>
  <c r="J146" i="1"/>
  <c r="G7784" i="53"/>
  <c r="G7788" i="53" s="1"/>
  <c r="G7782" i="53"/>
  <c r="G7783" i="53"/>
  <c r="G6144" i="53"/>
  <c r="G6145" i="53"/>
  <c r="J118" i="1"/>
  <c r="G6146" i="53"/>
  <c r="G6150" i="53" s="1"/>
  <c r="G22799" i="53"/>
  <c r="G22803" i="53" s="1"/>
  <c r="J433" i="1"/>
  <c r="G22797" i="53"/>
  <c r="G22798" i="53"/>
  <c r="J124" i="1"/>
  <c r="G6554" i="53"/>
  <c r="G6555" i="53"/>
  <c r="G6559" i="53" s="1"/>
  <c r="G6553" i="53"/>
  <c r="J165" i="1"/>
  <c r="G8870" i="53"/>
  <c r="G8871" i="53"/>
  <c r="G8872" i="53"/>
  <c r="G8876" i="53" s="1"/>
  <c r="J145" i="1"/>
  <c r="J163" i="1"/>
  <c r="J101" i="1"/>
  <c r="J20" i="1"/>
  <c r="O20" i="1" s="1"/>
  <c r="G900" i="53"/>
  <c r="G904" i="53" s="1"/>
  <c r="G898" i="53"/>
  <c r="G899" i="53"/>
  <c r="G23853" i="53"/>
  <c r="G23854" i="53"/>
  <c r="G23858" i="53" s="1"/>
  <c r="G23852" i="53"/>
  <c r="J451" i="1"/>
  <c r="G402" i="53"/>
  <c r="G404" i="53"/>
  <c r="G408" i="53" s="1"/>
  <c r="J18" i="1"/>
  <c r="G403" i="53"/>
  <c r="G4919" i="53"/>
  <c r="G4921" i="53"/>
  <c r="G4925" i="53" s="1"/>
  <c r="G4920" i="53"/>
  <c r="J98" i="1"/>
  <c r="J180" i="1"/>
  <c r="G9858" i="53"/>
  <c r="G9862" i="53" s="1"/>
  <c r="G9857" i="53"/>
  <c r="G9856" i="53"/>
  <c r="G8528" i="53"/>
  <c r="G8532" i="53" s="1"/>
  <c r="G8527" i="53"/>
  <c r="G8526" i="53"/>
  <c r="J158" i="1"/>
  <c r="G6755" i="53"/>
  <c r="G6759" i="53" s="1"/>
  <c r="G6753" i="53"/>
  <c r="G6754" i="53"/>
  <c r="J128" i="1"/>
  <c r="G6822" i="53"/>
  <c r="G6823" i="53"/>
  <c r="G6824" i="53"/>
  <c r="G6828" i="53" s="1"/>
  <c r="J129" i="1"/>
  <c r="G19686" i="53"/>
  <c r="G8939" i="53"/>
  <c r="G8943" i="53" s="1"/>
  <c r="G8938" i="53"/>
  <c r="G8937" i="53"/>
  <c r="G23221" i="53"/>
  <c r="G23225" i="53" s="1"/>
  <c r="J439" i="1"/>
  <c r="G23219" i="53"/>
  <c r="G23220" i="53"/>
  <c r="J12" i="1"/>
  <c r="G478" i="53"/>
  <c r="G479" i="53"/>
  <c r="G483" i="53" s="1"/>
  <c r="G477" i="53"/>
  <c r="J149" i="1"/>
  <c r="G7986" i="53"/>
  <c r="G7990" i="53" s="1"/>
  <c r="G7985" i="53"/>
  <c r="G7984" i="53"/>
  <c r="G4783" i="53"/>
  <c r="G4787" i="53" s="1"/>
  <c r="G4782" i="53"/>
  <c r="G4781" i="53"/>
  <c r="G197" i="53"/>
  <c r="G196" i="53"/>
  <c r="G198" i="53"/>
  <c r="G202" i="53" s="1"/>
  <c r="G6212" i="53"/>
  <c r="G6213" i="53"/>
  <c r="J119" i="1"/>
  <c r="G6214" i="53"/>
  <c r="G6218" i="53" s="1"/>
  <c r="J160" i="1"/>
  <c r="G8664" i="53"/>
  <c r="G8665" i="53"/>
  <c r="G8666" i="53"/>
  <c r="G8670" i="53" s="1"/>
  <c r="G9150" i="53"/>
  <c r="G9154" i="53" s="1"/>
  <c r="G9149" i="53"/>
  <c r="G9148" i="53"/>
  <c r="J156" i="1"/>
  <c r="G5055" i="53"/>
  <c r="J100" i="1"/>
  <c r="G5056" i="53"/>
  <c r="G5060" i="53" s="1"/>
  <c r="G5054" i="53"/>
  <c r="G1243" i="53"/>
  <c r="G1247" i="53" s="1"/>
  <c r="G1241" i="53"/>
  <c r="G1242" i="53"/>
  <c r="G8803" i="53"/>
  <c r="G8807" i="53" s="1"/>
  <c r="J164" i="1"/>
  <c r="G8801" i="53"/>
  <c r="G8802" i="53"/>
  <c r="G764" i="53"/>
  <c r="G768" i="53" s="1"/>
  <c r="G763" i="53"/>
  <c r="G762" i="53"/>
  <c r="G695" i="53"/>
  <c r="G696" i="53"/>
  <c r="G700" i="53" s="1"/>
  <c r="G694" i="53"/>
  <c r="G13792" i="53"/>
  <c r="G13796" i="53" s="1"/>
  <c r="G13791" i="53"/>
  <c r="J247" i="1"/>
  <c r="G13790" i="53"/>
  <c r="B19188" i="53"/>
  <c r="B19336" i="53"/>
  <c r="B19483" i="53"/>
  <c r="B19410" i="53"/>
  <c r="B19556" i="53"/>
  <c r="G19562" i="53"/>
  <c r="G19611" i="53" s="1"/>
  <c r="G19489" i="53"/>
  <c r="G19538" i="53" s="1"/>
  <c r="G19343" i="53"/>
  <c r="G19392" i="53" s="1"/>
  <c r="B19634" i="53"/>
  <c r="A22309" i="53"/>
  <c r="A23093" i="53"/>
  <c r="A22665" i="53"/>
  <c r="A23021" i="53"/>
  <c r="G22390" i="53"/>
  <c r="G22439" i="53" s="1"/>
  <c r="G18120" i="53"/>
  <c r="G18168" i="53" s="1"/>
  <c r="G17905" i="53"/>
  <c r="G17953" i="53" s="1"/>
  <c r="G22532" i="53"/>
  <c r="G22581" i="53" s="1"/>
  <c r="D17899" i="53"/>
  <c r="B17899" i="53"/>
  <c r="B18114" i="53"/>
  <c r="D18114" i="53"/>
  <c r="F22312" i="53"/>
  <c r="D22312" i="53"/>
  <c r="B22526" i="53"/>
  <c r="F22668" i="53"/>
  <c r="D22668" i="53"/>
  <c r="D22526" i="53"/>
  <c r="F23024" i="53"/>
  <c r="B22668" i="53"/>
  <c r="B23024" i="53"/>
  <c r="B23025" i="53"/>
  <c r="D23025" i="53"/>
  <c r="B23026" i="53"/>
  <c r="F22240" i="53"/>
  <c r="G22240" i="53" s="1"/>
  <c r="G22247" i="53" s="1"/>
  <c r="G22296" i="53" s="1"/>
  <c r="F22169" i="53"/>
  <c r="B22169" i="53"/>
  <c r="D22240" i="53"/>
  <c r="B18964" i="53"/>
  <c r="B20374" i="53"/>
  <c r="D20374" i="53"/>
  <c r="B20300" i="53"/>
  <c r="F14963" i="53"/>
  <c r="G14963" i="53" s="1"/>
  <c r="B14963" i="53"/>
  <c r="B21955" i="53"/>
  <c r="D21955" i="53"/>
  <c r="B21959" i="53"/>
  <c r="B21956" i="53"/>
  <c r="D20300" i="53"/>
  <c r="D20370" i="53"/>
  <c r="B20370" i="53"/>
  <c r="F20371" i="53"/>
  <c r="G20371" i="53" s="1"/>
  <c r="D20881" i="53"/>
  <c r="D20373" i="53"/>
  <c r="D20371" i="53"/>
  <c r="D20299" i="53"/>
  <c r="D20517" i="53"/>
  <c r="F20518" i="53"/>
  <c r="G20518" i="53" s="1"/>
  <c r="D20298" i="53"/>
  <c r="F20298" i="53"/>
  <c r="G20298" i="53" s="1"/>
  <c r="D20297" i="53"/>
  <c r="D20883" i="53"/>
  <c r="D20880" i="53"/>
  <c r="B20884" i="53"/>
  <c r="D20884" i="53"/>
  <c r="B20517" i="53"/>
  <c r="B20516" i="53"/>
  <c r="D20516" i="53"/>
  <c r="B19184" i="53"/>
  <c r="D19184" i="53"/>
  <c r="B19185" i="53"/>
  <c r="D19185" i="53"/>
  <c r="D21240" i="53"/>
  <c r="B21240" i="53"/>
  <c r="B19182" i="53"/>
  <c r="D19182" i="53"/>
  <c r="B19183" i="53"/>
  <c r="D19183" i="53"/>
  <c r="D21241" i="53"/>
  <c r="D18964" i="53"/>
  <c r="F18964" i="53"/>
  <c r="G18964" i="53" s="1"/>
  <c r="B18966" i="53"/>
  <c r="D18966" i="53"/>
  <c r="B18965" i="53"/>
  <c r="D18965" i="53"/>
  <c r="F16286" i="53"/>
  <c r="G16286" i="53" s="1"/>
  <c r="A16282" i="53"/>
  <c r="B16282" i="53" s="1"/>
  <c r="A18892" i="53"/>
  <c r="B18889" i="53"/>
  <c r="F18899" i="53"/>
  <c r="G18899" i="53" s="1"/>
  <c r="D18899" i="53"/>
  <c r="B18899" i="53"/>
  <c r="F18898" i="53"/>
  <c r="G18898" i="53" s="1"/>
  <c r="D18898" i="53"/>
  <c r="B18898" i="53"/>
  <c r="F18897" i="53"/>
  <c r="G18897" i="53" s="1"/>
  <c r="D18897" i="53"/>
  <c r="B18897" i="53"/>
  <c r="F18896" i="53"/>
  <c r="G18896" i="53" s="1"/>
  <c r="D18896" i="53"/>
  <c r="B18896" i="53"/>
  <c r="F18895" i="53"/>
  <c r="G18895" i="53" s="1"/>
  <c r="F18894" i="53"/>
  <c r="G18894" i="53" s="1"/>
  <c r="F18893" i="53"/>
  <c r="G18893" i="53" s="1"/>
  <c r="D18749" i="53"/>
  <c r="B18746" i="53"/>
  <c r="A18820" i="53"/>
  <c r="B18820" i="53" s="1"/>
  <c r="F18821" i="53"/>
  <c r="G18821" i="53" s="1"/>
  <c r="B18816" i="53"/>
  <c r="F18825" i="53"/>
  <c r="G18825" i="53" s="1"/>
  <c r="D18825" i="53"/>
  <c r="F18824" i="53"/>
  <c r="G18824" i="53" s="1"/>
  <c r="D18824" i="53"/>
  <c r="F18823" i="53"/>
  <c r="G18823" i="53" s="1"/>
  <c r="D18823" i="53"/>
  <c r="B18823" i="53"/>
  <c r="F18822" i="53"/>
  <c r="G18822" i="53" s="1"/>
  <c r="D18822" i="53"/>
  <c r="B18822" i="53"/>
  <c r="F18607" i="53"/>
  <c r="G18607" i="53" s="1"/>
  <c r="B18604" i="53"/>
  <c r="F18614" i="53"/>
  <c r="G18614" i="53" s="1"/>
  <c r="D18614" i="53"/>
  <c r="B18614" i="53"/>
  <c r="F18613" i="53"/>
  <c r="G18613" i="53" s="1"/>
  <c r="D18613" i="53"/>
  <c r="B18613" i="53"/>
  <c r="F18612" i="53"/>
  <c r="G18612" i="53" s="1"/>
  <c r="B18612" i="53"/>
  <c r="F18611" i="53"/>
  <c r="G18611" i="53" s="1"/>
  <c r="B18611" i="53"/>
  <c r="F18610" i="53"/>
  <c r="G18610" i="53" s="1"/>
  <c r="B18610" i="53"/>
  <c r="F18609" i="53"/>
  <c r="G18609" i="53" s="1"/>
  <c r="D18609" i="53"/>
  <c r="B18609" i="53"/>
  <c r="F18608" i="53"/>
  <c r="G18608" i="53" s="1"/>
  <c r="D18608" i="53"/>
  <c r="A17760" i="53"/>
  <c r="D17760" i="53" s="1"/>
  <c r="A17759" i="53"/>
  <c r="D17759" i="53" s="1"/>
  <c r="A17758" i="53"/>
  <c r="A17757" i="53"/>
  <c r="D17757" i="53" s="1"/>
  <c r="B17754" i="53"/>
  <c r="F17761" i="53"/>
  <c r="G17761" i="53" s="1"/>
  <c r="D17761" i="53"/>
  <c r="B17761" i="53"/>
  <c r="D17691" i="53"/>
  <c r="F17692" i="53"/>
  <c r="G17692" i="53" s="1"/>
  <c r="D17690" i="53"/>
  <c r="A17689" i="53"/>
  <c r="B17686" i="53"/>
  <c r="A17619" i="53"/>
  <c r="D17618" i="53"/>
  <c r="A17617" i="53"/>
  <c r="B17614" i="53"/>
  <c r="F17624" i="53"/>
  <c r="G17624" i="53" s="1"/>
  <c r="D17624" i="53"/>
  <c r="D17623" i="53"/>
  <c r="B17623" i="53"/>
  <c r="F17623" i="53"/>
  <c r="G17623" i="53" s="1"/>
  <c r="F17622" i="53"/>
  <c r="G17622" i="53" s="1"/>
  <c r="D17622" i="53"/>
  <c r="B17622" i="53"/>
  <c r="F17621" i="53"/>
  <c r="G17621" i="53" s="1"/>
  <c r="D17621" i="53"/>
  <c r="F17620" i="53"/>
  <c r="G17620" i="53" s="1"/>
  <c r="F19184" i="53"/>
  <c r="G19184" i="53" s="1"/>
  <c r="F17195" i="53"/>
  <c r="G17195" i="53" s="1"/>
  <c r="F17194" i="53"/>
  <c r="D17193" i="53"/>
  <c r="F17192" i="53"/>
  <c r="G17192" i="53" s="1"/>
  <c r="B17191" i="53"/>
  <c r="A17190" i="53"/>
  <c r="D17190" i="53" s="1"/>
  <c r="A17189" i="53"/>
  <c r="F17188" i="53"/>
  <c r="G17188" i="53" s="1"/>
  <c r="B17185" i="53"/>
  <c r="A16981" i="53"/>
  <c r="B16978" i="53"/>
  <c r="F16984" i="53"/>
  <c r="G16984" i="53" s="1"/>
  <c r="D16984" i="53"/>
  <c r="B16984" i="53"/>
  <c r="B16983" i="53"/>
  <c r="F16982" i="53"/>
  <c r="G16982" i="53" s="1"/>
  <c r="D16982" i="53"/>
  <c r="B16982" i="53"/>
  <c r="L294" i="1" l="1"/>
  <c r="M294" i="1"/>
  <c r="N294" i="1"/>
  <c r="O294" i="1"/>
  <c r="G13505" i="53"/>
  <c r="G13506" i="53"/>
  <c r="G13510" i="53" s="1"/>
  <c r="J243" i="1"/>
  <c r="L243" i="1" s="1"/>
  <c r="G6964" i="53"/>
  <c r="G6968" i="53" s="1"/>
  <c r="G6902" i="53" s="1"/>
  <c r="J253" i="1"/>
  <c r="G14001" i="53"/>
  <c r="G14005" i="53" s="1"/>
  <c r="G13999" i="53"/>
  <c r="G14000" i="53"/>
  <c r="J251" i="1"/>
  <c r="G13860" i="53"/>
  <c r="G13859" i="53"/>
  <c r="G13861" i="53"/>
  <c r="G13865" i="53" s="1"/>
  <c r="J192" i="1"/>
  <c r="N192" i="1" s="1"/>
  <c r="G10557" i="53"/>
  <c r="G10561" i="53" s="1"/>
  <c r="G10556" i="53"/>
  <c r="G10555" i="53"/>
  <c r="M260" i="1"/>
  <c r="N260" i="1"/>
  <c r="O260" i="1"/>
  <c r="L260" i="1"/>
  <c r="N67" i="1"/>
  <c r="L68" i="1"/>
  <c r="L67" i="1" s="1"/>
  <c r="J177" i="1"/>
  <c r="O177" i="1" s="1"/>
  <c r="G9643" i="53"/>
  <c r="K68" i="1"/>
  <c r="K67" i="1" s="1"/>
  <c r="M68" i="1"/>
  <c r="M67" i="1" s="1"/>
  <c r="O68" i="1"/>
  <c r="O67" i="1" s="1"/>
  <c r="G9644" i="53"/>
  <c r="N80" i="1"/>
  <c r="N79" i="1" s="1"/>
  <c r="O80" i="1"/>
  <c r="O79" i="1" s="1"/>
  <c r="L80" i="1"/>
  <c r="L79" i="1" s="1"/>
  <c r="M80" i="1"/>
  <c r="M79" i="1" s="1"/>
  <c r="K80" i="1"/>
  <c r="K79" i="1" s="1"/>
  <c r="G3598" i="53"/>
  <c r="G3602" i="53" s="1"/>
  <c r="G3533" i="53" s="1"/>
  <c r="G8735" i="53"/>
  <c r="G8739" i="53" s="1"/>
  <c r="G8675" i="53" s="1"/>
  <c r="N58" i="1"/>
  <c r="M58" i="1"/>
  <c r="L58" i="1"/>
  <c r="K58" i="1"/>
  <c r="O58" i="1"/>
  <c r="K232" i="1"/>
  <c r="L232" i="1"/>
  <c r="O232" i="1"/>
  <c r="N232" i="1"/>
  <c r="M232" i="1"/>
  <c r="N285" i="1"/>
  <c r="K285" i="1"/>
  <c r="L285" i="1"/>
  <c r="M285" i="1"/>
  <c r="O285" i="1"/>
  <c r="O47" i="1"/>
  <c r="N47" i="1"/>
  <c r="K47" i="1"/>
  <c r="L47" i="1"/>
  <c r="N161" i="1"/>
  <c r="K161" i="1"/>
  <c r="M161" i="1"/>
  <c r="O161" i="1"/>
  <c r="L161" i="1"/>
  <c r="G6080" i="53"/>
  <c r="G6084" i="53" s="1"/>
  <c r="G6017" i="53" s="1"/>
  <c r="G6010" i="53"/>
  <c r="G6014" i="53" s="1"/>
  <c r="G5949" i="53" s="1"/>
  <c r="L116" i="1"/>
  <c r="N116" i="1"/>
  <c r="O116" i="1"/>
  <c r="M116" i="1"/>
  <c r="K116" i="1"/>
  <c r="K115" i="1"/>
  <c r="L115" i="1"/>
  <c r="O115" i="1"/>
  <c r="N115" i="1"/>
  <c r="M115" i="1"/>
  <c r="N130" i="1"/>
  <c r="O130" i="1"/>
  <c r="K130" i="1"/>
  <c r="L130" i="1"/>
  <c r="M130" i="1"/>
  <c r="K128" i="1"/>
  <c r="L128" i="1"/>
  <c r="M128" i="1"/>
  <c r="N128" i="1"/>
  <c r="O128" i="1"/>
  <c r="O129" i="1"/>
  <c r="N129" i="1"/>
  <c r="M129" i="1"/>
  <c r="K129" i="1"/>
  <c r="L129" i="1"/>
  <c r="O140" i="1"/>
  <c r="K140" i="1"/>
  <c r="L140" i="1"/>
  <c r="M140" i="1"/>
  <c r="N140" i="1"/>
  <c r="G7577" i="53"/>
  <c r="G7581" i="53" s="1"/>
  <c r="G7517" i="53" s="1"/>
  <c r="L100" i="1"/>
  <c r="N100" i="1"/>
  <c r="O100" i="1"/>
  <c r="K100" i="1"/>
  <c r="M100" i="1"/>
  <c r="O101" i="1"/>
  <c r="K101" i="1"/>
  <c r="L101" i="1"/>
  <c r="M101" i="1"/>
  <c r="N101" i="1"/>
  <c r="N98" i="1"/>
  <c r="O98" i="1"/>
  <c r="K98" i="1"/>
  <c r="L98" i="1"/>
  <c r="M98" i="1"/>
  <c r="G1734" i="53"/>
  <c r="G1738" i="53" s="1"/>
  <c r="G1672" i="53" s="1"/>
  <c r="J33" i="1"/>
  <c r="M33" i="1" s="1"/>
  <c r="G1663" i="53"/>
  <c r="G1667" i="53" s="1"/>
  <c r="G1662" i="53"/>
  <c r="G1661" i="53"/>
  <c r="J35" i="1"/>
  <c r="M35" i="1" s="1"/>
  <c r="G1800" i="53"/>
  <c r="G1799" i="53"/>
  <c r="G1801" i="53"/>
  <c r="G1805" i="53" s="1"/>
  <c r="K41" i="1"/>
  <c r="L41" i="1"/>
  <c r="N41" i="1"/>
  <c r="M41" i="1"/>
  <c r="O41" i="1"/>
  <c r="M146" i="1"/>
  <c r="N146" i="1"/>
  <c r="O146" i="1"/>
  <c r="L146" i="1"/>
  <c r="K146" i="1"/>
  <c r="O149" i="1"/>
  <c r="M149" i="1"/>
  <c r="K149" i="1"/>
  <c r="L149" i="1"/>
  <c r="N149" i="1"/>
  <c r="O156" i="1"/>
  <c r="K156" i="1"/>
  <c r="N156" i="1"/>
  <c r="L156" i="1"/>
  <c r="M156" i="1"/>
  <c r="N160" i="1"/>
  <c r="O160" i="1"/>
  <c r="M160" i="1"/>
  <c r="K160" i="1"/>
  <c r="L160" i="1"/>
  <c r="M158" i="1"/>
  <c r="N158" i="1"/>
  <c r="O158" i="1"/>
  <c r="L158" i="1"/>
  <c r="K158" i="1"/>
  <c r="G630" i="53"/>
  <c r="J14" i="1"/>
  <c r="G629" i="53"/>
  <c r="G631" i="53"/>
  <c r="G635" i="53" s="1"/>
  <c r="N20" i="1"/>
  <c r="M20" i="1"/>
  <c r="L20" i="1"/>
  <c r="M241" i="1"/>
  <c r="G21801" i="53"/>
  <c r="J296" i="1"/>
  <c r="G21802" i="53"/>
  <c r="G21806" i="53" s="1"/>
  <c r="J413" i="1"/>
  <c r="M413" i="1" s="1"/>
  <c r="G21800" i="53"/>
  <c r="G13364" i="53"/>
  <c r="G13368" i="53" s="1"/>
  <c r="G13300" i="53" s="1"/>
  <c r="N241" i="1"/>
  <c r="L241" i="1"/>
  <c r="K241" i="1"/>
  <c r="J386" i="1"/>
  <c r="M386" i="1" s="1"/>
  <c r="G20208" i="53"/>
  <c r="G20209" i="53"/>
  <c r="G20213" i="53" s="1"/>
  <c r="G20207" i="53"/>
  <c r="J378" i="1"/>
  <c r="G19170" i="53"/>
  <c r="G19174" i="53" s="1"/>
  <c r="J371" i="1"/>
  <c r="G18522" i="53"/>
  <c r="G18523" i="53"/>
  <c r="G18527" i="53" s="1"/>
  <c r="G18521" i="53"/>
  <c r="K327" i="1"/>
  <c r="G18447" i="53"/>
  <c r="G18448" i="53"/>
  <c r="G18452" i="53" s="1"/>
  <c r="J359" i="1"/>
  <c r="O359" i="1" s="1"/>
  <c r="M355" i="1"/>
  <c r="L355" i="1"/>
  <c r="K355" i="1"/>
  <c r="N355" i="1"/>
  <c r="O355" i="1"/>
  <c r="J354" i="1"/>
  <c r="G10841" i="53"/>
  <c r="G10845" i="53" s="1"/>
  <c r="G10777" i="53" s="1"/>
  <c r="G17887" i="53"/>
  <c r="G17891" i="53" s="1"/>
  <c r="J348" i="1"/>
  <c r="K348" i="1" s="1"/>
  <c r="G17885" i="53"/>
  <c r="J420" i="1"/>
  <c r="G22087" i="53"/>
  <c r="G22086" i="53"/>
  <c r="G22088" i="53"/>
  <c r="G22092" i="53" s="1"/>
  <c r="J406" i="1"/>
  <c r="G21371" i="53"/>
  <c r="G21372" i="53"/>
  <c r="G21373" i="53"/>
  <c r="G21377" i="53" s="1"/>
  <c r="L327" i="1"/>
  <c r="O327" i="1"/>
  <c r="M327" i="1"/>
  <c r="K349" i="1"/>
  <c r="O349" i="1"/>
  <c r="N349" i="1"/>
  <c r="L349" i="1"/>
  <c r="M349" i="1"/>
  <c r="N288" i="1"/>
  <c r="M288" i="1"/>
  <c r="O288" i="1"/>
  <c r="L288" i="1"/>
  <c r="M236" i="1"/>
  <c r="N236" i="1"/>
  <c r="L236" i="1"/>
  <c r="O236" i="1"/>
  <c r="K236" i="1"/>
  <c r="M247" i="1"/>
  <c r="L247" i="1"/>
  <c r="K247" i="1"/>
  <c r="N247" i="1"/>
  <c r="O247" i="1"/>
  <c r="L291" i="1"/>
  <c r="O291" i="1"/>
  <c r="N291" i="1"/>
  <c r="M291" i="1"/>
  <c r="L292" i="1"/>
  <c r="O292" i="1"/>
  <c r="M292" i="1"/>
  <c r="N292" i="1"/>
  <c r="N186" i="1"/>
  <c r="M186" i="1"/>
  <c r="G10280" i="53"/>
  <c r="G10284" i="53" s="1"/>
  <c r="G10221" i="53" s="1"/>
  <c r="L186" i="1"/>
  <c r="K186" i="1"/>
  <c r="G21589" i="53"/>
  <c r="G21593" i="53" s="1"/>
  <c r="G21524" i="53" s="1"/>
  <c r="K304" i="1"/>
  <c r="N304" i="1"/>
  <c r="O304" i="1"/>
  <c r="M304" i="1"/>
  <c r="L304" i="1"/>
  <c r="G15506" i="53"/>
  <c r="G15510" i="53" s="1"/>
  <c r="G15439" i="53" s="1"/>
  <c r="G23503" i="53"/>
  <c r="G23507" i="53" s="1"/>
  <c r="G23439" i="53" s="1"/>
  <c r="G23429" i="53"/>
  <c r="O444" i="1"/>
  <c r="G23428" i="53"/>
  <c r="M444" i="1"/>
  <c r="K444" i="1"/>
  <c r="J443" i="1"/>
  <c r="M443" i="1" s="1"/>
  <c r="N444" i="1"/>
  <c r="G18595" i="53"/>
  <c r="G18599" i="53" s="1"/>
  <c r="G18593" i="53"/>
  <c r="G18594" i="53"/>
  <c r="M360" i="1"/>
  <c r="N360" i="1"/>
  <c r="L360" i="1"/>
  <c r="O360" i="1"/>
  <c r="K360" i="1"/>
  <c r="G18735" i="53"/>
  <c r="J363" i="1"/>
  <c r="L363" i="1" s="1"/>
  <c r="G18736" i="53"/>
  <c r="G18737" i="53"/>
  <c r="G18741" i="53" s="1"/>
  <c r="G13074" i="53"/>
  <c r="G13078" i="53" s="1"/>
  <c r="G13010" i="53" s="1"/>
  <c r="G18029" i="53"/>
  <c r="G18033" i="53" s="1"/>
  <c r="G18027" i="53"/>
  <c r="J352" i="1"/>
  <c r="K352" i="1" s="1"/>
  <c r="G17607" i="53"/>
  <c r="G17611" i="53" s="1"/>
  <c r="G17545" i="53" s="1"/>
  <c r="G15432" i="53"/>
  <c r="G15436" i="53" s="1"/>
  <c r="G15371" i="53" s="1"/>
  <c r="N256" i="1"/>
  <c r="K256" i="1"/>
  <c r="G10697" i="53"/>
  <c r="G10638" i="53" s="1"/>
  <c r="L290" i="1"/>
  <c r="N290" i="1"/>
  <c r="O290" i="1"/>
  <c r="M290" i="1"/>
  <c r="L256" i="1"/>
  <c r="M256" i="1"/>
  <c r="G17538" i="53"/>
  <c r="G17542" i="53" s="1"/>
  <c r="G17473" i="53" s="1"/>
  <c r="M194" i="1"/>
  <c r="O194" i="1"/>
  <c r="K260" i="1"/>
  <c r="N194" i="1"/>
  <c r="L194" i="1"/>
  <c r="L342" i="1"/>
  <c r="M342" i="1"/>
  <c r="K342" i="1"/>
  <c r="O342" i="1"/>
  <c r="J195" i="1"/>
  <c r="L195" i="1" s="1"/>
  <c r="J257" i="1"/>
  <c r="K254" i="1"/>
  <c r="O254" i="1"/>
  <c r="L254" i="1"/>
  <c r="N254" i="1"/>
  <c r="M254" i="1"/>
  <c r="G14070" i="53"/>
  <c r="G14074" i="53" s="1"/>
  <c r="G14069" i="53"/>
  <c r="G14068" i="53"/>
  <c r="G14487" i="53"/>
  <c r="G14491" i="53" s="1"/>
  <c r="G14423" i="53" s="1"/>
  <c r="J13" i="1"/>
  <c r="G558" i="53"/>
  <c r="G559" i="53"/>
  <c r="G563" i="53" s="1"/>
  <c r="G557" i="53"/>
  <c r="K300" i="1"/>
  <c r="O300" i="1"/>
  <c r="L300" i="1"/>
  <c r="N300" i="1"/>
  <c r="M300" i="1"/>
  <c r="G16542" i="53"/>
  <c r="K439" i="1"/>
  <c r="L439" i="1"/>
  <c r="L145" i="1"/>
  <c r="K145" i="1"/>
  <c r="K124" i="1"/>
  <c r="L124" i="1"/>
  <c r="L26" i="1"/>
  <c r="K26" i="1"/>
  <c r="L166" i="1"/>
  <c r="K166" i="1"/>
  <c r="K27" i="1"/>
  <c r="L27" i="1"/>
  <c r="K169" i="1"/>
  <c r="L169" i="1"/>
  <c r="K316" i="1"/>
  <c r="L316" i="1"/>
  <c r="K180" i="1"/>
  <c r="L180" i="1"/>
  <c r="K20" i="1"/>
  <c r="K164" i="1"/>
  <c r="L164" i="1"/>
  <c r="K451" i="1"/>
  <c r="K449" i="1" s="1"/>
  <c r="L451" i="1"/>
  <c r="L449" i="1" s="1"/>
  <c r="L416" i="1"/>
  <c r="L414" i="1" s="1"/>
  <c r="K416" i="1"/>
  <c r="K414" i="1" s="1"/>
  <c r="K16" i="1"/>
  <c r="L16" i="1"/>
  <c r="K433" i="1"/>
  <c r="L433" i="1"/>
  <c r="L119" i="1"/>
  <c r="K119" i="1"/>
  <c r="K165" i="1"/>
  <c r="L165" i="1"/>
  <c r="K60" i="1"/>
  <c r="L60" i="1"/>
  <c r="K25" i="1"/>
  <c r="L25" i="1"/>
  <c r="K17" i="1"/>
  <c r="L17" i="1"/>
  <c r="K12" i="1"/>
  <c r="L12" i="1"/>
  <c r="L163" i="1"/>
  <c r="K163" i="1"/>
  <c r="L8" i="1"/>
  <c r="K8" i="1"/>
  <c r="K330" i="1"/>
  <c r="L330" i="1"/>
  <c r="K118" i="1"/>
  <c r="L118" i="1"/>
  <c r="K56" i="1"/>
  <c r="L56" i="1"/>
  <c r="L18" i="1"/>
  <c r="K18" i="1"/>
  <c r="K397" i="1"/>
  <c r="L397" i="1"/>
  <c r="K38" i="1"/>
  <c r="L38" i="1"/>
  <c r="K220" i="1"/>
  <c r="L220" i="1"/>
  <c r="K411" i="1"/>
  <c r="L411" i="1"/>
  <c r="K370" i="1"/>
  <c r="L370" i="1"/>
  <c r="K197" i="1"/>
  <c r="L197" i="1"/>
  <c r="K440" i="1"/>
  <c r="L440" i="1"/>
  <c r="K199" i="1"/>
  <c r="L199" i="1"/>
  <c r="K191" i="1"/>
  <c r="L191" i="1"/>
  <c r="K259" i="1"/>
  <c r="L259" i="1"/>
  <c r="K258" i="1"/>
  <c r="L258" i="1"/>
  <c r="K204" i="1"/>
  <c r="L204" i="1"/>
  <c r="K361" i="1"/>
  <c r="L361" i="1"/>
  <c r="O439" i="1"/>
  <c r="N439" i="1"/>
  <c r="M439" i="1"/>
  <c r="N145" i="1"/>
  <c r="M145" i="1"/>
  <c r="O145" i="1"/>
  <c r="O124" i="1"/>
  <c r="N124" i="1"/>
  <c r="M124" i="1"/>
  <c r="O26" i="1"/>
  <c r="N26" i="1"/>
  <c r="M26" i="1"/>
  <c r="O166" i="1"/>
  <c r="N166" i="1"/>
  <c r="M166" i="1"/>
  <c r="O27" i="1"/>
  <c r="M27" i="1"/>
  <c r="N27" i="1"/>
  <c r="O169" i="1"/>
  <c r="N169" i="1"/>
  <c r="M169" i="1"/>
  <c r="O259" i="1"/>
  <c r="N259" i="1"/>
  <c r="M259" i="1"/>
  <c r="M316" i="1"/>
  <c r="O316" i="1"/>
  <c r="N316" i="1"/>
  <c r="O180" i="1"/>
  <c r="N180" i="1"/>
  <c r="M180" i="1"/>
  <c r="N258" i="1"/>
  <c r="M258" i="1"/>
  <c r="O258" i="1"/>
  <c r="O204" i="1"/>
  <c r="M204" i="1"/>
  <c r="N204" i="1"/>
  <c r="O361" i="1"/>
  <c r="M361" i="1"/>
  <c r="N361" i="1"/>
  <c r="M397" i="1"/>
  <c r="N397" i="1"/>
  <c r="O397" i="1"/>
  <c r="O164" i="1"/>
  <c r="N164" i="1"/>
  <c r="M164" i="1"/>
  <c r="N416" i="1"/>
  <c r="N414" i="1" s="1"/>
  <c r="O416" i="1"/>
  <c r="O414" i="1" s="1"/>
  <c r="M416" i="1"/>
  <c r="M414" i="1" s="1"/>
  <c r="O197" i="1"/>
  <c r="N197" i="1"/>
  <c r="M197" i="1"/>
  <c r="O370" i="1"/>
  <c r="N370" i="1"/>
  <c r="M370" i="1"/>
  <c r="N119" i="1"/>
  <c r="M119" i="1"/>
  <c r="O119" i="1"/>
  <c r="O165" i="1"/>
  <c r="M165" i="1"/>
  <c r="N165" i="1"/>
  <c r="O60" i="1"/>
  <c r="N60" i="1"/>
  <c r="M60" i="1"/>
  <c r="O25" i="1"/>
  <c r="N25" i="1"/>
  <c r="M25" i="1"/>
  <c r="O17" i="1"/>
  <c r="N17" i="1"/>
  <c r="M17" i="1"/>
  <c r="O18" i="1"/>
  <c r="M18" i="1"/>
  <c r="N18" i="1"/>
  <c r="O38" i="1"/>
  <c r="M38" i="1"/>
  <c r="N38" i="1"/>
  <c r="O16" i="1"/>
  <c r="N16" i="1"/>
  <c r="M16" i="1"/>
  <c r="O220" i="1"/>
  <c r="M220" i="1"/>
  <c r="N220" i="1"/>
  <c r="O433" i="1"/>
  <c r="M433" i="1"/>
  <c r="N433" i="1"/>
  <c r="O411" i="1"/>
  <c r="N411" i="1"/>
  <c r="M411" i="1"/>
  <c r="O12" i="1"/>
  <c r="M12" i="1"/>
  <c r="N12" i="1"/>
  <c r="O163" i="1"/>
  <c r="N163" i="1"/>
  <c r="M163" i="1"/>
  <c r="O8" i="1"/>
  <c r="N8" i="1"/>
  <c r="M8" i="1"/>
  <c r="O440" i="1"/>
  <c r="M440" i="1"/>
  <c r="N440" i="1"/>
  <c r="O330" i="1"/>
  <c r="N330" i="1"/>
  <c r="M330" i="1"/>
  <c r="O191" i="1"/>
  <c r="N191" i="1"/>
  <c r="M191" i="1"/>
  <c r="N451" i="1"/>
  <c r="N449" i="1" s="1"/>
  <c r="M451" i="1"/>
  <c r="M449" i="1" s="1"/>
  <c r="O451" i="1"/>
  <c r="O449" i="1" s="1"/>
  <c r="N118" i="1"/>
  <c r="O118" i="1"/>
  <c r="M118" i="1"/>
  <c r="O56" i="1"/>
  <c r="N56" i="1"/>
  <c r="M56" i="1"/>
  <c r="M46" i="1" s="1"/>
  <c r="O199" i="1"/>
  <c r="N199" i="1"/>
  <c r="M199" i="1"/>
  <c r="G17110" i="53"/>
  <c r="G17114" i="53" s="1"/>
  <c r="G17046" i="53" s="1"/>
  <c r="G12434" i="53"/>
  <c r="G12438" i="53" s="1"/>
  <c r="G12373" i="53" s="1"/>
  <c r="G16829" i="53"/>
  <c r="G16833" i="53" s="1"/>
  <c r="G16766" i="53" s="1"/>
  <c r="G16757" i="53"/>
  <c r="G16761" i="53" s="1"/>
  <c r="G16756" i="53"/>
  <c r="J328" i="1"/>
  <c r="J338" i="1"/>
  <c r="G17390" i="53"/>
  <c r="G16685" i="53"/>
  <c r="G16689" i="53" s="1"/>
  <c r="G16626" i="53" s="1"/>
  <c r="G9786" i="53"/>
  <c r="G9785" i="53"/>
  <c r="G17318" i="53"/>
  <c r="G20724" i="53"/>
  <c r="G20728" i="53" s="1"/>
  <c r="G23575" i="53"/>
  <c r="G23579" i="53" s="1"/>
  <c r="J396" i="1"/>
  <c r="G14142" i="53"/>
  <c r="G14146" i="53" s="1"/>
  <c r="G16615" i="53"/>
  <c r="G21728" i="53"/>
  <c r="G17462" i="53"/>
  <c r="G16616" i="53"/>
  <c r="G17463" i="53"/>
  <c r="J326" i="1"/>
  <c r="J341" i="1"/>
  <c r="G17320" i="53"/>
  <c r="G17324" i="53" s="1"/>
  <c r="G10486" i="53"/>
  <c r="G10487" i="53"/>
  <c r="G10488" i="53"/>
  <c r="G10492" i="53" s="1"/>
  <c r="G10766" i="53"/>
  <c r="G10767" i="53"/>
  <c r="G10768" i="53"/>
  <c r="G10772" i="53" s="1"/>
  <c r="G19169" i="53"/>
  <c r="G23574" i="53"/>
  <c r="J340" i="1"/>
  <c r="G20723" i="53"/>
  <c r="G19168" i="53"/>
  <c r="G12097" i="53"/>
  <c r="G12032" i="53" s="1"/>
  <c r="G20502" i="53"/>
  <c r="J390" i="1"/>
  <c r="G16543" i="53"/>
  <c r="J445" i="1"/>
  <c r="G10973" i="53"/>
  <c r="G10977" i="53" s="1"/>
  <c r="G10914" i="53" s="1"/>
  <c r="G21729" i="53"/>
  <c r="G21733" i="53" s="1"/>
  <c r="G16544" i="53"/>
  <c r="G16548" i="53" s="1"/>
  <c r="J325" i="1"/>
  <c r="G17392" i="53"/>
  <c r="G17396" i="53" s="1"/>
  <c r="G16272" i="53"/>
  <c r="G16276" i="53" s="1"/>
  <c r="G16207" i="53" s="1"/>
  <c r="G10907" i="53"/>
  <c r="G10911" i="53" s="1"/>
  <c r="G10848" i="53" s="1"/>
  <c r="G20722" i="53"/>
  <c r="G12164" i="53"/>
  <c r="G12100" i="53" s="1"/>
  <c r="G11305" i="53"/>
  <c r="G11309" i="53" s="1"/>
  <c r="G11246" i="53" s="1"/>
  <c r="G23295" i="53"/>
  <c r="G23299" i="53" s="1"/>
  <c r="G23230" i="53" s="1"/>
  <c r="G20504" i="53"/>
  <c r="G20508" i="53" s="1"/>
  <c r="G14141" i="53"/>
  <c r="G19097" i="53"/>
  <c r="G19101" i="53" s="1"/>
  <c r="J255" i="1"/>
  <c r="G21659" i="53"/>
  <c r="G21663" i="53" s="1"/>
  <c r="G21596" i="53" s="1"/>
  <c r="G19095" i="53"/>
  <c r="G9787" i="53"/>
  <c r="G9791" i="53" s="1"/>
  <c r="G19096" i="53"/>
  <c r="G10346" i="53"/>
  <c r="J189" i="1"/>
  <c r="G10347" i="53"/>
  <c r="G10348" i="53"/>
  <c r="G10352" i="53" s="1"/>
  <c r="J193" i="1"/>
  <c r="G10629" i="53"/>
  <c r="G10633" i="53" s="1"/>
  <c r="G10627" i="53"/>
  <c r="G10628" i="53"/>
  <c r="G23649" i="53"/>
  <c r="G23653" i="53" s="1"/>
  <c r="J446" i="1"/>
  <c r="G23648" i="53"/>
  <c r="G23647" i="53"/>
  <c r="J279" i="1"/>
  <c r="G15153" i="53"/>
  <c r="G15157" i="53" s="1"/>
  <c r="G15151" i="53"/>
  <c r="G15152" i="53"/>
  <c r="J190" i="1"/>
  <c r="G10417" i="53"/>
  <c r="G10421" i="53" s="1"/>
  <c r="G10415" i="53"/>
  <c r="G10416" i="53"/>
  <c r="G13931" i="53"/>
  <c r="G13935" i="53" s="1"/>
  <c r="J252" i="1"/>
  <c r="G13929" i="53"/>
  <c r="G13930" i="53"/>
  <c r="G12363" i="53"/>
  <c r="G12362" i="53"/>
  <c r="G12364" i="53"/>
  <c r="G12368" i="53" s="1"/>
  <c r="J179" i="1"/>
  <c r="J238" i="1"/>
  <c r="G13146" i="53"/>
  <c r="G13150" i="53" s="1"/>
  <c r="G13145" i="53"/>
  <c r="G13144" i="53"/>
  <c r="J239" i="1"/>
  <c r="G13218" i="53"/>
  <c r="G13220" i="53"/>
  <c r="G13224" i="53" s="1"/>
  <c r="G13219" i="53"/>
  <c r="G10072" i="53"/>
  <c r="G10076" i="53" s="1"/>
  <c r="J183" i="1"/>
  <c r="G10070" i="53"/>
  <c r="G10071" i="53"/>
  <c r="G20056" i="53"/>
  <c r="G1036" i="53"/>
  <c r="J36" i="1"/>
  <c r="G19320" i="53"/>
  <c r="G18242" i="53"/>
  <c r="G18246" i="53" s="1"/>
  <c r="G2958" i="53"/>
  <c r="G2962" i="53" s="1"/>
  <c r="G2895" i="53" s="1"/>
  <c r="G2137" i="53"/>
  <c r="G2139" i="53"/>
  <c r="G2143" i="53" s="1"/>
  <c r="G2138" i="53"/>
  <c r="G19321" i="53"/>
  <c r="G19325" i="53" s="1"/>
  <c r="J373" i="1"/>
  <c r="G19319" i="53"/>
  <c r="G2003" i="53"/>
  <c r="G2007" i="53" s="1"/>
  <c r="G1941" i="53" s="1"/>
  <c r="G3100" i="53"/>
  <c r="G3104" i="53" s="1"/>
  <c r="G3035" i="53" s="1"/>
  <c r="G1867" i="53"/>
  <c r="G1871" i="53" s="1"/>
  <c r="G1865" i="53"/>
  <c r="G1866" i="53"/>
  <c r="G1038" i="53"/>
  <c r="G1042" i="53" s="1"/>
  <c r="J24" i="1"/>
  <c r="G1037" i="53"/>
  <c r="G1176" i="53"/>
  <c r="G1180" i="53" s="1"/>
  <c r="G1115" i="53" s="1"/>
  <c r="G1108" i="53"/>
  <c r="G1112" i="53" s="1"/>
  <c r="G1047" i="53" s="1"/>
  <c r="J384" i="1"/>
  <c r="G20058" i="53"/>
  <c r="G20062" i="53" s="1"/>
  <c r="G20057" i="53"/>
  <c r="G18241" i="53"/>
  <c r="J423" i="1"/>
  <c r="G18240" i="53"/>
  <c r="J350" i="1"/>
  <c r="J421" i="1"/>
  <c r="J428" i="1"/>
  <c r="J399" i="1"/>
  <c r="G19986" i="53"/>
  <c r="G19990" i="53" s="1"/>
  <c r="G8459" i="53"/>
  <c r="G8463" i="53" s="1"/>
  <c r="J377" i="1"/>
  <c r="J353" i="1"/>
  <c r="J375" i="1"/>
  <c r="J159" i="1"/>
  <c r="G5669" i="53"/>
  <c r="G5673" i="53" s="1"/>
  <c r="J426" i="1"/>
  <c r="J393" i="1"/>
  <c r="J430" i="1"/>
  <c r="G20283" i="53"/>
  <c r="J385" i="1"/>
  <c r="G12500" i="53"/>
  <c r="J226" i="1"/>
  <c r="J110" i="1"/>
  <c r="G8593" i="53"/>
  <c r="G5668" i="53"/>
  <c r="G5667" i="53"/>
  <c r="G8458" i="53"/>
  <c r="G8457" i="53"/>
  <c r="G8594" i="53"/>
  <c r="G8595" i="53"/>
  <c r="G8599" i="53" s="1"/>
  <c r="J157" i="1"/>
  <c r="G5735" i="53"/>
  <c r="G5734" i="53"/>
  <c r="G20648" i="53"/>
  <c r="G20284" i="53"/>
  <c r="G20285" i="53"/>
  <c r="G20289" i="53" s="1"/>
  <c r="J387" i="1"/>
  <c r="G20649" i="53"/>
  <c r="G20653" i="53" s="1"/>
  <c r="G20647" i="53"/>
  <c r="G20131" i="53"/>
  <c r="G20132" i="53"/>
  <c r="G20133" i="53"/>
  <c r="G20137" i="53" s="1"/>
  <c r="J379" i="1"/>
  <c r="G19764" i="53"/>
  <c r="G19766" i="53"/>
  <c r="G19770" i="53" s="1"/>
  <c r="G19765" i="53"/>
  <c r="G20798" i="53"/>
  <c r="G20802" i="53" s="1"/>
  <c r="G20733" i="53" s="1"/>
  <c r="G21945" i="53"/>
  <c r="G21949" i="53" s="1"/>
  <c r="G21881" i="53" s="1"/>
  <c r="G12502" i="53"/>
  <c r="G12506" i="53" s="1"/>
  <c r="G12501" i="53"/>
  <c r="G19984" i="53"/>
  <c r="G19985" i="53"/>
  <c r="J383" i="1"/>
  <c r="G5058" i="53"/>
  <c r="G5062" i="53" s="1"/>
  <c r="G4999" i="53" s="1"/>
  <c r="G6148" i="53"/>
  <c r="G6152" i="53" s="1"/>
  <c r="G6087" i="53" s="1"/>
  <c r="G406" i="53"/>
  <c r="G410" i="53" s="1"/>
  <c r="G345" i="53" s="1"/>
  <c r="G19690" i="53"/>
  <c r="G19694" i="53" s="1"/>
  <c r="G7786" i="53"/>
  <c r="G7790" i="53" s="1"/>
  <c r="G7725" i="53" s="1"/>
  <c r="G200" i="53"/>
  <c r="G8668" i="53"/>
  <c r="G8672" i="53" s="1"/>
  <c r="G8604" i="53" s="1"/>
  <c r="G4923" i="53"/>
  <c r="G4927" i="53" s="1"/>
  <c r="G4861" i="53" s="1"/>
  <c r="G23856" i="53"/>
  <c r="G23860" i="53" s="1"/>
  <c r="G23794" i="53" s="1"/>
  <c r="G13794" i="53"/>
  <c r="G13798" i="53" s="1"/>
  <c r="G13729" i="53" s="1"/>
  <c r="G4785" i="53"/>
  <c r="G902" i="53"/>
  <c r="G906" i="53" s="1"/>
  <c r="G842" i="53" s="1"/>
  <c r="G6557" i="53"/>
  <c r="G6561" i="53" s="1"/>
  <c r="G6495" i="53" s="1"/>
  <c r="G766" i="53"/>
  <c r="G481" i="53"/>
  <c r="G485" i="53" s="1"/>
  <c r="G413" i="53" s="1"/>
  <c r="G6757" i="53"/>
  <c r="G6761" i="53" s="1"/>
  <c r="G6696" i="53" s="1"/>
  <c r="G9152" i="53"/>
  <c r="G8874" i="53"/>
  <c r="G8878" i="53" s="1"/>
  <c r="G8812" i="53" s="1"/>
  <c r="G698" i="53"/>
  <c r="G6216" i="53"/>
  <c r="G6220" i="53" s="1"/>
  <c r="G6155" i="53" s="1"/>
  <c r="G23223" i="53"/>
  <c r="G23227" i="53" s="1"/>
  <c r="G23164" i="53" s="1"/>
  <c r="G19688" i="53"/>
  <c r="G8941" i="53"/>
  <c r="G8945" i="53" s="1"/>
  <c r="G8881" i="53" s="1"/>
  <c r="G6895" i="53"/>
  <c r="G6899" i="53" s="1"/>
  <c r="G6833" i="53" s="1"/>
  <c r="G19689" i="53"/>
  <c r="G1245" i="53"/>
  <c r="G1249" i="53" s="1"/>
  <c r="G1183" i="53" s="1"/>
  <c r="G6826" i="53"/>
  <c r="G6830" i="53" s="1"/>
  <c r="G6764" i="53" s="1"/>
  <c r="G22801" i="53"/>
  <c r="G22805" i="53" s="1"/>
  <c r="G22736" i="53" s="1"/>
  <c r="G7988" i="53"/>
  <c r="G7992" i="53" s="1"/>
  <c r="G7928" i="53" s="1"/>
  <c r="G8805" i="53"/>
  <c r="G8809" i="53" s="1"/>
  <c r="G8742" i="53" s="1"/>
  <c r="G8530" i="53"/>
  <c r="G8534" i="53" s="1"/>
  <c r="G8468" i="53" s="1"/>
  <c r="G9860" i="53"/>
  <c r="G9864" i="53" s="1"/>
  <c r="G9796" i="53" s="1"/>
  <c r="G19542" i="53"/>
  <c r="G19546" i="53" s="1"/>
  <c r="J376" i="1"/>
  <c r="G19613" i="53"/>
  <c r="G19396" i="53"/>
  <c r="G19400" i="53" s="1"/>
  <c r="J374" i="1"/>
  <c r="G19468" i="53"/>
  <c r="G19469" i="53"/>
  <c r="G19473" i="53" s="1"/>
  <c r="B19555" i="53"/>
  <c r="B19409" i="53"/>
  <c r="B19482" i="53"/>
  <c r="G19467" i="53"/>
  <c r="G19615" i="53"/>
  <c r="G19619" i="53" s="1"/>
  <c r="G19614" i="53"/>
  <c r="G19540" i="53"/>
  <c r="G19541" i="53"/>
  <c r="B18608" i="53"/>
  <c r="G19394" i="53"/>
  <c r="G19395" i="53"/>
  <c r="G23102" i="53"/>
  <c r="G23151" i="53" s="1"/>
  <c r="G17956" i="53"/>
  <c r="G17955" i="53"/>
  <c r="G17957" i="53"/>
  <c r="G17961" i="53" s="1"/>
  <c r="G18171" i="53"/>
  <c r="G18170" i="53"/>
  <c r="G18172" i="53"/>
  <c r="G18176" i="53" s="1"/>
  <c r="G22585" i="53"/>
  <c r="G22589" i="53" s="1"/>
  <c r="G22584" i="53"/>
  <c r="G22583" i="53"/>
  <c r="G22443" i="53"/>
  <c r="G22447" i="53" s="1"/>
  <c r="G22442" i="53"/>
  <c r="G22441" i="53"/>
  <c r="G22299" i="53"/>
  <c r="G22300" i="53"/>
  <c r="G22304" i="53" s="1"/>
  <c r="G22298" i="53"/>
  <c r="G20938" i="53"/>
  <c r="G20940" i="53"/>
  <c r="G20944" i="53" s="1"/>
  <c r="G20939" i="53"/>
  <c r="G18102" i="53"/>
  <c r="G18106" i="53" s="1"/>
  <c r="G18100" i="53"/>
  <c r="G18101" i="53"/>
  <c r="G17194" i="53"/>
  <c r="G23024" i="53"/>
  <c r="G22312" i="53"/>
  <c r="G22319" i="53" s="1"/>
  <c r="G22368" i="53" s="1"/>
  <c r="G22169" i="53"/>
  <c r="G22668" i="53"/>
  <c r="F16283" i="53"/>
  <c r="G16283" i="53" s="1"/>
  <c r="B20881" i="53"/>
  <c r="B20518" i="53"/>
  <c r="D16283" i="53"/>
  <c r="D16285" i="53"/>
  <c r="D16286" i="53"/>
  <c r="B16283" i="53"/>
  <c r="B17691" i="53"/>
  <c r="D18820" i="53"/>
  <c r="F18892" i="53"/>
  <c r="F17689" i="53"/>
  <c r="G17689" i="53" s="1"/>
  <c r="B16286" i="53"/>
  <c r="D17191" i="53"/>
  <c r="B18819" i="53"/>
  <c r="F18820" i="53"/>
  <c r="G18820" i="53" s="1"/>
  <c r="B18821" i="53"/>
  <c r="D18821" i="53"/>
  <c r="B18749" i="53"/>
  <c r="F17758" i="53"/>
  <c r="G17758" i="53" s="1"/>
  <c r="D16282" i="53"/>
  <c r="D18892" i="53"/>
  <c r="B18893" i="53"/>
  <c r="F16282" i="53"/>
  <c r="G16282" i="53" s="1"/>
  <c r="D18893" i="53"/>
  <c r="B17618" i="53"/>
  <c r="F17617" i="53"/>
  <c r="G17617" i="53" s="1"/>
  <c r="B17760" i="53"/>
  <c r="B18894" i="53"/>
  <c r="B16285" i="53"/>
  <c r="D18894" i="53"/>
  <c r="B18895" i="53"/>
  <c r="B18892" i="53"/>
  <c r="D18895" i="53"/>
  <c r="D18819" i="53"/>
  <c r="F18819" i="53"/>
  <c r="G18819" i="53" s="1"/>
  <c r="G18615" i="53"/>
  <c r="G18663" i="53" s="1"/>
  <c r="B18607" i="53"/>
  <c r="D18607" i="53"/>
  <c r="B17759" i="53"/>
  <c r="F17757" i="53"/>
  <c r="G17757" i="53" s="1"/>
  <c r="B17757" i="53"/>
  <c r="B17758" i="53"/>
  <c r="D17758" i="53"/>
  <c r="B17690" i="53"/>
  <c r="B17689" i="53"/>
  <c r="D17692" i="53"/>
  <c r="B17692" i="53"/>
  <c r="D17689" i="53"/>
  <c r="B17619" i="53"/>
  <c r="D17619" i="53"/>
  <c r="B17620" i="53"/>
  <c r="B17617" i="53"/>
  <c r="D17620" i="53"/>
  <c r="D17617" i="53"/>
  <c r="B17621" i="53"/>
  <c r="B17624" i="53"/>
  <c r="F16981" i="53"/>
  <c r="G16981" i="53" s="1"/>
  <c r="F17193" i="53"/>
  <c r="G17193" i="53" s="1"/>
  <c r="D17194" i="53"/>
  <c r="B16981" i="53"/>
  <c r="D16981" i="53"/>
  <c r="B17194" i="53"/>
  <c r="B17195" i="53"/>
  <c r="D17195" i="53"/>
  <c r="B17193" i="53"/>
  <c r="B17192" i="53"/>
  <c r="D17192" i="53"/>
  <c r="B17190" i="53"/>
  <c r="F17190" i="53"/>
  <c r="G17190" i="53" s="1"/>
  <c r="B17189" i="53"/>
  <c r="D17189" i="53"/>
  <c r="B17188" i="53"/>
  <c r="D17188" i="53"/>
  <c r="D16983" i="53"/>
  <c r="F16983" i="53"/>
  <c r="G16983" i="53" s="1"/>
  <c r="L192" i="1" l="1"/>
  <c r="K192" i="1"/>
  <c r="K243" i="1"/>
  <c r="M243" i="1"/>
  <c r="O243" i="1"/>
  <c r="N243" i="1"/>
  <c r="N198" i="1"/>
  <c r="G13508" i="53"/>
  <c r="G13512" i="53" s="1"/>
  <c r="G13442" i="53" s="1"/>
  <c r="O192" i="1"/>
  <c r="M192" i="1"/>
  <c r="G10559" i="53"/>
  <c r="G10563" i="53" s="1"/>
  <c r="G10497" i="53" s="1"/>
  <c r="G14003" i="53"/>
  <c r="G14007" i="53" s="1"/>
  <c r="G13940" i="53" s="1"/>
  <c r="G13863" i="53"/>
  <c r="G13867" i="53" s="1"/>
  <c r="G13801" i="53" s="1"/>
  <c r="M117" i="1"/>
  <c r="M198" i="1"/>
  <c r="N117" i="1"/>
  <c r="O198" i="1"/>
  <c r="M37" i="1"/>
  <c r="O117" i="1"/>
  <c r="O162" i="1"/>
  <c r="K117" i="1"/>
  <c r="N15" i="1"/>
  <c r="N126" i="1"/>
  <c r="L117" i="1"/>
  <c r="L15" i="1"/>
  <c r="M15" i="1"/>
  <c r="O126" i="1"/>
  <c r="M162" i="1"/>
  <c r="L198" i="1"/>
  <c r="O57" i="1"/>
  <c r="N162" i="1"/>
  <c r="O15" i="1"/>
  <c r="M126" i="1"/>
  <c r="N37" i="1"/>
  <c r="L126" i="1"/>
  <c r="L46" i="1"/>
  <c r="L57" i="1"/>
  <c r="L162" i="1"/>
  <c r="M57" i="1"/>
  <c r="O37" i="1"/>
  <c r="L37" i="1"/>
  <c r="N46" i="1"/>
  <c r="N57" i="1"/>
  <c r="O46" i="1"/>
  <c r="K177" i="1"/>
  <c r="L177" i="1"/>
  <c r="G9647" i="53"/>
  <c r="G9651" i="53" s="1"/>
  <c r="G9582" i="53" s="1"/>
  <c r="M177" i="1"/>
  <c r="N177" i="1"/>
  <c r="K57" i="1"/>
  <c r="K46" i="1"/>
  <c r="K126" i="1"/>
  <c r="K110" i="1"/>
  <c r="L110" i="1"/>
  <c r="M110" i="1"/>
  <c r="N110" i="1"/>
  <c r="O110" i="1"/>
  <c r="K33" i="1"/>
  <c r="G1665" i="53"/>
  <c r="G1669" i="53" s="1"/>
  <c r="G1603" i="53" s="1"/>
  <c r="N33" i="1"/>
  <c r="O33" i="1"/>
  <c r="L33" i="1"/>
  <c r="N35" i="1"/>
  <c r="G1803" i="53"/>
  <c r="G1807" i="53" s="1"/>
  <c r="G1741" i="53" s="1"/>
  <c r="O35" i="1"/>
  <c r="L35" i="1"/>
  <c r="K35" i="1"/>
  <c r="K148" i="1"/>
  <c r="L148" i="1"/>
  <c r="M148" i="1"/>
  <c r="N148" i="1"/>
  <c r="O148" i="1"/>
  <c r="O159" i="1"/>
  <c r="K159" i="1"/>
  <c r="L159" i="1"/>
  <c r="M159" i="1"/>
  <c r="N159" i="1"/>
  <c r="O157" i="1"/>
  <c r="N157" i="1"/>
  <c r="K157" i="1"/>
  <c r="L157" i="1"/>
  <c r="M157" i="1"/>
  <c r="M14" i="1"/>
  <c r="O14" i="1"/>
  <c r="N14" i="1"/>
  <c r="L14" i="1"/>
  <c r="K14" i="1"/>
  <c r="K15" i="1"/>
  <c r="G633" i="53"/>
  <c r="G637" i="53" s="1"/>
  <c r="G568" i="53" s="1"/>
  <c r="L413" i="1"/>
  <c r="K413" i="1"/>
  <c r="G21804" i="53"/>
  <c r="G21808" i="53" s="1"/>
  <c r="G21738" i="53" s="1"/>
  <c r="O413" i="1"/>
  <c r="N413" i="1"/>
  <c r="G20211" i="53"/>
  <c r="G20215" i="53" s="1"/>
  <c r="G20142" i="53" s="1"/>
  <c r="M371" i="1"/>
  <c r="O371" i="1"/>
  <c r="N371" i="1"/>
  <c r="K371" i="1"/>
  <c r="L371" i="1"/>
  <c r="G18525" i="53"/>
  <c r="G18529" i="53" s="1"/>
  <c r="G18457" i="53" s="1"/>
  <c r="M359" i="1"/>
  <c r="G18450" i="53"/>
  <c r="G18454" i="53" s="1"/>
  <c r="G18391" i="53" s="1"/>
  <c r="K359" i="1"/>
  <c r="L359" i="1"/>
  <c r="N359" i="1"/>
  <c r="K354" i="1"/>
  <c r="O354" i="1"/>
  <c r="N354" i="1"/>
  <c r="M354" i="1"/>
  <c r="L354" i="1"/>
  <c r="O353" i="1"/>
  <c r="N353" i="1"/>
  <c r="L353" i="1"/>
  <c r="M353" i="1"/>
  <c r="K353" i="1"/>
  <c r="M348" i="1"/>
  <c r="L348" i="1"/>
  <c r="N348" i="1"/>
  <c r="O348" i="1"/>
  <c r="G17889" i="53"/>
  <c r="G17893" i="53" s="1"/>
  <c r="G17824" i="53" s="1"/>
  <c r="G21375" i="53"/>
  <c r="G21379" i="53" s="1"/>
  <c r="G21310" i="53" s="1"/>
  <c r="O406" i="1"/>
  <c r="N406" i="1"/>
  <c r="L406" i="1"/>
  <c r="K406" i="1"/>
  <c r="M406" i="1"/>
  <c r="G22090" i="53"/>
  <c r="G22094" i="53" s="1"/>
  <c r="G22024" i="53" s="1"/>
  <c r="O420" i="1"/>
  <c r="M420" i="1"/>
  <c r="L420" i="1"/>
  <c r="N420" i="1"/>
  <c r="K420" i="1"/>
  <c r="N238" i="1"/>
  <c r="O238" i="1"/>
  <c r="K238" i="1"/>
  <c r="L238" i="1"/>
  <c r="M238" i="1"/>
  <c r="M239" i="1"/>
  <c r="L239" i="1"/>
  <c r="K239" i="1"/>
  <c r="N239" i="1"/>
  <c r="O239" i="1"/>
  <c r="N443" i="1"/>
  <c r="G23432" i="53"/>
  <c r="G23436" i="53" s="1"/>
  <c r="G23368" i="53" s="1"/>
  <c r="K443" i="1"/>
  <c r="O443" i="1"/>
  <c r="L443" i="1"/>
  <c r="G18739" i="53"/>
  <c r="G18743" i="53" s="1"/>
  <c r="G18676" i="53" s="1"/>
  <c r="G18597" i="53"/>
  <c r="G18601" i="53" s="1"/>
  <c r="G18532" i="53" s="1"/>
  <c r="L352" i="1"/>
  <c r="K363" i="1"/>
  <c r="N363" i="1"/>
  <c r="G18031" i="53"/>
  <c r="G18035" i="53" s="1"/>
  <c r="G17966" i="53" s="1"/>
  <c r="N352" i="1"/>
  <c r="M352" i="1"/>
  <c r="O352" i="1"/>
  <c r="M363" i="1"/>
  <c r="O363" i="1"/>
  <c r="G10701" i="53"/>
  <c r="M195" i="1"/>
  <c r="N195" i="1"/>
  <c r="K195" i="1"/>
  <c r="O195" i="1"/>
  <c r="G14072" i="53"/>
  <c r="G14076" i="53" s="1"/>
  <c r="G14010" i="53" s="1"/>
  <c r="G561" i="53"/>
  <c r="G565" i="53" s="1"/>
  <c r="G488" i="53" s="1"/>
  <c r="N279" i="1"/>
  <c r="N278" i="1" s="1"/>
  <c r="O279" i="1"/>
  <c r="O278" i="1" s="1"/>
  <c r="M279" i="1"/>
  <c r="M278" i="1" s="1"/>
  <c r="L279" i="1"/>
  <c r="L278" i="1" s="1"/>
  <c r="K279" i="1"/>
  <c r="K278" i="1" s="1"/>
  <c r="N13" i="1"/>
  <c r="O13" i="1"/>
  <c r="K13" i="1"/>
  <c r="M13" i="1"/>
  <c r="L13" i="1"/>
  <c r="K162" i="1"/>
  <c r="K377" i="1"/>
  <c r="L377" i="1"/>
  <c r="L374" i="1"/>
  <c r="K374" i="1"/>
  <c r="K384" i="1"/>
  <c r="L384" i="1"/>
  <c r="K373" i="1"/>
  <c r="L373" i="1"/>
  <c r="K379" i="1"/>
  <c r="L379" i="1"/>
  <c r="L226" i="1"/>
  <c r="L225" i="1" s="1"/>
  <c r="K226" i="1"/>
  <c r="K225" i="1" s="1"/>
  <c r="K393" i="1"/>
  <c r="L393" i="1"/>
  <c r="K36" i="1"/>
  <c r="L36" i="1"/>
  <c r="L179" i="1"/>
  <c r="K179" i="1"/>
  <c r="K421" i="1"/>
  <c r="L421" i="1"/>
  <c r="K376" i="1"/>
  <c r="L376" i="1"/>
  <c r="K385" i="1"/>
  <c r="L385" i="1"/>
  <c r="L399" i="1"/>
  <c r="K399" i="1"/>
  <c r="L378" i="1"/>
  <c r="K378" i="1"/>
  <c r="L350" i="1"/>
  <c r="K350" i="1"/>
  <c r="K396" i="1"/>
  <c r="L396" i="1"/>
  <c r="K426" i="1"/>
  <c r="L426" i="1"/>
  <c r="L383" i="1"/>
  <c r="K383" i="1"/>
  <c r="K423" i="1"/>
  <c r="L423" i="1"/>
  <c r="L387" i="1"/>
  <c r="K387" i="1"/>
  <c r="K430" i="1"/>
  <c r="L430" i="1"/>
  <c r="K375" i="1"/>
  <c r="L375" i="1"/>
  <c r="L428" i="1"/>
  <c r="K428" i="1"/>
  <c r="K24" i="1"/>
  <c r="L24" i="1"/>
  <c r="K37" i="1"/>
  <c r="N183" i="1"/>
  <c r="O183" i="1"/>
  <c r="L183" i="1"/>
  <c r="K183" i="1"/>
  <c r="M183" i="1"/>
  <c r="K193" i="1"/>
  <c r="L193" i="1"/>
  <c r="L325" i="1"/>
  <c r="K325" i="1"/>
  <c r="K326" i="1"/>
  <c r="L326" i="1"/>
  <c r="K341" i="1"/>
  <c r="L341" i="1"/>
  <c r="K252" i="1"/>
  <c r="L252" i="1"/>
  <c r="L251" i="1"/>
  <c r="K251" i="1"/>
  <c r="K255" i="1"/>
  <c r="L255" i="1"/>
  <c r="L390" i="1"/>
  <c r="K390" i="1"/>
  <c r="K328" i="1"/>
  <c r="L328" i="1"/>
  <c r="L190" i="1"/>
  <c r="K190" i="1"/>
  <c r="K446" i="1"/>
  <c r="L446" i="1"/>
  <c r="K198" i="1"/>
  <c r="K189" i="1"/>
  <c r="L189" i="1"/>
  <c r="K253" i="1"/>
  <c r="L253" i="1"/>
  <c r="K445" i="1"/>
  <c r="L445" i="1"/>
  <c r="L340" i="1"/>
  <c r="K340" i="1"/>
  <c r="K338" i="1"/>
  <c r="L338" i="1"/>
  <c r="O376" i="1"/>
  <c r="N376" i="1"/>
  <c r="M376" i="1"/>
  <c r="O385" i="1"/>
  <c r="N385" i="1"/>
  <c r="M385" i="1"/>
  <c r="M399" i="1"/>
  <c r="N399" i="1"/>
  <c r="O399" i="1"/>
  <c r="N350" i="1"/>
  <c r="M350" i="1"/>
  <c r="O350" i="1"/>
  <c r="N445" i="1"/>
  <c r="M445" i="1"/>
  <c r="O445" i="1"/>
  <c r="O340" i="1"/>
  <c r="M340" i="1"/>
  <c r="N340" i="1"/>
  <c r="M338" i="1"/>
  <c r="N338" i="1"/>
  <c r="O338" i="1"/>
  <c r="M426" i="1"/>
  <c r="O426" i="1"/>
  <c r="N426" i="1"/>
  <c r="O377" i="1"/>
  <c r="N377" i="1"/>
  <c r="M377" i="1"/>
  <c r="O378" i="1"/>
  <c r="M378" i="1"/>
  <c r="N378" i="1"/>
  <c r="O325" i="1"/>
  <c r="N325" i="1"/>
  <c r="M325" i="1"/>
  <c r="N328" i="1"/>
  <c r="M328" i="1"/>
  <c r="O328" i="1"/>
  <c r="N384" i="1"/>
  <c r="O384" i="1"/>
  <c r="M384" i="1"/>
  <c r="O373" i="1"/>
  <c r="M373" i="1"/>
  <c r="N373" i="1"/>
  <c r="O252" i="1"/>
  <c r="N252" i="1"/>
  <c r="M252" i="1"/>
  <c r="O251" i="1"/>
  <c r="N251" i="1"/>
  <c r="M251" i="1"/>
  <c r="O255" i="1"/>
  <c r="M255" i="1"/>
  <c r="N255" i="1"/>
  <c r="M253" i="1"/>
  <c r="O253" i="1"/>
  <c r="N253" i="1"/>
  <c r="O383" i="1"/>
  <c r="M383" i="1"/>
  <c r="N383" i="1"/>
  <c r="O423" i="1"/>
  <c r="N423" i="1"/>
  <c r="M423" i="1"/>
  <c r="N193" i="1"/>
  <c r="O193" i="1"/>
  <c r="M193" i="1"/>
  <c r="O341" i="1"/>
  <c r="N341" i="1"/>
  <c r="M341" i="1"/>
  <c r="N375" i="1"/>
  <c r="O375" i="1"/>
  <c r="M375" i="1"/>
  <c r="O24" i="1"/>
  <c r="N24" i="1"/>
  <c r="M24" i="1"/>
  <c r="O326" i="1"/>
  <c r="N326" i="1"/>
  <c r="M326" i="1"/>
  <c r="O374" i="1"/>
  <c r="N374" i="1"/>
  <c r="M374" i="1"/>
  <c r="O379" i="1"/>
  <c r="M379" i="1"/>
  <c r="N379" i="1"/>
  <c r="O226" i="1"/>
  <c r="O225" i="1" s="1"/>
  <c r="N226" i="1"/>
  <c r="N225" i="1" s="1"/>
  <c r="M226" i="1"/>
  <c r="M225" i="1" s="1"/>
  <c r="O393" i="1"/>
  <c r="N393" i="1"/>
  <c r="M393" i="1"/>
  <c r="O36" i="1"/>
  <c r="N36" i="1"/>
  <c r="M36" i="1"/>
  <c r="O179" i="1"/>
  <c r="M179" i="1"/>
  <c r="N179" i="1"/>
  <c r="O190" i="1"/>
  <c r="M190" i="1"/>
  <c r="N190" i="1"/>
  <c r="O446" i="1"/>
  <c r="M446" i="1"/>
  <c r="N446" i="1"/>
  <c r="O390" i="1"/>
  <c r="M390" i="1"/>
  <c r="N390" i="1"/>
  <c r="O396" i="1"/>
  <c r="N396" i="1"/>
  <c r="M396" i="1"/>
  <c r="O387" i="1"/>
  <c r="N387" i="1"/>
  <c r="M387" i="1"/>
  <c r="N430" i="1"/>
  <c r="M430" i="1"/>
  <c r="O430" i="1"/>
  <c r="M428" i="1"/>
  <c r="O428" i="1"/>
  <c r="N428" i="1"/>
  <c r="N421" i="1"/>
  <c r="M421" i="1"/>
  <c r="O421" i="1"/>
  <c r="N189" i="1"/>
  <c r="M189" i="1"/>
  <c r="O189" i="1"/>
  <c r="G16759" i="53"/>
  <c r="G16763" i="53" s="1"/>
  <c r="G16692" i="53" s="1"/>
  <c r="G17466" i="53"/>
  <c r="G17470" i="53" s="1"/>
  <c r="G17401" i="53" s="1"/>
  <c r="G9789" i="53"/>
  <c r="G9793" i="53" s="1"/>
  <c r="G9725" i="53" s="1"/>
  <c r="G14144" i="53"/>
  <c r="G14148" i="53" s="1"/>
  <c r="G14079" i="53" s="1"/>
  <c r="G23577" i="53"/>
  <c r="G23581" i="53" s="1"/>
  <c r="G23510" i="53" s="1"/>
  <c r="G16619" i="53"/>
  <c r="G16623" i="53" s="1"/>
  <c r="G16553" i="53" s="1"/>
  <c r="G17322" i="53"/>
  <c r="G17326" i="53" s="1"/>
  <c r="G17257" i="53" s="1"/>
  <c r="G19172" i="53"/>
  <c r="G19176" i="53" s="1"/>
  <c r="G19106" i="53" s="1"/>
  <c r="G10770" i="53"/>
  <c r="G10774" i="53" s="1"/>
  <c r="G10704" i="53" s="1"/>
  <c r="G20726" i="53"/>
  <c r="G20730" i="53" s="1"/>
  <c r="G20658" i="53" s="1"/>
  <c r="G10490" i="53"/>
  <c r="G10494" i="53" s="1"/>
  <c r="G10426" i="53" s="1"/>
  <c r="G21731" i="53"/>
  <c r="J412" i="1" s="1"/>
  <c r="G16546" i="53"/>
  <c r="G16550" i="53" s="1"/>
  <c r="G16480" i="53" s="1"/>
  <c r="G17394" i="53"/>
  <c r="G17398" i="53" s="1"/>
  <c r="G17329" i="53" s="1"/>
  <c r="G19099" i="53"/>
  <c r="G19103" i="53" s="1"/>
  <c r="G19035" i="53" s="1"/>
  <c r="G20506" i="53"/>
  <c r="G20510" i="53" s="1"/>
  <c r="G20441" i="53" s="1"/>
  <c r="G13933" i="53"/>
  <c r="G13937" i="53" s="1"/>
  <c r="G13870" i="53" s="1"/>
  <c r="G10350" i="53"/>
  <c r="G10354" i="53" s="1"/>
  <c r="G10287" i="53" s="1"/>
  <c r="G12366" i="53"/>
  <c r="G12370" i="53" s="1"/>
  <c r="G12303" i="53" s="1"/>
  <c r="G15155" i="53"/>
  <c r="G15159" i="53" s="1"/>
  <c r="G15093" i="53" s="1"/>
  <c r="G10419" i="53"/>
  <c r="G10423" i="53" s="1"/>
  <c r="G10357" i="53" s="1"/>
  <c r="G10631" i="53"/>
  <c r="G10635" i="53" s="1"/>
  <c r="G10566" i="53" s="1"/>
  <c r="G23651" i="53"/>
  <c r="G23655" i="53" s="1"/>
  <c r="G23584" i="53" s="1"/>
  <c r="G13148" i="53"/>
  <c r="G13152" i="53" s="1"/>
  <c r="G13081" i="53" s="1"/>
  <c r="G13222" i="53"/>
  <c r="G13226" i="53" s="1"/>
  <c r="G13155" i="53" s="1"/>
  <c r="G10074" i="53"/>
  <c r="G10078" i="53" s="1"/>
  <c r="G10011" i="53" s="1"/>
  <c r="G2141" i="53"/>
  <c r="G2145" i="53" s="1"/>
  <c r="G2078" i="53" s="1"/>
  <c r="G19323" i="53"/>
  <c r="G19327" i="53" s="1"/>
  <c r="G19254" i="53" s="1"/>
  <c r="G1869" i="53"/>
  <c r="G1873" i="53" s="1"/>
  <c r="G1810" i="53" s="1"/>
  <c r="G1040" i="53"/>
  <c r="G1044" i="53" s="1"/>
  <c r="G978" i="53" s="1"/>
  <c r="G20060" i="53"/>
  <c r="G20064" i="53" s="1"/>
  <c r="G19995" i="53" s="1"/>
  <c r="G18244" i="53"/>
  <c r="G18248" i="53" s="1"/>
  <c r="G18181" i="53" s="1"/>
  <c r="J438" i="1"/>
  <c r="J362" i="1"/>
  <c r="G204" i="53"/>
  <c r="G138" i="53" s="1"/>
  <c r="J96" i="1"/>
  <c r="J427" i="1"/>
  <c r="G8461" i="53"/>
  <c r="G8465" i="53" s="1"/>
  <c r="G8401" i="53" s="1"/>
  <c r="G5671" i="53"/>
  <c r="G5675" i="53" s="1"/>
  <c r="G5611" i="53" s="1"/>
  <c r="G8597" i="53"/>
  <c r="G8601" i="53" s="1"/>
  <c r="G8537" i="53" s="1"/>
  <c r="G5738" i="53"/>
  <c r="G20287" i="53"/>
  <c r="G20291" i="53" s="1"/>
  <c r="G20218" i="53" s="1"/>
  <c r="G20651" i="53"/>
  <c r="G20655" i="53" s="1"/>
  <c r="G20583" i="53" s="1"/>
  <c r="G20135" i="53"/>
  <c r="G20139" i="53" s="1"/>
  <c r="G20067" i="53" s="1"/>
  <c r="G19768" i="53"/>
  <c r="G19772" i="53" s="1"/>
  <c r="G19700" i="53" s="1"/>
  <c r="G12504" i="53"/>
  <c r="G12508" i="53" s="1"/>
  <c r="G12441" i="53" s="1"/>
  <c r="G19988" i="53"/>
  <c r="G19992" i="53" s="1"/>
  <c r="G19925" i="53" s="1"/>
  <c r="G770" i="53"/>
  <c r="G705" i="53" s="1"/>
  <c r="G4789" i="53"/>
  <c r="G4725" i="53" s="1"/>
  <c r="G19692" i="53"/>
  <c r="G19696" i="53" s="1"/>
  <c r="G19624" i="53" s="1"/>
  <c r="G702" i="53"/>
  <c r="G640" i="53" s="1"/>
  <c r="G9156" i="53"/>
  <c r="G9092" i="53" s="1"/>
  <c r="G19471" i="53"/>
  <c r="G19475" i="53" s="1"/>
  <c r="G19405" i="53" s="1"/>
  <c r="G19617" i="53"/>
  <c r="G19621" i="53" s="1"/>
  <c r="G19551" i="53" s="1"/>
  <c r="G19544" i="53"/>
  <c r="G19548" i="53" s="1"/>
  <c r="G19478" i="53" s="1"/>
  <c r="G19398" i="53"/>
  <c r="G19402" i="53" s="1"/>
  <c r="G19330" i="53" s="1"/>
  <c r="G23154" i="53"/>
  <c r="G23153" i="53"/>
  <c r="G18174" i="53"/>
  <c r="G18178" i="53" s="1"/>
  <c r="G18111" i="53" s="1"/>
  <c r="G17959" i="53"/>
  <c r="G17963" i="53" s="1"/>
  <c r="G17896" i="53" s="1"/>
  <c r="G23155" i="53"/>
  <c r="G23159" i="53" s="1"/>
  <c r="G23031" i="53"/>
  <c r="G23080" i="53" s="1"/>
  <c r="G22675" i="53"/>
  <c r="G22723" i="53" s="1"/>
  <c r="G22176" i="53"/>
  <c r="G22224" i="53" s="1"/>
  <c r="G22587" i="53"/>
  <c r="G22591" i="53" s="1"/>
  <c r="G22445" i="53"/>
  <c r="G22449" i="53" s="1"/>
  <c r="G22370" i="53"/>
  <c r="G22372" i="53"/>
  <c r="G22376" i="53" s="1"/>
  <c r="G22371" i="53"/>
  <c r="G22302" i="53"/>
  <c r="G22306" i="53" s="1"/>
  <c r="G22237" i="53" s="1"/>
  <c r="G20942" i="53"/>
  <c r="G20946" i="53" s="1"/>
  <c r="G20877" i="53" s="1"/>
  <c r="G18667" i="53"/>
  <c r="G18671" i="53" s="1"/>
  <c r="G18666" i="53"/>
  <c r="G18665" i="53"/>
  <c r="G18104" i="53"/>
  <c r="G18108" i="53" s="1"/>
  <c r="G18038" i="53" s="1"/>
  <c r="G18892" i="53"/>
  <c r="G18900" i="53" s="1"/>
  <c r="G18948" i="53" s="1"/>
  <c r="G18828" i="53"/>
  <c r="G18876" i="53" s="1"/>
  <c r="G16985" i="53"/>
  <c r="G17033" i="53" s="1"/>
  <c r="N5" i="1" l="1"/>
  <c r="O5" i="1"/>
  <c r="M324" i="1"/>
  <c r="L23" i="1"/>
  <c r="L22" i="1" s="1"/>
  <c r="O188" i="1"/>
  <c r="N144" i="1"/>
  <c r="M23" i="1"/>
  <c r="M22" i="1" s="1"/>
  <c r="N324" i="1"/>
  <c r="M5" i="1"/>
  <c r="O144" i="1"/>
  <c r="L5" i="1"/>
  <c r="M144" i="1"/>
  <c r="L144" i="1"/>
  <c r="M188" i="1"/>
  <c r="N23" i="1"/>
  <c r="N22" i="1" s="1"/>
  <c r="O324" i="1"/>
  <c r="L188" i="1"/>
  <c r="N188" i="1"/>
  <c r="O23" i="1"/>
  <c r="O22" i="1" s="1"/>
  <c r="L324" i="1"/>
  <c r="L45" i="1"/>
  <c r="N45" i="1"/>
  <c r="O45" i="1"/>
  <c r="K45" i="1"/>
  <c r="K144" i="1"/>
  <c r="L96" i="1"/>
  <c r="M96" i="1"/>
  <c r="N96" i="1"/>
  <c r="O96" i="1"/>
  <c r="K96" i="1"/>
  <c r="K5" i="1"/>
  <c r="K23" i="1"/>
  <c r="K22" i="1" s="1"/>
  <c r="M395" i="1"/>
  <c r="K395" i="1"/>
  <c r="N395" i="1"/>
  <c r="O395" i="1"/>
  <c r="L395" i="1"/>
  <c r="O442" i="1"/>
  <c r="M442" i="1"/>
  <c r="N442" i="1"/>
  <c r="L442" i="1"/>
  <c r="K188" i="1"/>
  <c r="K442" i="1"/>
  <c r="L438" i="1"/>
  <c r="K438" i="1"/>
  <c r="K427" i="1"/>
  <c r="L427" i="1"/>
  <c r="K362" i="1"/>
  <c r="L362" i="1"/>
  <c r="L412" i="1"/>
  <c r="K412" i="1"/>
  <c r="K324" i="1"/>
  <c r="K257" i="1"/>
  <c r="K250" i="1" s="1"/>
  <c r="L257" i="1"/>
  <c r="L250" i="1" s="1"/>
  <c r="N257" i="1"/>
  <c r="N250" i="1" s="1"/>
  <c r="M257" i="1"/>
  <c r="M250" i="1" s="1"/>
  <c r="O257" i="1"/>
  <c r="O250" i="1" s="1"/>
  <c r="O362" i="1"/>
  <c r="M362" i="1"/>
  <c r="N362" i="1"/>
  <c r="O412" i="1"/>
  <c r="N412" i="1"/>
  <c r="M412" i="1"/>
  <c r="N427" i="1"/>
  <c r="M427" i="1"/>
  <c r="O427" i="1"/>
  <c r="N438" i="1"/>
  <c r="M438" i="1"/>
  <c r="O438" i="1"/>
  <c r="G21735" i="53"/>
  <c r="G21666" i="53" s="1"/>
  <c r="J366" i="1"/>
  <c r="J334" i="1"/>
  <c r="J424" i="1"/>
  <c r="J365" i="1"/>
  <c r="J432" i="1"/>
  <c r="J437" i="1"/>
  <c r="J111" i="1"/>
  <c r="G5742" i="53"/>
  <c r="G5678" i="53" s="1"/>
  <c r="G23157" i="53"/>
  <c r="G23161" i="53" s="1"/>
  <c r="G23093" i="53" s="1"/>
  <c r="G23084" i="53"/>
  <c r="G23088" i="53" s="1"/>
  <c r="G23082" i="53"/>
  <c r="G22228" i="53"/>
  <c r="G22232" i="53" s="1"/>
  <c r="G22227" i="53"/>
  <c r="G22226" i="53"/>
  <c r="G22727" i="53"/>
  <c r="G22731" i="53" s="1"/>
  <c r="G22726" i="53"/>
  <c r="G22725" i="53"/>
  <c r="G23083" i="53"/>
  <c r="G22374" i="53"/>
  <c r="G22378" i="53" s="1"/>
  <c r="G18950" i="53"/>
  <c r="G18952" i="53"/>
  <c r="G18956" i="53" s="1"/>
  <c r="G18951" i="53"/>
  <c r="G18878" i="53"/>
  <c r="G18880" i="53"/>
  <c r="G18884" i="53" s="1"/>
  <c r="G18879" i="53"/>
  <c r="G18669" i="53"/>
  <c r="G18673" i="53" s="1"/>
  <c r="G18604" i="53" s="1"/>
  <c r="G17036" i="53"/>
  <c r="G17035" i="53"/>
  <c r="G17037" i="53"/>
  <c r="G17041" i="53" s="1"/>
  <c r="G22381" i="53"/>
  <c r="G22523" i="53"/>
  <c r="N111" i="1" l="1"/>
  <c r="N95" i="1" s="1"/>
  <c r="O111" i="1"/>
  <c r="O95" i="1" s="1"/>
  <c r="K111" i="1"/>
  <c r="K95" i="1" s="1"/>
  <c r="L111" i="1"/>
  <c r="L95" i="1" s="1"/>
  <c r="M111" i="1"/>
  <c r="M95" i="1" s="1"/>
  <c r="K336" i="1"/>
  <c r="L336" i="1"/>
  <c r="K424" i="1"/>
  <c r="L424" i="1"/>
  <c r="K437" i="1"/>
  <c r="L437" i="1"/>
  <c r="L432" i="1"/>
  <c r="K432" i="1"/>
  <c r="K366" i="1"/>
  <c r="L366" i="1"/>
  <c r="K334" i="1"/>
  <c r="L334" i="1"/>
  <c r="K365" i="1"/>
  <c r="L365" i="1"/>
  <c r="O336" i="1"/>
  <c r="N336" i="1"/>
  <c r="M336" i="1"/>
  <c r="N424" i="1"/>
  <c r="O424" i="1"/>
  <c r="M424" i="1"/>
  <c r="O432" i="1"/>
  <c r="N432" i="1"/>
  <c r="M432" i="1"/>
  <c r="O334" i="1"/>
  <c r="N334" i="1"/>
  <c r="M334" i="1"/>
  <c r="N366" i="1"/>
  <c r="O366" i="1"/>
  <c r="M366" i="1"/>
  <c r="M437" i="1"/>
  <c r="O437" i="1"/>
  <c r="N437" i="1"/>
  <c r="O365" i="1"/>
  <c r="N365" i="1"/>
  <c r="M365" i="1"/>
  <c r="G22729" i="53"/>
  <c r="G22733" i="53" s="1"/>
  <c r="G22665" i="53" s="1"/>
  <c r="G22230" i="53"/>
  <c r="G22234" i="53" s="1"/>
  <c r="G22166" i="53" s="1"/>
  <c r="G23086" i="53"/>
  <c r="G23090" i="53" s="1"/>
  <c r="G23021" i="53" s="1"/>
  <c r="G17039" i="53"/>
  <c r="G17043" i="53" s="1"/>
  <c r="G16978" i="53" s="1"/>
  <c r="G18954" i="53"/>
  <c r="G18958" i="53" s="1"/>
  <c r="G18889" i="53" s="1"/>
  <c r="G18882" i="53"/>
  <c r="G18886" i="53" s="1"/>
  <c r="G18816" i="53" s="1"/>
  <c r="G22309" i="53"/>
  <c r="L94" i="1" l="1"/>
  <c r="K94" i="1"/>
  <c r="K4" i="1" s="1"/>
  <c r="N425" i="1"/>
  <c r="M425" i="1"/>
  <c r="K425" i="1"/>
  <c r="O425" i="1"/>
  <c r="L425" i="1"/>
  <c r="N94" i="1" l="1"/>
  <c r="N4" i="1" s="1"/>
  <c r="O94" i="1"/>
  <c r="O4" i="1" s="1"/>
  <c r="L4" i="1"/>
  <c r="F16911" i="53"/>
  <c r="G16911" i="53" s="1"/>
  <c r="B16908" i="53"/>
  <c r="F16916" i="53"/>
  <c r="G16916" i="53" s="1"/>
  <c r="F16915" i="53"/>
  <c r="G16915" i="53" s="1"/>
  <c r="D16912" i="53"/>
  <c r="B16836" i="53"/>
  <c r="D16845" i="53"/>
  <c r="B16841" i="53"/>
  <c r="F16843" i="53"/>
  <c r="G16843" i="53" s="1"/>
  <c r="D16844" i="53"/>
  <c r="B16911" i="53" l="1"/>
  <c r="D16911" i="53"/>
  <c r="B16912" i="53"/>
  <c r="F16912" i="53"/>
  <c r="G16912" i="53" s="1"/>
  <c r="B16916" i="53"/>
  <c r="D16916" i="53"/>
  <c r="B16839" i="53"/>
  <c r="D16839" i="53"/>
  <c r="B16844" i="53"/>
  <c r="F16844" i="53"/>
  <c r="G16844" i="53" s="1"/>
  <c r="B16843" i="53"/>
  <c r="D16843" i="53"/>
  <c r="D16841" i="53"/>
  <c r="F16841" i="53"/>
  <c r="G16841" i="53" s="1"/>
  <c r="F16845" i="53"/>
  <c r="G16845" i="53" s="1"/>
  <c r="B16845" i="53"/>
  <c r="G16917" i="53" l="1"/>
  <c r="G16965" i="53" s="1"/>
  <c r="J332" i="1" l="1"/>
  <c r="G16967" i="53"/>
  <c r="G16969" i="53"/>
  <c r="G16973" i="53" s="1"/>
  <c r="G16968" i="53"/>
  <c r="A13661" i="53"/>
  <c r="F13661" i="53" s="1"/>
  <c r="G13661" i="53" s="1"/>
  <c r="A13660" i="53"/>
  <c r="F13660" i="53" s="1"/>
  <c r="G13660" i="53" s="1"/>
  <c r="F13666" i="53"/>
  <c r="G13666" i="53" s="1"/>
  <c r="F13665" i="53"/>
  <c r="G13665" i="53" s="1"/>
  <c r="F13664" i="53"/>
  <c r="G13664" i="53" s="1"/>
  <c r="B13663" i="53"/>
  <c r="F13662" i="53"/>
  <c r="G13662" i="53" s="1"/>
  <c r="A16352" i="53"/>
  <c r="F16352" i="53" s="1"/>
  <c r="G16352" i="53" s="1"/>
  <c r="B16349" i="53"/>
  <c r="B16075" i="53"/>
  <c r="B16078" i="53"/>
  <c r="A16010" i="53"/>
  <c r="B16010" i="53" s="1"/>
  <c r="B16007" i="53"/>
  <c r="F16013" i="53"/>
  <c r="G16013" i="53" s="1"/>
  <c r="F16012" i="53"/>
  <c r="G16012" i="53" s="1"/>
  <c r="F16011" i="53"/>
  <c r="G16011" i="53" s="1"/>
  <c r="K332" i="1" l="1"/>
  <c r="L332" i="1"/>
  <c r="N332" i="1"/>
  <c r="O332" i="1"/>
  <c r="M332" i="1"/>
  <c r="G16971" i="53"/>
  <c r="G16975" i="53" s="1"/>
  <c r="G16908" i="53" s="1"/>
  <c r="D16010" i="53"/>
  <c r="D16078" i="53"/>
  <c r="F16078" i="53"/>
  <c r="G16078" i="53" s="1"/>
  <c r="G16080" i="53" s="1"/>
  <c r="B13662" i="53"/>
  <c r="D13663" i="53"/>
  <c r="B13665" i="53"/>
  <c r="D13665" i="53"/>
  <c r="D16011" i="53"/>
  <c r="F16010" i="53"/>
  <c r="G16010" i="53" s="1"/>
  <c r="B13664" i="53"/>
  <c r="D13664" i="53"/>
  <c r="B16011" i="53"/>
  <c r="F13663" i="53"/>
  <c r="G13663" i="53" s="1"/>
  <c r="B13660" i="53"/>
  <c r="D13662" i="53"/>
  <c r="D13660" i="53"/>
  <c r="B13661" i="53"/>
  <c r="B13666" i="53"/>
  <c r="D13661" i="53"/>
  <c r="D13666" i="53"/>
  <c r="B16352" i="53"/>
  <c r="D16352" i="53"/>
  <c r="B16013" i="53"/>
  <c r="D16013" i="53"/>
  <c r="B16012" i="53"/>
  <c r="D16012" i="53"/>
  <c r="G13667" i="53" l="1"/>
  <c r="G13716" i="53" s="1"/>
  <c r="G16353" i="53"/>
  <c r="G16401" i="53" s="1"/>
  <c r="G16014" i="53"/>
  <c r="G16062" i="53" s="1"/>
  <c r="G16128" i="53"/>
  <c r="J318" i="1" l="1"/>
  <c r="J320" i="1"/>
  <c r="J313" i="1"/>
  <c r="J312" i="1"/>
  <c r="J246" i="1"/>
  <c r="J299" i="1"/>
  <c r="G13720" i="53"/>
  <c r="G13724" i="53" s="1"/>
  <c r="G13719" i="53"/>
  <c r="G13718" i="53"/>
  <c r="G16405" i="53"/>
  <c r="G16409" i="53" s="1"/>
  <c r="G16404" i="53"/>
  <c r="G16403" i="53"/>
  <c r="G16130" i="53"/>
  <c r="G16132" i="53"/>
  <c r="G16136" i="53" s="1"/>
  <c r="G16131" i="53"/>
  <c r="G16064" i="53"/>
  <c r="G16066" i="53"/>
  <c r="G16070" i="53" s="1"/>
  <c r="G16065" i="53"/>
  <c r="N246" i="1" l="1"/>
  <c r="O246" i="1"/>
  <c r="K246" i="1"/>
  <c r="L246" i="1"/>
  <c r="M246" i="1"/>
  <c r="M299" i="1"/>
  <c r="N299" i="1"/>
  <c r="L299" i="1"/>
  <c r="O299" i="1"/>
  <c r="K299" i="1"/>
  <c r="K312" i="1"/>
  <c r="L312" i="1"/>
  <c r="L320" i="1"/>
  <c r="K320" i="1"/>
  <c r="L313" i="1"/>
  <c r="K313" i="1"/>
  <c r="K318" i="1"/>
  <c r="L318" i="1"/>
  <c r="O312" i="1"/>
  <c r="N312" i="1"/>
  <c r="M312" i="1"/>
  <c r="O318" i="1"/>
  <c r="N318" i="1"/>
  <c r="M318" i="1"/>
  <c r="O320" i="1"/>
  <c r="N320" i="1"/>
  <c r="M320" i="1"/>
  <c r="O313" i="1"/>
  <c r="N313" i="1"/>
  <c r="M313" i="1"/>
  <c r="G13722" i="53"/>
  <c r="G13726" i="53" s="1"/>
  <c r="G13657" i="53" s="1"/>
  <c r="G16134" i="53"/>
  <c r="G16138" i="53" s="1"/>
  <c r="G16075" i="53" s="1"/>
  <c r="G16407" i="53"/>
  <c r="G16411" i="53" s="1"/>
  <c r="G16349" i="53" s="1"/>
  <c r="G16068" i="53"/>
  <c r="G16072" i="53" s="1"/>
  <c r="G16007" i="53" s="1"/>
  <c r="A15518" i="53" l="1"/>
  <c r="F15518" i="53" s="1"/>
  <c r="G15518" i="53" s="1"/>
  <c r="A15517" i="53"/>
  <c r="D15517" i="53" s="1"/>
  <c r="D15799" i="53"/>
  <c r="B15796" i="53"/>
  <c r="D15806" i="53"/>
  <c r="F15805" i="53"/>
  <c r="G15805" i="53" s="1"/>
  <c r="F15804" i="53"/>
  <c r="G15804" i="53" s="1"/>
  <c r="B15803" i="53"/>
  <c r="F15802" i="53"/>
  <c r="G15802" i="53" s="1"/>
  <c r="F15801" i="53"/>
  <c r="G15801" i="53" s="1"/>
  <c r="D15800" i="53"/>
  <c r="A15938" i="53"/>
  <c r="B15935" i="53"/>
  <c r="F15945" i="53"/>
  <c r="G15945" i="53" s="1"/>
  <c r="D15944" i="53"/>
  <c r="D15943" i="53"/>
  <c r="D15942" i="53"/>
  <c r="F15941" i="53"/>
  <c r="G15941" i="53" s="1"/>
  <c r="F15940" i="53"/>
  <c r="G15940" i="53" s="1"/>
  <c r="B15939" i="53"/>
  <c r="A15871" i="53"/>
  <c r="B15868" i="53"/>
  <c r="F15873" i="53"/>
  <c r="G15873" i="53" s="1"/>
  <c r="B15872" i="53"/>
  <c r="A15659" i="53"/>
  <c r="B15656" i="53"/>
  <c r="F15666" i="53"/>
  <c r="G15666" i="53" s="1"/>
  <c r="F15665" i="53"/>
  <c r="G15665" i="53" s="1"/>
  <c r="F15664" i="53"/>
  <c r="G15664" i="53" s="1"/>
  <c r="D15663" i="53"/>
  <c r="D15662" i="53"/>
  <c r="F15661" i="53"/>
  <c r="G15661" i="53" s="1"/>
  <c r="B15660" i="53"/>
  <c r="A15587" i="53"/>
  <c r="B15584" i="53"/>
  <c r="F15594" i="53"/>
  <c r="G15594" i="53" s="1"/>
  <c r="F15593" i="53"/>
  <c r="G15593" i="53" s="1"/>
  <c r="B15592" i="53"/>
  <c r="D15591" i="53"/>
  <c r="F15590" i="53"/>
  <c r="G15590" i="53" s="1"/>
  <c r="D15589" i="53"/>
  <c r="B15588" i="53"/>
  <c r="A15516" i="53"/>
  <c r="B15513" i="53"/>
  <c r="D15521" i="53"/>
  <c r="F15520" i="53"/>
  <c r="G15520" i="53" s="1"/>
  <c r="B15519" i="53"/>
  <c r="F17189" i="53"/>
  <c r="G17189" i="53" s="1"/>
  <c r="F15587" i="53" l="1"/>
  <c r="G15587" i="53" s="1"/>
  <c r="B15516" i="53"/>
  <c r="F15516" i="53"/>
  <c r="G15516" i="53" s="1"/>
  <c r="F15938" i="53"/>
  <c r="G15938" i="53" s="1"/>
  <c r="F15799" i="53"/>
  <c r="G15799" i="53" s="1"/>
  <c r="B15800" i="53"/>
  <c r="F15592" i="53"/>
  <c r="G15592" i="53" s="1"/>
  <c r="F15800" i="53"/>
  <c r="G15800" i="53" s="1"/>
  <c r="F15660" i="53"/>
  <c r="G15660" i="53" s="1"/>
  <c r="F15659" i="53"/>
  <c r="G15659" i="53" s="1"/>
  <c r="B15871" i="53"/>
  <c r="F15944" i="53"/>
  <c r="G15944" i="53" s="1"/>
  <c r="F15591" i="53"/>
  <c r="G15591" i="53" s="1"/>
  <c r="B15662" i="53"/>
  <c r="F15939" i="53"/>
  <c r="G15939" i="53" s="1"/>
  <c r="D15872" i="53"/>
  <c r="F15943" i="53"/>
  <c r="G15943" i="53" s="1"/>
  <c r="D15660" i="53"/>
  <c r="B15665" i="53"/>
  <c r="F15872" i="53"/>
  <c r="G15872" i="53" s="1"/>
  <c r="F15521" i="53"/>
  <c r="G15521" i="53" s="1"/>
  <c r="B15666" i="53"/>
  <c r="D15587" i="53"/>
  <c r="D15592" i="53"/>
  <c r="B15941" i="53"/>
  <c r="B15589" i="53"/>
  <c r="D15593" i="53"/>
  <c r="D15871" i="53"/>
  <c r="F15871" i="53"/>
  <c r="G15871" i="53" s="1"/>
  <c r="F15589" i="53"/>
  <c r="G15589" i="53" s="1"/>
  <c r="B15593" i="53"/>
  <c r="D15939" i="53"/>
  <c r="F15803" i="53"/>
  <c r="G15803" i="53" s="1"/>
  <c r="F15806" i="53"/>
  <c r="G15806" i="53" s="1"/>
  <c r="B15664" i="53"/>
  <c r="B15804" i="53"/>
  <c r="D15664" i="53"/>
  <c r="B15940" i="53"/>
  <c r="B15944" i="53"/>
  <c r="D15804" i="53"/>
  <c r="D15519" i="53"/>
  <c r="D15588" i="53"/>
  <c r="D15661" i="53"/>
  <c r="D15940" i="53"/>
  <c r="F15662" i="53"/>
  <c r="G15662" i="53" s="1"/>
  <c r="D15665" i="53"/>
  <c r="B15945" i="53"/>
  <c r="D15803" i="53"/>
  <c r="B15806" i="53"/>
  <c r="F15517" i="53"/>
  <c r="G15517" i="53" s="1"/>
  <c r="B15517" i="53"/>
  <c r="B15805" i="53"/>
  <c r="B15802" i="53"/>
  <c r="D15805" i="53"/>
  <c r="B15799" i="53"/>
  <c r="D15802" i="53"/>
  <c r="B15801" i="53"/>
  <c r="D15801" i="53"/>
  <c r="F15942" i="53"/>
  <c r="G15942" i="53" s="1"/>
  <c r="B15938" i="53"/>
  <c r="D15941" i="53"/>
  <c r="D15938" i="53"/>
  <c r="B15943" i="53"/>
  <c r="B15942" i="53"/>
  <c r="D15945" i="53"/>
  <c r="B15873" i="53"/>
  <c r="D15873" i="53"/>
  <c r="F15663" i="53"/>
  <c r="G15663" i="53" s="1"/>
  <c r="B15659" i="53"/>
  <c r="D15659" i="53"/>
  <c r="B15661" i="53"/>
  <c r="B15663" i="53"/>
  <c r="D15666" i="53"/>
  <c r="B15590" i="53"/>
  <c r="B15587" i="53"/>
  <c r="D15590" i="53"/>
  <c r="F15588" i="53"/>
  <c r="G15588" i="53" s="1"/>
  <c r="B15594" i="53"/>
  <c r="B15591" i="53"/>
  <c r="D15594" i="53"/>
  <c r="F15519" i="53"/>
  <c r="G15519" i="53" s="1"/>
  <c r="D15516" i="53"/>
  <c r="B15520" i="53"/>
  <c r="B15521" i="53"/>
  <c r="B15518" i="53"/>
  <c r="D15520" i="53"/>
  <c r="D15518" i="53"/>
  <c r="G15523" i="53" l="1"/>
  <c r="G15571" i="53" s="1"/>
  <c r="G15807" i="53"/>
  <c r="G15855" i="53" s="1"/>
  <c r="G15667" i="53"/>
  <c r="G15715" i="53" s="1"/>
  <c r="G15946" i="53"/>
  <c r="G15994" i="53" s="1"/>
  <c r="G15874" i="53"/>
  <c r="G15922" i="53" s="1"/>
  <c r="G15595" i="53"/>
  <c r="G15643" i="53" s="1"/>
  <c r="J305" i="1" l="1"/>
  <c r="J306" i="1"/>
  <c r="J310" i="1"/>
  <c r="J311" i="1"/>
  <c r="J307" i="1"/>
  <c r="J309" i="1"/>
  <c r="G15717" i="53"/>
  <c r="G15718" i="53"/>
  <c r="G15719" i="53"/>
  <c r="G15723" i="53" s="1"/>
  <c r="G15926" i="53"/>
  <c r="G15930" i="53" s="1"/>
  <c r="G15925" i="53"/>
  <c r="G15924" i="53"/>
  <c r="G15859" i="53"/>
  <c r="G15863" i="53" s="1"/>
  <c r="G15857" i="53"/>
  <c r="G15858" i="53"/>
  <c r="G15575" i="53"/>
  <c r="G15579" i="53" s="1"/>
  <c r="G15574" i="53"/>
  <c r="G15573" i="53"/>
  <c r="G15646" i="53"/>
  <c r="G15645" i="53"/>
  <c r="G15647" i="53"/>
  <c r="G15651" i="53" s="1"/>
  <c r="G15998" i="53"/>
  <c r="G16002" i="53" s="1"/>
  <c r="G15997" i="53"/>
  <c r="G15996" i="53"/>
  <c r="K311" i="1" l="1"/>
  <c r="L311" i="1"/>
  <c r="L309" i="1"/>
  <c r="K309" i="1"/>
  <c r="K306" i="1"/>
  <c r="L306" i="1"/>
  <c r="L305" i="1"/>
  <c r="K305" i="1"/>
  <c r="K310" i="1"/>
  <c r="L310" i="1"/>
  <c r="K307" i="1"/>
  <c r="L307" i="1"/>
  <c r="O310" i="1"/>
  <c r="N310" i="1"/>
  <c r="M310" i="1"/>
  <c r="N306" i="1"/>
  <c r="M306" i="1"/>
  <c r="O306" i="1"/>
  <c r="O311" i="1"/>
  <c r="N311" i="1"/>
  <c r="M311" i="1"/>
  <c r="O309" i="1"/>
  <c r="N309" i="1"/>
  <c r="M309" i="1"/>
  <c r="O305" i="1"/>
  <c r="N305" i="1"/>
  <c r="M305" i="1"/>
  <c r="N307" i="1"/>
  <c r="M307" i="1"/>
  <c r="O307" i="1"/>
  <c r="G16000" i="53"/>
  <c r="G16004" i="53" s="1"/>
  <c r="G15935" i="53" s="1"/>
  <c r="G15861" i="53"/>
  <c r="G15865" i="53" s="1"/>
  <c r="G15796" i="53" s="1"/>
  <c r="G15721" i="53"/>
  <c r="G15725" i="53" s="1"/>
  <c r="G15656" i="53" s="1"/>
  <c r="G15928" i="53"/>
  <c r="G15932" i="53" s="1"/>
  <c r="G15868" i="53" s="1"/>
  <c r="G15577" i="53"/>
  <c r="G15581" i="53" s="1"/>
  <c r="G15513" i="53" s="1"/>
  <c r="G15649" i="53"/>
  <c r="G15653" i="53" s="1"/>
  <c r="G15584" i="53" s="1"/>
  <c r="L303" i="1" l="1"/>
  <c r="M303" i="1"/>
  <c r="N303" i="1"/>
  <c r="O303" i="1"/>
  <c r="K303" i="1"/>
  <c r="F17191" i="53"/>
  <c r="G17191" i="53" l="1"/>
  <c r="G17196" i="53" s="1"/>
  <c r="G17244" i="53" s="1"/>
  <c r="B11512" i="53"/>
  <c r="F16839" i="53"/>
  <c r="J337" i="1" l="1"/>
  <c r="G17246" i="53"/>
  <c r="G17248" i="53"/>
  <c r="G17252" i="53" s="1"/>
  <c r="G17247" i="53"/>
  <c r="G16839" i="53"/>
  <c r="G16846" i="53" s="1"/>
  <c r="G16895" i="53" s="1"/>
  <c r="F20517" i="53"/>
  <c r="F19183" i="53"/>
  <c r="D11512" i="53"/>
  <c r="L337" i="1" l="1"/>
  <c r="L333" i="1" s="1"/>
  <c r="K337" i="1"/>
  <c r="K333" i="1" s="1"/>
  <c r="O337" i="1"/>
  <c r="O333" i="1" s="1"/>
  <c r="M337" i="1"/>
  <c r="M333" i="1" s="1"/>
  <c r="N337" i="1"/>
  <c r="N333" i="1" s="1"/>
  <c r="J331" i="1"/>
  <c r="G17250" i="53"/>
  <c r="G17254" i="53" s="1"/>
  <c r="G17185" i="53" s="1"/>
  <c r="G16897" i="53"/>
  <c r="G16899" i="53"/>
  <c r="G16903" i="53" s="1"/>
  <c r="G16898" i="53"/>
  <c r="G20517" i="53"/>
  <c r="G20522" i="53" s="1"/>
  <c r="G20570" i="53" s="1"/>
  <c r="G19183" i="53"/>
  <c r="G19193" i="53" s="1"/>
  <c r="L331" i="1" l="1"/>
  <c r="L329" i="1" s="1"/>
  <c r="K331" i="1"/>
  <c r="K329" i="1" s="1"/>
  <c r="O331" i="1"/>
  <c r="O329" i="1" s="1"/>
  <c r="N331" i="1"/>
  <c r="N329" i="1" s="1"/>
  <c r="M331" i="1"/>
  <c r="M329" i="1" s="1"/>
  <c r="G19241" i="53"/>
  <c r="J392" i="1"/>
  <c r="G20574" i="53"/>
  <c r="G20578" i="53" s="1"/>
  <c r="G20573" i="53"/>
  <c r="G20572" i="53"/>
  <c r="G16901" i="53"/>
  <c r="G16905" i="53" s="1"/>
  <c r="G16836" i="53" s="1"/>
  <c r="L392" i="1" l="1"/>
  <c r="L391" i="1" s="1"/>
  <c r="K392" i="1"/>
  <c r="K391" i="1" s="1"/>
  <c r="O392" i="1"/>
  <c r="O391" i="1" s="1"/>
  <c r="N392" i="1"/>
  <c r="N391" i="1" s="1"/>
  <c r="M392" i="1"/>
  <c r="M391" i="1" s="1"/>
  <c r="G19243" i="53"/>
  <c r="G19245" i="53"/>
  <c r="G19249" i="53" s="1"/>
  <c r="G19244" i="53"/>
  <c r="J372" i="1"/>
  <c r="G20576" i="53"/>
  <c r="G20580" i="53" s="1"/>
  <c r="G20513" i="53" s="1"/>
  <c r="L372" i="1" l="1"/>
  <c r="L369" i="1" s="1"/>
  <c r="K372" i="1"/>
  <c r="K369" i="1" s="1"/>
  <c r="O372" i="1"/>
  <c r="O369" i="1" s="1"/>
  <c r="N372" i="1"/>
  <c r="N369" i="1" s="1"/>
  <c r="M372" i="1"/>
  <c r="M369" i="1" s="1"/>
  <c r="G19247" i="53"/>
  <c r="G19251" i="53" s="1"/>
  <c r="G19179" i="53" s="1"/>
  <c r="K409" i="1" l="1"/>
  <c r="L409" i="1"/>
  <c r="O409" i="1"/>
  <c r="M409" i="1"/>
  <c r="N409" i="1"/>
  <c r="B12447" i="53"/>
  <c r="N176" i="1" l="1"/>
  <c r="N407" i="1"/>
  <c r="M176" i="1"/>
  <c r="M407" i="1"/>
  <c r="O176" i="1"/>
  <c r="O407" i="1"/>
  <c r="L176" i="1"/>
  <c r="L407" i="1"/>
  <c r="K176" i="1"/>
  <c r="K407" i="1"/>
  <c r="B21249" i="53"/>
  <c r="B21961" i="53"/>
  <c r="B20299" i="53"/>
  <c r="B20373" i="53"/>
  <c r="D14685" i="53"/>
  <c r="F14687" i="53"/>
  <c r="G14687" i="53" s="1"/>
  <c r="F14686" i="53"/>
  <c r="G14686" i="53" s="1"/>
  <c r="D14560" i="53"/>
  <c r="B14557" i="53"/>
  <c r="B14497" i="53"/>
  <c r="B14494" i="53"/>
  <c r="F16285" i="53"/>
  <c r="G16285" i="53" s="1"/>
  <c r="B14560" i="53" l="1"/>
  <c r="F14685" i="53"/>
  <c r="G14685" i="53" s="1"/>
  <c r="B14685" i="53"/>
  <c r="B14687" i="53"/>
  <c r="D14687" i="53"/>
  <c r="B14686" i="53"/>
  <c r="D14686" i="53"/>
  <c r="D14497" i="53"/>
  <c r="B13371" i="53"/>
  <c r="F13380" i="53"/>
  <c r="G13380" i="53" s="1"/>
  <c r="F13379" i="53"/>
  <c r="G13379" i="53" s="1"/>
  <c r="F13378" i="53"/>
  <c r="G13378" i="53" s="1"/>
  <c r="B13377" i="53"/>
  <c r="D13376" i="53"/>
  <c r="F13375" i="53"/>
  <c r="G13375" i="53" s="1"/>
  <c r="B12869" i="53"/>
  <c r="B12866" i="53"/>
  <c r="F12875" i="53"/>
  <c r="G12875" i="53" s="1"/>
  <c r="F12874" i="53"/>
  <c r="G12874" i="53" s="1"/>
  <c r="B12873" i="53"/>
  <c r="B12872" i="53"/>
  <c r="F12871" i="53"/>
  <c r="G12871" i="53" s="1"/>
  <c r="F12870" i="53"/>
  <c r="G12870" i="53" s="1"/>
  <c r="F15030" i="53"/>
  <c r="G15030" i="53" s="1"/>
  <c r="F15031" i="53"/>
  <c r="G15031" i="53" s="1"/>
  <c r="C261" i="60"/>
  <c r="C262" i="60"/>
  <c r="C263" i="60"/>
  <c r="C264" i="60"/>
  <c r="C265" i="60"/>
  <c r="C266" i="60"/>
  <c r="C267" i="60"/>
  <c r="C268" i="60"/>
  <c r="C269" i="60"/>
  <c r="C270" i="60"/>
  <c r="C271" i="60"/>
  <c r="C272" i="60"/>
  <c r="C273" i="60"/>
  <c r="C274" i="60"/>
  <c r="C275" i="60"/>
  <c r="C276" i="60"/>
  <c r="C277" i="60"/>
  <c r="C278" i="60"/>
  <c r="C279" i="60"/>
  <c r="C280" i="60"/>
  <c r="C281" i="60"/>
  <c r="A14962" i="53"/>
  <c r="D14962" i="53" s="1"/>
  <c r="A14965" i="53"/>
  <c r="A14966" i="53"/>
  <c r="D14966" i="53" s="1"/>
  <c r="A14961" i="53"/>
  <c r="B14961" i="53" s="1"/>
  <c r="B11831" i="53"/>
  <c r="F11837" i="53"/>
  <c r="G11837" i="53" s="1"/>
  <c r="D11837" i="53"/>
  <c r="B11837" i="53"/>
  <c r="F11836" i="53"/>
  <c r="G11836" i="53" s="1"/>
  <c r="D11836" i="53"/>
  <c r="B11836" i="53"/>
  <c r="F11835" i="53"/>
  <c r="G11835" i="53" s="1"/>
  <c r="D11835" i="53"/>
  <c r="B11835" i="53"/>
  <c r="B11834" i="53"/>
  <c r="F11833" i="53"/>
  <c r="G11833" i="53" s="1"/>
  <c r="D11832" i="53"/>
  <c r="B11699" i="53"/>
  <c r="B12449" i="53"/>
  <c r="F18965" i="53"/>
  <c r="F14560" i="53"/>
  <c r="G14560" i="53" s="1"/>
  <c r="G18965" i="53" l="1"/>
  <c r="G18974" i="53" s="1"/>
  <c r="G19022" i="53" s="1"/>
  <c r="F21241" i="53"/>
  <c r="G21241" i="53" s="1"/>
  <c r="F21956" i="53"/>
  <c r="G21956" i="53" s="1"/>
  <c r="F20299" i="53"/>
  <c r="G20299" i="53" s="1"/>
  <c r="F20373" i="53"/>
  <c r="F17760" i="53"/>
  <c r="G17760" i="53" s="1"/>
  <c r="F17619" i="53"/>
  <c r="G17619" i="53" s="1"/>
  <c r="F17691" i="53"/>
  <c r="G17691" i="53" s="1"/>
  <c r="B13374" i="53"/>
  <c r="G14561" i="53"/>
  <c r="G14607" i="53" s="1"/>
  <c r="G14688" i="53"/>
  <c r="G14738" i="53" s="1"/>
  <c r="B12874" i="53"/>
  <c r="B13378" i="53"/>
  <c r="D13378" i="53"/>
  <c r="D12873" i="53"/>
  <c r="B13375" i="53"/>
  <c r="B12870" i="53"/>
  <c r="F11832" i="53"/>
  <c r="G11832" i="53" s="1"/>
  <c r="F12873" i="53"/>
  <c r="G12873" i="53" s="1"/>
  <c r="D12872" i="53"/>
  <c r="B12875" i="53"/>
  <c r="F13376" i="53"/>
  <c r="G13376" i="53" s="1"/>
  <c r="D13379" i="53"/>
  <c r="F12869" i="53"/>
  <c r="G12869" i="53" s="1"/>
  <c r="F12872" i="53"/>
  <c r="G12872" i="53" s="1"/>
  <c r="D13377" i="53"/>
  <c r="D13374" i="53"/>
  <c r="B13376" i="53"/>
  <c r="F13377" i="53"/>
  <c r="G13377" i="53" s="1"/>
  <c r="B13379" i="53"/>
  <c r="D13375" i="53"/>
  <c r="B13380" i="53"/>
  <c r="D13380" i="53"/>
  <c r="D12869" i="53"/>
  <c r="D12874" i="53"/>
  <c r="B12871" i="53"/>
  <c r="D12871" i="53"/>
  <c r="D12870" i="53"/>
  <c r="D12875" i="53"/>
  <c r="D15030" i="53"/>
  <c r="B15030" i="53"/>
  <c r="B15031" i="53"/>
  <c r="D15031" i="53"/>
  <c r="F14967" i="53"/>
  <c r="G14967" i="53" s="1"/>
  <c r="B11832" i="53"/>
  <c r="B14962" i="53"/>
  <c r="D14967" i="53"/>
  <c r="B14967" i="53"/>
  <c r="D11834" i="53"/>
  <c r="F11834" i="53"/>
  <c r="G11834" i="53" s="1"/>
  <c r="D14961" i="53"/>
  <c r="F14964" i="53"/>
  <c r="G14964" i="53" s="1"/>
  <c r="F14965" i="53"/>
  <c r="G14965" i="53" s="1"/>
  <c r="B14964" i="53"/>
  <c r="D14964" i="53"/>
  <c r="F14962" i="53"/>
  <c r="G14962" i="53" s="1"/>
  <c r="D14965" i="53"/>
  <c r="D11831" i="53"/>
  <c r="B11833" i="53"/>
  <c r="D11833" i="53"/>
  <c r="B11702" i="53"/>
  <c r="D11702" i="53"/>
  <c r="J270" i="1" l="1"/>
  <c r="J268" i="1"/>
  <c r="J368" i="1"/>
  <c r="G19026" i="53"/>
  <c r="G19030" i="53" s="1"/>
  <c r="G19025" i="53"/>
  <c r="G19024" i="53"/>
  <c r="G14741" i="53"/>
  <c r="G14740" i="53"/>
  <c r="G14742" i="53"/>
  <c r="G14746" i="53" s="1"/>
  <c r="G14611" i="53"/>
  <c r="G14615" i="53" s="1"/>
  <c r="G14610" i="53"/>
  <c r="G14609" i="53"/>
  <c r="G20373" i="53"/>
  <c r="G20380" i="53" s="1"/>
  <c r="G20428" i="53" s="1"/>
  <c r="G15032" i="53"/>
  <c r="G15080" i="53" s="1"/>
  <c r="G12876" i="53"/>
  <c r="G12925" i="53" s="1"/>
  <c r="M268" i="1" l="1"/>
  <c r="O268" i="1"/>
  <c r="K268" i="1"/>
  <c r="N268" i="1"/>
  <c r="L268" i="1"/>
  <c r="K368" i="1"/>
  <c r="L368" i="1"/>
  <c r="L270" i="1"/>
  <c r="K270" i="1"/>
  <c r="O368" i="1"/>
  <c r="N368" i="1"/>
  <c r="M368" i="1"/>
  <c r="M270" i="1"/>
  <c r="O270" i="1"/>
  <c r="N270" i="1"/>
  <c r="J389" i="1"/>
  <c r="J235" i="1"/>
  <c r="J289" i="1"/>
  <c r="K289" i="1" s="1"/>
  <c r="J319" i="1"/>
  <c r="J277" i="1"/>
  <c r="G20430" i="53"/>
  <c r="G20431" i="53"/>
  <c r="G20432" i="53"/>
  <c r="G20436" i="53" s="1"/>
  <c r="G19028" i="53"/>
  <c r="G19032" i="53" s="1"/>
  <c r="G18961" i="53" s="1"/>
  <c r="G14613" i="53"/>
  <c r="G14617" i="53" s="1"/>
  <c r="G14557" i="53" s="1"/>
  <c r="G14744" i="53"/>
  <c r="G14748" i="53" s="1"/>
  <c r="G14682" i="53" s="1"/>
  <c r="G15083" i="53"/>
  <c r="G15082" i="53"/>
  <c r="G15084" i="53"/>
  <c r="G15088" i="53" s="1"/>
  <c r="G12927" i="53"/>
  <c r="G12929" i="53"/>
  <c r="G12933" i="53" s="1"/>
  <c r="G12928" i="53"/>
  <c r="K245" i="1" l="1"/>
  <c r="N245" i="1"/>
  <c r="L245" i="1"/>
  <c r="M245" i="1"/>
  <c r="O245" i="1"/>
  <c r="L235" i="1"/>
  <c r="K235" i="1"/>
  <c r="M235" i="1"/>
  <c r="N235" i="1"/>
  <c r="O235" i="1"/>
  <c r="K298" i="1"/>
  <c r="M298" i="1"/>
  <c r="L298" i="1"/>
  <c r="N298" i="1"/>
  <c r="O298" i="1"/>
  <c r="K389" i="1"/>
  <c r="L389" i="1"/>
  <c r="L319" i="1"/>
  <c r="L315" i="1" s="1"/>
  <c r="K319" i="1"/>
  <c r="L289" i="1"/>
  <c r="K224" i="1"/>
  <c r="L224" i="1"/>
  <c r="L277" i="1"/>
  <c r="K277" i="1"/>
  <c r="O277" i="1"/>
  <c r="N277" i="1"/>
  <c r="M277" i="1"/>
  <c r="N319" i="1"/>
  <c r="N315" i="1" s="1"/>
  <c r="O319" i="1"/>
  <c r="O315" i="1" s="1"/>
  <c r="M319" i="1"/>
  <c r="M315" i="1" s="1"/>
  <c r="N224" i="1"/>
  <c r="O224" i="1"/>
  <c r="M224" i="1"/>
  <c r="N289" i="1"/>
  <c r="O289" i="1"/>
  <c r="M289" i="1"/>
  <c r="M389" i="1"/>
  <c r="N389" i="1"/>
  <c r="O389" i="1"/>
  <c r="G20434" i="53"/>
  <c r="G20438" i="53" s="1"/>
  <c r="G20367" i="53" s="1"/>
  <c r="G15086" i="53"/>
  <c r="G15090" i="53" s="1"/>
  <c r="G15027" i="53" s="1"/>
  <c r="G12931" i="53"/>
  <c r="G12935" i="53" s="1"/>
  <c r="G12866" i="53" s="1"/>
  <c r="O302" i="1" l="1"/>
  <c r="L302" i="1"/>
  <c r="K315" i="1"/>
  <c r="K302" i="1" s="1"/>
  <c r="N302" i="1"/>
  <c r="C282" i="60"/>
  <c r="C283" i="60"/>
  <c r="C284" i="60"/>
  <c r="C285" i="60"/>
  <c r="C310" i="60"/>
  <c r="C309" i="60"/>
  <c r="C308" i="60"/>
  <c r="C307" i="60"/>
  <c r="C306" i="60"/>
  <c r="C305" i="60"/>
  <c r="C304" i="60"/>
  <c r="C303" i="60"/>
  <c r="C302" i="60"/>
  <c r="C301" i="60"/>
  <c r="C300" i="60"/>
  <c r="C299" i="60"/>
  <c r="C298" i="60"/>
  <c r="C297" i="60"/>
  <c r="C296" i="60"/>
  <c r="C295" i="60"/>
  <c r="C294" i="60"/>
  <c r="C293" i="60"/>
  <c r="C292" i="60"/>
  <c r="C291" i="60"/>
  <c r="C290" i="60"/>
  <c r="C289" i="60"/>
  <c r="C288" i="60"/>
  <c r="C287" i="60"/>
  <c r="C286" i="60"/>
  <c r="B14965" i="53" l="1"/>
  <c r="B12448" i="53"/>
  <c r="F21959" i="53"/>
  <c r="G21959" i="53" s="1"/>
  <c r="F21240" i="53"/>
  <c r="F21955" i="53"/>
  <c r="G21955" i="53" s="1"/>
  <c r="F13374" i="53"/>
  <c r="F11702" i="53"/>
  <c r="F20297" i="53"/>
  <c r="F18749" i="53"/>
  <c r="F14966" i="53"/>
  <c r="G14966" i="53" s="1"/>
  <c r="B14966" i="53"/>
  <c r="F14961" i="53"/>
  <c r="G14961" i="53" s="1"/>
  <c r="F17759" i="53"/>
  <c r="F17690" i="53"/>
  <c r="F17618" i="53"/>
  <c r="F11512" i="53"/>
  <c r="G18749" i="53" l="1"/>
  <c r="G18755" i="53" s="1"/>
  <c r="G11702" i="53"/>
  <c r="G11703" i="53" s="1"/>
  <c r="G11751" i="53" s="1"/>
  <c r="G13374" i="53"/>
  <c r="G13381" i="53" s="1"/>
  <c r="G13429" i="53" s="1"/>
  <c r="J295" i="1" s="1"/>
  <c r="G17759" i="53"/>
  <c r="G17762" i="53" s="1"/>
  <c r="G17811" i="53" s="1"/>
  <c r="G21240" i="53"/>
  <c r="G21250" i="53" s="1"/>
  <c r="G21297" i="53" s="1"/>
  <c r="G11512" i="53"/>
  <c r="G11513" i="53" s="1"/>
  <c r="G11558" i="53" s="1"/>
  <c r="G20297" i="53"/>
  <c r="G20306" i="53" s="1"/>
  <c r="G20354" i="53" s="1"/>
  <c r="G17618" i="53"/>
  <c r="G17625" i="53" s="1"/>
  <c r="G17673" i="53" s="1"/>
  <c r="G17690" i="53"/>
  <c r="G17693" i="53" s="1"/>
  <c r="G17741" i="53" s="1"/>
  <c r="G21965" i="53"/>
  <c r="G22011" i="53" s="1"/>
  <c r="F14497" i="53"/>
  <c r="G14968" i="53"/>
  <c r="G15014" i="53" s="1"/>
  <c r="B11509" i="53"/>
  <c r="J405" i="1" l="1"/>
  <c r="J212" i="1"/>
  <c r="J388" i="1"/>
  <c r="J209" i="1"/>
  <c r="J347" i="1"/>
  <c r="J345" i="1"/>
  <c r="J419" i="1"/>
  <c r="J344" i="1"/>
  <c r="G18803" i="53"/>
  <c r="J242" i="1"/>
  <c r="J276" i="1"/>
  <c r="G22015" i="53"/>
  <c r="G22019" i="53" s="1"/>
  <c r="G22014" i="53"/>
  <c r="G22013" i="53"/>
  <c r="G20358" i="53"/>
  <c r="G20362" i="53" s="1"/>
  <c r="G20357" i="53"/>
  <c r="G20356" i="53"/>
  <c r="G21301" i="53"/>
  <c r="G21305" i="53" s="1"/>
  <c r="G21300" i="53"/>
  <c r="G21299" i="53"/>
  <c r="G17814" i="53"/>
  <c r="G17813" i="53"/>
  <c r="G17815" i="53"/>
  <c r="G17819" i="53" s="1"/>
  <c r="G17743" i="53"/>
  <c r="G17745" i="53"/>
  <c r="G17749" i="53" s="1"/>
  <c r="G17744" i="53"/>
  <c r="G17676" i="53"/>
  <c r="G17675" i="53"/>
  <c r="G17677" i="53"/>
  <c r="G17681" i="53" s="1"/>
  <c r="G13433" i="53"/>
  <c r="G13437" i="53" s="1"/>
  <c r="G13432" i="53"/>
  <c r="G13431" i="53"/>
  <c r="G15016" i="53"/>
  <c r="G15018" i="53"/>
  <c r="G15022" i="53" s="1"/>
  <c r="G15017" i="53"/>
  <c r="G11753" i="53"/>
  <c r="G11755" i="53"/>
  <c r="G11759" i="53" s="1"/>
  <c r="G11754" i="53"/>
  <c r="G11562" i="53"/>
  <c r="G11566" i="53" s="1"/>
  <c r="G11561" i="53"/>
  <c r="G11560" i="53"/>
  <c r="G14497" i="53"/>
  <c r="G14498" i="53" s="1"/>
  <c r="G14544" i="53" s="1"/>
  <c r="D11381" i="53"/>
  <c r="B11378" i="53"/>
  <c r="F11831" i="53"/>
  <c r="K242" i="1" l="1"/>
  <c r="K229" i="1" s="1"/>
  <c r="M242" i="1"/>
  <c r="M229" i="1" s="1"/>
  <c r="N242" i="1"/>
  <c r="N229" i="1" s="1"/>
  <c r="L242" i="1"/>
  <c r="L229" i="1" s="1"/>
  <c r="O242" i="1"/>
  <c r="O229" i="1" s="1"/>
  <c r="O297" i="1"/>
  <c r="O282" i="1" s="1"/>
  <c r="N297" i="1"/>
  <c r="N282" i="1" s="1"/>
  <c r="K297" i="1"/>
  <c r="K282" i="1" s="1"/>
  <c r="M297" i="1"/>
  <c r="M282" i="1" s="1"/>
  <c r="L297" i="1"/>
  <c r="L282" i="1" s="1"/>
  <c r="K209" i="1"/>
  <c r="L209" i="1"/>
  <c r="K344" i="1"/>
  <c r="L344" i="1"/>
  <c r="K388" i="1"/>
  <c r="K382" i="1" s="1"/>
  <c r="L388" i="1"/>
  <c r="L382" i="1" s="1"/>
  <c r="K223" i="1"/>
  <c r="K216" i="1" s="1"/>
  <c r="L223" i="1"/>
  <c r="L216" i="1" s="1"/>
  <c r="K419" i="1"/>
  <c r="K418" i="1" s="1"/>
  <c r="L419" i="1"/>
  <c r="L418" i="1" s="1"/>
  <c r="K215" i="1"/>
  <c r="L215" i="1"/>
  <c r="K347" i="1"/>
  <c r="K346" i="1" s="1"/>
  <c r="L347" i="1"/>
  <c r="L346" i="1" s="1"/>
  <c r="K345" i="1"/>
  <c r="L345" i="1"/>
  <c r="K271" i="1"/>
  <c r="L271" i="1"/>
  <c r="K405" i="1"/>
  <c r="K404" i="1" s="1"/>
  <c r="L405" i="1"/>
  <c r="L404" i="1" s="1"/>
  <c r="K212" i="1"/>
  <c r="L212" i="1"/>
  <c r="K276" i="1"/>
  <c r="K272" i="1" s="1"/>
  <c r="L276" i="1"/>
  <c r="L272" i="1" s="1"/>
  <c r="M419" i="1"/>
  <c r="M418" i="1" s="1"/>
  <c r="O419" i="1"/>
  <c r="O418" i="1" s="1"/>
  <c r="N419" i="1"/>
  <c r="N418" i="1" s="1"/>
  <c r="O215" i="1"/>
  <c r="N215" i="1"/>
  <c r="M215" i="1"/>
  <c r="O345" i="1"/>
  <c r="N345" i="1"/>
  <c r="M345" i="1"/>
  <c r="O209" i="1"/>
  <c r="N209" i="1"/>
  <c r="M209" i="1"/>
  <c r="O344" i="1"/>
  <c r="N344" i="1"/>
  <c r="M344" i="1"/>
  <c r="N388" i="1"/>
  <c r="N382" i="1" s="1"/>
  <c r="M388" i="1"/>
  <c r="M382" i="1" s="1"/>
  <c r="O388" i="1"/>
  <c r="O382" i="1" s="1"/>
  <c r="N271" i="1"/>
  <c r="M271" i="1"/>
  <c r="O271" i="1"/>
  <c r="O405" i="1"/>
  <c r="O404" i="1" s="1"/>
  <c r="N405" i="1"/>
  <c r="N404" i="1" s="1"/>
  <c r="M405" i="1"/>
  <c r="M404" i="1" s="1"/>
  <c r="O212" i="1"/>
  <c r="N212" i="1"/>
  <c r="M212" i="1"/>
  <c r="O223" i="1"/>
  <c r="O216" i="1" s="1"/>
  <c r="N223" i="1"/>
  <c r="N216" i="1" s="1"/>
  <c r="M223" i="1"/>
  <c r="M216" i="1" s="1"/>
  <c r="N347" i="1"/>
  <c r="N346" i="1" s="1"/>
  <c r="M347" i="1"/>
  <c r="M346" i="1" s="1"/>
  <c r="O347" i="1"/>
  <c r="O346" i="1" s="1"/>
  <c r="O276" i="1"/>
  <c r="O272" i="1" s="1"/>
  <c r="N276" i="1"/>
  <c r="N272" i="1" s="1"/>
  <c r="M276" i="1"/>
  <c r="M272" i="1" s="1"/>
  <c r="J364" i="1"/>
  <c r="J267" i="1"/>
  <c r="G18807" i="53"/>
  <c r="G18811" i="53" s="1"/>
  <c r="G18806" i="53"/>
  <c r="G18805" i="53"/>
  <c r="G22017" i="53"/>
  <c r="G22021" i="53" s="1"/>
  <c r="G21952" i="53" s="1"/>
  <c r="G20360" i="53"/>
  <c r="G20364" i="53" s="1"/>
  <c r="G20294" i="53" s="1"/>
  <c r="G21303" i="53"/>
  <c r="G21307" i="53" s="1"/>
  <c r="G21237" i="53" s="1"/>
  <c r="G17747" i="53"/>
  <c r="G17751" i="53" s="1"/>
  <c r="G17686" i="53" s="1"/>
  <c r="G17817" i="53"/>
  <c r="G17821" i="53" s="1"/>
  <c r="G17754" i="53" s="1"/>
  <c r="G17679" i="53"/>
  <c r="G17683" i="53" s="1"/>
  <c r="G17614" i="53" s="1"/>
  <c r="G15020" i="53"/>
  <c r="G15024" i="53" s="1"/>
  <c r="G14958" i="53" s="1"/>
  <c r="G13435" i="53"/>
  <c r="G13439" i="53" s="1"/>
  <c r="G13371" i="53" s="1"/>
  <c r="G11564" i="53"/>
  <c r="G11568" i="53" s="1"/>
  <c r="G11509" i="53" s="1"/>
  <c r="G14546" i="53"/>
  <c r="G14547" i="53"/>
  <c r="G14548" i="53"/>
  <c r="G14552" i="53" s="1"/>
  <c r="G11757" i="53"/>
  <c r="G11761" i="53" s="1"/>
  <c r="G11699" i="53" s="1"/>
  <c r="G11831" i="53"/>
  <c r="G11838" i="53" s="1"/>
  <c r="G11886" i="53" s="1"/>
  <c r="G16287" i="53"/>
  <c r="G16336" i="53" s="1"/>
  <c r="F11381" i="53"/>
  <c r="G11381" i="53" s="1"/>
  <c r="B11381" i="53"/>
  <c r="J317" i="1" l="1"/>
  <c r="N339" i="1"/>
  <c r="O339" i="1"/>
  <c r="M339" i="1"/>
  <c r="L339" i="1"/>
  <c r="K339" i="1"/>
  <c r="L267" i="1"/>
  <c r="O267" i="1"/>
  <c r="M267" i="1"/>
  <c r="N267" i="1"/>
  <c r="K267" i="1"/>
  <c r="L364" i="1"/>
  <c r="K364" i="1"/>
  <c r="N364" i="1"/>
  <c r="M364" i="1"/>
  <c r="O364" i="1"/>
  <c r="J367" i="1"/>
  <c r="J214" i="1"/>
  <c r="G18809" i="53"/>
  <c r="G18813" i="53" s="1"/>
  <c r="G18746" i="53" s="1"/>
  <c r="G16339" i="53"/>
  <c r="G16338" i="53"/>
  <c r="G16340" i="53"/>
  <c r="G16344" i="53" s="1"/>
  <c r="G14550" i="53"/>
  <c r="G14554" i="53" s="1"/>
  <c r="G14494" i="53" s="1"/>
  <c r="G11890" i="53"/>
  <c r="G11894" i="53" s="1"/>
  <c r="G11888" i="53"/>
  <c r="G11889" i="53"/>
  <c r="G11382" i="53"/>
  <c r="G11431" i="53" s="1"/>
  <c r="L266" i="1" l="1"/>
  <c r="L249" i="1" s="1"/>
  <c r="M266" i="1"/>
  <c r="M249" i="1" s="1"/>
  <c r="O266" i="1"/>
  <c r="O249" i="1" s="1"/>
  <c r="N266" i="1"/>
  <c r="N249" i="1" s="1"/>
  <c r="K266" i="1"/>
  <c r="K249" i="1" s="1"/>
  <c r="L214" i="1"/>
  <c r="K214" i="1"/>
  <c r="L367" i="1"/>
  <c r="L358" i="1" s="1"/>
  <c r="K367" i="1"/>
  <c r="O214" i="1"/>
  <c r="N214" i="1"/>
  <c r="M214" i="1"/>
  <c r="O367" i="1"/>
  <c r="O358" i="1" s="1"/>
  <c r="N367" i="1"/>
  <c r="N358" i="1" s="1"/>
  <c r="M367" i="1"/>
  <c r="M358" i="1" s="1"/>
  <c r="M351" i="1" s="1"/>
  <c r="J207" i="1"/>
  <c r="G16342" i="53"/>
  <c r="G16346" i="53" s="1"/>
  <c r="G16279" i="53" s="1"/>
  <c r="G11892" i="53"/>
  <c r="G11896" i="53" s="1"/>
  <c r="G11828" i="53" s="1"/>
  <c r="G11435" i="53"/>
  <c r="G11439" i="53" s="1"/>
  <c r="G11434" i="53"/>
  <c r="G11433" i="53"/>
  <c r="L351" i="1" l="1"/>
  <c r="L323" i="1" s="1"/>
  <c r="N351" i="1"/>
  <c r="N323" i="1" s="1"/>
  <c r="O351" i="1"/>
  <c r="O323" i="1" s="1"/>
  <c r="K358" i="1"/>
  <c r="K207" i="1"/>
  <c r="K206" i="1" s="1"/>
  <c r="K187" i="1" s="1"/>
  <c r="L207" i="1"/>
  <c r="L206" i="1" s="1"/>
  <c r="O207" i="1"/>
  <c r="O206" i="1" s="1"/>
  <c r="N207" i="1"/>
  <c r="N206" i="1" s="1"/>
  <c r="M207" i="1"/>
  <c r="M206" i="1" s="1"/>
  <c r="G11437" i="53"/>
  <c r="G11441" i="53" s="1"/>
  <c r="G11378" i="53" s="1"/>
  <c r="K351" i="1" l="1"/>
  <c r="K323" i="1" s="1"/>
  <c r="K455" i="1" s="1"/>
  <c r="L187" i="1"/>
  <c r="N187" i="1"/>
  <c r="O187" i="1"/>
  <c r="N455" i="1" l="1"/>
  <c r="O455" i="1"/>
  <c r="L455" i="1"/>
  <c r="A14494" i="53" l="1"/>
  <c r="A22381" i="53"/>
  <c r="A22523" i="53"/>
  <c r="B405" i="1"/>
  <c r="B347" i="1"/>
  <c r="B334" i="1"/>
  <c r="A16349" i="53"/>
  <c r="A16007" i="53"/>
  <c r="A16075" i="53"/>
  <c r="B306" i="1"/>
  <c r="A15584" i="53" s="1"/>
  <c r="A15656" i="53"/>
  <c r="A15868" i="53"/>
  <c r="A15935" i="53"/>
  <c r="A15796" i="53"/>
  <c r="B305" i="1"/>
  <c r="A15513" i="53" s="1"/>
  <c r="A14557" i="53"/>
  <c r="A13371" i="53"/>
  <c r="A12866" i="53"/>
  <c r="A11509" i="53"/>
  <c r="A11699" i="53"/>
  <c r="A11378" i="53"/>
  <c r="A8812" i="53"/>
  <c r="A8742" i="53"/>
  <c r="A8468" i="53"/>
  <c r="A8537" i="53"/>
  <c r="A8604" i="53"/>
  <c r="A8401" i="53"/>
  <c r="A7928" i="53"/>
  <c r="A7725" i="53"/>
  <c r="A5611" i="53"/>
  <c r="A5678" i="53"/>
  <c r="A5065" i="53"/>
  <c r="B96" i="1"/>
  <c r="A4725" i="53" s="1"/>
  <c r="B118" i="1"/>
  <c r="A6087" i="53" s="1"/>
  <c r="A6155" i="53"/>
  <c r="B128" i="1"/>
  <c r="A6696" i="53" s="1"/>
  <c r="A6495" i="53"/>
  <c r="B130" i="1"/>
  <c r="A6833" i="53" s="1"/>
  <c r="B129" i="1"/>
  <c r="A6764" i="53" s="1"/>
  <c r="A4861" i="53"/>
  <c r="A4999" i="53"/>
  <c r="A3958" i="53"/>
  <c r="A3605" i="53"/>
  <c r="A3461" i="53"/>
  <c r="B63" i="1"/>
  <c r="A3251" i="53" s="1"/>
  <c r="A3323" i="53"/>
  <c r="A2895" i="53"/>
  <c r="A2351" i="53"/>
  <c r="A2418" i="53"/>
  <c r="A2485" i="53"/>
  <c r="A2629" i="53"/>
  <c r="A2695" i="53"/>
  <c r="A2827" i="53"/>
  <c r="B38" i="1"/>
  <c r="A1876" i="53" s="1"/>
  <c r="A978" i="53"/>
  <c r="A842" i="53"/>
  <c r="A138" i="53"/>
  <c r="A413" i="53"/>
  <c r="A9092" i="53"/>
  <c r="A705" i="53"/>
  <c r="B16" i="1"/>
  <c r="A640" i="53" s="1"/>
  <c r="A2284" i="53" l="1"/>
  <c r="A17614" i="53"/>
  <c r="A16836" i="53"/>
  <c r="A17754" i="53"/>
  <c r="A22166" i="53"/>
  <c r="A17686" i="53"/>
  <c r="A16908" i="53"/>
  <c r="A22237" i="53"/>
  <c r="A18111" i="53"/>
  <c r="A16978" i="53"/>
  <c r="A17896" i="53"/>
  <c r="A17185" i="53"/>
  <c r="A21952" i="53"/>
  <c r="A20877" i="53"/>
  <c r="A21237" i="53"/>
  <c r="A20513" i="53"/>
  <c r="A19179" i="53"/>
  <c r="A18604" i="53"/>
  <c r="A18961" i="53"/>
  <c r="A18889" i="53"/>
  <c r="A18746" i="53"/>
  <c r="A18816" i="53"/>
  <c r="A20294" i="53"/>
  <c r="M94" i="1" l="1"/>
  <c r="M45" i="1" l="1"/>
  <c r="M323" i="1"/>
  <c r="M4" i="1" l="1"/>
  <c r="M302" i="1"/>
  <c r="T11" i="38" l="1"/>
  <c r="S11" i="38"/>
  <c r="Q11" i="38"/>
  <c r="R10" i="38"/>
  <c r="T10" i="38" s="1"/>
  <c r="Q10" i="38"/>
  <c r="K12" i="38" l="1"/>
  <c r="K11" i="38"/>
  <c r="N10" i="38"/>
  <c r="N3" i="38"/>
  <c r="T9" i="38"/>
  <c r="N9" i="38"/>
  <c r="D22" i="38"/>
  <c r="D21" i="38"/>
  <c r="C22" i="38"/>
  <c r="C21" i="38"/>
  <c r="M13" i="38" s="1"/>
  <c r="B22" i="38"/>
  <c r="L13" i="38"/>
  <c r="N13" i="38" l="1"/>
  <c r="L11" i="38"/>
  <c r="N11" i="38" s="1"/>
  <c r="L8" i="38"/>
  <c r="M12" i="38"/>
  <c r="N12" i="38" s="1"/>
  <c r="M7" i="38"/>
  <c r="R7" i="38" l="1"/>
  <c r="M5" i="38"/>
  <c r="S6" i="38"/>
  <c r="D23" i="38" l="1"/>
  <c r="R6" i="38"/>
  <c r="T6" i="38" s="1"/>
  <c r="S5" i="38"/>
  <c r="R4" i="38"/>
  <c r="S4" i="38"/>
  <c r="R5" i="38"/>
  <c r="S8" i="38"/>
  <c r="R8" i="38"/>
  <c r="S7" i="38"/>
  <c r="T7" i="38" s="1"/>
  <c r="L7" i="38"/>
  <c r="L6" i="38"/>
  <c r="L5" i="38"/>
  <c r="N5" i="38" s="1"/>
  <c r="M8" i="38"/>
  <c r="B23" i="38"/>
  <c r="C23" i="38"/>
  <c r="M4" i="38"/>
  <c r="L4" i="38"/>
  <c r="M6" i="38"/>
  <c r="R12" i="38" s="1"/>
  <c r="C159" i="1"/>
  <c r="B8537" i="53" s="1"/>
  <c r="B6696" i="53"/>
  <c r="B4861" i="53"/>
  <c r="T8" i="38" l="1"/>
  <c r="N4" i="38"/>
  <c r="N6" i="38"/>
  <c r="T5" i="38"/>
  <c r="T4" i="38"/>
  <c r="N8" i="38"/>
  <c r="M187" i="1" s="1"/>
  <c r="N7" i="38"/>
  <c r="B640" i="53"/>
  <c r="B413" i="53"/>
  <c r="B705" i="53"/>
  <c r="B138" i="53"/>
  <c r="B6833" i="53"/>
  <c r="B6495" i="53"/>
  <c r="S12" i="38" l="1"/>
  <c r="T12" i="38" s="1"/>
  <c r="M45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Gerardo López M</author>
    <author>USUARIO</author>
  </authors>
  <commentList>
    <comment ref="C2" authorId="0" shapeId="0" xr:uid="{CA14C15C-5198-4FDA-90EE-3154B205A0A5}">
      <text>
        <r>
          <rPr>
            <b/>
            <sz val="9"/>
            <color indexed="81"/>
            <rFont val="Tahoma"/>
            <family val="2"/>
          </rPr>
          <t>Precio aproximado</t>
        </r>
      </text>
    </comment>
    <comment ref="E8" authorId="0" shapeId="0" xr:uid="{81204D58-02D2-42E9-B764-E985A26337FB}">
      <text>
        <r>
          <rPr>
            <b/>
            <sz val="9"/>
            <color indexed="81"/>
            <rFont val="Tahoma"/>
            <family val="2"/>
          </rPr>
          <t>Valor aproximado</t>
        </r>
      </text>
    </comment>
    <comment ref="H18" authorId="0" shapeId="0" xr:uid="{B1D9FB52-6D94-4C83-A9E1-DBD06A02B64B}">
      <text>
        <r>
          <rPr>
            <b/>
            <sz val="9"/>
            <color indexed="81"/>
            <rFont val="Tahoma"/>
            <family val="2"/>
          </rPr>
          <t>item 1-03-01 E</t>
        </r>
      </text>
    </comment>
    <comment ref="C20" authorId="0" shapeId="0" xr:uid="{64E29843-1F40-4BA4-A666-A4728450419F}">
      <text>
        <r>
          <rPr>
            <b/>
            <sz val="9"/>
            <color indexed="81"/>
            <rFont val="Tahoma"/>
            <family val="2"/>
          </rPr>
          <t>Se agrega el 57% de costos de envío</t>
        </r>
      </text>
    </comment>
    <comment ref="E20" authorId="0" shapeId="0" xr:uid="{6BCC7C3B-4782-4BEF-B250-B57D0D83170E}">
      <text>
        <r>
          <rPr>
            <b/>
            <sz val="9"/>
            <color indexed="81"/>
            <rFont val="Tahoma"/>
            <family val="2"/>
          </rPr>
          <t>Costo en </t>
        </r>
        <r>
          <rPr>
            <sz val="9"/>
            <color indexed="81"/>
            <rFont val="Tahoma"/>
            <family val="2"/>
          </rPr>
          <t>CLP= 7,259CLP/m×120m = 871,080CLP</t>
        </r>
        <r>
          <rPr>
            <b/>
            <sz val="9"/>
            <color indexed="81"/>
            <rFont val="Tahoma"/>
            <family val="2"/>
          </rPr>
          <t xml:space="preserve">
Costo en </t>
        </r>
        <r>
          <rPr>
            <sz val="9"/>
            <color indexed="81"/>
            <rFont val="Tahoma"/>
            <family val="2"/>
          </rPr>
          <t>COP= 871,080CLP×4.21632COP/CLP ≈ 3,673,000COP</t>
        </r>
        <r>
          <rPr>
            <b/>
            <sz val="9"/>
            <color indexed="81"/>
            <rFont val="Tahoma"/>
            <family val="2"/>
          </rPr>
          <t xml:space="preserve">
Concepto                    Costo aproximado (COP)
</t>
        </r>
        <r>
          <rPr>
            <sz val="9"/>
            <color indexed="81"/>
            <rFont val="Tahoma"/>
            <family val="2"/>
          </rPr>
          <t xml:space="preserve">Flete marítimo                         400,000
Seguro de transporte        55,095
Arancel (10%)                         412,300
IVA (19%)                                    861,707
Gastos aduaneros               350,000
Total costos adicionales   2,079,102 
</t>
        </r>
      </text>
    </comment>
    <comment ref="C22" authorId="0" shapeId="0" xr:uid="{E1A53078-BDAE-4A04-B66F-33A2C75DB02C}">
      <text>
        <r>
          <rPr>
            <b/>
            <sz val="9"/>
            <color indexed="81"/>
            <rFont val="Tahoma"/>
            <family val="2"/>
          </rPr>
          <t>Precio base 10/2023 indexado a 01/2025</t>
        </r>
      </text>
    </comment>
    <comment ref="C23" authorId="0" shapeId="0" xr:uid="{C7AE229F-BDB0-4A06-8E73-B18FC4B5A68C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24" authorId="0" shapeId="0" xr:uid="{EC95BA05-C2FC-47DB-B5A0-D19303B1BC0D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26" authorId="0" shapeId="0" xr:uid="{14FF7E71-2CAE-4038-B12E-6DAD7D121B4E}">
      <text>
        <r>
          <rPr>
            <b/>
            <sz val="9"/>
            <color indexed="81"/>
            <rFont val="Tahoma"/>
            <family val="2"/>
          </rPr>
          <t>procede de una cotización para las bahías de S/E Canaima</t>
        </r>
      </text>
    </comment>
    <comment ref="C27" authorId="0" shapeId="0" xr:uid="{7E4A8545-0F77-4220-85BE-97F0237E3184}">
      <text>
        <r>
          <rPr>
            <b/>
            <sz val="9"/>
            <color indexed="81"/>
            <rFont val="Tahoma"/>
            <family val="2"/>
          </rPr>
          <t>Precio base 10/2023 indexado a 01/2025</t>
        </r>
      </text>
    </comment>
    <comment ref="C28" authorId="0" shapeId="0" xr:uid="{1B3B8EA8-5654-4FBB-A1F0-262FD621088F}">
      <text>
        <r>
          <rPr>
            <b/>
            <sz val="9"/>
            <color indexed="81"/>
            <rFont val="Tahoma"/>
            <family val="2"/>
          </rPr>
          <t>Precio base 10/2023 indexado a 01/2025</t>
        </r>
      </text>
    </comment>
    <comment ref="C29" authorId="0" shapeId="0" xr:uid="{45A7E001-33F6-44BC-8982-CABC1C7FF837}">
      <text>
        <r>
          <rPr>
            <b/>
            <sz val="9"/>
            <color indexed="81"/>
            <rFont val="Tahoma"/>
            <family val="2"/>
          </rPr>
          <t>Precio base 10/2023 indexado a 01/2025</t>
        </r>
      </text>
    </comment>
    <comment ref="C32" authorId="0" shapeId="0" xr:uid="{DBB52A2D-771A-4206-A3D6-BFC8F59D30E7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33" authorId="0" shapeId="0" xr:uid="{5033892D-6FD6-4C4B-9BF0-6C4E3FDE5138}">
      <text>
        <r>
          <rPr>
            <b/>
            <sz val="9"/>
            <color indexed="81"/>
            <rFont val="Tahoma"/>
            <family val="2"/>
          </rPr>
          <t>Precio base 02/2024 indexado a 01/2025, pagina 88</t>
        </r>
      </text>
    </comment>
    <comment ref="C34" authorId="0" shapeId="0" xr:uid="{D51BB605-A39F-422B-A4F3-4812F331E3DF}">
      <text>
        <r>
          <rPr>
            <b/>
            <sz val="9"/>
            <color indexed="81"/>
            <rFont val="Tahoma"/>
            <family val="2"/>
          </rPr>
          <t>Precio base 02/2024 indexado a 01/2025, pagina 88</t>
        </r>
      </text>
    </comment>
    <comment ref="C36" authorId="0" shapeId="0" xr:uid="{4AB21C8C-08C7-40FF-9D97-FFB29E9107A2}">
      <text>
        <r>
          <rPr>
            <b/>
            <sz val="9"/>
            <color indexed="81"/>
            <rFont val="Tahoma"/>
            <family val="2"/>
          </rPr>
          <t>Se agrega el 40% de costos de envío</t>
        </r>
      </text>
    </comment>
    <comment ref="C42" authorId="0" shapeId="0" xr:uid="{4B2ED5B9-7691-43F7-B2C7-B11865306B8D}">
      <text>
        <r>
          <rPr>
            <b/>
            <sz val="9"/>
            <color indexed="81"/>
            <rFont val="Tahoma"/>
            <family val="2"/>
          </rPr>
          <t>Precio aproximado basado en la referencia</t>
        </r>
      </text>
    </comment>
    <comment ref="C45" authorId="0" shapeId="0" xr:uid="{31413A95-0B9D-4E68-ABF2-DBAE160EB6F2}">
      <text>
        <r>
          <rPr>
            <b/>
            <sz val="9"/>
            <color indexed="81"/>
            <rFont val="Tahoma"/>
            <family val="2"/>
          </rPr>
          <t>Se agrega el 57% de costos de envío</t>
        </r>
      </text>
    </comment>
    <comment ref="C46" authorId="0" shapeId="0" xr:uid="{12D34B39-13EF-4F9D-BEC0-C0BF98083D96}">
      <text>
        <r>
          <rPr>
            <b/>
            <sz val="9"/>
            <color indexed="81"/>
            <rFont val="Tahoma"/>
            <family val="2"/>
          </rPr>
          <t>Según la referencia, la diferencia de precio entre entre un reconectador de 38kV y otro de 15kV es de 23,6%</t>
        </r>
      </text>
    </comment>
    <comment ref="C47" authorId="0" shapeId="0" xr:uid="{D758FF7B-42EE-4895-9C7C-D673336E6EF5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48" authorId="0" shapeId="0" xr:uid="{9E109DDA-B29E-4F56-9B7D-FB9A71F9493A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50" authorId="0" shapeId="0" xr:uid="{170E3DE4-F7C7-4484-92F1-8166CC0CEDE3}">
      <text>
        <r>
          <rPr>
            <b/>
            <sz val="9"/>
            <color indexed="81"/>
            <rFont val="Tahoma"/>
            <family val="2"/>
          </rPr>
          <t>Precio base 10/2023 indexado a 01/2025</t>
        </r>
      </text>
    </comment>
    <comment ref="C51" authorId="0" shapeId="0" xr:uid="{C3D37CA9-3122-48B6-8967-742C1C3824EC}">
      <text>
        <r>
          <rPr>
            <b/>
            <sz val="9"/>
            <color indexed="81"/>
            <rFont val="Tahoma"/>
            <family val="2"/>
          </rPr>
          <t>Precio base 10/2023 indexado a 01/2025</t>
        </r>
      </text>
    </comment>
    <comment ref="C52" authorId="0" shapeId="0" xr:uid="{68061B4D-A932-4043-AD5C-B043B0A238BB}">
      <text>
        <r>
          <rPr>
            <b/>
            <sz val="9"/>
            <color indexed="81"/>
            <rFont val="Tahoma"/>
            <family val="2"/>
          </rPr>
          <t>Precio base 10/2023 indexado a 01/2025</t>
        </r>
      </text>
    </comment>
    <comment ref="C53" authorId="0" shapeId="0" xr:uid="{89FBFB87-C22D-4B9E-8C5D-E2C39A8FFA08}">
      <text>
        <r>
          <rPr>
            <b/>
            <sz val="9"/>
            <color indexed="81"/>
            <rFont val="Tahoma"/>
            <family val="2"/>
          </rPr>
          <t xml:space="preserve">Precio base 09/2023
indexado a 01/2025
2,4 METROS A $350,000 </t>
        </r>
      </text>
    </comment>
    <comment ref="H53" authorId="0" shapeId="0" xr:uid="{EC70A991-2FC9-49B8-91DE-4A7A8268EB81}">
      <text>
        <r>
          <rPr>
            <sz val="9"/>
            <color indexed="81"/>
            <rFont val="Tahoma"/>
            <family val="2"/>
          </rPr>
          <t>Se debe descargar la ficha técnica: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file:///D:/04.%20DISE%C3%91O%203%20(L.G)/13.%20ID20200070%20-%20%20S.E.%20BARAYA/151/bandeja-portacable-galvanizada-2-4m-5c-20c.pdf</t>
        </r>
      </text>
    </comment>
    <comment ref="C54" authorId="0" shapeId="0" xr:uid="{35672019-4A65-4E5C-9D3D-DFD227340633}">
      <text>
        <r>
          <rPr>
            <b/>
            <sz val="9"/>
            <color indexed="81"/>
            <rFont val="Tahoma"/>
            <family val="2"/>
          </rPr>
          <t>Precio base 09/2023
indexado a 01/2025</t>
        </r>
      </text>
    </comment>
    <comment ref="H54" authorId="0" shapeId="0" xr:uid="{B715A72D-D25F-449F-ACEA-3FD206A8770F}">
      <text>
        <r>
          <rPr>
            <sz val="9"/>
            <color indexed="81"/>
            <rFont val="Tahoma"/>
            <family val="2"/>
          </rPr>
          <t>Se debe descargar la ficha técnica: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file:///D:/04.%20DISE%C3%91O%203%20(L.G)/13.%20ID20200070%20-%20%20S.E.%20BARAYA/151/bandeja-portacable-galvanizada-2-4m-5c-20c.pdf</t>
        </r>
      </text>
    </comment>
    <comment ref="H55" authorId="0" shapeId="0" xr:uid="{2B7EFF34-F3F9-4742-985A-3FD146108972}">
      <text>
        <r>
          <rPr>
            <sz val="9"/>
            <color indexed="81"/>
            <rFont val="Tahoma"/>
            <family val="2"/>
          </rPr>
          <t>Se debe descargar la ficha técnica: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file:///D:/04.%20DISE%C3%91O%203%20(L.G)/13.%20ID20200070%20-%20%20S.E.%20BARAYA/151/bandeja-portacable-galvanizada-2-4m-5c-20c.pdf</t>
        </r>
      </text>
    </comment>
    <comment ref="H56" authorId="0" shapeId="0" xr:uid="{E4907FFB-17A3-4D46-ACAD-1E34610E2948}">
      <text>
        <r>
          <rPr>
            <sz val="9"/>
            <color indexed="81"/>
            <rFont val="Tahoma"/>
            <family val="2"/>
          </rPr>
          <t>Se debe descargar la ficha técnica: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file:///D:/04.%20DISE%C3%91O%203%20(L.G)/13.%20ID20200070%20-%20%20S.E.%20BARAYA/151/bandeja-portacable-galvanizada-2-4m-5c-20c.pdf</t>
        </r>
      </text>
    </comment>
    <comment ref="H57" authorId="0" shapeId="0" xr:uid="{C5C706FD-87EC-4900-9B8F-9B05E6F0E47C}">
      <text>
        <r>
          <rPr>
            <sz val="9"/>
            <color indexed="81"/>
            <rFont val="Tahoma"/>
            <family val="2"/>
          </rPr>
          <t>Se debe descargar la ficha técnica: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file:///D:/04.%20DISE%C3%91O%203%20(L.G)/13.%20ID20200070%20-%20%20S.E.%20BARAYA/151/bandeja-portacable-galvanizada-2-4m-5c-20c.pdf</t>
        </r>
      </text>
    </comment>
    <comment ref="H58" authorId="0" shapeId="0" xr:uid="{BA60155B-76A7-4A0C-9095-7D86743871B3}">
      <text>
        <r>
          <rPr>
            <sz val="9"/>
            <color indexed="81"/>
            <rFont val="Tahoma"/>
            <family val="2"/>
          </rPr>
          <t>Se debe descargar la ficha técnica: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file:///D:/04.%20DISE%C3%91O%203%20(L.G)/13.%20ID20200070%20-%20%20S.E.%20BARAYA/151/bandeja-portacable-galvanizada-2-4m-5c-20c.pdf</t>
        </r>
      </text>
    </comment>
    <comment ref="H59" authorId="0" shapeId="0" xr:uid="{15634FC0-DD9A-446C-9480-B3A9293E6300}">
      <text>
        <r>
          <rPr>
            <sz val="9"/>
            <color indexed="81"/>
            <rFont val="Tahoma"/>
            <family val="2"/>
          </rPr>
          <t>Se debe descargar la ficha técnica: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file:///D:/04.%20DISE%C3%91O%203%20(L.G)/13.%20ID20200070%20-%20%20S.E.%20BARAYA/151/bandeja-portacable-galvanizada-2-4m-5c-20c.pdf</t>
        </r>
      </text>
    </comment>
    <comment ref="H60" authorId="0" shapeId="0" xr:uid="{24255D47-E69C-4E85-AB7C-014956D92522}">
      <text>
        <r>
          <rPr>
            <sz val="9"/>
            <color indexed="81"/>
            <rFont val="Tahoma"/>
            <family val="2"/>
          </rPr>
          <t>Se debe descargar la ficha técnica: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file:///D:/04.%20DISE%C3%91O%203%20(L.G)/13.%20ID20200070%20-%20%20S.E.%20BARAYA/151/bandeja-portacable-galvanizada-2-4m-5c-20c.pdf</t>
        </r>
      </text>
    </comment>
    <comment ref="C95" authorId="0" shapeId="0" xr:uid="{E633B055-B5D7-4FB6-B4DE-F1E32F363F08}">
      <text>
        <r>
          <rPr>
            <b/>
            <sz val="9"/>
            <color indexed="81"/>
            <rFont val="Tahoma"/>
            <family val="2"/>
          </rPr>
          <t>Precio aproximado para varios tipos de adaptadores basado en el LC</t>
        </r>
      </text>
    </comment>
    <comment ref="C119" authorId="0" shapeId="0" xr:uid="{CDE65FDB-C18F-4BC5-8FE1-F8EEE2D34641}">
      <text>
        <r>
          <rPr>
            <b/>
            <sz val="9"/>
            <color indexed="81"/>
            <rFont val="Tahoma"/>
            <family val="2"/>
          </rPr>
          <t>Precio base 05/2023 indexado a 01/2025</t>
        </r>
      </text>
    </comment>
    <comment ref="C120" authorId="0" shapeId="0" xr:uid="{FD491660-E779-483F-9A1F-099F68CFF240}">
      <text>
        <r>
          <rPr>
            <b/>
            <sz val="9"/>
            <color indexed="81"/>
            <rFont val="Tahoma"/>
            <family val="2"/>
          </rPr>
          <t>Precio base 05/2023 indexado a 01/2025</t>
        </r>
      </text>
    </comment>
    <comment ref="E121" authorId="0" shapeId="0" xr:uid="{3321384F-55A5-4487-B45A-1A0CAA065360}">
      <text>
        <r>
          <rPr>
            <b/>
            <sz val="9"/>
            <color indexed="81"/>
            <rFont val="Tahoma"/>
            <family val="2"/>
          </rPr>
          <t>Precio base 2022 indexado al 2025</t>
        </r>
      </text>
    </comment>
    <comment ref="H124" authorId="0" shapeId="0" xr:uid="{F31CCD9A-D840-4662-8435-F95A25E20D52}">
      <text>
        <r>
          <rPr>
            <b/>
            <sz val="9"/>
            <color indexed="81"/>
            <rFont val="Tahoma"/>
            <family val="2"/>
          </rPr>
          <t>Pagina 31</t>
        </r>
      </text>
    </comment>
    <comment ref="H125" authorId="0" shapeId="0" xr:uid="{596479FA-2A59-489A-B8A7-B563B3AC7099}">
      <text>
        <r>
          <rPr>
            <b/>
            <sz val="9"/>
            <color indexed="81"/>
            <rFont val="Tahoma"/>
            <family val="2"/>
          </rPr>
          <t>Pagina 87</t>
        </r>
      </text>
    </comment>
    <comment ref="C134" authorId="0" shapeId="0" xr:uid="{9C237C83-CF74-49F9-87DC-09905B83F9EF}">
      <text>
        <r>
          <rPr>
            <b/>
            <sz val="9"/>
            <color indexed="81"/>
            <rFont val="Tahoma"/>
            <family val="2"/>
          </rPr>
          <t>Se agrega el 60% de gastos de envío e IVA</t>
        </r>
      </text>
    </comment>
    <comment ref="C135" authorId="0" shapeId="0" xr:uid="{D0CF5EF8-F096-4A72-B3C5-33506A2D68D6}">
      <text>
        <r>
          <rPr>
            <b/>
            <sz val="9"/>
            <color indexed="81"/>
            <rFont val="Tahoma"/>
            <family val="2"/>
          </rPr>
          <t>Cálculo aproximado 10,611 m2 cuestan $498.550, entonces 0,7*0,7 m cuanto cuestan</t>
        </r>
      </text>
    </comment>
    <comment ref="C168" authorId="0" shapeId="0" xr:uid="{0097C4D5-EEA6-41FD-A18E-E88BA8D890C1}">
      <text>
        <r>
          <rPr>
            <b/>
            <sz val="9"/>
            <color indexed="81"/>
            <rFont val="Tahoma"/>
            <family val="2"/>
          </rPr>
          <t>se adiciona 40% por gastos de envío e impuestos</t>
        </r>
      </text>
    </comment>
    <comment ref="C178" authorId="0" shapeId="0" xr:uid="{2DE5CAA5-6700-4CEF-9C54-78DBA710930D}">
      <text>
        <r>
          <rPr>
            <b/>
            <sz val="9"/>
            <color indexed="81"/>
            <rFont val="Tahoma"/>
            <family val="2"/>
          </rPr>
          <t>PRECIO APROXIMADO BASAO EN LA GRAPA ANTERIOR</t>
        </r>
      </text>
    </comment>
    <comment ref="E277" authorId="0" shapeId="0" xr:uid="{E1B6757A-8996-41B0-9E1D-CAC9FEF6CF50}">
      <text>
        <r>
          <rPr>
            <b/>
            <sz val="9"/>
            <color indexed="81"/>
            <rFont val="Tahoma"/>
            <family val="2"/>
          </rPr>
          <t>1 TON= $28.907
1 TON= 2831,68 M3</t>
        </r>
      </text>
    </comment>
    <comment ref="E296" authorId="0" shapeId="0" xr:uid="{8405B8F7-8DE2-4ADA-8187-3907A6CD0BE9}">
      <text>
        <r>
          <rPr>
            <b/>
            <sz val="9"/>
            <color indexed="81"/>
            <rFont val="Tahoma"/>
            <family val="2"/>
          </rPr>
          <t>Hoja 11, se ajusta al IPP desde 12/2021 hasta 01/2025</t>
        </r>
      </text>
    </comment>
    <comment ref="E297" authorId="0" shapeId="0" xr:uid="{64A3414F-B682-4533-8B0C-220EEC37E832}">
      <text>
        <r>
          <rPr>
            <b/>
            <sz val="9"/>
            <color indexed="81"/>
            <rFont val="Tahoma"/>
            <family val="2"/>
          </rPr>
          <t>Hoja 11, se ajusta al IPP desde 12/2021 hasta 01/2025</t>
        </r>
      </text>
    </comment>
    <comment ref="E303" authorId="0" shapeId="0" xr:uid="{C9134E4E-6E1E-4FF5-9E06-21F047DFD1F3}">
      <text>
        <r>
          <rPr>
            <b/>
            <sz val="9"/>
            <color indexed="81"/>
            <rFont val="Tahoma"/>
            <family val="2"/>
          </rPr>
          <t>12M x 0,7=8,4m2
costo: $456.303</t>
        </r>
      </text>
    </comment>
    <comment ref="E306" authorId="0" shapeId="0" xr:uid="{5B69C0D5-EF71-47C3-826B-0D38097EB1FF}">
      <text>
        <r>
          <rPr>
            <b/>
            <sz val="9"/>
            <color indexed="81"/>
            <rFont val="Tahoma"/>
            <family val="2"/>
          </rPr>
          <t>el1,4 sale de 0,7*2m, porque tiene 2 metros de largo por 0,7 de ancho</t>
        </r>
      </text>
    </comment>
    <comment ref="C363" authorId="0" shapeId="0" xr:uid="{D2C72840-D5B9-40E4-ADE5-32436625D87F}">
      <text>
        <r>
          <rPr>
            <sz val="9"/>
            <color indexed="81"/>
            <rFont val="Tahoma"/>
            <family val="2"/>
          </rPr>
          <t>Precio base 12/2021 indexado a 01/2025
Ajustado un 20% con base al precio de Interruptor en 13,8 kV</t>
        </r>
      </text>
    </comment>
    <comment ref="C364" authorId="0" shapeId="0" xr:uid="{106F55B7-9C54-4261-BA70-EE1DDE1088CD}">
      <text>
        <r>
          <rPr>
            <sz val="9"/>
            <color indexed="81"/>
            <rFont val="Tahoma"/>
            <family val="2"/>
          </rPr>
          <t>Precio base 12/2021 indexado a 01/2025
Ajustado un 20% con base al precio de Interruptor en 13,8 kV</t>
        </r>
      </text>
    </comment>
    <comment ref="C365" authorId="0" shapeId="0" xr:uid="{48979472-BFA6-49A4-B300-DB11089BB8C0}">
      <text>
        <r>
          <rPr>
            <sz val="9"/>
            <color indexed="81"/>
            <rFont val="Tahoma"/>
            <family val="2"/>
          </rPr>
          <t>Precio base 12/2021 indexado a 01/2025
Ajustado un 20% con base al precio de Interruptor en 13,8 kV</t>
        </r>
      </text>
    </comment>
    <comment ref="C366" authorId="0" shapeId="0" xr:uid="{3DB4A371-60A5-42A3-9EAE-DE96C7E72B22}">
      <text>
        <r>
          <rPr>
            <sz val="9"/>
            <color indexed="81"/>
            <rFont val="Tahoma"/>
            <family val="2"/>
          </rPr>
          <t xml:space="preserve">Precio base 12/2021 indexado a 01/2025
</t>
        </r>
      </text>
    </comment>
    <comment ref="C367" authorId="0" shapeId="0" xr:uid="{DFC719A5-2C96-4970-B8B5-B0F1E4EF19C9}">
      <text>
        <r>
          <rPr>
            <sz val="9"/>
            <color indexed="81"/>
            <rFont val="Tahoma"/>
            <family val="2"/>
          </rPr>
          <t>Precio base 12/2021 indexado a 01/2025</t>
        </r>
      </text>
    </comment>
    <comment ref="C368" authorId="0" shapeId="0" xr:uid="{A6DFF9A0-FE54-4698-90A1-1C09B5C53E83}">
      <text>
        <r>
          <rPr>
            <sz val="9"/>
            <color indexed="81"/>
            <rFont val="Tahoma"/>
            <family val="2"/>
          </rPr>
          <t>Precio base 12/2021 indexado a 01/2025
Ajustado un 20% con base al precio de Interruptor en 13,8 kV</t>
        </r>
      </text>
    </comment>
    <comment ref="C369" authorId="0" shapeId="0" xr:uid="{45F4D498-BE3D-4879-B80B-F6B514F13678}">
      <text>
        <r>
          <rPr>
            <sz val="9"/>
            <color indexed="81"/>
            <rFont val="Tahoma"/>
            <family val="2"/>
          </rPr>
          <t>Precio base 12/2021 indexado a 01/2025
Ajustado un 20% con base al precio de Interruptor en 13,8 kV</t>
        </r>
      </text>
    </comment>
    <comment ref="C388" authorId="0" shapeId="0" xr:uid="{E288A76A-E84F-4F99-9466-F033B2693CD6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389" authorId="0" shapeId="0" xr:uid="{72202F71-3E41-41C8-93F6-8BDE1183B5CE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E393" authorId="1" shapeId="0" xr:uid="{195A1467-0DDF-437F-A2D9-937EEBDB3340}">
      <text>
        <r>
          <rPr>
            <b/>
            <sz val="9"/>
            <color indexed="81"/>
            <rFont val="Tahoma"/>
            <family val="2"/>
          </rPr>
          <t>indexado de noviembre 2023 a enero 2025</t>
        </r>
      </text>
    </comment>
    <comment ref="E394" authorId="1" shapeId="0" xr:uid="{3CBB8D87-8CCF-463F-B1C3-88098B931601}">
      <text>
        <r>
          <rPr>
            <b/>
            <sz val="9"/>
            <color indexed="81"/>
            <rFont val="Tahoma"/>
            <family val="2"/>
          </rPr>
          <t>indexado de noviembre 2023 a enero 2025</t>
        </r>
      </text>
    </comment>
    <comment ref="C404" authorId="0" shapeId="0" xr:uid="{C8C6EA4E-9A5C-4924-A7A0-90E4BE5350C5}">
      <text>
        <r>
          <rPr>
            <sz val="9"/>
            <color indexed="81"/>
            <rFont val="Tahoma"/>
            <family val="2"/>
          </rPr>
          <t>Precio base 12/2021 indexado a 01/2025
Ajustado un 20% con base al precio de Interruptor en 13,8 kV</t>
        </r>
      </text>
    </comment>
    <comment ref="C411" authorId="1" shapeId="0" xr:uid="{D6A2C909-E5AE-4030-B9D8-1C348433A360}">
      <text>
        <r>
          <rPr>
            <b/>
            <sz val="9"/>
            <color indexed="81"/>
            <rFont val="Tahoma"/>
            <family val="2"/>
          </rPr>
          <t xml:space="preserve">Consideraciones
- </t>
        </r>
        <r>
          <rPr>
            <sz val="9"/>
            <color indexed="81"/>
            <rFont val="Tahoma"/>
            <family val="2"/>
          </rPr>
          <t xml:space="preserve">Conversión, Peso Mexicano a Peso Colombiano
- 60% de costos de envío
</t>
        </r>
      </text>
    </comment>
    <comment ref="C412" authorId="1" shapeId="0" xr:uid="{9FD37667-A8D2-4E2A-B7C0-AF601CE29B24}">
      <text>
        <r>
          <rPr>
            <sz val="9"/>
            <color indexed="81"/>
            <rFont val="Tahoma"/>
            <family val="2"/>
          </rPr>
          <t>50% ,menos del valor del cable 500 kcmil de acuerdo a precios colombianos de cables XLPE 500 y 250 kcmil diseñados para otras tensiones.</t>
        </r>
      </text>
    </comment>
    <comment ref="C413" authorId="1" shapeId="0" xr:uid="{880A2BB3-C9B6-442D-B711-A7B566DAA541}">
      <text>
        <r>
          <rPr>
            <sz val="9"/>
            <color indexed="81"/>
            <rFont val="Tahoma"/>
            <family val="2"/>
          </rPr>
          <t>30% mas del valor del cable 500 kcmil 15kV de acuerdo a precios colombianos de cables XLPE de otros calibres pero validando la variación en precio de la tensión 15 kV a 35 kV</t>
        </r>
      </text>
    </comment>
    <comment ref="C414" authorId="1" shapeId="0" xr:uid="{C4DFBB5B-10E8-43EC-93D0-6BCF86921B0A}">
      <text>
        <r>
          <rPr>
            <sz val="9"/>
            <color indexed="81"/>
            <rFont val="Tahoma"/>
            <family val="2"/>
          </rPr>
          <t>50% menos del valor del cable 500 kcmil de acuerdo a precios colombianos de cables XLPE 500 y 250 kcmil diseñados para otras tensiones.</t>
        </r>
      </text>
    </comment>
    <comment ref="C417" authorId="0" shapeId="0" xr:uid="{101AEE80-23EC-4C40-B59F-035197306751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E420" authorId="1" shapeId="0" xr:uid="{2541819E-1462-472C-BDCA-798ACE5DB282}">
      <text>
        <r>
          <rPr>
            <b/>
            <sz val="9"/>
            <color indexed="81"/>
            <rFont val="Tahoma"/>
            <family val="2"/>
          </rPr>
          <t>Precio del 2021 indexado a Enero 2025</t>
        </r>
      </text>
    </comment>
    <comment ref="C440" authorId="0" shapeId="0" xr:uid="{B1D11CE1-FE08-4C5C-B358-8F21DB87A300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441" authorId="0" shapeId="0" xr:uid="{599192FA-2125-4339-B80D-66ADF399E02C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E460" authorId="0" shapeId="0" xr:uid="{3D7794D8-F54E-4BCF-B5B9-8304C03E90ED}">
      <text>
        <r>
          <rPr>
            <b/>
            <sz val="9"/>
            <color indexed="81"/>
            <rFont val="Tahoma"/>
            <family val="2"/>
          </rPr>
          <t>precio base 2021 
indexado al 2025</t>
        </r>
      </text>
    </comment>
    <comment ref="H460" authorId="0" shapeId="0" xr:uid="{326E10EB-5F3E-4108-B83E-D4F83FE60A7F}">
      <text>
        <r>
          <rPr>
            <b/>
            <sz val="9"/>
            <color indexed="81"/>
            <rFont val="Tahoma"/>
            <family val="2"/>
          </rPr>
          <t>inde</t>
        </r>
      </text>
    </comment>
    <comment ref="C480" authorId="0" shapeId="0" xr:uid="{77BC1A8E-AC9D-4927-905E-5E5A464038F9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518" authorId="0" shapeId="0" xr:uid="{E8BE4231-8B5D-4051-8921-22AB16C6F4C6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545" authorId="0" shapeId="0" xr:uid="{03C8B788-D098-40D9-AFF5-7BBED901EAE0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H563" authorId="0" shapeId="0" xr:uid="{51197D35-0786-49DF-852F-AE545BC78763}">
      <text>
        <r>
          <rPr>
            <b/>
            <sz val="9"/>
            <color indexed="81"/>
            <rFont val="Tahoma"/>
            <family val="2"/>
          </rPr>
          <t>Pagina 31</t>
        </r>
      </text>
    </comment>
    <comment ref="C575" authorId="0" shapeId="0" xr:uid="{B4E56F20-D93B-4DE8-89A3-41133D10D088}">
      <text>
        <r>
          <rPr>
            <b/>
            <sz val="9"/>
            <color indexed="81"/>
            <rFont val="Tahoma"/>
            <family val="2"/>
          </rPr>
          <t>Precio base 02/2024 indexado a 01/2025</t>
        </r>
      </text>
    </comment>
    <comment ref="C598" authorId="0" shapeId="0" xr:uid="{FD1820AF-AAF8-4B07-A140-25C4B6AA2664}">
      <text>
        <r>
          <rPr>
            <b/>
            <sz val="9"/>
            <color indexed="81"/>
            <rFont val="Tahoma"/>
            <family val="2"/>
          </rPr>
          <t>Cálculo aproximado 10,611 m2 cuestan $498.550, entonces 0,7*0,7 m cuanto cuestan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Gerardo López M</author>
  </authors>
  <commentList>
    <comment ref="E1187" authorId="0" shapeId="0" xr:uid="{B8C3A4CF-EE40-40FE-8FFB-572C12EB302C}">
      <text>
        <r>
          <rPr>
            <b/>
            <sz val="9"/>
            <color indexed="81"/>
            <rFont val="Tahoma"/>
            <family val="2"/>
          </rPr>
          <t>Se agrega 10% de desperdicio</t>
        </r>
      </text>
    </comment>
    <comment ref="E6502" authorId="0" shapeId="0" xr:uid="{937D506A-BE5B-44EC-9F8F-B1F70E879559}">
      <text>
        <r>
          <rPr>
            <b/>
            <sz val="9"/>
            <color indexed="81"/>
            <rFont val="Tahoma"/>
            <family val="2"/>
          </rPr>
          <t>6m de largo de ancho de caseta x 6 cerchas</t>
        </r>
      </text>
    </comment>
    <comment ref="E6767" authorId="0" shapeId="0" xr:uid="{CD6F0657-248E-4F87-B4CA-CC89C11F6027}">
      <text>
        <r>
          <rPr>
            <b/>
            <sz val="9"/>
            <color indexed="81"/>
            <rFont val="Tahoma"/>
            <family val="2"/>
          </rPr>
          <t>1 GALÓN, alcanza para 17 m2 con, pintando 2 capas</t>
        </r>
      </text>
    </comment>
    <comment ref="B9585" authorId="0" shapeId="0" xr:uid="{A5B524B9-BFE3-4BAE-BA2F-C4C92A910ACB}">
      <text>
        <r>
          <rPr>
            <b/>
            <sz val="9"/>
            <color indexed="81"/>
            <rFont val="Tahoma"/>
            <family val="2"/>
          </rPr>
          <t>FUTP para comunicación de transformador de potencia en patio+fuerza de ventilación forzada 5x12 awg</t>
        </r>
      </text>
    </comment>
    <comment ref="B9586" authorId="0" shapeId="0" xr:uid="{75446EB3-BBE4-47FE-8019-372944C31FAB}">
      <text>
        <r>
          <rPr>
            <b/>
            <sz val="9"/>
            <color indexed="81"/>
            <rFont val="Tahoma"/>
            <family val="2"/>
          </rPr>
          <t>Tomas de muros+Tomas de Trafos+Resistencias+7x14 de señales del transformador de potencia</t>
        </r>
      </text>
    </comment>
    <comment ref="E10290" authorId="0" shapeId="0" xr:uid="{8D211F09-44EF-462D-AF5D-1E7514EE1F4B}">
      <text>
        <r>
          <rPr>
            <b/>
            <sz val="9"/>
            <color indexed="81"/>
            <rFont val="Tahoma"/>
            <family val="2"/>
          </rPr>
          <t>6 espárragos por cada par de crucetas.
3 pares de crucetas por bahía
12 bahías</t>
        </r>
      </text>
    </comment>
    <comment ref="E10291" authorId="0" shapeId="0" xr:uid="{844FFA31-34A3-48CE-8137-8046C151A623}">
      <text>
        <r>
          <rPr>
            <b/>
            <sz val="9"/>
            <color indexed="81"/>
            <rFont val="Tahoma"/>
            <family val="2"/>
          </rPr>
          <t>2 corrarines por bahia.
12 bahías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292" authorId="0" shapeId="0" xr:uid="{3ADB19A2-9C62-4CDD-9C33-57661B640DF0}">
      <text>
        <r>
          <rPr>
            <b/>
            <sz val="9"/>
            <color indexed="81"/>
            <rFont val="Tahoma"/>
            <family val="2"/>
          </rPr>
          <t>2 corrarines por bahia.
12 bahías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293" authorId="0" shapeId="0" xr:uid="{D3684C24-5549-4B50-B07D-29E82C766640}">
      <text>
        <r>
          <rPr>
            <b/>
            <sz val="9"/>
            <color indexed="81"/>
            <rFont val="Tahoma"/>
            <family val="2"/>
          </rPr>
          <t>2 corrarines por bahia.
12 bahías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294" authorId="0" shapeId="0" xr:uid="{7456AC8D-7F4E-445D-8E58-1DBEDFBA5CA1}">
      <text>
        <r>
          <rPr>
            <b/>
            <sz val="9"/>
            <color indexed="81"/>
            <rFont val="Tahoma"/>
            <family val="2"/>
          </rPr>
          <t xml:space="preserve">6 crucetas por bahía.
12 bahías:
3 de Linea tipo A
2 B. Linea tipo B
2 B. Trafo
4 B Baypass
1 Auxiliar
Nota: </t>
        </r>
        <r>
          <rPr>
            <sz val="9"/>
            <color indexed="81"/>
            <rFont val="Tahoma"/>
            <family val="2"/>
          </rPr>
          <t>El APU 004_N3 no lleva crucetas ni collarines dado que ya se están teniendo en cuenta en este item</t>
        </r>
      </text>
    </comment>
    <comment ref="E10360" authorId="0" shapeId="0" xr:uid="{A6ED8908-9ABE-40A7-82C4-62BF51C6A13E}">
      <text>
        <r>
          <rPr>
            <b/>
            <sz val="9"/>
            <color indexed="81"/>
            <rFont val="Tahoma"/>
            <family val="2"/>
          </rPr>
          <t xml:space="preserve">5 espárragos por cada par de crucetas.
3 pares de crucetas por bahía
</t>
        </r>
      </text>
    </comment>
    <comment ref="E10361" authorId="0" shapeId="0" xr:uid="{CDEA1D76-99BA-4295-BC2B-B49F8223AC5D}">
      <text>
        <r>
          <rPr>
            <b/>
            <sz val="9"/>
            <color indexed="81"/>
            <rFont val="Tahoma"/>
            <family val="2"/>
          </rPr>
          <t xml:space="preserve">3 grapas por bahía
</t>
        </r>
      </text>
    </comment>
    <comment ref="E10362" authorId="0" shapeId="0" xr:uid="{DC182761-50F9-42D2-9798-E9FFFF59CA35}">
      <text>
        <r>
          <rPr>
            <b/>
            <sz val="9"/>
            <color indexed="81"/>
            <rFont val="Tahoma"/>
            <family val="2"/>
          </rPr>
          <t xml:space="preserve">3 tuercas de ojo por bahía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Nota: </t>
        </r>
        <r>
          <rPr>
            <sz val="9"/>
            <color indexed="81"/>
            <rFont val="Tahoma"/>
            <family val="2"/>
          </rPr>
          <t>Se tiene en cuenta solo la parte exterior, porque la parte interior va en la bahías de Baypass</t>
        </r>
      </text>
    </comment>
    <comment ref="E10363" authorId="0" shapeId="0" xr:uid="{F5693363-713E-4B09-8E08-9FEDA28C61E6}">
      <text>
        <r>
          <rPr>
            <b/>
            <sz val="9"/>
            <color indexed="81"/>
            <rFont val="Tahoma"/>
            <family val="2"/>
          </rPr>
          <t xml:space="preserve">3 grapas por bahía
Nota: </t>
        </r>
        <r>
          <rPr>
            <sz val="9"/>
            <color indexed="81"/>
            <rFont val="Tahoma"/>
            <family val="2"/>
          </rPr>
          <t>Se tiene en cuenta solo la parte exterior, porque la parte interior va en la bahías de Baypass</t>
        </r>
      </text>
    </comment>
    <comment ref="E10364" authorId="0" shapeId="0" xr:uid="{504023C9-78D4-4E01-9F57-C2066F72F116}">
      <text>
        <r>
          <rPr>
            <b/>
            <sz val="9"/>
            <color indexed="81"/>
            <rFont val="Tahoma"/>
            <family val="2"/>
          </rPr>
          <t xml:space="preserve">- 6 aisladores por bahía
</t>
        </r>
        <r>
          <rPr>
            <sz val="9"/>
            <color indexed="81"/>
            <rFont val="Tahoma"/>
            <family val="2"/>
          </rPr>
          <t>2 aisladores por fase (solo exterior)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3 fases por bahía</t>
        </r>
        <r>
          <rPr>
            <b/>
            <sz val="9"/>
            <color indexed="81"/>
            <rFont val="Tahoma"/>
            <family val="2"/>
          </rPr>
          <t xml:space="preserve">
Nota: </t>
        </r>
        <r>
          <rPr>
            <sz val="9"/>
            <color indexed="81"/>
            <rFont val="Tahoma"/>
            <family val="2"/>
          </rPr>
          <t>Se tiene en cuenta solo la parte exterior, porque la parte interior va en las bahías de Baypass</t>
        </r>
      </text>
    </comment>
    <comment ref="E10365" authorId="0" shapeId="0" xr:uid="{1D97698E-4A81-4095-BABE-29DA82486A6C}">
      <text>
        <r>
          <rPr>
            <b/>
            <sz val="9"/>
            <color indexed="81"/>
            <rFont val="Tahoma"/>
            <family val="2"/>
          </rPr>
          <t xml:space="preserve">2 corrarines por bahia
</t>
        </r>
      </text>
    </comment>
    <comment ref="E10366" authorId="0" shapeId="0" xr:uid="{2520B2CF-AB67-4A4A-BF35-0793216430AC}">
      <text>
        <r>
          <rPr>
            <b/>
            <sz val="9"/>
            <color indexed="81"/>
            <rFont val="Tahoma"/>
            <family val="2"/>
          </rPr>
          <t xml:space="preserve">2 corrarines por bahia
</t>
        </r>
      </text>
    </comment>
    <comment ref="E10367" authorId="0" shapeId="0" xr:uid="{49FF6AEA-52C1-47A4-B1F2-C375CBE0C946}">
      <text>
        <r>
          <rPr>
            <b/>
            <sz val="9"/>
            <color indexed="81"/>
            <rFont val="Tahoma"/>
            <family val="2"/>
          </rPr>
          <t>2 corrarines por bahia:
+4 para el seccionador</t>
        </r>
      </text>
    </comment>
    <comment ref="E10368" authorId="0" shapeId="0" xr:uid="{AA12661B-93DD-422B-AE18-0B7B5E0BE438}">
      <text>
        <r>
          <rPr>
            <b/>
            <sz val="9"/>
            <color indexed="81"/>
            <rFont val="Tahoma"/>
            <family val="2"/>
          </rPr>
          <t xml:space="preserve">6 crucetas por bahía.
</t>
        </r>
      </text>
    </comment>
    <comment ref="E10429" authorId="0" shapeId="0" xr:uid="{0A971C6A-7095-411E-8C24-43F0CA107951}">
      <text>
        <r>
          <rPr>
            <b/>
            <sz val="9"/>
            <color indexed="81"/>
            <rFont val="Tahoma"/>
            <family val="2"/>
          </rPr>
          <t xml:space="preserve">5 espárragos por cada par de crucetas.
2 pares de crucetas por bahía
1 bahía
</t>
        </r>
      </text>
    </comment>
    <comment ref="E10430" authorId="0" shapeId="0" xr:uid="{D251616B-4426-4EB4-90C7-0B4BB9AB953A}">
      <text>
        <r>
          <rPr>
            <b/>
            <sz val="9"/>
            <color indexed="81"/>
            <rFont val="Tahoma"/>
            <family val="2"/>
          </rPr>
          <t>2 corrarines por bahia
1 B. Trafo</t>
        </r>
      </text>
    </comment>
    <comment ref="E10431" authorId="0" shapeId="0" xr:uid="{0B462823-A955-4151-B06F-EF88D111449F}">
      <text>
        <r>
          <rPr>
            <b/>
            <sz val="9"/>
            <color indexed="81"/>
            <rFont val="Tahoma"/>
            <family val="2"/>
          </rPr>
          <t>2 corrarines por bahia
1 B. Trafo
+1 para el seccionador</t>
        </r>
      </text>
    </comment>
    <comment ref="E10432" authorId="0" shapeId="0" xr:uid="{3AA8A30C-32D3-433D-923D-E541BE531B9A}">
      <text>
        <r>
          <rPr>
            <b/>
            <sz val="9"/>
            <color indexed="81"/>
            <rFont val="Tahoma"/>
            <family val="2"/>
          </rPr>
          <t>0</t>
        </r>
      </text>
    </comment>
    <comment ref="E10433" authorId="0" shapeId="0" xr:uid="{9F541639-10B3-48F1-A75C-3CCBD9C6A990}">
      <text>
        <r>
          <rPr>
            <b/>
            <sz val="9"/>
            <color indexed="81"/>
            <rFont val="Tahoma"/>
            <family val="2"/>
          </rPr>
          <t>6 crucetas por bahía.
1 B. Trafo</t>
        </r>
      </text>
    </comment>
    <comment ref="E10500" authorId="0" shapeId="0" xr:uid="{1C8A0190-5803-4359-B876-54DBE457AF11}">
      <text>
        <r>
          <rPr>
            <b/>
            <sz val="9"/>
            <color indexed="81"/>
            <rFont val="Tahoma"/>
            <family val="2"/>
          </rPr>
          <t xml:space="preserve">5 espárragos por cada par de crucetas.
2 pares de crucetas por bahía
1 bahía
</t>
        </r>
      </text>
    </comment>
    <comment ref="E10501" authorId="0" shapeId="0" xr:uid="{7BD60DA6-02CD-4F7E-9430-9BB800F89D2B}">
      <text>
        <r>
          <rPr>
            <b/>
            <sz val="9"/>
            <color indexed="81"/>
            <rFont val="Tahoma"/>
            <family val="2"/>
          </rPr>
          <t>2 corrarines por bahia
1 B. Trafo</t>
        </r>
      </text>
    </comment>
    <comment ref="E10502" authorId="0" shapeId="0" xr:uid="{9EA33220-18A7-4FC5-BA56-9AF10226BCB2}">
      <text>
        <r>
          <rPr>
            <b/>
            <sz val="9"/>
            <color indexed="81"/>
            <rFont val="Tahoma"/>
            <family val="2"/>
          </rPr>
          <t>2 corrarines por bahia
1 B. Trafo
+1 para el seccionador</t>
        </r>
      </text>
    </comment>
    <comment ref="E10503" authorId="0" shapeId="0" xr:uid="{0881FE53-4779-4B46-8EC2-69ED935B64AE}">
      <text>
        <r>
          <rPr>
            <b/>
            <sz val="9"/>
            <color indexed="81"/>
            <rFont val="Tahoma"/>
            <family val="2"/>
          </rPr>
          <t>0</t>
        </r>
      </text>
    </comment>
    <comment ref="E10569" authorId="0" shapeId="0" xr:uid="{06A3D806-F4C4-4CA0-8E18-4E2BC33C4272}">
      <text>
        <r>
          <rPr>
            <b/>
            <sz val="9"/>
            <color indexed="81"/>
            <rFont val="Tahoma"/>
            <family val="2"/>
          </rPr>
          <t xml:space="preserve">6 grapas por bahía (2 de entrada y 2 de salida)
+6 Grapas para:
</t>
        </r>
        <r>
          <rPr>
            <sz val="9"/>
            <color indexed="81"/>
            <rFont val="Tahoma"/>
            <family val="2"/>
          </rPr>
          <t xml:space="preserve">
Bahía de Trafo parte interior &amp; Bahía de Línea parte Interior</t>
        </r>
      </text>
    </comment>
    <comment ref="E10570" authorId="0" shapeId="0" xr:uid="{12EB0EEE-EAEF-41DD-9FBA-8DDBBD29305B}">
      <text>
        <r>
          <rPr>
            <b/>
            <sz val="9"/>
            <color indexed="81"/>
            <rFont val="Tahoma"/>
            <family val="2"/>
          </rPr>
          <t xml:space="preserve">6 tuercas de ojo por bahía (3 de entrada y 3 de salida)
+6 Tuerca para:
</t>
        </r>
        <r>
          <rPr>
            <sz val="9"/>
            <color indexed="81"/>
            <rFont val="Tahoma"/>
            <family val="2"/>
          </rPr>
          <t xml:space="preserve">
Bahía de Trafo parte interior &amp; Bahía de Línea parte Interior</t>
        </r>
      </text>
    </comment>
    <comment ref="E10571" authorId="0" shapeId="0" xr:uid="{F6EBD63E-EDBB-44FA-883F-EED9037C5878}">
      <text>
        <r>
          <rPr>
            <b/>
            <sz val="9"/>
            <color indexed="81"/>
            <rFont val="Tahoma"/>
            <family val="2"/>
          </rPr>
          <t xml:space="preserve">6 grapas por bahía (3 de entrada y 3 de salida)
+6 Grapas para:
</t>
        </r>
        <r>
          <rPr>
            <sz val="9"/>
            <color indexed="81"/>
            <rFont val="Tahoma"/>
            <family val="2"/>
          </rPr>
          <t xml:space="preserve">
Bahía de Trafo parte interior &amp; Bahía de Línea parte Interior</t>
        </r>
      </text>
    </comment>
    <comment ref="E10572" authorId="0" shapeId="0" xr:uid="{7F427B6F-7F44-4554-AD8B-7EDCFC2F3387}">
      <text>
        <r>
          <rPr>
            <b/>
            <sz val="9"/>
            <color indexed="81"/>
            <rFont val="Tahoma"/>
            <family val="2"/>
          </rPr>
          <t xml:space="preserve">- 12 aisladores por bahía
</t>
        </r>
        <r>
          <rPr>
            <sz val="9"/>
            <color indexed="81"/>
            <rFont val="Tahoma"/>
            <family val="2"/>
          </rPr>
          <t>4 aisladores por fase (2 de llegada y 2 de salida)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3 fases por bahía</t>
        </r>
        <r>
          <rPr>
            <b/>
            <sz val="9"/>
            <color indexed="81"/>
            <rFont val="Tahoma"/>
            <family val="2"/>
          </rPr>
          <t xml:space="preserve">
+12 aisladores para:
</t>
        </r>
        <r>
          <rPr>
            <sz val="9"/>
            <color indexed="81"/>
            <rFont val="Tahoma"/>
            <family val="2"/>
          </rPr>
          <t xml:space="preserve">
Bahía de Trafo parte interior &amp; Bahía de Línea parte Interior</t>
        </r>
      </text>
    </comment>
    <comment ref="E10573" authorId="0" shapeId="0" xr:uid="{B6B74B14-6858-4BA1-A9C7-AF2D4AA91603}">
      <text>
        <r>
          <rPr>
            <b/>
            <sz val="9"/>
            <color indexed="81"/>
            <rFont val="Tahoma"/>
            <family val="2"/>
          </rPr>
          <t>6 espárragos por cada par de crucetas.
3 pares de crucetas por bahía
12 bahías</t>
        </r>
      </text>
    </comment>
    <comment ref="E13804" authorId="0" shapeId="0" xr:uid="{A04FB3DD-428E-42B0-818B-170B23ECAEC4}">
      <text>
        <r>
          <rPr>
            <b/>
            <sz val="9"/>
            <color indexed="81"/>
            <rFont val="Tahoma"/>
            <family val="2"/>
          </rPr>
          <t>6 espárragos por cada par de crucetas.
3 pares de crucetas por bahía
12 bahías</t>
        </r>
      </text>
    </comment>
    <comment ref="E13805" authorId="0" shapeId="0" xr:uid="{BCF01845-D21F-4CAE-A771-249AA41DF03B}">
      <text>
        <r>
          <rPr>
            <b/>
            <sz val="9"/>
            <color indexed="81"/>
            <rFont val="Tahoma"/>
            <family val="2"/>
          </rPr>
          <t>2 corrarines por bahia.
12 bahías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806" authorId="0" shapeId="0" xr:uid="{D4787935-1FBD-4A08-AAAE-FE2402E58876}">
      <text>
        <r>
          <rPr>
            <b/>
            <sz val="9"/>
            <color indexed="81"/>
            <rFont val="Tahoma"/>
            <family val="2"/>
          </rPr>
          <t>2 corrarines por bahia.
12 bahías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807" authorId="0" shapeId="0" xr:uid="{FDB4B92A-3652-4D8B-86A4-001C47AE4FE2}">
      <text>
        <r>
          <rPr>
            <b/>
            <sz val="9"/>
            <color indexed="81"/>
            <rFont val="Tahoma"/>
            <family val="2"/>
          </rPr>
          <t>2 corrarines por bahia.
12 bahías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808" authorId="0" shapeId="0" xr:uid="{41A37A92-8B27-4BEA-A019-51D23F2B6B17}">
      <text>
        <r>
          <rPr>
            <b/>
            <sz val="9"/>
            <color indexed="81"/>
            <rFont val="Tahoma"/>
            <family val="2"/>
          </rPr>
          <t xml:space="preserve">6 crucetas por bahía.
12 bahías:
3 de Linea tipo A
2 B. Linea tipo B
2 B. Trafo
4 B Baypass
1 Auxiliar
Nota: </t>
        </r>
        <r>
          <rPr>
            <sz val="9"/>
            <color indexed="81"/>
            <rFont val="Tahoma"/>
            <family val="2"/>
          </rPr>
          <t>El APU 004_N3 no lleva crucetas ni collarines dado que ya se están teniendo en cuenta en este item</t>
        </r>
      </text>
    </comment>
    <comment ref="E13873" authorId="0" shapeId="0" xr:uid="{4BD95A20-E970-4D50-A6E3-760777B56F59}">
      <text>
        <r>
          <rPr>
            <b/>
            <sz val="9"/>
            <color indexed="81"/>
            <rFont val="Tahoma"/>
            <family val="2"/>
          </rPr>
          <t xml:space="preserve">5 espárragos por cada par de crucetas.
3 pares de crucetas por bahía
</t>
        </r>
      </text>
    </comment>
    <comment ref="E13874" authorId="0" shapeId="0" xr:uid="{192F33B9-9A05-4E55-8FBD-38FB0F024652}">
      <text>
        <r>
          <rPr>
            <b/>
            <sz val="9"/>
            <color indexed="81"/>
            <rFont val="Tahoma"/>
            <family val="2"/>
          </rPr>
          <t xml:space="preserve">3 grapas por bahía
</t>
        </r>
      </text>
    </comment>
    <comment ref="E13875" authorId="0" shapeId="0" xr:uid="{3C6715F5-FED1-490F-9E57-F70D020FEEF7}">
      <text>
        <r>
          <rPr>
            <b/>
            <sz val="9"/>
            <color indexed="81"/>
            <rFont val="Tahoma"/>
            <family val="2"/>
          </rPr>
          <t xml:space="preserve">3 tuercas de ojo por bahía
</t>
        </r>
        <r>
          <rPr>
            <b/>
            <sz val="9"/>
            <color indexed="81"/>
            <rFont val="Tahoma"/>
            <family val="2"/>
          </rPr>
          <t xml:space="preserve">Nota: </t>
        </r>
        <r>
          <rPr>
            <sz val="9"/>
            <color indexed="81"/>
            <rFont val="Tahoma"/>
            <family val="2"/>
          </rPr>
          <t>Se tiene en cuenta solo la parte exterior, porque la parte interior va en la bahías de Baypass</t>
        </r>
      </text>
    </comment>
    <comment ref="E13876" authorId="0" shapeId="0" xr:uid="{B2FA93D0-B5A9-4F85-933A-610E703F26A6}">
      <text>
        <r>
          <rPr>
            <b/>
            <sz val="9"/>
            <color indexed="81"/>
            <rFont val="Tahoma"/>
            <family val="2"/>
          </rPr>
          <t xml:space="preserve">3 grapas por bahía
Nota: </t>
        </r>
        <r>
          <rPr>
            <sz val="9"/>
            <color indexed="81"/>
            <rFont val="Tahoma"/>
            <family val="2"/>
          </rPr>
          <t>Se tiene en cuenta solo la parte exterior, porque la parte interior va en la bahías de Baypass</t>
        </r>
      </text>
    </comment>
    <comment ref="E13877" authorId="0" shapeId="0" xr:uid="{C478B561-83F2-4C04-9A64-D661E0DCEA26}">
      <text>
        <r>
          <rPr>
            <b/>
            <sz val="9"/>
            <color indexed="81"/>
            <rFont val="Tahoma"/>
            <family val="2"/>
          </rPr>
          <t xml:space="preserve">- 6 aisladores por bahía
1 </t>
        </r>
        <r>
          <rPr>
            <sz val="9"/>
            <color indexed="81"/>
            <rFont val="Tahoma"/>
            <family val="2"/>
          </rPr>
          <t>aisladores por fase (solo exterior)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3 fases por bahía</t>
        </r>
        <r>
          <rPr>
            <b/>
            <sz val="9"/>
            <color indexed="81"/>
            <rFont val="Tahoma"/>
            <family val="2"/>
          </rPr>
          <t xml:space="preserve">
Nota: </t>
        </r>
        <r>
          <rPr>
            <sz val="9"/>
            <color indexed="81"/>
            <rFont val="Tahoma"/>
            <family val="2"/>
          </rPr>
          <t>Se tiene en cuenta solo la parte exterior, porque la parte interior va en las bahías de Baypass</t>
        </r>
      </text>
    </comment>
    <comment ref="E13878" authorId="0" shapeId="0" xr:uid="{AA730467-5B48-40C6-A08E-45FD4D71F90C}">
      <text>
        <r>
          <rPr>
            <b/>
            <sz val="9"/>
            <color indexed="81"/>
            <rFont val="Tahoma"/>
            <family val="2"/>
          </rPr>
          <t xml:space="preserve">2 corrarines por bahia
</t>
        </r>
      </text>
    </comment>
    <comment ref="E13879" authorId="0" shapeId="0" xr:uid="{6D948271-60F6-4525-A3E8-40CFF3B8451E}">
      <text>
        <r>
          <rPr>
            <b/>
            <sz val="9"/>
            <color indexed="81"/>
            <rFont val="Tahoma"/>
            <family val="2"/>
          </rPr>
          <t xml:space="preserve">2 corrarines por bahia
</t>
        </r>
      </text>
    </comment>
    <comment ref="E13880" authorId="0" shapeId="0" xr:uid="{FD60DAB4-F7AD-4595-A6E2-195537D79B4A}">
      <text>
        <r>
          <rPr>
            <b/>
            <sz val="9"/>
            <color indexed="81"/>
            <rFont val="Tahoma"/>
            <family val="2"/>
          </rPr>
          <t>2 corrarines por bahia:
+ 4 para el seccionador</t>
        </r>
      </text>
    </comment>
    <comment ref="E13881" authorId="0" shapeId="0" xr:uid="{8FCDC05B-1895-4140-8B4D-46E485AEC9E1}">
      <text>
        <r>
          <rPr>
            <b/>
            <sz val="9"/>
            <color indexed="81"/>
            <rFont val="Tahoma"/>
            <family val="2"/>
          </rPr>
          <t xml:space="preserve">6 crucetas por bahía.
</t>
        </r>
      </text>
    </comment>
    <comment ref="E13943" authorId="0" shapeId="0" xr:uid="{D59C5D6E-2613-428A-9466-E380F73AFD4A}">
      <text>
        <r>
          <rPr>
            <b/>
            <sz val="9"/>
            <color indexed="81"/>
            <rFont val="Tahoma"/>
            <family val="2"/>
          </rPr>
          <t xml:space="preserve">5 espárragos por cada par de crucetas.
2 pares de crucetas por bahía
1 bahía
</t>
        </r>
      </text>
    </comment>
    <comment ref="E13944" authorId="0" shapeId="0" xr:uid="{75E427AD-4561-41B2-9D87-EF9A2E329C66}">
      <text>
        <r>
          <rPr>
            <b/>
            <sz val="9"/>
            <color indexed="81"/>
            <rFont val="Tahoma"/>
            <family val="2"/>
          </rPr>
          <t>2 corrarines por bahia
1 B. Trafo</t>
        </r>
      </text>
    </comment>
    <comment ref="E13945" authorId="0" shapeId="0" xr:uid="{331F4761-6EAC-4676-B595-918086310E8B}">
      <text>
        <r>
          <rPr>
            <b/>
            <sz val="9"/>
            <color indexed="81"/>
            <rFont val="Tahoma"/>
            <family val="2"/>
          </rPr>
          <t>2 corrarines por bahia
1 B. Trafo
+1 para el seccionador</t>
        </r>
      </text>
    </comment>
    <comment ref="E13946" authorId="0" shapeId="0" xr:uid="{3189F783-C1E3-4FF9-AAF3-9A52C04AF5A2}">
      <text>
        <r>
          <rPr>
            <b/>
            <sz val="9"/>
            <color indexed="81"/>
            <rFont val="Tahoma"/>
            <family val="2"/>
          </rPr>
          <t>0</t>
        </r>
      </text>
    </comment>
    <comment ref="E13947" authorId="0" shapeId="0" xr:uid="{27ED67FE-9D1C-43E5-B32D-D568C124B573}">
      <text>
        <r>
          <rPr>
            <b/>
            <sz val="9"/>
            <color indexed="81"/>
            <rFont val="Tahoma"/>
            <family val="2"/>
          </rPr>
          <t>6 crucetas por bahía.
1 B. Trafo</t>
        </r>
      </text>
    </comment>
    <comment ref="E14013" authorId="0" shapeId="0" xr:uid="{DA7D69B3-FEBC-4311-B235-ABA23AFA85BA}">
      <text>
        <r>
          <rPr>
            <b/>
            <sz val="9"/>
            <color indexed="81"/>
            <rFont val="Tahoma"/>
            <family val="2"/>
          </rPr>
          <t xml:space="preserve">5 espárragos por cada par de crucetas.
2 pares de crucetas por bahía
1 bahía
</t>
        </r>
      </text>
    </comment>
    <comment ref="E14014" authorId="0" shapeId="0" xr:uid="{20A67F27-3AD4-40F6-9640-7E6A3530FEB7}">
      <text>
        <r>
          <rPr>
            <b/>
            <sz val="9"/>
            <color indexed="81"/>
            <rFont val="Tahoma"/>
            <family val="2"/>
          </rPr>
          <t>2 corrarines por bahia
1 B. Trafo</t>
        </r>
      </text>
    </comment>
    <comment ref="E14015" authorId="0" shapeId="0" xr:uid="{600D22E9-C599-4F6A-97A0-89A9AE3DB2B7}">
      <text>
        <r>
          <rPr>
            <b/>
            <sz val="9"/>
            <color indexed="81"/>
            <rFont val="Tahoma"/>
            <family val="2"/>
          </rPr>
          <t>2 corrarines por bahia
1 B. Trafo
+1 para el seccionador</t>
        </r>
      </text>
    </comment>
    <comment ref="E14016" authorId="0" shapeId="0" xr:uid="{F51EBF22-DEBC-4C16-90FE-38D7CBBF77E8}">
      <text>
        <r>
          <rPr>
            <b/>
            <sz val="9"/>
            <color indexed="81"/>
            <rFont val="Tahoma"/>
            <family val="2"/>
          </rPr>
          <t>0</t>
        </r>
      </text>
    </comment>
    <comment ref="E14082" authorId="0" shapeId="0" xr:uid="{E68209D8-9B0C-4D01-9FF7-D34C93FA499F}">
      <text>
        <r>
          <rPr>
            <b/>
            <sz val="9"/>
            <color indexed="81"/>
            <rFont val="Tahoma"/>
            <family val="2"/>
          </rPr>
          <t xml:space="preserve">6 grapas por bahía (2 de entrada y 2 de salida)
+6 Grapas para:
</t>
        </r>
        <r>
          <rPr>
            <sz val="9"/>
            <color indexed="81"/>
            <rFont val="Tahoma"/>
            <family val="2"/>
          </rPr>
          <t xml:space="preserve">
Bahía de Trafo parte interior &amp; Bahía de Línea parte Interior</t>
        </r>
      </text>
    </comment>
    <comment ref="E14083" authorId="0" shapeId="0" xr:uid="{549AE3D6-B43B-46FF-B53F-99A6C1194961}">
      <text>
        <r>
          <rPr>
            <b/>
            <sz val="9"/>
            <color indexed="81"/>
            <rFont val="Tahoma"/>
            <family val="2"/>
          </rPr>
          <t xml:space="preserve">6 tuercas de ojo por bahía (3 de entrada y 3 de salida)
+6 Tuerca para:
</t>
        </r>
        <r>
          <rPr>
            <sz val="9"/>
            <color indexed="81"/>
            <rFont val="Tahoma"/>
            <family val="2"/>
          </rPr>
          <t xml:space="preserve">
Bahía de Trafo parte interior &amp; Bahía de Línea parte Interior</t>
        </r>
      </text>
    </comment>
    <comment ref="E14084" authorId="0" shapeId="0" xr:uid="{723D1367-9E22-4481-960D-B0BF12BD3661}">
      <text>
        <r>
          <rPr>
            <b/>
            <sz val="9"/>
            <color indexed="81"/>
            <rFont val="Tahoma"/>
            <family val="2"/>
          </rPr>
          <t xml:space="preserve">6 grapas por bahía (3 de entrada y 3 de salida)
+6 Grapas para:
</t>
        </r>
        <r>
          <rPr>
            <sz val="9"/>
            <color indexed="81"/>
            <rFont val="Tahoma"/>
            <family val="2"/>
          </rPr>
          <t xml:space="preserve">
Bahía de Trafo parte interior &amp; Bahía de Línea parte Interior</t>
        </r>
      </text>
    </comment>
    <comment ref="E14085" authorId="0" shapeId="0" xr:uid="{AAB76B66-A47D-470A-87B2-EE1772A249D3}">
      <text>
        <r>
          <rPr>
            <b/>
            <sz val="9"/>
            <color indexed="81"/>
            <rFont val="Tahoma"/>
            <family val="2"/>
          </rPr>
          <t xml:space="preserve">- 12 aisladores por bahía
</t>
        </r>
        <r>
          <rPr>
            <sz val="9"/>
            <color indexed="81"/>
            <rFont val="Tahoma"/>
            <family val="2"/>
          </rPr>
          <t>2 aisladores por fase (1 de llegada y 1 de salida)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3 fases por bahía</t>
        </r>
        <r>
          <rPr>
            <b/>
            <sz val="9"/>
            <color indexed="81"/>
            <rFont val="Tahoma"/>
            <family val="2"/>
          </rPr>
          <t xml:space="preserve">
+12 aisladores para:
</t>
        </r>
        <r>
          <rPr>
            <sz val="9"/>
            <color indexed="81"/>
            <rFont val="Tahoma"/>
            <family val="2"/>
          </rPr>
          <t xml:space="preserve">
Bahía de Trafo parte interior &amp; Bahía de Línea parte Interior</t>
        </r>
      </text>
    </comment>
    <comment ref="B23187" authorId="0" shapeId="0" xr:uid="{3863596C-14FE-4C17-AF58-DF079AB536CF}">
      <text>
        <r>
          <rPr>
            <sz val="9"/>
            <color indexed="81"/>
            <rFont val="Tahoma"/>
            <family val="2"/>
          </rPr>
          <t>http://www.colombia.generadordeprecios.info/obra_nueva/Acondicionamiento_del_terreno/AD_Movimiento_de_tierras_en_edifi/Excavaciones/Excavacion_manual_a_cielo_abierto.html.
Se saca de esta página, donde el precio es el 2% de la mano de obra</t>
        </r>
      </text>
    </comment>
    <comment ref="B23325" authorId="0" shapeId="0" xr:uid="{FC489D1E-4638-435F-922B-DE748C6C4D1D}">
      <text>
        <r>
          <rPr>
            <sz val="9"/>
            <color indexed="81"/>
            <rFont val="Tahoma"/>
            <family val="2"/>
          </rPr>
          <t>http://www.colombia.generadordeprecios.info/obra_nueva/Acondicionamiento_del_terreno/AD_Movimiento_de_tierras_en_edifi/Excavaciones/Excavacion_manual_a_cielo_abierto.html.
Se saca de esta página, donde el precio es el 2% de la mano de obra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Gerardo López M</author>
    <author>USUARIO</author>
  </authors>
  <commentList>
    <comment ref="J12" authorId="0" shapeId="0" xr:uid="{EF7A41C9-A2C3-4E10-BB70-EACB2E4C0A81}">
      <text>
        <r>
          <rPr>
            <b/>
            <sz val="9"/>
            <color indexed="81"/>
            <rFont val="Tahoma"/>
            <family val="2"/>
          </rPr>
          <t xml:space="preserve">Se aumenta un 50% 
</t>
        </r>
        <r>
          <rPr>
            <sz val="9"/>
            <color indexed="81"/>
            <rFont val="Tahoma"/>
            <family val="2"/>
          </rPr>
          <t xml:space="preserve">
05. DISEÑO 3 (L.G)\13. ID20200070 -  S.E. BARAYA\151\CIVIL\ Presupuesto Civil</t>
        </r>
      </text>
    </comment>
    <comment ref="C13" authorId="1" shapeId="0" xr:uid="{52418095-1158-49C4-B8CB-5700D90DF391}">
      <text>
        <r>
          <rPr>
            <sz val="9"/>
            <color indexed="81"/>
            <rFont val="Tahoma"/>
            <family val="2"/>
          </rPr>
          <t>TRAFO 30+ POSTE, MEDIDOR, ACOMETIDA, TRENZADO ALUMINO 4X70+50
2 TABLERO PROVISIONAL: 2 PALOS</t>
        </r>
      </text>
    </comment>
    <comment ref="C14" authorId="1" shapeId="0" xr:uid="{FFA76F0D-88B9-48BF-91E1-4DEEB4714576}">
      <text>
        <r>
          <rPr>
            <sz val="9"/>
            <color indexed="81"/>
            <rFont val="Tahoma"/>
            <family val="2"/>
          </rPr>
          <t xml:space="preserve">2 TANQUES DE ALMACENAMIENTO 500 ML
MEDIDOR, TRAMITES (600.000)
</t>
        </r>
      </text>
    </comment>
    <comment ref="G24" authorId="1" shapeId="0" xr:uid="{CF022D1B-FB27-40CE-B3FC-6C225BB47F78}">
      <text>
        <r>
          <rPr>
            <sz val="9"/>
            <color indexed="81"/>
            <rFont val="Tahoma"/>
            <family val="2"/>
          </rPr>
          <t>Longitud del cárcamo</t>
        </r>
      </text>
    </comment>
    <comment ref="H24" authorId="1" shapeId="0" xr:uid="{2057215E-9460-44FF-8E9A-84D7440D09A7}">
      <text>
        <r>
          <rPr>
            <sz val="9"/>
            <color indexed="81"/>
            <rFont val="Tahoma"/>
            <family val="2"/>
          </rPr>
          <t>Longitud del cárcamo</t>
        </r>
      </text>
    </comment>
    <comment ref="I24" authorId="1" shapeId="0" xr:uid="{31A27CEA-2912-4925-8A42-459CB8725397}">
      <text>
        <r>
          <rPr>
            <sz val="9"/>
            <color indexed="81"/>
            <rFont val="Tahoma"/>
            <family val="2"/>
          </rPr>
          <t>Longitud del cárcamo</t>
        </r>
      </text>
    </comment>
    <comment ref="F31" authorId="0" shapeId="0" xr:uid="{FDEB3492-544B-48F2-8BAC-142A5953E709}">
      <text>
        <r>
          <rPr>
            <sz val="9"/>
            <color indexed="81"/>
            <rFont val="Tahoma"/>
            <family val="2"/>
          </rPr>
          <t>las que están junt a las cajas de inspección</t>
        </r>
      </text>
    </comment>
    <comment ref="C40" authorId="0" shapeId="0" xr:uid="{6BDCA654-0779-4525-9F87-A55463151627}">
      <text>
        <r>
          <rPr>
            <b/>
            <sz val="9"/>
            <color indexed="81"/>
            <rFont val="Tahoma"/>
            <family val="2"/>
          </rPr>
          <t>Se tienen en cuenta los las carrileras para el transformador equipado como para el proyectado</t>
        </r>
      </text>
    </comment>
    <comment ref="C43" authorId="0" shapeId="0" xr:uid="{452B612A-EAE3-41F3-AF72-DC03A5BB0030}">
      <text>
        <r>
          <rPr>
            <b/>
            <sz val="9"/>
            <color indexed="81"/>
            <rFont val="Tahoma"/>
            <family val="2"/>
          </rPr>
          <t>2 M3 FOSO TRANSFORMADOR + 0,5 M3 TRAMPA DE ACEITE</t>
        </r>
      </text>
    </comment>
    <comment ref="E101" authorId="0" shapeId="0" xr:uid="{33FFE1ED-3ABE-4B60-BAB8-C75B479A5938}">
      <text>
        <r>
          <rPr>
            <b/>
            <sz val="9"/>
            <color indexed="81"/>
            <rFont val="Tahoma"/>
            <family val="2"/>
          </rPr>
          <t>volumen de todas la vigas+ volumen de 6 zapatas</t>
        </r>
      </text>
    </comment>
    <comment ref="F101" authorId="0" shapeId="0" xr:uid="{F1CD2ECF-6FB9-4812-9960-119582D290B9}">
      <text>
        <r>
          <rPr>
            <b/>
            <sz val="9"/>
            <color indexed="81"/>
            <rFont val="Tahoma"/>
            <family val="2"/>
          </rPr>
          <t>volumen de todas la vigas+ volumen de 6 zapatas</t>
        </r>
      </text>
    </comment>
    <comment ref="E102" authorId="0" shapeId="0" xr:uid="{AD5AF586-5352-40DC-85BB-6AB129378FDF}">
      <text>
        <r>
          <rPr>
            <b/>
            <sz val="9"/>
            <color indexed="81"/>
            <rFont val="Tahoma"/>
            <family val="2"/>
          </rPr>
          <t>Vigas de Cimentación de Caseta+baño+cárcamo</t>
        </r>
      </text>
    </comment>
    <comment ref="F102" authorId="0" shapeId="0" xr:uid="{88399DC7-1577-4DCC-9E91-646F14B353F7}">
      <text>
        <r>
          <rPr>
            <b/>
            <sz val="9"/>
            <color indexed="81"/>
            <rFont val="Tahoma"/>
            <family val="2"/>
          </rPr>
          <t>Vigas de Cimentación de Caseta+baño+cárcamo</t>
        </r>
      </text>
    </comment>
    <comment ref="G145" authorId="0" shapeId="0" xr:uid="{CE5D0247-B677-466B-B55F-A6B0EC7E38EB}">
      <text>
        <r>
          <rPr>
            <sz val="9"/>
            <color indexed="81"/>
            <rFont val="Tahoma"/>
            <family val="2"/>
          </rPr>
          <t>largo*ancho*profundidad</t>
        </r>
      </text>
    </comment>
    <comment ref="H145" authorId="0" shapeId="0" xr:uid="{D7BA53BF-C380-4E6D-9E24-487DBED66E56}">
      <text>
        <r>
          <rPr>
            <sz val="9"/>
            <color indexed="81"/>
            <rFont val="Tahoma"/>
            <family val="2"/>
          </rPr>
          <t>largo*ancho*profundidad</t>
        </r>
      </text>
    </comment>
    <comment ref="G146" authorId="0" shapeId="0" xr:uid="{6AA38E43-D540-4838-9E1A-BEE663B67B96}">
      <text>
        <r>
          <rPr>
            <sz val="9"/>
            <color indexed="81"/>
            <rFont val="Tahoma"/>
            <family val="2"/>
          </rPr>
          <t>Perimetro total- longitud del porton</t>
        </r>
      </text>
    </comment>
    <comment ref="C155" authorId="0" shapeId="0" xr:uid="{A2B80098-8EB8-42FF-97BC-010A5240923A}">
      <text>
        <r>
          <rPr>
            <b/>
            <sz val="9"/>
            <color indexed="81"/>
            <rFont val="Tahoma"/>
            <family val="2"/>
          </rPr>
          <t xml:space="preserve"> (50 X 30 CM) </t>
        </r>
      </text>
    </comment>
    <comment ref="E155" authorId="0" shapeId="0" xr:uid="{F08D7373-D733-40BC-8821-6276F5A9A160}">
      <text>
        <r>
          <rPr>
            <b/>
            <sz val="9"/>
            <color indexed="81"/>
            <rFont val="Tahoma"/>
            <family val="2"/>
          </rPr>
          <t>Aquí es 30x30</t>
        </r>
      </text>
    </comment>
    <comment ref="E156" authorId="0" shapeId="0" xr:uid="{B6FAEFC8-AE2B-4F5E-9A93-8FBA75EF0054}">
      <text>
        <r>
          <rPr>
            <sz val="9"/>
            <color indexed="81"/>
            <rFont val="Tahoma"/>
            <family val="2"/>
          </rPr>
          <t>Zapata Caseta - Volumen de Columna Caseta + Zapata del Baño - Volumen de Columna Baño
(0,8x0,8x1)-(0,2x0,3x1) + (0,25x0,25x0,7)-(0,2x0,15x1)</t>
        </r>
      </text>
    </comment>
    <comment ref="H160" authorId="0" shapeId="0" xr:uid="{DB6C9B32-681D-4B14-B0C2-902EDE40BBCD}">
      <text>
        <r>
          <rPr>
            <sz val="9"/>
            <color indexed="81"/>
            <rFont val="Tahoma"/>
            <family val="2"/>
          </rPr>
          <t>(Perímetro total - Longitud de portería)* altura del muro</t>
        </r>
      </text>
    </comment>
    <comment ref="C178" authorId="0" shapeId="0" xr:uid="{D3511E75-FC15-4778-8120-4A1377F30255}">
      <text>
        <r>
          <rPr>
            <sz val="9"/>
            <color indexed="81"/>
            <rFont val="Tahoma"/>
            <family val="2"/>
          </rPr>
          <t>30 m -&gt; Tren Celdas a +NK02 (distribución DC)
20 m -&gt; Gabinete Medida 34.5 a tren Celdas
27 m -&gt; Gabinete Calidad 13.8 a tren Celdas
23 m -&gt; Gabinete Calidad 34.5 a tren Celdas
5 m -&gt; Acometida Transformador a Fuerza AC
5 m -&gt; Acometida Planta a Fuerza AC</t>
        </r>
      </text>
    </comment>
    <comment ref="C179" authorId="0" shapeId="0" xr:uid="{DE5754F4-E82D-4121-816D-505B7B516D11}">
      <text>
        <r>
          <rPr>
            <sz val="9"/>
            <color indexed="81"/>
            <rFont val="Tahoma"/>
            <family val="2"/>
          </rPr>
          <t>30 m-&gt; Gabinete Medida 13.8 a/ tren Celdas
20 m-&gt; Gabinete Medida 34.5 a/ tren Celdas
27 m-&gt; Gabinete Calidad 13.8 a/ tren Celdas
23 m-&gt; Gabinete Calidad 34.5 a/ tren Celdas</t>
        </r>
      </text>
    </comment>
    <comment ref="C180" authorId="0" shapeId="0" xr:uid="{3FABC9FE-5F30-4DE9-8C34-522296632A74}">
      <text>
        <r>
          <rPr>
            <b/>
            <sz val="9"/>
            <color indexed="81"/>
            <rFont val="Tahoma"/>
            <family val="2"/>
          </rPr>
          <t xml:space="preserve">COMUNICACIONES
</t>
        </r>
        <r>
          <rPr>
            <sz val="9"/>
            <color indexed="81"/>
            <rFont val="Tahoma"/>
            <family val="2"/>
          </rPr>
          <t xml:space="preserve">25 m-&gt; celdas 13.8 a +R01A
20 m-&gt; celdas 34.5 a +R01A
15 m-&gt; + W01 a +R01A
13 m-&gt; Gabinete Medida 13.8 a/+W01
10 m-&gt; Gabinete Medida 34.5 a/+W01
14 m-&gt; Gabinete Calidad 13.8 a/+W01
13 m-&gt; Gabinete Calidad 34.5 a/ +W01
</t>
        </r>
      </text>
    </comment>
    <comment ref="E197" authorId="1" shapeId="0" xr:uid="{0ED445E9-11E1-4B00-A520-CB668F7E6D3C}">
      <text>
        <r>
          <rPr>
            <b/>
            <sz val="9"/>
            <color indexed="81"/>
            <rFont val="Tahoma"/>
            <family val="2"/>
          </rPr>
          <t>12,5m bahias bypass*
4 Bahias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4" authorId="0" shapeId="0" xr:uid="{2C327B46-9DED-473B-8B35-8F32B544012A}">
      <text>
        <r>
          <rPr>
            <b/>
            <sz val="9"/>
            <color indexed="81"/>
            <rFont val="Tahoma"/>
            <family val="2"/>
          </rPr>
          <t xml:space="preserve">Comprende:
3 bahias de linea (Forta, Aipe, Colombia):
</t>
        </r>
        <r>
          <rPr>
            <sz val="9"/>
            <color indexed="81"/>
            <rFont val="Tahoma"/>
            <family val="2"/>
          </rPr>
          <t xml:space="preserve">
Cada bahía tiene 3 juegos de 3 DPS:
- 2 para los recos
- 1 línea
1 Bahia de Trafo por Baja
- 2 para los recos
- 1 Trafo  Baja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205" authorId="0" shapeId="0" xr:uid="{8003B66A-73B3-45DF-B233-478220FA689F}">
      <text>
        <r>
          <rPr>
            <b/>
            <sz val="9"/>
            <color indexed="81"/>
            <rFont val="Tahoma"/>
            <family val="2"/>
          </rPr>
          <t>Incluye:
1 bahía de auxiliares
3 bahías de linea
1 bahía de trafo</t>
        </r>
      </text>
    </comment>
    <comment ref="C215" authorId="0" shapeId="0" xr:uid="{D576E55A-E75F-4257-BA5E-F12DFD8BE3B4}">
      <text>
        <r>
          <rPr>
            <b/>
            <sz val="9"/>
            <color indexed="81"/>
            <rFont val="Tahoma"/>
            <family val="2"/>
          </rPr>
          <t>Incluye:
4 bahías de linea
1 bahía de trafo</t>
        </r>
      </text>
    </comment>
    <comment ref="G230" authorId="0" shapeId="0" xr:uid="{F20A7306-36BD-49E1-BD3D-FB084D32023D}">
      <text>
        <r>
          <rPr>
            <sz val="9"/>
            <color indexed="81"/>
            <rFont val="Tahoma"/>
            <family val="2"/>
          </rPr>
          <t>N° Conductores por fase*distancia calle a celda*N° Bahías línea 34.5kV</t>
        </r>
      </text>
    </comment>
    <comment ref="I230" authorId="0" shapeId="0" xr:uid="{F5AE18BD-2099-4E5D-B1D8-DCFDED203672}">
      <text>
        <r>
          <rPr>
            <sz val="9"/>
            <color indexed="81"/>
            <rFont val="Tahoma"/>
            <family val="2"/>
          </rPr>
          <t>N° Conductores por fase*distancia calle a celda*N° Bahías línea 34.5kV</t>
        </r>
      </text>
    </comment>
    <comment ref="G231" authorId="0" shapeId="0" xr:uid="{B6A337AA-FC75-49FD-AD94-C2D5F56B9968}">
      <text>
        <r>
          <rPr>
            <sz val="9"/>
            <color indexed="81"/>
            <rFont val="Tahoma"/>
            <family val="2"/>
          </rPr>
          <t>N° Conductores por fase *distancia trafo a celda*N° Bahías Trafo 34.5kV</t>
        </r>
      </text>
    </comment>
    <comment ref="I231" authorId="0" shapeId="0" xr:uid="{8D32FA78-387A-43DA-836E-B0ACC8F7442C}">
      <text>
        <r>
          <rPr>
            <sz val="9"/>
            <color indexed="81"/>
            <rFont val="Tahoma"/>
            <family val="2"/>
          </rPr>
          <t>N° Conductores por fase*distancia trafo a celda*N° Bahías Trafo 34.5kV</t>
        </r>
      </text>
    </comment>
    <comment ref="G234" authorId="1" shapeId="0" xr:uid="{F765139F-3AD6-476D-A8DB-EDD5C3922427}">
      <text>
        <r>
          <rPr>
            <sz val="9"/>
            <color indexed="81"/>
            <rFont val="Tahoma"/>
            <family val="2"/>
          </rPr>
          <t>Distancia Calle a Celda Bahía Línea 34.5kV * 2 tubos+Distancia Trafo a Celda bahía Trafo 34.5kV * 5 tubos+Distancia Trafo a Celda bahía Trafo 13.8kV * 2 tubos +15% de desperdicio</t>
        </r>
      </text>
    </comment>
    <comment ref="H234" authorId="0" shapeId="0" xr:uid="{46C4C39C-2E4D-4392-83B8-0EF90D744AE9}">
      <text>
        <r>
          <rPr>
            <sz val="9"/>
            <color indexed="81"/>
            <rFont val="Tahoma"/>
            <family val="2"/>
          </rPr>
          <t>Distancia Calle a Celda Bahía Línea 34.5kV * 5 tubos+Distancia Trafo a Celda bahía Trafo 13.8kV * 6 tubos+15% de desperdicio</t>
        </r>
      </text>
    </comment>
    <comment ref="I234" authorId="0" shapeId="0" xr:uid="{8B26E498-3A07-4680-9F2D-9AFDB409E21F}">
      <text>
        <r>
          <rPr>
            <sz val="9"/>
            <color indexed="81"/>
            <rFont val="Tahoma"/>
            <family val="2"/>
          </rPr>
          <t>Distancia Calle a Celda Bahía Línea 34.5kV * 5 tubos+Distancia Trafo a Celda bahía Trafo 34.5kV * 6 tubos+Distancia Trafo a Celda bahía Trafo 13.8kV * 6 tubos +15% de desperdicio</t>
        </r>
      </text>
    </comment>
    <comment ref="E235" authorId="0" shapeId="0" xr:uid="{B720EFEF-E12F-4E49-91CA-FF62B0400255}">
      <text>
        <r>
          <rPr>
            <b/>
            <sz val="9"/>
            <color indexed="81"/>
            <rFont val="Tahoma"/>
            <family val="2"/>
          </rPr>
          <t>Metros caseta a patio*bahías equipas</t>
        </r>
      </text>
    </comment>
    <comment ref="F235" authorId="0" shapeId="0" xr:uid="{F51C51AC-E9A9-4A18-B4F6-2768EA63C556}">
      <text>
        <r>
          <rPr>
            <b/>
            <sz val="9"/>
            <color indexed="81"/>
            <rFont val="Tahoma"/>
            <family val="2"/>
          </rPr>
          <t>Metros caseta a patio*bahías equipas</t>
        </r>
      </text>
    </comment>
    <comment ref="G236" authorId="0" shapeId="0" xr:uid="{DA595086-8138-4E16-9C51-880F88A0A02C}">
      <text>
        <r>
          <rPr>
            <sz val="9"/>
            <color indexed="81"/>
            <rFont val="Tahoma"/>
            <family val="2"/>
          </rPr>
          <t xml:space="preserve">- 9 bahías (5 en 34,5 kV y 4 en 13,8 kV)
- distancia entre bahia mas lejana a tablero w01+ desde tableros de medida y calidad
- 2  (medida calidad)
</t>
        </r>
      </text>
    </comment>
    <comment ref="E237" authorId="0" shapeId="0" xr:uid="{ED42591C-1E81-464B-B13B-F1503E530E5C}">
      <text>
        <r>
          <rPr>
            <b/>
            <sz val="9"/>
            <color indexed="81"/>
            <rFont val="Tahoma"/>
            <family val="2"/>
          </rPr>
          <t>Metros de caseta a patio*Bahias equipadas*(3 nucleos CTs+ 2 nucleos PTs).</t>
        </r>
      </text>
    </comment>
    <comment ref="G244" authorId="0" shapeId="0" xr:uid="{A97007E7-A961-429C-A11C-77A759C274DF}">
      <text>
        <r>
          <rPr>
            <sz val="9"/>
            <color indexed="81"/>
            <rFont val="Tahoma"/>
            <family val="2"/>
          </rPr>
          <t>Longitud entre Gabinete PTs a gabinete mas lejano+ 5 metros de puentes entre gabinetes</t>
        </r>
      </text>
    </comment>
    <comment ref="G245" authorId="0" shapeId="0" xr:uid="{79FD18ED-CB8A-43E2-9467-E9A272B170B5}">
      <text>
        <r>
          <rPr>
            <sz val="9"/>
            <color indexed="81"/>
            <rFont val="Tahoma"/>
            <family val="2"/>
          </rPr>
          <t>distancia máxima celda 34,5kv a gabinete de medida y calidad*Número de celdas equipadas* 2 (gabinete de medida+gabinete calidad)+distancia interna CTs a Rele en la misma celda*Número de celdas equipadas* 1 (celda del interruptor)+cable de control de señales del transformador de potencia en patio
25*5*2+5*5*1</t>
        </r>
      </text>
    </comment>
    <comment ref="G246" authorId="0" shapeId="0" xr:uid="{5B98CD11-E68A-4AB8-9FB6-24CBEEFFC7A0}">
      <text>
        <r>
          <rPr>
            <sz val="9"/>
            <color indexed="81"/>
            <rFont val="Tahoma"/>
            <family val="2"/>
          </rPr>
          <t>Bahias Equipadas x 2 (conector en cada extremo del cable)</t>
        </r>
      </text>
    </comment>
    <comment ref="E247" authorId="0" shapeId="0" xr:uid="{59030A6B-82BB-42E1-879B-496A06059B07}">
      <text>
        <r>
          <rPr>
            <b/>
            <sz val="9"/>
            <color indexed="81"/>
            <rFont val="Tahoma"/>
            <family val="2"/>
          </rPr>
          <t>(N Bahias*N conductores TCs*N de TCs)*2 (dos puntas)+N Bahias*Nconductores TPs*N de TPs* 6 (2 puntas+ puentes entre tableros)</t>
        </r>
      </text>
    </comment>
    <comment ref="F247" authorId="0" shapeId="0" xr:uid="{124A01BE-FE61-4B0E-A8CE-338EA52D6C63}">
      <text>
        <r>
          <rPr>
            <b/>
            <sz val="9"/>
            <color indexed="81"/>
            <rFont val="Tahoma"/>
            <family val="2"/>
          </rPr>
          <t>N Bahia*7 cables*N Trafos</t>
        </r>
      </text>
    </comment>
    <comment ref="E259" authorId="1" shapeId="0" xr:uid="{E7524C5E-AA50-4829-B01B-74A96DCFDB57}">
      <text>
        <r>
          <rPr>
            <b/>
            <sz val="9"/>
            <color indexed="81"/>
            <rFont val="Tahoma"/>
            <family val="2"/>
          </rPr>
          <t>12,5m bahias bypass*
4 Bahias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4" authorId="1" shapeId="0" xr:uid="{255C1E1C-778B-4194-93E8-72E167A84320}">
      <text>
        <r>
          <rPr>
            <b/>
            <sz val="9"/>
            <color indexed="81"/>
            <rFont val="Tahoma"/>
            <family val="2"/>
          </rPr>
          <t xml:space="preserve">Comprende:
3 bahias de linea (Rural, Urbano, San Andres):
Cada bahía tiene 3 juegos de 3 DPS:
</t>
        </r>
        <r>
          <rPr>
            <sz val="9"/>
            <color indexed="81"/>
            <rFont val="Tahoma"/>
            <family val="2"/>
          </rPr>
          <t>- 2 para los recos
- 1 línea</t>
        </r>
        <r>
          <rPr>
            <b/>
            <sz val="9"/>
            <color indexed="81"/>
            <rFont val="Tahoma"/>
            <family val="2"/>
          </rPr>
          <t xml:space="preserve">
1 Bahia de Trafo por Baja
</t>
        </r>
        <r>
          <rPr>
            <sz val="9"/>
            <color indexed="81"/>
            <rFont val="Tahoma"/>
            <family val="2"/>
          </rPr>
          <t>- 2 para los recos
- 1 Trafo  Baja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5" authorId="0" shapeId="0" xr:uid="{29CD32C0-A62D-4F0E-A342-48823909518F}">
      <text>
        <r>
          <rPr>
            <b/>
            <sz val="9"/>
            <color indexed="81"/>
            <rFont val="Tahoma"/>
            <family val="2"/>
          </rPr>
          <t>Incluye:
1 bahía de auxiliares
3 bahías de linea
1 bahía de trafo</t>
        </r>
      </text>
    </comment>
    <comment ref="C271" authorId="0" shapeId="0" xr:uid="{F2EAB625-5013-4008-B014-1C5816981242}">
      <text>
        <r>
          <rPr>
            <b/>
            <sz val="9"/>
            <color indexed="81"/>
            <rFont val="Tahoma"/>
            <family val="2"/>
          </rPr>
          <t>Incluye:
1 bahía de auxiliares
3 bahías de linea
1 bahía de trafo</t>
        </r>
      </text>
    </comment>
    <comment ref="G283" authorId="0" shapeId="0" xr:uid="{F14A4CA0-34C1-48A8-9967-944B9329A3E6}">
      <text>
        <r>
          <rPr>
            <sz val="9"/>
            <color indexed="81"/>
            <rFont val="Tahoma"/>
            <family val="2"/>
          </rPr>
          <t>N° Conductores por fase *3 fases*distancia calle a celda*N° Bahías línea 34.5kV</t>
        </r>
      </text>
    </comment>
    <comment ref="H283" authorId="0" shapeId="0" xr:uid="{DF54AF45-CEB3-423F-B11F-712CBC861867}">
      <text>
        <r>
          <rPr>
            <sz val="9"/>
            <color indexed="81"/>
            <rFont val="Tahoma"/>
            <family val="2"/>
          </rPr>
          <t>N° Conductores por fase*distancia calle a celda*N° Bahías línea 34.5kV</t>
        </r>
      </text>
    </comment>
    <comment ref="I283" authorId="0" shapeId="0" xr:uid="{B6B6EF16-41C7-456D-9EA4-1768DB5B772C}">
      <text>
        <r>
          <rPr>
            <sz val="9"/>
            <color indexed="81"/>
            <rFont val="Tahoma"/>
            <family val="2"/>
          </rPr>
          <t>N° Conductores por fase*distancia calle a celda*N° Bahías línea 34.5kV</t>
        </r>
      </text>
    </comment>
    <comment ref="G284" authorId="0" shapeId="0" xr:uid="{12EEB65D-859E-4235-9074-C41BBA52CD85}">
      <text>
        <r>
          <rPr>
            <sz val="9"/>
            <color indexed="81"/>
            <rFont val="Tahoma"/>
            <family val="2"/>
          </rPr>
          <t>N° Conductores por fase*distancia trafo a celda*N° Bahías Trafo 34.5kV</t>
        </r>
      </text>
    </comment>
    <comment ref="H284" authorId="0" shapeId="0" xr:uid="{F60CEB2E-D181-4378-ACE4-B3DA00972388}">
      <text>
        <r>
          <rPr>
            <sz val="9"/>
            <color indexed="81"/>
            <rFont val="Tahoma"/>
            <family val="2"/>
          </rPr>
          <t>N° Conductores por fase*distancia trafo a celda*N° Bahías Trafo 34.5kV</t>
        </r>
      </text>
    </comment>
    <comment ref="I284" authorId="0" shapeId="0" xr:uid="{05E76B0D-E449-45B0-BEFD-C6A86E132321}">
      <text>
        <r>
          <rPr>
            <sz val="9"/>
            <color indexed="81"/>
            <rFont val="Tahoma"/>
            <family val="2"/>
          </rPr>
          <t>N° Conductores por fase*distancia trafo a celda*N° Bahías Trafo 34.5kV</t>
        </r>
      </text>
    </comment>
    <comment ref="G287" authorId="1" shapeId="0" xr:uid="{CF4AF77E-92B0-4634-B26A-4D2895B138FA}">
      <text>
        <r>
          <rPr>
            <sz val="9"/>
            <color indexed="81"/>
            <rFont val="Tahoma"/>
            <family val="2"/>
          </rPr>
          <t>Distancia Calle a Celda Bahía Línea 34.5kV * 2 tubos+Distancia Trafo a Celda bahía Trafo 34.5kV * 5 tubos+Distancia Trafo a Celda bahía Trafo 13.8kV * 2 tubos +15% de desperdicio</t>
        </r>
      </text>
    </comment>
    <comment ref="H287" authorId="0" shapeId="0" xr:uid="{C8B5F78C-6F45-4AC2-BF2C-6D0BC7B4CBBB}">
      <text>
        <r>
          <rPr>
            <sz val="9"/>
            <color indexed="81"/>
            <rFont val="Tahoma"/>
            <family val="2"/>
          </rPr>
          <t>Distancia Calle a Celda Bahía Línea 34.5kV * 5 tubos+Distancia Trafo a Celda bahía Trafo 13.8kV * 6 tubos+15% de desperdicio</t>
        </r>
      </text>
    </comment>
    <comment ref="I287" authorId="0" shapeId="0" xr:uid="{F69C693C-CC9B-469F-8DF7-0E2EE9D6B879}">
      <text>
        <r>
          <rPr>
            <sz val="9"/>
            <color indexed="81"/>
            <rFont val="Tahoma"/>
            <family val="2"/>
          </rPr>
          <t>Distancia Calle a Celda Bahía Línea 34.5kV * 5 tubos+Distancia Trafo a Celda bahía Trafo 34.5kV * 6 tubos+Distancia Trafo a Celda bahía Trafo 13.8kV * 6 tubos +15% de desperdicio</t>
        </r>
      </text>
    </comment>
    <comment ref="G288" authorId="1" shapeId="0" xr:uid="{A1AF5914-686B-40A7-8A3D-1002BA6E6EE3}">
      <text>
        <r>
          <rPr>
            <sz val="9"/>
            <color indexed="81"/>
            <rFont val="Tahoma"/>
            <family val="2"/>
          </rPr>
          <t>Distancia Calle a Celda Bahía Línea 13.8kV * 7 tubos</t>
        </r>
      </text>
    </comment>
    <comment ref="H288" authorId="0" shapeId="0" xr:uid="{D5A55D23-5489-4A66-ABE8-921BA76A0071}">
      <text>
        <r>
          <rPr>
            <sz val="9"/>
            <color indexed="81"/>
            <rFont val="Tahoma"/>
            <family val="2"/>
          </rPr>
          <t>Distancia Trafo a celda bahía Trafo 34.5kV * 6 tubos+ Distancia Calle a celda Bahía Línea 13.8kV* 7 tubos+15% de desperdicio</t>
        </r>
      </text>
    </comment>
    <comment ref="I288" authorId="0" shapeId="0" xr:uid="{4C2AEB3B-B0A0-49C1-8636-0AEF3FBFE026}">
      <text>
        <r>
          <rPr>
            <sz val="9"/>
            <color indexed="81"/>
            <rFont val="Tahoma"/>
            <family val="2"/>
          </rPr>
          <t>Distancia Calle a Celda Bahía Línea 13.8kV * 7 tubos</t>
        </r>
      </text>
    </comment>
    <comment ref="E297" authorId="0" shapeId="0" xr:uid="{1880228F-4E72-4913-AD1A-62E7E3911AFD}">
      <text>
        <r>
          <rPr>
            <b/>
            <sz val="9"/>
            <color indexed="81"/>
            <rFont val="Tahoma"/>
            <family val="2"/>
          </rPr>
          <t>distancia caseta a patio * bahias equipadas</t>
        </r>
      </text>
    </comment>
    <comment ref="G297" authorId="0" shapeId="0" xr:uid="{46828834-BD65-43E6-A4FE-27D8E713A640}">
      <text>
        <r>
          <rPr>
            <sz val="9"/>
            <color indexed="81"/>
            <rFont val="Tahoma"/>
            <family val="2"/>
          </rPr>
          <t>Longitud entre Gabinete PTs a gabinete mas lejano+ 5 metros de puentes entre gabinetes</t>
        </r>
      </text>
    </comment>
    <comment ref="G298" authorId="1" shapeId="0" xr:uid="{970AD99D-4287-4594-80BC-BA640E0836DE}">
      <text>
        <r>
          <rPr>
            <sz val="9"/>
            <color indexed="81"/>
            <rFont val="Tahoma"/>
            <family val="2"/>
          </rPr>
          <t>distancia máxima celda 13,8kv a gabinete de medida y calidad*Número de celdas equipadas* 2 (gabinete de medida+gabinete calidad)+distancia interna CTs a Rele en la misma celda*Número de celdas equipadas* 1 (celda del interruptor)</t>
        </r>
      </text>
    </comment>
    <comment ref="E300" authorId="0" shapeId="0" xr:uid="{5FC7C67B-4739-4325-AE7A-A1A47E399E6A}">
      <text>
        <r>
          <rPr>
            <b/>
            <sz val="9"/>
            <color indexed="81"/>
            <rFont val="Tahoma"/>
            <family val="2"/>
          </rPr>
          <t>(N Bahias*N conductores TCs*N de TCs)*2 (dos puntas)+N Bahias*Nconductores TPs*N de TPs* 6 (2 puntas+ puentes entre tableros)</t>
        </r>
      </text>
    </comment>
    <comment ref="C304" authorId="1" shapeId="0" xr:uid="{67768FB5-6B6E-4C1E-93D1-8C0B905F819D}">
      <text>
        <r>
          <rPr>
            <b/>
            <sz val="9"/>
            <color indexed="81"/>
            <rFont val="Tahoma"/>
            <family val="2"/>
          </rPr>
          <t>Va por el Cárcamo</t>
        </r>
      </text>
    </comment>
    <comment ref="G304" authorId="1" shapeId="0" xr:uid="{895BCF4B-9778-46A7-9288-500A9A0E4DF1}">
      <text>
        <r>
          <rPr>
            <sz val="9"/>
            <color indexed="81"/>
            <rFont val="Tahoma"/>
            <family val="2"/>
          </rPr>
          <t xml:space="preserve">AC - Comunicaciones: 10m
AC - Rectificador: 5m
</t>
        </r>
      </text>
    </comment>
    <comment ref="C309" authorId="0" shapeId="0" xr:uid="{F90C919A-20C6-4A25-A1B7-1990197258CB}">
      <text>
        <r>
          <rPr>
            <sz val="9"/>
            <color indexed="81"/>
            <rFont val="Tahoma"/>
            <family val="2"/>
          </rPr>
          <t>Siemens 
RUGGEDCOM RX1500
Modular, alta resistencia, múltiples interfaces redundantes.
Cisco
CISCO IR1101
Soporte para LTE/5G, diseño compacto, administración remota.
Teltonika
Teltonika RUTX12
Dual SIM, soporte LTE redundante, compacto.</t>
        </r>
      </text>
    </comment>
    <comment ref="C311" authorId="0" shapeId="0" xr:uid="{7397C84E-9922-48C8-8254-4E1C8E7BF9A0}">
      <text>
        <r>
          <rPr>
            <sz val="9"/>
            <color indexed="81"/>
            <rFont val="Tahoma"/>
            <family val="2"/>
          </rPr>
          <t>Schweitzer Engineering Laboratories
SEL-2488
Alta precisión, GNSS integrado, redundancia.
Meinberg
Meinberg LANTIME M3000
Soporte para PTP, NTP, múltiples entradas y salidas.
Microchip
TimeProvider 4100
Sincronización precisa para redes críticas</t>
        </r>
      </text>
    </comment>
    <comment ref="G316" authorId="0" shapeId="0" xr:uid="{1A2351D1-D46D-40C9-9B55-7C8946C04647}">
      <text>
        <r>
          <rPr>
            <sz val="9"/>
            <color indexed="81"/>
            <rFont val="Tahoma"/>
            <family val="2"/>
          </rPr>
          <t xml:space="preserve">- 9 bahías (5 en 34,5 kV y 4 en 13,8 kV)
- distancia entre bahia mas lejana a tablero w01+ desde tableros de medida y calidad
- 2  (medida calidad)
</t>
        </r>
      </text>
    </comment>
    <comment ref="G318" authorId="0" shapeId="0" xr:uid="{B7C75170-6DD8-45FE-90AF-98E3BB0707BF}">
      <text>
        <r>
          <rPr>
            <sz val="9"/>
            <color indexed="81"/>
            <rFont val="Tahoma"/>
            <family val="2"/>
          </rPr>
          <t>Comunicaciones dentro del gabinete +W01</t>
        </r>
      </text>
    </comment>
    <comment ref="G320" authorId="0" shapeId="0" xr:uid="{B377F9B7-D880-42B8-B693-2AF381C6112E}">
      <text>
        <r>
          <rPr>
            <sz val="9"/>
            <color indexed="81"/>
            <rFont val="Tahoma"/>
            <family val="2"/>
          </rPr>
          <t># Bahias activas+conexión entre W01 a R01A)*2 (inicio y final de fibra)</t>
        </r>
      </text>
    </comment>
    <comment ref="G321" authorId="0" shapeId="0" xr:uid="{94C76E7D-FB0D-40D0-ADCF-668D20943630}">
      <text>
        <r>
          <rPr>
            <b/>
            <sz val="9"/>
            <color indexed="81"/>
            <rFont val="Tahoma"/>
            <family val="2"/>
          </rPr>
          <t>(# Bahias activas+conexión entre W01 a R01A)*2 (inicio y final de fibra)*2 (Medida y calidad)</t>
        </r>
      </text>
    </comment>
    <comment ref="C350" authorId="1" shapeId="0" xr:uid="{0AA71189-71A3-4210-8283-C28B332A37EC}">
      <text>
        <r>
          <rPr>
            <b/>
            <sz val="9"/>
            <color indexed="81"/>
            <rFont val="Tahoma"/>
            <family val="2"/>
          </rPr>
          <t>Va por el Cárcamo</t>
        </r>
      </text>
    </comment>
    <comment ref="C354" authorId="1" shapeId="0" xr:uid="{D378E88D-C2A8-494F-B750-311A68BD61DC}">
      <text>
        <r>
          <rPr>
            <sz val="9"/>
            <color indexed="81"/>
            <rFont val="Tahoma"/>
            <family val="2"/>
          </rPr>
          <t>Va por tubería EMT</t>
        </r>
      </text>
    </comment>
    <comment ref="C356" authorId="1" shapeId="0" xr:uid="{133533AD-58D6-4E69-9C70-D7056CE3CF6F}">
      <text>
        <r>
          <rPr>
            <sz val="9"/>
            <color indexed="81"/>
            <rFont val="Tahoma"/>
            <family val="2"/>
          </rPr>
          <t>Va por tubería EMT</t>
        </r>
      </text>
    </comment>
    <comment ref="C368" authorId="0" shapeId="0" xr:uid="{3B07CC9A-86C2-4C78-BFEC-70F5CF8D017A}">
      <text>
        <r>
          <rPr>
            <sz val="9"/>
            <color indexed="81"/>
            <rFont val="Tahoma"/>
            <family val="2"/>
          </rPr>
          <t>- 145 m Tubería 1/2" pvc
- 145m Cable 3x12 AWH THWN-600V
- 8 sensores de movimiento
- Alarma, software</t>
        </r>
      </text>
    </comment>
    <comment ref="G378" authorId="1" shapeId="0" xr:uid="{BAA96652-CC8A-47D6-BF57-C53EF2C142E7}">
      <text>
        <r>
          <rPr>
            <sz val="9"/>
            <color indexed="81"/>
            <rFont val="Tahoma"/>
            <family val="2"/>
          </rPr>
          <t>conmutable sencillo 3
4 vias doble            6
Sencillo                  4
conmutable doble   2</t>
        </r>
      </text>
    </comment>
    <comment ref="H378" authorId="1" shapeId="0" xr:uid="{0E7C0C29-8692-46B2-8F7C-A7BDE258ACC2}">
      <text>
        <r>
          <rPr>
            <sz val="9"/>
            <color indexed="81"/>
            <rFont val="Tahoma"/>
            <family val="2"/>
          </rPr>
          <t>conmutable sencillo 3
4 vias doble            6
Sencillo                  4
conmutable doble   2</t>
        </r>
      </text>
    </comment>
    <comment ref="I378" authorId="1" shapeId="0" xr:uid="{7836393F-FAD7-49B6-9D38-78512D09B495}">
      <text>
        <r>
          <rPr>
            <sz val="9"/>
            <color indexed="81"/>
            <rFont val="Tahoma"/>
            <family val="2"/>
          </rPr>
          <t>conmutable sencillo 3
4 vias doble            6
Sencillo                  4
conmutable doble   2</t>
        </r>
      </text>
    </comment>
    <comment ref="C385" authorId="0" shapeId="0" xr:uid="{E3548E48-4F0C-4FA5-845F-41AA9ECB6A50}">
      <text>
        <r>
          <rPr>
            <sz val="9"/>
            <color indexed="81"/>
            <rFont val="Tahoma"/>
            <family val="2"/>
          </rPr>
          <t>Tomas Normales Oficina del Operador</t>
        </r>
        <r>
          <rPr>
            <b/>
            <sz val="9"/>
            <color indexed="81"/>
            <rFont val="Tahoma"/>
            <family val="2"/>
          </rPr>
          <t xml:space="preserve"> = 5
</t>
        </r>
        <r>
          <rPr>
            <sz val="9"/>
            <color indexed="81"/>
            <rFont val="Tahoma"/>
            <family val="2"/>
          </rPr>
          <t xml:space="preserve">Toma Mono cuarto tren de celdas 34,5-13,8 y patio2 </t>
        </r>
        <r>
          <rPr>
            <b/>
            <sz val="9"/>
            <color indexed="81"/>
            <rFont val="Tahoma"/>
            <family val="2"/>
          </rPr>
          <t xml:space="preserve">= 6
</t>
        </r>
        <r>
          <rPr>
            <sz val="9"/>
            <color indexed="81"/>
            <rFont val="Tahoma"/>
            <family val="2"/>
          </rPr>
          <t>Toma Mono Cuarto tren de celdas 34,5, Cuarto de Gabinetes, Cuarto de condensadoras de aires y Patio 1</t>
        </r>
        <r>
          <rPr>
            <b/>
            <sz val="9"/>
            <color indexed="81"/>
            <rFont val="Tahoma"/>
            <family val="2"/>
          </rPr>
          <t xml:space="preserve">  = 6
</t>
        </r>
      </text>
    </comment>
    <comment ref="C386" authorId="0" shapeId="0" xr:uid="{52DC9A66-7233-4229-932B-56716A22B3B9}">
      <text>
        <r>
          <rPr>
            <sz val="9"/>
            <color indexed="81"/>
            <rFont val="Tahoma"/>
            <family val="2"/>
          </rPr>
          <t>Tomas Normales Oficina del Operador</t>
        </r>
        <r>
          <rPr>
            <b/>
            <sz val="9"/>
            <color indexed="81"/>
            <rFont val="Tahoma"/>
            <family val="2"/>
          </rPr>
          <t xml:space="preserve"> = 5
</t>
        </r>
        <r>
          <rPr>
            <sz val="9"/>
            <color indexed="81"/>
            <rFont val="Tahoma"/>
            <family val="2"/>
          </rPr>
          <t xml:space="preserve">Toma Mono cuarto tren de celdas 34,5-13,8 y patio2 </t>
        </r>
        <r>
          <rPr>
            <b/>
            <sz val="9"/>
            <color indexed="81"/>
            <rFont val="Tahoma"/>
            <family val="2"/>
          </rPr>
          <t xml:space="preserve">= 6
</t>
        </r>
        <r>
          <rPr>
            <sz val="9"/>
            <color indexed="81"/>
            <rFont val="Tahoma"/>
            <family val="2"/>
          </rPr>
          <t>Toma Mono Cuarto tren de celdas 34,5, Cuarto de Gabinetes, Cuarto de condensadoras de aires y Patio 1</t>
        </r>
        <r>
          <rPr>
            <b/>
            <sz val="9"/>
            <color indexed="81"/>
            <rFont val="Tahoma"/>
            <family val="2"/>
          </rPr>
          <t xml:space="preserve">  = 6
</t>
        </r>
      </text>
    </comment>
    <comment ref="C387" authorId="0" shapeId="0" xr:uid="{AB19F48E-8A8D-476C-AD89-F04A1F118906}">
      <text>
        <r>
          <rPr>
            <sz val="9"/>
            <color indexed="81"/>
            <rFont val="Tahoma"/>
            <family val="2"/>
          </rPr>
          <t>Toma Mono cuarto tren de celdas 34,5-13,8 y patio2 =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
Toma Mono Cuarto tren de celdas 34,5, Cuarto de Gabinetes, Cuarto de condensadoras de aires, y Patio 1  =</t>
        </r>
        <r>
          <rPr>
            <b/>
            <sz val="9"/>
            <color indexed="81"/>
            <rFont val="Tahoma"/>
            <family val="2"/>
          </rPr>
          <t>2</t>
        </r>
      </text>
    </comment>
    <comment ref="C388" authorId="0" shapeId="0" xr:uid="{E6DAB39D-C6E1-4DD0-BFE5-503374824AD7}">
      <text>
        <r>
          <rPr>
            <sz val="9"/>
            <color indexed="81"/>
            <rFont val="Tahoma"/>
            <family val="2"/>
          </rPr>
          <t>Trafo equipado
Trafo reserva</t>
        </r>
      </text>
    </comment>
    <comment ref="C389" authorId="0" shapeId="0" xr:uid="{81F0EAD6-13C7-4601-9221-75F99222813C}">
      <text>
        <r>
          <rPr>
            <sz val="9"/>
            <color indexed="81"/>
            <rFont val="Tahoma"/>
            <family val="2"/>
          </rPr>
          <t>Trafo equipado
Trafo reserva
Sistema de seguridad perimetral (Tiene canalización en 12, item más arriba)</t>
        </r>
      </text>
    </comment>
    <comment ref="C396" authorId="1" shapeId="0" xr:uid="{D5F3037B-2CC3-4A62-A068-316C9547466B}">
      <text>
        <r>
          <rPr>
            <b/>
            <sz val="9"/>
            <color indexed="81"/>
            <rFont val="Tahoma"/>
            <family val="2"/>
          </rPr>
          <t>Va por tubería EMT</t>
        </r>
      </text>
    </comment>
    <comment ref="C410" authorId="0" shapeId="0" xr:uid="{A8EF9418-5223-42E3-A4AA-0C4E0E0AC660}">
      <text>
        <r>
          <rPr>
            <sz val="9"/>
            <color indexed="81"/>
            <rFont val="Tahoma"/>
            <family val="2"/>
          </rPr>
          <t>PARA COMUNICACIÓN, SEÑALES Y FUERZA DEL CONTROL DE TRANSFORMADOR DE POTENCIA</t>
        </r>
      </text>
    </comment>
    <comment ref="E412" authorId="0" shapeId="0" xr:uid="{685CAC45-C6FA-47B4-9082-30E95EB9ED52}">
      <text>
        <r>
          <rPr>
            <b/>
            <sz val="9"/>
            <color indexed="81"/>
            <rFont val="Tahoma"/>
            <family val="2"/>
          </rPr>
          <t>N bahia de linea*4 gabinetes*1 tubo+N bahia de trafo*3 gabinetes*1 tubo</t>
        </r>
      </text>
    </comment>
    <comment ref="E413" authorId="0" shapeId="0" xr:uid="{755D3F69-BD09-4FB4-A154-90C210A214BA}">
      <text>
        <r>
          <rPr>
            <b/>
            <sz val="9"/>
            <color indexed="81"/>
            <rFont val="Tahoma"/>
            <family val="2"/>
          </rPr>
          <t>N bahia de linea*4 gabinetes*1 tubo+N bahia de trafo*3 gabinetes*1 tubo</t>
        </r>
      </text>
    </comment>
    <comment ref="C415" authorId="0" shapeId="0" xr:uid="{13AABB92-2515-475F-9E4D-05AB80C44E3A}">
      <text>
        <r>
          <rPr>
            <sz val="9"/>
            <color indexed="81"/>
            <rFont val="Tahoma"/>
            <family val="2"/>
          </rPr>
          <t>16 Circuitos:
Iluminación, calefacción y tomas que salen desde tablero AC a cada Gabinete.</t>
        </r>
      </text>
    </comment>
    <comment ref="G416" authorId="0" shapeId="0" xr:uid="{BA2AD56C-840C-4B39-9C33-185ED0C3F87A}">
      <text>
        <r>
          <rPr>
            <sz val="9"/>
            <color indexed="81"/>
            <rFont val="Tahoma"/>
            <family val="2"/>
          </rPr>
          <t>23 Iluminación
23 Calefacción
23 Tomas
Ver plano 134</t>
        </r>
      </text>
    </comment>
    <comment ref="C421" authorId="1" shapeId="0" xr:uid="{67A793AC-E6AE-4E5D-905A-65E4D0B4196E}">
      <text>
        <r>
          <rPr>
            <sz val="9"/>
            <color indexed="81"/>
            <rFont val="Tahoma"/>
            <family val="2"/>
          </rPr>
          <t>Va por tubería EMT</t>
        </r>
      </text>
    </comment>
    <comment ref="C422" authorId="1" shapeId="0" xr:uid="{AAB23752-30BE-46AC-99A3-98190A18F195}">
      <text>
        <r>
          <rPr>
            <sz val="9"/>
            <color indexed="81"/>
            <rFont val="Tahoma"/>
            <family val="2"/>
          </rPr>
          <t>Va por tubería EMT</t>
        </r>
      </text>
    </comment>
    <comment ref="C423" authorId="1" shapeId="0" xr:uid="{0A82C88B-2F45-41CB-9688-C823B951E3F4}">
      <text>
        <r>
          <rPr>
            <sz val="9"/>
            <color indexed="81"/>
            <rFont val="Tahoma"/>
            <family val="2"/>
          </rPr>
          <t>El resto de la distancia va por bandeja en cárcamo</t>
        </r>
      </text>
    </comment>
    <comment ref="C424" authorId="1" shapeId="0" xr:uid="{DB9C0EBD-BEC1-4648-9128-1CC096EF91DA}">
      <text>
        <r>
          <rPr>
            <sz val="9"/>
            <color indexed="81"/>
            <rFont val="Tahoma"/>
            <family val="2"/>
          </rPr>
          <t>Va por el Cárcamo</t>
        </r>
      </text>
    </comment>
    <comment ref="E424" authorId="0" shapeId="0" xr:uid="{1480BD8F-391C-4645-A29C-22CDB7D72A77}">
      <text>
        <r>
          <rPr>
            <b/>
            <sz val="9"/>
            <color indexed="81"/>
            <rFont val="Tahoma"/>
            <family val="2"/>
          </rPr>
          <t xml:space="preserve">CTO1: </t>
        </r>
        <r>
          <rPr>
            <sz val="9"/>
            <color indexed="81"/>
            <rFont val="Tahoma"/>
            <family val="2"/>
          </rPr>
          <t>+R01A, +R01B, +R02A, +R02B,</t>
        </r>
        <r>
          <rPr>
            <b/>
            <sz val="9"/>
            <color indexed="81"/>
            <rFont val="Tahoma"/>
            <family val="2"/>
          </rPr>
          <t xml:space="preserve">
CTO2: </t>
        </r>
        <r>
          <rPr>
            <sz val="9"/>
            <color indexed="81"/>
            <rFont val="Tahoma"/>
            <family val="2"/>
          </rPr>
          <t>PC, diplay HMI</t>
        </r>
        <r>
          <rPr>
            <b/>
            <sz val="9"/>
            <color indexed="81"/>
            <rFont val="Tahoma"/>
            <family val="2"/>
          </rPr>
          <t xml:space="preserve">
CTO3: </t>
        </r>
        <r>
          <rPr>
            <sz val="9"/>
            <color indexed="81"/>
            <rFont val="Tahoma"/>
            <family val="2"/>
          </rPr>
          <t>TFER AUTO, NK01, NK02, NE01</t>
        </r>
      </text>
    </comment>
    <comment ref="G424" authorId="1" shapeId="0" xr:uid="{A473A501-41E2-4F15-9796-90D41A43DECB}">
      <text>
        <r>
          <rPr>
            <b/>
            <sz val="9"/>
            <color indexed="81"/>
            <rFont val="Tahoma"/>
            <family val="2"/>
          </rPr>
          <t>CTO1:</t>
        </r>
        <r>
          <rPr>
            <sz val="9"/>
            <color indexed="81"/>
            <rFont val="Tahoma"/>
            <family val="2"/>
          </rPr>
          <t xml:space="preserve"> +R01A</t>
        </r>
        <r>
          <rPr>
            <b/>
            <sz val="9"/>
            <color indexed="81"/>
            <rFont val="Tahoma"/>
            <family val="2"/>
          </rPr>
          <t xml:space="preserve">
CTO2: </t>
        </r>
        <r>
          <rPr>
            <sz val="9"/>
            <color indexed="81"/>
            <rFont val="Tahoma"/>
            <family val="2"/>
          </rPr>
          <t>PC, diplay HMI</t>
        </r>
        <r>
          <rPr>
            <b/>
            <sz val="9"/>
            <color indexed="81"/>
            <rFont val="Tahoma"/>
            <family val="2"/>
          </rPr>
          <t xml:space="preserve">
CTO3: </t>
        </r>
        <r>
          <rPr>
            <sz val="9"/>
            <color indexed="81"/>
            <rFont val="Tahoma"/>
            <family val="2"/>
          </rPr>
          <t xml:space="preserve">TFER AUTO, NK01, NK02, NE01
</t>
        </r>
        <r>
          <rPr>
            <b/>
            <sz val="9"/>
            <color indexed="81"/>
            <rFont val="Tahoma"/>
            <family val="2"/>
          </rPr>
          <t>otros circuitos</t>
        </r>
        <r>
          <rPr>
            <sz val="9"/>
            <color indexed="81"/>
            <rFont val="Tahoma"/>
            <family val="2"/>
          </rPr>
          <t xml:space="preserve">
5 BAHIAS 34,5KV
4 BAHIAS 13,8 KV</t>
        </r>
      </text>
    </comment>
    <comment ref="H424" authorId="1" shapeId="0" xr:uid="{3619B075-9B9B-46F7-8474-61E98D1FCEF8}">
      <text>
        <r>
          <rPr>
            <b/>
            <sz val="9"/>
            <color indexed="81"/>
            <rFont val="Tahoma"/>
            <family val="2"/>
          </rPr>
          <t>CTO1:</t>
        </r>
        <r>
          <rPr>
            <sz val="9"/>
            <color indexed="81"/>
            <rFont val="Tahoma"/>
            <family val="2"/>
          </rPr>
          <t xml:space="preserve"> +R01A</t>
        </r>
        <r>
          <rPr>
            <b/>
            <sz val="9"/>
            <color indexed="81"/>
            <rFont val="Tahoma"/>
            <family val="2"/>
          </rPr>
          <t xml:space="preserve">
CTO2: </t>
        </r>
        <r>
          <rPr>
            <sz val="9"/>
            <color indexed="81"/>
            <rFont val="Tahoma"/>
            <family val="2"/>
          </rPr>
          <t>PC, diplay HMI</t>
        </r>
        <r>
          <rPr>
            <b/>
            <sz val="9"/>
            <color indexed="81"/>
            <rFont val="Tahoma"/>
            <family val="2"/>
          </rPr>
          <t xml:space="preserve">
CTO3: </t>
        </r>
        <r>
          <rPr>
            <sz val="9"/>
            <color indexed="81"/>
            <rFont val="Tahoma"/>
            <family val="2"/>
          </rPr>
          <t xml:space="preserve">TFER AUTO, NK01, NK02, NE01
</t>
        </r>
        <r>
          <rPr>
            <b/>
            <sz val="9"/>
            <color indexed="81"/>
            <rFont val="Tahoma"/>
            <family val="2"/>
          </rPr>
          <t>otros circuitos</t>
        </r>
        <r>
          <rPr>
            <sz val="9"/>
            <color indexed="81"/>
            <rFont val="Tahoma"/>
            <family val="2"/>
          </rPr>
          <t xml:space="preserve">
5 BAHIAS 34,5KV
4 BAHIAS 13,8 KV</t>
        </r>
      </text>
    </comment>
    <comment ref="I424" authorId="1" shapeId="0" xr:uid="{FC5462E6-0EFD-4529-85A8-30F100C92F7C}">
      <text>
        <r>
          <rPr>
            <b/>
            <sz val="9"/>
            <color indexed="81"/>
            <rFont val="Tahoma"/>
            <family val="2"/>
          </rPr>
          <t>CTO1:</t>
        </r>
        <r>
          <rPr>
            <sz val="9"/>
            <color indexed="81"/>
            <rFont val="Tahoma"/>
            <family val="2"/>
          </rPr>
          <t xml:space="preserve"> +R01A</t>
        </r>
        <r>
          <rPr>
            <b/>
            <sz val="9"/>
            <color indexed="81"/>
            <rFont val="Tahoma"/>
            <family val="2"/>
          </rPr>
          <t xml:space="preserve">
CTO2: </t>
        </r>
        <r>
          <rPr>
            <sz val="9"/>
            <color indexed="81"/>
            <rFont val="Tahoma"/>
            <family val="2"/>
          </rPr>
          <t>PC, diplay HMI</t>
        </r>
        <r>
          <rPr>
            <b/>
            <sz val="9"/>
            <color indexed="81"/>
            <rFont val="Tahoma"/>
            <family val="2"/>
          </rPr>
          <t xml:space="preserve">
CTO3: </t>
        </r>
        <r>
          <rPr>
            <sz val="9"/>
            <color indexed="81"/>
            <rFont val="Tahoma"/>
            <family val="2"/>
          </rPr>
          <t xml:space="preserve">TFER AUTO, NK01, NK02, NE01
</t>
        </r>
        <r>
          <rPr>
            <b/>
            <sz val="9"/>
            <color indexed="81"/>
            <rFont val="Tahoma"/>
            <family val="2"/>
          </rPr>
          <t>otros circuitos</t>
        </r>
        <r>
          <rPr>
            <sz val="9"/>
            <color indexed="81"/>
            <rFont val="Tahoma"/>
            <family val="2"/>
          </rPr>
          <t xml:space="preserve">
5 BAHIAS 34,5KV
4 BAHIAS 13,8 KV</t>
        </r>
      </text>
    </comment>
    <comment ref="C452" authorId="0" shapeId="0" xr:uid="{C3B06D20-8BD4-40D1-8791-B941E62AF04B}">
      <text>
        <r>
          <rPr>
            <sz val="9"/>
            <color indexed="81"/>
            <rFont val="Tahoma"/>
            <family val="2"/>
          </rPr>
          <t>Aquí va inmerso el PERMISO DE APROVECHAMIENTO FORESTAL según:
https://www.cam.gov.co/media/filer_public/b8/4e/b84ed7a8-dcb9-4318-93d3-6bcf983d0616/p-cam-082_aprovechamiento_forestal_arboles_aislados_v2.pdf
En el Artículo 8.2</t>
        </r>
      </text>
    </comment>
  </commentList>
</comments>
</file>

<file path=xl/sharedStrings.xml><?xml version="1.0" encoding="utf-8"?>
<sst xmlns="http://schemas.openxmlformats.org/spreadsheetml/2006/main" count="36415" uniqueCount="2940">
  <si>
    <t>VALOR UNITARIO</t>
  </si>
  <si>
    <t>CANTIDAD</t>
  </si>
  <si>
    <t>UNIDAD</t>
  </si>
  <si>
    <t>COSTOS</t>
  </si>
  <si>
    <t>ACTIVIDAD</t>
  </si>
  <si>
    <t>Un</t>
  </si>
  <si>
    <t>SERVICIO DE CANAL SATELITAL 128 KBPS UP/DOWN BANDA KU. 12 MESES DE SERVICIO, INSTALACIÓN Y ALQUILER DE EQUIPOS</t>
  </si>
  <si>
    <t>SISTEMA DE SERVICIOS AUXILIARES</t>
  </si>
  <si>
    <t>UN</t>
  </si>
  <si>
    <t>1.2</t>
  </si>
  <si>
    <t>2.1</t>
  </si>
  <si>
    <t>2.2</t>
  </si>
  <si>
    <t>3.1</t>
  </si>
  <si>
    <t>3.2</t>
  </si>
  <si>
    <t>4.1</t>
  </si>
  <si>
    <t>4.2</t>
  </si>
  <si>
    <t>M</t>
  </si>
  <si>
    <t>GL</t>
  </si>
  <si>
    <t>U</t>
  </si>
  <si>
    <t>EQUIPOS 34,5 kV</t>
  </si>
  <si>
    <t>EQUIPOS 13,8 kV</t>
  </si>
  <si>
    <t>OBRA CIVIL</t>
  </si>
  <si>
    <t>ADECUACIONES DE TERRENO</t>
  </si>
  <si>
    <t>RED HIDROSANITARIA</t>
  </si>
  <si>
    <t>SISTEMA DE COMUNICACIONES</t>
  </si>
  <si>
    <t>ADMINISTRACIÓN</t>
  </si>
  <si>
    <t>IMPREVISTOS</t>
  </si>
  <si>
    <t>UTILIDAD</t>
  </si>
  <si>
    <t>AISLADOR TIPO PIN DE PORCELANA PARA 34.5 KV ANSI 56-3</t>
  </si>
  <si>
    <t>Codigo APU</t>
  </si>
  <si>
    <t>Nombre APU</t>
  </si>
  <si>
    <t>Unidad APU</t>
  </si>
  <si>
    <t>Rendimiento</t>
  </si>
  <si>
    <t>Valor APU</t>
  </si>
  <si>
    <t>A. MATERIAL</t>
  </si>
  <si>
    <t>Referencia</t>
  </si>
  <si>
    <t>Descripción</t>
  </si>
  <si>
    <t>Unidad</t>
  </si>
  <si>
    <t>Cantidad</t>
  </si>
  <si>
    <t>Vr. Unitario ($)</t>
  </si>
  <si>
    <t>Vr. Total ($)</t>
  </si>
  <si>
    <t>Subtotal A</t>
  </si>
  <si>
    <t>B. MANO DE OBRA</t>
  </si>
  <si>
    <t>Fac. Sal</t>
  </si>
  <si>
    <t>Jornal ($)</t>
  </si>
  <si>
    <t>Prestaciones ($)</t>
  </si>
  <si>
    <t>MO-3</t>
  </si>
  <si>
    <t>Ingeniero Residente de Obra</t>
  </si>
  <si>
    <t>MO-4</t>
  </si>
  <si>
    <t>Tecnico Supervisor</t>
  </si>
  <si>
    <t>MO-5</t>
  </si>
  <si>
    <t>Tecnico Liniero</t>
  </si>
  <si>
    <t>MO-6</t>
  </si>
  <si>
    <t>Ayudante Calificado</t>
  </si>
  <si>
    <t>MO-8</t>
  </si>
  <si>
    <t>Profesional en SST</t>
  </si>
  <si>
    <t>Subtotal B</t>
  </si>
  <si>
    <t>C. EQUIPOS Y HERRAMIENTAS</t>
  </si>
  <si>
    <t>EH-2</t>
  </si>
  <si>
    <t>Juego Llaves</t>
  </si>
  <si>
    <t>EH-4</t>
  </si>
  <si>
    <t>Manila de servicio</t>
  </si>
  <si>
    <t>EH-5</t>
  </si>
  <si>
    <t>Tula portaherramientas</t>
  </si>
  <si>
    <t>EH-8</t>
  </si>
  <si>
    <t>Agarradoras</t>
  </si>
  <si>
    <t>EH-9</t>
  </si>
  <si>
    <t>Templadoras</t>
  </si>
  <si>
    <t>Herramienta Menor</t>
  </si>
  <si>
    <t>Subtotal C</t>
  </si>
  <si>
    <t>D. EPP Y DOTACION</t>
  </si>
  <si>
    <t>ED-1</t>
  </si>
  <si>
    <t>Camisa indigo sin partes metalicas</t>
  </si>
  <si>
    <t>ED-2</t>
  </si>
  <si>
    <t>Bota de seguridad dielectrica</t>
  </si>
  <si>
    <t>Par</t>
  </si>
  <si>
    <t>ED-3</t>
  </si>
  <si>
    <t>ED-4</t>
  </si>
  <si>
    <t>Correa plastica y antiflama</t>
  </si>
  <si>
    <t>ED-5</t>
  </si>
  <si>
    <t>Gafas protectoras filtro UV</t>
  </si>
  <si>
    <t>ED-8</t>
  </si>
  <si>
    <t>Bota de seguridad PVC dielectrica</t>
  </si>
  <si>
    <t>ED-9</t>
  </si>
  <si>
    <t>Capuchon</t>
  </si>
  <si>
    <t>ED-10</t>
  </si>
  <si>
    <t>Guantes Protectores  - ingeniero reforzados</t>
  </si>
  <si>
    <t>ED-11</t>
  </si>
  <si>
    <t>Impermeable (pantalon camisa)</t>
  </si>
  <si>
    <t>ED-12</t>
  </si>
  <si>
    <t>Jean Dielectrico</t>
  </si>
  <si>
    <t>ED-13</t>
  </si>
  <si>
    <t>Casco dielectrico Tipo 2 Clase E con barboquejo</t>
  </si>
  <si>
    <t>Kit de rescate para trabajo en alturas</t>
  </si>
  <si>
    <t>Equipo completo para trabajo en alturas con pretales (Arnes dielectrico, 1 mosqueton de seguridad, tie off dielectrico, eslinga de posicionamiento, juego de pretales)</t>
  </si>
  <si>
    <t>Subtotal D</t>
  </si>
  <si>
    <t>E. TRANSPORTE Y VIATICACION</t>
  </si>
  <si>
    <t>TV-1</t>
  </si>
  <si>
    <t>Camioneta</t>
  </si>
  <si>
    <t>Subtotal E</t>
  </si>
  <si>
    <t>SUBTOTAL COSTOS DIRECTOS (C.D)</t>
  </si>
  <si>
    <t>SUBTOTAL COSTOS DIRECTOS (C.D) + COSTOS INDIRECTOS (C.I)</t>
  </si>
  <si>
    <t>IVA (OBRA)</t>
  </si>
  <si>
    <t>19%</t>
  </si>
  <si>
    <t>TOTAL APU</t>
  </si>
  <si>
    <t>EQUIPOS DE CONTROL 34,5 kV</t>
  </si>
  <si>
    <t>INTEGRACIÓN EQUIPOS DE MANIOBRA Y CORTE MEDIANTE EL SISTEMA SCADA AL CENTRO DE CONTROL DE ELECTROHUILA, INCLUYE EL DESARROLLO DEL DIAGRAMA UNIFILAR PARA  VISUALIZACIÓN EN PANTALLA IHM, MONITOREO DE VARIABLES ELÉCTRICAS Y OPERACIÓN EN TIEMPO REAL, INTEGRACIÓN AL OMS REGISTROS DE APERTURAS Y CIERRES CON ESTAMPA DE TIEMPO REAL. SE INTEGRARÁN LOS RECONECTADORES, SECCIONADORES, MEDIDAS ELÉCTRICAS Y PROTECCIONES .  INCLUYE LAS  PRUEBAS DEL SISTEMA EN TERRENO Y DESDE CENTRO DE CONTROL Y OMS, LOS AJUSTES Y PUESTA EN SERVICIO. DEBE INCLUIR TODO EL LICENCIAMIENTO DE PROTOCOLOS Y PUNTOS A INTEGRAR AL SCADA.</t>
  </si>
  <si>
    <t>OTROS</t>
  </si>
  <si>
    <t>ML</t>
  </si>
  <si>
    <t>EQUIPOS DE MEDIDA Y CALIDAD 13,8 kV</t>
  </si>
  <si>
    <t>SISTEMA DE PUESTA A TIERRA</t>
  </si>
  <si>
    <t>GRAPA DE CONEXIÓN ENTRE PUNTA CAPTORA Y ALAMBRÓN</t>
  </si>
  <si>
    <t>PLACAS DE IDENTIFICACIÓN Y SEÑALIZACIÓN DE SEGURIDAD</t>
  </si>
  <si>
    <t>M2</t>
  </si>
  <si>
    <t>M3</t>
  </si>
  <si>
    <t>Montacarga</t>
  </si>
  <si>
    <t>DISEÑO DE VÍAS Y ACCESOS</t>
  </si>
  <si>
    <t>EDIFICIO DE FUERZA Y CONTROL</t>
  </si>
  <si>
    <t>DDP</t>
  </si>
  <si>
    <t>Activa</t>
  </si>
  <si>
    <t>SI</t>
  </si>
  <si>
    <t>NO</t>
  </si>
  <si>
    <t>SERV AUX</t>
  </si>
  <si>
    <t>TRAFO 1</t>
  </si>
  <si>
    <t>COLOMBIA</t>
  </si>
  <si>
    <t>FORTALECILLAS</t>
  </si>
  <si>
    <t>AIPE</t>
  </si>
  <si>
    <t>TRAFO 2 - RESER</t>
  </si>
  <si>
    <t>RESERVA LÍNEA 2</t>
  </si>
  <si>
    <t>SAN ANDRÉS</t>
  </si>
  <si>
    <t>Tensión</t>
  </si>
  <si>
    <t>Bahía de Línea</t>
  </si>
  <si>
    <t>T</t>
  </si>
  <si>
    <t>L</t>
  </si>
  <si>
    <t>Aux</t>
  </si>
  <si>
    <t>Bahía de Trafo</t>
  </si>
  <si>
    <t>DPS</t>
  </si>
  <si>
    <t>Reconectador/Interruptor</t>
  </si>
  <si>
    <t>Seccionador Tripolar</t>
  </si>
  <si>
    <t>TC</t>
  </si>
  <si>
    <t>Elementos por S/E</t>
  </si>
  <si>
    <t>Total</t>
  </si>
  <si>
    <t xml:space="preserve"> Bahía de Línea</t>
  </si>
  <si>
    <t>Seccionador con cuchilla PT</t>
  </si>
  <si>
    <t>Bahías de Trafo</t>
  </si>
  <si>
    <t>Bahías Aux</t>
  </si>
  <si>
    <t>Transformador de Potencia</t>
  </si>
  <si>
    <t>Grúa Hidráulica</t>
  </si>
  <si>
    <t>Tarifa</t>
  </si>
  <si>
    <t>RESERVA LÍNEA 1</t>
  </si>
  <si>
    <t>LAURELES-PATIA</t>
  </si>
  <si>
    <t>URBANO</t>
  </si>
  <si>
    <t>Cod</t>
  </si>
  <si>
    <t>BAHÍAS ACTIVAS</t>
  </si>
  <si>
    <t>ELEMENTOS POR BAHÍA</t>
  </si>
  <si>
    <t>Equipo</t>
  </si>
  <si>
    <t>TOTAL EQUIPOS EN 34,5 kV</t>
  </si>
  <si>
    <t>TOTAL EQUIPOS EN 13,8 kV</t>
  </si>
  <si>
    <t>1.1</t>
  </si>
  <si>
    <t>TP General</t>
  </si>
  <si>
    <t>TC General</t>
  </si>
  <si>
    <t>5.1</t>
  </si>
  <si>
    <t>6.1</t>
  </si>
  <si>
    <t>7.1</t>
  </si>
  <si>
    <t>8.1</t>
  </si>
  <si>
    <t>TP Particular</t>
  </si>
  <si>
    <t>Ref</t>
  </si>
  <si>
    <t>Bahías de Línea</t>
  </si>
  <si>
    <t>9.1</t>
  </si>
  <si>
    <t>10.1</t>
  </si>
  <si>
    <t>Medidor</t>
  </si>
  <si>
    <t>11.1</t>
  </si>
  <si>
    <t>5.2</t>
  </si>
  <si>
    <t>6.2</t>
  </si>
  <si>
    <t>7.2</t>
  </si>
  <si>
    <t>8.2</t>
  </si>
  <si>
    <t>9.2</t>
  </si>
  <si>
    <t>012</t>
  </si>
  <si>
    <t>Metros Caseta a Patio</t>
  </si>
  <si>
    <t>Bahías Equipadas 34,5 kV</t>
  </si>
  <si>
    <t>Bahías Equipadas 13,8 kV</t>
  </si>
  <si>
    <t>Pase de Vía</t>
  </si>
  <si>
    <t>Metros</t>
  </si>
  <si>
    <t>Tubos 4"</t>
  </si>
  <si>
    <t>Tubos 3"</t>
  </si>
  <si>
    <t>Tubos 2"</t>
  </si>
  <si>
    <t>Tubos 1 1/2"</t>
  </si>
  <si>
    <t>EQUIPOS</t>
  </si>
  <si>
    <t>CABLEADO</t>
  </si>
  <si>
    <t>Fecha</t>
  </si>
  <si>
    <t>Moneda</t>
  </si>
  <si>
    <t>SUMINISTRO E INSTALACIÓN DE CONCENTRADOR DE DATOS, GATEWAY (Con protocolos IEC 61850, Modbus TCP, DNP3, IEC 60870-5-104, PRP (Parallel Redundancy Protocol),  HSR (High-availability Seamless Redundancy),) CON CAPACIDAD HASTA PARA 20 BAHÍAS, 14 PUERTOS ETHERNET, 24-250 V DC o 100-240 V AC.</t>
  </si>
  <si>
    <t>SUMINISTRO E INSTALACIÓN DE SWITCH DE RED LAN. 24 PUERTOS ETHERNET. SOPORTE PARA PRP, HSR, RSTP. COMPATIBILIDAD CON  IEC 61850-3, IEEE 1613</t>
  </si>
  <si>
    <t>SUMINISTRO E INSTALACIÓN DE RELOJ MAESTRO SATELITAL. SERVIDOR NTP (Soporte para IEEE 1588v2 (PTP) y NTP), precisión de sincronización &lt; 1 microsegundo. Soporte  IEC 61850-3. GNSS (GPS/GLONASS/Beidou), IRIG-B, 1PPS.</t>
  </si>
  <si>
    <t>SUMINISTRO E INSTALACIÓN DE MEDIDOR DE ENERGÍA KWH-KVARH  CLASE 1 POTENCIA ACTIVA, CLASE 2 POTENCIA REACTIVA, DE CONEXIÓN INDIRECTA, MULTIFUNCIONAL CON INSTRUMENTACIÓN Y CURVA DE CARGA, PUERTO ETERNET Y DOS PUERTOS SERIALES, CUATRO CUADRANTES. INCLUYE PRUEBAS DE CALIBRACIÓN POR LABORATORIO ACREDITADO.</t>
  </si>
  <si>
    <t>BANCO DE BATERÍAS</t>
  </si>
  <si>
    <t>TRANSFERENCIA</t>
  </si>
  <si>
    <t>SUMINISTRO E INSTALACIÓN DE SOPORTES PARA REFLECTOR CON ACCESORIOS</t>
  </si>
  <si>
    <t>ALIMENTACIÓN DC</t>
  </si>
  <si>
    <t>CANALIZACIONES</t>
  </si>
  <si>
    <t>DISEÑO ESTRUCTURAL (CIMENTACIÓN)</t>
  </si>
  <si>
    <t>DISEÑO ESTRUCTURAL (CERRAMIENTO)</t>
  </si>
  <si>
    <t>CONEXIÓN EN X CON SOLDADURA EXOTÉRMICA</t>
  </si>
  <si>
    <t>CONEXIÓN EN T CON SOLDADURA EXOTÉRMICA</t>
  </si>
  <si>
    <t>CONECTOR TERMINAL CU PARA CABLE 4/0 AWG</t>
  </si>
  <si>
    <t>CONECTOR TERMINAL CU PARA CABLE 2/0 AWG</t>
  </si>
  <si>
    <t>CABLE COBRE DESNUDO CU 2/0 AWG</t>
  </si>
  <si>
    <t>SANITARIO</t>
  </si>
  <si>
    <t>FILTROS</t>
  </si>
  <si>
    <t>HIDRÁULICO</t>
  </si>
  <si>
    <t>VÁLVULA DE BAY-PASS MARIPOSA 1/2" PARA TANQUE DE ALMACENAMIENTO. INCLUYE CAJA DE REGISTRO</t>
  </si>
  <si>
    <t>TANQUE DE ALMACENAMIENTO 500 LITROS</t>
  </si>
  <si>
    <t>PUNTO DE CONEXIÓN MEDIDOR. INCLUYE (VÁLVULA DE PASO DE MEDIDOR PRINCIPAL, CHEQUE)</t>
  </si>
  <si>
    <t>CAJA EN CONCRETO PARA MEDIDOR. TAPA EN HIERRO FUNDIDO</t>
  </si>
  <si>
    <t>SUMIDERO VERTICAL SEGÚN (NORMA EPM, NC-AS-IL02-17/NEGC 818-01)</t>
  </si>
  <si>
    <t>AGUAS LLUVIAS</t>
  </si>
  <si>
    <t>TRANSFORMADOR</t>
  </si>
  <si>
    <t>MURO CORTAFUEGO DE (5 METROS DE ALTO X 5,6 METROS LARGO Y 15CM ESPESOR)</t>
  </si>
  <si>
    <t>PINTURA EPOXICA COLOR GRIS PARA LOSA DE CONTRAPISO QUE NO VAYA EN BALDOSA NI CERAMICA</t>
  </si>
  <si>
    <t>TAPA TIPO B (DIMENSIÓN VARIABLE)</t>
  </si>
  <si>
    <t>CÁRCAMOS</t>
  </si>
  <si>
    <t>TRAMPA DE ACEITE PARA TRANSFORMADOR DE 6,5 M3 ( DETALLE SEGÚN PLANOS). INCLUYE CAMARA PARA LA VÁLVULA. IMPERMEABILIZACIÓN INTEGRAL, TAPAS Y ACCESORIOS.</t>
  </si>
  <si>
    <t>TAPA TIPO C (86 X 16 X 1018 X 1216) (ESQUINERA SEGÚN PLANOS)</t>
  </si>
  <si>
    <t>COLUMNAS 25X25 CM (SOPORTE PARA PUERTA)</t>
  </si>
  <si>
    <t>1</t>
  </si>
  <si>
    <t>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</si>
  <si>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</si>
  <si>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</si>
  <si>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</si>
  <si>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</si>
  <si>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</si>
  <si>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</si>
  <si>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</si>
  <si>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</si>
  <si>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</si>
  <si>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</si>
  <si>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</si>
  <si>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</si>
  <si>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</si>
  <si>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</si>
  <si>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</si>
  <si>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</si>
  <si>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</si>
  <si>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</si>
  <si>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</si>
  <si>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</si>
  <si>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</si>
  <si>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</si>
  <si>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</si>
  <si>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</si>
  <si>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</si>
  <si>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</si>
  <si>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</si>
  <si>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</si>
  <si>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</si>
  <si>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</si>
  <si>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</si>
  <si>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</si>
  <si>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</si>
  <si>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</si>
  <si>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</si>
  <si>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</si>
  <si>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</si>
  <si>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</si>
  <si>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</si>
  <si>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</si>
  <si>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</si>
  <si>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</si>
  <si>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</si>
  <si>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</si>
  <si>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</si>
  <si>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</si>
  <si>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</si>
  <si>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</si>
  <si>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</si>
  <si>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</si>
  <si>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</si>
  <si>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</si>
  <si>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</si>
  <si>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</si>
  <si>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</si>
  <si>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</si>
  <si>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</si>
  <si>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</si>
  <si>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</si>
  <si>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</si>
  <si>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</si>
  <si>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</si>
  <si>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</si>
  <si>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</si>
  <si>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</si>
  <si>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</si>
  <si>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</si>
  <si>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</si>
  <si>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</si>
  <si>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</si>
  <si>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</si>
  <si>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</si>
  <si>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</si>
  <si>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</si>
  <si>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</si>
  <si>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078</t>
  </si>
  <si>
    <t>079</t>
  </si>
  <si>
    <t>080</t>
  </si>
  <si>
    <t>081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</si>
  <si>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</si>
  <si>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</si>
  <si>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</si>
  <si>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</si>
  <si>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</si>
  <si>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</si>
  <si>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</si>
  <si>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</si>
  <si>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</si>
  <si>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</si>
  <si>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CERTIFICACION RITEL</t>
  </si>
  <si>
    <t>CABLE COBRE DESNUDO CU 1/0 AWG</t>
  </si>
  <si>
    <t>https://selinc.com/es/products/351/</t>
  </si>
  <si>
    <t>https://energiaputumayo.com/testimonial/solicitud-publica-de-oferta-no-002-2024/</t>
  </si>
  <si>
    <t>MO-1</t>
  </si>
  <si>
    <t>MO-2</t>
  </si>
  <si>
    <t>TV-2</t>
  </si>
  <si>
    <t>TV-3</t>
  </si>
  <si>
    <t>TV-4</t>
  </si>
  <si>
    <t>TV-5</t>
  </si>
  <si>
    <t>pendiente</t>
  </si>
  <si>
    <t>EH-1</t>
  </si>
  <si>
    <t>EH-3</t>
  </si>
  <si>
    <t>EH-6</t>
  </si>
  <si>
    <t>Casco dielectrico Tipo 1 Clase E con barbuquejo</t>
  </si>
  <si>
    <t>MA-01</t>
  </si>
  <si>
    <t>TRANSFORMADOR DE POTENCIA DE 5/6.25 MVA, REFRIGERACIÓN ONAN/ONAF, 34.5/13.8 KV, CONEXIÓN DYN5, CON ACCESORIOS DE CONTROL Y PROTECCIÓN INCLUYENDO: TERMÓMETROS CON CONTACTOS, NIVEL DE ACEITE CON CONTACTOS, VÁLVULA QUALITROL, RELÉ DE BUCHHOLZ, TANQUE DE EXPANSIÓN, SECADORES DE AIRE, VENTILADORES, TABLERO DE CONEXIONES ACOPLADO, CAMBIADOR DE TAP`S DE OPERACIÓN SIN CARGA EN 34.5 KV.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</si>
  <si>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</si>
  <si>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</si>
  <si>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</si>
  <si>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</si>
  <si>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</si>
  <si>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</si>
  <si>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</si>
  <si>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</si>
  <si>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MA-10</t>
  </si>
  <si>
    <t>MA-11</t>
  </si>
  <si>
    <t>MA-12</t>
  </si>
  <si>
    <t>MA-13</t>
  </si>
  <si>
    <t>MA-14</t>
  </si>
  <si>
    <t>MA-15</t>
  </si>
  <si>
    <t>SECCIONADOR TRIPOLAR MOTORIZADO CON CUCHILLA DE PUESTA A TIERRA MOTORIZADA UM:38 KV, IN: 630A, ISC:12.5KA MIN, LIWV:95KV. INCLUYE: BRAZO DE MANDO MANUAL A LA ALTURA APROPIADA</t>
  </si>
  <si>
    <t>SECCIONADOR TRIPOLAR MOTORIZADO SIN CUCHILLA DE PUESTA A TIERRA. UM:38 KV, IN: 630A, ISC:12.5KA MIN, LIWV:95KV. INCLUYE: BRAZO DE MANDO MANUAL A LA ALTURA APROPIADA</t>
  </si>
  <si>
    <t>TRANSFORMADOR DE TENSIÓN. USO EXTERIOR. NUCLEO SENCILLO. (N1: 34,5√3/115√3. CL 0.5,  1 VA).</t>
  </si>
  <si>
    <t>MEDIDOR DE ENERGÍA KWH-KVARH  CL 0.5S, DE CONEXIÓN INDIRECTA, MULTIFUNCIONAL CON INSTRUMENTACIÓN Y CURVA DE CARGA, MÍNIMO 8 CANALES, PUERTO ETERNET Y DOS PUERTOS SERIALES, CALIBRADO EN KWH Y KVARH CUATRO CUADRANTES Y BORNERAS CORTOCIRCUITABLES (+Q01A, +Q03A). INCLUYE PRUEBAS DE CALIBRACIÓN POR LABORATORIO ACREDITADO.</t>
  </si>
  <si>
    <t>RELÉ  (FUNCIONES: 50, 51, 50N, 51N, 50BFE1/E2,25, 27,59, 74, 79, 67, 67N, 81). PUERTO DE COMUNICACIÓN PARA FIBRA ÓPTICA, PROTOCOLO DE COMUNICACIÓN 61850. PANTALLA TACTIL (IHM). PARA LA BAHÍA DE LÍNEA</t>
  </si>
  <si>
    <t>RELE (FUNCIONES: 50,  51, 50N, 51N,50BFE1,E2,27,59,26,49,63,71,96,33,63Q). PUERTO DE COMUNICACIÓN PARA FIBRA ÓPTICA, PROTOCOLO DE COMUNICACIÓN 61850. PANTALLA TACTIL (IHM). PARA LA BAHÍA DE TRANSFORMADOR</t>
  </si>
  <si>
    <t>MA-16</t>
  </si>
  <si>
    <t>MA-17</t>
  </si>
  <si>
    <t>MA-18</t>
  </si>
  <si>
    <t>Link</t>
  </si>
  <si>
    <t>MA-19</t>
  </si>
  <si>
    <t>MA-20</t>
  </si>
  <si>
    <t>MA-21</t>
  </si>
  <si>
    <t>MA-22</t>
  </si>
  <si>
    <t>MA-23</t>
  </si>
  <si>
    <t>MA-24</t>
  </si>
  <si>
    <t>MA-25</t>
  </si>
  <si>
    <t>MA-26</t>
  </si>
  <si>
    <t>MA-27</t>
  </si>
  <si>
    <t>POSTE DE CONCRETO 14 m 1050 KG</t>
  </si>
  <si>
    <t>CABLE ACSR 4/0 AWG PARA CONEXIÓN ENTRE EQUIPOS</t>
  </si>
  <si>
    <t>CABLE AAAC 465.4Kcmil – CAIRO PARA BARRAJE</t>
  </si>
  <si>
    <t>CABLE DE CONTROL APANTALLADO 7x10 AWG Cu- TC-THHN/THWN - ER- 600 V</t>
  </si>
  <si>
    <t>CABLE DE CONTROL APANTALLADO 7x14 AWG Cu- TC-THHN/THWN - 600 V</t>
  </si>
  <si>
    <t>CABLE 3x10 AWG Cu- TC-THHN/THWN - 600 V</t>
  </si>
  <si>
    <t>CABLE DE CONTROL APANTALLADO 19x14 Cu- TC-THHN/THWN- ER-600 V</t>
  </si>
  <si>
    <t>GRAPA DE RETENCIÓN TIPO PISTOLA DE 6-4/0 DE 3 UES EN ALUMINIO</t>
  </si>
  <si>
    <t>GRAPA DE OPERAR EN CALIENTE CONDUCTOR AWG-MCM 6 - 400 DIÁMETRO 4 - 13,5 MM</t>
  </si>
  <si>
    <t>CONDULETA TIPO LR DE 1 1/4"</t>
  </si>
  <si>
    <t>CORAZA METÁLICA LIQUID TIGHT DE 1 1/4"</t>
  </si>
  <si>
    <t>CONECTOR RECTO LIQUID TIGHT DE 1 1/4"</t>
  </si>
  <si>
    <t>TUBERÍA PVC 1 1/4"</t>
  </si>
  <si>
    <t>CURVA PVC 1 1/4"</t>
  </si>
  <si>
    <t>HEBILLA DE ACERO INOXIDABLE. DIMENSIONES 15.87 MM (REF. EH = 1292)</t>
  </si>
  <si>
    <t>MA-28</t>
  </si>
  <si>
    <t>MA-29</t>
  </si>
  <si>
    <t>MA-30</t>
  </si>
  <si>
    <t>MA-31</t>
  </si>
  <si>
    <t>MA-32</t>
  </si>
  <si>
    <t>MA-33</t>
  </si>
  <si>
    <t>MA-34</t>
  </si>
  <si>
    <t>MA-35</t>
  </si>
  <si>
    <t>MA-36</t>
  </si>
  <si>
    <t>MA-37</t>
  </si>
  <si>
    <t>MA-38</t>
  </si>
  <si>
    <t>MA-39</t>
  </si>
  <si>
    <t>MA-40</t>
  </si>
  <si>
    <t>MA-41</t>
  </si>
  <si>
    <t>MA-42</t>
  </si>
  <si>
    <t>https://www.comdiel.cl/cable-fibra-optica-multimodo-exterior-24-fibras-om3-lszh?srsltid=AfmBOopOxT_YDy_JyXaH6EZHofJndYZUhiUW0RL_HanBHL9hkPOXK0_Z</t>
  </si>
  <si>
    <t>https://interelectricas.com.co/cable-de-instrumentacion-control/10541-cable-instrumentacion-7x12-awg-gris-apantallado-con-foil-600v-90-grados-dw-12-awg-chaqfr-pvc-resistuv-8bbp107109-i2-241120.html</t>
  </si>
  <si>
    <t>https://interelectricas.com.co/cable-de-instrumentacion-control/10546-cable-instrumentacion-7x14-awg-gris-apantallado-con-foil-600v-90-grados-dw-18-awg-chaqfr-pvc-resistuv-8bcp107109-i2-241120.html</t>
  </si>
  <si>
    <t>https://ingecomsas.com/producto/cable-encauchetado-3x10-centelsa/</t>
  </si>
  <si>
    <t>https://interelectricas.com.co/pararrayos/2845-pararrayo-polimerico-36kv-10ka-sin-herraje.html</t>
  </si>
  <si>
    <t>https://interelectricas.com.co/cortacircuitos-y-proteccion-contra-rayos/2644-pararrayo-polimerico-15kv-10ka.html</t>
  </si>
  <si>
    <t>Volqueta</t>
  </si>
  <si>
    <t>ED-6</t>
  </si>
  <si>
    <t>ED-7</t>
  </si>
  <si>
    <t>TV-6</t>
  </si>
  <si>
    <t>Retroexcavadora</t>
  </si>
  <si>
    <t>https://interelectricas.com.co/grapa-retencion/2885-grapa-retencion-aluminio-tipo-pistola-1-0-266-awg-3-ues.html</t>
  </si>
  <si>
    <t>https://interelectricas.com.co/aisladores/2970-aislador-suspension-10-ansi-52-4-ansi-52-4.html</t>
  </si>
  <si>
    <t>https://interelectricas.com.co/aisladores/1825-aislador-tipo-pin-o-para-espigo-de-34-5-kv-ansi-56-3.html</t>
  </si>
  <si>
    <t>https://interelectricas.com.co/herrajes-electricos/13-abrazadera-o-collarin-de-2-dos-salidas-7-8-pl-1-4-idem-180-mm.html</t>
  </si>
  <si>
    <t>https://interelectricas.com.co/herrajes-electricos/2405-abrazadera-o-collarin-de-2-dos-salidas-10-11-pl-1-4-idem-240-mm.html</t>
  </si>
  <si>
    <t>https://interelectricas.com.co/collarines-dos-salidas/10375-abrazadera-o-collarin-de-2-dos-salidas-11-12-platina-1-4-pulgada-280-mm.html</t>
  </si>
  <si>
    <t>https://edelco.co/producto/cruceta-metalica-de-6-00-mts-3-x-3-x-1-4/?srsltid=AfmBOoqz5z8FW7naYbdZ7ujXYt8ZocEtWebPM92yPcy0DlncWGxFd0kI</t>
  </si>
  <si>
    <t>https://interelectricas.com.co/herrajes-electricos/50-esparrago-de-5-8-x-16-4-t.html</t>
  </si>
  <si>
    <t>https://edelco.co/producto/grapa-de-operar-en-caliente-aluminio/?srsltid=AfmBOor3_12iyoeksqg9zdDRVfZriRBzsXlzXIl4RnW5E_avlI5oIcbF</t>
  </si>
  <si>
    <t>https://interelectricas.com.co/herrajes-electricos/1-tuerca-de-ojo-alargado-de-5-8.html</t>
  </si>
  <si>
    <t>https://interelectricas.com.co/tuberia-metalica-y-pvc/2322-tubo-metalico-imc-de-11-4-pulgadas-x-3-mts-con-union.html</t>
  </si>
  <si>
    <t>https://interelectricas.com.co/postes-de-concreto-y-metalicos/2402-poste-de-concreto-pretensado-de-14-metros-1050-kg.html</t>
  </si>
  <si>
    <t>MALLA ELECTROSOLDADA 4 mm</t>
  </si>
  <si>
    <t>CONCRETO DE 3000 PSI</t>
  </si>
  <si>
    <t>EXCAVACIÓN EN MATERIAL COMÚN BAJO AGUA DE 0 - 2 M MANUAL</t>
  </si>
  <si>
    <t>MA-43</t>
  </si>
  <si>
    <t>MA-44</t>
  </si>
  <si>
    <t>MA-45</t>
  </si>
  <si>
    <t>apus_caldas_2021_1</t>
  </si>
  <si>
    <t>VARILLA DE REFUERZO</t>
  </si>
  <si>
    <t>MA-46</t>
  </si>
  <si>
    <t>https://www.homecenter.com.co/homecenter-co/product/73638/varilla-corrugada-g60-w-5-5-8-pulg-x-6m/73638/</t>
  </si>
  <si>
    <t>file:///D:/04.%20DISE%C3%91O%203%20(L.G)/13.%20ID20200070%20-%20%20S.E.%20BARAYA/154/APUs%20Gobernaci%C3%B3n%20de%20Risaralda.pdf</t>
  </si>
  <si>
    <t>Precio Aproximado</t>
  </si>
  <si>
    <t>cotización ie cinco sas</t>
  </si>
  <si>
    <t>Peso chileno</t>
  </si>
  <si>
    <t>Dólar Americano</t>
  </si>
  <si>
    <t>Valor</t>
  </si>
  <si>
    <t>Euro</t>
  </si>
  <si>
    <t>Índice de Precios del Productor (IPP)</t>
  </si>
  <si>
    <t>yyyy/mm/dd</t>
  </si>
  <si>
    <t>Índice</t>
  </si>
  <si>
    <t>1999/06/30</t>
  </si>
  <si>
    <t>1999/07/31</t>
  </si>
  <si>
    <t>1999/08/31</t>
  </si>
  <si>
    <t>1999/09/30</t>
  </si>
  <si>
    <t>1999/10/31</t>
  </si>
  <si>
    <t>1999/11/30</t>
  </si>
  <si>
    <t>1999/12/31</t>
  </si>
  <si>
    <t>2000/01/31</t>
  </si>
  <si>
    <t>2000/02/29</t>
  </si>
  <si>
    <t>2000/03/31</t>
  </si>
  <si>
    <t>2000/04/30</t>
  </si>
  <si>
    <t>2000/05/31</t>
  </si>
  <si>
    <t>2000/06/30</t>
  </si>
  <si>
    <t>2000/07/31</t>
  </si>
  <si>
    <t>2000/08/31</t>
  </si>
  <si>
    <t>2000/09/30</t>
  </si>
  <si>
    <t>2000/10/31</t>
  </si>
  <si>
    <t>2000/11/30</t>
  </si>
  <si>
    <t>2000/12/31</t>
  </si>
  <si>
    <t>2001/01/31</t>
  </si>
  <si>
    <t>2001/02/28</t>
  </si>
  <si>
    <t>2001/03/31</t>
  </si>
  <si>
    <t>2001/04/30</t>
  </si>
  <si>
    <t>2001/05/31</t>
  </si>
  <si>
    <t>2001/06/30</t>
  </si>
  <si>
    <t>2001/07/31</t>
  </si>
  <si>
    <t>2001/08/31</t>
  </si>
  <si>
    <t>2001/09/30</t>
  </si>
  <si>
    <t>2001/10/31</t>
  </si>
  <si>
    <t>2001/11/30</t>
  </si>
  <si>
    <t>2001/12/31</t>
  </si>
  <si>
    <t>2002/01/31</t>
  </si>
  <si>
    <t>2002/02/28</t>
  </si>
  <si>
    <t>2002/03/31</t>
  </si>
  <si>
    <t>2002/04/30</t>
  </si>
  <si>
    <t>2002/05/31</t>
  </si>
  <si>
    <t>2002/06/30</t>
  </si>
  <si>
    <t>2002/07/31</t>
  </si>
  <si>
    <t>2002/08/31</t>
  </si>
  <si>
    <t>2002/09/30</t>
  </si>
  <si>
    <t>2002/10/31</t>
  </si>
  <si>
    <t>2002/11/30</t>
  </si>
  <si>
    <t>2002/12/31</t>
  </si>
  <si>
    <t>2003/01/31</t>
  </si>
  <si>
    <t>2003/02/28</t>
  </si>
  <si>
    <t>2003/03/31</t>
  </si>
  <si>
    <t>2003/04/30</t>
  </si>
  <si>
    <t>2003/05/31</t>
  </si>
  <si>
    <t>2003/06/30</t>
  </si>
  <si>
    <t>2003/07/31</t>
  </si>
  <si>
    <t>2003/08/31</t>
  </si>
  <si>
    <t>2003/09/30</t>
  </si>
  <si>
    <t>2003/10/31</t>
  </si>
  <si>
    <t>2003/11/30</t>
  </si>
  <si>
    <t>2003/12/31</t>
  </si>
  <si>
    <t>2004/01/31</t>
  </si>
  <si>
    <t>2004/02/29</t>
  </si>
  <si>
    <t>2004/03/31</t>
  </si>
  <si>
    <t>2004/04/30</t>
  </si>
  <si>
    <t>2004/05/31</t>
  </si>
  <si>
    <t>2004/06/30</t>
  </si>
  <si>
    <t>2004/07/31</t>
  </si>
  <si>
    <t>2004/08/31</t>
  </si>
  <si>
    <t>2004/09/30</t>
  </si>
  <si>
    <t>2004/10/31</t>
  </si>
  <si>
    <t>2004/11/30</t>
  </si>
  <si>
    <t>2004/12/31</t>
  </si>
  <si>
    <t>2005/01/31</t>
  </si>
  <si>
    <t>2005/02/28</t>
  </si>
  <si>
    <t>2005/03/31</t>
  </si>
  <si>
    <t>2005/04/30</t>
  </si>
  <si>
    <t>2005/05/31</t>
  </si>
  <si>
    <t>2005/06/30</t>
  </si>
  <si>
    <t>2005/07/31</t>
  </si>
  <si>
    <t>2005/08/31</t>
  </si>
  <si>
    <t>2005/09/30</t>
  </si>
  <si>
    <t>2005/10/31</t>
  </si>
  <si>
    <t>2005/11/30</t>
  </si>
  <si>
    <t>2005/12/31</t>
  </si>
  <si>
    <t>2006/01/31</t>
  </si>
  <si>
    <t>2006/02/28</t>
  </si>
  <si>
    <t>2006/03/31</t>
  </si>
  <si>
    <t>2006/04/30</t>
  </si>
  <si>
    <t>2006/05/31</t>
  </si>
  <si>
    <t>2006/06/30</t>
  </si>
  <si>
    <t>2006/07/31</t>
  </si>
  <si>
    <t>2006/08/31</t>
  </si>
  <si>
    <t>2006/09/30</t>
  </si>
  <si>
    <t>2006/10/31</t>
  </si>
  <si>
    <t>2006/11/30</t>
  </si>
  <si>
    <t>2006/12/31</t>
  </si>
  <si>
    <t>2007/01/31</t>
  </si>
  <si>
    <t>2007/02/28</t>
  </si>
  <si>
    <t>2007/03/31</t>
  </si>
  <si>
    <t>2007/04/30</t>
  </si>
  <si>
    <t>2007/05/31</t>
  </si>
  <si>
    <t>2007/06/30</t>
  </si>
  <si>
    <t>2007/07/31</t>
  </si>
  <si>
    <t>2007/08/31</t>
  </si>
  <si>
    <t>2007/09/30</t>
  </si>
  <si>
    <t>2007/10/31</t>
  </si>
  <si>
    <t>2007/11/30</t>
  </si>
  <si>
    <t>2007/12/31</t>
  </si>
  <si>
    <t>2008/01/31</t>
  </si>
  <si>
    <t>2008/02/29</t>
  </si>
  <si>
    <t>2008/03/31</t>
  </si>
  <si>
    <t>2008/04/30</t>
  </si>
  <si>
    <t>2008/05/31</t>
  </si>
  <si>
    <t>2008/06/30</t>
  </si>
  <si>
    <t>2008/07/31</t>
  </si>
  <si>
    <t>2008/08/31</t>
  </si>
  <si>
    <t>2008/09/30</t>
  </si>
  <si>
    <t>2008/10/31</t>
  </si>
  <si>
    <t>2008/11/30</t>
  </si>
  <si>
    <t>2008/12/31</t>
  </si>
  <si>
    <t>2009/01/31</t>
  </si>
  <si>
    <t>2009/02/28</t>
  </si>
  <si>
    <t>2009/03/31</t>
  </si>
  <si>
    <t>2009/04/30</t>
  </si>
  <si>
    <t>2009/05/31</t>
  </si>
  <si>
    <t>2009/06/30</t>
  </si>
  <si>
    <t>2009/07/31</t>
  </si>
  <si>
    <t>2009/08/31</t>
  </si>
  <si>
    <t>2009/09/30</t>
  </si>
  <si>
    <t>2009/10/31</t>
  </si>
  <si>
    <t>2009/11/30</t>
  </si>
  <si>
    <t>2009/12/31</t>
  </si>
  <si>
    <t>2010/01/31</t>
  </si>
  <si>
    <t>2010/02/28</t>
  </si>
  <si>
    <t>2010/03/31</t>
  </si>
  <si>
    <t>2010/04/30</t>
  </si>
  <si>
    <t>2010/05/31</t>
  </si>
  <si>
    <t>2010/06/30</t>
  </si>
  <si>
    <t>2010/07/31</t>
  </si>
  <si>
    <t>2010/08/31</t>
  </si>
  <si>
    <t>2010/09/30</t>
  </si>
  <si>
    <t>2010/10/31</t>
  </si>
  <si>
    <t>2010/11/30</t>
  </si>
  <si>
    <t>2010/12/31</t>
  </si>
  <si>
    <t>2011/01/31</t>
  </si>
  <si>
    <t>2011/02/28</t>
  </si>
  <si>
    <t>2011/03/31</t>
  </si>
  <si>
    <t>2011/04/30</t>
  </si>
  <si>
    <t>2011/05/31</t>
  </si>
  <si>
    <t>2011/06/30</t>
  </si>
  <si>
    <t>2011/07/31</t>
  </si>
  <si>
    <t>2011/08/31</t>
  </si>
  <si>
    <t>2011/09/30</t>
  </si>
  <si>
    <t>2011/10/31</t>
  </si>
  <si>
    <t>2011/11/30</t>
  </si>
  <si>
    <t>2011/12/31</t>
  </si>
  <si>
    <t>2012/01/31</t>
  </si>
  <si>
    <t>2012/02/29</t>
  </si>
  <si>
    <t>2012/03/31</t>
  </si>
  <si>
    <t>2012/04/30</t>
  </si>
  <si>
    <t>2012/05/31</t>
  </si>
  <si>
    <t>2012/06/30</t>
  </si>
  <si>
    <t>2012/07/31</t>
  </si>
  <si>
    <t>2012/08/31</t>
  </si>
  <si>
    <t>2012/09/30</t>
  </si>
  <si>
    <t>2012/10/31</t>
  </si>
  <si>
    <t>2012/11/30</t>
  </si>
  <si>
    <t>2012/12/31</t>
  </si>
  <si>
    <t>2013/01/31</t>
  </si>
  <si>
    <t>2013/02/28</t>
  </si>
  <si>
    <t>2013/03/31</t>
  </si>
  <si>
    <t>2013/04/30</t>
  </si>
  <si>
    <t>2013/05/31</t>
  </si>
  <si>
    <t>2013/06/30</t>
  </si>
  <si>
    <t>2013/07/31</t>
  </si>
  <si>
    <t>2013/08/31</t>
  </si>
  <si>
    <t>2013/09/30</t>
  </si>
  <si>
    <t>2013/10/31</t>
  </si>
  <si>
    <t>2013/11/30</t>
  </si>
  <si>
    <t>2013/12/31</t>
  </si>
  <si>
    <t>2014/01/31</t>
  </si>
  <si>
    <t>2014/02/28</t>
  </si>
  <si>
    <t>2014/03/31</t>
  </si>
  <si>
    <t>2014/04/30</t>
  </si>
  <si>
    <t>2014/05/31</t>
  </si>
  <si>
    <t>2014/06/30</t>
  </si>
  <si>
    <t>2014/07/31</t>
  </si>
  <si>
    <t>2014/08/31</t>
  </si>
  <si>
    <t>2014/09/30</t>
  </si>
  <si>
    <t>2014/10/31</t>
  </si>
  <si>
    <t>2014/11/30</t>
  </si>
  <si>
    <t>2014/12/31</t>
  </si>
  <si>
    <t>2015/01/31</t>
  </si>
  <si>
    <t>2015/02/28</t>
  </si>
  <si>
    <t>2015/03/31</t>
  </si>
  <si>
    <t>2015/04/30</t>
  </si>
  <si>
    <t>2015/05/31</t>
  </si>
  <si>
    <t>2015/06/30</t>
  </si>
  <si>
    <t>2015/07/31</t>
  </si>
  <si>
    <t>2015/08/31</t>
  </si>
  <si>
    <t>2015/09/30</t>
  </si>
  <si>
    <t>2015/10/31</t>
  </si>
  <si>
    <t>2015/11/30</t>
  </si>
  <si>
    <t>2015/12/31</t>
  </si>
  <si>
    <t>2016/01/31</t>
  </si>
  <si>
    <t>2016/02/29</t>
  </si>
  <si>
    <t>2016/03/31</t>
  </si>
  <si>
    <t>2016/04/30</t>
  </si>
  <si>
    <t>2016/05/31</t>
  </si>
  <si>
    <t>2016/06/30</t>
  </si>
  <si>
    <t>2016/07/31</t>
  </si>
  <si>
    <t>2016/08/31</t>
  </si>
  <si>
    <t>2016/09/30</t>
  </si>
  <si>
    <t>2016/10/31</t>
  </si>
  <si>
    <t>2016/11/30</t>
  </si>
  <si>
    <t>2016/12/31</t>
  </si>
  <si>
    <t>2017/01/31</t>
  </si>
  <si>
    <t>2017/02/28</t>
  </si>
  <si>
    <t>2017/03/31</t>
  </si>
  <si>
    <t>2017/04/30</t>
  </si>
  <si>
    <t>2017/05/31</t>
  </si>
  <si>
    <t>2017/06/30</t>
  </si>
  <si>
    <t>2017/07/31</t>
  </si>
  <si>
    <t>2017/08/31</t>
  </si>
  <si>
    <t>2017/09/30</t>
  </si>
  <si>
    <t>2017/10/31</t>
  </si>
  <si>
    <t>2017/11/30</t>
  </si>
  <si>
    <t>2017/12/31</t>
  </si>
  <si>
    <t>2018/01/31</t>
  </si>
  <si>
    <t>2018/02/28</t>
  </si>
  <si>
    <t>2018/03/31</t>
  </si>
  <si>
    <t>2018/04/30</t>
  </si>
  <si>
    <t>2018/05/31</t>
  </si>
  <si>
    <t>2018/06/30</t>
  </si>
  <si>
    <t>2018/07/31</t>
  </si>
  <si>
    <t>2018/08/31</t>
  </si>
  <si>
    <t>2018/09/30</t>
  </si>
  <si>
    <t>2018/10/31</t>
  </si>
  <si>
    <t>2018/11/30</t>
  </si>
  <si>
    <t>2018/12/31</t>
  </si>
  <si>
    <t>2019/01/31</t>
  </si>
  <si>
    <t>2019/02/28</t>
  </si>
  <si>
    <t>2019/03/31</t>
  </si>
  <si>
    <t>2019/04/30</t>
  </si>
  <si>
    <t>2019/05/31</t>
  </si>
  <si>
    <t>2019/06/30</t>
  </si>
  <si>
    <t>2019/07/31</t>
  </si>
  <si>
    <t>2019/08/31</t>
  </si>
  <si>
    <t>2019/09/30</t>
  </si>
  <si>
    <t>2019/10/31</t>
  </si>
  <si>
    <t>2019/11/30</t>
  </si>
  <si>
    <t>2019/12/31</t>
  </si>
  <si>
    <t>2020/01/31</t>
  </si>
  <si>
    <t>2020/02/29</t>
  </si>
  <si>
    <t>2020/03/31</t>
  </si>
  <si>
    <t>2020/04/30</t>
  </si>
  <si>
    <t>2020/05/31</t>
  </si>
  <si>
    <t>2020/06/30</t>
  </si>
  <si>
    <t>2020/07/31</t>
  </si>
  <si>
    <t>2020/08/31</t>
  </si>
  <si>
    <t>2020/09/30</t>
  </si>
  <si>
    <t>2020/10/31</t>
  </si>
  <si>
    <t>2020/11/30</t>
  </si>
  <si>
    <t>2020/12/31</t>
  </si>
  <si>
    <t>2021/01/31</t>
  </si>
  <si>
    <t>2021/02/28</t>
  </si>
  <si>
    <t>2021/03/31</t>
  </si>
  <si>
    <t>2021/04/30</t>
  </si>
  <si>
    <t>2021/05/31</t>
  </si>
  <si>
    <t>2021/06/30</t>
  </si>
  <si>
    <t>2021/07/31</t>
  </si>
  <si>
    <t>2021/08/31</t>
  </si>
  <si>
    <t>2021/09/30</t>
  </si>
  <si>
    <t>2021/10/31</t>
  </si>
  <si>
    <t>2021/11/30</t>
  </si>
  <si>
    <t>2021/12/31</t>
  </si>
  <si>
    <t>2022/01/31</t>
  </si>
  <si>
    <t>2022/02/28</t>
  </si>
  <si>
    <t>2022/03/31</t>
  </si>
  <si>
    <t>2022/04/30</t>
  </si>
  <si>
    <t>2022/05/31</t>
  </si>
  <si>
    <t>2022/06/30</t>
  </si>
  <si>
    <t>2022/07/31</t>
  </si>
  <si>
    <t>2022/08/31</t>
  </si>
  <si>
    <t>2022/09/30</t>
  </si>
  <si>
    <t>2022/10/31</t>
  </si>
  <si>
    <t>2022/11/30</t>
  </si>
  <si>
    <t>2022/12/31</t>
  </si>
  <si>
    <t>2023/01/31</t>
  </si>
  <si>
    <t>2023/02/28</t>
  </si>
  <si>
    <t>2023/03/31</t>
  </si>
  <si>
    <t>2023/04/30</t>
  </si>
  <si>
    <t>2023/05/31</t>
  </si>
  <si>
    <t>2023/06/30</t>
  </si>
  <si>
    <t>2023/07/31</t>
  </si>
  <si>
    <t>2023/08/31</t>
  </si>
  <si>
    <t>2023/09/30</t>
  </si>
  <si>
    <t>2023/10/31</t>
  </si>
  <si>
    <t>2023/11/30</t>
  </si>
  <si>
    <t>2023/12/31</t>
  </si>
  <si>
    <t>2024/01/31</t>
  </si>
  <si>
    <t>2024/02/29</t>
  </si>
  <si>
    <t>2024/03/31</t>
  </si>
  <si>
    <t>2024/04/30</t>
  </si>
  <si>
    <t>2024/05/31</t>
  </si>
  <si>
    <t>2024/06/30</t>
  </si>
  <si>
    <t>2024/07/31</t>
  </si>
  <si>
    <t>2024/08/31</t>
  </si>
  <si>
    <t>2024/09/30</t>
  </si>
  <si>
    <t>2024/10/31</t>
  </si>
  <si>
    <t>2024/11/30</t>
  </si>
  <si>
    <t>2024/12/31</t>
  </si>
  <si>
    <t>2025/01/31</t>
  </si>
  <si>
    <t/>
  </si>
  <si>
    <t>Descargado de sistema del Banco de la República viernes, 7 de febrero de 2025 1:51:54 p. m.</t>
  </si>
  <si>
    <t>LÁMPARA LED</t>
  </si>
  <si>
    <t>https://library.e.abb.com/public/50cc73ad0d8e4ba6865c045826dc2f05/EL_CO_2022_09_LISTA%20DE%20PRECIOS%20SEP.pdf</t>
  </si>
  <si>
    <t>https://edelco.co/producto/canaleta-ranurada-40-x-60-mm-x-2-00-mts-gris/?srsltid=AfmBOoqvhTSUJXrQuW2aS11-DQhcCgHpNx5sw4G8xMtrYQQAcFT7RGlh</t>
  </si>
  <si>
    <t>CANALETAS RANURADA 40X60 MM</t>
  </si>
  <si>
    <t>https://www.proelectrico.com/wp-content/uploads/2024/10/Lista-de-Precios-2024.pdf</t>
  </si>
  <si>
    <t>Peso Mexicano</t>
  </si>
  <si>
    <t>https://indeq.mx/products/2007-8874_wago?srsltid=AfmBOoqMCX4DEwTRrdD6rjJ4kbnuJzcZ_7UTCwmRHF9Ur0cCQfLdsPG6</t>
  </si>
  <si>
    <t>https://interelectricas.com.co/breakers/1251-breaker-abb-riel-monopolar-1x-20-amp-6ka.html</t>
  </si>
  <si>
    <t>MA-47</t>
  </si>
  <si>
    <t>MA-48</t>
  </si>
  <si>
    <t>MA-49</t>
  </si>
  <si>
    <t>MA-50</t>
  </si>
  <si>
    <t>MA-51</t>
  </si>
  <si>
    <t>MA-52</t>
  </si>
  <si>
    <t>MA-53</t>
  </si>
  <si>
    <t>MA-54</t>
  </si>
  <si>
    <t>https://autosolar.co/accesorios/medidor-bidireccional-elster-a1800?srsltid=AfmBOooDyoZ8fuMQZLwNErLrcR0phKpWED1SeYthFv3BnYjQ0ZN-_SK3</t>
  </si>
  <si>
    <t>TABLERO AUTOSOPORTADO DE FABRICACIÓN ESPECIAL. DE USO INTERIOR. IP 65. LAMINA DE ACERO GALVANIZADA CALIBRE 18. PARA ALBERGAR HASTA 6 EQUIPOS DE MEDIDA SEMIDIRECTA</t>
  </si>
  <si>
    <t xml:space="preserve">EQUIPOS DE MEDIDA Y CALIDAD 34,5 kV </t>
  </si>
  <si>
    <t>https://www.dartel.cl/cable-control-19x14-awg-apantallado-l-h-rz1oz1-r-06-1kv-ne-15364079-ascable/p</t>
  </si>
  <si>
    <t>https://www.comercialvoltex.com/cable-de-aluminio-desnudo-cairo-2358mm2-19h?srsltid=AfmBOorbpMtA8DvXmg-4_AwIQTWnE-S39PGXS-yc9vBb8xDCcfU0Ebna</t>
  </si>
  <si>
    <t>https://library.e.abb.com/public/2d5168643b254398924091c3c1a2bd6c/Lista%20de%20Precios%20EL%20ABB%20Chile%20Media%20Tension.pdf?x-sign=ZJKue/Z677X7jWkIvZMTxAEnbHiIE2kTsCwvxniKQViAircjFw29m/zuDKliB3Tz</t>
  </si>
  <si>
    <t>MA-55</t>
  </si>
  <si>
    <t>MA-56</t>
  </si>
  <si>
    <t>CERTIFICACIÓN RETIE PARA BAHIA EN SUBESTACIÓN 34.5 KV O 13.8 KV</t>
  </si>
  <si>
    <t>TRANSFORMADOR DE CORRIENTE. USO EXTERIOR. TRIPLE NÚCLEO: ( N1:500-1000/5 CL: 0,5S, N2:500-1000/5 CL: 0,5S, N3:500-1000/5 CL: 5P20)  UM:38KV, ISC:12.5KA MIN, RELACIÓN DE TRANSFORMACIÓN AJUSTADA SEGÚN DISEÑO. INCLUYE PROTOCOLOS DE PRUEBA DE PRECISIÓN DE FABRICANTE Y LABORATORIO ACREDITADO.</t>
  </si>
  <si>
    <t>TRANSFORMADOR DE CORRIENTE. USO EXTERIOR. TRIPLE NÚCLEO: ( N1:75-150/5 CL: 0,5S, N2:75-150/5 CL: 0,5S, N3:75-150/5 CL: 5P20) UM:38KV, ISC:12.5KA MIN, RELACIÓN DE TRANSFORMACIÓN AJUSTADA SEGÚN DISEÑO. INCLUYE PROTOCOLOS DE PRUEBA DE PRECISIÓN DE FABRICANTE Y LABORATORIO ACREDITADO.</t>
  </si>
  <si>
    <t>TRANSFORMADOR DE CORRIENTE. USO EXTERIOR. TRIPLE NÚCLEO: ( N1:150-300/5 CL: 0,5S, N2:150-300/5 CL: 0,5S, N3:150-300/5 CL: 5P20). UM:38KV, ISC:12.5KA MIN, RELACIÓN DE TRANSFORMACIÓN AJUSTADA SEGÚN DISEÑO. INCLUYE PROTOCOLOS DE PRUEBA DE PRECISIÓN DE FABRICANTE Y LABORATORIO ACREDITADO.</t>
  </si>
  <si>
    <t>MA-57</t>
  </si>
  <si>
    <t>MA-58</t>
  </si>
  <si>
    <t>DPS VNOM: 38KV. ISC 12.5 KA</t>
  </si>
  <si>
    <t>MA-59</t>
  </si>
  <si>
    <t>Precio cotización cinco sas</t>
  </si>
  <si>
    <t>DPS VNOM: 15KV. ISC 12.5 KA</t>
  </si>
  <si>
    <t>TRANSFORMADOR DE CORRIENTE. USO EXTERIOR. TRIPLE NÚCLEO: ( N1:300-600/5 CL: 0,5S, N2:300-600/5 CL: 0,5S, N3:300-600/5 CL: 5P20) UM:15KV, ISC:12.5KA MIN. INCLUYE PROTOCOLOS DE PRUEBA DE PRECISIÓN DE FABRICANTE Y LABORATORIO ACREDITADO.</t>
  </si>
  <si>
    <t>TRANSFORMADOR DE CORRIENTE. USO EXTERIOR. TRIPLE NÚCLEO: ( N1:100-200/5 CL: 0,5S, N2:100-200/5 CL: 0,5S, N3:100-200/5 CL: 5P20) UM:15KV, ISC:12.5KA . INCLUYE PROTOCOLOS DE PRUEBA DE PRECISIÓN DE FABRICANTE Y LABORATORIO ACREDITADO.</t>
  </si>
  <si>
    <t>MA-60</t>
  </si>
  <si>
    <t>MA-61</t>
  </si>
  <si>
    <t>MA-62</t>
  </si>
  <si>
    <t>MA-63</t>
  </si>
  <si>
    <t>MA-64</t>
  </si>
  <si>
    <t>https://interelectricas.com.co/lista/LISTA_PRECIOS_CL_INGENIERIA.pdf?__cf_chl_tk=zP6d1uC1CL3yA.cbhUVzZlb7FXa21VeeR_R5.JpYQ_4-1739292848-1.0.1.1-idh.FequtBahebQ5CvGqcSdKr.tgn87y7zLncKpo0AI</t>
  </si>
  <si>
    <t>MA-65</t>
  </si>
  <si>
    <t>https://interelectricas.com.co/tuberia-metalica-y-pvc/2352-tubo-ducto-pvc-db-de-4-x-6-mts.html</t>
  </si>
  <si>
    <t>MA-66</t>
  </si>
  <si>
    <t>https://edelco.co/producto/conduleta-lr-1-1-4-rosca/?srsltid=AfmBOopqFThLk0zDiQ6GmppmAH2ChmkeVtxZxwzapDqhtM98tH4FLm6U</t>
  </si>
  <si>
    <t>https://interelectricas.com.co/tuberia-metalica-y-pvc/2093-coraza-liquid-tight-tipo-americano-11-4-pulgadas-x-metro.html</t>
  </si>
  <si>
    <t>https://interelectricas.com.co/herrajes-electricos/1738-conector-coraza-liquid-recto-1-1-4-pulg-.html</t>
  </si>
  <si>
    <t>https://interelectricas.com.co/tuberia-metalica-y-pvc/2363-tubo-pvc-conduit-de-1-1-4-x-3mts.html</t>
  </si>
  <si>
    <t>https://interelectricas.com.co/tuberia-metalica-y-pvc/972-curva-pvc-de-1-1-4.html</t>
  </si>
  <si>
    <t>https://interelectricas.com.co/cintas-o-zuncho-metalico-en-acero-inoxidable/1718-hebilla-en-acero-inoxidable-para-fleje-o-cinta-metalica-3-4.html</t>
  </si>
  <si>
    <t>https://interelectricas.com.co/tuberia-metalica-y-pvc/2326-tubo-metalico-imc-de-3-4-pulgadas-x-3-mts-con-union.html</t>
  </si>
  <si>
    <t>CORAZA METÁLICA LIQUID TIGHT DE 3/4"</t>
  </si>
  <si>
    <t>MA-67</t>
  </si>
  <si>
    <t>https://interelectricas.com.co/tuberia-metalica-y-pvc/2087-coraza-liquid-tight-tipo-americano-3-4-pulgadas-x-metro.html</t>
  </si>
  <si>
    <t>TUBERÍA PVC 3/4"</t>
  </si>
  <si>
    <t>CURVA PVC 3/4"</t>
  </si>
  <si>
    <t>CONECTOR RECTO LIQUID TIGHT DE 3/4"</t>
  </si>
  <si>
    <t>MA-68</t>
  </si>
  <si>
    <t>MA-69</t>
  </si>
  <si>
    <t>MA-70</t>
  </si>
  <si>
    <t>MA-71</t>
  </si>
  <si>
    <t>https://interelectricas.com.co/tuberia-metalica-y-pvc/2368-tubo-pvc-conduit-de-3-4-x-3-mts.html</t>
  </si>
  <si>
    <t>https://interelectricas.com.co/tuberia-metalica-y-pvc/967-curva-pvc-de-3-4.html</t>
  </si>
  <si>
    <t>https://electroservimos.co/sistemas-de-canalizacion/1859-c7lr11-conduleta-de-lr-imc-rosca-cooper-crouse-hinds.html</t>
  </si>
  <si>
    <t>CONDULETA TIPO LR DE 3/4" IMC</t>
  </si>
  <si>
    <t>https://interelectricas.com.co/conector-coraza/68-conector-coraza-liquid-tight-recto-3-4-pulg-hierro-a-prueba.html</t>
  </si>
  <si>
    <t>https://interelectricas.com.co/tuberia-metalica-y-pvc/2348-tubo-ducto-pvc-db-de-3-x-3-mts.html</t>
  </si>
  <si>
    <t>MA-72</t>
  </si>
  <si>
    <t>MA-73</t>
  </si>
  <si>
    <t>MA-74</t>
  </si>
  <si>
    <t>MA-75</t>
  </si>
  <si>
    <t>MA-76</t>
  </si>
  <si>
    <t>MA-77</t>
  </si>
  <si>
    <t>CORAZA METÁLICA LIQUID TIGHT DE 2"</t>
  </si>
  <si>
    <t>TUBERÍA PVC 2"</t>
  </si>
  <si>
    <t>CURVA PVC 2"</t>
  </si>
  <si>
    <t>CONECTOR RECTO LIQUID TIGHT DE 2"</t>
  </si>
  <si>
    <t>CONDULETA TIPO LR DE 2" IMC</t>
  </si>
  <si>
    <t>https://interelectricas.com.co/tuberia-metalica-y-pvc/2089-coraza-liquid-tight-tipo-americano-2-pulgadas-x-metro-ref-2.html</t>
  </si>
  <si>
    <t>https://interelectricas.com.co/tuberia-metalica-y-pvc/2324-tubo-metalico-imc-de-2-pulgadas-x-3-mts-con-union.html</t>
  </si>
  <si>
    <t>https://interelectricas.com.co/tuberia-metalica-y-pvc/2346-tubo-ducto-pvc-db-de-2-x-6-mts.html</t>
  </si>
  <si>
    <t>https://interelectricas.com.co/tuberia-metalica-y-pvc/959-curva-pvc-de-2.html</t>
  </si>
  <si>
    <t>https://interelectricas.com.co/herrajes-electricos/1740-conector-coraza-liquid-tight-recto-2-pulg-.html</t>
  </si>
  <si>
    <t>https://vitelenergia.com/es/condulet-aluminio-lr-2.html</t>
  </si>
  <si>
    <t>UPS 3000 VA</t>
  </si>
  <si>
    <t>https://sucomputo.com/producto/ups-interactiva-micronet-3000va/</t>
  </si>
  <si>
    <t>MA-78</t>
  </si>
  <si>
    <t>MA-79</t>
  </si>
  <si>
    <t>https://ferretodo.com.co/ferretienda/gabinete-piso-para-servidor-42ru-210-alto-60-ancho-90-profundo/?srsltid=AfmBOoqPIe88wtXl4DyTiL5gg279H2jOpLh2ArK0Dyj8b0628OVD6S3w</t>
  </si>
  <si>
    <t xml:space="preserve">CONCENTRADOR DE DATOS, GATEWAY </t>
  </si>
  <si>
    <t>https://selinc.com/es/products/3620/</t>
  </si>
  <si>
    <t>MA-80</t>
  </si>
  <si>
    <t>MA-81</t>
  </si>
  <si>
    <t>https://selinc.com/es/products/2730M/</t>
  </si>
  <si>
    <t>https://todotintasysuministros.com/computadores-de-escritorio/computador-de-escritorio-power-group-l23-21-5-ryzen7-ram16gb-ssd-1tb-t-vrtx-3050</t>
  </si>
  <si>
    <t>MA-82</t>
  </si>
  <si>
    <t>https://selinc.com/es/products/2488/</t>
  </si>
  <si>
    <t>MA-83</t>
  </si>
  <si>
    <t>https://www.macrotics.com/bandeja-de-fibra-optica-glc-con-adaptador-y-pigtail-sc-apc-x-24-puertos/p?srsltid=AfmBOoo_U4pRKfy26owDuHIX_gs84hN2jZObIj5eV9rVqCfR6eGacEz4</t>
  </si>
  <si>
    <t>MA-84</t>
  </si>
  <si>
    <t>https://selinc.com/products/3622/</t>
  </si>
  <si>
    <t>MA-85</t>
  </si>
  <si>
    <t>ROUTER. SOPORTE PARA IEC 61850</t>
  </si>
  <si>
    <t>ODF DESLIZABLE TIPO RACK, CON ENFRENTADORES LC/LC EMBEBIDOS Y PIGTAILS MULTIMODO INCLUIDO CON CONECTORES LC/LC, TERMINACIÓN UPC.  ANCHO DE 19” PARA COLOCAR 24 ACOPLADORES LC DUPLEX (48 HILOS). IP20 O SUPERIOR.</t>
  </si>
  <si>
    <t>INTEGRACIÓN EQUIPOS DE MANIOBRA Y CORTE MEDIANTE EL SISTEMA SCADA AL CENTRO DE CONTROL DE ELECTROHUILA</t>
  </si>
  <si>
    <t>MA-86</t>
  </si>
  <si>
    <t>MA-87</t>
  </si>
  <si>
    <t>https://www.daga-store.com/patch-cords-duplex-multimodo-om3-lc-lc</t>
  </si>
  <si>
    <t>MA-88</t>
  </si>
  <si>
    <t>https://www.homecenter.com.co/homecenter-co/product/519772/tubo-termoencogible-6mm-x-10cm/519772/</t>
  </si>
  <si>
    <t>MA-89</t>
  </si>
  <si>
    <t>TERMOENCOGIBLES 5 mm</t>
  </si>
  <si>
    <t>https://lasus.com.co/es/caja-de-distribucion-de-fibra-optica-para-24-empalmes-con-16-acopladores-sc-apc?srsltid=AfmBOoqp_KIu98Ke6YlSHMRWWVUuNga1KIo8lBefui8lhTbN7MCmbnlx</t>
  </si>
  <si>
    <t>MA-90</t>
  </si>
  <si>
    <t>MA-91</t>
  </si>
  <si>
    <t>MA-92</t>
  </si>
  <si>
    <t>ARANDELA CUADRADA PLANA DE 51*17 MM DIAMETRO= 16 MM (2 PULG.X2 PULG.X5/8 PULG.) (REF. EH = 2412)</t>
  </si>
  <si>
    <t>ARANDELA DE PRESION DE DIAMETRO= 22 MM PARA PERNO DIAMETRO= 13 MM (1/2 PULG.) (REF. EH = 2433)</t>
  </si>
  <si>
    <t>ARANDELA DE PRESION DE DIAMETRO= 26 MM PARA PERNO DIAMETRO= 16 MM (5/8 PULG.) (REF. EH = 2434)</t>
  </si>
  <si>
    <t>CABLE DE COBRE DESNUDO NO. 4 AWG, 7 HILOS (REF. EH = 803)</t>
  </si>
  <si>
    <t>CINTA DE ACERO INOXIDABLE. DIMENSIONES 15.87 MM (REF. EH = 1282)</t>
  </si>
  <si>
    <t>CONECTOR DE RANURAS PARALELAS DE DOS PERNOS. DIMENSIONES 70*45*45 MM (REF. EH = 1031)</t>
  </si>
  <si>
    <t>CORTACIRCUITOS 15 KV MONOPOLAR (REF. EH = 3402)</t>
  </si>
  <si>
    <t>DPS 10 KA, 12 KV DE OXIDO METALICO (REF. EH = 3101)</t>
  </si>
  <si>
    <t>ESTRIBOS PARA NIVEL II (REF. EH = 2902)</t>
  </si>
  <si>
    <t>GRAPA OPERAR EN CALIENTE CONDUCTOR AWG-MCM 6 - 400. DIAMETRO 4 - 13.5 MM. (REF. EH = 795)</t>
  </si>
  <si>
    <t>VARILLA DE PUESTA A TIERRA DE 15.88*2438 MM (REF. EH = 1411)</t>
  </si>
  <si>
    <t>MA-93</t>
  </si>
  <si>
    <t>MA-94</t>
  </si>
  <si>
    <t>MA-95</t>
  </si>
  <si>
    <t>MA-96</t>
  </si>
  <si>
    <t>MA-97</t>
  </si>
  <si>
    <t>MA-98</t>
  </si>
  <si>
    <t>MA-99</t>
  </si>
  <si>
    <t>MA-100</t>
  </si>
  <si>
    <t>MA-101</t>
  </si>
  <si>
    <t>MA-102</t>
  </si>
  <si>
    <t>MA-103</t>
  </si>
  <si>
    <t>MA-104</t>
  </si>
  <si>
    <t>MA-105</t>
  </si>
  <si>
    <t>MA-106</t>
  </si>
  <si>
    <t>MA-107</t>
  </si>
  <si>
    <t>MA-108</t>
  </si>
  <si>
    <t>MA-109</t>
  </si>
  <si>
    <t>APU cinco sas</t>
  </si>
  <si>
    <t>https://interelectricas.com.co/transformadores-en-aceite/2385-transformador-trifasico-en-aceite-de-30-kva-13200-v-208-120-v-plena.html</t>
  </si>
  <si>
    <t>https://ineldec.com/producto/transformador-trifasico-convencional-30-kva/</t>
  </si>
  <si>
    <t>CORTACIRCUITOS 38 KV MONOPOLAR (REF. EH = 3402)</t>
  </si>
  <si>
    <t>https://interelectricas.com.co/cortacircuitos/8999-cortacircuito-expulsion-345-kv-100a-38kv-aplica-tipo-costa.html</t>
  </si>
  <si>
    <t>CABLE DE FIBRA ÓPTICA MULTIMODO DE 24 HILOS. LOOSE TUBE - LSZH- UV - NORMA G652D.</t>
  </si>
  <si>
    <t>SECCIONADOR TRIPOLAR MOTORIZADO CON CUCHILLA DE PUESTA A TIERRA MOTORIZADA (SC) UM:15KV, IN: 630A, ISC:12.5KA MIN, LIWV:95KV. INCLUYE: BRAZO DE MANDO MANUAL A LA ALTURA APROPIADA</t>
  </si>
  <si>
    <t>SECCIONADOR TRIPOLAR MOTORIZADO SIN CUCHILLA DE PUESTA A TIERRA (SE). UM:15KV, IN: 630A, ISC:12.5KA MIN, LIWV:95KV. INCLUYE: BRAZO DE MANDO MANUAL A LA ALTURA APROPIADA</t>
  </si>
  <si>
    <t>SERVICIO DE CANAL SATELITAL 128 KBPS UP/DOWN BANDA KU. 12 MESES DE SERVICIO</t>
  </si>
  <si>
    <t>https://interelectricas.com.co/alambres-y-cables/2035-cable-multiplex-cuadruplex-3-x-50-mm-50-mm-aislado-de-3-x-10-10-metro.html</t>
  </si>
  <si>
    <t>CABLE AAAC 3 X 1/0+1/0.</t>
  </si>
  <si>
    <t>https://interelectricas.com.co/tuberia-metalica-y-pvc/1508-capacete-roscado-en-aluminio-para-tuberia-imc-de-2.html</t>
  </si>
  <si>
    <t>SIKA BOOM ESPUMA</t>
  </si>
  <si>
    <t>LITRO</t>
  </si>
  <si>
    <t>https://articulo.mercadolibre.com.co/MCO-620499539-sika-boom-m-espuma-expansiva-de-poliuretano-500ml-_JM#polycard_client=search-nordic&amp;position=1&amp;search_layout=grid&amp;type=item&amp;tracking_id=f95df70d-a7ef-4b08-8f22-739dac698d43</t>
  </si>
  <si>
    <t>https://www.epm.com.co/content/dam/epm/clientes-y-usuarios/energia/m%C3%A1s-de-energ%C3%ADa/costos-asociados-a-la-conexion-y-decretos-de-precios/documentos/decreto-de-precios-portafolio.pdf</t>
  </si>
  <si>
    <t>MEDIDOR DE ENERGÍA KWH-KVARH  CLASE 1 POTENCIA ACTIVA, CLASE 2 POTENCIA REACTIVA, DE CONEXIÓN INDIRECTA, MULTIFUNCIONAL CON INSTRUMENTACIÓN Y CURVA DE CARGA, PUERTO ETERNET Y DOS PUERTOS SERIALES, CUATRO CUADRANTES.</t>
  </si>
  <si>
    <t>https://ineldec.com/producto/transformador-de-corriente-blox-100-5a/</t>
  </si>
  <si>
    <t>MA-110</t>
  </si>
  <si>
    <t>https://interelectricas.com.co/cajas-y-tableros/2263-caja-contador-polifasico-1-medidor-39-8x24-4x1-cm.html?__cf_chl_tk=Fs5gTu1hnP9d5qbj1AgDJ4MPNV0OfaGytw4LVuOlgdo-1739464952-1.0.1.1-qwg2W1Ykjivypbgr5uUhnHcaEvjNc9bQ.fsl9i1IqMY</t>
  </si>
  <si>
    <t>MA-111</t>
  </si>
  <si>
    <t>MA-112</t>
  </si>
  <si>
    <t>https://www.ardobot.co/terminal-de-ojo-aislado-rv5-5-6-amarillo.html?srsltid=AfmBOor0CjiPKKqjJKwr9Gcxbe-c7p2yAkRZFeI_QPZUCk_9EEOUMh5M</t>
  </si>
  <si>
    <t>MA-113</t>
  </si>
  <si>
    <t>MA-114</t>
  </si>
  <si>
    <t>Cotización dada por EH</t>
  </si>
  <si>
    <t>MA-115</t>
  </si>
  <si>
    <t>MA-116</t>
  </si>
  <si>
    <t>https://www.mercadolibre.com.co/detector-de-gas-natural-wifi-alarma-de-fugas-en-la-pared/p/MCO2002851337</t>
  </si>
  <si>
    <t>MA-117</t>
  </si>
  <si>
    <t>https://laumayer.com.ec/wp-content/uploads/2023/08/lista-de-precios-completa-laucol-ecuador-3.pdf</t>
  </si>
  <si>
    <t>MA-118</t>
  </si>
  <si>
    <t>SUMINISTRO E INSTALACIÓN DE TRANSFERENCIA AUTOMÁTICA. 208V, 100 A. IP 54. SISTEMA DE MONITOREO Y CONTROL CON PANTALLA DIGITAL.TABLERO AUTOSOPORTADO DE FABRICACIÓN ESPECIAL. DE USO INTERIOR. IP 54. LAMINA DE ACERO GALVANIZADA CALIBRE 18. INCLUYE BREAKERS DE PROTECCIÓN, CANALETAS Y DEMÁS ACCESORIOS. (+TFER AUTO01).</t>
  </si>
  <si>
    <t>MA-119</t>
  </si>
  <si>
    <t>https://interelectricas.com.co/productos/3825-poste-metalico-conico-8-metros-para-alumbrado-publico.html</t>
  </si>
  <si>
    <t>MA-120</t>
  </si>
  <si>
    <t>TRANSFERENCIA AUTOMÁTICA 100A</t>
  </si>
  <si>
    <t>POSTE METÁLICO DE 8 M PARA ALUMBRADO</t>
  </si>
  <si>
    <t>LUMINARIA LED ALUMBRADO PÚBLICO 100W</t>
  </si>
  <si>
    <t>MA-121</t>
  </si>
  <si>
    <t>MA-122</t>
  </si>
  <si>
    <t>https://interelectricas.com.co/alambres-y-cables/2029-cable-de-cobre-encauchetado-3-x-16-awg-metro.html</t>
  </si>
  <si>
    <t>https://interelectricas.com.co/red-trenzada/1605-empalme-de-derivacion-en-gel-ghfc-1-rango-de-aplicacion-principal-de-cable-6-a-2-y-derivacion-de-14-a-8-.html</t>
  </si>
  <si>
    <t>CONECTORES DE DERIVACIÓN TIPO GEL.</t>
  </si>
  <si>
    <t>MA-123</t>
  </si>
  <si>
    <t>https://www.surtielectronic.com/producto/sylvania-p23679-36-led-jeta-pro-luminaria-100w-dl-unv?srsltid=AfmBOop2MJfnip9Cs6cPFwzFgbmt-psNqC2LIvwjsSk3_N7HyPjnZx3W</t>
  </si>
  <si>
    <t>MA-124</t>
  </si>
  <si>
    <t>PORTAFUSIBLE Y FUSIBLE DE VIDRIO 2A</t>
  </si>
  <si>
    <t>https://interelectricas.com.co/tuberia-metalica-y-pvc/2360-tubo-pvc-conduit-de-1-2-x-3-mts.html</t>
  </si>
  <si>
    <t>https://interelectricas.com.co/tuberia-metalica-y-pvc/2872-union-pvc-1-2.html</t>
  </si>
  <si>
    <t>UNION PVC 1/2"</t>
  </si>
  <si>
    <t>MA-125</t>
  </si>
  <si>
    <t>MA-126</t>
  </si>
  <si>
    <t>BOQUILLA PVC 1/2"</t>
  </si>
  <si>
    <t>https://articulo.mercadolibre.com.co/MCO-2743457860-10-boquillas-de-pvc-de-12-pulgada-macho-a-macho-de-rosca-_JM</t>
  </si>
  <si>
    <t>MA-127</t>
  </si>
  <si>
    <t>SOPORTE PARA REFLECTOR CON ACCESORIOS</t>
  </si>
  <si>
    <t>https://minaled.com/producto/farolas-led/soporte-proyectores-columna/</t>
  </si>
  <si>
    <t>MA-128</t>
  </si>
  <si>
    <t>CONCRETO DE 28 Mpa</t>
  </si>
  <si>
    <t>BOQUILLAS TERMINALES</t>
  </si>
  <si>
    <t>BLOQUES DE CONCRETO</t>
  </si>
  <si>
    <t>MATERIAL GRANULAR FILTRANTE</t>
  </si>
  <si>
    <t>MA-129</t>
  </si>
  <si>
    <t>MA-130</t>
  </si>
  <si>
    <t>MA-131</t>
  </si>
  <si>
    <t>MA-132</t>
  </si>
  <si>
    <t>MA-133</t>
  </si>
  <si>
    <t>MA-134</t>
  </si>
  <si>
    <t>MA-135</t>
  </si>
  <si>
    <t>MA-136</t>
  </si>
  <si>
    <t>MA-137</t>
  </si>
  <si>
    <t>MA-138</t>
  </si>
  <si>
    <t>MORTERO DE PEGA 1:4</t>
  </si>
  <si>
    <t>MA-139</t>
  </si>
  <si>
    <t>MA-140</t>
  </si>
  <si>
    <t>https://www.prepeniel.com/bloque-de-concreto-ct-14</t>
  </si>
  <si>
    <t>https://geztio.co/es-la/upa/co/Mortero-1:4/</t>
  </si>
  <si>
    <t>https://gyj.com.co/bogota_65/barra-corrugada-bogota-65-acero-construccion.html</t>
  </si>
  <si>
    <t>MA-141</t>
  </si>
  <si>
    <t>https://comem.com.co/producto/terminal-pvc-2-</t>
  </si>
  <si>
    <t>https://www.google.com.co/search?q=An%C3%A1lisis+Unitarios+de+Referencia+Gobernaci%C3%B3n+de+Risaralda+precio&amp;sca_esv=fe22a64d7c0cbfa7&amp;biw=1920&amp;bih=919&amp;sxsrf=AHTn8zoLPU3Rwip96AvoA1D9E1YgHh0IRg%3A1739542526504&amp;ei=_k-vZ720HsKYwbkPyMzY0As&amp;ved=0ahUKEwi9q_TyrMOLAxVCTDABHUgmFroQ4dUDCBI&amp;uact=5&amp;oq=An%C3%A1lisis+Unitarios+de+Referencia+Gobernaci%C3%B3n+de+Risaralda+precio&amp;gs_lp=Egxnd3Mtd2l6LXNlcnAiQkFuw6FsaXNpcyBVbml0YXJpb3MgZGUgUmVmZXJlbmNpYSBHb2Jlcm5hY2nDs24gZGUgUmlzYXJhbGRhIHByZWNpb0iPC1AAWABwAHgBkAEAmAGeAaABngGqAQMwLjG4AQPIAQD4AQL4AQGYAgCgAgCYAwCSBwCgB34&amp;sclient=gws-wiz-serp</t>
  </si>
  <si>
    <t>https://www.homecenter.com.co/homecenter-co/product/256692/arena-silice-x-25kg-para-filtro-de-piscina/256692/?utm_source=chatgpt.com</t>
  </si>
  <si>
    <t>https://interelectricas.com.co/articulos-electricos/4189-juego-de-marco-en-acero-1-tapa-de-concreto-para-camara-de-inspeccion-doble-cs275-para-canalizacion-de-mt-y-bt-131mts-x-81mts.html</t>
  </si>
  <si>
    <t>CAJA RAWELT</t>
  </si>
  <si>
    <t>https://electroservimos.co/tableros-cajas-y-gabinetes/2522-crr29-caja-rectangular-tipo-rawelt-3-salidas-x-1-2-ul-ch.html</t>
  </si>
  <si>
    <t>CORAZA METÁLICA LIQUID TIGHT DE 1/2"</t>
  </si>
  <si>
    <t>https://interelectricas.com.co/tuberia-metalica-y-pvc/2086-coraza-liquid-tight-tipo-americano-1-2-pulgadas-x-metro.html</t>
  </si>
  <si>
    <t>https://interelectricas.com.co/alambres-y-cables/2025-cable-de-cobre-encauchetado-3-x-12-awg-metro.html</t>
  </si>
  <si>
    <t>https://interelectricas.com.co/iluminacion/199-luminaria-led-sylvania-tortuga-12w-bulkhead-dl-110-240v.html</t>
  </si>
  <si>
    <t>https://articulo.mercadolibre.com.co/MCO-1331578599-aire-acondicionado-inverter-mini-split-24000-btu-220v-sam-_JM#polycard_client=search-nordic&amp;position=6&amp;search_layout=stack&amp;type=item&amp;tracking_id=1de01b54-ed55-4131-ba44-c9c5699099ac</t>
  </si>
  <si>
    <t>MA-142</t>
  </si>
  <si>
    <t>https://interelectricas.com.co/luminaria-led-hermetica/5950-luminaria-led-sylvania-hermetica-50w-luz-dia-5300lm-6500k-luz-dia-para-ambientes-industriales-ref-p24359-36.html</t>
  </si>
  <si>
    <t>MA-143</t>
  </si>
  <si>
    <t>https://interelectricas.com.co/articulos-electricos/1613-clavija-caucho-15-amp-con-polo.html</t>
  </si>
  <si>
    <t>MA-144</t>
  </si>
  <si>
    <t>CONECTORES DE RESORTE 18-8AWG</t>
  </si>
  <si>
    <t>https://interelectricas.com.co/articulos-electricos/743-conector-3m-resorte-calibre-18-8-awg-rojo-amarillo.html</t>
  </si>
  <si>
    <t>MA-145</t>
  </si>
  <si>
    <t>https://www.homecenter.com.co/homecenter-co/product/889451/propack-interruptor-sencillo-5-unds-lynx-blanco/889451/</t>
  </si>
  <si>
    <t>MA-146</t>
  </si>
  <si>
    <t>MA-147</t>
  </si>
  <si>
    <t>https://interelectricas.com.co/iluminacion/161-luminaria-led-sylvania-emergencia-aplique-4w-rectangular-6000.html</t>
  </si>
  <si>
    <t>https://interelectricas.com.co/iluminacion/195-panel-led-18w-redondo-sobreponer-225cm-x-23cm-6500k-dl-luz-dia-ref-p27180-36-sylvania.html</t>
  </si>
  <si>
    <t>MA-148</t>
  </si>
  <si>
    <t>https://articulo.mercadolibre.com.co/MCO-568923932-extractor-de-aire-16-pulgadas-industrial-_JM?searchVariation=174238918448#polycard_client=search-nordic&amp;searchVariation=174238918448&amp;position=3&amp;search_layout=stack&amp;type=item&amp;tracking_id=abf9664c-52f9-4cfa-bd53-26a2166db58d</t>
  </si>
  <si>
    <t>MA-149</t>
  </si>
  <si>
    <t>EXTRACTOR DE AIRE 16"</t>
  </si>
  <si>
    <t>https://interelectricas.com.co/tuberia-metalica-y-pvc/891-abrazadera-ajustable-1-2-pulg-.html</t>
  </si>
  <si>
    <t>ABRAZADERA GRAPA METÁLICA 1/2" PARA TUBERÍA</t>
  </si>
  <si>
    <t>MA-150</t>
  </si>
  <si>
    <t>https://interelectricas.com.co/tuberia-metalica-y-pvc/903-curva-90deg-galvanizada-imc-de-1-2.html</t>
  </si>
  <si>
    <t>MA-151</t>
  </si>
  <si>
    <t>https://interelectricas.com.co/alambres-y-cables/2831-cable-de-cobre-encauchetado-4-x-10-awg-de-metro.html</t>
  </si>
  <si>
    <t>CABLE 4x10 AWG Cu- TC-THHN/THWN - 600 V</t>
  </si>
  <si>
    <t>MA-152</t>
  </si>
  <si>
    <t>https://interelectricas.com.co/tuberia-metalica-y-pvc/2182-tubo-metalico-emt-de-1-2-pulgadas-x-3-mts.html</t>
  </si>
  <si>
    <t>MA-153</t>
  </si>
  <si>
    <t>https://interelectricas.com.co/articulos-electricos/1868-toma-doble-ciles-20amp-gfci-blanca-con-tapa.html</t>
  </si>
  <si>
    <t>TOMA CORRIENTE DOBLE GFCI</t>
  </si>
  <si>
    <t>MA-154</t>
  </si>
  <si>
    <t>https://interelectricas.com.co/alambres-y-cables/2840-cable-de-cobre-encauchetado-4-x-12-awg-de-metro.html</t>
  </si>
  <si>
    <t>MA-155</t>
  </si>
  <si>
    <t>https://interelectricas.com.co/tuberia-metalica-y-pvc/919-curva-90deg-emt-de-1-2.html</t>
  </si>
  <si>
    <t>CURVA 90 GRADOS EMT DE 1/2"</t>
  </si>
  <si>
    <t>MA-156</t>
  </si>
  <si>
    <t>BLOQUE DE BORNERAS CORTOCIRCUITABLES DE CORRIENTE Y TENSIÓN</t>
  </si>
  <si>
    <t>MA-157</t>
  </si>
  <si>
    <t>MA-158</t>
  </si>
  <si>
    <t>MA-159</t>
  </si>
  <si>
    <t>MA-160</t>
  </si>
  <si>
    <t>MA-161</t>
  </si>
  <si>
    <t>MA-162</t>
  </si>
  <si>
    <t>MA-163</t>
  </si>
  <si>
    <t>MA-164</t>
  </si>
  <si>
    <t>MA-165</t>
  </si>
  <si>
    <t>MA-166</t>
  </si>
  <si>
    <t>MA-167</t>
  </si>
  <si>
    <t>MA-168</t>
  </si>
  <si>
    <t>MA-169</t>
  </si>
  <si>
    <t>MA-170</t>
  </si>
  <si>
    <t>MA-171</t>
  </si>
  <si>
    <t>MA-172</t>
  </si>
  <si>
    <t>https://interelectricas.com.co/puesta-a-tierra/802-soldadura-exotermica-grounding-115-gramos.html</t>
  </si>
  <si>
    <t>https://electroservimos.co/inicio/4381-mx5840-molde-grafito-soldadura-exotermica-en-x-cable-40-awg-sin-pinza-grounding.html</t>
  </si>
  <si>
    <t>https://interelectricas.com.co/articulos-electricos/1127-borna-no-4-0-awg-de-ponchar-estanada-barril-largo.html</t>
  </si>
  <si>
    <t>https://www.generadoresytransformadores.com/producto/barra-de-cobre-para-sistema-de-tierras-2-x-16-2/</t>
  </si>
  <si>
    <t>https://interelectricas.com.co/alambres-y-cables/2260-cable-de-cobre-desnudo-no-4-0-awg-metro.html</t>
  </si>
  <si>
    <t>https://interelectricas.com.co/alambres-y-cables/2258-cable-de-cobre-desnudo-no-2-0-awg-metro.html</t>
  </si>
  <si>
    <t>https://interelectricas.com.co/alambres-y-cables/2256-cable-de-cobre-desnudo-no-1-0-awg-metro.html</t>
  </si>
  <si>
    <t>https://interelectricas.com.co/puesta-a-tierra/2198-varilla-cooper-weld-de-14-28mm-x-2-40-de-cobre-macizo.html</t>
  </si>
  <si>
    <t>https://vicartechz.com/producto/conectores/borneras-y-terminales/terminal-de-ojo-para-cable-2-0-awg/?srsltid=AfmBOooLMlEFb0bYLJ55Uf1m79Zdc_dF82Iksal2PLtSp3vRyRaEU9cM</t>
  </si>
  <si>
    <t>SOLDADURA EXOTÉRMICA 115 G</t>
  </si>
  <si>
    <t>EH-7</t>
  </si>
  <si>
    <t>MOLDE GRAFITO SOLDADURA EXOTÉRMICA EN X CABLE 4/0 AWG</t>
  </si>
  <si>
    <t>CABLE CU 4/0 AWG DESNUDO</t>
  </si>
  <si>
    <t>https://interelectricas.com.co/premoldeados-media-baja-tension/2910-cubierta-o-funda-para-linea-desnuda-raychem-35kv-cable-no-2-a-397kcmil-ref-147654-mvlc-18-a241.html</t>
  </si>
  <si>
    <t>CONDUCTOR DEL ELECTRODO DE TIERRA DE EQUIPOS EN CABLE CU 4/0 AWG</t>
  </si>
  <si>
    <t>SOLDADURA EXOTÉRMICA 200 G</t>
  </si>
  <si>
    <t>https://interelectricas.com.co/puesta-a-tierra/2158-soldadura-exotermica-grounding-200-gramos.html</t>
  </si>
  <si>
    <t>SOLDADURA EXOTÉRMICA 150 G</t>
  </si>
  <si>
    <t>https://interelectricas.com.co/puesta-a-tierra/803-soldadura-exotermica-grounding-150-gramos.html</t>
  </si>
  <si>
    <t>ELECTRODO EN COBRE Ø16 MM (5/8”) X 2.4 METROS</t>
  </si>
  <si>
    <t>https://interelectricas.com.co/alambres-y-cables/1976-cable-de-aluminio-desnudo-no-1-0-acsr-metro.html</t>
  </si>
  <si>
    <t>CABLE ALUMINIO DESNUDO 1/0 AWG PARA SPT</t>
  </si>
  <si>
    <t>https://interelectricas.com.co/cortacircuitos-y-proteccion-contra-rayos/1597-pararrayo-tipo-franklin-de-5-puntas.html</t>
  </si>
  <si>
    <t>PUNTA FRANKLIN 1 METRO LIBRE</t>
  </si>
  <si>
    <t>https://interelectricas.com.co/alambres-y-cables/1875-alambron-en-aluminio-de-8mm-para-apantallamiento.html</t>
  </si>
  <si>
    <t>ALAMBRÓN DE ALUMINIO DESNUDO DE Ø8 MM Ó 1/0 AWG</t>
  </si>
  <si>
    <t>https://interelectricas.com.co/productos/3903-grapa-otr-universal-cruz-paralela-punta-alambron-.html</t>
  </si>
  <si>
    <t>GRAPA EN CRUZ PARALELA</t>
  </si>
  <si>
    <t>MA-173</t>
  </si>
  <si>
    <t>MA-174</t>
  </si>
  <si>
    <t>MA-175</t>
  </si>
  <si>
    <t>https://interelectricas.com.co/apantallamiento-proteccion-contra-rayos/5223-base-metalica-obo-para-punta-captadora.html</t>
  </si>
  <si>
    <t>https://interelectricas.com.co/alambres-y-cables/2828-cable-encauchetado-4-x-8-awg-cobre-.html</t>
  </si>
  <si>
    <t>https://interelectricas.com.co/alambres-y-cables/1994-cable-de-cobre-aislado-no-1-0-awg-metro-thhn-color-negro.html</t>
  </si>
  <si>
    <t>MA-177</t>
  </si>
  <si>
    <t>https://interelectricas.com.co/breakers/1284-breaker-de-riel-tripolar-abb-3-x-40a-10ka.html</t>
  </si>
  <si>
    <t>MA-178</t>
  </si>
  <si>
    <t>INTERRUPTOR AC 3X40 25 kA</t>
  </si>
  <si>
    <t>INTERRUPTOR AC 1X15 25 kA</t>
  </si>
  <si>
    <t>INTERRUPTOR AC 3X15 25 kA</t>
  </si>
  <si>
    <t>INTERRUPTOR AC 3X100 25 kA</t>
  </si>
  <si>
    <t>INTERRUPTOR AC 2X15 25 kA</t>
  </si>
  <si>
    <t>MA-179</t>
  </si>
  <si>
    <t>MA-180</t>
  </si>
  <si>
    <t>MA-181</t>
  </si>
  <si>
    <t>MA-182</t>
  </si>
  <si>
    <t>MA-183</t>
  </si>
  <si>
    <t>MA-184</t>
  </si>
  <si>
    <t>https://interelectricas.com.co/breakers-industriales/2590-breaker-industrial-abb-formula-15a-capacidad-de-ruptura-25ka-a1b-ref-1sda066697r1.html</t>
  </si>
  <si>
    <t>https://interelectricas.com.co/breakers/1230-breaker-industrial-abb-formula-20a-capacidad-de-ruptura-25-ka-a1b.html</t>
  </si>
  <si>
    <t>https://www.puntoelectrico.com.co/productos/taco-enchufable-2x20-amp</t>
  </si>
  <si>
    <t>https://interelectricas.com.co/breakers/1239-breaker-industrial-abb-formula-100a-capacidad-de-ruptura-25-ka-a1b.html</t>
  </si>
  <si>
    <t>https://erp.electrovalle.com/shop/product/1603-a9f74216-breaker-2x16-amp-p-riel-20ka-c60n-22625?page=7&amp;category=2&amp;order=name+desc</t>
  </si>
  <si>
    <t>TABLERO DE SERVICIOS AUXILIARES</t>
  </si>
  <si>
    <t>MA-185</t>
  </si>
  <si>
    <t>https://ineldec.com/producto/breaker-dc-1x10a-chint-riel/</t>
  </si>
  <si>
    <t>CELDAS EN 34,5 kV</t>
  </si>
  <si>
    <t>Rentabilidad</t>
  </si>
  <si>
    <t>Valor comercial + IVA</t>
  </si>
  <si>
    <t>Vida Util (Años)</t>
  </si>
  <si>
    <t>Valor ED</t>
  </si>
  <si>
    <t>TRAMITES AMBIENTALES</t>
  </si>
  <si>
    <t>LICENCIA DE CONSTRUCCIÓN</t>
  </si>
  <si>
    <t>Ayudante No Calificado</t>
  </si>
  <si>
    <t>Camabaja</t>
  </si>
  <si>
    <t>MA-186</t>
  </si>
  <si>
    <t>Extraido del presupuesto Canaima</t>
  </si>
  <si>
    <t>Código APU</t>
  </si>
  <si>
    <t>Base de datos Ing Santiago 20/02/2025</t>
  </si>
  <si>
    <t>CONCRETO PARA SOLADO 2500 PSI</t>
  </si>
  <si>
    <t>CONCRETO CICLOPEO DE 3000 PSI</t>
  </si>
  <si>
    <t>MA-187</t>
  </si>
  <si>
    <t>MA-188</t>
  </si>
  <si>
    <t>MO-7</t>
  </si>
  <si>
    <t>MO-9</t>
  </si>
  <si>
    <t>Ayudante de Obra Civil</t>
  </si>
  <si>
    <t>Maestro de obra civil</t>
  </si>
  <si>
    <t>Oficial de Obra Civil</t>
  </si>
  <si>
    <t>TON/KM</t>
  </si>
  <si>
    <t>Ingeniero Civil Residente de Obra</t>
  </si>
  <si>
    <t>MO-10</t>
  </si>
  <si>
    <t>Precio dado en cotización</t>
  </si>
  <si>
    <t>Vibrador de concreto</t>
  </si>
  <si>
    <t>TV-7</t>
  </si>
  <si>
    <t>Ingeniero Especialista de Control y Protección Subestación</t>
  </si>
  <si>
    <t>MO-11</t>
  </si>
  <si>
    <t>MO-12</t>
  </si>
  <si>
    <t>MA-189</t>
  </si>
  <si>
    <t>CERTIFICACIÓN POR PUNTO DE FIBRA ÓPTICA</t>
  </si>
  <si>
    <t>Equipo para trabajo con fibra óptica</t>
  </si>
  <si>
    <t>Diferencial 2 Toneladas</t>
  </si>
  <si>
    <t>https://interelectricas.com.co/articulos-electricos/4427-terminal-pin-para-cable-control-cal-14-awg-azul.html</t>
  </si>
  <si>
    <t>MA-190</t>
  </si>
  <si>
    <t>TERMINAL TIPO PIN</t>
  </si>
  <si>
    <t>CHAZO EXPANSIVO RL 3/8"</t>
  </si>
  <si>
    <t>VARILLA ROSCADA DE 3/8"</t>
  </si>
  <si>
    <t>RIEL UNISTRUT RANURADO 2X4 CM</t>
  </si>
  <si>
    <t>CABLE DE COBRE DESNUDO NO 8 AWG</t>
  </si>
  <si>
    <t>MA-191</t>
  </si>
  <si>
    <t>MA-192</t>
  </si>
  <si>
    <t>MA-193</t>
  </si>
  <si>
    <t>MA-194</t>
  </si>
  <si>
    <t>https://www.casaferretera.com/anclaje_rl_3-8/p?srsltid=AfmBOopd0nix-OjDwcfXZzm2OuT2Va_OmqlyRk5Bc5PP_eIU1OkiFxoU</t>
  </si>
  <si>
    <t>https://interelectricas.com.co/herrajes-electricos/2205-varilla-roscada-3-8-pulgadas-x-3-mts-zincada.html</t>
  </si>
  <si>
    <t>https://interelectricas.com.co/articulos-electricos/392-riel-channel-4x2-x-3-00-mts-troquelado.html</t>
  </si>
  <si>
    <t>https://interelectricas.com.co/alambres-y-cables/2255-cable-de-cobre-desnudo-no-8-awg-metro.html</t>
  </si>
  <si>
    <t>MA-195</t>
  </si>
  <si>
    <t>MA-196</t>
  </si>
  <si>
    <t>CINTA DE SEÑALIZACIÓN DE SEGURIDAD</t>
  </si>
  <si>
    <t>GALÓN</t>
  </si>
  <si>
    <t>https://www.homecenter.com.co/homecenter-co/product/22764/soldadura-pvc-1-4gl-946ml/22764/</t>
  </si>
  <si>
    <t>CAMPANA PVC 4"</t>
  </si>
  <si>
    <t>ARENA</t>
  </si>
  <si>
    <t>MA-197</t>
  </si>
  <si>
    <t>MA-198</t>
  </si>
  <si>
    <t>MA-199</t>
  </si>
  <si>
    <t>MA-200</t>
  </si>
  <si>
    <t>https://interelectricas.com.co/tuberia-metalica-y-pvc/965-terminal-pvc-3-pulg-tipo-campana.html</t>
  </si>
  <si>
    <t>CAMPANA PVC 3"</t>
  </si>
  <si>
    <t>https://interelectricas.com.co/tuberia-metalica-y-pvc/2982-terminal-pvc-4-tipo-campana-corrugada.html</t>
  </si>
  <si>
    <t>MA-201</t>
  </si>
  <si>
    <t>https://ferreterialacasitaroja.com/product/arena-m3/?srsltid=AfmBOoq4pxLo2HvEJC-as0JxnyNhkBBv_GEXLh6-V9dT2cQbvSWy9rgo</t>
  </si>
  <si>
    <t>https://www.dotacionesysuministros.com/producto/cinta-de-senalizacion-10-centimetros-x-500-metros/</t>
  </si>
  <si>
    <t>Oficial Eléctrico</t>
  </si>
  <si>
    <t>MO-13</t>
  </si>
  <si>
    <t>UNION IMC 1 1/4"</t>
  </si>
  <si>
    <t>TUBO CONDUIT METÁLICO GALVANIZADO IMC DIAMETRO 1 1/4"</t>
  </si>
  <si>
    <t>https://comem.com.co/producto/conduleta-bt-roscada-tipo-t-3-4-en-aluminio-inyectado</t>
  </si>
  <si>
    <t>MA-202</t>
  </si>
  <si>
    <t>https://interelectricas.com.co/tuberia-metalica-y-pvc/2195-union-metalica-galvanizada-imc-de-1-1-4.html</t>
  </si>
  <si>
    <t>MA-203</t>
  </si>
  <si>
    <t>https://electroservimos.co/accesorios-canalizacion/545-c7r11-conduleta-34-recta-rosca-imc-cooper-crouse-hinds.html</t>
  </si>
  <si>
    <t>MA-204</t>
  </si>
  <si>
    <t>CONDULETA TIPO C 3/4"</t>
  </si>
  <si>
    <t>CONDULETA EN T 1 1/4"</t>
  </si>
  <si>
    <t>https://www.compelelectronica.com/product/cable-ftp-con-categoria-6-apantallado-utpftp/</t>
  </si>
  <si>
    <t>CABLE FUTP CON CATEGORIA 6 APANTALLADO</t>
  </si>
  <si>
    <t>MA-205</t>
  </si>
  <si>
    <t>https://disuctronicos.com/index.php/producto/patch-panel-cat-6-16-puertos/</t>
  </si>
  <si>
    <t>MA-206</t>
  </si>
  <si>
    <t>https://www.homecenter.com.co/homecenter-co/product/224676/multitoma-6-salidas-3m/224676/</t>
  </si>
  <si>
    <t>MA-207</t>
  </si>
  <si>
    <t>MULTITOMA 6 SALIDAS 3M</t>
  </si>
  <si>
    <t>MA-208</t>
  </si>
  <si>
    <t>https://www.router-switch.com/ie-2000-16ptc-g-e.html</t>
  </si>
  <si>
    <t>SWITCH DE 16  PUERTOS CERTIFICACIONES IEC 61850-3, IEEE 1613</t>
  </si>
  <si>
    <t>ORGANIZADOR VERTICAL</t>
  </si>
  <si>
    <t>ORGANIZADOR HORIZONTAL</t>
  </si>
  <si>
    <t>https://www.daga-store.com/ov-4513</t>
  </si>
  <si>
    <t>https://www.daga-store.com/oh-4570</t>
  </si>
  <si>
    <t>MA-209</t>
  </si>
  <si>
    <t>MA-210</t>
  </si>
  <si>
    <t>SUMINISTRO E INSTALACIÓN DE HMI. Pantalla 32", Procesador Intel Core i9 Generación 13th o superior. RAM: Mínimo 24 GB, Almacenamiento: 1 TB, 2 Puertos Ethernet , Compatibilidad con IEC 61850, Modbus TCP/IP, DNP3, OPC UA/DA, y protocolos estándar SCADA.</t>
  </si>
  <si>
    <t>PATCH CORD DE FIBRA ÓPTICA MULTIMODO OM3  LC - ST/UPC DE 2 METROS</t>
  </si>
  <si>
    <t>SUMINISTRO E INSTALACIÓN DE PATCH CORD DE FIBRA ÓPTICA MULTIMODO OM3  LC - ST/UPC DE 2 METROS</t>
  </si>
  <si>
    <t>Técnico calificado para Comunicaciones</t>
  </si>
  <si>
    <t>DUCTO DE EXTRACCIÓN DE VAPORES CON REVESTIMIENTO TÉRMICO</t>
  </si>
  <si>
    <t>RIEL CHANNEL 4X2</t>
  </si>
  <si>
    <t>MA-211</t>
  </si>
  <si>
    <t>CHAZO EXPANSIVO 3/8"</t>
  </si>
  <si>
    <t>MA-212</t>
  </si>
  <si>
    <t>https://www.producabos.com/producto/chazo-expansivo-zincado-de-3-8-x-2-1-2/</t>
  </si>
  <si>
    <t>RELÉ DE TRANSFERENCIA CON SISTEMA DE MONITOREO Y CONTROL. PANTALLA DIGITAL</t>
  </si>
  <si>
    <t>https://interelectricas.com.co/alambres-y-cables/1388-cable-de-cobre-aislado-thhn-no-10-metro-color-rojo.html</t>
  </si>
  <si>
    <t>MA-213</t>
  </si>
  <si>
    <t>CABLE 10 AWG Cu- TC-THHN/THWN - 600 V</t>
  </si>
  <si>
    <t>TUBO PVC 1/2"</t>
  </si>
  <si>
    <t>https://interelectricas.com.co/tuberia-metalica-y-pvc/2323-tubo-metalico-imc-de-1-2-pulgadas-x-3-mts-con-union.html</t>
  </si>
  <si>
    <t>https://interelectricas.com.co/tuberia-metalica-y-pvc/2364-tubo-pvc-conduit-de-1-x-3-mts.html</t>
  </si>
  <si>
    <t>TUBO PVC 1"</t>
  </si>
  <si>
    <t>MA-214</t>
  </si>
  <si>
    <t>https://aldiaferreteria.com/presion/974-union-pvc-presion-de-1?srsltid=AfmBOor-jYKacUCH1AEWwb_xjTFA3yVSo4uiRINk8eYvkP7yk8BrohCJ</t>
  </si>
  <si>
    <t>MA-215</t>
  </si>
  <si>
    <t>UNIÓN PVC 1"</t>
  </si>
  <si>
    <t>CAJAS PARA RED DE ALUMBRADO PÚBLICO 50x50 (NORMA EPM RS3-001)</t>
  </si>
  <si>
    <t>MARCO Y TAPA METÁLICOS EN ANGULO Y PLATINA DE 1 1/2 x 1/8 (0,40x0,40)</t>
  </si>
  <si>
    <t>APU Santiago</t>
  </si>
  <si>
    <t>SENSOR DE BARRERA FOTOELÉCTRICA</t>
  </si>
  <si>
    <t>PANEL DE CONTROL PARA SISTEMA DE DETECCIÓN FOTOELÉCTRICO PERIMETRAL</t>
  </si>
  <si>
    <t>ING SANTIAGO</t>
  </si>
  <si>
    <t>MA-216</t>
  </si>
  <si>
    <t>https://interelectricas.com.co/alambres-y-cables/2515-cable-de-cobre-aislado-no-12-awg-metro-thhn-color-negro.html</t>
  </si>
  <si>
    <t>MA-217</t>
  </si>
  <si>
    <t>https://interelectricas.com.co/tuberia-metalica-y-pvc/2183-tubo-metalico-emt-de-3-4-pulgadas-x-3-mts.html</t>
  </si>
  <si>
    <t>MA-218</t>
  </si>
  <si>
    <t>MA-219</t>
  </si>
  <si>
    <t>https://interelectricas.com.co/tuberia-metalica-y-pvc/896-terminal-emt-acero-c-h-3-4-pulg-.html?__cf_chl_tk=fR1sobfHHmx4ZIZFrwnEgaVGcrQMLVAGM5Dp9iAJjE4-1741015398-1.0.1.1-PQCZtU2KHePVxucpMyVHDW9BwrvGPvc9ej05iocFE2EAEBmAILoALqHMICChAAGIAEGEMYigXCAgsQABiABBixAxiDAcICDhAuGIAEGLEDGNEDGMcBwgIOEAAYgAQYsQMYgwEYigXCAggQABiABBixA8ICERAuGIAEGMcBGJgFGJkFGK8BwgIKECMYgAQYJxiKBcICBBAjGCfCAgsQABiABBixAxiKBZgDAJIHCzAuNS4xLjIuMS4yoAeGXA&amp;sclient=gws-wiz-serp</t>
  </si>
  <si>
    <t>MA-220</t>
  </si>
  <si>
    <t>https://interelectricas.com.co/tuberia-metalica-y-pvc/911-union-emt-acero-c-h-3-4-pulgadas-ref-461-650406.html</t>
  </si>
  <si>
    <t>MA-221</t>
  </si>
  <si>
    <t>https://interelectricas.com.co/tuberia-metalica-y-pvc/902-curva-90deg-emt-de-3-4.html</t>
  </si>
  <si>
    <t>MA-222</t>
  </si>
  <si>
    <t>https://interelectricas.com.co/tuberia-metalica-y-pvc/951-grapa-metalica-aleta-doble-3-4-pulg-.html</t>
  </si>
  <si>
    <t>MA-223</t>
  </si>
  <si>
    <t>https://interelectricas.com.co/alambres-y-cables/2533-cable-de-cobre-aislado-no-14-awg-metro-thhn-color-negro.html</t>
  </si>
  <si>
    <t>MA-224</t>
  </si>
  <si>
    <t>https://www.compelelectronica.com/product/conector-tipo-resorte-vcp-vtcr-2/</t>
  </si>
  <si>
    <t>TERMINAL SOLDER AMARILLO 22-14 VCP</t>
  </si>
  <si>
    <t>MA-225</t>
  </si>
  <si>
    <t>https://interelectricas.com.co/articulos-electricos/1544-cinta-aislante-azul-x-15-mts.html</t>
  </si>
  <si>
    <t>CINTA DE COLORES</t>
  </si>
  <si>
    <t>MA-226</t>
  </si>
  <si>
    <t>https://interelectricas.com.co/articulos-electricos/92-toma-leviton-doble-15amp-con-polo-blanca.html</t>
  </si>
  <si>
    <t>MA-227</t>
  </si>
  <si>
    <t>MA-228</t>
  </si>
  <si>
    <t>https://interelectricas.com.co/tomas-electricas/2758-tapa-para-toma-doble-intemperie.html</t>
  </si>
  <si>
    <t>TUBO CONDUIT METALICO GALVANIZADO IMC DIAMETRO 1/2 PULG. (REF. EH = 43440)</t>
  </si>
  <si>
    <t>TUBO CONDUIT METÁLICO GALVANIZADO IMC DIAMETRO 3/4"</t>
  </si>
  <si>
    <t>TUBO CONDUIT METÁLICO GALVANIZADO IMC DIAMETRO 2"</t>
  </si>
  <si>
    <t>https://saldu.co/construccion-y-ferreteria/electricidad/tuberia-electrica-emt-y-pvc/terminal-conector-conduit-imc-de-3-4-pulg/</t>
  </si>
  <si>
    <t>TERMINAL IMC 3/4"</t>
  </si>
  <si>
    <t>MA-229</t>
  </si>
  <si>
    <t>https://interelectricas.com.co/tuberia-metalica-y-pvc/910-union-metalica-galvanizada-imc-de-3-4.html</t>
  </si>
  <si>
    <t>MA-230</t>
  </si>
  <si>
    <t>https://interelectricas.com.co/tuberia-metalica-y-pvc/905-curva-90deg-galvanizada-imc-de-3-4.html</t>
  </si>
  <si>
    <t>MA-231</t>
  </si>
  <si>
    <t>CINTA AISLANTE 23</t>
  </si>
  <si>
    <t>CINTA AISLANTE 33</t>
  </si>
  <si>
    <t>MA-232</t>
  </si>
  <si>
    <t>MA-233</t>
  </si>
  <si>
    <t>https://electroservimos.co/cintas-y-amarres/603-cs23-cinta-aislante-scott-23-caucho-autofundente-91m-alta-tension-3m.html</t>
  </si>
  <si>
    <t>https://interelectricas.com.co/articulos-electricos/1535-cinta-3m-aislante-scotch-super-33-19-mm-x-20-mts.html</t>
  </si>
  <si>
    <t>https://interelectricas.com.co/productos/3834-fotocelda-para-luminaria-azul-ip65-120-277vac-nc-fail-on-standard-life-380j-pce-3nc32a.html</t>
  </si>
  <si>
    <t>FOTOCELDA PARA LUMINARIA</t>
  </si>
  <si>
    <t>MA-236</t>
  </si>
  <si>
    <t>MA-234</t>
  </si>
  <si>
    <t>https://www.homecenter.com.co/homecenter-co/product/350570/caja-cuadrada-4x4-plastica-retie-setx10/350570/</t>
  </si>
  <si>
    <t>MA-235</t>
  </si>
  <si>
    <t>LUMINARIA LED HERMÉTICA 50 W. 5300 LUMENES. 100 - 277 V. POLICARBONATO RESISTENTE AL IMPACTO</t>
  </si>
  <si>
    <t>LUMINARIA LED TORTUGA 12 W. 960 LUMENES. 100 - 240 V.</t>
  </si>
  <si>
    <t>LUMINARIA LED TORTUGA 4 W. 300 LUMENES. 100 - 277 V.  INCRUSTAR O SOBREPONER</t>
  </si>
  <si>
    <t>https://interelectricas.com.co/alambres-y-cables/2027-cable-de-cobre-encauchetado-3-x-14-awg-metro.html</t>
  </si>
  <si>
    <t>PRENSA ESTOPA DE 1/2</t>
  </si>
  <si>
    <t>ABRAZADERA EN U PARA GUAYA DE 1/8</t>
  </si>
  <si>
    <t>CÁNCAMO DE UN OJO</t>
  </si>
  <si>
    <t>MA-237</t>
  </si>
  <si>
    <t>MA-240</t>
  </si>
  <si>
    <t>MA-241</t>
  </si>
  <si>
    <t>MA-242</t>
  </si>
  <si>
    <t>MA-243</t>
  </si>
  <si>
    <t>MA-244</t>
  </si>
  <si>
    <t>https://www.ferrelectrica.cl/product/prensa-estopa-metalica-1-2-12mm?srsltid=AfmBOopKqhsbCBVZiTvDOiknkRFmsLkGqVXVOQ3P_VCqzG83TS-7eN6g</t>
  </si>
  <si>
    <t>https://www.gruponavcar.com/cable-guaya-en-acero-galvanizado-de-18-31mm-yute-6x7-x-250-metros/p?srsltid=AfmBOookhAfM4KAG0ghCVvlYH4x0wQ-IN2tsmgRSFDmXUPCewmL4t2vg</t>
  </si>
  <si>
    <t>https://www.homecenter.com.co/homecenter-co/product/145448/perros-para-cable-galvanizado-1-8pg-4und-fixser/145448/</t>
  </si>
  <si>
    <t>https://articulo.mercadolibre.com.co/MCO-1395782091-mini-armella-cancamos-8x4mm-para-joyeria-100-und-_JM?searchVariation=181837640371#polycard_client=search-nordic&amp;searchVariation=181837640371&amp;position=15&amp;search_layout=stack&amp;type=item&amp;tracking_id=ce9116b4-8b6d-4986-86cb-f87a9eb165d4</t>
  </si>
  <si>
    <t>ENVÍO DE LUMINARIA</t>
  </si>
  <si>
    <t>CHAZO DE PLÁSTICO</t>
  </si>
  <si>
    <t>https://www.homecenter.com.co/homecenter-co/product/612881/chazo-puntilla-nylon-1-4x1-1-4-50-und-fixser/612881/</t>
  </si>
  <si>
    <t>LUMINARIA LED TORTUGA 18 W. 1260 LUMENES. 100 - 240 V.  SOBREPONER</t>
  </si>
  <si>
    <t>https://interelectricas.com.co/tuberia-metalica-y-pvc/2320-tubo-metalico-imc-de-1-x-3-mts-con-union.html</t>
  </si>
  <si>
    <t>MA-245</t>
  </si>
  <si>
    <t>https://interelectricas.com.co/tuberia-metalica-y-pvc/2088-coraza-liquid-tight-tipo-americano-1-pulgadas-x-metro.html</t>
  </si>
  <si>
    <t>CORAZA METÁLICA LIQUID TIGHT DE 1"</t>
  </si>
  <si>
    <t>https://interelectricas.com.co/herrajes-electricos/1735-conector-coraza-liquid-tight-recto-1-pulg-.html</t>
  </si>
  <si>
    <t>CONECTOR RECTO LIQUID TIGHT DE 1"</t>
  </si>
  <si>
    <t>https://edelco.co/producto/conduleta-c-1-rosca/?srsltid=AfmBOooz1qWrU-PcMD6_5pvcOWvfJJYFaGaMGMlhK8MjD5VaYK6ye6vH</t>
  </si>
  <si>
    <t>CONDULETA TIPO C 1″</t>
  </si>
  <si>
    <t>MA-238</t>
  </si>
  <si>
    <t>MA-239</t>
  </si>
  <si>
    <t>MA-246</t>
  </si>
  <si>
    <t>https://interelectricas.com.co/tuberia-metalica-y-pvc/958-curva-pvc-de-1.html</t>
  </si>
  <si>
    <t>MA-247</t>
  </si>
  <si>
    <t>https://interelectricas.com.co/tuberia-metalica-y-pvc/895-terminal-emt-acero-c-h-1-2-pulg-.html</t>
  </si>
  <si>
    <t>MA-248</t>
  </si>
  <si>
    <t>TAPA 4X4 CON EMPAQUE</t>
  </si>
  <si>
    <t>SOLDADURA PVC 1/4 GL</t>
  </si>
  <si>
    <t>https://edemco.co/index.php/producto/tapa-tc-rawelt-0418-4-4-ciega</t>
  </si>
  <si>
    <t>MA-249</t>
  </si>
  <si>
    <t>https://www.homecenter.com.co/homecenter-co/product/22762/removedor-pvc-1-4-galon-760gr/22762/</t>
  </si>
  <si>
    <t>LIMPIADOR DE TUBERÍA PVC 1/4 GL</t>
  </si>
  <si>
    <t>MA-250</t>
  </si>
  <si>
    <t>https://interelectricas.com.co/tuberia-metalica-y-pvc/1873-adaptador-terminal-pvc-de-3-4.html</t>
  </si>
  <si>
    <t>MA-251</t>
  </si>
  <si>
    <t>https://interelectricas.com.co/maniobra-e-industria/1635-toma-sencilla-legrand-20amp-125v-2f-turnlok-p-tierra.html</t>
  </si>
  <si>
    <t>MA-252</t>
  </si>
  <si>
    <t>MA-253</t>
  </si>
  <si>
    <t>https://electroservimos.co/placas-y-tapas/2713-pllvi2t-placa-caja-intemperie-transparente-toma-doble-gfci-horiz-leviton-decora.html</t>
  </si>
  <si>
    <t>https://tornitec.com/product/caja-para-intemperie-4x4-salida-1-2-5h/</t>
  </si>
  <si>
    <t>MA-254</t>
  </si>
  <si>
    <t>https://latiendadelelectrico.com/products/caja-rawelt-2x4-3-salidas-de-3-4,</t>
  </si>
  <si>
    <t>MA-255</t>
  </si>
  <si>
    <t>CAJA RAWELT INTEMPERIE 2X4 3/4"SOBRE PUESTO</t>
  </si>
  <si>
    <t xml:space="preserve">TUBERIA EMT 1/2" </t>
  </si>
  <si>
    <t>https://interelectricas.com.co/maniobra-e-industria/6851-analizador-de-redes-m4m-20-ref-2csg251151r4051-i2.html</t>
  </si>
  <si>
    <t>MA-256</t>
  </si>
  <si>
    <t>MA-257</t>
  </si>
  <si>
    <t>TOMA CORRIENTE LEVITON</t>
  </si>
  <si>
    <t>https://electrourquiza.mitiendaonline.com/conjunto-barra-de-cobre/24155-barra-de-cobre-bc40010-400-a-284mm.html</t>
  </si>
  <si>
    <t>BARRAJE DE COBRE 400A</t>
  </si>
  <si>
    <t>INTERRUPTOR DC 1X10 (6 kA)</t>
  </si>
  <si>
    <t>MA-258</t>
  </si>
  <si>
    <t>MA-259</t>
  </si>
  <si>
    <t>https://interelectricas.com.co/articulos-electricos/1097-borna-de-ponchar-estanada-no-1-0-cobre-barril-largo-marca-ied.html</t>
  </si>
  <si>
    <t>CONECTOR TERMINAL CU PARA CABLE 1/0 AWG</t>
  </si>
  <si>
    <t>MA-260</t>
  </si>
  <si>
    <t>CONECTOR TERMINAL CU PARA CABLE 8 AWG</t>
  </si>
  <si>
    <t>MA-261</t>
  </si>
  <si>
    <t>https://interelectricas.com.co/articulos-electricos/1112-borna-no-8-awg-de-ponchar-estanada-en-cobre-barril-largo.html</t>
  </si>
  <si>
    <t>BARRAJE EQUIPOTENCIAL CU ELECTROLÍTICO, INCLUYE AISLADORES Y ELEMENTOS DE SUJECIÓN</t>
  </si>
  <si>
    <t>https://interelectricas.com.co/tuberia-metalica-y-pvc/844-boquilla-de-1-pulg-tuerca-contratuerca.html</t>
  </si>
  <si>
    <t>TERMINAL IMC 1"</t>
  </si>
  <si>
    <t>MA-262</t>
  </si>
  <si>
    <t>https://interelectricas.com.co/herrajes-electricos/1743-conector-bimetalico-1-perno-no-1-cab-6.html</t>
  </si>
  <si>
    <t>CONECTOR BIMETÁLICO 1/0"</t>
  </si>
  <si>
    <t>MA-263</t>
  </si>
  <si>
    <t>https://interelectricas.com.co/tuberia-metalica-y-pvc/850-boquilla-de-1-2-pulg-tuerca-contratuerca.html</t>
  </si>
  <si>
    <t>MA-264</t>
  </si>
  <si>
    <t>TV-8</t>
  </si>
  <si>
    <t>Miniretroexcavadora</t>
  </si>
  <si>
    <t>SUMINISTRO E INSTALACIÓN DE ACCESORIOS Y CABLEADO PARA MACROMEDIDA</t>
  </si>
  <si>
    <t>https://ingecomsas.com/producto/caja-de-paso-plastica-ip65-162x162x130mm-kowet/</t>
  </si>
  <si>
    <t>CAJA DE PASO IP 65</t>
  </si>
  <si>
    <t>MA-265</t>
  </si>
  <si>
    <t>https://www.dincoelectricos.com/product-page/grapa-universal-cruz-paralela-8-10mm-bimetalico</t>
  </si>
  <si>
    <t>GRAPA CRUZ PARALELA BIMETÁLICA</t>
  </si>
  <si>
    <t>MA-266</t>
  </si>
  <si>
    <t>https://interelectricas.com.co/alambres-y-cables/1939-cable-de-aluminio-aislado-no-1-0-awg-serie-8000-thhn.html</t>
  </si>
  <si>
    <t>MA-267</t>
  </si>
  <si>
    <t>MA-268</t>
  </si>
  <si>
    <t>https://interelectricas.com.co/herrajes-electricos/4915-bayoneta-para-retencion-doble-2-1-4-x-1-50-mts.html</t>
  </si>
  <si>
    <t>https://interelectricas.com.co/articulos-electricos/962-prensaestopa-pvc-1-pulg-.html</t>
  </si>
  <si>
    <t>MA-269</t>
  </si>
  <si>
    <t>https://interelectricas.com.co/apantallamiento-proteccion-contra-rayos/2864-grapa-dehn-cruz-rd8-x-rd-16mm-acero-galv-ref-316163.html</t>
  </si>
  <si>
    <t>MA-270</t>
  </si>
  <si>
    <t>TON</t>
  </si>
  <si>
    <t>TRANSPORTE DE MATERIAL ELÉCTRICO</t>
  </si>
  <si>
    <t>https://interelectricas.com.co/tuberia-metalica-y-pvc/1843-capacete-roscado-en-aluminio-para-tuberia-imc-de-1.html</t>
  </si>
  <si>
    <t>MA-271</t>
  </si>
  <si>
    <t>MA-176</t>
  </si>
  <si>
    <t>https://interelectricas.com.co/tuberia-metalica-y-pvc/944-grapa-metalica-aleta-doble-1-pulg-.html</t>
  </si>
  <si>
    <t>https://interelectricas.com.co/alambres-y-cables/2478-cable-de-cobre-aislado-no-8-awg-metro-thhn-color-negro.html</t>
  </si>
  <si>
    <t>MA-272</t>
  </si>
  <si>
    <t>https://www.homecenter.com.co/homecenter-co/product/456213/amarra-plastica-blanca-36-x-200mm-paquete-x-100-unidades/456213/</t>
  </si>
  <si>
    <t>MA-273</t>
  </si>
  <si>
    <t>Cotización ABB</t>
  </si>
  <si>
    <t>RECONECTADOR TRIFÁSICO (R). UM:36KV, IN: 630A, ISC:12.5KA MIN, LIWV:170KV. INCLUYE CONTROL MICROPROCESADOR DE ÚLTIMA TECNOLOGÍA, CABLES DE 6M, PRENSACABLES Y TARJETA DE COMUNICACIÓN LAN DUAL ETHERNET RJ45 Y ÓPTICA MTRJ, 3 SENSORES DE TENSIÓN, 3 SENSORES DE CORRIENTE, UN GABINETE DE COMUNICACIÓN QUE INCLUYA RADIO Y ANTENA, BATERIA DE RESPALDO Y CARGADOR.</t>
  </si>
  <si>
    <t>TRANSFORMADOR DE TENSIÓN. USO EXTERIOR. DOBLE NUCLEO. (N1: 34,5√3/115√3. CL 0,5, 10 VA; N2: 34,5√3/115√3.CL 3P)</t>
  </si>
  <si>
    <t>TRANSFORMADOR DE TENSIÓN. USO EXTERIOR. DOBLE NUCLEO. (N1: 13,8√3/115√3. CL 0,5, 10 VA; N2: 13,8√3/115√3. 3P)</t>
  </si>
  <si>
    <t>RECONECTADOR TRIFÁSICO (R). UM:15KV, IN: 630A, ISC:12.5KA MIN, LIWV:170KV. INCLUYE CONTROL MICROPROCESADOR DE ÚLTIMA TECNOLOGÍA, CABLES DE 6M, PRENSACABLES Y TARJETA DE COMUNICACIÓN LAN DUAL ETHERNET RJ45 Y ÓPTICA MTRJ, 3 SENSORES DE TENSIÓN, 3 SENSORES DE CORRIENTE, UN GABINETE DE COMUNICACIÓN QUE INCLUYA RADIO Y ANTENA, BATERIA DE RESPALDO Y CARGADOR.</t>
  </si>
  <si>
    <t>Topografo</t>
  </si>
  <si>
    <t>MO-14</t>
  </si>
  <si>
    <t>MA-274</t>
  </si>
  <si>
    <t>Dumper de descarga Frontal 2T</t>
  </si>
  <si>
    <t>TV-9</t>
  </si>
  <si>
    <t>TEPE</t>
  </si>
  <si>
    <t>AGUA</t>
  </si>
  <si>
    <t>MA-275</t>
  </si>
  <si>
    <t>MA-276</t>
  </si>
  <si>
    <t>MA-277</t>
  </si>
  <si>
    <t>MA-278</t>
  </si>
  <si>
    <t>MA-279</t>
  </si>
  <si>
    <t>KG</t>
  </si>
  <si>
    <t>https://colombia.generadordeprecios.info/obra_nueva/Urbanizacion_interior_del_terreno/Jardineria/Tepes_y_cespedes/Tepe.html</t>
  </si>
  <si>
    <t>Rodillo Ligero</t>
  </si>
  <si>
    <t>Motocultor</t>
  </si>
  <si>
    <t>TV-10</t>
  </si>
  <si>
    <t>TV-11</t>
  </si>
  <si>
    <t>MA-280</t>
  </si>
  <si>
    <t>https://nextmedia.com.co/producto/vallas-informativas-de-obra/</t>
  </si>
  <si>
    <t>VALLA DE INFORMACIÓN 3m x 1,8m</t>
  </si>
  <si>
    <t>TEJA DE ZINC DE 3,05 M X 0,8 M CAL 35</t>
  </si>
  <si>
    <t>CLAVO COMÚN DE 2"</t>
  </si>
  <si>
    <t>TABLA MADERA COMÚN DE 1,7 CM X 18 CM 3/4"</t>
  </si>
  <si>
    <t>BISAGRA</t>
  </si>
  <si>
    <t>CONCRETO DE 11 MPA PREPARADA EN OBRA (PARALES)</t>
  </si>
  <si>
    <t>TELERA DE MADERA DE 1,35M X 0,9M</t>
  </si>
  <si>
    <t>TRITURADO 3/4"</t>
  </si>
  <si>
    <t>ARENA FINA PARA CONCRETOS</t>
  </si>
  <si>
    <t>LARGUERO MADERA COMÚN 4CM X 8CM X2,8M</t>
  </si>
  <si>
    <t>PLASTICO NEGRO 20X3 M ANCHO CAL 3,5</t>
  </si>
  <si>
    <t>LB</t>
  </si>
  <si>
    <t>MA-281</t>
  </si>
  <si>
    <t>MA-282</t>
  </si>
  <si>
    <t>MA-283</t>
  </si>
  <si>
    <t>MA-284</t>
  </si>
  <si>
    <t>MA-285</t>
  </si>
  <si>
    <t>MA-286</t>
  </si>
  <si>
    <t>MA-287</t>
  </si>
  <si>
    <t>MA-288</t>
  </si>
  <si>
    <t>MA-289</t>
  </si>
  <si>
    <t>MA-290</t>
  </si>
  <si>
    <t>TELA CONSTRUCCIÓN VERDE 2.10 MT ANCHO</t>
  </si>
  <si>
    <t>MA-291</t>
  </si>
  <si>
    <t>GRAVA CANTERA 20 MM diámetro</t>
  </si>
  <si>
    <t>MA-292</t>
  </si>
  <si>
    <t>RECEBO B400</t>
  </si>
  <si>
    <t>https://tul.com.co/details-product/multimarca-recebo-b400-x-7-m3</t>
  </si>
  <si>
    <t>https://ferreteriajamundi.co/producto/grava-lavada-de-rio/?srsltid=AfmBOopHWb45v_oJZYbF0toYKJ7KjWl554geaN4N6gxn_iER0YPlFV30</t>
  </si>
  <si>
    <t>VARILLA CORRUGADA 1/2"</t>
  </si>
  <si>
    <t>MA-293</t>
  </si>
  <si>
    <t>http://emsercota.gov.co/contratacion/2021/CONTRATOS/%20CONTRATO_126_2021_AL_CONSULTORES_SAS20220124_15214392.pdf</t>
  </si>
  <si>
    <t>MA-294</t>
  </si>
  <si>
    <t>MA-295</t>
  </si>
  <si>
    <t>MA-296</t>
  </si>
  <si>
    <t>MA-297</t>
  </si>
  <si>
    <t>MA-298</t>
  </si>
  <si>
    <t>http://www.colombia.generadordeprecios.info/obra_nueva/Revestimentos/Suelos_y_pisos/Ceramicos_gres/RSG010_Piso_de_baldosas_ceramicas_colocada.html</t>
  </si>
  <si>
    <t>MA-299</t>
  </si>
  <si>
    <t>https://www.homecenter.com.co/homecenter-co/product/553695/espejo-decorativo-circular-40cm/553695/</t>
  </si>
  <si>
    <t>CUBIERTA EN TEJA TERMOACUSTICA TIPO AJOVER O EQUIVALENTE</t>
  </si>
  <si>
    <t>MA-300</t>
  </si>
  <si>
    <t>https://solotejas.com/producto/teja-thermoacustic-ondulada/</t>
  </si>
  <si>
    <t>https://ferremaster.mercadoshops.com.co/MCO-566407649-tornillo-autoperforante-5-con-arandela-neopreno-_JM</t>
  </si>
  <si>
    <t>MA-301</t>
  </si>
  <si>
    <t>https://www.homecenter.com.co/homecenter-co/product/412742/sellador-poliuretano-mapeflex-pu-50-sl-para-juntas-de-expansion-y-dilatacion-en-pavimentos-x-12kilos-gris/412742/</t>
  </si>
  <si>
    <t>MA-302</t>
  </si>
  <si>
    <t>CABALLETER TERMOACÚSTICO</t>
  </si>
  <si>
    <t>MA-303</t>
  </si>
  <si>
    <t>https://solotejas.com/producto/caballete-thermoacustic-max/</t>
  </si>
  <si>
    <t>https://www.homecenter.com.co/homecenter-co/product/87829/farol-6-rayado-30-cm-x-10-cm-x-20-cm-15u-m2-5-kilos/87829/</t>
  </si>
  <si>
    <t>MA-304</t>
  </si>
  <si>
    <t>https://www.homecenter.com.co/homecenter-co/product/886936/cabina-rectangular-120x90x205cm-negra/886936/</t>
  </si>
  <si>
    <t>MA-305</t>
  </si>
  <si>
    <t>LADRILLO FAROL (15U/M2)</t>
  </si>
  <si>
    <t>https://www.homecenter.com.co/homecenter-co/product/612879/tornillo-panel-drywall-pundta-aguda-6x1-1-4-1000und-fixser/612879/</t>
  </si>
  <si>
    <t>MA-306</t>
  </si>
  <si>
    <t>https://www.homecenter.com.co/homecenter-co/product/592952/remache-hierro-c-plana-36x69-5u/592952/</t>
  </si>
  <si>
    <t>REMACHE HIERRO</t>
  </si>
  <si>
    <t>MA-307</t>
  </si>
  <si>
    <t>CEMENTO GRIS</t>
  </si>
  <si>
    <t>https://www.homecenter.com.co/homecenter-co/product/13846/cemento-argos-gris-50kg/13846/</t>
  </si>
  <si>
    <t>MA-308</t>
  </si>
  <si>
    <t>MA-309</t>
  </si>
  <si>
    <t>MA-310</t>
  </si>
  <si>
    <t>MA-311</t>
  </si>
  <si>
    <t>http://www.colombia.generadordeprecios.info/obra_nueva/Estructuras/Mamposteria_estructural/EFM_Muros_de_mamposteria_estructur/EFM010_Muro_de_mamposteria_estructural_de_.html</t>
  </si>
  <si>
    <t>https://www.homecenter.com.co/homecenter-co/product/735548/cercha-metalica-3m-maquiequipos/735548/</t>
  </si>
  <si>
    <t>MA-312</t>
  </si>
  <si>
    <t>http://www.colombia.generadordeprecios.info/obra_nueva/Revestimentos/Suelos_y_pisos/Ceramicos_gres/Guardaescoba_ceramico.html</t>
  </si>
  <si>
    <t>MA-313</t>
  </si>
  <si>
    <t>MA-314</t>
  </si>
  <si>
    <t>MA-315</t>
  </si>
  <si>
    <t>https://www.homecenter.com.co/homecenter-co/product/241303/pintura-epoxica-gris-1-galon/241303/</t>
  </si>
  <si>
    <t>MA-316</t>
  </si>
  <si>
    <t>http://www.colombia.generadordeprecios.info/obra_nueva/Revestimentos/Suelos_y_pisos/Contrapisos_y_grandes_recrecidos/Contrapiso_de_concreto_liviano.html</t>
  </si>
  <si>
    <t>MA-317</t>
  </si>
  <si>
    <t>Concretera</t>
  </si>
  <si>
    <t>TV-12</t>
  </si>
  <si>
    <t>ZAPATA DE CIMENTACIÓN DE CONCRETO SIMPLE</t>
  </si>
  <si>
    <t>MA-318</t>
  </si>
  <si>
    <t>https://colombia.generadordeprecios.info/obra_nueva/Cimentaciones/Superficiales/Zapatas/CSZ015_Zapata_de_cimentacion_de_concreto_s.html</t>
  </si>
  <si>
    <t>MA-319</t>
  </si>
  <si>
    <t>MA-320</t>
  </si>
  <si>
    <t>ALAMBRE GALVANIZADO PARA ATAR, DE 1,30 MM DE DIÁMETRO</t>
  </si>
  <si>
    <t>SEPARADOR HOMOLOGADO PARA VIGAS</t>
  </si>
  <si>
    <t>AGENTE DESMOLDEANTE, A BASE DE ACEITES ESPECIALES, EMULSIONABLE EN AGUA, PARA ENCOFRADOS METÁLICOS, FENÓLICOS O DE MADERA</t>
  </si>
  <si>
    <t>PUNTAS DE ACERO DE 20X100 MM</t>
  </si>
  <si>
    <t>MADERA DE PINO</t>
  </si>
  <si>
    <t>PUNTAL METÁLICO TELESCÓPICO, DE HASTA 3 M DE ALTURA</t>
  </si>
  <si>
    <t>ESTRUCTURA SOPORTE PARA ENCOFRADO RECUPERABLE, COMPUESTA DE: SOPANDAS METÁLICAS Y ACCESORIOS DE MONTAJE</t>
  </si>
  <si>
    <t>TABLERO DE MADERA TRATADA, DE 22 MM DE ESPESOR, REFORZADO CON VARILLAS Y PERFILES</t>
  </si>
  <si>
    <t>COLUMNAS 25X15 CM</t>
  </si>
  <si>
    <t>COLUMNAS 30X30 CM</t>
  </si>
  <si>
    <t>MA-321</t>
  </si>
  <si>
    <t>MA-322</t>
  </si>
  <si>
    <t>MA-323</t>
  </si>
  <si>
    <t>MA-324</t>
  </si>
  <si>
    <t>MA-325</t>
  </si>
  <si>
    <t>MA-326</t>
  </si>
  <si>
    <t>MA-327</t>
  </si>
  <si>
    <t>MA-328</t>
  </si>
  <si>
    <t>MA-329</t>
  </si>
  <si>
    <t>MA-330</t>
  </si>
  <si>
    <t>MA-331</t>
  </si>
  <si>
    <t>MA-332</t>
  </si>
  <si>
    <t>MA-333</t>
  </si>
  <si>
    <t>https://colombia.generadordeprecios.info/obra_nueva/calculaprecio.asp?Valor=30|0|2|EHV010|ehv_015%20viga:_0_0_0_5|hor_p_estruc%20viga:c14_0_1c3_0_5|ehv_cuan%20viga:_149000|acero%20viga:_0_0_0_0_0_0_0_3|hor_separadores%20vigas:_0_0_0_0_0_0_3_0|enc_ehv_011%20viga:c4_0_1c3_0_10_0_100_0_30_100c4_0_10</t>
  </si>
  <si>
    <t>SEPARADOR HOMOLOGADO DE PLÁSTICO, PARA ARMADURAS DE COLUMNAS DE VARIOS DIÁMETROS</t>
  </si>
  <si>
    <t>LÁMINA METÁLICA DE 50X50 CM, PARA ENCOFRADO DE COLUMNAS DE CONCRETO ARMADO DE SECCIÓN RECTANGULAR O CUADRADA, DE ENTRE 4 Y 5 M DE ALTURA, INCLUSO ACCESORIOS DE MONTAJE</t>
  </si>
  <si>
    <t>PUNTAL METÁLICO TELESCÓPICO, DE HASTA 5 M DE ALTURA</t>
  </si>
  <si>
    <t>BERENJENO DE PVC, DE VARIAS DIMENSIONES Y 2500 MM DE LONGITUD</t>
  </si>
  <si>
    <t>AGREGADO GRUESO HOMOGENEIZADO, DE TAMAÑO MÁXIMO 12,5 MM</t>
  </si>
  <si>
    <t>MA-334</t>
  </si>
  <si>
    <t>SUMINISTRO, TRANSPORTE E INSTALACIÓN DE TABLERO AUTOSOPORTADO DE FABRICACIÓN ESPECIAL. DE USO INTERIOR. IP 54. LAMINA DE ACERO GALVANIZADA CALIBRE 18. PARA ALBERGAR HASTA 6 EQUIPOS DE MEDIDA SEMIDIRECTA, SEGÚN DIAGRAMA UNIFILAR (+Q02A, +Q02B,+Q04A,+Q04B). INCLUYE ILUMINACIÓN, RESISTENCIA PARA CALEFACCIÓN, BREAKERS DE PROTECCIÓN, BORNERAS CORTOCIRCUITABLES, CANALETAS Y DEMÁS ACCESORIOS.</t>
  </si>
  <si>
    <t>MA-335</t>
  </si>
  <si>
    <t>https://interelectricas.com.co/aisladores/3002-aislador-tipo-pin-o-para-espigo-de-13-2-kv-ansi-55-4-te.html</t>
  </si>
  <si>
    <t>AISLADOR TIPO PIN DE PORCELANA PARA 13.2 KV ANSI 55-4</t>
  </si>
  <si>
    <t>MA-336</t>
  </si>
  <si>
    <t>MA-337</t>
  </si>
  <si>
    <t>https://interelectricas.com.co/articulos-electricos/2270-caja-concreto-para-camara-de-inspeccion-puesta-a-tierra-30-x-30-con-tapa.html</t>
  </si>
  <si>
    <t>SUBTOTAL COSTOS DIRECTOS (A+B+C+D+E)</t>
  </si>
  <si>
    <t>SUBTOTAL COSTOS DIRECTOS (A+B+C+D+E) + COSTOS INDIRECTOS (C.I)</t>
  </si>
  <si>
    <t>https://colombia.generadordeprecios.info/obra_nueva/calculaprecio.asp?Valor=25|0|3|EHV010|ehv_015%20viga:_0_0_0_5|hor_p_estruc%20viga:c14_0_1c3_0_5|ehv_cuan%20viga:_149000|acero%20viga:_0_0_0_0_0_0_0_3|hor_separadores%20vigas:_0_0_0_0_0_0_3_0|enc_ehv_011%20viga:c4_0_1c3_0_10_0_100_0_30_100c4_0_10</t>
  </si>
  <si>
    <t>MA-338</t>
  </si>
  <si>
    <t>MA-339</t>
  </si>
  <si>
    <t>MA-340</t>
  </si>
  <si>
    <t>MA-341</t>
  </si>
  <si>
    <t>MA-342</t>
  </si>
  <si>
    <t>MA-343</t>
  </si>
  <si>
    <t>MA-344</t>
  </si>
  <si>
    <t>MA-345</t>
  </si>
  <si>
    <t>MA-346</t>
  </si>
  <si>
    <t>MA-347</t>
  </si>
  <si>
    <t>MA-349</t>
  </si>
  <si>
    <t>MA-350</t>
  </si>
  <si>
    <t>http://www.colombia.generadordeprecios.info/obra_nueva/Cimentaciones/Concretos__aceros_y_encofrados/Concretos/Concreto_ciclopeo.html</t>
  </si>
  <si>
    <t>https://interelectricas.com.co/tuberia-metalica-y-pvc/2327-tubo-metalico-imc-de-4-pulgadas-x-3-mts-con-union.html</t>
  </si>
  <si>
    <t>http://www.colombia.generadordeprecios.info/obra_nueva/Urbanizacion_interior_del_terreno/Cerramientos_exteriores/Puertas/Puerta_con_malla_para_valla.html</t>
  </si>
  <si>
    <t>PORTÓN 6.3 ML X 2,7 ALTO EN TUBO GALVANIZADO 4". REFUERZO EN DIAGONALES EN TUBO GALVANIZADO 4". MALLA ESLABONADA CALIBRE 10,5 HUECO 2", INCLUYE ACCESORIOS (BISAGRAS, PASADORES EN VARILLA, TAPON DE ALUMINIO)</t>
  </si>
  <si>
    <t>https://www.homecenter.com.co/homecenter-co/product/170962/concertina-8mt-max-45cm-diametro-max-54-circulos/170962/</t>
  </si>
  <si>
    <t>POSTE INTERMEDIO DE TUBO DE ACERO GALVANIZADO, DE 48 MM DE DIÁMETRO Y 1,5 MM DE ESPESOR, ALTURA 2 M</t>
  </si>
  <si>
    <t>POSTE INTERIOR DE REFUERZO DE TUBO DE ACERO GALVANIZADO, DE 48 MM DE DIÁMETRO Y 1,5 MM DE ESPESOR, ALTURA 2 M</t>
  </si>
  <si>
    <t>POSTE EXTREMO DE TUBO DE ACERO GALVANIZADO, DE 48 MM DE DIÁMETRO Y 1,5 MM DE ESPESOR, ALTURA 2 M</t>
  </si>
  <si>
    <t>POSTE EN ESCUADRA DE TUBO DE ACERO GALVANIZADO, DE 48 MM DE DIÁMETRO Y 1,5 MM DE ESPESOR, ALTURA 2 M</t>
  </si>
  <si>
    <t>ACCESORIOS PARA LA FIJACIÓN DE LA MALLA DE SIMPLE TORSIÓN A LOS POSTES METÁLICOS</t>
  </si>
  <si>
    <t>CONCRETO SIMPLE F'C=210 KG/CM² (21 MPA), CLASE DE EXPOSICIÓN F0 S0 P0 C0, TAMAÑO MÁXIMO DEL AGREGADO 19 MM, MANEJABILIDAD BLANDA, FABRICADO EN PLANTA, SEGÚN NSR-10 Y ACI 318</t>
  </si>
  <si>
    <t>https://colombia.generadordeprecios.info/obra_nueva/calculaprecio.asp?Valor=2|0_1|1|UVT010|uvt_010:_0_0_0_0_0_0_0_0</t>
  </si>
  <si>
    <t>LADRILLO CERÁMICO CARA VISTA PERFORADO HIDROFUGADO, SALMÓN, ACABADO LISO, 24X11,5X5 CM</t>
  </si>
  <si>
    <t>MORTERO DE CEMENTO CEM II/B-P 32,5 N TIPO M-7,5, CONFECCIONADO EN OBRA CON 300 KG/M³ DE CEMENTO Y UNA PROPORCIÓN EN VOLUMEN 1/5</t>
  </si>
  <si>
    <t>ADITIVO HIDRÓFUGO PARA IMPERMEABILIZACIÓN DE MORTEROS U CONCRETOS</t>
  </si>
  <si>
    <t>ACERO EN BARRAS CORRUGADAS, GRADO 60 (FY=4200 KG/CM²), ELABORADO EN TALLER Y COLOCADO EN OBRA, DIÁMETROS VARIOS, SEGÚN NTC 2289 Y ASTM A 706</t>
  </si>
  <si>
    <t>MA-351</t>
  </si>
  <si>
    <t>MA-352</t>
  </si>
  <si>
    <t>MA-353</t>
  </si>
  <si>
    <t>MA-354</t>
  </si>
  <si>
    <t>http://www.colombia.generadordeprecios.info/obra_nueva/Fachadas/Mamposterias_estructurales/Hoja_exterior_cara_vista/FFX010_Hoja_exterior_de_fachada__de_mampos.html</t>
  </si>
  <si>
    <t>LÁMINA METÁLICA DE 50X50 CM, PARA ENCOFRADO DE COLUMNAS DE CONCRETO ARMADO DE SECCIÓN RECTANGULAR O CUADRADA, DE HASTA 3 M DE ALTURA, INCLUSO ACCESORIOS DE MONTAJE</t>
  </si>
  <si>
    <t>MA-355</t>
  </si>
  <si>
    <t>https://colombia.generadordeprecios.info/obra_nueva/calculaprecio.asp?Valor=0|1_0_0_0_0|5|EHS010|ehs_altplant%20rectangular:c14_0_25_0_0_100c4_0_10c3_0|hor_p_estruc%20pilar:c14_0_1c3_0_5|ehs_cuan:_119000|acero%20pilar:_0_0_0_0_0_0_0_3|hor_separadores%20soportes:_0_0_0_0_0_0_11_0</t>
  </si>
  <si>
    <t>MA-348</t>
  </si>
  <si>
    <t>Cotizacion Cinco</t>
  </si>
  <si>
    <t>MA-356</t>
  </si>
  <si>
    <t>CONCRETO SIMPLE F'C=210 KG/CM² (21 MPA), CLASE DE EXPOSICIÓN F0 S0 P0 C0, TAMAÑO MÁXIMO DEL AGREGADO 19 MM, MANEJABILIDAD PLÁSTICA, FABRICADO EN PLANTA, SEGÚN NSR-10 Y ACI 318</t>
  </si>
  <si>
    <t>ARENA DE CANTERA, PARA MORTERO PREPARADO EN OBRA</t>
  </si>
  <si>
    <t>MA-357</t>
  </si>
  <si>
    <t>MA-358</t>
  </si>
  <si>
    <t>MA-359</t>
  </si>
  <si>
    <t>MA-360</t>
  </si>
  <si>
    <t>http://www.colombia.generadordeprecios.info/espacios_urbanos/Firmes_y_pisos_urbanos/Bordes_y_limites_de_pisos/Bordillos/Bordillo_prefabricado_de_concreto.html</t>
  </si>
  <si>
    <t>MA-362</t>
  </si>
  <si>
    <t>Extendedora Asfáltica De Cadenas 110 Cv</t>
  </si>
  <si>
    <t>Rodillo Vibrante Tándem Autopropulsado, De 2300 Kg, Anchura De Trabajo 105 Cm</t>
  </si>
  <si>
    <t>Compactador De Neumáticos Autopropulsado, De 12/22 T</t>
  </si>
  <si>
    <t>TV-13</t>
  </si>
  <si>
    <t>TV-14</t>
  </si>
  <si>
    <t>TV-15</t>
  </si>
  <si>
    <t>TRANSFORMADOR DE POTENCIA DE 10/12.5 MVA, REFRIGERACIÓN ONAN/ONAF, 34.5/13.8 KV, CONEXIÓN DYN5, CON ACCESORIOS DE CONTROL Y PROTECCIÓN INCLUYENDO: TERMÓMETROS CON CONTACTOS, NIVEL DE ACEITE CON CONTACTOS, VÁLVULA QUALITROL, RELÉ DE BUCHHOLZ, TANQUE DE EXPANSIÓN, SECADORES DE AIRE, VENTILADORES, TABLERO DE CONEXIONES ACOPLADO, CAMBIADOR DE TAP`S DE OPERACIÓN SIN CARGA EN 34.5 KV.</t>
  </si>
  <si>
    <t>CELDA INTERRUPTOR TRIFÁSICO 36 KV/ 80 kA, TIPO INTERIOR, EN VACÍO. CORRIENTE NOMINAL: 630 A. 60 HZ. 3 POLOS. INCLUYE: 3 TRANSFORMADORES DE CORRIENTE TRIPLE NUCLEO (N1:300-600/5 CL: 0.2s, N2:300-600/5  CL: 0.2s, N3:300-600/5 CL: 5P20) CON PROTOCOLOS DE PRUEBA DE PRECISIÓN DE FABRICANTE Y LABORATORIO ACREDITADO Y UNIDAD INTEGRADA DE CONTROL Y PROTECCIÓN (RELE CON FUNCIONES: 50,  51, 50N, 51N,50BFE1,E2,27,59,26,49,63,71,96,33,63Q), PUERTO DE COMUNICACIÓN PARA FIBRA ÓPTICA, PROTOCOLO DE COMUNICACIÓN 61850</t>
  </si>
  <si>
    <t>Cotización ABB correo del 09/12/2024</t>
  </si>
  <si>
    <t>CELDA INTERRUPTOR TRIFÁSICO 36 KV/ 80 kA, TIPO INTERIOR, EN VACÍO. CORRIENTE NOMINAL: 630 A. 60 HZ. 3 POLOS. INCLUYE: 3 TRANSFORMADORES DE CORRIENTE TRIPLE NUCLEO (N1:400-800/5 CL: 0.5s, N2:400-800/5  CL: 0.5s, N3:400-800/5 CL: 5P20) CON PROTOCOLOS DE PRUEBA DE PRECISIÓN DE FABRICANTE Y LABORATORIO ACREDITADO Y UNIDAD INTEGRADA DE CONTROL Y PROTECCIÓN (RELÉS: 50, 51, 50N, 51N, 50BFE1/E2,25, 27,59, 74, 79, 67, 67N, 81), PUERTO DE COMUNICACIÓN PARA FIBRA ÓPTICA, PROTOCOLO DE COMUNICACIÓN 61850</t>
  </si>
  <si>
    <t>TRANSFORMADOR DE CORRIENTE. USO EXTERIOR. TRIPLE NÚCLEO: ( N1:200-400/5 CL: 0,5S, N2:200-400/5 CL: 0,5S, N3:200-400/5 CL: 5P20)  UM:38KV, ISC:12.5KA. INCLUYE PROTOCOLOS DE PRUEBA DE PRECISIÓN DE FABRICANTE Y LABORATORIO ACREDITADO.</t>
  </si>
  <si>
    <t>TRANSFORMADOR DE CORRIENTE. USO EXTERIOR. TRIPLE NÚCLEO: ( N1:150-300/5 CL: 0,5S, N2:150-300/5 CL: 0,5S, N3:150-300/5 CL: 5P20). UM:38KV, ISC:12.5KA. INCLUYE PROTOCOLOS DE PRUEBA DE PRECISIÓN DE FABRICANTE Y LABORATORIO ACREDITADO.</t>
  </si>
  <si>
    <t>MA-363</t>
  </si>
  <si>
    <t>MA-364</t>
  </si>
  <si>
    <t>CELDAS EN 13,8 kV</t>
  </si>
  <si>
    <t>SUMINISTRO E INSTALACIÓN DE CELDA PARA TRANSFORMADORES DE POTENCIAL : INCLUYE 3 TRANSFORMADORES DE TENSIÓN. USO INTERIOR. DOBLE NUCLEO. (N1: 13,8√3/115√3 - CL 0.5-10 VA; N2: 13,8√3/115√3- CL: 3P-10VA) CON PROTOCOLOS DE PRUEBA DE PRECISIÓN DE FABRICANTE Y LABORATORIO ACREDITADO.</t>
  </si>
  <si>
    <t>SUMINISTRO E INSTALACIÓN DE CELDA PARA TRANSFORMADORES DE POTENCIAL : INCLUYE 3 TRANSFORMADORES DE TENSIÓN. USO INTERIOR. DOBLE NUCLEO. (N1: 34,5√3/115√3 - CL 0.2-10 VA; N2: 34,5√3/115√3- CL: 3P-10VA) CON PROTOCOLOS DE PRUEBA DE PRECISIÓN DE FABRICANTE Y LABORATORIO ACREDITADO.</t>
  </si>
  <si>
    <t>SUMINISTRO E INSTALACIÓN DE CABLE DE FIBRA ÓPTICA MULTIMODO DE 2 HILOS. LOOSE TUBE - LSZH- UV</t>
  </si>
  <si>
    <t>https://www.router-switch.com/es/ie-4010-4s24p.html</t>
  </si>
  <si>
    <t>MA-365</t>
  </si>
  <si>
    <t xml:space="preserve">RELLENO Y COMPACTACIÓN 50CM DE ANCHO HASTA 1.5M PROFUNDIDAD. PARA INSTALACIÓN DE TUBERÍA Ø6". </t>
  </si>
  <si>
    <t xml:space="preserve">FILTROS EN GRAVILLA PARA CARCAMOS DE 40 CM (ANCHO) X40 CM (LARGO) X 100CM (PROFUNDIDAD) </t>
  </si>
  <si>
    <t>SIFON PARA DESAGÜE DE Ø2"(CÁRCAMOS Y PISO)</t>
  </si>
  <si>
    <t>DUCHA</t>
  </si>
  <si>
    <t>VIGA  DE CIMENTACION  (35 X 45 CM)</t>
  </si>
  <si>
    <t>EQUIPOS DE MEDIDA - TRAFO AUXILIAR</t>
  </si>
  <si>
    <t>SUMINISTRO E INSTALACIÓN DE SWITCH ROUTER DE TRES CAPAS CON FIREWALL. SOPORTE PARA IEC 61850, Modbus TCP/IP, DNP3, y VPN (IPSec, OpenVPN), WAN/LAN: Hasta 1 Gbps, 4 Puertos Ethernet</t>
  </si>
  <si>
    <t>SUMINISTRO E INSTALACIÓN DE RACK PARA COMUNICACIONES (+W01). IP 54. LAMINA DE ACERO GALVANIZADA CALIBRE 18 . INCLUYE UPS TIPO RACK 3000 VA, ODF DESLIZABLE TIPO RACK CON ENFRENTADORES LC EMBEBIDOS, ORGANIZADORES Y ACCESORIOS PARA CONEXIÓN DE EQUIPOS</t>
  </si>
  <si>
    <t>SUMINISTRO E INSTALACIÓN DE TABLERO AUTOSOPORTADO DE FABRICACIÓN ESPECIAL. DE USO INTERIOR. IP 54. LAMINA DE ACERO GALVANIZADA CALIBRE 18. PARA ALBERGAR HASTA 6 EQUIPOS DE MEDIDA SEMIDIRECTA, SEGÚN DIAGRAMA UNIFILAR (+Q01A, +Q01B,+Q03A,+Q03B). INCLUYE ILUMINACIÓN, RESISTENCIA PARA CALEFACCIÓN, BREAKERS DE PROTECCIÓN, CANALETAS Y DEMÁS ACCESORIOS.</t>
  </si>
  <si>
    <t>SUMINISTRO E INSTALACIÓN DE CABLE DE CONTROL APANTALLADO 3x10 AWG Cu- TC-THHN/THWN - ER- 600 V (CABLE PARA PTs)</t>
  </si>
  <si>
    <t>SUMINISTRO E INSTALACIÓN DE BANDEJA PORTACABLES 15X30 CM. INCLUYE CURVAS Y SISTEMA DE FIJACIÓN (PARA TCS Y PTS)</t>
  </si>
  <si>
    <t>SUMINISTRO E INSTALACIÓN DE CONECTORES RJ45 PARA CABLE F/UTP CON CERTIFICACIÓN.</t>
  </si>
  <si>
    <t>MA-366</t>
  </si>
  <si>
    <t>MA-367</t>
  </si>
  <si>
    <t>https://interelectricas.com.co/tuberia-metalica-y-pvc/2184-tubo-metalico-emt-de-1-pulgadas-x-3-mts.html</t>
  </si>
  <si>
    <t>MA-368</t>
  </si>
  <si>
    <t>MA-369</t>
  </si>
  <si>
    <t>https://interelectricas.com.co/tuberia-metalica-y-pvc/873-terminal-emt-acero-c-h-1-pulg-.html</t>
  </si>
  <si>
    <t>https://interelectricas.com.co/tuberia-metalica-y-pvc/885-union-emt-de-1.html</t>
  </si>
  <si>
    <t>MA-370</t>
  </si>
  <si>
    <t>MA-371</t>
  </si>
  <si>
    <t>https://interelectricas.com.co/tuberia-metalica-y-pvc/881-curva-90deg-emt-de-1.html</t>
  </si>
  <si>
    <t>CONDULETA TIPO LR DE 1" IMC</t>
  </si>
  <si>
    <t>https://electroservimos.co/sistemas-de-canalizacion/1848-c1lr9-conduleta-de-1-en-lr-emt-ul-ch.html</t>
  </si>
  <si>
    <t>MA-372</t>
  </si>
  <si>
    <t>https://interelectricas.com.co/alambres-y-cables/1988-cable-de-cobre-aislado-no-6-awg-metro-thhn-color-negro.html</t>
  </si>
  <si>
    <t>MA-373</t>
  </si>
  <si>
    <t>https://www.homecenter.com.co/homecenter-co/product/478099/panel-led-cuadrado-60x60-40w-luz-blanca-100-277v/478099/</t>
  </si>
  <si>
    <t>MA-374</t>
  </si>
  <si>
    <t>https://interelectricas.com.co/iluminacion-varios/9277-led-high-bay-syl-secure-80w-p23951-36-i2-240625.html</t>
  </si>
  <si>
    <t>MA-375</t>
  </si>
  <si>
    <t>LUMINARIA LED EXPLOSION-PROOF SYL SECURE 80 W</t>
  </si>
  <si>
    <t>https://interelectricas.com.co/iluminacion/159-luminaria-led-sylvania-emergencia-2-x-16-w-120-277-r1-ref-p23342.html</t>
  </si>
  <si>
    <t>MA-376</t>
  </si>
  <si>
    <t>MA-377</t>
  </si>
  <si>
    <t>https://interelectricas.com.co/iluminacion/165-luminaria-led-sylvania-emergencia-aviso-salida-rectangular-verde-18w-110-130v-p33718-19-.html</t>
  </si>
  <si>
    <t>https://interelectricas.com.co/articulos-electricos/135-ultra-interruptor-sencillo-conmutable-blanco.html</t>
  </si>
  <si>
    <t>MA-378</t>
  </si>
  <si>
    <t>https://interelectricas.com.co/articulos-electricos/136-ultra-interruptor-doble-conmutable-blanco.html</t>
  </si>
  <si>
    <t>MA-379</t>
  </si>
  <si>
    <t>MA-380</t>
  </si>
  <si>
    <t>MA-381</t>
  </si>
  <si>
    <t>https://electrificadoracapital.com/producto/interruptor-doble-4-vias-10a-127v-negro-mate?srsltid=AfmBOooT5TQFVXZiFRaPrRvdj_oX82Au73JY6YNPO0ta81XXyhv8iH8e</t>
  </si>
  <si>
    <t>MA-382</t>
  </si>
  <si>
    <t>MA-383</t>
  </si>
  <si>
    <t>https://interelectricas.com.co/breakers/1303-breaker-industrial-200-amp-capacidad-de-ruptura-50-ka-fijo-formula-a2c-1sda066778r1.html</t>
  </si>
  <si>
    <t>https://interelectricas.com.co/breakers/1278-breaker-de-riel-tripolar-abb-3-x-20a-10ka.html</t>
  </si>
  <si>
    <t>MA-384</t>
  </si>
  <si>
    <t>MA-385</t>
  </si>
  <si>
    <t>TABLERO AUTOSOPORTADO DE FABRICACIÓN ESPECIAL. DE USO INTERIOR. IP 65. LAMINA DE ACERO GALVANIZADA CALIBRE 18 CON BARRAJE DE DISTRIBUCIÓN DE CIRCUITOS</t>
  </si>
  <si>
    <t>https://interelectricas.com.co/alambres-y-cables/2020-cable-de-cobre-encauchetado-3-x-6-awg-metro.html</t>
  </si>
  <si>
    <t>MA-386</t>
  </si>
  <si>
    <t>MA-387</t>
  </si>
  <si>
    <t>MA-388</t>
  </si>
  <si>
    <t>MA-389</t>
  </si>
  <si>
    <t>CURVA 90° IMC 3/4"</t>
  </si>
  <si>
    <t>PLACA CAJA INTEMPERIE TRANSPARENTE TOMA DOBLE</t>
  </si>
  <si>
    <t>https://www.surtielectronic.com/producto/sylvania-p23640-22-led-reflector-jeta-luminaria-150w-dl</t>
  </si>
  <si>
    <t>LUMINARIA LED ALUMBRADO PÚBLICO 150W</t>
  </si>
  <si>
    <t>TUBO PVC DE Ø1" Y ACCESORIOS</t>
  </si>
  <si>
    <t>CAJA DE INSPECCIÓN DE 80X80 CM INTERNOS EN CONCRETO REFORZADO E INCLUYE TAPA EN CONCRETO REFORZADO CON MANIJA, HASTA 1.5 METROS DE PROFUNDIDAD</t>
  </si>
  <si>
    <t>CAJA DE INSPECCIÓN DE 100X100 CM INTERNOS EN CONCRETO REFORZADO E INCLUYE TAPA EN CONCRETO REFORZADO CON MANIJA, HASTA 1.5 METROS DE PROFUNDIDAD</t>
  </si>
  <si>
    <t>https://interelectricas.com.co/lista/LISTA_PRECIOS_PROCABLES.pdf</t>
  </si>
  <si>
    <t>CABLE 250 kcmil Cu XLPE FR-SR/PVC</t>
  </si>
  <si>
    <t>CABLE 500 kcmil Cu XLPE FR-SR/PVC</t>
  </si>
  <si>
    <t>MA-390</t>
  </si>
  <si>
    <t>MA-391</t>
  </si>
  <si>
    <t>INTERRUPTOR AC 1X20 25 kA</t>
  </si>
  <si>
    <t>MA-392</t>
  </si>
  <si>
    <t>https://vitelenergia.com/es/int-aut-3x80-100a-50ka-td100n-fmu.html</t>
  </si>
  <si>
    <t>MA-393</t>
  </si>
  <si>
    <t>INTERRUPTOR AC 3X80 50KA</t>
  </si>
  <si>
    <t>CONECTOR DE CABLE PASANTE CU 4/0 AWG A ELECTRODO 5/8"</t>
  </si>
  <si>
    <t>BARRAJE EQUIPOTENCIAL CU ELECTROLÍTICO</t>
  </si>
  <si>
    <t>CAJA DE INSPECCIÓN PARA PUESTA A TIERRA 0.30 X 0.30 M</t>
  </si>
  <si>
    <t>ELECTRODO DE PUESTA A TIERRA CU–CU Ø16 MM (5/8") X 2400 MM</t>
  </si>
  <si>
    <t>SUMINISTRO E INSTALACIÓN DE BANDEJA PORTACABLES 15X10 CM. INCLUYE CURVAS Y SISTEMA DE FIJACIÓN (DISTRIBUCIÓN DC Y AC)</t>
  </si>
  <si>
    <t>SUMINISTRO E INSTALACIÓN DE MEDIDOR DE ENERGÍA KWH-KVARH  CL 0.2S, DE CONEXIÓN INDIRECTA, MULTIFUNCIONAL CON INSTRUMENTACIÓN Y CURVA DE CARGA, MÍNIMO 8 CANALES, PUERTO ETERNET Y DOS PUERTOS SERIALES, CALIBRADO EN KWH Y KVARH CUATRO CUADRANTES Y BORNERAS CORTOCIRCUITABLES (+Q01A, +Q03A). INCLUYE PRUEBAS DE CALIBRACIÓN POR LABORATORIO ACREDITADO.</t>
  </si>
  <si>
    <t>https://interelectricas.com.co/articulos-electricos/1408-suplemento-proelectricos-2400-galvanizado.html</t>
  </si>
  <si>
    <t>MA-394</t>
  </si>
  <si>
    <t>MA-395</t>
  </si>
  <si>
    <t>https://articulo.mercadolibre.com.co/MCO-1473148871-tomacorriente-doble-leviton-con-tapa-intemperie-metalica-_JM?searchVariation=181515076882#polycard_client=search-nordic&amp;searchVariation=181515076882&amp;position=45&amp;search_layout=grid&amp;type=item&amp;tracking_id=89bb4d06-70e4-4008-a959-c15552c1246a</t>
  </si>
  <si>
    <t>MA-396</t>
  </si>
  <si>
    <t>TOMA CORRIENTE LEVITON IP65</t>
  </si>
  <si>
    <t>ALIMENTACIÓN AC</t>
  </si>
  <si>
    <t>SUMINISTRO E INSTALACIÓN DE INSTALACIÓN DE TABLERO DE SERVICIOS AUXILIARES. INCLUYE TOTALIZADOR 3X80 A, 5 BREAKERS 2X15A AC, 7 BREAKER 1X15A AC, 4 BREAKERS  1X20A AC.</t>
  </si>
  <si>
    <t xml:space="preserve">TOMACORRIENTES, ILUMINACIÓN Y CALEFACCIÓN EN GABINETES Y CELDAS </t>
  </si>
  <si>
    <t>ILUMINACIÓN DE CASETA</t>
  </si>
  <si>
    <t>TOMACORRIENTES PATIO Y CASETA</t>
  </si>
  <si>
    <t>https://interelectricas.com.co/tuberia-metalica-y-pvc/907-union-emt-de-1-2.html</t>
  </si>
  <si>
    <t>MA-397</t>
  </si>
  <si>
    <t>MA-398</t>
  </si>
  <si>
    <t>SUMINISTRO E INSTALACIÓN DE CIRCUITO DE ALIMENTACIÓN DE AIRE ACONDICIONADO EN TUBERÍA EMT DE 1" CABLE 3x6 AWG cu. INCLUYE TOMA CORRIENTE LEVITON+CAJA RAWEL Y ACCESORIOS (Longitud promedio 15m)</t>
  </si>
  <si>
    <t>https://www.latiendaderepuestosonline.com/MCO-898082585-cable-encauchetado-7x16-awg-centelsa-x-20metros-_JM</t>
  </si>
  <si>
    <t>MA-399</t>
  </si>
  <si>
    <t>https://interelectricas.com.co/cable-de-instrumentacion-control/10532-cable-instrumentacion-4x10-awg-gris-apantallado-con-foil-600v-90-grados-dw-12-awg-chaq-fr-pvc-res-uv-8b0p104109-i2-241116.html</t>
  </si>
  <si>
    <t>MA-400</t>
  </si>
  <si>
    <t>https://interelectricas.com.co/cable-fibra-optica/10655-fibra-optica-multimodo-om-3-6-hilos-int-ext-tigh-buffer-chaqueta-fr-lzsh-f40060629b-i2-241129.html</t>
  </si>
  <si>
    <t>MA-401</t>
  </si>
  <si>
    <t xml:space="preserve">SUMINISTRO E INSTALACIÓN DE CONECTORES DE FIBRA ÓPTICA TIPO LC, SC, ST CON CERTIFICACIÓN, TERMOENCOGIBLES Y DEMÁS ACCESORIOS NECESARIOS PARA EL CONEXIONADO A LA RED. </t>
  </si>
  <si>
    <t>MA-402</t>
  </si>
  <si>
    <t>https://interelectricas.com.co/tuberia-metalica-y-pvc/2343-tubo-ducto-pvc-db-de-2-x-3-mts.html</t>
  </si>
  <si>
    <t>TUBO PVC 2"</t>
  </si>
  <si>
    <t>MA-403</t>
  </si>
  <si>
    <t>MA-404</t>
  </si>
  <si>
    <t>MA-405</t>
  </si>
  <si>
    <t>https://productos.redeselectricas.com/conduletas-y-accesorios/conduleta-lb-2imc-rawelt-olb-0306-c-r961</t>
  </si>
  <si>
    <t>CONDULETA TIPO C 2"</t>
  </si>
  <si>
    <t>MA-406</t>
  </si>
  <si>
    <t>TERMINAL IMC 2"</t>
  </si>
  <si>
    <t>https://electrodata.com.co/producto/terminales-tubo-imc/</t>
  </si>
  <si>
    <t>MA-407</t>
  </si>
  <si>
    <t>CABLE 250 KCMIL Cu XLPE 15KV</t>
  </si>
  <si>
    <t>CABLE 500 KCMIL Cu XLPE 35KV</t>
  </si>
  <si>
    <t>CABLE 500 KCMIL Cu XLPE 15KV</t>
  </si>
  <si>
    <t>CABLE 250 KCMIL Cu XLPE 35KV</t>
  </si>
  <si>
    <t>MA-408</t>
  </si>
  <si>
    <t>MA-409</t>
  </si>
  <si>
    <t>MA-410</t>
  </si>
  <si>
    <t>MA-411</t>
  </si>
  <si>
    <t>https://indelek.com/xlpe-cu-15-kv/cable-xlp-500-mcm-rojo-carrete-100-cobre-15kv-5723.html</t>
  </si>
  <si>
    <t>TRANSFORMADOR DE TENSIÓN. USO INTERIOR. DOBLE NUCLEO. (N1: 13,8√3/115√3. CL 0,5, 10 VA; N2: 13,8√3/115√3. 3P)</t>
  </si>
  <si>
    <t>TRANSFORMADOR DE TENSIÓN. USO INTERIOR. DOBLE NUCLEO. (N1: 34,5√3/115√3. CL 0,2, 10 VA; N2: 34,5√3/115√3.CL 3P)</t>
  </si>
  <si>
    <t>Resolución CREG 015 2018 indexado a enero 2025</t>
  </si>
  <si>
    <t>MA-412</t>
  </si>
  <si>
    <t>MA-413</t>
  </si>
  <si>
    <t>CELDA DE MEDIDA DE FABRICACIÓN ESPECIAL. DE USO INTERIOR. IP 65. LAMINA DE ACERO GALVANIZADA CALIBRE 18. INCLUYE CABLE DE POTENCIA Y HERRAJERÍA</t>
  </si>
  <si>
    <t>MA-414</t>
  </si>
  <si>
    <t>MEDIDOR DE ENERGÍA KWH-KVARH  CL 0.2S, DE CONEXIÓN INDIRECTA, MULTIFUNCIONAL CON INSTRUMENTACIÓN Y CURVA DE CARGA, MÍNIMO 8 CANALES, PUERTO ETERNET Y DOS PUERTOS SERIALES, CALIBRADO EN KWH Y KVARH CUATRO CUADRANTES Y BORNERAS CORTOCIRCUITABLES (+Q01A, +Q03A). INCLUYE PRUEBAS DE CALIBRACIÓN POR LABORATORIO ACREDITADO.</t>
  </si>
  <si>
    <t>MA-415</t>
  </si>
  <si>
    <t>MA-416</t>
  </si>
  <si>
    <t>https://www.jd-market.com/MCO-814927417-conector-de-red-terminal-rj45-cat-6-bolsa-x-100-unidades-_JM?srsltid=AfmBOoqwVKa8-W6EzRCO2wvVMbffmU044TXPcbLXuRJTtGXJy2Ava_HW</t>
  </si>
  <si>
    <t>LOCALIZACIÓN Y REPLANTEO</t>
  </si>
  <si>
    <t>VALLA DE INFORMACIÓN DE 2,00 X 4,00 M</t>
  </si>
  <si>
    <t>CAMPAMENTO E INSTALACIONES PROVISIONALES, INCLUYE CERRAMIENTO EN MALLA VERDE</t>
  </si>
  <si>
    <t>EXCAVACIÓN MECANICA EN MATERIAL COMUN (INCLUYE CORTE Y CARGUE)</t>
  </si>
  <si>
    <t>ESPEJO 0,50 M X 0,80 M</t>
  </si>
  <si>
    <t>GUARDAESCOBA SOLO PARA PISO EN BALDOSA</t>
  </si>
  <si>
    <t>SUMINSTRO E INSTALACIÓN DE ELEMENTOS DE SEÑALES VERTICALES EN FONDO REFLECTIVO TIPO ALTA INTENSIDAD CON TABLERO EN LÁMINA CAL 16, TERMINADOS EN PINTURA ELECTROSTÁTICA BLANCA.</t>
  </si>
  <si>
    <t>SEÑAL HORIZONTAL PARA LA PALABRA PARE Y LÍNEA DE PARE EN PINTURA ACRILICA DE TRAFICO.</t>
  </si>
  <si>
    <t>107</t>
  </si>
  <si>
    <t>REVEGETACIÓN Y EMPRADIZADO</t>
  </si>
  <si>
    <t>https://interelectricas.com.co/tuberia-metalica-y-pvc/2654-tubo-metalico-rigid-galvanizado-de-6-x-3mts-ref-cr60003000grc.html</t>
  </si>
  <si>
    <t>MA-417</t>
  </si>
  <si>
    <t>MA-418</t>
  </si>
  <si>
    <t>TUBO PVC 6"</t>
  </si>
  <si>
    <t>https://electrificadoracapital.com/producto/tubo-pvc-db-6-x6m-norma</t>
  </si>
  <si>
    <t>MA-419</t>
  </si>
  <si>
    <t>https://interelectricas.com.co/tuberia-metalica-y-pvc/2127-curva-pvc-de-6-pulgadas-db.html</t>
  </si>
  <si>
    <t>CURVA PVC 6" DB</t>
  </si>
  <si>
    <t>MA-420</t>
  </si>
  <si>
    <t>SUMINISTRO, TRANSPORTE E INSTALACIÓN DE TABLERO AUTOSOPORTADO DE FABRICACIÓN ESPECIAL. DE USO INTERIOR. IP 54. LAMINA DE ACERO GALVANIZADA CALIBRE 18. PARA ALBERGAR HASTA 6 EQUIPOS DE CONTROL, SEGÚN DIAGRAMA UNIFILAR (+R01A). INCLUYE ILUMINACIÓN, RESISTENCIA PARA CALEFACCIÓN, BREAKERS DE PROTECCIÓN.</t>
  </si>
  <si>
    <t>MA-421</t>
  </si>
  <si>
    <t>MA-422</t>
  </si>
  <si>
    <t>CELDA INTERRUPTOR TRIFÁSICO 15 KV, TIPO INTERIOR, EN VACÍO. CORRIENTE NOMINAL: 1250 A. 60 HZ. 3 POLOS. INCLUYE: 3 TRANSFORMADORES DE CORRIENTE TRIPLE NUCLEO (N1:300-600/5 CL: 0.5s, N2:300-600/5  CL: 0.5s, N3:300-600/5 CL: 5P20) CON PROTOCOLOS DE PRUEBA DE PRECISIÓN DE FABRICANTE Y LABORATORIO ACREDITADO Y UNIDAD INTEGRADA DE CONTROL Y PROTECCIÓN (RELÉS: 50, 51, 50N, 51N, 50BFE1/E2,25, 27,59, 74, 79, 67, 67N, 81), PUERTO DE COMUNICACIÓN PARA FIBRA ÓPTICA, PROTOCOLO DE COMUNICACIÓN 61850.</t>
  </si>
  <si>
    <t>CELDA INTERRUPTOR TRIFÁSICO 15 KV, TIPO INTERIOR, EN VACÍO. CORRIENTE NOMINAL: 1250 A. 60 HZ. 3 POLOS. INCLUYE: 3 TRANSFORMADORES DE CORRIENTE TRIPLE NUCLEO (N1:300-600/5 CL: 0.5s, N2:300-600/5  CL: 0,5s, N3:300-600/5 CL: 5P20) CON PROTOCOLOS DE PRUEBA DE PRECISIÓN DE FABRICANTE Y LABORATORIO ACREDITADO Y UNIDAD INTEGRADA DE CONTROL Y PROTECCIÓN (RELE CON FUNCIONES: 50, 51, 50N, 51N,50BFE1,E2,27,59,26,49,63,71,96,33,63Q), PUERTO DE COMUNICACIÓN PARA FIBRA ÓPTICA, PROTOCOLO DE COMUNICACIÓN 61850.</t>
  </si>
  <si>
    <t>https://interelectricas.com.co/alambres-y-cables/1986-cable-de-cobre-aislado-no-4-awg-metro-thhn-color-negro.html</t>
  </si>
  <si>
    <t>MA-423</t>
  </si>
  <si>
    <t>MA-424</t>
  </si>
  <si>
    <t>https://interelectricas.com.co/articulos-electricos/1110-borna-de-ponchar-estanada-no-4-cobre-barril-largo-marca-ied.html</t>
  </si>
  <si>
    <t>https://edemco.co/producto/borna-terminal-10awg</t>
  </si>
  <si>
    <t>MA-425</t>
  </si>
  <si>
    <t>MA-426</t>
  </si>
  <si>
    <t>CABLE 350 MCM KCMIL THHN/THWN-2 Cobre</t>
  </si>
  <si>
    <t>https://ineldec.com/producto/cable-350-mcm-kcmil-thhn-thwn-2-cobre/</t>
  </si>
  <si>
    <t>https://interelectricas.com.co/articulos-electricos/1156-borna-ponchar-estanada-n-350-mcm-barril-largo.html</t>
  </si>
  <si>
    <t>CONECTOR TERMINAL CU PARA CABLE N 4</t>
  </si>
  <si>
    <t>CONECTOR TERMINAL CU PARA CABLE N 10</t>
  </si>
  <si>
    <t>MA-427</t>
  </si>
  <si>
    <t>https://www.soelcon.com/producto/barra-platina-cobre-3x15-mm-x-5700-mm-219kg/</t>
  </si>
  <si>
    <t>MA-428</t>
  </si>
  <si>
    <t>BARRA PLATINA COBRE 30*3 MM X 1 MT</t>
  </si>
  <si>
    <t>https://panelconstructor.com.co/producto/platinas-12mm-3mm/?srsltid=AfmBOoqbmazsAaHqJmPknrOsasQD0GkjFu8l-mCr01q7PcOCP2c-8yzh</t>
  </si>
  <si>
    <t>PLATINA 1/2 X 3/8"</t>
  </si>
  <si>
    <t>MA-429</t>
  </si>
  <si>
    <t>PÉRNO DE MÁQUINA 1/2"</t>
  </si>
  <si>
    <t>https://interelectricas.com.co/herrajes-electricos/30-perno-maquina-de-1-2-x-2.html</t>
  </si>
  <si>
    <t>MA-430</t>
  </si>
  <si>
    <t>MA-431</t>
  </si>
  <si>
    <t>https://interelectricas.com.co/aisladores/4161-aislador-tipo-pin-polimerico-35kv.html</t>
  </si>
  <si>
    <t>https://interelectricas.com.co/aisladores/2226-aislador-tipo-pin-polimerico-15kv.html</t>
  </si>
  <si>
    <t>MA-432</t>
  </si>
  <si>
    <t>ESTRUCTURA METÁLICA DE AFLORAMIENTO PARA CONEXIÓN DE BORNES 34,5kV  TRANSFORMADOR EN PATIO. INCLUYE AISLADORES TIPO PIN POLIMÉRICOS</t>
  </si>
  <si>
    <t>ESTRUCTURA METÁLICA DE AFLORAMIENTO PARA CONEXIÓN DE BORNES 13,8kV  TRANSFORMADOR EN PATIO. INCLUYE AISLADORES TIPO PIN POLIMÉRICOS</t>
  </si>
  <si>
    <t>https://interelectricas.com.co/tuberia-metalica-y-pvc/1874-adaptador-terminal-pvc-de-6-tipo-campana.html</t>
  </si>
  <si>
    <t>CAMPANA PVC 6"</t>
  </si>
  <si>
    <t>MA-433</t>
  </si>
  <si>
    <t>https://interelectricas.com.co/tuberia-metalica-y-pvc/2126-curva-pvc-de-4.html</t>
  </si>
  <si>
    <t>CURVA PVC 4" DB</t>
  </si>
  <si>
    <t>MA-434</t>
  </si>
  <si>
    <t>Catalogo ABB Colombia 2017</t>
  </si>
  <si>
    <t>TRANSFORMADOR TRÍFASICO TIPO SECO 75 KVA, 13.8/0.208 KV, DYN5, Cu-Cu, AISLADO EN RESINA. CLASE F</t>
  </si>
  <si>
    <t>Catalogo Magnetrón 2023</t>
  </si>
  <si>
    <t>MA-435</t>
  </si>
  <si>
    <t>DPS ALTA TENSIÓN HEAVY DUTY 15KV</t>
  </si>
  <si>
    <t>MA-438</t>
  </si>
  <si>
    <t>CONECTOR TERMINAL CU PARA CABLE N 350 KCMIL</t>
  </si>
  <si>
    <t>https://ineldec.com/producto/transformador-de-corriente-relacion-200-5a/</t>
  </si>
  <si>
    <t>MA-439</t>
  </si>
  <si>
    <t>TRANSFORMADOR DE CORRIENTE DE VENTANA TIPO INTERIOR 200/5, CL: 0.5s, 25 VA</t>
  </si>
  <si>
    <t>TUBO GALVANIZADO DE 70 CM,  Ø1 1/2" CON CODO A 45° INCLUYE TAPÓN DE ALUMINIO.</t>
  </si>
  <si>
    <t>TERMINAL PIN PUNTA CALIBRE 12 AWG</t>
  </si>
  <si>
    <t>https://interelectricas.com.co/articulos-electricos/5344-terminal-pin-punta-cilind-calibre-12-140-awg-amarillo.html</t>
  </si>
  <si>
    <t>MA-440</t>
  </si>
  <si>
    <t>TABLERO AUTOSOPORTADO DE FABRICACIÓN ESPECIAL. DE USO INTERIOR. IP 65. LAMINA DE ACERO GALVANIZADA CALIBRE 18.</t>
  </si>
  <si>
    <t>MA-441</t>
  </si>
  <si>
    <t>ESTRUCTURA METÁLICA PARA BATERIAS</t>
  </si>
  <si>
    <t>MA-442</t>
  </si>
  <si>
    <t>Estimado</t>
  </si>
  <si>
    <t>SUMINISTRO E INSTALACIÓN DE BANCO DE BATERÍAS (CONFORMADO POR 63 BATERÍAS DE 2 VDC – 400 AH).  INCLUYE  ESTRUCTURA DE SOPORTE Y DEMÁS ACCESORIOS PARA SU CORRECTA INSTALACIÓN.</t>
  </si>
  <si>
    <t>SUMINISTRO E INSTALACIÓN DE REFLECTOR LED 150 W.  LUMENES 12750. INCLUYE  2 FUSIBLES TIPO SUMERGIBLE DE VIDRIO. CABLE ENCAUCHETADA 3X16 AWG. CONECTORES DE RESORTE Y FOTOCELDA</t>
  </si>
  <si>
    <t>SUMINISTRO E INSTALACIÓN DE LUMINARIA PANEL LED 40 W 60X60. 3200 LUMENES. 100 - 277 V. CABLE 3X14 AWG, CLAVIJA POLO A TIERRA, PRENSAESTOPA, GUAYA, ABRAZADERA EN U</t>
  </si>
  <si>
    <t>SUMINISTRO E INSTALACIÓN DE LUMINARIA LED HERMÉTICA 50 W. 5300 LUMENES. 100 - 277 V. POLICARBONATO RESISTENTE AL IMPACTO. CABLE 3X14 AWG, CLAVIJA POLO A TIERRA, PRENSAESTOPA, GUAYA, ABRAZADERA EN U</t>
  </si>
  <si>
    <t>SUMINISTRO E INSTALACIÓN DE LUMINARIA LED EXPLOSION-PROOF SYL SECURE 80 W. 4110 - 10960 LUMENES. 120 - 277 V. CABLE 3X14 AWG, CLAVIJA POLO A TIERRA, PRENSAESTOPA.</t>
  </si>
  <si>
    <t>SUMINISTRO E INSTALACIÓN DE LUMINARIA LED DE EMERGENCIA 16 W. 8  LUMENES. 100 - 277 V.  INCRUSTAR O SOBREPONER. CABLE 3X16 AWG, CLAVIJA POLO A TIERRA, PRENSAESTOPA.</t>
  </si>
  <si>
    <t>SUMINISTRO E INSTALACIÓN DE LUMINARIA LED AVISO DE EMERGENCIA 2 W. 300 LUMENES. 110 - 130 V. CABLE 3X16 AWG, CLAVIJA POLO A TIERRA, PRENSAESTOPA</t>
  </si>
  <si>
    <t>https://www.homecenter.com.co/homecenter-co/product/590925/tapa-exterior-intemperie-horizontal-leviton-5980-ucl-con-placas-adaptadoras/590925/</t>
  </si>
  <si>
    <t>MA-443</t>
  </si>
  <si>
    <t>SUMINISTRO E INSTALACIÓN DE EXTRACTOR DE AIRE DE 24" . EN TUBERÍA EMT DE 3/4" , CLAVIJA POLO A TIERRA, CABLE 3X10 AWG (Longitud Promedio 3 m)</t>
  </si>
  <si>
    <t>SUMINISTRO E INSTALACIÓN DE INSTALACIÓN DE TABLERO AUTOSOPORTADO DE FABRICACIÓN ESPECIAL. DE USO INTERIOR. IP 54. LAMINA DE ACERO GALVANIZADA CALIBRE 18. (+NK02).  INCLUYE BARRAJE DE 400 A, ANALIZADOR DE RED M4M,  TOTALIZADOR 3X100 A, 40 BREAKERS MONOPOLARES 1X10A DC. ILUMINACIÓN, TOMA LEVITON Y  ACCESORIOS.</t>
  </si>
  <si>
    <t>CONEXIÓN EN X CABLE CU 4/0 AWG A VARILLA 5/8"</t>
  </si>
  <si>
    <t>CONECTOR EN T CABLE CU 4/0 AWG A ELECTRODO 5/8"</t>
  </si>
  <si>
    <t>https://interelectricas.com.co/premoldeados-media-baja-tension/995-terminales-premoldeadas-para-34-5-kv-uso-exterior-para-calibres-de-cable-entre-1-0-250-kcm-juego-x-3-unidades.html</t>
  </si>
  <si>
    <t>MA-444</t>
  </si>
  <si>
    <t>MA-445</t>
  </si>
  <si>
    <t>https://distribuidorajdor.com.co/producto/terminales-premoldeadas-para-35-kv-uso-exterior-para-calibres-de-cable-entre-350-500/</t>
  </si>
  <si>
    <t>https://fyeel.com.co/productos/994-terminales-premoldeadas-para-15-kv-uso-exterior-para-calibres-de-cable-entre-250-500-juego-x-3-unidades.html</t>
  </si>
  <si>
    <t>MA-446</t>
  </si>
  <si>
    <t>MA-447</t>
  </si>
  <si>
    <t>TERMINAL CONECTOR CU 4/0 SPT</t>
  </si>
  <si>
    <t>https://interelectricas.com.co/articulos-electricos/1125-borna-ied-ponchar-cu-rojo-n-4-0.html#bb27/classic/</t>
  </si>
  <si>
    <t>MA-448</t>
  </si>
  <si>
    <t>https://interelectricas.com.co/bornas-de-ponchar/1141-borna-ied-ponchar-cu-rojo-doble-hueco-n-2-0.html</t>
  </si>
  <si>
    <t>MA-449</t>
  </si>
  <si>
    <t>TERMINAL CONECTOR CU 2/0 SPT</t>
  </si>
  <si>
    <t>MA-450</t>
  </si>
  <si>
    <t>https://www.electro-persa.com/conector-para-cable-gb29-cal-20-250-mca-burndy</t>
  </si>
  <si>
    <t>CONECTOR GB29 CU PARA CABLE 2/0 A 4/0 AWG BURNDY</t>
  </si>
  <si>
    <t>TABLERO DE AIRES ACONDICIONADOS</t>
  </si>
  <si>
    <t>EXTRACTOR DE AIRE</t>
  </si>
  <si>
    <t>SUMINISTRO E INSTALACIÓN DE MEDIDOR DE ENERGÍA KWH-KVARH  CL 0.5S, DE CONEXIÓN INDIRECTA, MULTIFUNCIONAL CON INSTRUMENTACIÓN Y CURVA DE CARGA, MÍNIMO 8 CANALES, PUERTO ETERNET Y DOS PUERTOS SERIALES, CALIBRADO EN KWH Y KVARH CUATRO CUADRANTES Y BORNERAS CORTOCIRCUITABLES (GABINETES: +Q02A, +Q04A). INCLUYE PRUEBAS DE CALIBRACIÓN POR LABORATORIO ACREDITADO.</t>
  </si>
  <si>
    <t>SISTEMA DE SEGURIDAD PERIMETRAL (INCLUYE: 8 SENSORES DE BARRERA FOTOELÉCTRICA, PANEL DE CONTROL,  Y ACCESORIOS PARA SU INSTALACIÓN), TUBERÍA PVC 3/4".  (Longitud Promedio 145 m)</t>
  </si>
  <si>
    <t>https://interelectricas.com.co/tuberia-metalica-y-pvc/2909-union-pvc-3-4.html</t>
  </si>
  <si>
    <t>MA-451</t>
  </si>
  <si>
    <t>https://www.homecenter.com.co/homecenter-co/product/353732/caja-aluminio-5800-rectangular-4-salidas-de-1-2-pulg-x-20-unds/353732/</t>
  </si>
  <si>
    <t>MA-452</t>
  </si>
  <si>
    <t>SUMINISTRO E INSTALACIÓN DE CABLE 3X350F+1X350N + 1X4 T AWG Cu- TC-THHN - 600 V. INCLUYE TERMINALES. (TRANSFERENCIA - DISTRIBUCIÓN AC)</t>
  </si>
  <si>
    <t>SUMINISTRO E INSTALACIÓN DE CIRCUITO DE ALIMENTACIÓN PARA TABLEROS EN TUBERÍA EMT DE 3/4" (ILUMINACIÓN, CALEFACCIÓN y TOMAS). CABLE cu (1#12F+1#12N+1#12T) AWG cu THHN-600v</t>
  </si>
  <si>
    <t>TERMINAL CONECTOR CU PARA CABLE N 8</t>
  </si>
  <si>
    <t>MA-453</t>
  </si>
  <si>
    <t>https://electroservimos.co/proteccion-y-control/1276-placa-metalica-10-x-10cm-pequena-peligro-riesgo-electrico-herrajes.html</t>
  </si>
  <si>
    <t xml:space="preserve">PLACA DE SEÑALIZACIÓN E IDENTIFICACIÓN </t>
  </si>
  <si>
    <t>MA-454</t>
  </si>
  <si>
    <t>LICENCIA AMBIENTAL Y PERMISOS</t>
  </si>
  <si>
    <t>Artículo 96 ley 633 de 2000</t>
  </si>
  <si>
    <t>MA-436</t>
  </si>
  <si>
    <t>MA-437</t>
  </si>
  <si>
    <t>Valor aproximado</t>
  </si>
  <si>
    <t>TRAMITES CONEXIÓN AL ACUEDUCTO</t>
  </si>
  <si>
    <t>MA-455</t>
  </si>
  <si>
    <t>MALLA ELECTROSOLDADA H 15x15 CM DIÁM 6MM (2.35 x 6 M) XX-188</t>
  </si>
  <si>
    <t>https://www.homecenter.com.co/homecenter-co/product/43266/malla-15x15cm-40mm-xx-084-6x235m/43266/</t>
  </si>
  <si>
    <t>https://www.homecenter.com.co/homecenter-co/product/02248/alambre-negro-50k-aprox-cal18/02248/</t>
  </si>
  <si>
    <t>ALAMBRE NEGRO CALIBRE 18</t>
  </si>
  <si>
    <t>https://www.homecenter.com.co/homecenter-co/product/90444/clavo-acero-concreto-2-500-g/90444/</t>
  </si>
  <si>
    <t>FORMALETA EN MADERA CON TABLA DE  1/4"</t>
  </si>
  <si>
    <t>FORMALETA EN MADERA CON TABLA DE 1"</t>
  </si>
  <si>
    <t>MA-456</t>
  </si>
  <si>
    <t>MA-457</t>
  </si>
  <si>
    <t>TAPA TIPO A (1 X0.5 M)</t>
  </si>
  <si>
    <t>https://geztio.co/upa/co/Mortero-1:5</t>
  </si>
  <si>
    <t>MORTERO 1:5</t>
  </si>
  <si>
    <t>MA-460</t>
  </si>
  <si>
    <t>CONCRETO 4000 PSI</t>
  </si>
  <si>
    <t>MA-461</t>
  </si>
  <si>
    <t>MA-462</t>
  </si>
  <si>
    <t>LADRILLO TOLETE 20 X 10 X 6 cm</t>
  </si>
  <si>
    <t>https://gyj.com.co/bogota_65/lamina-alfajor-bogota-65-acero-industrial.html?srsltid=AfmBOoqXtV4iyKbLWFuREPO6BVTDZ2yL0wEo7pieJQ1rCNgP1t3ucFvq</t>
  </si>
  <si>
    <t>MA-463</t>
  </si>
  <si>
    <t>ÁNGULO 2X1/4"</t>
  </si>
  <si>
    <t>MA-464</t>
  </si>
  <si>
    <t>MA-458</t>
  </si>
  <si>
    <t>MA-459</t>
  </si>
  <si>
    <t xml:space="preserve">TUBERÍA SANITARIA PVC 2" </t>
  </si>
  <si>
    <t>MA-465</t>
  </si>
  <si>
    <t>https://www.homecenter.com.co/homecenter-co/product/65852/tubo-sanitario-2-x-6-mts/65852/</t>
  </si>
  <si>
    <t>https://www.homecenter.com.co/homecenter-co/product/04577/codo-90-x-2-cxc-sanitaria/04577/</t>
  </si>
  <si>
    <t xml:space="preserve">CODO SANITARIO PVC 2" </t>
  </si>
  <si>
    <t>MA-466</t>
  </si>
  <si>
    <t>MA-467</t>
  </si>
  <si>
    <t xml:space="preserve">UNION SANITARIA PVC 2" </t>
  </si>
  <si>
    <t>https://www.homecenter.com.co/homecenter-co/product/04612/union-2-sanitaria/04612/</t>
  </si>
  <si>
    <t>https://www.homecenter.com.co/homecenter-co/product/65854/tubo-sanitario-4-x-6-mts/65854/</t>
  </si>
  <si>
    <t>MA-468</t>
  </si>
  <si>
    <t>MA-469</t>
  </si>
  <si>
    <t>MA-470</t>
  </si>
  <si>
    <t xml:space="preserve">TUBERÍA SANITARIA PVC 4" </t>
  </si>
  <si>
    <t xml:space="preserve">CODO SANITARIO PVC 4" </t>
  </si>
  <si>
    <t>UNION SANITARIA PVC 4"</t>
  </si>
  <si>
    <t>https://www.homecenter.com.co/homecenter-co/product/117527/codo-90-x-4-cxc-sanitaria/117527/</t>
  </si>
  <si>
    <t>https://www.homecenter.com.co/homecenter-co/product/10648/union-4-sanitaria/10648/</t>
  </si>
  <si>
    <t xml:space="preserve">TUBERÍA SANITARIA PVC 6" </t>
  </si>
  <si>
    <t xml:space="preserve">CODO SANITARIO PVC 6" </t>
  </si>
  <si>
    <t>UNION SANITARIA PVC 6"</t>
  </si>
  <si>
    <t xml:space="preserve">TUBERÍA SANITARIA PVC 8" </t>
  </si>
  <si>
    <t xml:space="preserve">CODO SANITARIO PVC 8" </t>
  </si>
  <si>
    <t>UNION SANITARIA PVC 8"</t>
  </si>
  <si>
    <t xml:space="preserve">TUBERÍA SANITARIA PVC 10" </t>
  </si>
  <si>
    <t xml:space="preserve">CODO SANITARIO PVC 10" </t>
  </si>
  <si>
    <t>UNION SANITARIA PVC 10"</t>
  </si>
  <si>
    <t>MA-471</t>
  </si>
  <si>
    <t>MA-472</t>
  </si>
  <si>
    <t>MA-473</t>
  </si>
  <si>
    <t>MA-474</t>
  </si>
  <si>
    <t>MA-475</t>
  </si>
  <si>
    <t>MA-476</t>
  </si>
  <si>
    <t>MA-477</t>
  </si>
  <si>
    <t>MA-478</t>
  </si>
  <si>
    <t>MA-479</t>
  </si>
  <si>
    <t>https://www.homecenter.com.co/homecenter-co/product/65855/tubo-sanitario-6-x-6-mts/65855/</t>
  </si>
  <si>
    <t>https://www.homecenter.com.co/homecenter-co/product/29670/codo-90-x-6-cxc-sanitaria/29670/</t>
  </si>
  <si>
    <t>https://www.homecenter.com.co/homecenter-co/product/29795/union-6-sanitaria/29795/</t>
  </si>
  <si>
    <t>https://www.homecenter.com.co/homecenter-co/product/240081/union-8-sanitaria/240081/</t>
  </si>
  <si>
    <t>https://www.homecenter.com.co/homecenter-co/product/299542/codo-90-x-8-cxc-sanitaria/299542/</t>
  </si>
  <si>
    <t>https://www.homecenter.com.co/homecenter-co/product/240070/tubo-8x6m-sanitaria/240070/</t>
  </si>
  <si>
    <t>https://www.homecenter.com.co/homecenter-co/product/212209/accesorio-alcantarillado-tdp-union-10pulg/212209/</t>
  </si>
  <si>
    <t>https://www.homecenter.com.co/homecenter-co/product/203393/tubo-pvc-alcantarillado-10pulg-250mmx6m/203393/</t>
  </si>
  <si>
    <t>https://www.homecenter.com.co/homecenter-co/product/212202/accesorio-alcantarillado-tdp-codo-90-cxc-10pulg/212202/</t>
  </si>
  <si>
    <t>SUMINISTRO E INSTALACIÓN DE TRANSFORMADOR DE CORRIENTE TIPO VENTANA. USO INTERIOR PARA MEDIDA SEMIDIRECTA. (200:5A ;CL: 0.5S; 25VA). INCLUYE PROTOCOLOS DE PRUEBA DE PRECISIÓN DE FABRICANTE Y LABORATORIO ACREDITADO.</t>
  </si>
  <si>
    <t>SUMINISTRO E INSTALACIÓN DE ACCESORIOS Y CABLEADO PARA MACROMEDIDA. INCLUYE CABLE 7X12 AWG, BLOQUE DE PRUEBAS, CANALETAS RANURADAS Y TERMINALES.</t>
  </si>
  <si>
    <t>https://conexpe.com/shop/</t>
  </si>
  <si>
    <t>AFIRMADO</t>
  </si>
  <si>
    <t>MA-480</t>
  </si>
  <si>
    <t>077</t>
  </si>
  <si>
    <t>082</t>
  </si>
  <si>
    <t>083</t>
  </si>
  <si>
    <t>084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</si>
  <si>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</si>
  <si>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</si>
  <si>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</si>
  <si>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</si>
  <si>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</si>
  <si>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</si>
  <si>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</si>
  <si>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</si>
  <si>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</si>
  <si>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</si>
  <si>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</si>
  <si>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</si>
  <si>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</si>
  <si>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</si>
  <si>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</si>
  <si>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112</t>
  </si>
  <si>
    <t>Gobernación de Risaralda presupuesto 2021</t>
  </si>
  <si>
    <t>https://www.homecenter.com.co/homecenter-co/product/84303/varilla-corrugada-g60-w-3-3-8-pulg-x-6m/84303/</t>
  </si>
  <si>
    <t>VARILLA DE ACERO CORRGUADO 3/8"</t>
  </si>
  <si>
    <t>MA-481</t>
  </si>
  <si>
    <t>ESTRIBOS DE 3/8"</t>
  </si>
  <si>
    <t>https://www.homecenter.com.co/homecenter-co/product/209339/fleje-o-estribo-20-x-20cm-x-3-8pulg-caja-40-und/209339/</t>
  </si>
  <si>
    <t>MA-482</t>
  </si>
  <si>
    <t>http://www.colombia.generadordeprecios.info/obra_nueva/Urbanizacion_interior_de_la_parcela/Alcantarillado/Sumideros_e_imbornales_urbanos/Sumidero_longitudinal_0_0_2_1_1_0_1c12_0.html</t>
  </si>
  <si>
    <t>MA-483</t>
  </si>
  <si>
    <t>TAPA PARA SUMIDERO</t>
  </si>
  <si>
    <t>MA-484</t>
  </si>
  <si>
    <t>PUNTO SANITARIO DE EN PVC Ø4". LONGITUD PROMEDIO 3 METROS</t>
  </si>
  <si>
    <t>TEE SANITARIA</t>
  </si>
  <si>
    <t>https://www.homecenter.com.co/homecenter-co/product/10636/tee-4-sanitaria/10636/</t>
  </si>
  <si>
    <t>MA-485</t>
  </si>
  <si>
    <t>https://corona.co/productos/sanitarios/sanitarios-individuales/sanitario-aquajet-pro/p/O27001001</t>
  </si>
  <si>
    <t>MA-486</t>
  </si>
  <si>
    <t>SANITARIO INSTITUCIONAL CON ACCESORIOS</t>
  </si>
  <si>
    <t>http://www.colombia.generadordeprecios.info/obra_nueva/calculaprecio.asp?Valor=55|0_0_0_0|1|UAA010|uaa_010:_0_0_0_1_0_0_1_0_0</t>
  </si>
  <si>
    <t>MA-487</t>
  </si>
  <si>
    <t>CONJUNTO DE ELEMENTOS NECESARIOS PARA GARANTIZAR EL CIERRE HERMÉTICO AL PASO DE OLORES MEFÍTICOS EN CAJAS DE INSPECCIÓN DE SANEAMIENTO, COMPUESTO POR: ANGULARES Y LÁMINAS METÁLICAS CON SUS ELEMENTOS DE FIJACIÓN Y ANCLAJE, JUNTA DE NEOPRENO, ACEITE Y DEMÁS ACCESORIOS.</t>
  </si>
  <si>
    <t>https://www.pvcdelcaribe.com/collections/sifones/products/p11629</t>
  </si>
  <si>
    <t>,</t>
  </si>
  <si>
    <t>https://interelectricas.com.co/tuberia-metalica-y-pvc/2307-tubo-ducto-pvc-de-4-x-6-mts-tipo-tdp-corrugado.html</t>
  </si>
  <si>
    <t>TUBO PVC CORRUGADO 4"</t>
  </si>
  <si>
    <t>MA-488</t>
  </si>
  <si>
    <t>https://www.homecenter.com.co/homecenter-co/product/31651/tanque-500-litros/31651/</t>
  </si>
  <si>
    <t>TANQUE DE ALMACENAMIENTO DE AGUA 500 L</t>
  </si>
  <si>
    <t>MA-489</t>
  </si>
  <si>
    <t>https://www.homecenter.com.co/homecenter-co/product/37069/valvula-bola-metal-1-x-175psi-helbertt/37069/</t>
  </si>
  <si>
    <t>VÁLVULA DE BOLA DE 1"</t>
  </si>
  <si>
    <t>MA-490</t>
  </si>
  <si>
    <t>MA-491</t>
  </si>
  <si>
    <t>NIPLE DE 1"</t>
  </si>
  <si>
    <t>https://www.homecenter.com.co/homecenter-co/product/343597/niple-1-pulg-x-10-cm/343597/</t>
  </si>
  <si>
    <t>VÁLVULA FLOTADOR 1"</t>
  </si>
  <si>
    <t>https://articulo.mercadolibre.com.co/MCO-1360400101-valvula-flotador-automatico-control-nivel-tanque-de-agua-1-_JM?searchVariation=180668150849#polycard_client=search-nordic&amp;searchVariation=180668150849&amp;backend_model=search-backend&amp;position=36&amp;search_layout=grid&amp;type=item&amp;tracking_id=92881e98-3468-4e4f-a06e-20d6e73ab630</t>
  </si>
  <si>
    <t>MA-492</t>
  </si>
  <si>
    <t>PUNTOS HIDRAULICOS DE Ø1/2". LONGITUD PROMEDIO DE 10 METROS.  INCLUYE ACCESORIOS.</t>
  </si>
  <si>
    <t>RESISTENCIA DE CALEFACCIÓN PARA CUADROS ELÉCTRICOS 30W. IP20</t>
  </si>
  <si>
    <t>BREAKER DE RIEL MONOPOLAR 1 X 20 AMP 6 KA</t>
  </si>
  <si>
    <t>BANDEJA PORTACABLES EN ACERO GALVANIZADO RECTO ALTO: 15 CM, ANCHO: 40 CM</t>
  </si>
  <si>
    <t>CURVA BANDEJA PORTACABLES EN ACERO GALVANIZADO A 90° ALTO: 15 CM, ANCHO: 40 CM</t>
  </si>
  <si>
    <t>BANDEJA PORTACABLES EN ACERO GALVANIZADO RECTO ALTO: 15 CM, ANCHO: 20 CM</t>
  </si>
  <si>
    <t>BANDEJA PORTACABLES EN ACERO GALVANIZADO RECTO ALTO: 15 CM, ANCHO: 10 CM</t>
  </si>
  <si>
    <t>CURVA BANDEJA PORTACABLES EN ACERO GALVANIZADO A 90° ALTO: 15 CM, ANCHO: 10 CM.</t>
  </si>
  <si>
    <t>CURVA BANDEJA PORTACABLES EN ACERO GALVANIZADO A 90° ALTO: 15 CM, ANCHO: 20 CM.</t>
  </si>
  <si>
    <t>BANDEJA PORTACABLES EN ACERO GALVANIZADO RECTO ALTO: 15 CM, ANCHO: 20 CM. TIPO DUCTO CERRADO</t>
  </si>
  <si>
    <t>CURVA BANDEJA PORTACABLES EN ACERO GALVANIZADO A 90° ALTO: 15 CM, ANCHO: 20 CM. TIPO DUCTO CERRADO</t>
  </si>
  <si>
    <t xml:space="preserve">TUBO DUCTO PVC DB DE 4" </t>
  </si>
  <si>
    <t xml:space="preserve">TUBO DUCTO PVC DB DE 3" </t>
  </si>
  <si>
    <t>GABINETE PISO PARA SERVIDOR 42RU 210 ALTO 60 ANCHO 90 PROFUNDO</t>
  </si>
  <si>
    <t>SWITCH ETHERNET ADMINISTRABLE DE 24 PUERTOS</t>
  </si>
  <si>
    <t>COMPUTADOR DE ESCRITORIO. PANTALLA 32 PULGADAS, PROCESADOR QUAD-CORE A 1.6 GHZ O SUPERIOR, RAM: MÍNIMO 4 GB, ALMACENAMIENTO: 1 TB, 2 PUERTOS ETHERNET , COMPATIBILIDAD CON IEC 61850, MODBUS TCP/IP, DNP3, OPC UA/DA, Y PROTOCOLOS ESTÁNDAR SCADA.</t>
  </si>
  <si>
    <t>RELOJ DE RED SINCRONIZADO VÍA SATÉLITE</t>
  </si>
  <si>
    <t>CAJA DE DISTRIBUCIÓN DE FIBRA ÓPTICA PARA 24 EMPALMES CON 16 ACOPLADORES SC/APC</t>
  </si>
  <si>
    <t>ADAPTADORES DE FIBRA ÓPTICA LC, SC, ST</t>
  </si>
  <si>
    <t>TRANSFORMADOR TRIFASICO EN ACEITE DE 30 KVA - 34.500 V - 208</t>
  </si>
  <si>
    <t>TRANSFORMADOR TRIFASICO EN ACEITE DE 30 KVA - 13.200 V - 208</t>
  </si>
  <si>
    <t>CAPACETE ROSCADO EN ALUMINIO PARA TUBERIA IMC DE 2"</t>
  </si>
  <si>
    <t>TRANSFORMADOR DE CORRIENTE BLOX 100/5A TIPO VENTANA EXTERIOR</t>
  </si>
  <si>
    <t>CAJA POLIFASICA</t>
  </si>
  <si>
    <t xml:space="preserve">CABLE CONTROL 7X12 AWG GRIS APANTALLADO FOIL 600V CHAQ.FR-PVC RES.UV DW </t>
  </si>
  <si>
    <t>TERMINAL DE OJO AISLADO</t>
  </si>
  <si>
    <t>CARGADORES TRIFÁSICOS CONFIGURACIÓN REDUNDANTE, SALIDA 125 VDC – 75 AH</t>
  </si>
  <si>
    <t>BANCO DE BATERÍAS CONFORMADO POR 60 CELDAS 2 VDC –
400 AH INCLUYE ESTRUCTURA DE SOPORTE Y ACCESORIO.</t>
  </si>
  <si>
    <t>KIT DE VENTILACIÓN FORZADA IP54. 105X105MM. CAUDAL IP54: 23M/H³. 230 V~ / 10W. RUIDO 50 DB</t>
  </si>
  <si>
    <t>DETECTOR DE GAS NATURAL WIFI ALARMA DE FUGAS EN LA PARED</t>
  </si>
  <si>
    <t>CABLE ENCAUCHETADO 3 X 16 AWG COBRE</t>
  </si>
  <si>
    <t>CABLE ENCAUCHETADO 3 X 12 AWG COBRE</t>
  </si>
  <si>
    <t xml:space="preserve"> AIRE ACONDICIONADO INVERTER DE 12000 BTUS 220V . INCLUYE: TUBERÍA DE REFRIGERACIÓN, REFRIGERANTE, CABLEADO DE CONTROL Y DE FUERZA HASTA SALIDA A 0 M.</t>
  </si>
  <si>
    <t>CLAVIJA CON POLO A TIERRA</t>
  </si>
  <si>
    <t>INTERRUPTOR SENCILLO</t>
  </si>
  <si>
    <t>CURVA 90 GRADOS GALVANIZADA IMC DE 1/2</t>
  </si>
  <si>
    <t>CABLE ENCAUCHETADO 4 X 12 AWG COBRE</t>
  </si>
  <si>
    <t>CUBIERTA O FUNDA PARA LINEA DESNUDA RAYCHEM 35KV CABLE NO 2 A 397KCMIL</t>
  </si>
  <si>
    <t>BASE METALICA PARA PUNTA CAPTADORA ALUMINIO REDONDA</t>
  </si>
  <si>
    <t>CABLE ENCAUCHETADO 4 X 8 AWG COBRE</t>
  </si>
  <si>
    <t>CABLE AISLADO NO 1/0 AWG COBRE THHN</t>
  </si>
  <si>
    <t>PATCH PANEL CATEGORÍA 6 16 PUERTOS</t>
  </si>
  <si>
    <t>CABLE AISLADO NO 12 AWG COBRE THHN</t>
  </si>
  <si>
    <t>TUBO METALICO EMT CONDUIT GALVANIZADO DE 3/4"</t>
  </si>
  <si>
    <t>CAJA FS 2X4  4 SALIDAS 3/4"</t>
  </si>
  <si>
    <t xml:space="preserve">TERMINAL-CONECTOR EMT DE 3/4" </t>
  </si>
  <si>
    <t>UNION EMT 3/4"</t>
  </si>
  <si>
    <t>CURVA 90 GRADOS EMT DE 3/4"</t>
  </si>
  <si>
    <t>ABRAZADERA GRAPA METALICA 3/4"</t>
  </si>
  <si>
    <t>CABLE AISLADO NO 14 AWG COBRE THHN</t>
  </si>
  <si>
    <t>TAPA PARA TOMA DOBLE INTEMPERIE</t>
  </si>
  <si>
    <t>UNION METALICA GALVANIZADA IMC DE 3/4"</t>
  </si>
  <si>
    <t>CURVA 90 GRADOS GALVANIZADA IMC DE 3/4"</t>
  </si>
  <si>
    <t>CAJA CUADRADA 4X4 PLÁSTICA DOBLE FONDO</t>
  </si>
  <si>
    <t>CABLE ENCAUCHETADO 3 X 14 AWG COBRE HLFS</t>
  </si>
  <si>
    <t>GUAYA 1/8 ALMA DE YUTE</t>
  </si>
  <si>
    <t>TUBO METALICO IMC CONDUIT GALVANIZADO DE 1"</t>
  </si>
  <si>
    <t>CURVA PVC DE 1"</t>
  </si>
  <si>
    <t>TERMINAL-CONECTOR EMT DE 1/2"</t>
  </si>
  <si>
    <t>TERMINAL-CONECTOR PVC DE 3/4"</t>
  </si>
  <si>
    <t>ANALIZADOR DE REDES M4M</t>
  </si>
  <si>
    <t>BORNA PONCHAR CALIBRE 4-0 AWG ESTAÑADA COBRE BARRIL LARGO OJO 1-2 T11BL204C</t>
  </si>
  <si>
    <t>TERMINAL-CONECTOR IMC DE 1/2"</t>
  </si>
  <si>
    <t>CABLE AISLADO NO 1/0 AWG ALUMINIO SERIE 8000 THHN</t>
  </si>
  <si>
    <t>BAYONETA PARA RETENCION DOBLE 2 1-4 X 1.50 MTS BYS5</t>
  </si>
  <si>
    <t>PRENSAESTOPA PVC 1 PULGADAS</t>
  </si>
  <si>
    <t xml:space="preserve">GRAPA CRUZ RD8 X RD 16MM ACERO GALVANIZADO </t>
  </si>
  <si>
    <t>CAPACETE ROSCADO EN ALUMINIO PARA TUBERIA IMC DE 1"</t>
  </si>
  <si>
    <t>ABRAZADERA GRAPA METALICA 1 PULGADA ALETA DOBLE PARA TUBERIA METALICA</t>
  </si>
  <si>
    <t>CABLE AISLADO NO 8 AWG COBRE THHN</t>
  </si>
  <si>
    <t>AMARRA PLASTICA</t>
  </si>
  <si>
    <t>TIERRA VEGETAL CRIBADA, SUMINISTRADA A GRANEL</t>
  </si>
  <si>
    <t xml:space="preserve">	
MANTILLO LIMPIO CRIBADO</t>
  </si>
  <si>
    <t>ABONO PARA PRESIEMBRA DE GRAMA</t>
  </si>
  <si>
    <t>ADHESIVO CEMENTOSO DE USO EXCLUSIVO PARA INTERIORES, CI, COLOR GRIS.</t>
  </si>
  <si>
    <t>BALDOSA CERÁMICA DE GRES ESMALTADO 25X25 CM</t>
  </si>
  <si>
    <t>CEMENTO BLANCO BL-22,5 X, PARA PAVIMENTACIÓN, EN SACOS.</t>
  </si>
  <si>
    <t>LECHADA DE CEMENTO BLANCO BL 22,5 X</t>
  </si>
  <si>
    <t>ESPEJO CAFE 79X108 CM</t>
  </si>
  <si>
    <t>TORNILLO AUTOPERFORANTE CON ARANDELA NEOPRENO</t>
  </si>
  <si>
    <t>SELLADOR POLIURETANO</t>
  </si>
  <si>
    <t>CABINA RECTANGULAR 120X90X205CM NEGRA</t>
  </si>
  <si>
    <t>TORNILLO PANEL DRYWALL</t>
  </si>
  <si>
    <t>ARMADURA MURFOR RND.4/Z, DIÁMETRO 4 MM, ANCHO 30 MM, GALVANIZADA EN CALIENTE, LONGITUD 3,05 M, PESO 0,869 KG Y PARTE PROPORCIONAL DE GANCHOS PARA DINTELES Y ESQUINERAS</t>
  </si>
  <si>
    <t>MORTERO DE CEMENTO CEM II/B-P 32,5 N TIPO M-5, CONFECCIONADO EN OBRA CON 250 KG/M³ DE CEMENTO Y UNA PROPORCIÓN EN VOLUMEN 1/6.</t>
  </si>
  <si>
    <t>LADRILLO CERÁMICO PERFORADO (PANAL), PARA REVESTIR, 24X12X9 CM</t>
  </si>
  <si>
    <t>CERCHA METÁLICA</t>
  </si>
  <si>
    <t>GUARDAESCOBA CERÁMICO DE GRES ESMALTADO, 7 CM, $ 3,00/M.</t>
  </si>
  <si>
    <t>MORTERO DE JUNTAS CEMENTOSO, CG1, PARA JUNTA MÍNIMA ENTRE 1,5 Y 3 MM</t>
  </si>
  <si>
    <t>PINTURA EPÓXICA GRIS</t>
  </si>
  <si>
    <t>CONCRETO LIVIANO DE RESISTENCIA A COMPRESIÓN 2,5 MPA, DE DENSIDAD 500 KG/M³, CONFECCIONADO EN OBRA CON 1.100 LITROS DE ARCILLA EXPANDIDA, DE GRANULOMETRÍA ENTRE 10 Y 20 MM, DENSIDAD 275 KG/M³ Y 150 KG DE CEMENTO PORTLAND CON CALIZA CEM II/B-L 32,5 R.</t>
  </si>
  <si>
    <t>PANEL RÍGIDO DE POLIESTIRENO EXPANDIDO, MECANIZADO LATERAL RECTO, DE 10 MM DE ESPESOR, RESISTENCIA TÉRMICA 0,25 M²K/W, CONDUCTIVIDAD TÉRMICA 0,036 W/(MK), PARA JUNTA DE CONTRACCIÓN.</t>
  </si>
  <si>
    <t>ARENA CRIBADA</t>
  </si>
  <si>
    <t>AGREGADO GRUESO HOMOGENEIZADO, DE TAMAÑO MÁXIMO 19 MM</t>
  </si>
  <si>
    <t>CEMENTO GRIS EN SACOS</t>
  </si>
  <si>
    <t>AISLADOR SUSPENSION 10 ANSI 524</t>
  </si>
  <si>
    <t>CAJA CONCRETO PARA CAMARA DE INSPECCION PUESTA A TIERRA 30 X 30 CON TAPA</t>
  </si>
  <si>
    <t>AGREGADO GRUESO HOMOGENEIZADO, DE TAMAÑO MÁXIMO 25 MM</t>
  </si>
  <si>
    <t xml:space="preserve">	
PIEDRA BOLA DE 15 A 30 CM DE DIÁMETRO</t>
  </si>
  <si>
    <t>TUBO METALICO IMC CONDUIT GALVANIZADO DE 4 PULGADAS</t>
  </si>
  <si>
    <t>PUERTA DE INTERIOR CONSTITUIDA POR MARCOS DE TUBO METÁLICO DE 40X20X1,5 MM Y 30X15X1,5 MM, Y BASTIDOR DE TUBO DE 40X40X1,5 MM CON PLETINA DE 40X4 MM PARA SUJECIÓN DE MALLA DE SIMPLE TORSIÓN.</t>
  </si>
  <si>
    <t>MALLA DE SIMPLE TORSIÓN, DE 8 MM DE PASO DE MALLA Y 1,1 MM DE DIÁMETRO, ACABADO GALVANIZADO</t>
  </si>
  <si>
    <t>CONCERTINA 45CM DIAMETRO MÁX</t>
  </si>
  <si>
    <t>TUBO METALICO EMT CONDUIT GALVANIZADO DE 1"</t>
  </si>
  <si>
    <t>TERMINAL-CONECTOR EMT DE 1"</t>
  </si>
  <si>
    <t>UNION EMT DE 1 "</t>
  </si>
  <si>
    <t>CURVA 90 GRADOS EMT DE 1"</t>
  </si>
  <si>
    <t xml:space="preserve">CABLE AISLADO NO 6 AWG COBRE THHN </t>
  </si>
  <si>
    <t>PANEL LED CUADRADO 60X60 40W</t>
  </si>
  <si>
    <t>LUMINARIA LED EMERGENCIA 2 X 16W</t>
  </si>
  <si>
    <t>LUMINARIA LED EMERGENCIA AVISO SALIDA RECTANGULAR VERDE 1.8W 110-130V</t>
  </si>
  <si>
    <t>INTERRUPTOR SENCILLO CONMUTABLE</t>
  </si>
  <si>
    <t>INTERRUPTOR DOBLE CONMUTABLE</t>
  </si>
  <si>
    <t>INTERRUPTOR DOBLE 4 VÍAS</t>
  </si>
  <si>
    <t>BREAKER INDUSTRIAL 200 AMP</t>
  </si>
  <si>
    <t>BREAKER L TRIPOLAR 3 X 20 AMP 10 KA</t>
  </si>
  <si>
    <t>CABLE ENCAUCHETADO 3 X 6 AWG COBRE</t>
  </si>
  <si>
    <t>CABLE AISLADO NO 10 AWG COBRE THHN</t>
  </si>
  <si>
    <t>SUPLEMENTO METALICO GALVANIZADO PARA CAJA CUADRADA</t>
  </si>
  <si>
    <t>UNION EMT DE 1/2 "</t>
  </si>
  <si>
    <t>ABRAZADERA GRAPA METALICA 1/2"</t>
  </si>
  <si>
    <t>CABLE DE CONTROL APANTALLADO 7X16 AWG</t>
  </si>
  <si>
    <t>CABLE CONTROL 4X10 AWG GRIS APANTALLADO FOIL 600V CHAQ.FR</t>
  </si>
  <si>
    <t>FIBRA OPTICA MULTIMODO OM-3 6 HILOS INT-EXT</t>
  </si>
  <si>
    <t>CORAZA METALICA LIQUID TIGHT  2"</t>
  </si>
  <si>
    <t>CURVA PVC DE 2"</t>
  </si>
  <si>
    <t>CONECTOR CORAZA LIQUID TIGHT RECTO 2"</t>
  </si>
  <si>
    <t>CONECTOR DE RED TERMINAL RJ45 CAT 6</t>
  </si>
  <si>
    <t>TUBO METALICO GALVANIZADO IMC DE 6"</t>
  </si>
  <si>
    <t xml:space="preserve">CABLE AISLADO NO 4 AWG COBRE THHN </t>
  </si>
  <si>
    <t>AISLADOR TIPO PIN POLIMERICO 35KV</t>
  </si>
  <si>
    <t>AISLADOR TIPO PIN POLIMERICO 15KV</t>
  </si>
  <si>
    <t>TERMINALES PREMOLDEADAS PARA 34 5 KV - USO EXTERIOR PARA CALIBRES DE CABLE ENTRE 1-0 - 250 KCM</t>
  </si>
  <si>
    <t>TERMINALES PREMOLDEADAS PARA 35 KV – USO EXTERIOR PARA CALIBRES DE CABLE ENTRE 350 – 500</t>
  </si>
  <si>
    <t>TERMINALES PREMOLDEADAS PARA 15 KV-USO EXTERIOR PARA CALIBRES DE CABLE ENTRE 250-500</t>
  </si>
  <si>
    <t>TERMINALES PREMOLDEADAS PARA 15 KV-USO INTERIOR PARA CALIBRES DE CABLE ENTRE 250-500</t>
  </si>
  <si>
    <t>UNION PVC DE 3/4 "</t>
  </si>
  <si>
    <t>CAJA FS 2X4  4 SALIDAS 1/2"</t>
  </si>
  <si>
    <t>MA-493</t>
  </si>
  <si>
    <t>https://www.homecenter.com.co/homecenter-co/product/65891/tubo-presion-1-2x6-mts-9-500-psi/65891/</t>
  </si>
  <si>
    <t>CODO 90 PRESIÓN 1/2"</t>
  </si>
  <si>
    <t>TUBO PRESIÓN 1/2"</t>
  </si>
  <si>
    <t>https://www.homecenter.com.co/homecenter-co/product/04730/codo-90-x-1-2-presion/04730/</t>
  </si>
  <si>
    <t>MA-494</t>
  </si>
  <si>
    <t>https://www.homecenter.com.co/homecenter-co/product/04727/tee-1-2-presion/04727/</t>
  </si>
  <si>
    <t>TEE PRESIÓN 1/2"</t>
  </si>
  <si>
    <t>MA-495</t>
  </si>
  <si>
    <t>LAVAMANOS INSTITUCIONAL</t>
  </si>
  <si>
    <t>https://corona.co/productos/lavamanos/lavamanos-free-institucional/p/OO3891001?srsltid=AfmBOornWouR4Mmxwp3uJ760OCrgg0qESqjcaV39u4c2RTK6YY9_OUzE</t>
  </si>
  <si>
    <t>MA-496</t>
  </si>
  <si>
    <t>GRIFERIA LAVANAMOS</t>
  </si>
  <si>
    <t>https://www.homecenter.com.co/homecenter-co/product/190406/griferia-lavamanos-monocontrol-alta-milan/190406/</t>
  </si>
  <si>
    <t>MA-497</t>
  </si>
  <si>
    <t>ACCESORIOS DE DUCHA</t>
  </si>
  <si>
    <t>MA-498</t>
  </si>
  <si>
    <t>MA-499</t>
  </si>
  <si>
    <t>https://www.homecenter.com.co/homecenter-co/product/670910/griferia-ducha-mezclador-balta-8-pulgadas-koral-mateblack-grival/670910/</t>
  </si>
  <si>
    <t>MA-500</t>
  </si>
  <si>
    <t>TAPÓN DE DESAGÜE</t>
  </si>
  <si>
    <t>MA-501</t>
  </si>
  <si>
    <t>https://articulo.mercadolibre.com.co/MCO-2147865314-valvula-tapon-desague-anti-insectos-olores-banos-cocina-_JM?searchVariation=181419828067#polycard_client=search-nordic&amp;searchVariation=181419828067&amp;backend_model=search-backend&amp;position=26&amp;search_layout=grid&amp;type=item&amp;tracking_id=062910fa-2501-4518-8184-efdbcdc350d3</t>
  </si>
  <si>
    <t>https://www.tiendaimpleseg.com/lavaojos-de-emergencias-tipo-pared?srsltid=AfmBOopISfjdNRy6PCauoTeX-BlXSMDpXKPNqcBj_o_XVE8Q3qHiaFEW</t>
  </si>
  <si>
    <t>LAVAOJOS</t>
  </si>
  <si>
    <t>MA-502</t>
  </si>
  <si>
    <t>https://www.homecenter.com.co/homecenter-co/product/286262/valvula-bola-manija-mariposa-1-2-pulg/286262/</t>
  </si>
  <si>
    <t>MA-503</t>
  </si>
  <si>
    <t>MA-504</t>
  </si>
  <si>
    <t>https://www.homecenter.com.co/homecenter-co/product/65894/tubo-1x6m-presion-21-200-psi/65894/</t>
  </si>
  <si>
    <t>TUBO PRESION 1"</t>
  </si>
  <si>
    <t>https://www.homecenter.com.co/homecenter-co/product/04755/codo-90-x-1-presion/04755/</t>
  </si>
  <si>
    <t>CODO 90 PRESIÓN 1"</t>
  </si>
  <si>
    <t>MA-505</t>
  </si>
  <si>
    <t>https://www.homecenter.com.co/homecenter-co/product/04720/union-1-presion/04720/</t>
  </si>
  <si>
    <t>MA-506</t>
  </si>
  <si>
    <t>UNION PRESIÓN 1"</t>
  </si>
  <si>
    <t>https://www.ffsoluciones.com/products/cajilla-en-concreto-para-medidor-tapa-en-hierro-fundido-tipo-empo</t>
  </si>
  <si>
    <t>CAJILLA EN CONCRETO PARA MEDIDOR TAPA EN HIERRO FUNDIDO</t>
  </si>
  <si>
    <t>https://www.homecenter.com.co/homecenter-co/product/04734/union-1-2-presion/04734/</t>
  </si>
  <si>
    <t>UNION PRESIÓN 1/2"</t>
  </si>
  <si>
    <t>MA-507</t>
  </si>
  <si>
    <t>MA-508</t>
  </si>
  <si>
    <t>https://www.helbertycia.com/producto/medidor-de-velocidad-atlantis-chorro-nico-aleacin-en-cobre-r200</t>
  </si>
  <si>
    <t>MA-509</t>
  </si>
  <si>
    <t>Aproximado</t>
  </si>
  <si>
    <t>MA-361</t>
  </si>
  <si>
    <t>https://www.homecenter.com.co/homecenter-co/product/240058/niple-1-2-roscado-presion/240058/</t>
  </si>
  <si>
    <t>NIPLE DE 1/2"</t>
  </si>
  <si>
    <t>MA-511</t>
  </si>
  <si>
    <t>ADAPTADOR MACHO / HEMBRA 1/2"</t>
  </si>
  <si>
    <t>https://www.homecenter.com.co/homecenter-co/product/04606/adaptador-macho-1-2-presion/04606/</t>
  </si>
  <si>
    <t>MA-510</t>
  </si>
  <si>
    <t>https://www.homecenter.com.co/homecenter-co/product/135322/cinta-teflon-ptfe-basica-3-4-pulgada-x-50-mts/135322/</t>
  </si>
  <si>
    <t>https://www.homecenter.com.co/homecenter-co/product/149167/geotextil-nt-1600s-1mt-largo-x-35mt-ancho/149167/</t>
  </si>
  <si>
    <t>MALLA GEOTEXTIL NT 1600</t>
  </si>
  <si>
    <t>MA-512</t>
  </si>
  <si>
    <t>https://www.homecenter.com.co/homecenter-co/product/459067/tuberia-de-drenaje-6-pulgadas-drainpipe-x-50-metros/459067/</t>
  </si>
  <si>
    <t>MA-513</t>
  </si>
  <si>
    <t>TUBERIA HDPE 6" CORRUGADA PERFORADA</t>
  </si>
  <si>
    <t>SISTEMA DE FILTRO TIPO DREN FRANCES (50X60 CM) CON TUBERÍA PVC Ø6" PERFORADA Y CORRUGADA, GRAVA Y GEOTEXTIL NT 1600.</t>
  </si>
  <si>
    <t>TAPA DE CONCRETO ARMADO PREFABRICADA</t>
  </si>
  <si>
    <t>CAJA SANITARIA DE 80X80x80 CM</t>
  </si>
  <si>
    <t>https://colombia.generadordeprecios.info/obra_nueva/calculaprecio.asp?Valor=68|0_0_0_0|1|ASA010|asa_010:_0_0_1_0_0_1_0_0_0</t>
  </si>
  <si>
    <t>MA-514</t>
  </si>
  <si>
    <t>MA-515</t>
  </si>
  <si>
    <t>MARCO METÁLICO</t>
  </si>
  <si>
    <t>MA-516</t>
  </si>
  <si>
    <t>REJILLA DE ACERO GALVANIZADO 1M</t>
  </si>
  <si>
    <t>CAÑUELA (MEDIA CAÑA MOLDEADA EN CONCRETO)</t>
  </si>
  <si>
    <t>MA-517</t>
  </si>
  <si>
    <t>MA-518</t>
  </si>
  <si>
    <t>EMULSION CATIONICA ASFÁLTICA</t>
  </si>
  <si>
    <t>MA-519</t>
  </si>
  <si>
    <t>https://www.homecenter.com.co/homecenter-co/product/66860/sika-emulsion-asfaltica-impermeabilizante-para-cubierta-18kg-5gl/66860/</t>
  </si>
  <si>
    <t>BASE GRANULAR TIPO B</t>
  </si>
  <si>
    <t>MA-520</t>
  </si>
  <si>
    <t>https://ferreteriajamundi.com/producto/base-sub-base-granular-tipo-invias/</t>
  </si>
  <si>
    <t>114</t>
  </si>
  <si>
    <t>APU INVIAS 2024</t>
  </si>
  <si>
    <t>Planta de asfalto en caliente continua de 120 toneladas de capacidad</t>
  </si>
  <si>
    <t>TV-16</t>
  </si>
  <si>
    <t>Cargador: potencia en el volante 125 hp, clasificación de rpm del motor 2300</t>
  </si>
  <si>
    <t>TV-17</t>
  </si>
  <si>
    <t>Compactador de rodillo potencia: 99 hp, peso: 8 toneladas</t>
  </si>
  <si>
    <t>TV-18</t>
  </si>
  <si>
    <t>Terminadora de asfalto (Finisher), potencia en el volante 174 HP, R=20M3/H, velocidad de desplazamiento 114 m/min</t>
  </si>
  <si>
    <t>TV-19</t>
  </si>
  <si>
    <t>CAPA DE RODADURA (MEZCLA ASFÁLTICA DENSA MD25)</t>
  </si>
  <si>
    <t>CAPA DE SUBBASE GRANULA CLASE A (SBG)</t>
  </si>
  <si>
    <t>MA-521</t>
  </si>
  <si>
    <t>Carrotanque de agua (1000 Galones)</t>
  </si>
  <si>
    <t>Motoniveladora potencia 215 HP, ancho de cuchilla 4,27 m, peso 18 ton</t>
  </si>
  <si>
    <t>Vibrocompactador, potencia 153 HP, peso 10 ton</t>
  </si>
  <si>
    <t>TV-20</t>
  </si>
  <si>
    <t>TV-21</t>
  </si>
  <si>
    <t>TV-22</t>
  </si>
  <si>
    <t>CAPA DE BASE GRANULAR CLASE A</t>
  </si>
  <si>
    <t>RIEGO DE IMPRIMACIÓN CRL 40</t>
  </si>
  <si>
    <t>MA-522</t>
  </si>
  <si>
    <t>Compresor (barrido y soplado)</t>
  </si>
  <si>
    <t>TV-23</t>
  </si>
  <si>
    <t>MA-523</t>
  </si>
  <si>
    <t xml:space="preserve">MICROESFERAS REFLECTIVAS DE VIDRIO </t>
  </si>
  <si>
    <t>PINTURA ACRÍLICA PURA PARA DEMARCACION VIAL.</t>
  </si>
  <si>
    <t>DISOLVENTE PARA PINTURA DE DEMARCACION VIAL (XILOL)</t>
  </si>
  <si>
    <t>MA-524</t>
  </si>
  <si>
    <t>MA-525</t>
  </si>
  <si>
    <t>MA-526</t>
  </si>
  <si>
    <t>Vehículo delineador para aplicación de pintura con mínimo 2 boquillas (NTC 4744-2)</t>
  </si>
  <si>
    <t>TV-24</t>
  </si>
  <si>
    <t>SEÑAL PREVENTIVA DELINEADOR DE CURVA HORIZONTAL SP-75.TABLERO EN LÁMINADA GALVANIZADA DE 75X60CM, CALIBRE 16, REFLECTIVO TIPO IX.</t>
  </si>
  <si>
    <t>MA-527</t>
  </si>
  <si>
    <t xml:space="preserve">ANGULO 2″ X 1/4 </t>
  </si>
  <si>
    <t>MA-528</t>
  </si>
  <si>
    <t>https://panelconstructor.com.co/producto/angulos-2-x-2-1-4/?srsltid=AfmBOoqQNi9WenYUczWWcz0xEcNDmLq-7L4scD7-kSZKKYlj8M6Wh9uy</t>
  </si>
  <si>
    <t>116</t>
  </si>
  <si>
    <t>118</t>
  </si>
  <si>
    <t>120</t>
  </si>
  <si>
    <t>MA-529</t>
  </si>
  <si>
    <t>https://mitiendacoval.com/cerramiento-/tubo-acero-negro-c40-de-6?srsltid=AfmBOop2GQLOsDZpZXPjVml-9_fAYPffBM9yN3aFJGdd7CqBhabIMvDY</t>
  </si>
  <si>
    <t>MA-530</t>
  </si>
  <si>
    <t>https://www.homecenter.com.co/homecenter-co/product/117572/tubo-presion-6-mts-rde-21-200-psi-4-pulg/117572/</t>
  </si>
  <si>
    <t>TUBO PRESIÓN 4"</t>
  </si>
  <si>
    <t>MA-531</t>
  </si>
  <si>
    <t>VÁLVULA DE HIERRO 6"</t>
  </si>
  <si>
    <t>https://acuatubos.com.co/valvulas/231-valvula-aqt-compuerta-elastica-br-6.html</t>
  </si>
  <si>
    <t>MA-532</t>
  </si>
  <si>
    <t>LAVAMANOS INSTITUCIONAL TIPO CORONA O EQUIVALENTE + ACCESORIOS</t>
  </si>
  <si>
    <t>SUMINISTRO E INSTALACIÓN DE SWITCH DE RED LAN. 24 PUERTOS ETHERNET (Equipo solo de Referencia: SEL-2730M). SOPORTE PARA PRP, HSR, RSTP. COMPATIBILIDAD CON  IEC 61850-3, IEEE 1613 (RELÉS DE PROTECCIÓN)</t>
  </si>
  <si>
    <t>SUMINISTRO E INSTALACIÓN DE SWITCH DE RED LAN 24 PUERTOS ETHERNET (Equipo solo de Referencia: IE-4010-4S24P). SOPORTE PARA PRP, HSR, RSTP. COMPATIBILIDAD CON  IEC 61850-3, IEEE 1613 (MEDIDA Y CALIDAD)</t>
  </si>
  <si>
    <t>Quirinal</t>
  </si>
  <si>
    <t>Tesoro</t>
  </si>
  <si>
    <t>Urdaneta</t>
  </si>
  <si>
    <t>ILUMINACIÓN Y SEGURIDAD PERIMETRAL DE PATIO</t>
  </si>
  <si>
    <t>CELDA INTERRUPTOR TRIFÁSICO 36 KV/ 80 kA, AISLADA EN VACÍO. CORRIENTE NOMINAL: 630 A. 60 HZ. 3 POLOS. INCLUYE: SECCIONADORES, 3 TRANSFORMADORES DE CORRIENTE TRIPLE NUCLEO (N1:400-800/5 CL: 0.5s, N2:400-800/5  CL: 0.5s, N3:400-800/5 CL: 5P30, BURDEN: 25 VA) CON PROTOCOLOS DE PRUEBA DE PRECISIÓN DE FABRICANTE Y LABORATORIO ACREDITADO Y UNIDAD INTEGRADA DE CONTROL Y PROTECCIÓN (RELE CON FUNCIONES: 50,  51, 50N, 51N,50BFE1,E2,27,59,26,49,63,71,96,33,63Q), PUERTO DE COMUNICACIÓN PARA FIBRA ÓPTICA, PROTOCOLO DE COMUNICACIÓN 61850. PARA BAHÍA DE TRANSFORMADOR</t>
  </si>
  <si>
    <t>CELDA INTERRUPTOR TRIFÁSICO 36 KV/ 80 kA, AISLADA EN VACÍO. CORRIENTE NOMINAL: 630 A. 60 HZ. 3 POLOS. INCLUYE: SECCIONADORES, 3 TRANSFORMADORES DE CORRIENTE TRIPLE NUCLEO (N1:300-600/5 CL: 0.5s, N2:300-600/5  CL: 0.5s, N3:300-600/5 CL: 5P30) CON PROTOCOLOS DE PRUEBA DE PRECISIÓN DE FABRICANTE Y LABORATORIO ACREDITADO. MÁS UNIDAD INTEGRADA DE CONTROL Y PROTECCIÓN (RELE CON FUNCIONES: 50,  51, 50N, 51N,50BFE1,E2,27,59,26,49,63,71,96,33,63Q), PUERTO DE COMUNICACIÓN PARA FIBRA ÓPTICA, PROTOCOLO DE COMUNICACIÓN 61850. PARA BAHIA DE TRANSFORMADOR</t>
  </si>
  <si>
    <t>CELDA INTERRUPTOR TRIFÁSICO 36 KV/ 80 kA, AISLADA EN VACÍO. CORRIENTE NOMINAL: 630 A. 60 HZ. 3 POLOS. INCLUYE: 3 TRANSFORMADORES DE CORRIENTE TRIPLE NUCLEO (N1:400-800/5 CL: 0.2s, N2:400-800/5  CL: 0.2s, N3:400-800/5 CL: 5P30, BURDEN: 25 VA) CON PROTOCOLOS DE PRUEBA DE PRECISIÓN DE FABRICANTE Y LABORATORIO ACREDITADO Y UNIDAD INTEGRADA DE CONTROL Y PROTECCIÓN (RELÉS: 50, 51, 50N, 51N, 50BFE1/E2,25, 27,59, 74, 79, 67, 67N, 81), PUERTO DE COMUNICACIÓN PARA FIBRA ÓPTICA, PROTOCOLO DE COMUNICACIÓN 61850. PARA BAHÍA DE LÍNEA.</t>
  </si>
  <si>
    <t>CELDA INTERRUPTOR TRIFÁSICO 36 KV/ 80 kA, AISLADA EN VACÍO. CORRIENTE NOMINAL: 1250 A. 60 HZ. 3 POLOS. INCLUYE: SECCIONADORES, 3 TRANSFORMADORES DE CORRIENTE TRIPLE NUCLEO (N1:400-800/5 CL: 0.5s, N2:400-800/5  CL: 0.5s, N3:400-800/5 CL: 5P30, BURDEN: 25 VA) CON PROTOCOLOS DE PRUEBA DE PRECISIÓN DE FABRICANTE Y LABORATORIO ACREDITADO Y UNIDAD INTEGRADA DE CONTROL Y PROTECCIÓN ((RELE CON FUNCIONES: 50,  51, 50N, 51N,50BFE1,E2,27,59,26,49,63,71,96,33,63Q), PUERTO DE COMUNICACIÓN PARA FIBRA ÓPTICA, PROTOCOLO DE COMUNICACIÓN 61850. PARA BAHÍA DE TRANSFORMADOR</t>
  </si>
  <si>
    <t>CELDA INTERRUPTOR TRIFÁSICO 36 KV/ 80 kA, AISLADA EN VACÍO. CORRIENTE NOMINAL: 1250 A. 60 HZ. 3 POLOS. INCLUYE: 3 TRANSFORMADORES DE CORRIENTE TRIPLE NUCLEO (N1:400-800/5 CL: 0.2s, N2:400-800/5  CL: 0.2s, N3:400-800/5 CL: 5P30, BURDEN: 25 VA) CON PROTOCOLOS DE PRUEBA DE PRECISIÓN DE FABRICANTE Y LABORATORIO ACREDITADO Y UNIDAD INTEGRADA DE CONTROL Y PROTECCIÓN (RELÉS: 50, 51, 50N, 51N, 50BFE1/E2,25, 27,59, 74, 79, 67, 67N, 81), PUERTO DE COMUNICACIÓN PARA FIBRA ÓPTICA, PROTOCOLO DE COMUNICACIÓN 61850. PARA BAHÍA DE LÍNEA</t>
  </si>
  <si>
    <t>CELDA INTERRUPTOR TRIFÁSICO 15 KV/ 63 kA, AISLADA EN VACÍO. CORRIENTE NOMINAL: 1250 A. 60 HZ. 3 POLOS. INCLUYE: SECCIONADORES, 3 TRANSFORMADORES DE CORRIENTE TRIPLE NUCLEO (N1:300-600/5 CL: 0.5s, N2:300-600/5  CL: 0.5s, N3:300-600/5 CL: 5P30, BURDEN: 25 VA) CON PROTOCOLOS DE PRUEBA DE PRECISIÓN DE FABRICANTE Y LABORATORIO ACREDITADO Y UNIDAD INTEGRADA DE CONTROL Y PROTECCIÓN (RELE CON FUNCIONES: 50,  51, 50N, 51N,50BFE1,E2,27,59,26,49,63,71,96,33,63Q), PUERTO DE COMUNICACIÓN PARA FIBRA ÓPTICA, PROTOCOLO DE COMUNICACIÓN 61850. BAHIA DE TRANSFORMADOR</t>
  </si>
  <si>
    <t>CELDA INTERRUPTOR TRIFÁSICO 15 KV/ 63 kA, AISLADA EN VACÍO. CORRIENTE NOMINAL: 1250 A. 60 HZ. 3 POLOS. INCLUYE: SECCIONADORES, 3 TRANSFORMADORES DE CORRIENTE TRIPLE NUCLEO (N1:300-600/5 CL: 0.5s, N2:300-600/5  CL: 0.5s, N3:300-600/5 CL: 5P30, BURDEN: 25 VA) CON PROTOCOLOS DE PRUEBA DE PRECISIÓN DE FABRICANTE Y LABORATORIO ACREDITADO Y UNIDAD INTEGRADA DE CONTROL Y PROTECCIÓN (RELÉS: 50, 51, 50N, 51N, 50BFE1/E2,25, 27,59, 74, 79, 67, 67N, 81), PUERTO DE COMUNICACIÓN PARA FIBRA ÓPTICA, PROTOCOLO DE COMUNICACIÓN 61850. PARA BAHÍA DE LÍNEA</t>
  </si>
  <si>
    <t>CELDA INTERRUPTOR TRIFÁSICO 15 KV/ 63 kA, AISLADA EN VACÍO. CORRIENTE NOMINAL: 2000 A. 60 HZ. 3 POLOS. INCLUYE: SECCIONADORES, 3 TRANSFORMADORES DE CORRIENTE TRIPLE NUCLEO (N1:500-1000/5 CL: 0.5s, N2:500-1000/5 CL: 0.5s  CL: 0.5s, N3:500-1000/5 CL: 0.5s CL: 5P30, BURDEN: 25 VA) CON PROTOCOLOS DE PRUEBA DE PRECISIÓN DE FABRICANTE Y LABORATORIO ACREDITADO Y UNIDAD INTEGRADA DE CONTROL Y PROTECCIÓN (RELE CON FUNCIONES: 50,  51, 50N, 51N,50BFE1,E2,27,59,26,49,63,71,96,33,63Q), PUERTO DE COMUNICACIÓN PARA FIBRA ÓPTICA, PROTOCOLO DE COMUNICACIÓN 61850. BAHIA DE TRANSFORMADOR.</t>
  </si>
  <si>
    <t xml:space="preserve">SUMINISTRO, TRANSPORTE E INSTALACIÓN DE CELDA DE  SECCIONAMIENTO PARA OPERACIÓN BAJO CARGA CON FUSIBLE Y PUESTA A TIERRA. INCLUYE ACCESORIOS PARA SU CORRECTA INSTALACIÓN. </t>
  </si>
  <si>
    <t>POSTE INTERIOR DE REFUERZO DE TUBO DE ACERO GALVANIZADO, DE 48 MM DE DIÁMETRO Y 1,5 MM DE ESPESOR, DE 2,4 M DE ALTURA, PARA MALLA DE SIMPLE TORSIÓN DE 2 M DE ALTURA, CON DOS TORNAPUNTAS DE REFUERZO.</t>
  </si>
  <si>
    <t>POSTE INTERMEDIO DE TUBO DE ACERO GALVANIZADO, DE 48 MM DE DIÁMETRO Y 1,5 MM DE ESPESOR, DE 2,4 M DE ALTURA, PARA MALLA DE SIMPLE TORSIÓN DE 2 M DE ALTURA.</t>
  </si>
  <si>
    <t>POSTE EN ESCUADRA DE TUBO DE ACERO GALVANIZADO, DE 48 MM DE DIÁMETRO Y 1,5 MM DE ESPESOR, DE 2,4 M DE ALTURA, PARA MALLA DE SIMPLE TORSIÓN DE 2 M DE ALTURA, CON DOS TORNAPUNTAS DE REFUERZO.</t>
  </si>
  <si>
    <t>POSTE EXTREMO DE TUBO DE ACERO GALVANIZADO, DE 48 MM DE DIÁMETRO Y 1,5 MM DE ESPESOR, DE 2,4 M DE ALTURA, PARA MALLA DE SIMPLE TORSIÓN DE 2 M DE ALTURA, CON UN TORNAPUNTAS DE REFUERZO.</t>
  </si>
  <si>
    <t>ACCESORIOS PARA LA FIJACIÓN DE LA MALLA DE SIMPLE TORSIÓN A LOS POSTES METÁLICOS.</t>
  </si>
  <si>
    <t>https://colombia.generadordeprecios.info/obra_nueva/calculaprecio.asp?Valor=2|0_1|1|UVT010|uvt_010:_0_0_8c6_0_10_0_290_0_70_0_70_0_5</t>
  </si>
  <si>
    <t>MA-533</t>
  </si>
  <si>
    <t>MA-534</t>
  </si>
  <si>
    <t>MA-535</t>
  </si>
  <si>
    <t>MA-536</t>
  </si>
  <si>
    <t>MA-537</t>
  </si>
  <si>
    <t>MA-538</t>
  </si>
  <si>
    <t>TRANSFORMADOR DE POTENCIA DE 15/20 MVA, REFRIGERACIÓN ONAN/ONAF, 34.5/13.8 KV, CONEXIÓN DYN5, CON ACCESORIOS DE CONTROL Y PROTECCIÓN INCLUYENDO: TERMÓMETROS CON CONTACTOS, NIVEL DE ACEITE CON CONTACTOS, VÁLVULA QUALITROL, RELÉ DE BUCHHOLZ, TANQUE DE EXPANSIÓN, SECADORES DE AIRE, VENTILADORES, TABLERO DE CONEXIONES ACOPLADO, CAMBIADOR DE TAP`S DE OPERACIÓN SIN CARGA EN 34.5 KV.</t>
  </si>
  <si>
    <t>Baraya</t>
  </si>
  <si>
    <t>Tesalia</t>
  </si>
  <si>
    <t>SUMINISTRO E INSTALACIÓN DE POZO SÉPTICO PLÁSTICO PREFABRICADO DE 1.650 LITROS. INCLUYE EXCAVACIÓN Y ACCESORIOS</t>
  </si>
  <si>
    <t>SUMINISTRO E INSTALACIÓN DE BANDEJA PORTACABLES 15X40 CM. INCLUYE CURVAS Y SISTEMA DE FIJACIÓN</t>
  </si>
  <si>
    <t>SUMINISTRO E INSTALACIÓN DE BANDEJA PORTACABLES 15X20 CM. INCLUYE CURVAS Y SISTEMA DE FIJACIÓN</t>
  </si>
  <si>
    <t>SUMINISTRO E INSTALACIÓN DE BANDEJA PORTACABLES 15X20 CM TIPO DUCTO CERRADO Y TAPA. INCLUYE CURVAS Y SISTEMA DE FIJACIÓN EN TECHO (CUARTO DE CONTROL)</t>
  </si>
  <si>
    <t>SUMINISTRO E INSTALACIÓN DE CANALIZACIÓN DE SEÑALES PARA CTs EN TUBO CONDUIT METALICO GALVANIZADO IMC DIAMETRO 1 1/4"</t>
  </si>
  <si>
    <t>SUMINISTRO E INSTALACIÓN DE CANALIZACIÓN DE SEÑALES PARA VTs EN TUBO CONDUIT METALICO GALVANIZADO IMC DIAMETRO 1 1/4"</t>
  </si>
  <si>
    <t>SISTEMA DE PÓRTICOS 34,5 kV</t>
  </si>
  <si>
    <t>EQUIPOS DE MANIOBRA 34,5 kV</t>
  </si>
  <si>
    <t>EQUIPOS DE MANIOBRA 13,8 kV</t>
  </si>
  <si>
    <t>SUMINISTRO E INSTALACIÓN DE HERRAJES PARA LA ESTRUCTURA PRINCIPAL DEL PÓRTICO</t>
  </si>
  <si>
    <t>SUMINISTRO E INSTALACIÓN DE HERRAJES PARA BAHÍA DE LÍNEA TIPO A o B N3. INCLUYE HERRAJES PARA SECCIONADOR</t>
  </si>
  <si>
    <t>SUMINISTRO E INSTALACIÓN DE HERRAJES PARA BAHÍA DE TRANSFORMADOR AUXILIAR N3</t>
  </si>
  <si>
    <t>SUMINISTRO E INSTALACIÓN DE HERRAJES PARA BAY-PASS N3</t>
  </si>
  <si>
    <t>SUMINISTRO E INSTALACIÓN DE POSTE DE CONCRETO 14 m 1050 KG</t>
  </si>
  <si>
    <t>BASE EN CONCRETO Y ANCLAJE POSTE DE CONCRETO 14 m 1050 KG</t>
  </si>
  <si>
    <t>SUMINISTRO E INSTALACIÓN DE RECONECTADOR TRIFÁSICO (R). UM:38KV, IN: 630A, ISC:12.5KA MIN, LIWV:170KV. INCLUYE CONTROL MICROPROCESADOR DE ÚLTIMA TECNOLOGÍA, CABLES DE 6M, DPS, Y PRENSACABLES Y TARJETA DE COMUNICACIÓN LAN DUAL ETHERNET RJ45 Y ÓPTICA MTRJ, 6 SENSORES DE TENSIÓN, 3 SENSORES DE CORRIENTE, DPS DE BAJA TENSIÓN BIFÁSICO/TRIFILAR 175VAC - 5KA, UN GABINETE DE COMUNICACIÓN QUE INCLUYA RADIO Y ANTENA, BATERIA DE RESPALDO Y CARGADOR.</t>
  </si>
  <si>
    <t>SUMINISTRO E INSTALACIÓN DE SECCIONADOR TRIPOLAR MOTORIZADO CON CUCHILLA DE PUESTA A TIERRA MOTORIZADA UM:38 KV, IN: 630A, ISC:12.5KA MIN, LIWV:95KV. INCLUYE: BRAZO DE MANDO MANUAL A LA ALTURA APROPIADA</t>
  </si>
  <si>
    <t>SUMINISTRO E INSTALACIÓN DE SECCIONADOR TRIPOLAR MOTORIZADO SIN CUCHILLA DE PUESTA A TIERRA. UM:38 KV, IN: 630A, ISC:12.5KA MIN, LIWV:95KV. INCLUYE: BRAZO DE MANDO MANUAL A LA ALTURA APROPIADA</t>
  </si>
  <si>
    <t>SUMINISTRO E INSTALACIÓN DE DPS VNOM 38 KV. ISC 12.5 KA</t>
  </si>
  <si>
    <t>SUMINISTRO E INSTALACIÓN DE TRANSFORMADOR DE TENSIÓN. USO EXTERIOR. NUCLEO SENCILLO. (N1: 34,5√3/115√3. CL 0.5,  1 VA).</t>
  </si>
  <si>
    <t>SUMINISTRO E INSTALACIÓN DE TRANSFORMADOR DE TENSIÓN. USO EXTERIOR. DOBLE NUCLEO. (N1: 34,5√3/115√3 - CL 0.5-10 VA; N2: 34,5√3/115√3- CL: 3P-10VA)</t>
  </si>
  <si>
    <t>SUMINISTRO E INSTALACIÓN DE UNA UNIDAD INTEGRADA DE CONTROL Y PROTECCIÓN (RELÉS: 50, 51, 50N, 51N, 50BFE1/E2,25, 27,59, 74, 79, 67, 67N, 81). PUERTO DE COMUNICACIÓN PARA FIBRA ÓPTICA, PROTOCOLO DE COMUNICACIÓN 61850. PANTALLA TACTIL (IHM). PARA LA BAHÍA DE LÍNEA</t>
  </si>
  <si>
    <t>SUMINISTRO E INSTALACIÓN DE UNA UNIDAD INTEGRADA DE CONTROL Y PROTECCIÓN (RELE CON FUNCIONES: 50,  51, 50N, 51N,50BFE1,E2,27,59,26,49,63,71,96,33,63Q). PUERTO DE COMUNICACIÓN PARA FIBRA ÓPTICA, PROTOCOLO DE COMUNICACIÓN 61850. PANTALLA TACTIL (IHM). PARA LA BAHÍA DE TRANSFORMADOR</t>
  </si>
  <si>
    <t>SUMINISTRO E INSTALACIÓN DE CABLE DE CONTROL APANTALLADO 7x10 AWG Cu- TC-THHN/THWN - ER- 600 V</t>
  </si>
  <si>
    <t>SUMINISTRO E INSTALACIÓN DE CONTROL APANTALLADO 7x14 AWG Cu- TC-THHN/THWN - 600 V</t>
  </si>
  <si>
    <t>SUMINISTRO E INSTALACIÓN DE CONTROL APANTALLADO 19x14 Cu- TC-THHN/THWN- ER-600 V</t>
  </si>
  <si>
    <t>SISTEMA DE PÓRTICOS 13,8 kV</t>
  </si>
  <si>
    <t>SUMINISTRO E INSTALACIÓN DE HERRAJES PARA BAHÍA DE LÍNEA TIPO A o B N2. INCLUYE HERRAJES PARA SECCIONADOR</t>
  </si>
  <si>
    <t>SUMINISTRO E INSTALACIÓN DE HERRAJES PARA BAHÍA DE TRANSFORMADOR AUXILIAR N2</t>
  </si>
  <si>
    <t>SUMINISTRO E INSTALACIÓN DE HERRAJES PARA BAY-PASS N2</t>
  </si>
  <si>
    <t>SUMINISTRO, TRANSPORTE E INSTALACIÓN DE RECONECTADOR TRIFÁSICO (R). UM:15KV, IN: 630A, ISC:12.5KA MIN, LIWV:170KV. INCLUYE CONTROL MICROPROCESADOR DE ÚLTIMA TECNOLOGÍA, CABLES DE 6M, DPS, Y PRENSACABLES Y TARJETA DE COMUNICACIÓN LAN DUAL ETHERNET RJ45 Y ÓPTICA MTRJ, 6 SENSORES DE TENSIÓN, 3 SENSORES DE CORRIENTE, DPS DE BAJA TENSIÓN BIFÁSICO/TRIFILAR 175VAC - 5KA, UN GABINETE DE COMUNICACIÓN QUE INCLUYA RADIO Y ANTENA, BATERIA DE RESPALDO Y CARGADOR.</t>
  </si>
  <si>
    <t>SUMINISTRO DE SECCIONADOR TRIPOLAR MOTORIZADO CON CUCHILLA DE PUESTA A TIERRA MOTORIZADA (SC) UM:15KV, IN: 630A, ISC:12.5KA MIN, LIWV:95KV. INCLUYE: BRAZO DE MANDO MANUAL A LA ALTURA APROPIADA</t>
  </si>
  <si>
    <t>SUMINISTRO DE SECCIONADOR TRIPOLAR MOTORIZADO SIN CUCHILLA DE PUESTA A TIERRA (SE). UM:15KV, IN: 630A, ISC:12.5KA MIN, LIWV:95KV. INCLUYE: BRAZO DE MANDO MANUAL A LA ALTURA APROPIADA</t>
  </si>
  <si>
    <t>SUMINISTRO DE PARARRAYOS, O DPS,  TIPO LÍNEA. (PY) UR:15KV;UC:9,6KV. IND:10 KA; CLASE 3.</t>
  </si>
  <si>
    <t>SUMINISTRO E INSTALACIÓN DE TRANSFORMADOR DE CORRIENTE. USO EXTERIOR. TRIPLE NÚCLEO: ( N1:300-600/5 CL: 0,5S, N2:300-600/5 CL: 0,5S, N3:300-600/5 CL: 5P20) UM:15KV, ISC:12.5KA MIN. INCLUYE PROTOCOLOS DE PRUEBA DE PRECISIÓN DE FABRICANTE Y LABORATORIO ACREDITADO.</t>
  </si>
  <si>
    <t>SUMINISTRO E INSTALACIÓN DE TRANSFORMADOR DE CORRIENTE. USO EXTERIOR. TRIPLE NÚCLEO: ( N1:100-200/5 CL: 0,5S, N2:100-200/5 CL: 0,5S, N3:100-200/5 CL: 5P20) UM:15KV, ISC:12.5KA . INCLUYE PROTOCOLOS DE PRUEBA DE PRECISIÓN DE FABRICANTE Y LABORATORIO ACREDITADO.</t>
  </si>
  <si>
    <t>SUMINISTRO E INSTALACIÓN DE TRANSFORMADOR DE TENSIÓN. USO EXTERIOR. DOBLE NUCLEO. (N1: 13,8√3/115√3. CL 0,5, 10 VA; N2: 13,8√3/115√3. 5P-10VA)</t>
  </si>
  <si>
    <t>EQUIPOS DE CONTROL 13,8 kV</t>
  </si>
  <si>
    <t>SUMINISTRO, TRANSPORTE E INSTALACIÓN DE TABLERO AUTOSOPORTADO DE FABRICACIÓN ESPECIAL. DE USO INTERIOR. IP 54. LAMINA DE ACERO GALVANIZADA CALIBRE 18. PARA ALBERGAR HASTA 6 EQUIPOS DE CONTROL, SEGÚN DIAGRAMA UNIFILAR (+R02A). INCLUYE ILUMINACIÓN, RESISTENCIA PARA CALEFACCIÓN, BREAKERS DE PROTECCIÓN, BORNERAS CORTOCIRCUITABLES, CANALETAS Y DEMÁS ACCESORIOS.</t>
  </si>
  <si>
    <t>SUMINISTRO, TRANSPORTE E INSTALACIÓN DE UNA UNIDAD INTEGRADA DE CONTROL Y PROTECCIÓN (RELÉS: 50, 51, 50N, 51N, 50BFE1/E2,25, 27,59, 74, 79, 67, 67N, 81). PUERTO DE COMUNICACIÓN PARA FIBRA ÓPTICA, PROTOCOLO DE COMUNICACIÓN 61850. PANTALLA TACTIL (IHM). PARA LA BAHÍA DE LÍNEA</t>
  </si>
  <si>
    <t>SUMINISTRO, TRANSPORTE E INSTALACIÓN DE UNA UNIDAD INTEGRADA DE CONTROL Y PROTECCIÓN (RELE CON FUNCIONES: 50,  51, 50N, 51N,50BFE1,E2,27,59,26,49,63,71,96,33,63Q). PUERTO DE COMUNICACIÓN PARA FIBRA ÓPTICA, PROTOCOLO DE COMUNICACIÓN 61850. PANTALLA TACTIL (IHM). PARA LA BAHÍA DE TRANSFORMADOR</t>
  </si>
  <si>
    <t>SUMINISTRO, TRANSPORTE E INSTALACIÓN DE TRANSFORMADOR DE POTENCIA PARA SERVICIOS AUXILIARES DE C.A.TRÍFASICO CONVENCIONAL 30 KVA, 13.8/0.208 KV, DYN5, Cu-Cu, ACEITE VEGETAL. INCLUYE PUESTA A TIERRA, DPS, CORTACIRCUITOS, TERMINALES DE COMPRESION,  ROTULADO Y HERRAJERÍA PARA INSTALACIÓN EN PÓRTICO</t>
  </si>
  <si>
    <t>SUMINISTRO, TRANSPORTE E INSTALACIÓN DE TRANSFORMADOR DE POTENCIA PARA SERVICIOS AUXILIARES DE C.A.TRÍFASICO CONVENCIONAL 30 KVA, 34.5/0.208 KV, DYN5, Cu-Cu, ACEITE VEGETAL. INCLUYE PUESTA A TIERRA, DPS, CORTACIRCUITOS, TERMINALES DE COMPRESION, ROTULADO Y HERRAJERÍA PARA INSTALACIÓN EN PÓRTICO</t>
  </si>
  <si>
    <t>SUMINISTRO E INSTALACIÓN DE ACOMETIDA BT EN CABLE AAAC 3X1/0+1/0</t>
  </si>
  <si>
    <t>SUMINISTRO E INSTALACIÓN DE CANALIZACIÓN DE ACOMETIDA</t>
  </si>
  <si>
    <t>SUMINISTRO DE TRANSFORMADOR DE CORRIENTE TIPO VENTANA. USO EXTERIOR PARA MEDIDA SEMIDIRECTA. (100:5A/5A;CL0.5S;25VA). INCLUYE PROTOCOLOS DE PRUEBA DE PRECISIÓN DE FABRICANTE Y LABORATORIO ACREDITADO.</t>
  </si>
  <si>
    <t>SUMINISTRO E INSTALACIÓN DE INSTALACIÓN DE DUCTO DE EXTRACCIÓN DE VAPORES. INCLUYE MATERIAL DE FIJACIÓN</t>
  </si>
  <si>
    <t>KIT DE VENTILACIÓN FORZADA</t>
  </si>
  <si>
    <t>SUMINISTRO, TRANSPORTE E INSTALACIÓN DE POSTE METÁLICO 8 METROS. INCLUYE SOPORTES Y ACCESORIOS</t>
  </si>
  <si>
    <t>SUMINISTRO E INSTALACIÓN DE REFLECTO LED 100 W. INCLUYE  2 FUSIBLES TIPO SUMERGIBLE DE VIDRIO. CABLE ENCAUCHETADA 3X16 AWG. CONECTORES DE RESORTE, FOTOCELDA Y CINTA AISLANTE</t>
  </si>
  <si>
    <t>SALIDA (TOMA MONOFÁSICA, ILUMINACIÓN Y CALEFACCIÓN), CAJA RAWELT EN TUBERÍA IMC DE 1/2" Y CORAZA. EN CABLE 3 X 10 AWG CU- TC-THHN - 600 V LONGITUD DE 2 METROS.</t>
  </si>
  <si>
    <t>SUMINISTRO E INSTALACIÓN DE LUMINARIA LED TORTUGA 12 W. 960 LUMENES. 100 - 240 V.</t>
  </si>
  <si>
    <t>SUMINISTRO E INSTALACIÓN DE LUMINARIA LED 18 W. 1260 LUMENES. 100 - 240 V.  SOBREPONER</t>
  </si>
  <si>
    <t>SUMINISTRO E INSTALACIÓN DE AIRE ACONDICIONADO INVERTER DE 12000 BTUs. INCLUYE: TUBERÍA DE REFRIGERACIÓN, REFRIGERANTE, CABLEADO DE CONTROL Y DE FUERZA HASTA SALIDA A 0 M.</t>
  </si>
  <si>
    <t>SUMINISTRO  E INSTALACIÓN DE CONDUCTOR DEL ELECTRODO DE PUESTA A TIERRA DE EQUIPOS Cu 8 AWG. LONGITUD PROMEDIO 5 METROS, SOLDADURA Y TERMINALES (CERRAMIENTO)</t>
  </si>
  <si>
    <t>EXCAVACION MANUAL EN MATERIAL COMUN (MALLA SPT)</t>
  </si>
  <si>
    <t>SISTEMA DE PROTECCIÓN CONTRA DESCARGAS</t>
  </si>
  <si>
    <t>SUMINISTRO E INSTALACIÓN DE PUNTAS FRANKLIN DE 1 METRO. INCLUYE LA BASE (CASETA)</t>
  </si>
  <si>
    <t>SUMINISTRO E INSTALACIÓN DE CONDUCTOR ALAMBRÓN DE ALUMINIO DESNUDO DE Ø8 MM Ó 1/0 AWG PARA ANILLO DE APANTALLAMIENTO Y BAJANTE</t>
  </si>
  <si>
    <t>SUMINISTRO E INSTALACIÓN DE BAJANTE A ELECTRODO DE PUESTA TIERRA EN CABLE DE ALUMINIO 1/0 Y CABLE DE COBRE 1/0, EN TUBERÍA IMC 1" CON FUNDA AISLANTE DE 115 KV. INCLUYE SOLDADURA EXOTÉRMICA, DUCTO PVC Y FUNDA RAYCHEM (POSTES)</t>
  </si>
  <si>
    <t>SUMINISTRO, TRANSPORTE E INSTALACIÓN DE CELDA PARA TRANSFORMADOR DE SERVICIOS AUXILIARES TRÍFASICO TIPO SECO 75 KVA, 13.8/0.208 KV, DYN5, Cu-Cu, AISLADO EN RESINA. CLASE F. INCLUYE PUESTA A TIERRA, TERMINALES DE COMPRESION,  ROTULADO Y DEMAS ACCESORIOS PARA SU CORRECTA INSTALACIÓN</t>
  </si>
  <si>
    <t>SUMINISTRO E INSTALACIÓN DE CABLE DE CONTROL APANTALLADO 7x10 AWG Cu- TC-THHN/THWN - ER- 600 V PARA TCs Y PTs</t>
  </si>
  <si>
    <t>SUMINISTRO E INSTALACIÓN DE TRANSFORMADOR DE CORRIENTE. USO EXTERIOR. TRIPLE NÚCLEO: ( N1:500-1000/5 CL: 0,5S, N2:500-1000/5 CL: 0,5S, N3:500-1000/5 CL: 5P20, BURDEN: 25 VA)  UM:38KV, ISC:12.5KA. INCLUYE PROTOCOLOS DE PRUEBA DE PRECISIÓN DE FABRICANTE Y LABORATORIO ACREDITADO.</t>
  </si>
  <si>
    <t>SUMINISTRO E INSTALACIÓN DE TRANSFORMADOR DE CORRIENTE. USO EXTERIOR. TRIPLE NÚCLEO: ( N1:75-150/5 CL: 0,5S, N2:75-150/5 CL: 0,5S, N3:75-150/5 CL: 5P20, BURDEN: 25 VA) UM:38KV, ISC:12.5KA. INCLUYE PROTOCOLOS DE PRUEBA DE PRECISIÓN DE FABRICANTE Y LABORATORIO ACREDITADO.</t>
  </si>
  <si>
    <t>SUMINISTRO E INSTALACIÓN DE TRANSFORMADOR DE CORRIENTE. USO EXTERIOR. TRIPLE NÚCLEO: ( N1:150-300/5 CL: 0,5S, N2:150-300/5 CL: 0,5S, N3:150-300/5 CL: 5P20, BURDEN: 25 VA). UM:38KV, ISC:12.5KA. INCLUYE PROTOCOLOS DE PRUEBA DE PRECISIÓN DE FABRICANTE Y LABORATORIO ACREDITADO.</t>
  </si>
  <si>
    <t>SUMINISTRO E INSTALACIÓN DE TRANSFORMADOR DE CORRIENTE. USO EXTERIOR. TRIPLE NÚCLEO: ( N1:200-400/5 CL: 0,5S, N2: 200-400/5 CL: 0,5S, N3:200-400/5 CL: 5P20, BURDEN: 25 VA) UM:38KV, ISC:12.5KA. INCLUYE PROTOCOLOS DE PRUEBA DE PRECISIÓN DE FABRICANTE Y LABORATORIO ACREDITADO.</t>
  </si>
  <si>
    <t>Cotización ABB del 25/06/2025</t>
  </si>
  <si>
    <t>Cotización ABB 25/06/2025</t>
  </si>
  <si>
    <t>BARAYA</t>
  </si>
  <si>
    <t>TESALIA</t>
  </si>
  <si>
    <t>QUIRINAL</t>
  </si>
  <si>
    <t>TESORO</t>
  </si>
  <si>
    <t>URDANETA</t>
  </si>
  <si>
    <t>PROVISIONAL DE ENERGÍA</t>
  </si>
  <si>
    <t>PROVISIONAL DE AGUA</t>
  </si>
  <si>
    <t>INTEGRACIÓN DE RECONECTADOR MEDIANTE EL SISTEMA SCADA AL CENTRO DE CONTROL DE ELECTROHUILA (VISUALIZACIÓN EN PANTALLA, MONITOREO DE VARIABLES Y OPERACIÓN EN TIEMPO REAL) Y AL OMS (REGISTROS DE APERTURAS Y CIERRES CON ESTAMPA DE TIEMPO REAL). INCLUYE LICENCIAMIENTO DE PROTOCOLOS Y PUNTOS A INTEGRAR AL SCADA, PARAMETRIZACIÓN Y AJUSTES DEL CONTROL, PRUEBAS DEL SISTEMA EN TERRENO, DESDE CENTRO DE CONTROL, OMS, Y PUESTA EN SERVICIO</t>
  </si>
  <si>
    <t>111</t>
  </si>
  <si>
    <t>113</t>
  </si>
  <si>
    <t>115</t>
  </si>
  <si>
    <t>117</t>
  </si>
  <si>
    <t>119</t>
  </si>
  <si>
    <t>121</t>
  </si>
  <si>
    <t>124</t>
  </si>
  <si>
    <t>125</t>
  </si>
  <si>
    <t>126</t>
  </si>
  <si>
    <t>127</t>
  </si>
  <si>
    <t>128</t>
  </si>
  <si>
    <t>129</t>
  </si>
  <si>
    <t>INTEGRACIÓN DE RECONECTADOR MEDIANTE EL SISTEMA SCADA AL CENTRO DE CONTROL</t>
  </si>
  <si>
    <t>MA-539</t>
  </si>
  <si>
    <t>COTIZACIÓN VELPA</t>
  </si>
  <si>
    <t>MA-540</t>
  </si>
  <si>
    <t>SUMINISTRO E INSTALACIÓN TRANSFORMADOR DE POTENCIA DE 5/6.25 MVA, REFRIGERACIÓN ONAN/ONAF, 34.5/13.8 KV, CONEXIÓN DYN5, CON ACCESORIOS DE CONTROL Y PROTECCIÓN INCLUYENDO: TERMÓMETROS CON CONTACTOS, NIVEL DE ACEITE CON CONTACTOS, VÁLVULA QUALITROL, RELÉ DE BUCHHOLZ, TANQUE DE EXPANSIÓN,  VENTILADORES, TABLERO DE CONEXIONES ACOPLADO, CAMBIADOR DE TAP`S DE OPERACIÓN SIN CARGA EN 34.5 KV.</t>
  </si>
  <si>
    <t>SUMINISTRO E INSTALACIÓN TRANSFORMADOR DE POTENCIA DE 10/12.5 MVA, REFRIGERACIÓN ONAN/ONAF, 34.5/13.8 KV, CONEXIÓN DYN5, CON ACCESORIOS DE CONTROL Y PROTECCIÓN INCLUYENDO: DPS 36 kV y 17kV, TERMÓMETROS CON CONTACTOS, NIVEL DE ACEITE CON CONTACTOS, VÁLVULA QUALITROL, RELÉ DE BUCHHOLZ, TANQUE DE EXPANSIÓN, VENTILADORES, TABLERO DE CONEXIONES ACOPLADO, CAMBIADOR DE TAP`S DE OPERACIÓN SIN CARGA EN 34.5 KV.</t>
  </si>
  <si>
    <t>SUMINISTRO E INSTALACIÓN TRANSFORMADOR DE POTENCIA DE 15/20 MVA, REFRIGERACIÓN ONAN/ONAF, 34.5/13.8 KV, CONEXIÓN DYN5, CON ACCESORIOS DE CONTROL Y PROTECCIÓN INCLUYENDO: DPS 36 kV y 17kV, TERMÓMETROS CON CONTACTOS, NIVEL DE ACEITE CON CONTACTOS, VÁLVULA QUALITROL, RELÉ DE BUCHHOLZ, TANQUE DE EXPANSIÓN,  VENTILADORES, TABLERO DE CONEXIONES ACOPLADO, CAMBIADOR DE TAP`S DE OPERACIÓN SIN CARGA EN 34.5 KV.</t>
  </si>
  <si>
    <t>CELDA DE MEDIDA DE FABRICACIÓN ESPECIAL. DE USO INTERIOR. IP 65 PARA ALBERGAR TRANSFORMADORES DE POTENCIAL AL TREN DE CELDAS</t>
  </si>
  <si>
    <t>MA-541</t>
  </si>
  <si>
    <t>TRANSFORMADOR AUXILIARES SUBESTACIÓN TIPO INTERIOR</t>
  </si>
  <si>
    <t>TRANSFORMADOR AUXILIARES SUBESTACIÓN TIPO PATIO</t>
  </si>
  <si>
    <t>SUMINISTRO E INSTALACIÓN DE HERRAJES PARA BAHÍA DE TRANSFORMADOR DE POTENCIA N2</t>
  </si>
  <si>
    <t>SUMINISTRO E INSTALACIÓN DE HERRAJES PARA BAHÍA DE TRANSFORMADOR DE POTENCIA N3</t>
  </si>
  <si>
    <t>CABLE ECOLOGICO 4/0 AWG 15KV</t>
  </si>
  <si>
    <t>CABLE ECOLOGICO 4/0 AWG 35KV</t>
  </si>
  <si>
    <t>SUMINISTRO E INSTALACIÓN DE CABLE ECOLÓGICO ACSR 3X 4/0 AWG 35 KV PARA CONEXIÓN ENTRE EQUIPOS</t>
  </si>
  <si>
    <t>SUMINISTRO E INSTALACIÓN DE CABLE ACSR 3X 4/0 AWG 15KV PARA CONEXIÓN ENTRE EQUIPOS</t>
  </si>
  <si>
    <t>SUMINISTRO E INSTALACIÓN DE CABLE AAAC 3X465.4Kcmil – CAIRO PARA BARRAJE</t>
  </si>
  <si>
    <t>SUMINISTRO E INSTALACIÓN DE GABINETE DC CONFORMADO POR DOS CARGADORES TRIFÁSICOS CONFIGURACIÓN REDUNDANTE, SALIDA 125 VDC – 40 AH CON TABLERO AUTOSOPORTADO DE FABRICACIÓN ESPECIAL. DE USO INTERIOR. IP 54. LAMINA DE ACERO GALVANIZADA CALIBRE 18. (+NK01). INCLUYE  ILUMINACIÓN Y ACCESORIOS</t>
  </si>
  <si>
    <t>BATERÍAS DE 12 VDC – 200 AH</t>
  </si>
  <si>
    <t>https://www.improinde.com/product-page/bateria-de-gel-12v-200ah-ciclo-profundo-newmax-812000</t>
  </si>
  <si>
    <t>SUMINISTRO E INSTALACIÓN DE BANCO DE BATERÍAS (CONFORMADO POR 11 BATERÍAS DE 12 VDC – 200 AH) CON TABLERO AUTOSOPORTADO DE FABRICACIÓN ESPECIAL. DE USO INTERIOR. IP 65. LAMINA DE ACERO GALVANIZADA CALIBRE 18. (+B01). INCLUYE BREAKERS DE PROTECCIÓN, CANALETAS Y DEMÁS ACCESORIOS, RESISTENCIA E ILUMINACIÓN. SEGÚN DIAGRAMA UNIFILAR.  (BANCO DE BATERIAS)</t>
  </si>
  <si>
    <t xml:space="preserve">SECCIONADOR DE OPERACIÓN BAJO CARGA 24kV CON FUSIBLE </t>
  </si>
  <si>
    <t>SUMINISTRO E INSTALACIÓN DE ACOMETIDA BT EN CABLE  3X350F+1x350N THWN. INCLUYE TERMINALES</t>
  </si>
  <si>
    <t>BASE EN CONCRETO Y ANCLAJE POSTE DE CONCRETO 8 m 510 KG</t>
  </si>
  <si>
    <t>SUMINISTRO E INSTALACIÓN DE ALIMENTADOR PARA ILUMINACIÓN PERIMETRAL. EN CABLE 10 AWG Cu- TC-THHN - 600 V, TUBO PVC 1/2". INCLUYE BOQUILLA. UNIONES.</t>
  </si>
  <si>
    <t>CURVA PVC 1/2"</t>
  </si>
  <si>
    <t>MA-542</t>
  </si>
  <si>
    <t>MA-543</t>
  </si>
  <si>
    <t>MA-544</t>
  </si>
  <si>
    <t>MA-545</t>
  </si>
  <si>
    <t>TUBO IMC 1/2"</t>
  </si>
  <si>
    <t>https://interelectricas.com.co/tuberia-metalica-y-pvc/966-curva-pvc-de-1-2.html</t>
  </si>
  <si>
    <t>SUMINISTRO E INSTALACIÓN DE BAJANTE A ELECTRODO DE PUESTA TIERRA EN CABLE DE ALUMINIO 1/0 Y CABLE DE COBRE 1/0, EN TUBERÍA IMC 1/2" CON FUNDA AISLANTE DE 115 KV. INCLUYE SOLDADURA EXOTÉRMICA, DUCTO PVC Y FUNDA RAYCHEM (CASETA)</t>
  </si>
  <si>
    <t>SUMINISTRO E INSTALACIÓN DE CABLE DE FUERZA 3x10 AWG Cu- TC-THHN/THWN - ER- 600 V (SECCIONADORES Y RECONECTADORES)</t>
  </si>
  <si>
    <t>https://ferretodo.com.co/ferretienda/conector-de-fibra-optica-sc-lightcrimp-plus/</t>
  </si>
  <si>
    <t>PONCHADO INDIVIDUAL DE CABLE MULTICONDUCTOR  PARA TRANSFORMADORES DE MEDIDA (APLICA PARA CABLE 3X10 AWG, CABLE 7X16 AWG, CABLE 7X10 AWG)</t>
  </si>
  <si>
    <t>MA-546</t>
  </si>
  <si>
    <t>https://www.homecenter.com.co/homecenter-co/product/491912/toma-aerea-de-seguridad-hembra-de-4-polos-halux/491912/</t>
  </si>
  <si>
    <t>MA-547</t>
  </si>
  <si>
    <t>https://homecenter.falabella.com.co/homecenter-co/product/118862297/Clavija-Aerea-De-Seguridad-Macho-De-4-Polos-Halux/118862302?exp=homecenter</t>
  </si>
  <si>
    <t>MA-548</t>
  </si>
  <si>
    <t>SUMINISTRO E INSTALACIÓN DE SALIDA EN TUBERÍA EMT EN 1/2" EN CABLE 2X10F+1X10N + 1X10 T AWG Cu- TC-THHN - 600 V. INCLUYE CLAVIJA TWIST LOCK Y TOMA 4 POLOS.</t>
  </si>
  <si>
    <t>CERTIFICACIÓN DE CONEXIÓN DE PUNTO DE DATO</t>
  </si>
  <si>
    <t>SUMINISTRO E INSTALACIÓN DE BANDEJA PORTACABLES 15X20 CM TIPO DUCTO CERRADO Y TAPA. INCLUYE CURVAS Y SISTEMA DE FIJACIÓN EN TECHO ( PARA SISTEMA DE COMUNICACIÓN)</t>
  </si>
  <si>
    <t>https://interelectricas.com.co/tuberia-metalica-y-pvc/2125-curva-pvc-de-3.html</t>
  </si>
  <si>
    <t>CURVA PVC 3"</t>
  </si>
  <si>
    <t>MA-549</t>
  </si>
  <si>
    <t>SUMINISTRO E INSTALACIÓN DE PROTECCIÓN EN CONCRETO DE 2500 PSI DE 100 X 5 CM PARA CRUCES DE CONDUCTORES EN VIA</t>
  </si>
  <si>
    <t>CIRCUITO AUXILIARES PARA CONTROLES DE PATIO (TOMACORRIENTES, ILUMINACIÓN Y CALEFACCIÓN)</t>
  </si>
  <si>
    <t xml:space="preserve">SUMINISTRO E INSTALACIÓN DE CANALIZACIÓN PARA LLEGADA A EQUIPOS EN PATIO EN TUBO CONDUIT METALICO GALVANIZADO IMC DIAMETRO 3/4" (SECCIONADOR, RECONECTADOR Y CIRCUITO AUXILIAR DE CONTROLES) </t>
  </si>
  <si>
    <t xml:space="preserve">SUMINISTRO E INSTALACIÓN DE CANALIZACIÓN PARA LLEGADA A EQUIPOS EN PATIO EN TUBO CONDUIT METALICO GALVANIZADO IMC DIAMETRO 3/4" (SECCIONADOR, RECONECTADOR, FIBRA OPTICA  Y CIRCUITO AUXILIAR DE CONTROLES) </t>
  </si>
  <si>
    <t xml:space="preserve">SUMINISTRO E INSTALACIÓN DE CIRCUITO ALIMENTADOR PARA ILUMINACIÓN, TOMAS Y CALEFACCIÓN DE CONTROLES DE PATIO EN TUBERÍA PVC 1" Y CABLE  10 AWG Cu- TC-THHN - 600 V. (RECONECTADORES  Y SECCIONADORES) </t>
  </si>
  <si>
    <t>SUMINISTRO E INSTALACIÓN DE CIRCUITO EN CABLE 3#12F+1#12N+1#12T AWG (VENTILACIÓN FORZADA DE TRANSFORMADOR DE POTENCIA EN PATIO)</t>
  </si>
  <si>
    <t>CONDUCTORES DE POTENCIA Y SEÑALES de Medida, Control y Protección 13,8 kV</t>
  </si>
  <si>
    <t>SUMINISTRO E INSTALACIÓN DE BANCO DE DUCTOS PARA CRUCE DE VIAS INTERNAS EN TUBERÍA PVC ( 10X4"+5X3"+4X2"+14X1"+3X3/4")</t>
  </si>
  <si>
    <t>CONDUCTORES DE POTENCIA Y SEÑALES DE MEDIDA, CONTROL Y PROTECCIÓN 34,5kV</t>
  </si>
  <si>
    <t>SUMINISTRO E INSTALACIÓN DE CANALIZACIÓN  EN TUBERIA PVC DE 6" PARA CABLES DE POTENCIA</t>
  </si>
  <si>
    <t>SUMINISTRO E INSTALACIÓN DE CANALIZACIÓN  EN TUBERIA  PVC DE 4" PARA CABLES DE POTENCIA</t>
  </si>
  <si>
    <t>SUMINISTRO E INSTALACIÓN DE CABLE CABLE 3X250 kcmil -  MV-105 XLPE – 35 kV – Cu – 133 % - Monopolar - Pantalla en Cinta de Cu FR-SR/PVC  INCLUYE TERMINALES PREMOLDEADOS</t>
  </si>
  <si>
    <t>SUMINISTRO E INSTALACIÓN DE CABLE CABLE 3X500 kcmil -  MV-105 XLPE –  35 kV – Cu – 133 % - Monopolar - Pantalla en Cinta de Cu FR-SR/PVC. INCLUYE TERMINALES PREMOLDEADOS</t>
  </si>
  <si>
    <t>SUMINISTRO E INSTALACIÓN DE CABLE CABLE 3X250 kcmil -  MV-105 XLPE – 15 kV – Cu – 133 % - Monopolar - Pantalla en Cinta de Cu FR-SR/PVC  INCLUYE TERMINALES PREMOLDEADOS</t>
  </si>
  <si>
    <t>SUMINISTRO E INSTALACIÓN DE CABLE CABLE 3X500 kcmil -  MV-105 XLPE –  15 kV – Cu – 133 % - Monopolar - Pantalla en Cinta de Cu FR-SR/PVC. INCLUYE TERMINALES PREMOLDEADOS</t>
  </si>
  <si>
    <t>SUMINISTRO E INSTALACIÓN DE CABLE FUTP CATEGORIA 6 APANTALLADO PARA SWITCH DE GABINETES DE MEDIDA, CALIDAD.</t>
  </si>
  <si>
    <t>SUMINISTRO E INSTALACIÓN DE CABLE FUTP CATEGORIA 6 APANTALLADO PARA CONTROL DE TRANSFORMADOR DE POTENCIA</t>
  </si>
  <si>
    <t>SUMINISTRO E INSTALACIÓN DE CABLE DE CONTROL APANTALLADO 7x16 AWG Cu- TC-THHN/THWN - ER- 600 V (CABLE PARA CTs) y SEÑALES DEL TRANSFORMADOR DE POTENCIA</t>
  </si>
  <si>
    <t>SUMINISTRO E INSTALACIÓN DE CANALIZACIÓN DE SEÑALES, FUERZA Y COMUNICACIÓN PARA TRANSFORMADOR DE PATIO EN TRES (3) TUBOS CONDUIT METALICOS GALVANIZADO IMC DIAMETRO 1" Y TUBOS PVC 1" .  (Longitud Promedio 6 m)</t>
  </si>
  <si>
    <t>https://interelectricas.com.co/tuberia-metalica-y-pvc/956-adaptador-terminal-pvc-de-1.html</t>
  </si>
  <si>
    <t>MA-550</t>
  </si>
  <si>
    <t>TERMINAL PVC 1"</t>
  </si>
  <si>
    <t>SUMINISTRO E INSTALACIÓN DE CANALIZACIÓN  EN TUBERIA  PVC DE 1" PARA COMUNICACIÓN, SEÑALES Y FUERZA DEL CONTROL DE TRANSFORMADOR DE POTENCIA</t>
  </si>
  <si>
    <t>SUMINISTRO E INSTALACIÓN DE ACOMETIDA BT EN CABLE  3X1/0+1/0 AWG</t>
  </si>
  <si>
    <t>SUMINISTRO E INSTALACIÓN DE ACOMETIDA EN CABLE 3X1/0F+1X1/0N+1X6 T AWG Cu- TC-THHN - 600 V Y TUBERÍA EMT DE 1". (CONEXIÓN DE DISTRIBUCIÓN AC -  TABLERO DE AIRES) INCLUYE TERMINALES Y ELEMENTO DE SOPORTE.</t>
  </si>
  <si>
    <t>MA-551</t>
  </si>
  <si>
    <t>UNION EMT DE 3/4 "</t>
  </si>
  <si>
    <t>TOMA BIFASICA INCRUSTAR LEGRAND 20AMP 125V 2F TURNLOK P-TIERRA L520R</t>
  </si>
  <si>
    <t>SUMINISTRO E INSTALACIÓN DE UNIDAD CONDENSADORA DE AIRE MULTISPLIT INVERTER DE 48000 BTUs. INCLUYE: TUBERÍA DE REFRIGERACIÓN, REFRIGERANTE, CABLEADO DE FUERZA HASTA SALIDA A 0 M.</t>
  </si>
  <si>
    <t>SUMINISTRO E INSTALACIÓN DE UNIDAD CONDENSADORA DE AIRE MULTISPLIT INVERTER DE 60000 BTUs. INCLUYE: TUBERÍA DE REFRIGERACIÓN, REFRIGERANTE, CABLEADO DE FUERZA HASTA SALIDA A 0 M.</t>
  </si>
  <si>
    <t>SUMINISTRO E INSTALACIÓN UNIDAD MANEJADORA DE AIRE ACONDICIONADO TIPO CASETTE DE 24000 BTU</t>
  </si>
  <si>
    <t>SUMINISTRO E INSTALACIÓN UNIDAD MANEJADORA DE AIRE ACONDICIONADO TIPO CASETTE DE 18000 BTU</t>
  </si>
  <si>
    <t>UNIDAD CONDENSADORA DE AIRE MULTISPLIT INVERTER DE 60000 BTUs</t>
  </si>
  <si>
    <t>UNIDAD CONDENSADORA DE AIRE MULTISPLIT INVERTER DE 48000 BTUs</t>
  </si>
  <si>
    <t>MA-552</t>
  </si>
  <si>
    <t>TUBERIA DE REFRIGERACIÓN DE 3/8". INCLUYE RUBATEX Y CINTA ANTICONDENSACIÓN</t>
  </si>
  <si>
    <t>https://www.nuevoportal.co/unidad-interior-manejadora-aire-acondicionado-cassette-4-vias-inverter-24-000-btu-h-r410a-220v-1p.html?srsltid=AfmBOoohW8qOUDHVL13_Xmryby9JqTX1PQwExwnAVG0V56nnAEVpFfUc</t>
  </si>
  <si>
    <t>MA-553</t>
  </si>
  <si>
    <t>UNIDAD MANEJADORA DE AIRE ACONDICIONADO TIPO CASETTE DE 24000 BTU</t>
  </si>
  <si>
    <t>UNIDAD MANEJADORA DE AIRE ACONDICIONADO TIPO CASETTE DE 18000 BTU</t>
  </si>
  <si>
    <t>MA-554</t>
  </si>
  <si>
    <t>https://www.qccolombia.com/shop/a5uw48gfa1-aire-acondicionado-unidad-condensadora-multi-flexible-inverter-lg-48-000-btu-h-220v-19341?srsltid=AfmBOorIcc00X9PfFBDRbN0_7yN8XgGOzL_R6A636LkImk5RecvfVzbw</t>
  </si>
  <si>
    <t>https://www.integra-smart.com/product-page/condensadora-multi-split-60-000-btu-inverter-marca-lg</t>
  </si>
  <si>
    <t>https://brisaire.com/producto/evaporador-pared-de-18-000-btu-h-marca-samsung-a-220v-fjm?srsltid=AfmBOopJ_l1hZ-Ztrfrpo5soJCkQuwttIXUWg5RQ4wQR62LNvX-EyVlw</t>
  </si>
  <si>
    <t>TABLERO AUTOSOPORTADO DE FABRICACIÓN ESPECIAL. DE USO INTERIOR. IP 54. LAMINA DE ACERO GALVANIZADA CALIBRE 18. CON BARRAJE PARA DISTRIBUCIÓN DE CIRCUITOS AC (+NE01). INCLUYE ILUMINACIÓN,  16 BREAKERS DE 25 KA, BREAKER 3X40 A DE 25 KA, BREAKER 1X15A DE 25 KA, BREAKER 3X15 DE 25 KA, TOTALIZADOR 3X80 A DE 25 KA, TOTALIZADOR 3X100A DE 25 KA, BREAKER 3X20A DE 25 KA, BREAKER 2X20A DE 25 KA . TOMACORRIENTE Y ACCESORIOS</t>
  </si>
  <si>
    <t>https://almacenpanamericano.com.co/product/breaker-regulable-caja-moldeada-40ka-240v-easypact-cv-schneider/</t>
  </si>
  <si>
    <t>MA-555</t>
  </si>
  <si>
    <t>MA-556</t>
  </si>
  <si>
    <t>MA-557</t>
  </si>
  <si>
    <t>MA-558</t>
  </si>
  <si>
    <t>INTERRUPTOR AC 2X20 25 kA TIPO RIEL</t>
  </si>
  <si>
    <t>BREAKER REGULABLE CAJA MOLDEADA 3x100 A TIPO INDUSTRIAL</t>
  </si>
  <si>
    <t>BREAKER REGULABLE CAJA MOLDEADA 3x20A 25 kA TIPO RIEL</t>
  </si>
  <si>
    <t>BREAKER REGULABLE CAJA MOLDEADA 3x80 A 240V</t>
  </si>
  <si>
    <t>BREAKER REGULABLE CAJA MOLDEADA 3x40A TIPO INDUSTRIAL</t>
  </si>
  <si>
    <t>MA-559</t>
  </si>
  <si>
    <t>TOTALIZADOR 3x200 -250 A 25 kA TIPO INDUSTRIAL</t>
  </si>
  <si>
    <t>https://edemco.co/producto/interruptor-termomagnetico-a9f74132</t>
  </si>
  <si>
    <t>MA-560</t>
  </si>
  <si>
    <t>BREAKER TIPO RIEL 1x30A</t>
  </si>
  <si>
    <t>SUMINISTRO E INSTALACIÓN DE TRANSFERENCIA AUTOMÁTICA. 208V, 250 A. IP 54. SISTEMA DE MONITOREO Y CONTROL CON PANTALLA DIGITAL.TABLERO AUTOSOPORTADO DE FABRICACIÓN ESPECIAL. DE USO INTERIOR. IP 54. LAMINA DE ACERO GALVANIZADA CALIBRE 18. INCLUYE BREAKERS DE PROTECCIÓN, CANALETAS Y DEMÁS ACCESORIOS. (+TFER AUTO01).</t>
  </si>
  <si>
    <t>MA-561</t>
  </si>
  <si>
    <t>TRANSFERENCIA AUTOMÁTICA 250A</t>
  </si>
  <si>
    <t>https://ineldec.com/producto/breaker-dc-1x63a-80v/</t>
  </si>
  <si>
    <t>BREAKER 1X50 A DC</t>
  </si>
  <si>
    <t>MA-562</t>
  </si>
  <si>
    <t>https://ineldec.com/producto/breaker-1x125a-dc-80v/</t>
  </si>
  <si>
    <t>MA-563</t>
  </si>
  <si>
    <t>BREAKER 1X125 A DC</t>
  </si>
  <si>
    <t>SUMINISTRO E INSTALACIÓN DE INSTALACIÓN DE TABLERO AUTOSOPORTADO DE FABRICACIÓN ESPECIAL. DE USO INTERIOR. IP 54. LAMINA DE ACERO GALVANIZADA CALIBRE 18. (+NK02).  INCLUYE BARRAJE DE 400 A, ANALIZADOR DE RED M4M,  TOTALIZADOR 3X80 A, 20 BREAKERS MONOPOLARES 1X10A DC. ILUMINACIÓN, TOMA LEVITON Y  ACCESORIOS.</t>
  </si>
  <si>
    <t>SUMINISTRO E INSTALACIÓN DE CABLE 3x8F+1X8N+10T AWG Cu- TC-THHN - 600 V PARA TABLEROS. INCLUYE TERMINALES. (DISTRIBUCIÓN AC - RECTIFICADOR)  (+NE01) - (+NK01)</t>
  </si>
  <si>
    <t>SUMINISTRO E INSTALACIÓN DE CABLE 2x8AWG Cu- TC-THHN - 600 V PARA TABLEROS. INCLUYE TERMINALES. (RECTIFICADOR - BANCO DE BATERIAS) (+NK01) - (+B01)/ (BATERIAS - DISTRIBUCIÓN DC) (+B01)-(+NK02)</t>
  </si>
  <si>
    <t>SUMINISTRO E INSTALACIÓN DE CIRCUITO ALIMENTADOR DC PARA TREN DE CELDAS 34,5 - 13,8 kV CABLE 3x10 AWG Cu</t>
  </si>
  <si>
    <t>SUMINISTRO E INSTALACIÓN DE INSTALACIÓN DE TABLERO DE SERVICIOS AUXILIARES. INCLUYE: 5 BREAKERS 2X15A AC, 6 BREAKER 1X15A AC, 5 BREAKER 1X20 A AC</t>
  </si>
  <si>
    <t>TOTALIZADOR 3x35-50 A 25 kA TIPO INDUSTRIAL</t>
  </si>
  <si>
    <t>MA-564</t>
  </si>
  <si>
    <t xml:space="preserve">TABLERO DE SOBREPONER DE 30 CIRCUITOS CON PUERTA Y ESPACIO PARA TOTALIZADOR </t>
  </si>
  <si>
    <t>https://interelectricas.com.co/cajas-y-tableros/1467-tablero-trifasico-con-puerta-y-espacio-para-totalizador-de-42-circuitos.html</t>
  </si>
  <si>
    <t>MA-565</t>
  </si>
  <si>
    <t>BREAKER REGULABLE CAJA MOLDEADA 3x70A-100A TIPO INDUSTRIAL</t>
  </si>
  <si>
    <t xml:space="preserve">SUMINISTRO E INSTALACIÓN DE CABLE 3X8F+1X8N + 1X10 T AWG Cu- TC-THHN - 600 V. en 1" INCLUYE TERMINALES. (CONEXIÓN DISTRIBUCIÓN AC - T AUXILIAR)(+NE01) - (T AUX) </t>
  </si>
  <si>
    <t xml:space="preserve">SUMINISTRO E INSTALACIÓN DE CABLE 3X2F+1X2N + 1X6 T AWG Cu- TC-THHN - 600 V. en 1 1/2" INCLUYE TERMINALES. (CONEXIÓN DISTRIBUCIÓN AC - T AUXILIAR)(+NE01) - (T AUX) </t>
  </si>
  <si>
    <t>https://interelectricas.com.co/tuberia-metalica-y-pvc/2185-tubo-metalico-emt-de-11-2-pulgadas-x-3-mts.html</t>
  </si>
  <si>
    <t xml:space="preserve">TUBERIA EMT 1 1/2" </t>
  </si>
  <si>
    <t>https://interelectricas.com.co/tuberia-metalica-y-pvc/2328-union-emt-acero-c-h-1-1-2-pulgadas.html</t>
  </si>
  <si>
    <t xml:space="preserve">UNION EMT 1 1/2" </t>
  </si>
  <si>
    <t>CURVA 90 GRADOS EMT DE 1 1/2"</t>
  </si>
  <si>
    <t>https://interelectricas.com.co/tuberia-metalica-y-pvc/918-curva-90deg-emt-de-1-1-2.html</t>
  </si>
  <si>
    <t xml:space="preserve">TERMINAL-CONECTOR EMT DE 1 1/2" </t>
  </si>
  <si>
    <t>https://interelectricas.com.co/tuberia-metalica-y-pvc/914-terminal-conector-emt-de-1-1-2.html</t>
  </si>
  <si>
    <t>MA-566</t>
  </si>
  <si>
    <t>MA-567</t>
  </si>
  <si>
    <t>MA-568</t>
  </si>
  <si>
    <t>MA-569</t>
  </si>
  <si>
    <t>https://interelectricas.com.co/alambres-y-cables/1785-cable-de-cobre-aislado-no-2-metro-thhn-color-negro-.html</t>
  </si>
  <si>
    <t>CABLE DE COBRE AISLADO N2 AWG THWN</t>
  </si>
  <si>
    <t>MA-570</t>
  </si>
  <si>
    <t>https://interelectricas.com.co/articulos-electricos/1108-borna-no-2-de-ponchar-estanada-en-cobre-barrir-largo-ref-bp.html</t>
  </si>
  <si>
    <t>CONECTOR TERMINAL CU PARA CABLE 2 AWG</t>
  </si>
  <si>
    <t>MA-571</t>
  </si>
  <si>
    <t>SUMINISTRO E INSTALACIÓN DE CANALIZACIÓN  EN TUBO CONDUIT METALICO GALVANIZADO EMT DE 1". INCLUYE CURVAS Y ELEMENTOS DE SUJECIÓN</t>
  </si>
  <si>
    <t>SUMINISTRO E INSTALACIÓN DE CANALIZACIÓN  EN TUBO CONDUIT METALICO GALVANIZADO EMT DE 1 1/2". INCLUYE CURVAS Y ELEMENTOS DE SUJECIÓN</t>
  </si>
  <si>
    <t>SUMINISTRO E INSTALACIÓNDE SALIDA PARA REFLECTOR EN CABLE 3X 10 AWG Cu- TC-THHN - 600 V, TUBO IMC DE 1/2". (Longitud promedio 10 m) - PARA MUROS</t>
  </si>
  <si>
    <t>SUMINISTRO E INSTALACIÓN DE SALIDA PARA POSTE. CABLE 3X10 AWG cu THHN-600v.INCLUYE: CURVA,  CONECTORES DE DERIVACIÓN TIPO GEL, TUBERÍA EN PVC 3/4", CAJA DOBLE FONDO 4X4. (Longitud Promedio 15 m)  - PARA POSTE</t>
  </si>
  <si>
    <t>https://interelectricas.com.co/tomas-electricas/2920-tapa-para-toma-doble-roja-leviton.html</t>
  </si>
  <si>
    <t>MA-572</t>
  </si>
  <si>
    <t>TAPA PARA TOMA DOBLE BLANCA LEVITON</t>
  </si>
  <si>
    <t>https://electroservimos.co/iluminacion/2543-ma123-marco-en-aluminio-30cm-x-120cm-incrustar-para-panel.html</t>
  </si>
  <si>
    <t>MARCO METÁLICO PARA LUMINARIA</t>
  </si>
  <si>
    <t>MA-573</t>
  </si>
  <si>
    <t>SUMINISTRO E INSTALACIÓN DE INTERRUPTOR SENCILLO EN TUBERIA EMT DE  3/4" CON CABLE Cu (1#14F+1#14N+1#14T) AWG + CAJA GALVANIZADA 2X4. (LINEA GENESIS) (Longitud Promedio 5m)</t>
  </si>
  <si>
    <t>SUMINISTRO E INSTALACIÓN DE INTERRUPTOR SENCILLO 4 VIAS / CONMUTABLE EN TUBERIA EMT DE  3/4" CON CABLE Cu (1#14F+1#14N+1#14T) AWG + CAJA GALVANIZADA 2X4. (LINEA GENESIS) (Longitud Promedio 5m)</t>
  </si>
  <si>
    <t>SUMINISTRO E INSTALACIÓN DE INTERRUPTOR CONMUTABLE DOBLE EN TUBERIA EMT DE  3/4" CON CABLE Cu (1#14F+1#14N+1#14T) AWG + CAJA GALVANIZADA 2X4. (LINEA GENESIS) (Longitud Promedio 5m)</t>
  </si>
  <si>
    <t>SUMINISTRO E INSTALACIÓN DE INTERRUPTOR 4 VIAS DOBLE EN TUBERIA EMT DE  3/4" CON CABLE Cu (1#14F+1#14N+1#14T) AWG + CAJA GALVANIZADA 2X4. (LINEA GENESIS) (Longitud Promedio 5m)</t>
  </si>
  <si>
    <t>https://interelectricas.com.co/articulos-electricos/1407-caja-metalica-galvanizada-5800-de-33620ex-cal-20retie.html</t>
  </si>
  <si>
    <t>MA-574</t>
  </si>
  <si>
    <t>CAJA METÁLICA GALVANIZADA 5800</t>
  </si>
  <si>
    <t>TERMINAL PVC 1/2"</t>
  </si>
  <si>
    <t>MA-575</t>
  </si>
  <si>
    <t>https://interelectricas.com.co/tuberia-metalica-y-pvc/2410-adaptador-terminal-pvc-de-1-2.html</t>
  </si>
  <si>
    <t>SUMINISTRO E INSTALACIÓN DE SALIDA PARA TOMACORRIENTE MONOFÁSICO GFCI EN TUBERÍA PVC 1/2", CAJA GALVANIZADA METÁLICA Y CABLE 1X12 F+12 N+12 T. LONGITUD PROMEDIO 5 METROS (CASETA)</t>
  </si>
  <si>
    <t>SUMINISTRO E INSTALACIÓN DE SALIDA PARA TOMA MONOFÁSICO IP65 EN TUBERÍA PVC 3/4"  1X10 F+1X 10 N+10 T. (Longitud Promedio 10 m) (TRANSFORMADORES)</t>
  </si>
  <si>
    <t>SUMINISTRO E INSTALACIÓN DE SALIDA PARA TOMA BIFÁSICO (Toma Sencilla Incrustar LEGRAND 20AMP 125V 2F TURNLOK P-TIERRA L520R) EN TUBERÍA PVC 3/4" Y CABLE  1X10 F+1X 10 N+10 T AWG THWN. (Longitud Promedio 10 m) (TRANSFORMADORES Y SEGURIDAD PERIMETRAL)</t>
  </si>
  <si>
    <t>SUMINISTRO E INSTALACIÓN DE ALIMENTADOR EN CABLE  1X10 F+1X 10 N+10 T AWG Cu-THHN - 600 V, TUBO PVC 3/4" (PARA TOMAS DE PATIO)</t>
  </si>
  <si>
    <t>SUMINISTRO E INSTALACIÓN DE ALIMENTADOR EN CABLE 1X12 F+1X12 N+12 T AWG Cu-THHN - 600 V, TUBO EMT 1/2" (PARA TOMAS DE CASETA.)</t>
  </si>
  <si>
    <t>CAJA RAWELT 4X4 SALIDA SOBRE PUESTO</t>
  </si>
  <si>
    <t>TAPA PARA CAJA INTEMPERIE TRANSPARENTE</t>
  </si>
  <si>
    <t>SELLO EXPLOSION PROOF</t>
  </si>
  <si>
    <t>MA-576</t>
  </si>
  <si>
    <t>https://www.edemco.co/producto/sello-serie-eys-0453-3-4-rw</t>
  </si>
  <si>
    <t>MA-577</t>
  </si>
  <si>
    <t>https://www.toxement.com.co/productos/portafolio-productos/protecci%C3%B3n-pasiva-contra-el-fuego/sellos-corta-fuego/?prodId=29957</t>
  </si>
  <si>
    <t>MASILLA INTUMECENTE RESISTENTE AL FUEGO</t>
  </si>
  <si>
    <t>SUMINISTRO E INSTALACIÓN DE SALIDA BIFÁSICA EXPLOSION PROOF EN TUBERÍA EMT 3/4" CON CABLE Cu 3x10 AWG Y TOMA SENCILLA  (Longitud Promedio 15m) (PARA EXTRACTOR)</t>
  </si>
  <si>
    <t>EXTRACTOR DE AIRE A PRUEBA DE EXPLOSIONES 24"</t>
  </si>
  <si>
    <t>https://articulo.mercadolibre.com.co/MCO-2899516240-ventilador-de-escape-a-prueba-de-explosiones-10-pulgadas-_JM#polycard_client=search-nordic&amp;position=31&amp;search_layout=stack&amp;type=item&amp;tracking_id=9b26c461-74d1-43ad-acd1-fef153bc0fdd&amp;wid=MCO2899516240&amp;sid=search</t>
  </si>
  <si>
    <t>REJILLA TRAGATORMENTAS</t>
  </si>
  <si>
    <t>CARPINTERÍA METÁLICA</t>
  </si>
  <si>
    <t>ACABADOS ARQUITECTÓNICOS</t>
  </si>
  <si>
    <t>CIMENTACIÓN ESTRUCTURAL</t>
  </si>
  <si>
    <t>PRELIMINARES</t>
  </si>
  <si>
    <t>COMPLEMENTACIÓN Y/O AJUSTE A ESTUDIOS Y DISEÑOS (INCLUYE LEVANTAMIENTO TOPOGRÁFICO, ESTUDIO DE SUELO, DISEÑO HIDRÁULICO E HIDROSANITARIO, DISEÑO ELÉCTRICO, DISEÑO ESTRUCTURAL)</t>
  </si>
  <si>
    <t>GB</t>
  </si>
  <si>
    <t>MA-578</t>
  </si>
  <si>
    <t>LIMPIEZA DE LOTE, PARA QUITAR MALEZA Y PODAR CÉSPED</t>
  </si>
  <si>
    <t xml:space="preserve">DESCAPOTE Y LIMPIEZA DE TERRENO </t>
  </si>
  <si>
    <t>TALA Y CARGUE DE ARBOL CON ALTURA DE HASTA 10 METROS (DESDE LA PARTE RADICULAR)</t>
  </si>
  <si>
    <t>RESINA CICATRIZANTE PARA HERIDAS, PODAS E INJERTOS</t>
  </si>
  <si>
    <t>MA-579</t>
  </si>
  <si>
    <t>TARIFA ESCOMBRERA AUTORIZADA</t>
  </si>
  <si>
    <t>MA-580</t>
  </si>
  <si>
    <t>DISPOSICION FINAL DEL MATERIAL EN BOTADERO AUTORIZADO</t>
  </si>
  <si>
    <t>CILINDRO COMPACTADOR BENITÍN DE 300 Kg</t>
  </si>
  <si>
    <t>TV-25</t>
  </si>
  <si>
    <t>RECEBO COMÚN</t>
  </si>
  <si>
    <t>MA-581</t>
  </si>
  <si>
    <t>CARRETA BUGGIE, PALA, ZAPAPICO</t>
  </si>
  <si>
    <t>TV-26</t>
  </si>
  <si>
    <t>MINICARGADOR CON OPERARIO</t>
  </si>
  <si>
    <t>TV-27</t>
  </si>
  <si>
    <t>RELLENO EN MATERIAL SELECCIONADO, COMPACTADO</t>
  </si>
  <si>
    <t>CONCRETO 13.8 MPa</t>
  </si>
  <si>
    <t>MA-582</t>
  </si>
  <si>
    <t>COLLAR DE DERIVACIÓN UNIÓN PLATINO 2" x 1/2"</t>
  </si>
  <si>
    <t>MA-583</t>
  </si>
  <si>
    <t>RELLENO CON GRAVILLA</t>
  </si>
  <si>
    <t>MEDIDOR DE ENERGIA BIFÁSICO</t>
  </si>
  <si>
    <t>MA-584</t>
  </si>
  <si>
    <t>ACERO Fy= 420 MPa</t>
  </si>
  <si>
    <t>MA-585</t>
  </si>
  <si>
    <t>ACERO Fy= 240 MPa</t>
  </si>
  <si>
    <t>kG</t>
  </si>
  <si>
    <t>MA-586</t>
  </si>
  <si>
    <t>SEPAROL N (Desformaleteante para fácil desencofre de concreto)</t>
  </si>
  <si>
    <t>MA-587</t>
  </si>
  <si>
    <t>VIGA DE AMARRE 20 X 25 CM</t>
  </si>
  <si>
    <t>VIGA  DE CIMENTACION 25 X 25 CM</t>
  </si>
  <si>
    <t>VIGA DE AMARRE  15 X 12 CM</t>
  </si>
  <si>
    <t>TUBO GALVANIZADO DE 3 METROS,  Ø1 1/2" CON CODO A 45° INCLUYE TAPÓN DE ALUMINIO.</t>
  </si>
  <si>
    <t>LEVANTE DE MURO EN BLOQUE VIBRADO DE 0.15 X 0.20 X 0.40 MTS, MORTERO DE PEGA 1:4</t>
  </si>
  <si>
    <t>https://www.homecenter.com.co/homecenter-co/product/24405/tubo-cerramiento-galvanizado-2-x-15mm-x-6m-z180/24405/</t>
  </si>
  <si>
    <t>TUBO PARA CERRAMIENTO</t>
  </si>
  <si>
    <t>MA-588</t>
  </si>
  <si>
    <t>MALLA ESLABONADA nO. 12 GALV</t>
  </si>
  <si>
    <t>MA-589</t>
  </si>
  <si>
    <t>SOLDADURA ELÉCTRICA</t>
  </si>
  <si>
    <t>MA-590</t>
  </si>
  <si>
    <t>CERRAMIENTO EN MALLA ESLABONADA DE 1,8 M EN ALAMBRE GALVANIZADO CALIBRE Nº 10.</t>
  </si>
  <si>
    <t>https://www.homecenter.com.co/homecenter-co/product/52872/malla-18mt-x-10mt-metal-2-1-4-x-2-1-4-25mm-eslabonada/52872/</t>
  </si>
  <si>
    <t xml:space="preserve">CONCRETO CICLÓPEO 3000 PSI </t>
  </si>
  <si>
    <t>BLOQUE CEMENTO 15x20x40 cm</t>
  </si>
  <si>
    <t>BLOQUE CEMENTO ½ 15x20x20 cm</t>
  </si>
  <si>
    <t>MA-591</t>
  </si>
  <si>
    <t>MA-592</t>
  </si>
  <si>
    <t>MORTERO 1:3</t>
  </si>
  <si>
    <t>MA-593</t>
  </si>
  <si>
    <t>https://carrieles.com.co/riel-tren/</t>
  </si>
  <si>
    <t>RIEL PARA CARGA PESADA</t>
  </si>
  <si>
    <t>MA-594</t>
  </si>
  <si>
    <t>ACERO DE REFUERZO FIGURADO</t>
  </si>
  <si>
    <t>MA-595</t>
  </si>
  <si>
    <t>CARRILERA DE 1,2*0,4 M, PARA TRANSFORMADOR SEGÚN DISEÑO. INCLUYE RIEL DE DESPLAZAMIENTO.</t>
  </si>
  <si>
    <t>FOSO DE TRANSFORMADOR Y CARRILERAS SEGÚN DISEÑO. INCLUYE RIEL DE DESPLAZAMIENTO.</t>
  </si>
  <si>
    <t>LÁMINA DE ALFAJOR 4 MM X 1X1 M</t>
  </si>
  <si>
    <t>TAPA EN ALFAJOR (1,10X 1 METROS) (CÁRCAMO 34,5 kV)</t>
  </si>
  <si>
    <t>TAPA EN ALFAJOR (0,8X 1 METROS) (CÁRCAMO BAJA TENSIÓN)</t>
  </si>
  <si>
    <t>TAPA EN ALFAJOR (1 X1 METROS) (CÁRCAMO 13,8 kV)</t>
  </si>
  <si>
    <t>MA-596</t>
  </si>
  <si>
    <t>MARCO Y TAPA METÁLICOS EN ANGULO Y PLATINA DE 2 1/2 x  3 /16 (1,09 x 0,935)</t>
  </si>
  <si>
    <t>REFUERZO PARA BANCO DE DUCTO DE 0,8X0,1 m 3000 PSI PARA CRUCE DE VIAS (NORMA ENEL CS-221)</t>
  </si>
  <si>
    <t>VIGA DE CIMENTACIÓN 30X30 CM</t>
  </si>
  <si>
    <t>VIGA DE AÉREA 30X30 CM</t>
  </si>
  <si>
    <t>GASOLINA</t>
  </si>
  <si>
    <t>GAL</t>
  </si>
  <si>
    <t>MA-597</t>
  </si>
  <si>
    <t>CONTRAPISO EN CONCRETO DE 3000 PSI E=0,15 M, INCLUYE REFUERZO</t>
  </si>
  <si>
    <t>PLACA EN CONCRETO DE 3000 PSI E: 0,10 MTS INCLUYE MALLA ELECTROSOLDADA.</t>
  </si>
  <si>
    <t>VIGA DE AÉREA 12X12 CM</t>
  </si>
  <si>
    <t>COLUMNAS DE AMARRE 20X12 CM</t>
  </si>
  <si>
    <t>LADRILLO PRENSADO LIVIANO</t>
  </si>
  <si>
    <t>MA-598</t>
  </si>
  <si>
    <t>VIGA DE CIMENTACIÓN 30X40 CM</t>
  </si>
  <si>
    <t>VIGA DE AÉREA 20X40 CM</t>
  </si>
  <si>
    <t>VIGA DE CIMENTACIÓN 30X25 CM</t>
  </si>
  <si>
    <t>VIGA DE AÉREA 30X40 CM</t>
  </si>
  <si>
    <t>VIGA DE AÉREA 12X25 CM</t>
  </si>
  <si>
    <t>COLUMNAS 40X40 CM</t>
  </si>
  <si>
    <t>TABLA COMÚN</t>
  </si>
  <si>
    <t>LISTÓN 1" x 2"</t>
  </si>
  <si>
    <t>PUNTILLA 1 1/2" a 3"</t>
  </si>
  <si>
    <t>ALAMBRE NEGRO Cal. 18</t>
  </si>
  <si>
    <t>CONCRETO 20.7 MPa</t>
  </si>
  <si>
    <t>MA-599</t>
  </si>
  <si>
    <t>MA-600</t>
  </si>
  <si>
    <t>MA-601</t>
  </si>
  <si>
    <t>MA-602</t>
  </si>
  <si>
    <t>MA-603</t>
  </si>
  <si>
    <t>MA-604</t>
  </si>
  <si>
    <t>ALFAJIAS EN CONCRETO DE 0,20 X 0,08 , INCLUYE 2 VARILLAS DE 1/2", ESTRIBOS DE 3/8"  A CADA 0,25 METROS</t>
  </si>
  <si>
    <t xml:space="preserve">ANDAMIO DE TIJERA COMPLETO 1.5 X 1.5 X 2,3 </t>
  </si>
  <si>
    <t>BLOQUE DE CEMENTO DE 0,20 X 0,19 X 0,39 M ESTRUCTURAL</t>
  </si>
  <si>
    <t>ACERO DE FY = 60.000 PSI D&gt;1/4</t>
  </si>
  <si>
    <t>GRAFIL 5,5 MM</t>
  </si>
  <si>
    <t>MORTERO 1:3  (M3)</t>
  </si>
  <si>
    <t>MA-605</t>
  </si>
  <si>
    <t>MA-606</t>
  </si>
  <si>
    <t>MA-607</t>
  </si>
  <si>
    <t>MA-608</t>
  </si>
  <si>
    <t>MA-609</t>
  </si>
  <si>
    <t>DIA</t>
  </si>
  <si>
    <t>MURO BLOQUE ESTRUCTURAL14X19X39+ AS + GRAFIL  (M2)</t>
  </si>
  <si>
    <t>MANPOSTERIA EN LADRILLO PRENSADO LIVIANO</t>
  </si>
  <si>
    <t>VENTANERÍA EN ALUMINIO, INCLUYE VIDRIO DE 4 MM</t>
  </si>
  <si>
    <t>MA-610</t>
  </si>
  <si>
    <t>PUERTA EN CELOSIA METÁLICA COLDROLLER (0,9 X 2.38M)</t>
  </si>
  <si>
    <t>PUERTA EN CELOSIA DOBLE NAVE ALUMINIO COLDROLLER ( 2 X 2.38M)</t>
  </si>
  <si>
    <t>PUERTA EN CELOSIA DOBLE NAVE ALUMINIO COLDROLLER (3,85 X 2.38M). INCLUYE CHAPA ANTIPÁNICO</t>
  </si>
  <si>
    <t>PUERTA EN CELOSIA ALUMINIO COLDROLLER (0,9 X 2.38M). INCLUYE CHAPA ANTIPÁNICO</t>
  </si>
  <si>
    <t>PUERTA METÁLICA EN LÁMINA COLD ROLLER CON RELLENO HONEY COMB CON BARRA ANTIPÁNICO UNA HOJA</t>
  </si>
  <si>
    <t>MA-611</t>
  </si>
  <si>
    <t>PUERTA METÁLICA EN LÁMINA COLD ROLLER CON RELLENO HONEY COMB CON BARRA ANTIPÁNICO UNA HOJA (3 X 3,10M)</t>
  </si>
  <si>
    <t>PUERTA METÁLICA EN LÁMINA COLD ROLLER CON RELLENO HONEY COMB CON BARRA ANTIPÁNICO UNA HOJA (2 X3,10 M)</t>
  </si>
  <si>
    <t>PUERTA METÁLICA EN LÁMINA COLD ROLLER CON RELLENO HONEY COMB CON BARRA ANTIPÁNICO UNA HOJA (1,2 X 2,4 M)</t>
  </si>
  <si>
    <t>PUERTA METÁLICA EN LÁMINA COLD ROLLER CON RELLENO HONEY COMB CON BARRA ANTIPÁNICO UNA HOJA (1X2,4 M)</t>
  </si>
  <si>
    <t>MA-612</t>
  </si>
  <si>
    <t>MA-613</t>
  </si>
  <si>
    <t>MA-614</t>
  </si>
  <si>
    <t>CUBIERTA EN TEJA TERMOACUSTICA TIPO AJOVER O EQUIVALENTE. INCLUYE CERCHA O CORREAS METÁLICAS</t>
  </si>
  <si>
    <t>CIELO RASO EN PVC</t>
  </si>
  <si>
    <t>CONSTRUCCION DE ESTUCO</t>
  </si>
  <si>
    <t>PINTURA EN VINILO A 3 MANOS</t>
  </si>
  <si>
    <t>CONSTRUCCION DE GRANIPLAST PARA FACHADA</t>
  </si>
  <si>
    <t>LIJA DE AGUA</t>
  </si>
  <si>
    <t>ESTUCOR ESTUCO PLÁSTICO</t>
  </si>
  <si>
    <t>PLIEGO</t>
  </si>
  <si>
    <t>MA-615</t>
  </si>
  <si>
    <t>MA-616</t>
  </si>
  <si>
    <t>YESO</t>
  </si>
  <si>
    <t>PINTURA VINILTEX</t>
  </si>
  <si>
    <t>MA-617</t>
  </si>
  <si>
    <t>MA-618</t>
  </si>
  <si>
    <t>IMPRIMANTE ACRONAL</t>
  </si>
  <si>
    <t>GRANIPLAST</t>
  </si>
  <si>
    <t>MA-619</t>
  </si>
  <si>
    <t>MA-620</t>
  </si>
  <si>
    <t>Cñ</t>
  </si>
  <si>
    <t>LT</t>
  </si>
  <si>
    <t>CÑ</t>
  </si>
  <si>
    <t>TUBERÍA PRESIÓN PVC 1/2"</t>
  </si>
  <si>
    <t>TUBERÍA PRESIÓN PVC 1"</t>
  </si>
  <si>
    <t>CODO PRESIÓN PVC 1/2"</t>
  </si>
  <si>
    <t>CODO PRESIÓN PVC 1"</t>
  </si>
  <si>
    <t>TEE PRESIÓN PVC 1/2"</t>
  </si>
  <si>
    <t>TEE PRESIÓN PVC 1"</t>
  </si>
  <si>
    <t>LIMPIADOR PVC (1/4 Gal)</t>
  </si>
  <si>
    <t>SOLDADURA PVC (1/4 Gal)</t>
  </si>
  <si>
    <t>CINTA TEFLÓN 1/2" x 10 m</t>
  </si>
  <si>
    <t>CHEQUE CORTINA SELLO METÁLICO Ø= 1/2"</t>
  </si>
  <si>
    <t>REGISTRO DE BOLA 1/2"</t>
  </si>
  <si>
    <t>REGISTRO DE BOLA 1"</t>
  </si>
  <si>
    <t>FLOTADOR TANQUE PLÁSTICO 1/2"</t>
  </si>
  <si>
    <t>MA-621</t>
  </si>
  <si>
    <t>MA-622</t>
  </si>
  <si>
    <t>MA-623</t>
  </si>
  <si>
    <t>MA-624</t>
  </si>
  <si>
    <t>MA-625</t>
  </si>
  <si>
    <t>MA-626</t>
  </si>
  <si>
    <t>MA-627</t>
  </si>
  <si>
    <t>MA-628</t>
  </si>
  <si>
    <t>MA-629</t>
  </si>
  <si>
    <t>MA-630</t>
  </si>
  <si>
    <t>MA-631</t>
  </si>
  <si>
    <t>MA-632</t>
  </si>
  <si>
    <t>MA-633</t>
  </si>
  <si>
    <t>m</t>
  </si>
  <si>
    <t xml:space="preserve">PLANTILLA DE PISO EN MORTERO 1:4 IMPERMEABILIZADO E = 0.05 MTS </t>
  </si>
  <si>
    <t>SUMINISTRO E INSTALACION DE ENCHAPE PARA PARED EN FORMATO 30X60 SEGÚN MUESTRA Y DISEÑO</t>
  </si>
  <si>
    <t>SUMINISTRO E INSTALACION DE ENCHAPE PARA PISO EN FORMATO 45.8X45.8SEGÚN MUESTRA Y DISEÑO</t>
  </si>
  <si>
    <t>MORTERO 1:4 (Impermeabilizado)</t>
  </si>
  <si>
    <t>MA-634</t>
  </si>
  <si>
    <t>PEGACOR GRIS</t>
  </si>
  <si>
    <t>ENCHAPE DE 30X60</t>
  </si>
  <si>
    <t>CRUCETA PLÁSTICA</t>
  </si>
  <si>
    <t>BLANCO DE ZINC</t>
  </si>
  <si>
    <t>ESTOPA DE LIMPIEZA (Hilaza de Algodón)</t>
  </si>
  <si>
    <t>MA-635</t>
  </si>
  <si>
    <t>MA-636</t>
  </si>
  <si>
    <t>MA-637</t>
  </si>
  <si>
    <t>MA-638</t>
  </si>
  <si>
    <t>MA-639</t>
  </si>
  <si>
    <t>MA-640</t>
  </si>
  <si>
    <t xml:space="preserve">PLANTILLA DE PISO EN MORTERO 1:4 E = 0.05 MTS </t>
  </si>
  <si>
    <t>PISO BALDOSA CEMENTO</t>
  </si>
  <si>
    <t xml:space="preserve">BALDOSA DE CEMENTO </t>
  </si>
  <si>
    <t>PEGACOR</t>
  </si>
  <si>
    <t>BOQUILLA PARA ENCHAPE</t>
  </si>
  <si>
    <t>DILATADORES PARA PEGA DE ENCHAPE</t>
  </si>
  <si>
    <t>MA-641</t>
  </si>
  <si>
    <t>MA-642</t>
  </si>
  <si>
    <t>MA-643</t>
  </si>
  <si>
    <t>REVOQUE MURO EXTERIOR FACHADA</t>
  </si>
  <si>
    <t>REVOQUE MURO INTERIOR+FIL+DIL</t>
  </si>
  <si>
    <t xml:space="preserve">PINTURA ESMALTE </t>
  </si>
  <si>
    <t xml:space="preserve">DISOLVENTE ESMALTE </t>
  </si>
  <si>
    <t>CINTA DE ENMASCARAR 1/2"</t>
  </si>
  <si>
    <t>BROCHA 4"</t>
  </si>
  <si>
    <t>MA-644</t>
  </si>
  <si>
    <t>MA-645</t>
  </si>
  <si>
    <t>MA-646</t>
  </si>
  <si>
    <t>MA-647</t>
  </si>
  <si>
    <t>MA-648</t>
  </si>
  <si>
    <t>ROLLO</t>
  </si>
  <si>
    <t>TRATAMIENTO FACHADA REPELE AGUA (HIDROFUGO)</t>
  </si>
  <si>
    <t>HIDROLAVADORA INDUSTRIAL 3.000 PSI</t>
  </si>
  <si>
    <t>PINTURA TEXTURIZADA HIDROREPELENTE</t>
  </si>
  <si>
    <t>MA-649</t>
  </si>
  <si>
    <t>MA-650</t>
  </si>
  <si>
    <t>IMPERMEABILIZACIÓN CON EDIL SUPER MANTO POLIESTER ST-P4 3KG/M3</t>
  </si>
  <si>
    <t>IMPRIMANTE PARA MANTO EDIL</t>
  </si>
  <si>
    <t>MANTO FIBER GLASS 3MM</t>
  </si>
  <si>
    <t>SOPLETE</t>
  </si>
  <si>
    <t>PIPA DE GAS</t>
  </si>
  <si>
    <t>MA-651</t>
  </si>
  <si>
    <t>MA-652</t>
  </si>
  <si>
    <t>MA-653</t>
  </si>
  <si>
    <t>MA-654</t>
  </si>
  <si>
    <t>PERFILERÍA PARA CIELORASO MODULAR</t>
  </si>
  <si>
    <t>MA-655</t>
  </si>
  <si>
    <t xml:space="preserve">RAMPA CONCRETO ENDURECIDO Y RANURADO  PARA INGRESO A CASETA (3,4 x 4 m) </t>
  </si>
  <si>
    <t>RAMPA CONCRETO ENDURECIDO Y RANURADO  PARA INGRESO A CASETA (2,2 x 4 m)</t>
  </si>
  <si>
    <t>CUNETA PREFABRICADA (46x100 CM)</t>
  </si>
  <si>
    <t>BORDILLO EN CONCRETO (15x45x80 CM)</t>
  </si>
  <si>
    <t>https://cimbrados.com/product-category/vias/</t>
  </si>
  <si>
    <t>BORDILLO PREFABRICADO  (15 ANCHO X 45 ALTURA X80 LONGITUD CM )</t>
  </si>
  <si>
    <t>Cilindro compactador vibrador dynapac</t>
  </si>
  <si>
    <t>Carrotanque agua</t>
  </si>
  <si>
    <t>Compactador asfalto</t>
  </si>
  <si>
    <t>Terminador de asfalto</t>
  </si>
  <si>
    <t>TV-28</t>
  </si>
  <si>
    <t>TV-29</t>
  </si>
  <si>
    <t>TV-30</t>
  </si>
  <si>
    <t>TV-31</t>
  </si>
  <si>
    <t>CAPA DE SUBRASANTE</t>
  </si>
  <si>
    <t>MEZCLA ASFÁLTICA MDC (INCLUYE TRANSPORTE)</t>
  </si>
  <si>
    <t>MA-656</t>
  </si>
  <si>
    <t>LINEA DE 0.15 CM EN PINTURA DE TRAFICO PARA SEÑALIZACIÓN HORIZONTAL</t>
  </si>
  <si>
    <t>SEÑAL HORIZONTAL DE FLECHA SENCILLA DE GIRO EN PINTURA ACRILICA DE TRAFICO.</t>
  </si>
  <si>
    <t>CUNETA PREFABRICADA EN CONCRETO (27 ANCHO X40 ALTURA X100 LARGO CM )</t>
  </si>
  <si>
    <t>CANAL PREFABRICADO RECTANGULAR PARA DRENAJE EN CONCRETO (60 ANCHO X40 ALTURA X100 LARGO CM ) CON TAPA RANURADA</t>
  </si>
  <si>
    <t>https://www.homecenter.com.co/homecenter-co/product/291701/canal-self-100-h145-hormigon-polimero-acero-galvanizado-a15/291701/</t>
  </si>
  <si>
    <t>MA-657</t>
  </si>
  <si>
    <t>CONO CÁM INSP C20.7MPA D=1.2 T24"</t>
  </si>
  <si>
    <t>CUERPO CÁMARA DE INSPECCIÓN   C20.7MPA</t>
  </si>
  <si>
    <t>CONC SIMPLE 20.7 MPa  (m3)</t>
  </si>
  <si>
    <t>MA-658</t>
  </si>
  <si>
    <t>FORMALETA METÁLICA PARA CONO DE CÁMARA DE INSPECCIÓN Ø=1.20 MTS</t>
  </si>
  <si>
    <t>MA-659</t>
  </si>
  <si>
    <t>MA-660</t>
  </si>
  <si>
    <t>https://ocoplast.com/producto/tapa-de-alcantarillado-en-plastico-reciclado-75cm/</t>
  </si>
  <si>
    <t>TAPA CÁM ALC C20.7MPA+ARO LÁMINA  (UN)</t>
  </si>
  <si>
    <t>MA-661</t>
  </si>
  <si>
    <t>https://www.ffsoluciones.com/products/juego-rejilla-sumidera-en-hierro-fundido</t>
  </si>
  <si>
    <t>REJA PARA SUMIDERO EN HIERRO FUNDIDO</t>
  </si>
  <si>
    <t>CARCAMO DE 40X60 CM. SEGÚN ESPECIFICACIONES EN PLANO. INCLUYE EXCAVACIÓN</t>
  </si>
  <si>
    <t>CARCAMO DE 2,3 X 1,51 X 14,5 m. SEGÚN ESPECIFICACIONES EN PLANO. INCLUYE VIGAS DE SOPORTE DE CELDAS Y EXCAVACIÓN</t>
  </si>
  <si>
    <t>CARCAMO DE 2,7 X 1,4 X 9 m. SEGÚN ESPECIFICACIONES EN PLANO.  INCLUYE VIGAS DE SOPORTE DE CELDAS Y EXCAVACIÓN</t>
  </si>
  <si>
    <t>CAJA DE INSPECCIÓN (NORMA EH RSS-033) BAJA TENSIÓN. INCLUYE EXCAVACIÓN</t>
  </si>
  <si>
    <t>CAJA DE INSPECCIÓN (NORMA EH RSS-041-2) - 13,8 Kv. INCLUYE EXCAVACIÓN</t>
  </si>
  <si>
    <t>CAJA DE INSPECCIÓN (NORMA EH RSS-152-2) - 34,5 kV. INCLUYE EXCAVACIÓN</t>
  </si>
  <si>
    <t>SUMINISTRO E INSTALACIÓN DE SALIDA DE ILUMINACIÓN EN TUBERÍA EMT DE  3/4" CON CABLE Cu (1#14 F+1#14N+1#14T) AWG + TOMA CORRIENTE LEVITON+ CAJA RAWELT 2X4 (Longitud Promedio 3m)</t>
  </si>
  <si>
    <t>SUMINISTRO E INSTALACIÓN DE SALIDA DE TOMA MONOFÁSICA EN TUBERÍA EMT DE  1/2" CON CABLE Cu (1#12+1#12+1#12 AWG )+CAJA RAWELT. (Longitud Promedio 15M)</t>
  </si>
  <si>
    <t>SUMINISTRO E INSTALACIÓN DE SALIDA DE TOMA MONOFÁSICA EN TUBERÍA PVC DE  1/2" CON CABLE Cu (1#12+1#12+1#12 AWG )+CAJA RAWELT. (Longitud Promedio 10M)</t>
  </si>
  <si>
    <t>SUMINISTRO E INSTALACIÓN DE SALIDA DE TOMA MONOFÁSICA IP65 EN TUBERÍA PVC DE  1/2" CON CABLE Cu (1#12+1#12+1#12 AWG )+CAJA RAWELT. (Longitud Promedio 10m)</t>
  </si>
  <si>
    <t>SUMINISTRO E INSTALACIÓN DE SALIDA DE ILUMINACIÓN, CALEFACCIÓN y TOMACORRIENTE MONOFÁSICA EN TUBERÍA EMT DE  3/4" CON CABLE Cu (1#12F+1#12N+1#14T) AWG  (Longitud Promedio 2m)</t>
  </si>
  <si>
    <t>EXCAVACION MANUAL EN MATERIAL COMUN</t>
  </si>
  <si>
    <t>RELLENO CON MATERIAL DE SITIO, ARENA Y CINTA DE SEÑALIZACIÓN</t>
  </si>
  <si>
    <t>TUBO PVC DE Ø2". INCLUYE CODOS, UNIONES, SOLDADURA Y LIMPIADOR</t>
  </si>
  <si>
    <t>TUBO PVC DE Ø4". INCLUYE CODOS, UNIONES, SOLDADURA Y LIMPIADOR</t>
  </si>
  <si>
    <t>TUBO PVC DE Ø6". INCLUYE CODOS, UNIONES, SOLDADURA Y LIMPIADOR</t>
  </si>
  <si>
    <t>TUBO PVC DE Ø8". INCLUYE CODOS, UNIONES, SOLDADURA Y LIMPIADOR</t>
  </si>
  <si>
    <t>TUBO PVC DE Ø10". INCLUYE CODOS, UNIONES, SOLDADURA Y LIMPIADOR</t>
  </si>
  <si>
    <t>YEE SANITARIA PVC REDUCIDA 4" x 2"</t>
  </si>
  <si>
    <t>MA-662</t>
  </si>
  <si>
    <t>SUMINISTRO E INSTALACIÓN DE SANITARIO TIPO INSTITUCIONAL, AHORRADOR DE AGUA Y ACCESORIOS</t>
  </si>
  <si>
    <t>MA-663</t>
  </si>
  <si>
    <t>MA-664</t>
  </si>
  <si>
    <t>https://colempaques.com/products/sistema-septico-integrado-horizontal-1650-litros?variant=45783070212262&amp;country=CO&amp;currency=COP&amp;utm_medium=product_sync&amp;utm_source=google&amp;utm_content=sag_organic&amp;utm_campaign=sag_organic&amp;srsltid=AfmBOorddUk_fr5zQgzc0m5FJShYew9Shmv3V3BsYSBc3ZQEkdnDPNcf9gc</t>
  </si>
  <si>
    <t>https://www.homecenter.com.co/homecenter-co/product/459060/tuberia-de-drenaje-de-4-pulgadas-drainpipe-x-10-metros/459060/</t>
  </si>
  <si>
    <t>MA-665</t>
  </si>
  <si>
    <t>PUNTO SANITARIO DE EN PVC Ø2". LONGITUD PROMEDIO 3 METROS</t>
  </si>
  <si>
    <t>MA-666</t>
  </si>
  <si>
    <t>SUMINISTRO E INSTALACIÓN DE PROTECCIÓN EN CONCRETO DE 2500 PSI DE 100 X 5 CM PARA CRUCES DE CANALIZACIONES EN VIA</t>
  </si>
  <si>
    <t>TAPA REGISTSRO DE 15X15 CM</t>
  </si>
  <si>
    <t>MA-667</t>
  </si>
  <si>
    <t>TUBO PVC DE Ø 1 1/2" Y ACCESORIOS</t>
  </si>
  <si>
    <t>https://www.homecenter.com.co/homecenter-co/product/117568/tubo-presion-6-mts-rde-21-200-psi-1-1-2-pulg/117568/</t>
  </si>
  <si>
    <t>TUBERÍA PRESIÓN 1 1/2"</t>
  </si>
  <si>
    <t>MA-670</t>
  </si>
  <si>
    <t>MA-668</t>
  </si>
  <si>
    <t>https://www.homecenter.com.co/homecenter-co/product/04600/codo-90-x-11-2-presion/04600/</t>
  </si>
  <si>
    <t>MA-669</t>
  </si>
  <si>
    <t>CODO PRESIÓN 1 1/2"</t>
  </si>
  <si>
    <t>https://www.homecenter.com.co/homecenter-co/product/04604/union-1-1-2-presion/04604/</t>
  </si>
  <si>
    <t>UNION PRESIÓN 1 1/2"</t>
  </si>
  <si>
    <t>https://www.homecenter.com.co/homecenter-co/product/04745/buje-soldado-1x1-2-presion/04745/</t>
  </si>
  <si>
    <t>MA-671</t>
  </si>
  <si>
    <t>https://www.homecenter.com.co/homecenter-co/product/04747/buje-soldado-11-2x1-2-presion/04747/</t>
  </si>
  <si>
    <t>BUJE SOLDADO PRESIÓN 1 - 1/2"</t>
  </si>
  <si>
    <t>BUJE SOLDADO PRESIÓN 1 1/2" - 1/2"</t>
  </si>
  <si>
    <t>MA-672</t>
  </si>
  <si>
    <t>DUCHA. INCLUYE DIVISIÓN EN VIDRIO OPALIZADO Y ACCESORIOS PARA SU CORRECTA INSTALACIÓN.</t>
  </si>
  <si>
    <t>POCETA PREFABRICADA 40X40X25 cm</t>
  </si>
  <si>
    <t>https://ferredakota.com/shop/product/1010-poceta-lavatrapero-granito-40x40x25-1599?search=POCETA</t>
  </si>
  <si>
    <t>POCETA PREFABRICADA DE 40X40X25 cm</t>
  </si>
  <si>
    <t>SIFÓN SANITARIO 2"</t>
  </si>
  <si>
    <t>TAPA PARA SIFÓN</t>
  </si>
  <si>
    <t>https://www.homecenter.com.co/homecenter-co/product/204026/sifon-plastico-flexible-blanco-86cm-lvp-lvm/204026/</t>
  </si>
  <si>
    <t>MA-673</t>
  </si>
  <si>
    <t>SIFÓN SENCILLO FLEXIBLE 2"</t>
  </si>
  <si>
    <t>MEDIDOR DE AGUA 1/2"</t>
  </si>
  <si>
    <t>MEDIDOR DE AGUA 1 1/2"</t>
  </si>
  <si>
    <t>MA-674</t>
  </si>
  <si>
    <t>https://agrocolombiasas.com/producto/medidor-agua-1-1-2-rain-r-100/</t>
  </si>
  <si>
    <t>https://aquaintegral.co/producto/valvula-bola-pvc-1-1-2/</t>
  </si>
  <si>
    <t>MA-675</t>
  </si>
  <si>
    <t>VÁLVULA BOLA MANIJA MARIPOSA 1 1/2"</t>
  </si>
  <si>
    <t>https://centroferreteromafer.com/producto/cheque-cortina-1-1-2/</t>
  </si>
  <si>
    <t>CHEQUE CORTINA 1 1/2″"</t>
  </si>
  <si>
    <t>MA-676</t>
  </si>
  <si>
    <t>https://articulo.mercadolibre.com.co/MCO-2385579570-niple-roscado-pvc-1-12-_JM</t>
  </si>
  <si>
    <t>MA-677</t>
  </si>
  <si>
    <t>NIPLE 1 1/2″"</t>
  </si>
  <si>
    <t>https://www.homecenter.com.co/homecenter-co/product/37488/adaptador-hembra-11-2-presion/37488/</t>
  </si>
  <si>
    <t>MA-678</t>
  </si>
  <si>
    <t>ADAPTADOR MACHO / HEMBRA 1 1/2"</t>
  </si>
  <si>
    <t>TRAMITES DE CONEXIÓN ACUEDUCTO Y ALCANTARILLADO</t>
  </si>
  <si>
    <t>123</t>
  </si>
  <si>
    <t>130</t>
  </si>
  <si>
    <t>131</t>
  </si>
  <si>
    <t>132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</si>
  <si>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</si>
  <si>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</si>
  <si>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</si>
  <si>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</si>
  <si>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</si>
  <si>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</si>
  <si>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</si>
  <si>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</si>
  <si>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</si>
  <si>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</si>
  <si>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</si>
  <si>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</si>
  <si>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</si>
  <si>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</si>
  <si>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</si>
  <si>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</si>
  <si>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EXCAVACION MANUAL EN MATERIAL COMÚN</t>
  </si>
  <si>
    <t>047_OC</t>
  </si>
  <si>
    <t>048_OC</t>
  </si>
  <si>
    <t>029_OC</t>
  </si>
  <si>
    <t>046_OC</t>
  </si>
  <si>
    <t>COLUMNAS 25X20 CM</t>
  </si>
  <si>
    <t>COLUMNAS 12X20 CM</t>
  </si>
  <si>
    <t>MA-679</t>
  </si>
  <si>
    <t>Cotización Gobernación de Risaralda</t>
  </si>
  <si>
    <t>Gobernación de Risaralda</t>
  </si>
  <si>
    <t>AISLADOR TIPO DISCO DE HORQUILLA. 10 KV ANSI 524</t>
  </si>
  <si>
    <t>MA-680</t>
  </si>
  <si>
    <t>041_N3</t>
  </si>
  <si>
    <t>042_N3</t>
  </si>
  <si>
    <t>045_N3</t>
  </si>
  <si>
    <t>046_N3</t>
  </si>
  <si>
    <t>047_N3</t>
  </si>
  <si>
    <t>048_N3</t>
  </si>
  <si>
    <t>049_N3</t>
  </si>
  <si>
    <t>050_N3</t>
  </si>
  <si>
    <t>051_N3</t>
  </si>
  <si>
    <t>052_N3</t>
  </si>
  <si>
    <t>053_N3</t>
  </si>
  <si>
    <t>054_N3</t>
  </si>
  <si>
    <t>026_AUX</t>
  </si>
  <si>
    <t>ACERO EN BARRAS CORRUGADAS, GRADO 60 DE VARIOS DIÁMETROS</t>
  </si>
  <si>
    <t>COLLARIN DE DOS SALIDAS EN PLATINA DE HIERRO GALVANIZADO. DIAMETRO (6-8 IN) (17 - 22 CM)</t>
  </si>
  <si>
    <t>COLLARIN DE DOS SALIDAS EN PLATINA DE HIERRO GALVANIZADO. DIAMETRO (7-10 IN) (20 - 25 CM)</t>
  </si>
  <si>
    <t>COLLARIN DE DOS SALIDAS EN PLATINA DE HIERRO GALVANIZADO. DIAMETRO (10-12 IN) (25 - 30 CM)</t>
  </si>
  <si>
    <t>COLLARIN DE UNA SALIDA EN PLATINA DE HIERRO GALVANIZADO. DIAMETRO (14-16 IN) (35 - 40 CM)</t>
  </si>
  <si>
    <t>CRUCETA METÁLICA DE ANGULO GALVANIZADO DE 6 M DE LONGITUD. CALIBRE (76*76*6) MM</t>
  </si>
  <si>
    <t>ESPARRAGO DE HIERRO GALVANIZADO ROSCADO EN TODA SU LONGITUD, 4 TUERCAS. DIAMETRO 16 MM LONGITUD 458  MM</t>
  </si>
  <si>
    <t xml:space="preserve">AISLADOR TIPO DISCO DE HORQUILLA. DIAMETRO 254 MM 34.5 KV ANSI 52-4 </t>
  </si>
  <si>
    <t>TUERCA DE OJO ALARGADO PARA PERNO 16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</si>
</sst>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0.000"/>
    <numFmt numFmtId="167" formatCode="0.0"/>
    <numFmt numFmtId="168" formatCode="_-* #,##0.00\ &quot;€&quot;_-;\-* #,##0.00\ &quot;€&quot;_-;_-* &quot;-&quot;??\ &quot;€&quot;_-;_-@_-"/>
    <numFmt numFmtId="169" formatCode="\$\ #,##0_-"/>
    <numFmt numFmtId="170" formatCode="_-&quot;$&quot;\ * #,##0.0_-;\-&quot;$&quot;\ * #,##0.0_-;_-&quot;$&quot;\ * &quot;-&quot;??_-;_-@_-"/>
    <numFmt numFmtId="171" formatCode="_-&quot;$&quot;\ * #,##0.0_-;\-&quot;$&quot;\ * #,##0.0_-;_-&quot;$&quot;\ * &quot;-&quot;?_-;_-@_-"/>
    <numFmt numFmtId="172" formatCode="0.0000"/>
    <numFmt numFmtId="173" formatCode="_-* #,##0.0000_-;\-* #,##0.0000_-;_-* &quot;-&quot;????_-;_-@_-"/>
    <numFmt numFmtId="174" formatCode="_-* #,##0.00000_-;\-* #,##0.00000_-;_-* &quot;-&quot;??_-;_-@_-"/>
    <numFmt numFmtId="175" formatCode="_-* #,##0_-;\-* #,##0_-;_-* &quot;-&quot;?????_-;_-@_-"/>
    <numFmt numFmtId="176" formatCode="_-* #,##0.0_-;\-* #,##0.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Calibri"/>
      <family val="2"/>
    </font>
    <font>
      <b/>
      <sz val="9"/>
      <color theme="0"/>
      <name val="Arial"/>
      <family val="2"/>
    </font>
    <font>
      <sz val="11"/>
      <color rgb="FFFF0000"/>
      <name val="Calibri"/>
      <family val="2"/>
      <scheme val="minor"/>
    </font>
    <font>
      <sz val="9"/>
      <color rgb="FF222834"/>
      <name val="Verdana"/>
      <family val="2"/>
    </font>
    <font>
      <b/>
      <sz val="9"/>
      <color rgb="FF222834"/>
      <name val="Verdana"/>
      <family val="2"/>
    </font>
    <font>
      <sz val="1"/>
      <color rgb="FF222834"/>
      <name val="Verdana"/>
      <family val="2"/>
    </font>
    <font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168" fontId="4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4" fillId="0" borderId="0"/>
    <xf numFmtId="0" fontId="13" fillId="0" borderId="0"/>
    <xf numFmtId="0" fontId="4" fillId="0" borderId="0"/>
    <xf numFmtId="0" fontId="19" fillId="0" borderId="0" applyNumberFormat="0" applyFill="0" applyBorder="0" applyAlignment="0" applyProtection="0"/>
  </cellStyleXfs>
  <cellXfs count="259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0" fontId="10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164" fontId="11" fillId="0" borderId="0" xfId="1" applyNumberFormat="1" applyFont="1"/>
    <xf numFmtId="164" fontId="11" fillId="0" borderId="0" xfId="1" applyNumberFormat="1" applyFont="1" applyAlignment="1">
      <alignment wrapText="1"/>
    </xf>
    <xf numFmtId="0" fontId="11" fillId="0" borderId="0" xfId="0" applyFont="1" applyAlignment="1">
      <alignment horizontal="center"/>
    </xf>
    <xf numFmtId="0" fontId="16" fillId="8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17" fillId="8" borderId="0" xfId="0" applyFont="1" applyFill="1"/>
    <xf numFmtId="0" fontId="2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7" xfId="0" applyFont="1" applyFill="1" applyBorder="1"/>
    <xf numFmtId="0" fontId="0" fillId="2" borderId="7" xfId="0" applyFill="1" applyBorder="1"/>
    <xf numFmtId="0" fontId="2" fillId="2" borderId="0" xfId="0" applyFont="1" applyFill="1" applyAlignment="1">
      <alignment horizontal="left"/>
    </xf>
    <xf numFmtId="0" fontId="18" fillId="0" borderId="7" xfId="0" applyFont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/>
    <xf numFmtId="164" fontId="0" fillId="0" borderId="0" xfId="1" quotePrefix="1" applyNumberFormat="1" applyFont="1"/>
    <xf numFmtId="164" fontId="0" fillId="0" borderId="0" xfId="1" quotePrefix="1" applyNumberFormat="1" applyFont="1" applyFill="1"/>
    <xf numFmtId="0" fontId="2" fillId="0" borderId="1" xfId="0" applyFont="1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2" fillId="0" borderId="7" xfId="0" applyFont="1" applyBorder="1"/>
    <xf numFmtId="0" fontId="2" fillId="2" borderId="0" xfId="0" applyFont="1" applyFill="1"/>
    <xf numFmtId="0" fontId="2" fillId="0" borderId="8" xfId="0" applyFont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quotePrefix="1"/>
    <xf numFmtId="0" fontId="19" fillId="0" borderId="0" xfId="13"/>
    <xf numFmtId="0" fontId="2" fillId="3" borderId="6" xfId="0" applyFont="1" applyFill="1" applyBorder="1" applyAlignment="1">
      <alignment horizontal="center" vertical="center"/>
    </xf>
    <xf numFmtId="164" fontId="11" fillId="0" borderId="0" xfId="1" applyNumberFormat="1" applyFont="1" applyFill="1" applyAlignment="1">
      <alignment wrapText="1"/>
    </xf>
    <xf numFmtId="164" fontId="0" fillId="0" borderId="0" xfId="1" applyNumberFormat="1" applyFont="1" applyFill="1"/>
    <xf numFmtId="0" fontId="20" fillId="10" borderId="1" xfId="11" applyFont="1" applyFill="1" applyBorder="1" applyAlignment="1">
      <alignment horizontal="center" vertical="center"/>
    </xf>
    <xf numFmtId="0" fontId="14" fillId="4" borderId="1" xfId="11" applyFont="1" applyFill="1" applyBorder="1" applyAlignment="1">
      <alignment horizontal="center" vertical="center"/>
    </xf>
    <xf numFmtId="169" fontId="14" fillId="4" borderId="1" xfId="11" applyNumberFormat="1" applyFont="1" applyFill="1" applyBorder="1" applyAlignment="1">
      <alignment horizontal="center" vertical="center"/>
    </xf>
    <xf numFmtId="169" fontId="20" fillId="10" borderId="1" xfId="11" applyNumberFormat="1" applyFont="1" applyFill="1" applyBorder="1" applyAlignment="1">
      <alignment horizontal="center" vertical="center"/>
    </xf>
    <xf numFmtId="1" fontId="14" fillId="4" borderId="1" xfId="11" applyNumberFormat="1" applyFont="1" applyFill="1" applyBorder="1" applyAlignment="1">
      <alignment horizontal="center" vertical="center"/>
    </xf>
    <xf numFmtId="9" fontId="20" fillId="10" borderId="1" xfId="11" applyNumberFormat="1" applyFont="1" applyFill="1" applyBorder="1" applyAlignment="1">
      <alignment horizontal="center" vertical="center"/>
    </xf>
    <xf numFmtId="0" fontId="21" fillId="0" borderId="0" xfId="11" applyFont="1"/>
    <xf numFmtId="0" fontId="21" fillId="0" borderId="2" xfId="11" applyFont="1" applyBorder="1"/>
    <xf numFmtId="0" fontId="21" fillId="0" borderId="3" xfId="11" applyFont="1" applyBorder="1"/>
    <xf numFmtId="0" fontId="21" fillId="0" borderId="4" xfId="11" applyFont="1" applyBorder="1"/>
    <xf numFmtId="0" fontId="21" fillId="0" borderId="11" xfId="11" applyFont="1" applyBorder="1"/>
    <xf numFmtId="0" fontId="21" fillId="0" borderId="12" xfId="11" applyFont="1" applyBorder="1"/>
    <xf numFmtId="0" fontId="21" fillId="0" borderId="9" xfId="11" applyFont="1" applyBorder="1"/>
    <xf numFmtId="0" fontId="21" fillId="0" borderId="7" xfId="11" applyFont="1" applyBorder="1"/>
    <xf numFmtId="0" fontId="21" fillId="0" borderId="13" xfId="11" applyFont="1" applyBorder="1"/>
    <xf numFmtId="0" fontId="21" fillId="0" borderId="14" xfId="11" applyFont="1" applyBorder="1"/>
    <xf numFmtId="0" fontId="0" fillId="0" borderId="7" xfId="0" applyBorder="1"/>
    <xf numFmtId="165" fontId="0" fillId="0" borderId="0" xfId="2" applyNumberFormat="1" applyFont="1"/>
    <xf numFmtId="0" fontId="2" fillId="11" borderId="1" xfId="0" applyFont="1" applyFill="1" applyBorder="1" applyAlignment="1">
      <alignment horizontal="center"/>
    </xf>
    <xf numFmtId="0" fontId="6" fillId="0" borderId="1" xfId="0" applyFont="1" applyBorder="1"/>
    <xf numFmtId="0" fontId="14" fillId="4" borderId="2" xfId="11" applyFont="1" applyFill="1" applyBorder="1" applyAlignment="1">
      <alignment horizontal="center" vertical="center"/>
    </xf>
    <xf numFmtId="0" fontId="14" fillId="4" borderId="4" xfId="11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2" xfId="0" applyFont="1" applyBorder="1"/>
    <xf numFmtId="0" fontId="6" fillId="0" borderId="4" xfId="0" applyFont="1" applyBorder="1"/>
    <xf numFmtId="0" fontId="22" fillId="12" borderId="1" xfId="11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19" fillId="0" borderId="0" xfId="13" applyFill="1" applyBorder="1" applyAlignment="1">
      <alignment horizontal="left"/>
    </xf>
    <xf numFmtId="0" fontId="23" fillId="0" borderId="0" xfId="13" applyFont="1" applyFill="1" applyBorder="1" applyAlignment="1">
      <alignment horizontal="left"/>
    </xf>
    <xf numFmtId="170" fontId="0" fillId="0" borderId="0" xfId="1" applyNumberFormat="1" applyFont="1" applyAlignment="1">
      <alignment horizontal="left" indent="3"/>
    </xf>
    <xf numFmtId="4" fontId="0" fillId="0" borderId="0" xfId="0" applyNumberFormat="1"/>
    <xf numFmtId="171" fontId="0" fillId="0" borderId="0" xfId="0" applyNumberFormat="1"/>
    <xf numFmtId="0" fontId="20" fillId="0" borderId="0" xfId="11" applyFont="1" applyAlignment="1">
      <alignment horizontal="center" vertical="center"/>
    </xf>
    <xf numFmtId="169" fontId="20" fillId="0" borderId="0" xfId="11" applyNumberFormat="1" applyFont="1" applyAlignment="1">
      <alignment horizontal="center" vertical="center"/>
    </xf>
    <xf numFmtId="164" fontId="17" fillId="8" borderId="0" xfId="0" applyNumberFormat="1" applyFont="1" applyFill="1"/>
    <xf numFmtId="0" fontId="0" fillId="0" borderId="0" xfId="0" quotePrefix="1" applyAlignment="1">
      <alignment horizontal="center"/>
    </xf>
    <xf numFmtId="164" fontId="11" fillId="0" borderId="0" xfId="1" applyNumberFormat="1" applyFont="1" applyFill="1"/>
    <xf numFmtId="164" fontId="2" fillId="0" borderId="0" xfId="0" applyNumberFormat="1" applyFont="1"/>
    <xf numFmtId="0" fontId="19" fillId="0" borderId="0" xfId="13" applyFill="1" applyAlignment="1"/>
    <xf numFmtId="0" fontId="11" fillId="0" borderId="0" xfId="0" applyFont="1"/>
    <xf numFmtId="164" fontId="0" fillId="0" borderId="0" xfId="1" applyNumberFormat="1" applyFont="1" applyAlignment="1">
      <alignment horizontal="left" indent="3"/>
    </xf>
    <xf numFmtId="43" fontId="0" fillId="0" borderId="0" xfId="0" applyNumberFormat="1"/>
    <xf numFmtId="43" fontId="0" fillId="0" borderId="0" xfId="2" applyFont="1"/>
    <xf numFmtId="0" fontId="14" fillId="0" borderId="1" xfId="11" applyFont="1" applyBorder="1" applyAlignment="1">
      <alignment horizontal="center" vertical="center"/>
    </xf>
    <xf numFmtId="165" fontId="0" fillId="0" borderId="0" xfId="0" applyNumberFormat="1"/>
    <xf numFmtId="172" fontId="14" fillId="4" borderId="1" xfId="11" applyNumberFormat="1" applyFont="1" applyFill="1" applyBorder="1" applyAlignment="1">
      <alignment horizontal="center" vertical="center"/>
    </xf>
    <xf numFmtId="166" fontId="14" fillId="4" borderId="1" xfId="11" applyNumberFormat="1" applyFont="1" applyFill="1" applyBorder="1" applyAlignment="1">
      <alignment horizontal="center" vertical="center"/>
    </xf>
    <xf numFmtId="20" fontId="0" fillId="0" borderId="0" xfId="0" applyNumberFormat="1"/>
    <xf numFmtId="164" fontId="0" fillId="0" borderId="0" xfId="0" applyNumberFormat="1"/>
    <xf numFmtId="0" fontId="7" fillId="0" borderId="14" xfId="11" applyFont="1" applyBorder="1" applyAlignment="1">
      <alignment horizontal="center" vertical="center"/>
    </xf>
    <xf numFmtId="0" fontId="5" fillId="0" borderId="14" xfId="11" applyFont="1" applyBorder="1" applyAlignment="1">
      <alignment horizontal="center" vertical="center"/>
    </xf>
    <xf numFmtId="12" fontId="0" fillId="0" borderId="0" xfId="0" applyNumberFormat="1"/>
    <xf numFmtId="165" fontId="14" fillId="0" borderId="1" xfId="2" applyNumberFormat="1" applyFont="1" applyFill="1" applyBorder="1" applyAlignment="1">
      <alignment horizontal="center" vertical="center"/>
    </xf>
    <xf numFmtId="0" fontId="19" fillId="0" borderId="15" xfId="13" applyFill="1" applyBorder="1" applyAlignment="1">
      <alignment horizontal="left" vertical="center"/>
    </xf>
    <xf numFmtId="169" fontId="0" fillId="0" borderId="0" xfId="0" applyNumberFormat="1"/>
    <xf numFmtId="0" fontId="19" fillId="0" borderId="14" xfId="13" applyFill="1" applyBorder="1" applyAlignment="1">
      <alignment horizontal="left" vertical="center"/>
    </xf>
    <xf numFmtId="10" fontId="0" fillId="0" borderId="0" xfId="3" applyNumberFormat="1" applyFont="1"/>
    <xf numFmtId="2" fontId="14" fillId="4" borderId="1" xfId="11" applyNumberFormat="1" applyFont="1" applyFill="1" applyBorder="1" applyAlignment="1">
      <alignment horizontal="center" vertical="center"/>
    </xf>
    <xf numFmtId="167" fontId="14" fillId="4" borderId="1" xfId="1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24" fillId="0" borderId="0" xfId="0" applyFont="1" applyAlignment="1">
      <alignment horizontal="center" vertical="center"/>
    </xf>
    <xf numFmtId="0" fontId="19" fillId="0" borderId="0" xfId="13" applyFill="1"/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right" vertical="center" indent="2"/>
    </xf>
    <xf numFmtId="4" fontId="24" fillId="0" borderId="0" xfId="0" applyNumberFormat="1" applyFont="1" applyAlignment="1">
      <alignment horizontal="right" vertical="center" indent="2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166" fontId="0" fillId="0" borderId="0" xfId="0" applyNumberFormat="1" applyAlignment="1">
      <alignment horizontal="center"/>
    </xf>
    <xf numFmtId="164" fontId="11" fillId="0" borderId="0" xfId="1" quotePrefix="1" applyNumberFormat="1" applyFont="1" applyFill="1"/>
    <xf numFmtId="164" fontId="11" fillId="0" borderId="0" xfId="1" applyNumberFormat="1" applyFont="1" applyFill="1" applyAlignment="1">
      <alignment horizontal="center"/>
    </xf>
    <xf numFmtId="164" fontId="11" fillId="0" borderId="0" xfId="1" applyNumberFormat="1" applyFont="1" applyFill="1" applyAlignment="1">
      <alignment vertical="center"/>
    </xf>
    <xf numFmtId="0" fontId="6" fillId="0" borderId="9" xfId="0" applyFont="1" applyBorder="1"/>
    <xf numFmtId="0" fontId="6" fillId="0" borderId="13" xfId="0" applyFont="1" applyBorder="1"/>
    <xf numFmtId="0" fontId="0" fillId="0" borderId="0" xfId="0" quotePrefix="1" applyAlignment="1">
      <alignment wrapText="1"/>
    </xf>
    <xf numFmtId="0" fontId="11" fillId="0" borderId="0" xfId="0" applyFont="1" applyAlignment="1">
      <alignment horizontal="center" vertical="center" wrapText="1"/>
    </xf>
    <xf numFmtId="173" fontId="0" fillId="0" borderId="0" xfId="0" applyNumberFormat="1"/>
    <xf numFmtId="166" fontId="0" fillId="0" borderId="0" xfId="0" applyNumberFormat="1"/>
    <xf numFmtId="172" fontId="0" fillId="0" borderId="0" xfId="0" applyNumberFormat="1"/>
    <xf numFmtId="0" fontId="2" fillId="0" borderId="6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43" fontId="14" fillId="0" borderId="1" xfId="2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4" fontId="0" fillId="0" borderId="0" xfId="0" applyNumberFormat="1"/>
    <xf numFmtId="175" fontId="0" fillId="0" borderId="0" xfId="0" applyNumberFormat="1"/>
    <xf numFmtId="0" fontId="6" fillId="0" borderId="2" xfId="0" applyFont="1" applyBorder="1" applyAlignment="1">
      <alignment wrapText="1"/>
    </xf>
    <xf numFmtId="0" fontId="22" fillId="12" borderId="8" xfId="11" applyFont="1" applyFill="1" applyBorder="1" applyAlignment="1">
      <alignment horizontal="center" vertical="center"/>
    </xf>
    <xf numFmtId="43" fontId="11" fillId="0" borderId="0" xfId="2" applyFont="1" applyAlignment="1">
      <alignment horizontal="center"/>
    </xf>
    <xf numFmtId="0" fontId="14" fillId="4" borderId="1" xfId="11" applyFont="1" applyFill="1" applyBorder="1" applyAlignment="1">
      <alignment horizontal="left" vertical="center"/>
    </xf>
    <xf numFmtId="0" fontId="6" fillId="0" borderId="2" xfId="0" applyFont="1" applyBorder="1" applyAlignment="1">
      <alignment vertical="top"/>
    </xf>
    <xf numFmtId="169" fontId="14" fillId="0" borderId="1" xfId="11" applyNumberFormat="1" applyFont="1" applyBorder="1" applyAlignment="1">
      <alignment horizontal="center" vertical="center"/>
    </xf>
    <xf numFmtId="1" fontId="14" fillId="0" borderId="1" xfId="11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43" fontId="11" fillId="0" borderId="17" xfId="2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4" fontId="11" fillId="0" borderId="17" xfId="1" applyNumberFormat="1" applyFont="1" applyFill="1" applyBorder="1"/>
    <xf numFmtId="164" fontId="11" fillId="7" borderId="0" xfId="0" applyNumberFormat="1" applyFont="1" applyFill="1" applyAlignment="1">
      <alignment horizontal="center"/>
    </xf>
    <xf numFmtId="0" fontId="2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164" fontId="11" fillId="0" borderId="17" xfId="1" applyNumberFormat="1" applyFont="1" applyFill="1" applyBorder="1" applyAlignment="1">
      <alignment wrapText="1"/>
    </xf>
    <xf numFmtId="43" fontId="11" fillId="0" borderId="17" xfId="2" applyFont="1" applyFill="1" applyBorder="1" applyAlignment="1">
      <alignment horizontal="center"/>
    </xf>
    <xf numFmtId="165" fontId="11" fillId="0" borderId="17" xfId="2" applyNumberFormat="1" applyFont="1" applyFill="1" applyBorder="1" applyAlignment="1">
      <alignment horizontal="center"/>
    </xf>
    <xf numFmtId="0" fontId="10" fillId="0" borderId="0" xfId="0" quotePrefix="1" applyFont="1"/>
    <xf numFmtId="43" fontId="11" fillId="0" borderId="0" xfId="2" applyFont="1" applyFill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165" fontId="11" fillId="0" borderId="0" xfId="2" applyNumberFormat="1" applyFont="1" applyFill="1" applyAlignment="1">
      <alignment horizontal="center"/>
    </xf>
    <xf numFmtId="43" fontId="11" fillId="0" borderId="0" xfId="2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vertical="top"/>
    </xf>
    <xf numFmtId="165" fontId="11" fillId="0" borderId="0" xfId="2" applyNumberFormat="1" applyFont="1" applyFill="1"/>
    <xf numFmtId="0" fontId="10" fillId="0" borderId="0" xfId="0" applyFont="1"/>
    <xf numFmtId="0" fontId="10" fillId="0" borderId="17" xfId="0" quotePrefix="1" applyFont="1" applyBorder="1"/>
    <xf numFmtId="0" fontId="11" fillId="0" borderId="0" xfId="0" quotePrefix="1" applyFont="1"/>
    <xf numFmtId="176" fontId="11" fillId="0" borderId="0" xfId="2" applyNumberFormat="1" applyFont="1" applyFill="1" applyAlignment="1">
      <alignment horizontal="center" vertical="center"/>
    </xf>
    <xf numFmtId="0" fontId="11" fillId="0" borderId="0" xfId="0" applyFont="1" applyAlignment="1">
      <alignment horizontal="center" wrapText="1"/>
    </xf>
    <xf numFmtId="43" fontId="11" fillId="0" borderId="0" xfId="2" applyFont="1" applyFill="1" applyAlignment="1">
      <alignment horizontal="center" vertical="center" wrapText="1"/>
    </xf>
    <xf numFmtId="165" fontId="11" fillId="0" borderId="0" xfId="2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center"/>
    </xf>
    <xf numFmtId="0" fontId="11" fillId="7" borderId="0" xfId="0" applyFont="1" applyFill="1"/>
    <xf numFmtId="164" fontId="11" fillId="7" borderId="0" xfId="0" applyNumberFormat="1" applyFont="1" applyFill="1"/>
    <xf numFmtId="0" fontId="11" fillId="0" borderId="0" xfId="0" applyFont="1" applyAlignment="1">
      <alignment vertical="center"/>
    </xf>
    <xf numFmtId="0" fontId="11" fillId="0" borderId="17" xfId="0" applyFont="1" applyBorder="1" applyAlignment="1">
      <alignment horizontal="center"/>
    </xf>
    <xf numFmtId="164" fontId="11" fillId="0" borderId="0" xfId="0" applyNumberFormat="1" applyFont="1"/>
    <xf numFmtId="164" fontId="11" fillId="0" borderId="0" xfId="1" applyNumberFormat="1" applyFont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164" fontId="11" fillId="0" borderId="17" xfId="1" applyNumberFormat="1" applyFont="1" applyFill="1" applyBorder="1" applyAlignment="1">
      <alignment horizontal="center"/>
    </xf>
    <xf numFmtId="164" fontId="11" fillId="0" borderId="0" xfId="1" applyNumberFormat="1" applyFont="1" applyFill="1" applyAlignment="1">
      <alignment horizontal="center" vertical="center"/>
    </xf>
    <xf numFmtId="164" fontId="11" fillId="7" borderId="0" xfId="1" applyNumberFormat="1" applyFont="1" applyFill="1"/>
    <xf numFmtId="0" fontId="11" fillId="5" borderId="0" xfId="0" applyFont="1" applyFill="1" applyAlignment="1">
      <alignment horizontal="left"/>
    </xf>
    <xf numFmtId="0" fontId="27" fillId="5" borderId="0" xfId="0" applyFont="1" applyFill="1" applyAlignment="1">
      <alignment horizontal="center"/>
    </xf>
    <xf numFmtId="164" fontId="11" fillId="5" borderId="0" xfId="0" applyNumberFormat="1" applyFont="1" applyFill="1" applyAlignment="1">
      <alignment horizontal="center"/>
    </xf>
    <xf numFmtId="165" fontId="11" fillId="0" borderId="0" xfId="2" applyNumberFormat="1" applyFont="1" applyFill="1" applyAlignment="1">
      <alignment horizontal="right"/>
    </xf>
    <xf numFmtId="1" fontId="11" fillId="0" borderId="0" xfId="0" applyNumberFormat="1" applyFont="1" applyAlignment="1">
      <alignment horizontal="center"/>
    </xf>
    <xf numFmtId="0" fontId="0" fillId="0" borderId="1" xfId="0" applyBorder="1" applyAlignment="1">
      <alignment vertical="center"/>
    </xf>
    <xf numFmtId="165" fontId="0" fillId="0" borderId="0" xfId="2" applyNumberFormat="1" applyFont="1" applyFill="1"/>
    <xf numFmtId="43" fontId="11" fillId="0" borderId="0" xfId="2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top"/>
    </xf>
    <xf numFmtId="164" fontId="11" fillId="9" borderId="17" xfId="1" applyNumberFormat="1" applyFont="1" applyFill="1" applyBorder="1" applyAlignment="1">
      <alignment wrapText="1"/>
    </xf>
    <xf numFmtId="1" fontId="11" fillId="0" borderId="10" xfId="0" applyNumberFormat="1" applyFont="1" applyBorder="1" applyAlignment="1">
      <alignment horizontal="center" vertical="center"/>
    </xf>
    <xf numFmtId="165" fontId="11" fillId="0" borderId="0" xfId="2" applyNumberFormat="1" applyFont="1" applyAlignment="1">
      <alignment horizontal="center"/>
    </xf>
    <xf numFmtId="0" fontId="11" fillId="0" borderId="10" xfId="0" applyFont="1" applyBorder="1" applyAlignment="1">
      <alignment horizontal="center" vertical="center"/>
    </xf>
    <xf numFmtId="43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5" fontId="11" fillId="0" borderId="0" xfId="2" applyNumberFormat="1" applyFont="1" applyFill="1" applyAlignment="1">
      <alignment wrapText="1"/>
    </xf>
    <xf numFmtId="167" fontId="11" fillId="0" borderId="0" xfId="0" applyNumberFormat="1" applyFont="1" applyAlignment="1">
      <alignment horizontal="center" vertical="center"/>
    </xf>
    <xf numFmtId="164" fontId="11" fillId="0" borderId="0" xfId="1" applyNumberFormat="1" applyFont="1" applyFill="1" applyAlignment="1">
      <alignment vertical="center" wrapText="1"/>
    </xf>
    <xf numFmtId="0" fontId="10" fillId="0" borderId="10" xfId="0" applyFont="1" applyBorder="1" applyAlignment="1">
      <alignment horizontal="left"/>
    </xf>
    <xf numFmtId="43" fontId="11" fillId="0" borderId="10" xfId="2" applyFont="1" applyFill="1" applyBorder="1" applyAlignment="1">
      <alignment horizontal="center" vertical="center"/>
    </xf>
    <xf numFmtId="0" fontId="10" fillId="0" borderId="17" xfId="0" applyFont="1" applyBorder="1"/>
    <xf numFmtId="0" fontId="23" fillId="0" borderId="0" xfId="0" quotePrefix="1" applyFont="1"/>
    <xf numFmtId="164" fontId="23" fillId="0" borderId="0" xfId="1" quotePrefix="1" applyNumberFormat="1" applyFont="1" applyFill="1"/>
    <xf numFmtId="0" fontId="11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164" fontId="11" fillId="6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/>
    <xf numFmtId="14" fontId="0" fillId="0" borderId="0" xfId="0" applyNumberFormat="1"/>
    <xf numFmtId="3" fontId="19" fillId="0" borderId="0" xfId="13" applyNumberFormat="1" applyFill="1"/>
    <xf numFmtId="165" fontId="0" fillId="0" borderId="0" xfId="2" applyNumberFormat="1" applyFont="1" applyFill="1" applyAlignment="1">
      <alignment wrapText="1"/>
    </xf>
    <xf numFmtId="165" fontId="0" fillId="0" borderId="0" xfId="2" applyNumberFormat="1" applyFont="1" applyFill="1" applyAlignment="1">
      <alignment vertical="center"/>
    </xf>
    <xf numFmtId="0" fontId="23" fillId="0" borderId="0" xfId="0" quotePrefix="1" applyFont="1" applyAlignment="1">
      <alignment horizontal="center"/>
    </xf>
    <xf numFmtId="169" fontId="7" fillId="0" borderId="1" xfId="11" applyNumberFormat="1" applyFont="1" applyBorder="1" applyAlignment="1">
      <alignment horizontal="center" vertical="center"/>
    </xf>
    <xf numFmtId="0" fontId="20" fillId="10" borderId="1" xfId="11" applyFont="1" applyFill="1" applyBorder="1" applyAlignment="1">
      <alignment horizontal="center" vertical="center"/>
    </xf>
    <xf numFmtId="0" fontId="14" fillId="4" borderId="1" xfId="11" applyFont="1" applyFill="1" applyBorder="1" applyAlignment="1">
      <alignment horizontal="justify" vertical="center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20" fillId="10" borderId="5" xfId="11" applyFont="1" applyFill="1" applyBorder="1" applyAlignment="1">
      <alignment horizontal="center" vertical="center"/>
    </xf>
    <xf numFmtId="0" fontId="22" fillId="12" borderId="1" xfId="1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1" xfId="11" applyFont="1" applyBorder="1" applyAlignment="1">
      <alignment horizontal="center" vertical="center"/>
    </xf>
    <xf numFmtId="0" fontId="6" fillId="0" borderId="2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20" fillId="10" borderId="2" xfId="11" applyFont="1" applyFill="1" applyBorder="1" applyAlignment="1">
      <alignment horizontal="center" vertical="center"/>
    </xf>
    <xf numFmtId="0" fontId="20" fillId="10" borderId="4" xfId="11" applyFont="1" applyFill="1" applyBorder="1" applyAlignment="1">
      <alignment horizontal="center" vertical="center"/>
    </xf>
    <xf numFmtId="0" fontId="20" fillId="10" borderId="3" xfId="11" applyFont="1" applyFill="1" applyBorder="1" applyAlignment="1">
      <alignment horizontal="center" vertical="center"/>
    </xf>
    <xf numFmtId="0" fontId="22" fillId="12" borderId="2" xfId="11" applyFont="1" applyFill="1" applyBorder="1" applyAlignment="1">
      <alignment horizontal="center" vertical="center"/>
    </xf>
    <xf numFmtId="0" fontId="22" fillId="12" borderId="4" xfId="11" applyFont="1" applyFill="1" applyBorder="1" applyAlignment="1">
      <alignment horizontal="center" vertical="center"/>
    </xf>
    <xf numFmtId="0" fontId="14" fillId="4" borderId="4" xfId="11" applyFont="1" applyFill="1" applyBorder="1" applyAlignment="1">
      <alignment horizontal="justify" vertical="center"/>
    </xf>
    <xf numFmtId="0" fontId="22" fillId="12" borderId="8" xfId="11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4" fillId="4" borderId="2" xfId="11" applyFont="1" applyFill="1" applyBorder="1" applyAlignment="1">
      <alignment horizontal="justify" vertical="center"/>
    </xf>
    <xf numFmtId="0" fontId="6" fillId="0" borderId="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4" fillId="4" borderId="1" xfId="11" applyFont="1" applyFill="1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44" fontId="2" fillId="3" borderId="16" xfId="1" applyFont="1" applyFill="1" applyBorder="1" applyAlignment="1">
      <alignment horizontal="center" vertical="center"/>
    </xf>
    <xf numFmtId="44" fontId="2" fillId="3" borderId="0" xfId="1" applyFont="1" applyFill="1" applyBorder="1" applyAlignment="1">
      <alignment horizontal="center" vertical="center"/>
    </xf>
  </cellXfs>
  <cellStyles count="14">
    <cellStyle name="Hipervínculo" xfId="13" builtinId="8"/>
    <cellStyle name="Millares" xfId="2" builtinId="3"/>
    <cellStyle name="Millares 2" xfId="8" xr:uid="{0D28B39A-A0C7-4172-B8CB-F559544DB5A4}"/>
    <cellStyle name="Moneda" xfId="1" builtinId="4"/>
    <cellStyle name="Moneda 2" xfId="7" xr:uid="{7C4B5808-1C62-4E56-BD0B-1D82FFA51C56}"/>
    <cellStyle name="Moneda 3" xfId="6" xr:uid="{ACEF012F-13E1-48AC-8B0D-280455E0D5EB}"/>
    <cellStyle name="Normal" xfId="0" builtinId="0"/>
    <cellStyle name="Normal 10" xfId="10" xr:uid="{C862EBF1-D2FC-4E12-B6F6-13455F20ED58}"/>
    <cellStyle name="Normal 2" xfId="4" xr:uid="{03DF68F1-5C3F-40ED-AC7A-A5F3AA76218B}"/>
    <cellStyle name="Normal 2 10" xfId="12" xr:uid="{F4C04C99-8A1B-4B82-8E93-045FE816B92F}"/>
    <cellStyle name="Normal 2 2" xfId="11" xr:uid="{DA62E8F2-AD07-44C6-9610-6B1F98423C89}"/>
    <cellStyle name="Normal 3" xfId="5" xr:uid="{F0C5208A-FC13-44B9-A8D7-A6D1A37E5381}"/>
    <cellStyle name="Normal 4" xfId="9" xr:uid="{9FC7D831-BD51-440E-9DB8-C05890104E56}"/>
    <cellStyle name="Porcentaje" xfId="3" builtinId="5"/>
  </cellStyles>
  <dxfs count="7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.shortcut-targets-by-id\1qCjF145r71tP-5Xa8WXnRPbQhgSK0NWl\05.%20DISE&#209;O%203%20(L.G)\13.%20ID20200070%20-%20%20S.E.%20BARAYA\151\Presupuesto%20Baraya_AP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s Exterior"/>
      <sheetName val="Equipos Auxiliares"/>
      <sheetName val="Equipos de Interior"/>
      <sheetName val="IPP"/>
      <sheetName val="Material"/>
      <sheetName val="APUs"/>
      <sheetName val="Hoja1"/>
      <sheetName val="Presupuesto Exteriorb"/>
      <sheetName val="Hoja2"/>
      <sheetName val="APU- OBRA CIVIL"/>
      <sheetName val="Presupuesto Interior"/>
      <sheetName val="Putumayo"/>
      <sheetName val="Componentes APUs"/>
      <sheetName val="cronograma2"/>
      <sheetName val="cronograma"/>
      <sheetName val="APUs-34.5kV"/>
      <sheetName val="Tarifas"/>
      <sheetName val="Precio Monedas"/>
      <sheetName val="N Bahias"/>
      <sheetName val="Baraya (2)"/>
      <sheetName val="APU-011 Malla a Tierra"/>
      <sheetName val="Esq. Comunicaiones"/>
      <sheetName val="Total APUs"/>
      <sheetName val="APUs- Canalizaciones"/>
      <sheetName val="Materiales"/>
      <sheetName val="Hoja3"/>
      <sheetName val="Colombia"/>
      <sheetName val="Otros_Datos"/>
    </sheetNames>
    <sheetDataSet>
      <sheetData sheetId="0"/>
      <sheetData sheetId="1"/>
      <sheetData sheetId="2"/>
      <sheetData sheetId="3">
        <row r="273">
          <cell r="C273">
            <v>1.2522774120619724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Referencia</v>
          </cell>
          <cell r="B1" t="str">
            <v>Descripción</v>
          </cell>
          <cell r="C1" t="str">
            <v>Unidad</v>
          </cell>
          <cell r="D1" t="str">
            <v>Vr. Unitario ($)</v>
          </cell>
          <cell r="H1" t="str">
            <v>Referencia</v>
          </cell>
          <cell r="I1" t="str">
            <v>Descripción</v>
          </cell>
          <cell r="J1" t="str">
            <v>Fac. Sal</v>
          </cell>
          <cell r="K1" t="str">
            <v>Jornal ($)</v>
          </cell>
          <cell r="L1" t="str">
            <v>Prestaciones ($)</v>
          </cell>
          <cell r="N1" t="str">
            <v>Referencia</v>
          </cell>
          <cell r="O1" t="str">
            <v>Descripción</v>
          </cell>
          <cell r="P1" t="str">
            <v>Unidad</v>
          </cell>
          <cell r="Q1" t="str">
            <v>Vr. Unitario ($)</v>
          </cell>
          <cell r="S1" t="str">
            <v>Referencia</v>
          </cell>
          <cell r="T1" t="str">
            <v>Descripción</v>
          </cell>
          <cell r="U1" t="str">
            <v>Unidad</v>
          </cell>
          <cell r="V1" t="str">
            <v>Vr. Unitario ($)</v>
          </cell>
        </row>
        <row r="2">
          <cell r="A2" t="str">
            <v>ED-1</v>
          </cell>
          <cell r="B2" t="str">
            <v>Camisa indigo sin partes metalicas</v>
          </cell>
          <cell r="C2" t="str">
            <v>U</v>
          </cell>
          <cell r="D2">
            <v>8585.8585858585866</v>
          </cell>
          <cell r="H2" t="str">
            <v>MO-1</v>
          </cell>
          <cell r="I2" t="str">
            <v>Ingeniero Residente de Obra</v>
          </cell>
          <cell r="J2">
            <v>4</v>
          </cell>
          <cell r="K2">
            <v>271142.85714285716</v>
          </cell>
          <cell r="L2">
            <v>162685.71428571429</v>
          </cell>
          <cell r="N2" t="str">
            <v>TV-1</v>
          </cell>
          <cell r="O2" t="str">
            <v>Camioneta</v>
          </cell>
          <cell r="P2" t="str">
            <v>U</v>
          </cell>
          <cell r="Q2">
            <v>5500000</v>
          </cell>
          <cell r="S2" t="str">
            <v>EH-1</v>
          </cell>
          <cell r="T2" t="str">
            <v>Juego Llaves</v>
          </cell>
          <cell r="U2" t="str">
            <v>U</v>
          </cell>
          <cell r="V2">
            <v>9167</v>
          </cell>
        </row>
        <row r="3">
          <cell r="A3" t="str">
            <v>ED-2</v>
          </cell>
          <cell r="B3" t="str">
            <v>Bota de seguridad dielectrica</v>
          </cell>
          <cell r="C3" t="str">
            <v>Par</v>
          </cell>
          <cell r="D3">
            <v>7500</v>
          </cell>
          <cell r="H3" t="str">
            <v>MO-2</v>
          </cell>
          <cell r="I3" t="str">
            <v>Tecnico Supervisor</v>
          </cell>
          <cell r="J3">
            <v>2.2999999999999998</v>
          </cell>
          <cell r="K3">
            <v>155907.14285714284</v>
          </cell>
          <cell r="L3">
            <v>93544.285714285696</v>
          </cell>
          <cell r="N3" t="str">
            <v>TV-2</v>
          </cell>
          <cell r="O3" t="str">
            <v>Grúa Hidráulica</v>
          </cell>
          <cell r="P3" t="str">
            <v>U</v>
          </cell>
          <cell r="Q3">
            <v>21000000</v>
          </cell>
          <cell r="S3" t="str">
            <v>EH-2</v>
          </cell>
          <cell r="T3" t="str">
            <v>Manila de servicio</v>
          </cell>
          <cell r="U3" t="str">
            <v>U</v>
          </cell>
          <cell r="V3">
            <v>2333</v>
          </cell>
        </row>
        <row r="4">
          <cell r="A4" t="str">
            <v>ED-3</v>
          </cell>
          <cell r="B4" t="str">
            <v>Casco dielectrico Tipo 1 Clase E con barbuquejo</v>
          </cell>
          <cell r="C4" t="str">
            <v>U</v>
          </cell>
          <cell r="D4">
            <v>10101.010101010101</v>
          </cell>
          <cell r="H4" t="str">
            <v>MO-3</v>
          </cell>
          <cell r="I4" t="str">
            <v>Tecnico Liniero</v>
          </cell>
          <cell r="J4">
            <v>2</v>
          </cell>
          <cell r="K4">
            <v>154619.04761904763</v>
          </cell>
          <cell r="L4">
            <v>92771.42857142858</v>
          </cell>
          <cell r="N4" t="str">
            <v>TV-3</v>
          </cell>
          <cell r="O4" t="str">
            <v>Camabaja</v>
          </cell>
          <cell r="P4" t="str">
            <v>TON/KM</v>
          </cell>
          <cell r="Q4">
            <v>611</v>
          </cell>
          <cell r="S4" t="str">
            <v>EH-3</v>
          </cell>
          <cell r="T4" t="str">
            <v>Tula portaherramientas</v>
          </cell>
          <cell r="U4" t="str">
            <v>U</v>
          </cell>
          <cell r="V4">
            <v>1250</v>
          </cell>
        </row>
        <row r="5">
          <cell r="A5" t="str">
            <v>ED-4</v>
          </cell>
          <cell r="B5" t="str">
            <v>Correa plastica y antiflama</v>
          </cell>
          <cell r="C5" t="str">
            <v>U</v>
          </cell>
          <cell r="D5">
            <v>3787.878787878788</v>
          </cell>
          <cell r="H5" t="str">
            <v>MO-4</v>
          </cell>
          <cell r="I5" t="str">
            <v>Ayudante Calificado</v>
          </cell>
          <cell r="J5">
            <v>1.5</v>
          </cell>
          <cell r="K5">
            <v>115964.28571428571</v>
          </cell>
          <cell r="L5">
            <v>69578.57142857142</v>
          </cell>
          <cell r="N5" t="str">
            <v>TV-4</v>
          </cell>
          <cell r="O5" t="str">
            <v>Volqueta</v>
          </cell>
          <cell r="P5" t="str">
            <v>U</v>
          </cell>
          <cell r="Q5">
            <v>18900000</v>
          </cell>
          <cell r="S5" t="str">
            <v>EH-4</v>
          </cell>
          <cell r="T5" t="str">
            <v>Agarradoras</v>
          </cell>
          <cell r="U5" t="str">
            <v>U</v>
          </cell>
          <cell r="V5">
            <v>125000</v>
          </cell>
        </row>
        <row r="6">
          <cell r="A6" t="str">
            <v>ED-5</v>
          </cell>
          <cell r="B6" t="str">
            <v>Gafas protectoras filtro UV</v>
          </cell>
          <cell r="C6" t="str">
            <v>U</v>
          </cell>
          <cell r="D6">
            <v>2777.7777777777778</v>
          </cell>
          <cell r="H6" t="str">
            <v>MO-5</v>
          </cell>
          <cell r="I6" t="str">
            <v>Profesional en SST</v>
          </cell>
          <cell r="J6">
            <v>2.5</v>
          </cell>
          <cell r="K6">
            <v>169464.28571428571</v>
          </cell>
          <cell r="L6">
            <v>101678.57142857142</v>
          </cell>
          <cell r="N6" t="str">
            <v>TV-5</v>
          </cell>
          <cell r="O6" t="str">
            <v>Retroexcavadora</v>
          </cell>
          <cell r="P6" t="str">
            <v>U</v>
          </cell>
          <cell r="Q6">
            <v>1494459.54</v>
          </cell>
          <cell r="S6" t="str">
            <v>EH-5</v>
          </cell>
          <cell r="T6" t="str">
            <v>Templadoras</v>
          </cell>
          <cell r="U6" t="str">
            <v>U</v>
          </cell>
          <cell r="V6">
            <v>250000</v>
          </cell>
        </row>
        <row r="7">
          <cell r="A7" t="str">
            <v>ED-6</v>
          </cell>
          <cell r="B7" t="str">
            <v>Bota de seguridad PVC dielectrica</v>
          </cell>
          <cell r="C7" t="str">
            <v>Par</v>
          </cell>
          <cell r="D7">
            <v>2916.6666666666665</v>
          </cell>
          <cell r="H7" t="str">
            <v>MO-6</v>
          </cell>
          <cell r="I7" t="str">
            <v>Ayudante No Calificado</v>
          </cell>
          <cell r="J7">
            <v>1</v>
          </cell>
          <cell r="K7">
            <v>77309.523809523816</v>
          </cell>
          <cell r="L7">
            <v>46385.71428571429</v>
          </cell>
          <cell r="N7" t="str">
            <v>TV-6</v>
          </cell>
          <cell r="O7" t="str">
            <v>Montacarga</v>
          </cell>
          <cell r="P7" t="str">
            <v>U</v>
          </cell>
          <cell r="Q7" t="str">
            <v>pendiente</v>
          </cell>
          <cell r="S7" t="str">
            <v>EH-6</v>
          </cell>
          <cell r="T7" t="str">
            <v>Herramienta Menor</v>
          </cell>
          <cell r="U7" t="str">
            <v>U</v>
          </cell>
          <cell r="V7">
            <v>75758</v>
          </cell>
        </row>
        <row r="8">
          <cell r="A8" t="str">
            <v>ED-7</v>
          </cell>
          <cell r="B8" t="str">
            <v>Capuchon</v>
          </cell>
          <cell r="C8" t="str">
            <v>U</v>
          </cell>
          <cell r="D8">
            <v>2525.2525252525252</v>
          </cell>
          <cell r="H8" t="str">
            <v>MO-7</v>
          </cell>
          <cell r="I8" t="str">
            <v>Ayudante de Obra Civil</v>
          </cell>
          <cell r="J8">
            <v>1</v>
          </cell>
          <cell r="K8">
            <v>77309.523809523816</v>
          </cell>
          <cell r="L8">
            <v>46385.71428571429</v>
          </cell>
          <cell r="N8" t="str">
            <v>TV-7</v>
          </cell>
          <cell r="O8" t="str">
            <v>Vibrador de concreto</v>
          </cell>
          <cell r="P8" t="str">
            <v>U</v>
          </cell>
          <cell r="Q8">
            <v>1324470</v>
          </cell>
          <cell r="S8" t="str">
            <v>EH-7</v>
          </cell>
          <cell r="T8" t="str">
            <v>Molde Grafito Soldadura Exotérmica En X</v>
          </cell>
          <cell r="U8" t="str">
            <v>U</v>
          </cell>
          <cell r="V8">
            <v>239000</v>
          </cell>
        </row>
        <row r="9">
          <cell r="A9" t="str">
            <v>ED-8</v>
          </cell>
          <cell r="B9" t="str">
            <v>Guantes Protectores  - ingeniero reforzados</v>
          </cell>
          <cell r="C9" t="str">
            <v>Par</v>
          </cell>
          <cell r="D9">
            <v>2525.2525252525252</v>
          </cell>
          <cell r="H9" t="str">
            <v>MO-8</v>
          </cell>
          <cell r="I9" t="str">
            <v>Maestro de obra civil</v>
          </cell>
          <cell r="J9">
            <v>2.5</v>
          </cell>
          <cell r="K9">
            <v>169464.28571428571</v>
          </cell>
          <cell r="L9">
            <v>101678.57142857142</v>
          </cell>
          <cell r="N9" t="str">
            <v>TV-8</v>
          </cell>
          <cell r="O9" t="str">
            <v>Miniretroexcavadora</v>
          </cell>
          <cell r="P9" t="str">
            <v>M3</v>
          </cell>
          <cell r="Q9">
            <v>70000</v>
          </cell>
          <cell r="S9" t="str">
            <v>EH-8</v>
          </cell>
          <cell r="T9" t="str">
            <v>Equipo para trabajo con fibra óptica</v>
          </cell>
          <cell r="U9" t="str">
            <v>U</v>
          </cell>
          <cell r="V9">
            <v>4493202</v>
          </cell>
        </row>
        <row r="10">
          <cell r="A10" t="str">
            <v>ED-9</v>
          </cell>
          <cell r="B10" t="str">
            <v>Impermeable (pantalon camisa)</v>
          </cell>
          <cell r="C10" t="str">
            <v>U</v>
          </cell>
          <cell r="D10">
            <v>3750</v>
          </cell>
          <cell r="H10" t="str">
            <v>MO-9</v>
          </cell>
          <cell r="I10" t="str">
            <v>Oficial de Obra Civil</v>
          </cell>
          <cell r="J10">
            <v>1.5</v>
          </cell>
          <cell r="K10">
            <v>115964.28571428571</v>
          </cell>
          <cell r="L10">
            <v>69578.57142857142</v>
          </cell>
          <cell r="N10" t="str">
            <v>TV-9</v>
          </cell>
          <cell r="O10" t="str">
            <v>Dumper de descarga Frontal 2T</v>
          </cell>
          <cell r="P10" t="str">
            <v>U</v>
          </cell>
          <cell r="Q10">
            <v>4438716.24</v>
          </cell>
          <cell r="S10" t="str">
            <v>EH-9</v>
          </cell>
          <cell r="T10" t="str">
            <v>Diferencial 2 Toneladas</v>
          </cell>
          <cell r="U10" t="str">
            <v>U</v>
          </cell>
          <cell r="V10">
            <v>474905</v>
          </cell>
        </row>
        <row r="11">
          <cell r="A11" t="str">
            <v>ED-10</v>
          </cell>
          <cell r="B11" t="str">
            <v>Jean Dielectrico</v>
          </cell>
          <cell r="C11" t="str">
            <v>U</v>
          </cell>
          <cell r="D11">
            <v>7575.757575757576</v>
          </cell>
          <cell r="H11" t="str">
            <v>MO-10</v>
          </cell>
          <cell r="I11" t="str">
            <v>Ingeniero Civil Residente de Obra</v>
          </cell>
          <cell r="J11">
            <v>3</v>
          </cell>
          <cell r="K11">
            <v>203357.14285714287</v>
          </cell>
          <cell r="L11">
            <v>122014.28571428571</v>
          </cell>
          <cell r="N11" t="str">
            <v>TV-10</v>
          </cell>
          <cell r="O11" t="str">
            <v>Rodillo Ligero</v>
          </cell>
          <cell r="P11" t="str">
            <v>U</v>
          </cell>
          <cell r="Q11">
            <v>1675800</v>
          </cell>
        </row>
        <row r="12">
          <cell r="A12" t="str">
            <v>ED-11</v>
          </cell>
          <cell r="B12" t="str">
            <v>Casco dielectrico Tipo 2 Clase E con barboquejo</v>
          </cell>
          <cell r="C12" t="str">
            <v>U</v>
          </cell>
          <cell r="D12">
            <v>7500</v>
          </cell>
          <cell r="H12" t="str">
            <v>MO-11</v>
          </cell>
          <cell r="I12" t="str">
            <v>Ingeniero Especialista de Control y Protección Subestación</v>
          </cell>
          <cell r="J12">
            <v>14</v>
          </cell>
          <cell r="K12">
            <v>949000</v>
          </cell>
          <cell r="L12">
            <v>569400</v>
          </cell>
          <cell r="N12" t="str">
            <v>TV-11</v>
          </cell>
          <cell r="O12" t="str">
            <v>Motocultor</v>
          </cell>
          <cell r="P12" t="str">
            <v>U</v>
          </cell>
          <cell r="Q12">
            <v>1292760</v>
          </cell>
        </row>
        <row r="13">
          <cell r="A13" t="str">
            <v>ED-12</v>
          </cell>
          <cell r="B13" t="str">
            <v>Kit de rescate para trabajo en alturas</v>
          </cell>
          <cell r="C13" t="str">
            <v>U</v>
          </cell>
          <cell r="D13">
            <v>37500</v>
          </cell>
          <cell r="H13" t="str">
            <v>MO-12</v>
          </cell>
          <cell r="I13" t="str">
            <v>Técnico calificado para Comunicaciones</v>
          </cell>
          <cell r="J13">
            <v>3</v>
          </cell>
          <cell r="K13">
            <v>203357.14285714287</v>
          </cell>
          <cell r="L13">
            <v>122014.28571428571</v>
          </cell>
          <cell r="N13" t="str">
            <v>TV-12</v>
          </cell>
          <cell r="O13" t="str">
            <v>Concretera</v>
          </cell>
          <cell r="P13" t="str">
            <v>U</v>
          </cell>
          <cell r="Q13">
            <v>550704</v>
          </cell>
        </row>
        <row r="14">
          <cell r="A14" t="str">
            <v>ED-13</v>
          </cell>
          <cell r="B14" t="str">
            <v>Equipo completo para trabajo en alturas con pretales (Arnes dielectrico, 1 mosqueton de seguridad, tie off dielectrico, eslinga de posicionamiento, juego de pretales)</v>
          </cell>
          <cell r="C14" t="str">
            <v>U</v>
          </cell>
          <cell r="D14">
            <v>26041.666666666668</v>
          </cell>
          <cell r="H14" t="str">
            <v>MO-13</v>
          </cell>
          <cell r="I14" t="str">
            <v>Oficial Eléctrico</v>
          </cell>
          <cell r="J14">
            <v>2</v>
          </cell>
          <cell r="K14">
            <v>154619.04761904763</v>
          </cell>
          <cell r="L14">
            <v>92771.42857142858</v>
          </cell>
          <cell r="N14" t="str">
            <v>TV-13</v>
          </cell>
          <cell r="O14" t="str">
            <v>Extendedora Asfáltica De Cadenas 110 Cv</v>
          </cell>
          <cell r="P14" t="str">
            <v>U</v>
          </cell>
          <cell r="Q14">
            <v>23739576</v>
          </cell>
        </row>
        <row r="15">
          <cell r="H15" t="str">
            <v>MO-14</v>
          </cell>
          <cell r="I15" t="str">
            <v>Topografo</v>
          </cell>
          <cell r="J15">
            <v>2</v>
          </cell>
          <cell r="K15">
            <v>154619.04761904763</v>
          </cell>
          <cell r="L15">
            <v>92771.42857142858</v>
          </cell>
          <cell r="N15" t="str">
            <v>TV-14</v>
          </cell>
          <cell r="O15" t="str">
            <v>Rodillo Vibrante Tándem Autopropulsado, De 2300 Kg, Anchura De Trabajo 105 Cm</v>
          </cell>
          <cell r="P15" t="str">
            <v>U</v>
          </cell>
          <cell r="Q15">
            <v>4899216</v>
          </cell>
        </row>
        <row r="16">
          <cell r="I16"/>
          <cell r="J16"/>
          <cell r="N16" t="str">
            <v>TV-15</v>
          </cell>
          <cell r="O16" t="str">
            <v>Compactador De Neumáticos Autopropulsado, De 12/22 T</v>
          </cell>
          <cell r="P16" t="str">
            <v>U</v>
          </cell>
          <cell r="Q16">
            <v>17197488</v>
          </cell>
        </row>
        <row r="17">
          <cell r="I17"/>
          <cell r="J17"/>
        </row>
        <row r="18">
          <cell r="I18"/>
          <cell r="J18"/>
        </row>
        <row r="19">
          <cell r="J19"/>
        </row>
        <row r="20">
          <cell r="J20"/>
        </row>
        <row r="21">
          <cell r="J21"/>
        </row>
        <row r="22">
          <cell r="J22"/>
        </row>
        <row r="23">
          <cell r="J23"/>
        </row>
        <row r="24">
          <cell r="J24"/>
        </row>
      </sheetData>
      <sheetData sheetId="13"/>
      <sheetData sheetId="14"/>
      <sheetData sheetId="15"/>
      <sheetData sheetId="16"/>
      <sheetData sheetId="17">
        <row r="2">
          <cell r="B2">
            <v>4200</v>
          </cell>
        </row>
      </sheetData>
      <sheetData sheetId="18">
        <row r="30">
          <cell r="B30">
            <v>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eradoresytransformadores.com/producto/barra-de-cobre-para-sistema-de-tierras-2-x-16-2/" TargetMode="External"/><Relationship Id="rId299" Type="http://schemas.openxmlformats.org/officeDocument/2006/relationships/hyperlink" Target="https://www.integra-smart.com/product-page/condensadora-multi-split-60-000-btu-inverter-marca-lg" TargetMode="External"/><Relationship Id="rId21" Type="http://schemas.openxmlformats.org/officeDocument/2006/relationships/hyperlink" Target="https://www.proelectrico.com/wp-content/uploads/2024/10/Lista-de-Precios-2024.pdf" TargetMode="External"/><Relationship Id="rId63" Type="http://schemas.openxmlformats.org/officeDocument/2006/relationships/hyperlink" Target="https://lasus.com.co/es/caja-de-distribucion-de-fibra-optica-para-24-empalmes-con-16-acopladores-sc-apc?srsltid=AfmBOoqp_KIu98Ke6YlSHMRWWVUuNga1KIo8lBefui8lhTbN7MCmbnlx" TargetMode="External"/><Relationship Id="rId159" Type="http://schemas.openxmlformats.org/officeDocument/2006/relationships/hyperlink" Target="https://www.homecenter.com.co/homecenter-co/product/224676/multitoma-6-salidas-3m/224676/" TargetMode="External"/><Relationship Id="rId324" Type="http://schemas.openxmlformats.org/officeDocument/2006/relationships/hyperlink" Target="https://electrodata.com.co/producto/terminales-tubo-imc/" TargetMode="External"/><Relationship Id="rId366" Type="http://schemas.openxmlformats.org/officeDocument/2006/relationships/hyperlink" Target="https://www.homecenter.com.co/homecenter-co/product/04612/union-2-sanitaria/04612/" TargetMode="External"/><Relationship Id="rId170" Type="http://schemas.openxmlformats.org/officeDocument/2006/relationships/hyperlink" Target="https://interelectricas.com.co/tuberia-metalica-y-pvc/2183-tubo-metalico-emt-de-3-4-pulgadas-x-3-mts.html" TargetMode="External"/><Relationship Id="rId226" Type="http://schemas.openxmlformats.org/officeDocument/2006/relationships/hyperlink" Target="file:///C:\Users\Luis%20Gerardo%20L&#243;pez%20M\AppData\Roaming\Microsoft\Excel\RV_%20COTIZACION\RV_%20Baraya-Ehuila-%20ABB_%20Cotizaci&#243;n%20Equipos%20Potencia\OPP-23-6352727%20%20Rev.%2002%20SUMINISTRO%20EQUIPOS%20PATIO.pdf" TargetMode="External"/><Relationship Id="rId433" Type="http://schemas.openxmlformats.org/officeDocument/2006/relationships/hyperlink" Target="https://interelectricas.com.co/tuberia-metalica-y-pvc/2125-curva-pvc-de-3.html" TargetMode="External"/><Relationship Id="rId268" Type="http://schemas.openxmlformats.org/officeDocument/2006/relationships/hyperlink" Target="https://interelectricas.com.co/tuberia-metalica-y-pvc/2327-tubo-metalico-imc-de-4-pulgadas-x-3-mts-con-union.html" TargetMode="External"/><Relationship Id="rId475" Type="http://schemas.openxmlformats.org/officeDocument/2006/relationships/hyperlink" Target="https://www.homecenter.com.co/homecenter-co/product/04747/buje-soldado-11-2x1-2-presion/04747/" TargetMode="External"/><Relationship Id="rId32" Type="http://schemas.openxmlformats.org/officeDocument/2006/relationships/hyperlink" Target="https://interelectricas.com.co/herrajes-electricos/1738-conector-coraza-liquid-recto-1-1-4-pulg-.html" TargetMode="External"/><Relationship Id="rId74" Type="http://schemas.openxmlformats.org/officeDocument/2006/relationships/hyperlink" Target="https://interelectricas.com.co/cajas-y-tableros/2263-caja-contador-polifasico-1-medidor-39-8x24-4x1-cm.html?__cf_chl_tk=Fs5gTu1hnP9d5qbj1AgDJ4MPNV0OfaGytw4LVuOlgdo-1739464952-1.0.1.1-qwg2W1Ykjivypbgr5uUhnHcaEvjNc9bQ.fsl9i1IqMY" TargetMode="External"/><Relationship Id="rId128" Type="http://schemas.openxmlformats.org/officeDocument/2006/relationships/hyperlink" Target="https://interelectricas.com.co/cortacircuitos-y-proteccion-contra-rayos/1597-pararrayo-tipo-franklin-de-5-puntas.html" TargetMode="External"/><Relationship Id="rId335" Type="http://schemas.openxmlformats.org/officeDocument/2006/relationships/hyperlink" Target="https://interelectricas.com.co/articulos-electricos/1110-borna-de-ponchar-estanada-no-4-cobre-barril-largo-marca-ied.html" TargetMode="External"/><Relationship Id="rId377" Type="http://schemas.openxmlformats.org/officeDocument/2006/relationships/hyperlink" Target="https://www.homecenter.com.co/homecenter-co/product/212202/accesorio-alcantarillado-tdp-codo-90-cxc-10pulg/212202/" TargetMode="External"/><Relationship Id="rId5" Type="http://schemas.openxmlformats.org/officeDocument/2006/relationships/hyperlink" Target="https://interelectricas.com.co/cable-de-instrumentacion-control/10546-cable-instrumentacion-7x14-awg-gris-apantallado-con-foil-600v-90-grados-dw-18-awg-chaqfr-pvc-resistuv-8bcp107109-i2-241120.html" TargetMode="External"/><Relationship Id="rId181" Type="http://schemas.openxmlformats.org/officeDocument/2006/relationships/hyperlink" Target="https://interelectricas.com.co/tuberia-metalica-y-pvc/910-union-metalica-galvanizada-imc-de-3-4.html" TargetMode="External"/><Relationship Id="rId237" Type="http://schemas.openxmlformats.org/officeDocument/2006/relationships/hyperlink" Target="https://ferremaster.mercadoshops.com.co/MCO-566407649-tornillo-autoperforante-5-con-arandela-neopreno-_JM" TargetMode="External"/><Relationship Id="rId402" Type="http://schemas.openxmlformats.org/officeDocument/2006/relationships/hyperlink" Target="https://www.ffsoluciones.com/products/cajilla-en-concreto-para-medidor-tapa-en-hierro-fundido-tipo-empo" TargetMode="External"/><Relationship Id="rId279" Type="http://schemas.openxmlformats.org/officeDocument/2006/relationships/hyperlink" Target="http://www.colombia.generadordeprecios.info/espacios_urbanos/Firmes_y_pisos_urbanos/Bordes_y_limites_de_pisos/Bordillos/Bordillo_prefabricado_de_concreto.html" TargetMode="External"/><Relationship Id="rId444" Type="http://schemas.openxmlformats.org/officeDocument/2006/relationships/hyperlink" Target="https://edemco.co/producto/interruptor-termomagnetico-a9f74132" TargetMode="External"/><Relationship Id="rId486" Type="http://schemas.openxmlformats.org/officeDocument/2006/relationships/vmlDrawing" Target="../drawings/vmlDrawing1.vml"/><Relationship Id="rId43" Type="http://schemas.openxmlformats.org/officeDocument/2006/relationships/hyperlink" Target="https://interelectricas.com.co/tuberia-metalica-y-pvc/2322-tubo-metalico-imc-de-11-4-pulgadas-x-3-mts-con-union.html" TargetMode="External"/><Relationship Id="rId139" Type="http://schemas.openxmlformats.org/officeDocument/2006/relationships/hyperlink" Target="https://interelectricas.com.co/breakers/1239-breaker-industrial-abb-formula-100a-capacidad-de-ruptura-25-ka-a1b.html" TargetMode="External"/><Relationship Id="rId290" Type="http://schemas.openxmlformats.org/officeDocument/2006/relationships/hyperlink" Target="https://electroservimos.co/sistemas-de-canalizacion/1848-c1lr9-conduleta-de-1-en-lr-emt-ul-ch.html" TargetMode="External"/><Relationship Id="rId304" Type="http://schemas.openxmlformats.org/officeDocument/2006/relationships/hyperlink" Target="https://interelectricas.com.co/alambres-y-cables/2020-cable-de-cobre-encauchetado-3-x-6-awg-metro.html" TargetMode="External"/><Relationship Id="rId346" Type="http://schemas.openxmlformats.org/officeDocument/2006/relationships/hyperlink" Target="https://interelectricas.com.co/articulos-electricos/5344-terminal-pin-punta-cilind-calibre-12-140-awg-amarillo.html" TargetMode="External"/><Relationship Id="rId388" Type="http://schemas.openxmlformats.org/officeDocument/2006/relationships/hyperlink" Target="https://www.homecenter.com.co/homecenter-co/product/343597/niple-1-pulg-x-10-cm/343597/" TargetMode="External"/><Relationship Id="rId85" Type="http://schemas.openxmlformats.org/officeDocument/2006/relationships/hyperlink" Target="https://interelectricas.com.co/tuberia-metalica-y-pvc/2360-tubo-pvc-conduit-de-1-2-x-3-mts.html" TargetMode="External"/><Relationship Id="rId150" Type="http://schemas.openxmlformats.org/officeDocument/2006/relationships/hyperlink" Target="https://interelectricas.com.co/tuberia-metalica-y-pvc/965-terminal-pvc-3-pulg-tipo-campana.html" TargetMode="External"/><Relationship Id="rId192" Type="http://schemas.openxmlformats.org/officeDocument/2006/relationships/hyperlink" Target="https://www.homecenter.com.co/homecenter-co/product/612881/chazo-puntilla-nylon-1-4x1-1-4-50-und-fixser/612881/" TargetMode="External"/><Relationship Id="rId206" Type="http://schemas.openxmlformats.org/officeDocument/2006/relationships/hyperlink" Target="https://interelectricas.com.co/maniobra-e-industria/6851-analizador-de-redes-m4m-20-ref-2csg251151r4051-i2.html" TargetMode="External"/><Relationship Id="rId413" Type="http://schemas.openxmlformats.org/officeDocument/2006/relationships/hyperlink" Target="https://geztio.co/upa/co/mezcla-densa-en-caliente-tipo-mdc-2" TargetMode="External"/><Relationship Id="rId248" Type="http://schemas.openxmlformats.org/officeDocument/2006/relationships/hyperlink" Target="http://www.colombia.generadordeprecios.info/obra_nueva/Estructuras/Mamposteria_estructural/EFM_Muros_de_mamposteria_estructur/EFM010_Muro_de_mamposteria_estructural_de_.html" TargetMode="External"/><Relationship Id="rId455" Type="http://schemas.openxmlformats.org/officeDocument/2006/relationships/hyperlink" Target="https://interelectricas.com.co/tomas-electricas/2920-tapa-para-toma-doble-roja-leviton.html" TargetMode="External"/><Relationship Id="rId12" Type="http://schemas.openxmlformats.org/officeDocument/2006/relationships/hyperlink" Target="https://edelco.co/producto/cruceta-metalica-de-6-00-mts-3-x-3-x-1-4/?srsltid=AfmBOoqz5z8FW7naYbdZ7ujXYt8ZocEtWebPM92yPcy0DlncWGxFd0kI" TargetMode="External"/><Relationship Id="rId108" Type="http://schemas.openxmlformats.org/officeDocument/2006/relationships/hyperlink" Target="https://interelectricas.com.co/tuberia-metalica-y-pvc/891-abrazadera-ajustable-1-2-pulg-.html" TargetMode="External"/><Relationship Id="rId315" Type="http://schemas.openxmlformats.org/officeDocument/2006/relationships/hyperlink" Target="https://interelectricas.com.co/tuberia-metalica-y-pvc/891-abrazadera-ajustable-1-2-pulg-.html" TargetMode="External"/><Relationship Id="rId357" Type="http://schemas.openxmlformats.org/officeDocument/2006/relationships/hyperlink" Target="https://www.homecenter.com.co/homecenter-co/product/353732/caja-aluminio-5800-rectangular-4-salidas-de-1-2-pulg-x-20-unds/353732/" TargetMode="External"/><Relationship Id="rId54" Type="http://schemas.openxmlformats.org/officeDocument/2006/relationships/hyperlink" Target="https://selinc.com/es/products/2730M/" TargetMode="External"/><Relationship Id="rId96" Type="http://schemas.openxmlformats.org/officeDocument/2006/relationships/hyperlink" Target="https://electroservimos.co/tableros-cajas-y-gabinetes/2522-crr29-caja-rectangular-tipo-rawelt-3-salidas-x-1-2-ul-ch.html" TargetMode="External"/><Relationship Id="rId161" Type="http://schemas.openxmlformats.org/officeDocument/2006/relationships/hyperlink" Target="https://www.daga-store.com/ov-4513" TargetMode="External"/><Relationship Id="rId217" Type="http://schemas.openxmlformats.org/officeDocument/2006/relationships/hyperlink" Target="https://interelectricas.com.co/alambres-y-cables/1939-cable-de-aluminio-aislado-no-1-0-awg-serie-8000-thhn.html" TargetMode="External"/><Relationship Id="rId399" Type="http://schemas.openxmlformats.org/officeDocument/2006/relationships/hyperlink" Target="https://www.homecenter.com.co/homecenter-co/product/65894/tubo-1x6m-presion-21-200-psi/65894/" TargetMode="External"/><Relationship Id="rId259" Type="http://schemas.openxmlformats.org/officeDocument/2006/relationships/hyperlink" Target="https://colombia.generadordeprecios.info/obra_nueva/calculaprecio.asp?Valor=30|0|2|EHV010|ehv_015%20viga:_0_0_0_5|hor_p_estruc%20viga:c14_0_1c3_0_5|ehv_cuan%20viga:_149000|acero%20viga:_0_0_0_0_0_0_0_3|hor_separadores%20vigas:_0_0_0_0_0_0_3_0|enc_ehv_011%20viga:c4_0_1c3_0_10_0_100_0_30_100c4_0_10" TargetMode="External"/><Relationship Id="rId424" Type="http://schemas.openxmlformats.org/officeDocument/2006/relationships/hyperlink" Target="https://selinc.com/es/products/351/" TargetMode="External"/><Relationship Id="rId466" Type="http://schemas.openxmlformats.org/officeDocument/2006/relationships/hyperlink" Target="https://www.homecenter.com.co/homecenter-co/product/291701/canal-self-100-h145-hormigon-polimero-acero-galvanizado-a15/291701/" TargetMode="External"/><Relationship Id="rId23" Type="http://schemas.openxmlformats.org/officeDocument/2006/relationships/hyperlink" Target="https://interelectricas.com.co/breakers/1251-breaker-abb-riel-monopolar-1x-20-amp-6ka.html" TargetMode="External"/><Relationship Id="rId119" Type="http://schemas.openxmlformats.org/officeDocument/2006/relationships/hyperlink" Target="https://interelectricas.com.co/alambres-y-cables/2258-cable-de-cobre-desnudo-no-2-0-awg-metro.html" TargetMode="External"/><Relationship Id="rId270" Type="http://schemas.openxmlformats.org/officeDocument/2006/relationships/hyperlink" Target="http://www.colombia.generadordeprecios.info/obra_nueva/Urbanizacion_interior_del_terreno/Cerramientos_exteriores/Puertas/Puerta_con_malla_para_valla.html" TargetMode="External"/><Relationship Id="rId326" Type="http://schemas.openxmlformats.org/officeDocument/2006/relationships/hyperlink" Target="https://indelek.com/xlpe-cu-15-kv/cable-xlp-500-mcm-rojo-carrete-100-cobre-15kv-5723.html" TargetMode="External"/><Relationship Id="rId65" Type="http://schemas.openxmlformats.org/officeDocument/2006/relationships/hyperlink" Target="https://interelectricas.com.co/transformadores-en-aceite/2385-transformador-trifasico-en-aceite-de-30-kva-13200-v-208-120-v-plena.html" TargetMode="External"/><Relationship Id="rId130" Type="http://schemas.openxmlformats.org/officeDocument/2006/relationships/hyperlink" Target="https://interelectricas.com.co/productos/3903-grapa-otr-universal-cruz-paralela-punta-alambron-.html" TargetMode="External"/><Relationship Id="rId368" Type="http://schemas.openxmlformats.org/officeDocument/2006/relationships/hyperlink" Target="https://www.homecenter.com.co/homecenter-co/product/10648/union-4-sanitaria/10648/" TargetMode="External"/><Relationship Id="rId172" Type="http://schemas.openxmlformats.org/officeDocument/2006/relationships/hyperlink" Target="https://interelectricas.com.co/tuberia-metalica-y-pvc/911-union-emt-acero-c-h-3-4-pulgadas-ref-461-650406.html" TargetMode="External"/><Relationship Id="rId228" Type="http://schemas.openxmlformats.org/officeDocument/2006/relationships/hyperlink" Target="https://colombia.generadordeprecios.info/obra_nueva/Urbanizacion_interior_del_terreno/Jardineria/Tepes_y_cespedes/Tepe.html" TargetMode="External"/><Relationship Id="rId435" Type="http://schemas.openxmlformats.org/officeDocument/2006/relationships/hyperlink" Target="https://interelectricas.com.co/tuberia-metalica-y-pvc/911-union-emt-acero-c-h-3-4-pulgadas-ref-461-650406.html" TargetMode="External"/><Relationship Id="rId477" Type="http://schemas.openxmlformats.org/officeDocument/2006/relationships/hyperlink" Target="https://agrocolombiasas.com/producto/medidor-agua-1-1-2-rain-r-100/" TargetMode="External"/><Relationship Id="rId281" Type="http://schemas.openxmlformats.org/officeDocument/2006/relationships/hyperlink" Target="file:///C:\Users\Luis%20Gerardo%20L&#243;pez%20M\AppData\Roaming\Microsoft\Excel\RV_%20COTIZACION\RV_%20Baraya-Ehuila-%20ABB_%20Cotizaci&#243;n%20Equipos%20Potencia\OPP-23-6352727%20%20Rev.%2002%20SUMINISTRO%20EQUIPOS%20PATIO.pdf" TargetMode="External"/><Relationship Id="rId337" Type="http://schemas.openxmlformats.org/officeDocument/2006/relationships/hyperlink" Target="https://ineldec.com/producto/cable-350-mcm-kcmil-thhn-thwn-2-cobre/" TargetMode="External"/><Relationship Id="rId34" Type="http://schemas.openxmlformats.org/officeDocument/2006/relationships/hyperlink" Target="https://interelectricas.com.co/tuberia-metalica-y-pvc/972-curva-pvc-de-1-1-4.html" TargetMode="External"/><Relationship Id="rId76" Type="http://schemas.openxmlformats.org/officeDocument/2006/relationships/hyperlink" Target="https://www.ardobot.co/terminal-de-ojo-aislado-rv5-5-6-amarillo.html?srsltid=AfmBOor0CjiPKKqjJKwr9Gcxbe-c7p2yAkRZFeI_QPZUCk_9EEOUMh5M" TargetMode="External"/><Relationship Id="rId141" Type="http://schemas.openxmlformats.org/officeDocument/2006/relationships/hyperlink" Target="https://interelectricas.com.co/cajas-y-tableros/1467-tablero-trifasico-con-puerta-y-espacio-para-totalizador-de-42-circuitos.html" TargetMode="External"/><Relationship Id="rId379" Type="http://schemas.openxmlformats.org/officeDocument/2006/relationships/hyperlink" Target="https://www.homecenter.com.co/homecenter-co/product/84303/varilla-corrugada-g60-w-3-3-8-pulg-x-6m/84303/" TargetMode="External"/><Relationship Id="rId7" Type="http://schemas.openxmlformats.org/officeDocument/2006/relationships/hyperlink" Target="https://interelectricas.com.co/pararrayos/2845-pararrayo-polimerico-36kv-10ka-sin-herraje.html" TargetMode="External"/><Relationship Id="rId183" Type="http://schemas.openxmlformats.org/officeDocument/2006/relationships/hyperlink" Target="https://electroservimos.co/cintas-y-amarres/603-cs23-cinta-aislante-scott-23-caucho-autofundente-91m-alta-tension-3m.html" TargetMode="External"/><Relationship Id="rId239" Type="http://schemas.openxmlformats.org/officeDocument/2006/relationships/hyperlink" Target="https://solotejas.com/producto/caballete-thermoacustic-max/" TargetMode="External"/><Relationship Id="rId390" Type="http://schemas.openxmlformats.org/officeDocument/2006/relationships/hyperlink" Target="https://www.homecenter.com.co/homecenter-co/product/65891/tubo-presion-1-2x6-mts-9-500-psi/65891/" TargetMode="External"/><Relationship Id="rId404" Type="http://schemas.openxmlformats.org/officeDocument/2006/relationships/hyperlink" Target="https://www.helbertycia.com/producto/medidor-de-velocidad-atlantis-chorro-nico-aleacin-en-cobre-r200" TargetMode="External"/><Relationship Id="rId446" Type="http://schemas.openxmlformats.org/officeDocument/2006/relationships/hyperlink" Target="https://ineldec.com/producto/breaker-dc-1x63a-80v/" TargetMode="External"/><Relationship Id="rId250" Type="http://schemas.openxmlformats.org/officeDocument/2006/relationships/hyperlink" Target="http://www.colombia.generadordeprecios.info/obra_nueva/Revestimentos/Suelos_y_pisos/Ceramicos_gres/Guardaescoba_ceramico.html" TargetMode="External"/><Relationship Id="rId292" Type="http://schemas.openxmlformats.org/officeDocument/2006/relationships/hyperlink" Target="https://www.homecenter.com.co/homecenter-co/product/478099/panel-led-cuadrado-60x60-40w-luz-blanca-100-277v/478099/" TargetMode="External"/><Relationship Id="rId306" Type="http://schemas.openxmlformats.org/officeDocument/2006/relationships/hyperlink" Target="https://interelectricas.com.co/tuberia-metalica-y-pvc/905-curva-90deg-galvanizada-imc-de-3-4.html" TargetMode="External"/><Relationship Id="rId45" Type="http://schemas.openxmlformats.org/officeDocument/2006/relationships/hyperlink" Target="https://interelectricas.com.co/tuberia-metalica-y-pvc/2089-coraza-liquid-tight-tipo-americano-2-pulgadas-x-metro-ref-2.html" TargetMode="External"/><Relationship Id="rId87" Type="http://schemas.openxmlformats.org/officeDocument/2006/relationships/hyperlink" Target="https://articulo.mercadolibre.com.co/MCO-2743457860-10-boquillas-de-pvc-de-12-pulgada-macho-a-macho-de-rosca-_JM" TargetMode="External"/><Relationship Id="rId110" Type="http://schemas.openxmlformats.org/officeDocument/2006/relationships/hyperlink" Target="https://interelectricas.com.co/alambres-y-cables/2831-cable-de-cobre-encauchetado-4-x-10-awg-de-metro.html" TargetMode="External"/><Relationship Id="rId348" Type="http://schemas.openxmlformats.org/officeDocument/2006/relationships/hyperlink" Target="https://www.homecenter.com.co/homecenter-co/product/590925/tapa-exterior-intemperie-horizontal-leviton-5980-ucl-con-placas-adaptadoras/590925/" TargetMode="External"/><Relationship Id="rId152" Type="http://schemas.openxmlformats.org/officeDocument/2006/relationships/hyperlink" Target="https://www.homecenter.com.co/homecenter-co/product/22764/soldadura-pvc-1-4gl-946ml/22764/" TargetMode="External"/><Relationship Id="rId194" Type="http://schemas.openxmlformats.org/officeDocument/2006/relationships/hyperlink" Target="https://interelectricas.com.co/tuberia-metalica-y-pvc/2088-coraza-liquid-tight-tipo-americano-1-pulgadas-x-metro.html" TargetMode="External"/><Relationship Id="rId208" Type="http://schemas.openxmlformats.org/officeDocument/2006/relationships/hyperlink" Target="https://electrourquiza.mitiendaonline.com/conjunto-barra-de-cobre/24155-barra-de-cobre-bc40010-400-a-284mm.html" TargetMode="External"/><Relationship Id="rId415" Type="http://schemas.openxmlformats.org/officeDocument/2006/relationships/hyperlink" Target="https://ferreteriajamundi.com/producto/base-sub-base-granular-tipo-invias/" TargetMode="External"/><Relationship Id="rId457" Type="http://schemas.openxmlformats.org/officeDocument/2006/relationships/hyperlink" Target="https://interelectricas.com.co/articulos-electricos/1407-caja-metalica-galvanizada-5800-de-33620ex-cal-20retie.html" TargetMode="External"/><Relationship Id="rId261" Type="http://schemas.openxmlformats.org/officeDocument/2006/relationships/hyperlink" Target="https://colombia.generadordeprecios.info/obra_nueva/Cimentaciones/Superficiales/Zapatas/CSZ015_Zapata_de_cimentacion_de_concreto_s.html" TargetMode="External"/><Relationship Id="rId14" Type="http://schemas.openxmlformats.org/officeDocument/2006/relationships/hyperlink" Target="https://www.homecenter.com.co/homecenter-co/product/73638/varilla-corrugada-g60-w-5-5-8-pulg-x-6m/73638/" TargetMode="External"/><Relationship Id="rId56" Type="http://schemas.openxmlformats.org/officeDocument/2006/relationships/hyperlink" Target="https://selinc.com/es/products/2488/" TargetMode="External"/><Relationship Id="rId317" Type="http://schemas.openxmlformats.org/officeDocument/2006/relationships/hyperlink" Target="https://interelectricas.com.co/cable-de-instrumentacion-control/10532-cable-instrumentacion-4x10-awg-gris-apantallado-con-foil-600v-90-grados-dw-12-awg-chaq-fr-pvc-res-uv-8b0p104109-i2-241116.html" TargetMode="External"/><Relationship Id="rId359" Type="http://schemas.openxmlformats.org/officeDocument/2006/relationships/hyperlink" Target="https://electroservimos.co/proteccion-y-control/1276-placa-metalica-10-x-10cm-pequena-peligro-riesgo-electrico-herrajes.html" TargetMode="External"/><Relationship Id="rId98" Type="http://schemas.openxmlformats.org/officeDocument/2006/relationships/hyperlink" Target="https://interelectricas.com.co/alambres-y-cables/2025-cable-de-cobre-encauchetado-3-x-12-awg-metro.html" TargetMode="External"/><Relationship Id="rId121" Type="http://schemas.openxmlformats.org/officeDocument/2006/relationships/hyperlink" Target="https://interelectricas.com.co/puesta-a-tierra/2198-varilla-cooper-weld-de-14-28mm-x-2-40-de-cobre-macizo.html" TargetMode="External"/><Relationship Id="rId163" Type="http://schemas.openxmlformats.org/officeDocument/2006/relationships/hyperlink" Target="https://interelectricas.com.co/articulos-electricos/392-riel-channel-4x2-x-3-00-mts-troquelado.html" TargetMode="External"/><Relationship Id="rId219" Type="http://schemas.openxmlformats.org/officeDocument/2006/relationships/hyperlink" Target="https://interelectricas.com.co/articulos-electricos/962-prensaestopa-pvc-1-pulg-.html" TargetMode="External"/><Relationship Id="rId370" Type="http://schemas.openxmlformats.org/officeDocument/2006/relationships/hyperlink" Target="https://www.homecenter.com.co/homecenter-co/product/65855/tubo-sanitario-6-x-6-mts/65855/" TargetMode="External"/><Relationship Id="rId426" Type="http://schemas.openxmlformats.org/officeDocument/2006/relationships/hyperlink" Target="https://selinc.com/es/products/351/" TargetMode="External"/><Relationship Id="rId230" Type="http://schemas.openxmlformats.org/officeDocument/2006/relationships/hyperlink" Target="https://nextmedia.com.co/producto/vallas-informativas-de-obra/" TargetMode="External"/><Relationship Id="rId468" Type="http://schemas.openxmlformats.org/officeDocument/2006/relationships/hyperlink" Target="https://www.ffsoluciones.com/products/juego-rejilla-sumidera-en-hierro-fundido" TargetMode="External"/><Relationship Id="rId25" Type="http://schemas.openxmlformats.org/officeDocument/2006/relationships/hyperlink" Target="https://www.comercialvoltex.com/cable-de-aluminio-desnudo-cairo-2358mm2-19h?srsltid=AfmBOorbpMtA8DvXmg-4_AwIQTWnE-S39PGXS-yc9vBb8xDCcfU0Ebna" TargetMode="External"/><Relationship Id="rId67" Type="http://schemas.openxmlformats.org/officeDocument/2006/relationships/hyperlink" Target="https://interelectricas.com.co/cortacircuitos/8999-cortacircuito-expulsion-345-kv-100a-38kv-aplica-tipo-costa.html" TargetMode="External"/><Relationship Id="rId272" Type="http://schemas.openxmlformats.org/officeDocument/2006/relationships/hyperlink" Target="https://colombia.generadordeprecios.info/obra_nueva/calculaprecio.asp?Valor=2|0_1|1|UVT010|uvt_010:_0_0_0_0_0_0_0_0" TargetMode="External"/><Relationship Id="rId328" Type="http://schemas.openxmlformats.org/officeDocument/2006/relationships/hyperlink" Target="https://autosolar.co/accesorios/medidor-bidireccional-elster-a1800?srsltid=AfmBOooDyoZ8fuMQZLwNErLrcR0phKpWED1SeYthFv3BnYjQ0ZN-_SK3" TargetMode="External"/><Relationship Id="rId132" Type="http://schemas.openxmlformats.org/officeDocument/2006/relationships/hyperlink" Target="https://interelectricas.com.co/apantallamiento-proteccion-contra-rayos/5223-base-metalica-obo-para-punta-captadora.html" TargetMode="External"/><Relationship Id="rId174" Type="http://schemas.openxmlformats.org/officeDocument/2006/relationships/hyperlink" Target="https://interelectricas.com.co/tuberia-metalica-y-pvc/951-grapa-metalica-aleta-doble-3-4-pulg-.html" TargetMode="External"/><Relationship Id="rId381" Type="http://schemas.openxmlformats.org/officeDocument/2006/relationships/hyperlink" Target="https://www.homecenter.com.co/homecenter-co/product/10636/tee-4-sanitaria/10636/" TargetMode="External"/><Relationship Id="rId241" Type="http://schemas.openxmlformats.org/officeDocument/2006/relationships/hyperlink" Target="https://www.homecenter.com.co/homecenter-co/product/886936/cabina-rectangular-120x90x205cm-negra/886936/" TargetMode="External"/><Relationship Id="rId437" Type="http://schemas.openxmlformats.org/officeDocument/2006/relationships/hyperlink" Target="https://brisaire.com/producto/evaporador-pared-de-18-000-btu-h-marca-samsung-a-220v-fjm?srsltid=AfmBOopJ_l1hZ-Ztrfrpo5soJCkQuwttIXUWg5RQ4wQR62LNvX-EyVlw" TargetMode="External"/><Relationship Id="rId479" Type="http://schemas.openxmlformats.org/officeDocument/2006/relationships/hyperlink" Target="https://centroferreteromafer.com/producto/cheque-cortina-1-1-2/" TargetMode="External"/><Relationship Id="rId36" Type="http://schemas.openxmlformats.org/officeDocument/2006/relationships/hyperlink" Target="https://interelectricas.com.co/tuberia-metalica-y-pvc/2326-tubo-metalico-imc-de-3-4-pulgadas-x-3-mts-con-union.html" TargetMode="External"/><Relationship Id="rId283" Type="http://schemas.openxmlformats.org/officeDocument/2006/relationships/hyperlink" Target="file:///C:\Users\Luis%20Gerardo%20L&#243;pez%20M\AppData\Roaming\Microsoft\Excel\RV_%20COTIZACION\RV_%20Baraya-Ehuila-%20ABB_%20Cotizaci&#243;n%20Equipos%20Potencia\OPP-23-6352727%20%20Rev.%2002%20SUMINISTRO%20EQUIPOS%20PATIO.pdf" TargetMode="External"/><Relationship Id="rId339" Type="http://schemas.openxmlformats.org/officeDocument/2006/relationships/hyperlink" Target="https://www.soelcon.com/producto/barra-platina-cobre-3x15-mm-x-5700-mm-219kg/" TargetMode="External"/><Relationship Id="rId78" Type="http://schemas.openxmlformats.org/officeDocument/2006/relationships/hyperlink" Target="https://laumayer.com.ec/wp-content/uploads/2023/08/lista-de-precios-completa-laucol-ecuador-3.pdf" TargetMode="External"/><Relationship Id="rId101" Type="http://schemas.openxmlformats.org/officeDocument/2006/relationships/hyperlink" Target="https://interelectricas.com.co/luminaria-led-hermetica/5950-luminaria-led-sylvania-hermetica-50w-luz-dia-5300lm-6500k-luz-dia-para-ambientes-industriales-ref-p24359-36.html" TargetMode="External"/><Relationship Id="rId143" Type="http://schemas.openxmlformats.org/officeDocument/2006/relationships/hyperlink" Target="https://interelectricas.com.co/articulos-electricos/4427-terminal-pin-para-cable-control-cal-14-awg-azul.html" TargetMode="External"/><Relationship Id="rId185" Type="http://schemas.openxmlformats.org/officeDocument/2006/relationships/hyperlink" Target="https://interelectricas.com.co/productos/3834-fotocelda-para-luminaria-azul-ip65-120-277vac-nc-fail-on-standard-life-380j-pce-3nc32a.html" TargetMode="External"/><Relationship Id="rId350" Type="http://schemas.openxmlformats.org/officeDocument/2006/relationships/hyperlink" Target="https://distribuidorajdor.com.co/producto/terminales-premoldeadas-para-35-kv-uso-exterior-para-calibres-de-cable-entre-350-500/" TargetMode="External"/><Relationship Id="rId406" Type="http://schemas.openxmlformats.org/officeDocument/2006/relationships/hyperlink" Target="https://www.homecenter.com.co/homecenter-co/product/240058/niple-1-2-roscado-presion/240058/" TargetMode="External"/><Relationship Id="rId9" Type="http://schemas.openxmlformats.org/officeDocument/2006/relationships/hyperlink" Target="https://interelectricas.com.co/grapa-retencion/2885-grapa-retencion-aluminio-tipo-pistola-1-0-266-awg-3-ues.html" TargetMode="External"/><Relationship Id="rId210" Type="http://schemas.openxmlformats.org/officeDocument/2006/relationships/hyperlink" Target="https://interelectricas.com.co/articulos-electricos/1097-borna-de-ponchar-estanada-no-1-0-cobre-barril-largo-marca-ied.html" TargetMode="External"/><Relationship Id="rId392" Type="http://schemas.openxmlformats.org/officeDocument/2006/relationships/hyperlink" Target="https://www.homecenter.com.co/homecenter-co/product/04727/tee-1-2-presion/04727/" TargetMode="External"/><Relationship Id="rId448" Type="http://schemas.openxmlformats.org/officeDocument/2006/relationships/hyperlink" Target="https://almacenpanamericano.com.co/product/breaker-regulable-caja-moldeada-40ka-240v-easypact-cv-schneider/" TargetMode="External"/><Relationship Id="rId252" Type="http://schemas.openxmlformats.org/officeDocument/2006/relationships/hyperlink" Target="https://www.homecenter.com.co/homecenter-co/product/241303/pintura-epoxica-gris-1-galon/241303/" TargetMode="External"/><Relationship Id="rId294" Type="http://schemas.openxmlformats.org/officeDocument/2006/relationships/hyperlink" Target="https://interelectricas.com.co/iluminacion/159-luminaria-led-sylvania-emergencia-2-x-16-w-120-277-r1-ref-p23342.html" TargetMode="External"/><Relationship Id="rId308" Type="http://schemas.openxmlformats.org/officeDocument/2006/relationships/hyperlink" Target="https://interelectricas.com.co/lista/LISTA_PRECIOS_PROCABLES.pdf" TargetMode="External"/><Relationship Id="rId47" Type="http://schemas.openxmlformats.org/officeDocument/2006/relationships/hyperlink" Target="https://interelectricas.com.co/tuberia-metalica-y-pvc/2346-tubo-ducto-pvc-db-de-2-x-6-mts.html" TargetMode="External"/><Relationship Id="rId89" Type="http://schemas.openxmlformats.org/officeDocument/2006/relationships/hyperlink" Target="https://www.prepeniel.com/bloque-de-concreto-ct-14" TargetMode="External"/><Relationship Id="rId112" Type="http://schemas.openxmlformats.org/officeDocument/2006/relationships/hyperlink" Target="https://interelectricas.com.co/articulos-electricos/1868-toma-doble-ciles-20amp-gfci-blanca-con-tapa.html" TargetMode="External"/><Relationship Id="rId154" Type="http://schemas.openxmlformats.org/officeDocument/2006/relationships/hyperlink" Target="https://comem.com.co/producto/conduleta-bt-roscada-tipo-t-3-4-en-aluminio-inyectado" TargetMode="External"/><Relationship Id="rId361" Type="http://schemas.openxmlformats.org/officeDocument/2006/relationships/hyperlink" Target="https://www.homecenter.com.co/homecenter-co/product/02248/alambre-negro-50k-aprox-cal18/02248/" TargetMode="External"/><Relationship Id="rId196" Type="http://schemas.openxmlformats.org/officeDocument/2006/relationships/hyperlink" Target="https://edelco.co/producto/conduleta-c-1-rosca/?srsltid=AfmBOooz1qWrU-PcMD6_5pvcOWvfJJYFaGaMGMlhK8MjD5VaYK6ye6vH" TargetMode="External"/><Relationship Id="rId417" Type="http://schemas.openxmlformats.org/officeDocument/2006/relationships/hyperlink" Target="https://mitiendacoval.com/cerramiento-/tubo-acero-negro-c40-de-6?srsltid=AfmBOop2GQLOsDZpZXPjVml-9_fAYPffBM9yN3aFJGdd7CqBhabIMvDY" TargetMode="External"/><Relationship Id="rId459" Type="http://schemas.openxmlformats.org/officeDocument/2006/relationships/hyperlink" Target="https://www.homecenter.com.co/homecenter-co/product/353732/caja-aluminio-5800-rectangular-4-salidas-de-1-2-pulg-x-20-unds/353732/" TargetMode="External"/><Relationship Id="rId16" Type="http://schemas.openxmlformats.org/officeDocument/2006/relationships/hyperlink" Target="https://energiaputumayo.com/testimonial/solicitud-publica-de-oferta-no-002-2024/" TargetMode="External"/><Relationship Id="rId221" Type="http://schemas.openxmlformats.org/officeDocument/2006/relationships/hyperlink" Target="https://interelectricas.com.co/tuberia-metalica-y-pvc/1843-capacete-roscado-en-aluminio-para-tuberia-imc-de-1.html" TargetMode="External"/><Relationship Id="rId263" Type="http://schemas.openxmlformats.org/officeDocument/2006/relationships/hyperlink" Target="https://interelectricas.com.co/aisladores/2970-aislador-suspension-10-ansi-52-4-ansi-52-4.html" TargetMode="External"/><Relationship Id="rId319" Type="http://schemas.openxmlformats.org/officeDocument/2006/relationships/hyperlink" Target="https://interelectricas.com.co/tuberia-metalica-y-pvc/2089-coraza-liquid-tight-tipo-americano-2-pulgadas-x-metro-ref-2.html" TargetMode="External"/><Relationship Id="rId470" Type="http://schemas.openxmlformats.org/officeDocument/2006/relationships/hyperlink" Target="https://www.homecenter.com.co/homecenter-co/product/459060/tuberia-de-drenaje-de-4-pulgadas-drainpipe-x-10-metros/459060/" TargetMode="External"/><Relationship Id="rId58" Type="http://schemas.openxmlformats.org/officeDocument/2006/relationships/hyperlink" Target="https://selinc.com/products/3622/" TargetMode="External"/><Relationship Id="rId123" Type="http://schemas.openxmlformats.org/officeDocument/2006/relationships/hyperlink" Target="https://electroservimos.co/inicio/4381-mx5840-molde-grafito-soldadura-exotermica-en-x-cable-40-awg-sin-pinza-grounding.html" TargetMode="External"/><Relationship Id="rId330" Type="http://schemas.openxmlformats.org/officeDocument/2006/relationships/hyperlink" Target="https://interelectricas.com.co/tuberia-metalica-y-pvc/2654-tubo-metalico-rigid-galvanizado-de-6-x-3mts-ref-cr60003000grc.html" TargetMode="External"/><Relationship Id="rId165" Type="http://schemas.openxmlformats.org/officeDocument/2006/relationships/hyperlink" Target="https://interelectricas.com.co/alambres-y-cables/1388-cable-de-cobre-aislado-thhn-no-10-metro-color-rojo.html" TargetMode="External"/><Relationship Id="rId372" Type="http://schemas.openxmlformats.org/officeDocument/2006/relationships/hyperlink" Target="https://www.homecenter.com.co/homecenter-co/product/240081/union-8-sanitaria/240081/" TargetMode="External"/><Relationship Id="rId428" Type="http://schemas.openxmlformats.org/officeDocument/2006/relationships/hyperlink" Target="https://www.improinde.com/product-page/bateria-de-gel-12v-200ah-ciclo-profundo-newmax-812000" TargetMode="External"/><Relationship Id="rId232" Type="http://schemas.openxmlformats.org/officeDocument/2006/relationships/hyperlink" Target="http://emsercota.gov.co/contratacion/2021/CONTRATOS/%20CONTRATO_126_2021_AL_CONSULTORES_SAS20220124_15214392.pdf" TargetMode="External"/><Relationship Id="rId274" Type="http://schemas.openxmlformats.org/officeDocument/2006/relationships/hyperlink" Target="http://www.colombia.generadordeprecios.info/obra_nueva/Fachadas/Mamposterias_estructurales/Hoja_exterior_cara_vista/FFX010_Hoja_exterior_de_fachada__de_mampos.html" TargetMode="External"/><Relationship Id="rId481" Type="http://schemas.openxmlformats.org/officeDocument/2006/relationships/hyperlink" Target="https://www.homecenter.com.co/homecenter-co/product/37488/adaptador-hembra-11-2-presion/37488/" TargetMode="External"/><Relationship Id="rId27" Type="http://schemas.openxmlformats.org/officeDocument/2006/relationships/hyperlink" Target="https://energiaputumayo.com/testimonial/solicitud-publica-de-oferta-no-002-2024/" TargetMode="External"/><Relationship Id="rId69" Type="http://schemas.openxmlformats.org/officeDocument/2006/relationships/hyperlink" Target="https://interelectricas.com.co/tuberia-metalica-y-pvc/2087-coraza-liquid-tight-tipo-americano-3-4-pulgadas-x-metro.html" TargetMode="External"/><Relationship Id="rId134" Type="http://schemas.openxmlformats.org/officeDocument/2006/relationships/hyperlink" Target="https://interelectricas.com.co/alambres-y-cables/1994-cable-de-cobre-aislado-no-1-0-awg-metro-thhn-color-negro.html" TargetMode="External"/><Relationship Id="rId80" Type="http://schemas.openxmlformats.org/officeDocument/2006/relationships/hyperlink" Target="https://interelectricas.com.co/productos/3825-poste-metalico-conico-8-metros-para-alumbrado-publico.html" TargetMode="External"/><Relationship Id="rId176" Type="http://schemas.openxmlformats.org/officeDocument/2006/relationships/hyperlink" Target="https://www.compelelectronica.com/product/conector-tipo-resorte-vcp-vtcr-2/" TargetMode="External"/><Relationship Id="rId341" Type="http://schemas.openxmlformats.org/officeDocument/2006/relationships/hyperlink" Target="https://interelectricas.com.co/herrajes-electricos/30-perno-maquina-de-1-2-x-2.html" TargetMode="External"/><Relationship Id="rId383" Type="http://schemas.openxmlformats.org/officeDocument/2006/relationships/hyperlink" Target="http://www.colombia.generadordeprecios.info/obra_nueva/calculaprecio.asp?Valor=55|0_0_0_0|1|UAA010|uaa_010:_0_0_0_1_0_0_1_0_0" TargetMode="External"/><Relationship Id="rId439" Type="http://schemas.openxmlformats.org/officeDocument/2006/relationships/hyperlink" Target="https://almacenpanamericano.com.co/product/breaker-regulable-caja-moldeada-40ka-240v-easypact-cv-schneider/" TargetMode="External"/><Relationship Id="rId201" Type="http://schemas.openxmlformats.org/officeDocument/2006/relationships/hyperlink" Target="https://interelectricas.com.co/tuberia-metalica-y-pvc/1873-adaptador-terminal-pvc-de-3-4.html" TargetMode="External"/><Relationship Id="rId243" Type="http://schemas.openxmlformats.org/officeDocument/2006/relationships/hyperlink" Target="https://www.homecenter.com.co/homecenter-co/product/592952/remache-hierro-c-plana-36x69-5u/592952/" TargetMode="External"/><Relationship Id="rId285" Type="http://schemas.openxmlformats.org/officeDocument/2006/relationships/hyperlink" Target="https://interelectricas.com.co/lista/LISTA_PRECIOS_CL_INGENIERIA.pdf?__cf_chl_tk=zP6d1uC1CL3yA.cbhUVzZlb7FXa21VeeR_R5.JpYQ_4-1739292848-1.0.1.1-idh.FequtBahebQ5CvGqcSdKr.tgn87y7zLncKpo0AI" TargetMode="External"/><Relationship Id="rId450" Type="http://schemas.openxmlformats.org/officeDocument/2006/relationships/hyperlink" Target="https://interelectricas.com.co/tuberia-metalica-y-pvc/2185-tubo-metalico-emt-de-11-2-pulgadas-x-3-mts.html" TargetMode="External"/><Relationship Id="rId38" Type="http://schemas.openxmlformats.org/officeDocument/2006/relationships/hyperlink" Target="https://interelectricas.com.co/tuberia-metalica-y-pvc/967-curva-pvc-de-3-4.html" TargetMode="External"/><Relationship Id="rId103" Type="http://schemas.openxmlformats.org/officeDocument/2006/relationships/hyperlink" Target="https://interelectricas.com.co/articulos-electricos/743-conector-3m-resorte-calibre-18-8-awg-rojo-amarillo.html" TargetMode="External"/><Relationship Id="rId310" Type="http://schemas.openxmlformats.org/officeDocument/2006/relationships/hyperlink" Target="https://vitelenergia.com/es/int-aut-3x80-100a-50ka-td100n-fmu.html" TargetMode="External"/><Relationship Id="rId91" Type="http://schemas.openxmlformats.org/officeDocument/2006/relationships/hyperlink" Target="https://gyj.com.co/bogota_65/barra-corrugada-bogota-65-acero-construccion.html" TargetMode="External"/><Relationship Id="rId145" Type="http://schemas.openxmlformats.org/officeDocument/2006/relationships/hyperlink" Target="https://interelectricas.com.co/herrajes-electricos/2205-varilla-roscada-3-8-pulgadas-x-3-mts-zincada.html" TargetMode="External"/><Relationship Id="rId187" Type="http://schemas.openxmlformats.org/officeDocument/2006/relationships/hyperlink" Target="https://interelectricas.com.co/alambres-y-cables/2027-cable-de-cobre-encauchetado-3-x-14-awg-metro.html" TargetMode="External"/><Relationship Id="rId352" Type="http://schemas.openxmlformats.org/officeDocument/2006/relationships/hyperlink" Target="https://fyeel.com.co/productos/994-terminales-premoldeadas-para-15-kv-uso-exterior-para-calibres-de-cable-entre-250-500-juego-x-3-unidades.html" TargetMode="External"/><Relationship Id="rId394" Type="http://schemas.openxmlformats.org/officeDocument/2006/relationships/hyperlink" Target="https://www.homecenter.com.co/homecenter-co/product/886936/cabina-rectangular-120x90x205cm-negra/886936/" TargetMode="External"/><Relationship Id="rId408" Type="http://schemas.openxmlformats.org/officeDocument/2006/relationships/hyperlink" Target="https://www.homecenter.com.co/homecenter-co/product/135322/cinta-teflon-ptfe-basica-3-4-pulgada-x-50-mts/135322/" TargetMode="External"/><Relationship Id="rId212" Type="http://schemas.openxmlformats.org/officeDocument/2006/relationships/hyperlink" Target="https://interelectricas.com.co/tuberia-metalica-y-pvc/844-boquilla-de-1-pulg-tuerca-contratuerca.html" TargetMode="External"/><Relationship Id="rId254" Type="http://schemas.openxmlformats.org/officeDocument/2006/relationships/hyperlink" Target="http://www.colombia.generadordeprecios.info/obra_nueva/Revestimentos/Suelos_y_pisos/Contrapisos_y_grandes_recrecidos/Contrapiso_de_concreto_liviano.html" TargetMode="External"/><Relationship Id="rId49" Type="http://schemas.openxmlformats.org/officeDocument/2006/relationships/hyperlink" Target="https://interelectricas.com.co/herrajes-electricos/1740-conector-coraza-liquid-tight-recto-2-pulg-.html" TargetMode="External"/><Relationship Id="rId114" Type="http://schemas.openxmlformats.org/officeDocument/2006/relationships/hyperlink" Target="https://interelectricas.com.co/tuberia-metalica-y-pvc/919-curva-90deg-emt-de-1-2.html" TargetMode="External"/><Relationship Id="rId296" Type="http://schemas.openxmlformats.org/officeDocument/2006/relationships/hyperlink" Target="https://interelectricas.com.co/articulos-electricos/135-ultra-interruptor-sencillo-conmutable-blanco.html" TargetMode="External"/><Relationship Id="rId461" Type="http://schemas.openxmlformats.org/officeDocument/2006/relationships/hyperlink" Target="https://www.homecenter.com.co/homecenter-co/product/24405/tubo-cerramiento-galvanizado-2-x-15mm-x-6m-z180/24405/" TargetMode="External"/><Relationship Id="rId60" Type="http://schemas.openxmlformats.org/officeDocument/2006/relationships/hyperlink" Target="https://energiaputumayo.com/testimonial/solicitud-publica-de-oferta-no-002-2024/" TargetMode="External"/><Relationship Id="rId156" Type="http://schemas.openxmlformats.org/officeDocument/2006/relationships/hyperlink" Target="https://electroservimos.co/accesorios-canalizacion/545-c7r11-conduleta-34-recta-rosca-imc-cooper-crouse-hinds.html" TargetMode="External"/><Relationship Id="rId198" Type="http://schemas.openxmlformats.org/officeDocument/2006/relationships/hyperlink" Target="https://interelectricas.com.co/tuberia-metalica-y-pvc/895-terminal-emt-acero-c-h-1-2-pulg-.html" TargetMode="External"/><Relationship Id="rId321" Type="http://schemas.openxmlformats.org/officeDocument/2006/relationships/hyperlink" Target="https://interelectricas.com.co/tuberia-metalica-y-pvc/959-curva-pvc-de-2.html" TargetMode="External"/><Relationship Id="rId363" Type="http://schemas.openxmlformats.org/officeDocument/2006/relationships/hyperlink" Target="http://www.colombia.generadordeprecios.info/obra_nueva/Fachadas/Mamposterias_estructurales/Hoja_exterior_cara_vista/FFX010_Hoja_exterior_de_fachada__de_mampos.html" TargetMode="External"/><Relationship Id="rId419" Type="http://schemas.openxmlformats.org/officeDocument/2006/relationships/hyperlink" Target="https://acuatubos.com.co/valvulas/231-valvula-aqt-compuerta-elastica-br-6.html" TargetMode="External"/><Relationship Id="rId223" Type="http://schemas.openxmlformats.org/officeDocument/2006/relationships/hyperlink" Target="https://interelectricas.com.co/alambres-y-cables/2478-cable-de-cobre-aislado-no-8-awg-metro-thhn-color-negro.html" TargetMode="External"/><Relationship Id="rId430" Type="http://schemas.openxmlformats.org/officeDocument/2006/relationships/hyperlink" Target="https://interelectricas.com.co/tuberia-metalica-y-pvc/966-curva-pvc-de-1-2.html" TargetMode="External"/><Relationship Id="rId18" Type="http://schemas.openxmlformats.org/officeDocument/2006/relationships/hyperlink" Target="https://energiaputumayo.com/testimonial/solicitud-publica-de-oferta-no-002-2024/" TargetMode="External"/><Relationship Id="rId265" Type="http://schemas.openxmlformats.org/officeDocument/2006/relationships/hyperlink" Target="https://colombia.generadordeprecios.info/obra_nueva/calculaprecio.asp?Valor=25|0|3|EHV010|ehv_015%20viga:_0_0_0_5|hor_p_estruc%20viga:c14_0_1c3_0_5|ehv_cuan%20viga:_149000|acero%20viga:_0_0_0_0_0_0_0_3|hor_separadores%20vigas:_0_0_0_0_0_0_3_0|enc_ehv_011%20viga:c4_0_1c3_0_10_0_100_0_30_100c4_0_10" TargetMode="External"/><Relationship Id="rId472" Type="http://schemas.openxmlformats.org/officeDocument/2006/relationships/hyperlink" Target="https://www.homecenter.com.co/homecenter-co/product/04600/codo-90-x-11-2-presion/04600/" TargetMode="External"/><Relationship Id="rId125" Type="http://schemas.openxmlformats.org/officeDocument/2006/relationships/hyperlink" Target="https://interelectricas.com.co/puesta-a-tierra/2158-soldadura-exotermica-grounding-200-gramos.html" TargetMode="External"/><Relationship Id="rId167" Type="http://schemas.openxmlformats.org/officeDocument/2006/relationships/hyperlink" Target="https://interelectricas.com.co/tuberia-metalica-y-pvc/2364-tubo-pvc-conduit-de-1-x-3-mts.html" TargetMode="External"/><Relationship Id="rId332" Type="http://schemas.openxmlformats.org/officeDocument/2006/relationships/hyperlink" Target="https://interelectricas.com.co/tuberia-metalica-y-pvc/2127-curva-pvc-de-6-pulgadas-db.html" TargetMode="External"/><Relationship Id="rId374" Type="http://schemas.openxmlformats.org/officeDocument/2006/relationships/hyperlink" Target="https://www.homecenter.com.co/homecenter-co/product/240070/tubo-8x6m-sanitaria/240070/" TargetMode="External"/><Relationship Id="rId71" Type="http://schemas.openxmlformats.org/officeDocument/2006/relationships/hyperlink" Target="https://articulo.mercadolibre.com.co/MCO-620499539-sika-boom-m-espuma-expansiva-de-poliuretano-500ml-_JM" TargetMode="External"/><Relationship Id="rId234" Type="http://schemas.openxmlformats.org/officeDocument/2006/relationships/hyperlink" Target="http://www.colombia.generadordeprecios.info/obra_nueva/Revestimentos/Suelos_y_pisos/Ceramicos_gres/RSG010_Piso_de_baldosas_ceramicas_colocada.html" TargetMode="External"/><Relationship Id="rId2" Type="http://schemas.openxmlformats.org/officeDocument/2006/relationships/hyperlink" Target="https://selinc.com/es/products/351/" TargetMode="External"/><Relationship Id="rId29" Type="http://schemas.openxmlformats.org/officeDocument/2006/relationships/hyperlink" Target="https://interelectricas.com.co/lista/LISTA_PRECIOS_CL_INGENIERIA.pdf?__cf_chl_tk=zP6d1uC1CL3yA.cbhUVzZlb7FXa21VeeR_R5.JpYQ_4-1739292848-1.0.1.1-idh.FequtBahebQ5CvGqcSdKr.tgn87y7zLncKpo0AI" TargetMode="External"/><Relationship Id="rId276" Type="http://schemas.openxmlformats.org/officeDocument/2006/relationships/hyperlink" Target="https://colombia.generadordeprecios.info/obra_nueva/calculaprecio.asp?Valor=0|1_0_0_0_0|5|EHS010|ehs_altplant%20rectangular:c14_0_25_0_0_100c4_0_10c3_0|hor_p_estruc%20pilar:c14_0_1c3_0_5|ehs_cuan:_119000|acero%20pilar:_0_0_0_0_0_0_0_3|hor_separadores%20soportes:_0_0_0_0_0_0_11_0" TargetMode="External"/><Relationship Id="rId441" Type="http://schemas.openxmlformats.org/officeDocument/2006/relationships/hyperlink" Target="https://almacenpanamericano.com.co/product/breaker-regulable-caja-moldeada-40ka-240v-easypact-cv-schneider/" TargetMode="External"/><Relationship Id="rId483" Type="http://schemas.openxmlformats.org/officeDocument/2006/relationships/hyperlink" Target="https://www.homecenter.com.co/homecenter-co/product/90444/clavo-acero-concreto-2-500-g/90444/" TargetMode="External"/><Relationship Id="rId40" Type="http://schemas.openxmlformats.org/officeDocument/2006/relationships/hyperlink" Target="https://interelectricas.com.co/conector-coraza/68-conector-coraza-liquid-tight-recto-3-4-pulg-hierro-a-prueba.html" TargetMode="External"/><Relationship Id="rId136" Type="http://schemas.openxmlformats.org/officeDocument/2006/relationships/hyperlink" Target="https://interelectricas.com.co/breakers-industriales/2590-breaker-industrial-abb-formula-15a-capacidad-de-ruptura-25ka-a1b-ref-1sda066697r1.html" TargetMode="External"/><Relationship Id="rId178" Type="http://schemas.openxmlformats.org/officeDocument/2006/relationships/hyperlink" Target="https://interelectricas.com.co/articulos-electricos/92-toma-leviton-doble-15amp-con-polo-blanca.html" TargetMode="External"/><Relationship Id="rId301" Type="http://schemas.openxmlformats.org/officeDocument/2006/relationships/hyperlink" Target="https://interelectricas.com.co/breakers/1303-breaker-industrial-200-amp-capacidad-de-ruptura-50-ka-fijo-formula-a2c-1sda066778r1.html" TargetMode="External"/><Relationship Id="rId343" Type="http://schemas.openxmlformats.org/officeDocument/2006/relationships/hyperlink" Target="https://interelectricas.com.co/tuberia-metalica-y-pvc/1874-adaptador-terminal-pvc-de-6-tipo-campana.html" TargetMode="External"/><Relationship Id="rId82" Type="http://schemas.openxmlformats.org/officeDocument/2006/relationships/hyperlink" Target="https://interelectricas.com.co/alambres-y-cables/2029-cable-de-cobre-encauchetado-3-x-16-awg-metro.html" TargetMode="External"/><Relationship Id="rId203" Type="http://schemas.openxmlformats.org/officeDocument/2006/relationships/hyperlink" Target="https://electroservimos.co/placas-y-tapas/2713-pllvi2t-placa-caja-intemperie-transparente-toma-doble-gfci-horiz-leviton-decora.html" TargetMode="External"/><Relationship Id="rId385" Type="http://schemas.openxmlformats.org/officeDocument/2006/relationships/hyperlink" Target="https://www.pvcdelcaribe.com/collections/sifones/products/p11629" TargetMode="External"/><Relationship Id="rId245" Type="http://schemas.openxmlformats.org/officeDocument/2006/relationships/hyperlink" Target="https://www.homecenter.com.co/homecenter-co/product/13846/cemento-argos-gris-50kg/13846/" TargetMode="External"/><Relationship Id="rId287" Type="http://schemas.openxmlformats.org/officeDocument/2006/relationships/hyperlink" Target="https://interelectricas.com.co/tuberia-metalica-y-pvc/2184-tubo-metalico-emt-de-1-pulgadas-x-3-mts.html" TargetMode="External"/><Relationship Id="rId410" Type="http://schemas.openxmlformats.org/officeDocument/2006/relationships/hyperlink" Target="https://www.homecenter.com.co/homecenter-co/product/459067/tuberia-de-drenaje-6-pulgadas-drainpipe-x-50-metros/459067/" TargetMode="External"/><Relationship Id="rId452" Type="http://schemas.openxmlformats.org/officeDocument/2006/relationships/hyperlink" Target="https://interelectricas.com.co/tuberia-metalica-y-pvc/918-curva-90deg-emt-de-1-1-2.html" TargetMode="External"/><Relationship Id="rId105" Type="http://schemas.openxmlformats.org/officeDocument/2006/relationships/hyperlink" Target="https://interelectricas.com.co/iluminacion/161-luminaria-led-sylvania-emergencia-aplique-4w-rectangular-6000.html" TargetMode="External"/><Relationship Id="rId147" Type="http://schemas.openxmlformats.org/officeDocument/2006/relationships/hyperlink" Target="https://interelectricas.com.co/alambres-y-cables/2255-cable-de-cobre-desnudo-no-8-awg-metro.html" TargetMode="External"/><Relationship Id="rId312" Type="http://schemas.openxmlformats.org/officeDocument/2006/relationships/hyperlink" Target="https://articulo.mercadolibre.com.co/MCO-2899516240-ventilador-de-escape-a-prueba-de-explosiones-10-pulgadas-_JM" TargetMode="External"/><Relationship Id="rId354" Type="http://schemas.openxmlformats.org/officeDocument/2006/relationships/hyperlink" Target="https://interelectricas.com.co/bornas-de-ponchar/1141-borna-ied-ponchar-cu-rojo-doble-hueco-n-2-0.html" TargetMode="External"/><Relationship Id="rId51" Type="http://schemas.openxmlformats.org/officeDocument/2006/relationships/hyperlink" Target="https://sucomputo.com/producto/ups-interactiva-micronet-3000va/" TargetMode="External"/><Relationship Id="rId93" Type="http://schemas.openxmlformats.org/officeDocument/2006/relationships/hyperlink" Target="https://www.google.com.co/search?q=An%C3%A1lisis+Unitarios+de+Referencia+Gobernaci%C3%B3n+de+Risaralda+precio&amp;sca_esv=fe22a64d7c0cbfa7&amp;biw=1920&amp;bih=919&amp;sxsrf=AHTn8zoLPU3Rwip96AvoA1D9E1YgHh0IRg%3A1739542526504&amp;ei=_k-vZ720HsKYwbkPyMzY0As&amp;ved=0ahUKEwi9q_TyrMOLAxVCTDABHUgmFroQ4dUDCBI&amp;uact=5&amp;oq=An%C3%A1lisis+Unitarios+de+Referencia+Gobernaci%C3%B3n+de+Risaralda+precio&amp;gs_lp=Egxnd3Mtd2l6LXNlcnAiQkFuw6FsaXNpcyBVbml0YXJpb3MgZGUgUmVmZXJlbmNpYSBHb2Jlcm5hY2nDs24gZGUgUmlzYXJhbGRhIHByZWNpb0iPC1AAWABwAHgBkAEAmAGeAaABngGqAQMwLjG4AQPIAQD4AQL4AQGYAgCgAgCYAwCSBwCgB34&amp;sclient=gws-wiz-serp" TargetMode="External"/><Relationship Id="rId189" Type="http://schemas.openxmlformats.org/officeDocument/2006/relationships/hyperlink" Target="https://www.gruponavcar.com/cable-guaya-en-acero-galvanizado-de-18-31mm-yute-6x7-x-250-metros/p?srsltid=AfmBOookhAfM4KAG0ghCVvlYH4x0wQ-IN2tsmgRSFDmXUPCewmL4t2vg" TargetMode="External"/><Relationship Id="rId396" Type="http://schemas.openxmlformats.org/officeDocument/2006/relationships/hyperlink" Target="https://ferredakota.com/shop/product/1010-poceta-lavatrapero-granito-40x40x25-1599?search=POCETA" TargetMode="External"/><Relationship Id="rId214" Type="http://schemas.openxmlformats.org/officeDocument/2006/relationships/hyperlink" Target="https://interelectricas.com.co/tuberia-metalica-y-pvc/850-boquilla-de-1-2-pulg-tuerca-contratuerca.html" TargetMode="External"/><Relationship Id="rId256" Type="http://schemas.openxmlformats.org/officeDocument/2006/relationships/hyperlink" Target="https://colombia.generadordeprecios.info/obra_nueva/Cimentaciones/Superficiales/Zapatas/CSZ015_Zapata_de_cimentacion_de_concreto_s.html" TargetMode="External"/><Relationship Id="rId298" Type="http://schemas.openxmlformats.org/officeDocument/2006/relationships/hyperlink" Target="https://www.qccolombia.com/shop/a5uw48gfa1-aire-acondicionado-unidad-condensadora-multi-flexible-inverter-lg-48-000-btu-h-220v-19341?srsltid=AfmBOorIcc00X9PfFBDRbN0_7yN8XgGOzL_R6A636LkImk5RecvfVzbw" TargetMode="External"/><Relationship Id="rId421" Type="http://schemas.openxmlformats.org/officeDocument/2006/relationships/hyperlink" Target="https://selinc.com/es/products/351/" TargetMode="External"/><Relationship Id="rId463" Type="http://schemas.openxmlformats.org/officeDocument/2006/relationships/hyperlink" Target="https://carrieles.com.co/riel-tren/" TargetMode="External"/><Relationship Id="rId116" Type="http://schemas.openxmlformats.org/officeDocument/2006/relationships/hyperlink" Target="https://interelectricas.com.co/articulos-electricos/1127-borna-no-4-0-awg-de-ponchar-estanada-barril-largo.html" TargetMode="External"/><Relationship Id="rId137" Type="http://schemas.openxmlformats.org/officeDocument/2006/relationships/hyperlink" Target="https://interelectricas.com.co/breakers/1230-breaker-industrial-abb-formula-20a-capacidad-de-ruptura-25-ka-a1b.html" TargetMode="External"/><Relationship Id="rId158" Type="http://schemas.openxmlformats.org/officeDocument/2006/relationships/hyperlink" Target="https://disuctronicos.com/index.php/producto/patch-panel-cat-6-16-puertos/" TargetMode="External"/><Relationship Id="rId302" Type="http://schemas.openxmlformats.org/officeDocument/2006/relationships/hyperlink" Target="https://interelectricas.com.co/breakers/1278-breaker-de-riel-tripolar-abb-3-x-20a-10ka.html" TargetMode="External"/><Relationship Id="rId323" Type="http://schemas.openxmlformats.org/officeDocument/2006/relationships/hyperlink" Target="https://productos.redeselectricas.com/conduletas-y-accesorios/conduleta-lb-2imc-rawelt-olb-0306-c-r961" TargetMode="External"/><Relationship Id="rId344" Type="http://schemas.openxmlformats.org/officeDocument/2006/relationships/hyperlink" Target="https://interelectricas.com.co/tuberia-metalica-y-pvc/2126-curva-pvc-de-4.html" TargetMode="External"/><Relationship Id="rId20" Type="http://schemas.openxmlformats.org/officeDocument/2006/relationships/hyperlink" Target="https://library.e.abb.com/public/50cc73ad0d8e4ba6865c045826dc2f05/EL_CO_2022_09_LISTA%20DE%20PRECIOS%20SEP.pdf" TargetMode="External"/><Relationship Id="rId41" Type="http://schemas.openxmlformats.org/officeDocument/2006/relationships/hyperlink" Target="https://interelectricas.com.co/tuberia-metalica-y-pvc/2352-tubo-ducto-pvc-db-de-4-x-6-mts.html" TargetMode="External"/><Relationship Id="rId62" Type="http://schemas.openxmlformats.org/officeDocument/2006/relationships/hyperlink" Target="https://www.homecenter.com.co/homecenter-co/product/519772/tubo-termoencogible-6mm-x-10cm/519772/" TargetMode="External"/><Relationship Id="rId83" Type="http://schemas.openxmlformats.org/officeDocument/2006/relationships/hyperlink" Target="https://interelectricas.com.co/red-trenzada/1605-empalme-de-derivacion-en-gel-ghfc-1-rango-de-aplicacion-principal-de-cable-6-a-2-y-derivacion-de-14-a-8-.html" TargetMode="External"/><Relationship Id="rId179" Type="http://schemas.openxmlformats.org/officeDocument/2006/relationships/hyperlink" Target="https://interelectricas.com.co/tomas-electricas/2758-tapa-para-toma-doble-intemperie.html" TargetMode="External"/><Relationship Id="rId365" Type="http://schemas.openxmlformats.org/officeDocument/2006/relationships/hyperlink" Target="https://www.homecenter.com.co/homecenter-co/product/65852/tubo-sanitario-2-x-6-mts/65852/" TargetMode="External"/><Relationship Id="rId386" Type="http://schemas.openxmlformats.org/officeDocument/2006/relationships/hyperlink" Target="https://www.homecenter.com.co/homecenter-co/product/31651/tanque-500-litros/31651/" TargetMode="External"/><Relationship Id="rId190" Type="http://schemas.openxmlformats.org/officeDocument/2006/relationships/hyperlink" Target="https://www.homecenter.com.co/homecenter-co/product/145448/perros-para-cable-galvanizado-1-8pg-4und-fixser/145448/" TargetMode="External"/><Relationship Id="rId204" Type="http://schemas.openxmlformats.org/officeDocument/2006/relationships/hyperlink" Target="https://tornitec.com/product/caja-para-intemperie-4x4-salida-1-2-5h/" TargetMode="External"/><Relationship Id="rId225" Type="http://schemas.openxmlformats.org/officeDocument/2006/relationships/hyperlink" Target="file:///C:\Users\Luis%20Gerardo%20L&#243;pez%20M\AppData\Roaming\Microsoft\Excel\RV_%20COTIZACION\RV_%20Baraya-Ehuila-%20ABB_%20Cotizaci&#243;n%20Equipos%20Potencia\OPP-23-6352727%20%20Rev.%2002%20SUMINISTRO%20EQUIPOS%20PATIO.pdf" TargetMode="External"/><Relationship Id="rId246" Type="http://schemas.openxmlformats.org/officeDocument/2006/relationships/hyperlink" Target="http://www.colombia.generadordeprecios.info/obra_nueva/Estructuras/Mamposteria_estructural/EFM_Muros_de_mamposteria_estructur/EFM010_Muro_de_mamposteria_estructural_de_.html" TargetMode="External"/><Relationship Id="rId267" Type="http://schemas.openxmlformats.org/officeDocument/2006/relationships/hyperlink" Target="http://www.colombia.generadordeprecios.info/obra_nueva/Cimentaciones/Concretos__aceros_y_encofrados/Concretos/Concreto_ciclopeo.html" TargetMode="External"/><Relationship Id="rId288" Type="http://schemas.openxmlformats.org/officeDocument/2006/relationships/hyperlink" Target="https://interelectricas.com.co/tuberia-metalica-y-pvc/873-terminal-emt-acero-c-h-1-pulg-.html" TargetMode="External"/><Relationship Id="rId411" Type="http://schemas.openxmlformats.org/officeDocument/2006/relationships/hyperlink" Target="https://colombia.generadordeprecios.info/obra_nueva/calculaprecio.asp?Valor=68|0_0_0_0|1|ASA010|asa_010:_0_0_1_0_0_1_0_0_0" TargetMode="External"/><Relationship Id="rId432" Type="http://schemas.openxmlformats.org/officeDocument/2006/relationships/hyperlink" Target="https://homecenter.falabella.com.co/homecenter-co/product/118862297/Clavija-Aerea-De-Seguridad-Macho-De-4-Polos-Halux/118862302?exp=homecenter" TargetMode="External"/><Relationship Id="rId453" Type="http://schemas.openxmlformats.org/officeDocument/2006/relationships/hyperlink" Target="https://interelectricas.com.co/tuberia-metalica-y-pvc/914-terminal-conector-emt-de-1-1-2.html" TargetMode="External"/><Relationship Id="rId474" Type="http://schemas.openxmlformats.org/officeDocument/2006/relationships/hyperlink" Target="https://www.homecenter.com.co/homecenter-co/product/04745/buje-soldado-1x1-2-presion/04745/" TargetMode="External"/><Relationship Id="rId106" Type="http://schemas.openxmlformats.org/officeDocument/2006/relationships/hyperlink" Target="https://interelectricas.com.co/iluminacion/195-panel-led-18w-redondo-sobreponer-225cm-x-23cm-6500k-dl-luz-dia-ref-p27180-36-sylvania.html" TargetMode="External"/><Relationship Id="rId127" Type="http://schemas.openxmlformats.org/officeDocument/2006/relationships/hyperlink" Target="https://interelectricas.com.co/alambres-y-cables/1976-cable-de-aluminio-desnudo-no-1-0-acsr-metro.html" TargetMode="External"/><Relationship Id="rId313" Type="http://schemas.openxmlformats.org/officeDocument/2006/relationships/hyperlink" Target="https://articulo.mercadolibre.com.co/MCO-1473148871-tomacorriente-doble-leviton-con-tapa-intemperie-metalica-_JM?searchVariation=181515076882" TargetMode="External"/><Relationship Id="rId10" Type="http://schemas.openxmlformats.org/officeDocument/2006/relationships/hyperlink" Target="https://interelectricas.com.co/aisladores/2970-aislador-suspension-10-ansi-52-4-ansi-52-4.html" TargetMode="External"/><Relationship Id="rId31" Type="http://schemas.openxmlformats.org/officeDocument/2006/relationships/hyperlink" Target="https://edelco.co/producto/conduleta-lr-1-1-4-rosca/?srsltid=AfmBOopqFThLk0zDiQ6GmppmAH2ChmkeVtxZxwzapDqhtM98tH4FLm6U" TargetMode="External"/><Relationship Id="rId52" Type="http://schemas.openxmlformats.org/officeDocument/2006/relationships/hyperlink" Target="https://ferretodo.com.co/ferretienda/gabinete-piso-para-servidor-42ru-210-alto-60-ancho-90-profundo/?srsltid=AfmBOoqPIe88wtXl4DyTiL5gg279H2jOpLh2ArK0Dyj8b0628OVD6S3w" TargetMode="External"/><Relationship Id="rId73" Type="http://schemas.openxmlformats.org/officeDocument/2006/relationships/hyperlink" Target="https://ineldec.com/producto/transformador-de-corriente-blox-100-5a/" TargetMode="External"/><Relationship Id="rId94" Type="http://schemas.openxmlformats.org/officeDocument/2006/relationships/hyperlink" Target="https://www.homecenter.com.co/homecenter-co/product/256692/arena-silice-x-25kg-para-filtro-de-piscina/256692/?utm_source=chatgpt.com" TargetMode="External"/><Relationship Id="rId148" Type="http://schemas.openxmlformats.org/officeDocument/2006/relationships/hyperlink" Target="https://interelectricas.com.co/lista/LISTA_PRECIOS_CL_INGENIERIA.pdf?__cf_chl_tk=zP6d1uC1CL3yA.cbhUVzZlb7FXa21VeeR_R5.JpYQ_4-1739292848-1.0.1.1-idh.FequtBahebQ5CvGqcSdKr.tgn87y7zLncKpo0AI" TargetMode="External"/><Relationship Id="rId169" Type="http://schemas.openxmlformats.org/officeDocument/2006/relationships/hyperlink" Target="https://interelectricas.com.co/alambres-y-cables/2515-cable-de-cobre-aislado-no-12-awg-metro-thhn-color-negro.html" TargetMode="External"/><Relationship Id="rId334" Type="http://schemas.openxmlformats.org/officeDocument/2006/relationships/hyperlink" Target="https://interelectricas.com.co/alambres-y-cables/1986-cable-de-cobre-aislado-no-4-awg-metro-thhn-color-negro.html" TargetMode="External"/><Relationship Id="rId355" Type="http://schemas.openxmlformats.org/officeDocument/2006/relationships/hyperlink" Target="https://www.electro-persa.com/conector-para-cable-gb29-cal-20-250-mca-burndy" TargetMode="External"/><Relationship Id="rId376" Type="http://schemas.openxmlformats.org/officeDocument/2006/relationships/hyperlink" Target="https://www.homecenter.com.co/homecenter-co/product/203393/tubo-pvc-alcantarillado-10pulg-250mmx6m/203393/" TargetMode="External"/><Relationship Id="rId397" Type="http://schemas.openxmlformats.org/officeDocument/2006/relationships/hyperlink" Target="https://articulo.mercadolibre.com.co/MCO-2147865314-valvula-tapon-desague-anti-insectos-olores-banos-cocina-_JM?searchVariation=181419828067" TargetMode="External"/><Relationship Id="rId4" Type="http://schemas.openxmlformats.org/officeDocument/2006/relationships/hyperlink" Target="https://interelectricas.com.co/cable-de-instrumentacion-control/10541-cable-instrumentacion-7x12-awg-gris-apantallado-con-foil-600v-90-grados-dw-12-awg-chaqfr-pvc-resistuv-8bbp107109-i2-241120.html" TargetMode="External"/><Relationship Id="rId180" Type="http://schemas.openxmlformats.org/officeDocument/2006/relationships/hyperlink" Target="https://saldu.co/construccion-y-ferreteria/electricidad/tuberia-electrica-emt-y-pvc/terminal-conector-conduit-imc-de-3-4-pulg/" TargetMode="External"/><Relationship Id="rId215" Type="http://schemas.openxmlformats.org/officeDocument/2006/relationships/hyperlink" Target="https://ingecomsas.com/producto/caja-de-paso-plastica-ip65-162x162x130mm-kowet/" TargetMode="External"/><Relationship Id="rId236" Type="http://schemas.openxmlformats.org/officeDocument/2006/relationships/hyperlink" Target="https://solotejas.com/producto/teja-thermoacustic-ondulada/" TargetMode="External"/><Relationship Id="rId257" Type="http://schemas.openxmlformats.org/officeDocument/2006/relationships/hyperlink" Target="https://colombia.generadordeprecios.info/obra_nueva/Cimentaciones/Superficiales/Zapatas/CSZ015_Zapata_de_cimentacion_de_concreto_s.html" TargetMode="External"/><Relationship Id="rId278" Type="http://schemas.openxmlformats.org/officeDocument/2006/relationships/hyperlink" Target="http://www.colombia.generadordeprecios.info/espacios_urbanos/Firmes_y_pisos_urbanos/Bordes_y_limites_de_pisos/Bordillos/Bordillo_prefabricado_de_concreto.html" TargetMode="External"/><Relationship Id="rId401" Type="http://schemas.openxmlformats.org/officeDocument/2006/relationships/hyperlink" Target="https://www.homecenter.com.co/homecenter-co/product/04720/union-1-presion/04720/" TargetMode="External"/><Relationship Id="rId422" Type="http://schemas.openxmlformats.org/officeDocument/2006/relationships/hyperlink" Target="https://selinc.com/es/products/351/" TargetMode="External"/><Relationship Id="rId443" Type="http://schemas.openxmlformats.org/officeDocument/2006/relationships/hyperlink" Target="https://interelectricas.com.co/breakers/1230-breaker-industrial-abb-formula-20a-capacidad-de-ruptura-25-ka-a1b.html" TargetMode="External"/><Relationship Id="rId464" Type="http://schemas.openxmlformats.org/officeDocument/2006/relationships/hyperlink" Target="https://www.homecenter.com.co/homecenter-co/product/84303/varilla-corrugada-g60-w-3-3-8-pulg-x-6m/84303/" TargetMode="External"/><Relationship Id="rId303" Type="http://schemas.openxmlformats.org/officeDocument/2006/relationships/hyperlink" Target="https://energiaputumayo.com/testimonial/solicitud-publica-de-oferta-no-002-2024/" TargetMode="External"/><Relationship Id="rId485" Type="http://schemas.openxmlformats.org/officeDocument/2006/relationships/printerSettings" Target="../printerSettings/printerSettings1.bin"/><Relationship Id="rId42" Type="http://schemas.openxmlformats.org/officeDocument/2006/relationships/hyperlink" Target="https://interelectricas.com.co/tuberia-metalica-y-pvc/2348-tubo-ducto-pvc-db-de-3-x-3-mts.html" TargetMode="External"/><Relationship Id="rId84" Type="http://schemas.openxmlformats.org/officeDocument/2006/relationships/hyperlink" Target="https://interelectricas.com.co/red-trenzada/1605-empalme-de-derivacion-en-gel-ghfc-1-rango-de-aplicacion-principal-de-cable-6-a-2-y-derivacion-de-14-a-8-.html" TargetMode="External"/><Relationship Id="rId138" Type="http://schemas.openxmlformats.org/officeDocument/2006/relationships/hyperlink" Target="https://www.puntoelectrico.com.co/productos/taco-enchufable-2x20-amp" TargetMode="External"/><Relationship Id="rId345" Type="http://schemas.openxmlformats.org/officeDocument/2006/relationships/hyperlink" Target="https://ineldec.com/producto/transformador-de-corriente-relacion-200-5a/" TargetMode="External"/><Relationship Id="rId387" Type="http://schemas.openxmlformats.org/officeDocument/2006/relationships/hyperlink" Target="https://www.homecenter.com.co/homecenter-co/product/37069/valvula-bola-metal-1-x-175psi-helbertt/37069/" TargetMode="External"/><Relationship Id="rId191" Type="http://schemas.openxmlformats.org/officeDocument/2006/relationships/hyperlink" Target="https://articulo.mercadolibre.com.co/MCO-1395782091-mini-armella-cancamos-8x4mm-para-joyeria-100-und-_JM?searchVariation=181837640371" TargetMode="External"/><Relationship Id="rId205" Type="http://schemas.openxmlformats.org/officeDocument/2006/relationships/hyperlink" Target="https://latiendadelelectrico.com/products/caja-rawelt-2x4-3-salidas-de-3-4," TargetMode="External"/><Relationship Id="rId247" Type="http://schemas.openxmlformats.org/officeDocument/2006/relationships/hyperlink" Target="http://www.colombia.generadordeprecios.info/obra_nueva/Estructuras/Mamposteria_estructural/EFM_Muros_de_mamposteria_estructur/EFM010_Muro_de_mamposteria_estructural_de_.html" TargetMode="External"/><Relationship Id="rId412" Type="http://schemas.openxmlformats.org/officeDocument/2006/relationships/hyperlink" Target="https://colombia.generadordeprecios.info/obra_nueva/calculaprecio.asp?Valor=68|0_0_0_0|1|ASA010|asa_010:_0_0_1_0_0_1_0_0_0" TargetMode="External"/><Relationship Id="rId107" Type="http://schemas.openxmlformats.org/officeDocument/2006/relationships/hyperlink" Target="https://articulo.mercadolibre.com.co/MCO-568923932-extractor-de-aire-16-pulgadas-industrial-_JM?searchVariation=174238918448" TargetMode="External"/><Relationship Id="rId289" Type="http://schemas.openxmlformats.org/officeDocument/2006/relationships/hyperlink" Target="https://interelectricas.com.co/tuberia-metalica-y-pvc/885-union-emt-de-1.html" TargetMode="External"/><Relationship Id="rId454" Type="http://schemas.openxmlformats.org/officeDocument/2006/relationships/hyperlink" Target="https://interelectricas.com.co/alambres-y-cables/1785-cable-de-cobre-aislado-no-2-metro-thhn-color-negro-.html" TargetMode="External"/><Relationship Id="rId11" Type="http://schemas.openxmlformats.org/officeDocument/2006/relationships/hyperlink" Target="https://interelectricas.com.co/herrajes-electricos/13-abrazadera-o-collarin-de-2-dos-salidas-7-8-pl-1-4-idem-180-mm.html" TargetMode="External"/><Relationship Id="rId53" Type="http://schemas.openxmlformats.org/officeDocument/2006/relationships/hyperlink" Target="https://selinc.com/es/products/3620/" TargetMode="External"/><Relationship Id="rId149" Type="http://schemas.openxmlformats.org/officeDocument/2006/relationships/hyperlink" Target="https://ferreterialacasitaroja.com/product/arena-m3/?srsltid=AfmBOoq4pxLo2HvEJC-as0JxnyNhkBBv_GEXLh6-V9dT2cQbvSWy9rgo" TargetMode="External"/><Relationship Id="rId314" Type="http://schemas.openxmlformats.org/officeDocument/2006/relationships/hyperlink" Target="https://interelectricas.com.co/tuberia-metalica-y-pvc/907-union-emt-de-1-2.html" TargetMode="External"/><Relationship Id="rId356" Type="http://schemas.openxmlformats.org/officeDocument/2006/relationships/hyperlink" Target="https://interelectricas.com.co/tuberia-metalica-y-pvc/2909-union-pvc-3-4.html" TargetMode="External"/><Relationship Id="rId398" Type="http://schemas.openxmlformats.org/officeDocument/2006/relationships/hyperlink" Target="https://www.homecenter.com.co/homecenter-co/product/286262/valvula-bola-manija-mariposa-1-2-pulg/286262/" TargetMode="External"/><Relationship Id="rId95" Type="http://schemas.openxmlformats.org/officeDocument/2006/relationships/hyperlink" Target="https://interelectricas.com.co/articulos-electricos/4189-juego-de-marco-en-acero-1-tapa-de-concreto-para-camara-de-inspeccion-doble-cs275-para-canalizacion-de-mt-y-bt-131mts-x-81mts.html" TargetMode="External"/><Relationship Id="rId160" Type="http://schemas.openxmlformats.org/officeDocument/2006/relationships/hyperlink" Target="https://www.router-switch.com/ie-2000-16ptc-g-e.html" TargetMode="External"/><Relationship Id="rId216" Type="http://schemas.openxmlformats.org/officeDocument/2006/relationships/hyperlink" Target="https://www.dincoelectricos.com/product-page/grapa-universal-cruz-paralela-8-10mm-bimetalico" TargetMode="External"/><Relationship Id="rId423" Type="http://schemas.openxmlformats.org/officeDocument/2006/relationships/hyperlink" Target="https://selinc.com/es/products/351/" TargetMode="External"/><Relationship Id="rId258" Type="http://schemas.openxmlformats.org/officeDocument/2006/relationships/hyperlink" Target="https://colombia.generadordeprecios.info/obra_nueva/calculaprecio.asp?Valor=30|0|2|EHV010|ehv_015%20viga:_0_0_0_5|hor_p_estruc%20viga:c14_0_1c3_0_5|ehv_cuan%20viga:_149000|acero%20viga:_0_0_0_0_0_0_0_3|hor_separadores%20vigas:_0_0_0_0_0_0_3_0|enc_ehv_011%20viga:c4_0_1c3_0_10_0_100_0_30_100c4_0_10" TargetMode="External"/><Relationship Id="rId465" Type="http://schemas.openxmlformats.org/officeDocument/2006/relationships/hyperlink" Target="https://interelectricas.com.co/articulos-electricos/4189-juego-de-marco-en-acero-1-tapa-de-concreto-para-camara-de-inspeccion-doble-cs275-para-canalizacion-de-mt-y-bt-131mts-x-81mts.html" TargetMode="External"/><Relationship Id="rId22" Type="http://schemas.openxmlformats.org/officeDocument/2006/relationships/hyperlink" Target="https://indeq.mx/products/2007-8874_wago?srsltid=AfmBOoqMCX4DEwTRrdD6rjJ4kbnuJzcZ_7UTCwmRHF9Ur0cCQfLdsPG6" TargetMode="External"/><Relationship Id="rId64" Type="http://schemas.openxmlformats.org/officeDocument/2006/relationships/hyperlink" Target="https://ferretodo.com.co/ferretienda/conector-de-fibra-optica-sc-lightcrimp-plus/" TargetMode="External"/><Relationship Id="rId118" Type="http://schemas.openxmlformats.org/officeDocument/2006/relationships/hyperlink" Target="https://interelectricas.com.co/alambres-y-cables/2260-cable-de-cobre-desnudo-no-4-0-awg-metro.html" TargetMode="External"/><Relationship Id="rId325" Type="http://schemas.openxmlformats.org/officeDocument/2006/relationships/hyperlink" Target="https://indelek.com/xlpe-cu-15-kv/cable-xlp-500-mcm-rojo-carrete-100-cobre-15kv-5723.html" TargetMode="External"/><Relationship Id="rId367" Type="http://schemas.openxmlformats.org/officeDocument/2006/relationships/hyperlink" Target="https://www.homecenter.com.co/homecenter-co/product/65854/tubo-sanitario-4-x-6-mts/65854/" TargetMode="External"/><Relationship Id="rId171" Type="http://schemas.openxmlformats.org/officeDocument/2006/relationships/hyperlink" Target="https://interelectricas.com.co/tuberia-metalica-y-pvc/896-terminal-emt-acero-c-h-3-4-pulg-.html?__cf_chl_tk=fR1sobfHHmx4ZIZFrwnEgaVGcrQMLVAGM5Dp9iAJjE4-1741015398-1.0.1.1-PQCZtU2KHePVxucpMyVHDW9BwrvGPvc9ej05iocFE2EAEBmAILoALqHMICChAAGIAEGEMYigXCAgsQABiABBixAxiDAcICDhAuGIAEGLEDGNEDGMcBwgIOEAAYgAQYsQMYgwEYigXCAggQABiABBixA8ICERAuGIAEGMcBGJgFGJkFGK8BwgIKECMYgAQYJxiKBcICBBAjGCfCAgsQABiABBixAxiKBZgDAJIHCzAuNS4xLjIuMS4yoAeGXA&amp;sclient=gws-wiz-serp" TargetMode="External"/><Relationship Id="rId227" Type="http://schemas.openxmlformats.org/officeDocument/2006/relationships/hyperlink" Target="https://ferreteriajamundi.co/producto/grava-lavada-de-rio/?srsltid=AfmBOopHWb45v_oJZYbF0toYKJ7KjWl554geaN4N6gxn_iER0YPlFV30" TargetMode="External"/><Relationship Id="rId269" Type="http://schemas.openxmlformats.org/officeDocument/2006/relationships/hyperlink" Target="http://www.colombia.generadordeprecios.info/obra_nueva/Urbanizacion_interior_del_terreno/Cerramientos_exteriores/Puertas/Puerta_con_malla_para_valla.html" TargetMode="External"/><Relationship Id="rId434" Type="http://schemas.openxmlformats.org/officeDocument/2006/relationships/hyperlink" Target="https://interelectricas.com.co/tuberia-metalica-y-pvc/956-adaptador-terminal-pvc-de-1.html" TargetMode="External"/><Relationship Id="rId476" Type="http://schemas.openxmlformats.org/officeDocument/2006/relationships/hyperlink" Target="https://www.homecenter.com.co/homecenter-co/product/204026/sifon-plastico-flexible-blanco-86cm-lvp-lvm/204026/" TargetMode="External"/><Relationship Id="rId33" Type="http://schemas.openxmlformats.org/officeDocument/2006/relationships/hyperlink" Target="https://interelectricas.com.co/tuberia-metalica-y-pvc/2363-tubo-pvc-conduit-de-1-1-4-x-3mts.html" TargetMode="External"/><Relationship Id="rId129" Type="http://schemas.openxmlformats.org/officeDocument/2006/relationships/hyperlink" Target="https://interelectricas.com.co/alambres-y-cables/1875-alambron-en-aluminio-de-8mm-para-apantallamiento.html" TargetMode="External"/><Relationship Id="rId280" Type="http://schemas.openxmlformats.org/officeDocument/2006/relationships/hyperlink" Target="file:///C:\Users\Luis%20Gerardo%20L&#243;pez%20M\AppData\Roaming\Microsoft\Excel\RV_%20COTIZACION\RV_%20Baraya-Ehuila-%20ABB_%20Cotizaci&#243;n%20Equipos%20Potencia\OPP-23-6352727%20%20Rev.%2002%20SUMINISTRO%20EQUIPOS%20PATIO.pdf" TargetMode="External"/><Relationship Id="rId336" Type="http://schemas.openxmlformats.org/officeDocument/2006/relationships/hyperlink" Target="https://edemco.co/producto/borna-terminal-10awg" TargetMode="External"/><Relationship Id="rId75" Type="http://schemas.openxmlformats.org/officeDocument/2006/relationships/hyperlink" Target="https://interelectricas.com.co/cable-de-instrumentacion-control/10541-cable-instrumentacion-7x12-awg-gris-apantallado-con-foil-600v-90-grados-dw-12-awg-chaqfr-pvc-resistuv-8bbp107109-i2-241120.html" TargetMode="External"/><Relationship Id="rId140" Type="http://schemas.openxmlformats.org/officeDocument/2006/relationships/hyperlink" Target="https://erp.electrovalle.com/shop/product/1603-a9f74216-breaker-2x16-amp-p-riel-20ka-c60n-22625?page=7&amp;category=2&amp;order=name+desc" TargetMode="External"/><Relationship Id="rId182" Type="http://schemas.openxmlformats.org/officeDocument/2006/relationships/hyperlink" Target="https://interelectricas.com.co/tuberia-metalica-y-pvc/905-curva-90deg-galvanizada-imc-de-3-4.html" TargetMode="External"/><Relationship Id="rId378" Type="http://schemas.openxmlformats.org/officeDocument/2006/relationships/hyperlink" Target="https://conexpe.com/shop/" TargetMode="External"/><Relationship Id="rId403" Type="http://schemas.openxmlformats.org/officeDocument/2006/relationships/hyperlink" Target="https://www.homecenter.com.co/homecenter-co/product/04734/union-1-2-presion/04734/" TargetMode="External"/><Relationship Id="rId6" Type="http://schemas.openxmlformats.org/officeDocument/2006/relationships/hyperlink" Target="https://ingecomsas.com/producto/cable-encauchetado-3x10-centelsa/" TargetMode="External"/><Relationship Id="rId238" Type="http://schemas.openxmlformats.org/officeDocument/2006/relationships/hyperlink" Target="https://www.homecenter.com.co/homecenter-co/product/412742/sellador-poliuretano-mapeflex-pu-50-sl-para-juntas-de-expansion-y-dilatacion-en-pavimentos-x-12kilos-gris/412742/" TargetMode="External"/><Relationship Id="rId445" Type="http://schemas.openxmlformats.org/officeDocument/2006/relationships/hyperlink" Target="https://laumayer.com.ec/wp-content/uploads/2023/08/lista-de-precios-completa-laucol-ecuador-3.pdf" TargetMode="External"/><Relationship Id="rId487" Type="http://schemas.openxmlformats.org/officeDocument/2006/relationships/comments" Target="../comments1.xml"/><Relationship Id="rId291" Type="http://schemas.openxmlformats.org/officeDocument/2006/relationships/hyperlink" Target="https://interelectricas.com.co/alambres-y-cables/1988-cable-de-cobre-aislado-no-6-awg-metro-thhn-color-negro.html" TargetMode="External"/><Relationship Id="rId305" Type="http://schemas.openxmlformats.org/officeDocument/2006/relationships/hyperlink" Target="https://interelectricas.com.co/alambres-y-cables/1388-cable-de-cobre-aislado-thhn-no-10-metro-color-rojo.html" TargetMode="External"/><Relationship Id="rId347" Type="http://schemas.openxmlformats.org/officeDocument/2006/relationships/hyperlink" Target="https://energiaputumayo.com/testimonial/solicitud-publica-de-oferta-no-002-2024/" TargetMode="External"/><Relationship Id="rId44" Type="http://schemas.openxmlformats.org/officeDocument/2006/relationships/hyperlink" Target="https://interelectricas.com.co/tuberia-metalica-y-pvc/2093-coraza-liquid-tight-tipo-americano-11-4-pulgadas-x-metro.html" TargetMode="External"/><Relationship Id="rId86" Type="http://schemas.openxmlformats.org/officeDocument/2006/relationships/hyperlink" Target="https://interelectricas.com.co/tuberia-metalica-y-pvc/2872-union-pvc-1-2.html" TargetMode="External"/><Relationship Id="rId151" Type="http://schemas.openxmlformats.org/officeDocument/2006/relationships/hyperlink" Target="https://interelectricas.com.co/tuberia-metalica-y-pvc/2982-terminal-pvc-4-tipo-campana-corrugada.html" TargetMode="External"/><Relationship Id="rId389" Type="http://schemas.openxmlformats.org/officeDocument/2006/relationships/hyperlink" Target="https://articulo.mercadolibre.com.co/MCO-1360400101-valvula-flotador-automatico-control-nivel-tanque-de-agua-1-_JM?searchVariation=180668150849" TargetMode="External"/><Relationship Id="rId193" Type="http://schemas.openxmlformats.org/officeDocument/2006/relationships/hyperlink" Target="https://interelectricas.com.co/tuberia-metalica-y-pvc/2320-tubo-metalico-imc-de-1-x-3-mts-con-union.html" TargetMode="External"/><Relationship Id="rId207" Type="http://schemas.openxmlformats.org/officeDocument/2006/relationships/hyperlink" Target="https://interelectricas.com.co/articulos-electricos/1127-borna-no-4-0-awg-de-ponchar-estanada-barril-largo.html" TargetMode="External"/><Relationship Id="rId249" Type="http://schemas.openxmlformats.org/officeDocument/2006/relationships/hyperlink" Target="https://www.homecenter.com.co/homecenter-co/product/735548/cercha-metalica-3m-maquiequipos/735548/" TargetMode="External"/><Relationship Id="rId414" Type="http://schemas.openxmlformats.org/officeDocument/2006/relationships/hyperlink" Target="https://www.homecenter.com.co/homecenter-co/product/66860/sika-emulsion-asfaltica-impermeabilizante-para-cubierta-18kg-5gl/66860/" TargetMode="External"/><Relationship Id="rId456" Type="http://schemas.openxmlformats.org/officeDocument/2006/relationships/hyperlink" Target="https://electroservimos.co/iluminacion/2543-ma123-marco-en-aluminio-30cm-x-120cm-incrustar-para-panel.html" TargetMode="External"/><Relationship Id="rId13" Type="http://schemas.openxmlformats.org/officeDocument/2006/relationships/hyperlink" Target="https://energiaputumayo.com/testimonial/solicitud-publica-de-oferta-no-002-2024/" TargetMode="External"/><Relationship Id="rId109" Type="http://schemas.openxmlformats.org/officeDocument/2006/relationships/hyperlink" Target="https://interelectricas.com.co/tuberia-metalica-y-pvc/903-curva-90deg-galvanizada-imc-de-1-2.html" TargetMode="External"/><Relationship Id="rId260" Type="http://schemas.openxmlformats.org/officeDocument/2006/relationships/hyperlink" Target="https://colombia.generadordeprecios.info/obra_nueva/Cimentaciones/Superficiales/Zapatas/CSZ015_Zapata_de_cimentacion_de_concreto_s.html" TargetMode="External"/><Relationship Id="rId316" Type="http://schemas.openxmlformats.org/officeDocument/2006/relationships/hyperlink" Target="https://www.latiendaderepuestosonline.com/MCO-898082585-cable-encauchetado-7x16-awg-centelsa-x-20metros-_JM" TargetMode="External"/><Relationship Id="rId55" Type="http://schemas.openxmlformats.org/officeDocument/2006/relationships/hyperlink" Target="https://todotintasysuministros.com/computadores-de-escritorio/computador-de-escritorio-power-group-l23-21-5-ryzen7-ram16gb-ssd-1tb-t-vrtx-3050" TargetMode="External"/><Relationship Id="rId97" Type="http://schemas.openxmlformats.org/officeDocument/2006/relationships/hyperlink" Target="https://interelectricas.com.co/tuberia-metalica-y-pvc/2086-coraza-liquid-tight-tipo-americano-1-2-pulgadas-x-metro.html" TargetMode="External"/><Relationship Id="rId120" Type="http://schemas.openxmlformats.org/officeDocument/2006/relationships/hyperlink" Target="https://interelectricas.com.co/alambres-y-cables/2256-cable-de-cobre-desnudo-no-1-0-awg-metro.html" TargetMode="External"/><Relationship Id="rId358" Type="http://schemas.openxmlformats.org/officeDocument/2006/relationships/hyperlink" Target="https://interelectricas.com.co/articulos-electricos/1112-borna-no-8-awg-de-ponchar-estanada-en-cobre-barril-largo.html" TargetMode="External"/><Relationship Id="rId162" Type="http://schemas.openxmlformats.org/officeDocument/2006/relationships/hyperlink" Target="https://www.daga-store.com/oh-4570" TargetMode="External"/><Relationship Id="rId218" Type="http://schemas.openxmlformats.org/officeDocument/2006/relationships/hyperlink" Target="https://interelectricas.com.co/herrajes-electricos/4915-bayoneta-para-retencion-doble-2-1-4-x-1-50-mts.html" TargetMode="External"/><Relationship Id="rId425" Type="http://schemas.openxmlformats.org/officeDocument/2006/relationships/hyperlink" Target="https://selinc.com/es/products/351/" TargetMode="External"/><Relationship Id="rId467" Type="http://schemas.openxmlformats.org/officeDocument/2006/relationships/hyperlink" Target="https://ocoplast.com/producto/tapa-de-alcantarillado-en-plastico-reciclado-75cm/" TargetMode="External"/><Relationship Id="rId271" Type="http://schemas.openxmlformats.org/officeDocument/2006/relationships/hyperlink" Target="https://www.homecenter.com.co/homecenter-co/product/170962/concertina-8mt-max-45cm-diametro-max-54-circulos/170962/" TargetMode="External"/><Relationship Id="rId24" Type="http://schemas.openxmlformats.org/officeDocument/2006/relationships/hyperlink" Target="https://autosolar.co/accesorios/medidor-bidireccional-elster-a1800?srsltid=AfmBOooDyoZ8fuMQZLwNErLrcR0phKpWED1SeYthFv3BnYjQ0ZN-_SK3" TargetMode="External"/><Relationship Id="rId66" Type="http://schemas.openxmlformats.org/officeDocument/2006/relationships/hyperlink" Target="https://ineldec.com/producto/transformador-trifasico-convencional-30-kva/" TargetMode="External"/><Relationship Id="rId131" Type="http://schemas.openxmlformats.org/officeDocument/2006/relationships/hyperlink" Target="https://interelectricas.com.co/productos/3903-grapa-otr-universal-cruz-paralela-punta-alambron-.html" TargetMode="External"/><Relationship Id="rId327" Type="http://schemas.openxmlformats.org/officeDocument/2006/relationships/hyperlink" Target="https://energiaputumayo.com/testimonial/solicitud-publica-de-oferta-no-002-2024/" TargetMode="External"/><Relationship Id="rId369" Type="http://schemas.openxmlformats.org/officeDocument/2006/relationships/hyperlink" Target="https://www.homecenter.com.co/homecenter-co/product/117527/codo-90-x-4-cxc-sanitaria/117527/" TargetMode="External"/><Relationship Id="rId173" Type="http://schemas.openxmlformats.org/officeDocument/2006/relationships/hyperlink" Target="https://interelectricas.com.co/tuberia-metalica-y-pvc/902-curva-90deg-emt-de-3-4.html" TargetMode="External"/><Relationship Id="rId229" Type="http://schemas.openxmlformats.org/officeDocument/2006/relationships/hyperlink" Target="https://colombia.generadordeprecios.info/obra_nueva/Urbanizacion_interior_del_terreno/Jardineria/Tepes_y_cespedes/Tepe.html" TargetMode="External"/><Relationship Id="rId380" Type="http://schemas.openxmlformats.org/officeDocument/2006/relationships/hyperlink" Target="http://www.colombia.generadordeprecios.info/obra_nueva/Urbanizacion_interior_de_la_parcela/Alcantarillado/Sumideros_e_imbornales_urbanos/Sumidero_longitudinal_0_0_2_1_1_0_1c12_0.html" TargetMode="External"/><Relationship Id="rId436" Type="http://schemas.openxmlformats.org/officeDocument/2006/relationships/hyperlink" Target="https://www.nuevoportal.co/unidad-interior-manejadora-aire-acondicionado-cassette-4-vias-inverter-24-000-btu-h-r410a-220v-1p.html?srsltid=AfmBOoohW8qOUDHVL13_Xmryby9JqTX1PQwExwnAVG0V56nnAEVpFfUc" TargetMode="External"/><Relationship Id="rId240" Type="http://schemas.openxmlformats.org/officeDocument/2006/relationships/hyperlink" Target="https://www.homecenter.com.co/homecenter-co/product/87829/farol-6-rayado-30-cm-x-10-cm-x-20-cm-15u-m2-5-kilos/87829/" TargetMode="External"/><Relationship Id="rId478" Type="http://schemas.openxmlformats.org/officeDocument/2006/relationships/hyperlink" Target="https://aquaintegral.co/producto/valvula-bola-pvc-1-1-2/" TargetMode="External"/><Relationship Id="rId35" Type="http://schemas.openxmlformats.org/officeDocument/2006/relationships/hyperlink" Target="https://interelectricas.com.co/cintas-o-zuncho-metalico-en-acero-inoxidable/1718-hebilla-en-acero-inoxidable-para-fleje-o-cinta-metalica-3-4.html" TargetMode="External"/><Relationship Id="rId77" Type="http://schemas.openxmlformats.org/officeDocument/2006/relationships/hyperlink" Target="https://www.mercadolibre.com.co/detector-de-gas-natural-wifi-alarma-de-fugas-en-la-pared/p/MCO2002851337" TargetMode="External"/><Relationship Id="rId100" Type="http://schemas.openxmlformats.org/officeDocument/2006/relationships/hyperlink" Target="https://articulo.mercadolibre.com.co/MCO-1331578599-aire-acondicionado-inverter-mini-split-24000-btu-220v-sam-_JM" TargetMode="External"/><Relationship Id="rId282" Type="http://schemas.openxmlformats.org/officeDocument/2006/relationships/hyperlink" Target="file:///C:\Users\Luis%20Gerardo%20L&#243;pez%20M\AppData\Roaming\Microsoft\Excel\RV_%20COTIZACION\RV_%20Baraya-Ehuila-%20ABB_%20Cotizaci&#243;n%20Equipos%20Potencia\OPP-23-6352727%20%20Rev.%2002%20SUMINISTRO%20EQUIPOS%20PATIO.pdf" TargetMode="External"/><Relationship Id="rId338" Type="http://schemas.openxmlformats.org/officeDocument/2006/relationships/hyperlink" Target="https://interelectricas.com.co/articulos-electricos/1156-borna-ponchar-estanada-n-350-mcm-barril-largo.html" TargetMode="External"/><Relationship Id="rId8" Type="http://schemas.openxmlformats.org/officeDocument/2006/relationships/hyperlink" Target="https://interelectricas.com.co/cortacircuitos-y-proteccion-contra-rayos/2644-pararrayo-polimerico-15kv-10ka.html" TargetMode="External"/><Relationship Id="rId142" Type="http://schemas.openxmlformats.org/officeDocument/2006/relationships/hyperlink" Target="https://ineldec.com/producto/breaker-dc-1x10a-chint-riel/" TargetMode="External"/><Relationship Id="rId184" Type="http://schemas.openxmlformats.org/officeDocument/2006/relationships/hyperlink" Target="https://interelectricas.com.co/articulos-electricos/1535-cinta-3m-aislante-scotch-super-33-19-mm-x-20-mts.html" TargetMode="External"/><Relationship Id="rId391" Type="http://schemas.openxmlformats.org/officeDocument/2006/relationships/hyperlink" Target="https://www.homecenter.com.co/homecenter-co/product/04730/codo-90-x-1-2-presion/04730/" TargetMode="External"/><Relationship Id="rId405" Type="http://schemas.openxmlformats.org/officeDocument/2006/relationships/hyperlink" Target="https://interelectricas.com.co/tuberia-metalica-y-pvc/881-curva-90deg-emt-de-1.html" TargetMode="External"/><Relationship Id="rId447" Type="http://schemas.openxmlformats.org/officeDocument/2006/relationships/hyperlink" Target="https://ineldec.com/producto/breaker-1x125a-dc-80v/" TargetMode="External"/><Relationship Id="rId251" Type="http://schemas.openxmlformats.org/officeDocument/2006/relationships/hyperlink" Target="http://www.colombia.generadordeprecios.info/obra_nueva/Revestimentos/Suelos_y_pisos/Ceramicos_gres/Guardaescoba_ceramico.html" TargetMode="External"/><Relationship Id="rId46" Type="http://schemas.openxmlformats.org/officeDocument/2006/relationships/hyperlink" Target="https://interelectricas.com.co/tuberia-metalica-y-pvc/2324-tubo-metalico-imc-de-2-pulgadas-x-3-mts-con-union.html" TargetMode="External"/><Relationship Id="rId293" Type="http://schemas.openxmlformats.org/officeDocument/2006/relationships/hyperlink" Target="https://interelectricas.com.co/iluminacion-varios/9277-led-high-bay-syl-secure-80w-p23951-36-i2-240625.html" TargetMode="External"/><Relationship Id="rId307" Type="http://schemas.openxmlformats.org/officeDocument/2006/relationships/hyperlink" Target="https://www.surtielectronic.com/producto/sylvania-p23640-22-led-reflector-jeta-luminaria-150w-dl" TargetMode="External"/><Relationship Id="rId349" Type="http://schemas.openxmlformats.org/officeDocument/2006/relationships/hyperlink" Target="https://interelectricas.com.co/premoldeados-media-baja-tension/995-terminales-premoldeadas-para-34-5-kv-uso-exterior-para-calibres-de-cable-entre-1-0-250-kcm-juego-x-3-unidades.html" TargetMode="External"/><Relationship Id="rId88" Type="http://schemas.openxmlformats.org/officeDocument/2006/relationships/hyperlink" Target="https://minaled.com/producto/farolas-led/soporte-proyectores-columna/" TargetMode="External"/><Relationship Id="rId111" Type="http://schemas.openxmlformats.org/officeDocument/2006/relationships/hyperlink" Target="https://interelectricas.com.co/tuberia-metalica-y-pvc/2182-tubo-metalico-emt-de-1-2-pulgadas-x-3-mts.html" TargetMode="External"/><Relationship Id="rId153" Type="http://schemas.openxmlformats.org/officeDocument/2006/relationships/hyperlink" Target="https://www.dotacionesysuministros.com/producto/cinta-de-senalizacion-10-centimetros-x-500-metros/" TargetMode="External"/><Relationship Id="rId195" Type="http://schemas.openxmlformats.org/officeDocument/2006/relationships/hyperlink" Target="https://interelectricas.com.co/herrajes-electricos/1735-conector-coraza-liquid-tight-recto-1-pulg-.html" TargetMode="External"/><Relationship Id="rId209" Type="http://schemas.openxmlformats.org/officeDocument/2006/relationships/hyperlink" Target="https://interelectricas.com.co/lista/LISTA_PRECIOS_CL_INGENIERIA.pdf?__cf_chl_tk=zP6d1uC1CL3yA.cbhUVzZlb7FXa21VeeR_R5.JpYQ_4-1739292848-1.0.1.1-idh.FequtBahebQ5CvGqcSdKr.tgn87y7zLncKpo0AI" TargetMode="External"/><Relationship Id="rId360" Type="http://schemas.openxmlformats.org/officeDocument/2006/relationships/hyperlink" Target="https://www.homecenter.com.co/homecenter-co/product/43266/malla-15x15cm-40mm-xx-084-6x235m/43266/" TargetMode="External"/><Relationship Id="rId416" Type="http://schemas.openxmlformats.org/officeDocument/2006/relationships/hyperlink" Target="https://panelconstructor.com.co/producto/angulos-2-x-2-1-4/?srsltid=AfmBOoqQNi9WenYUczWWcz0xEcNDmLq-7L4scD7-kSZKKYlj8M6Wh9uy" TargetMode="External"/><Relationship Id="rId220" Type="http://schemas.openxmlformats.org/officeDocument/2006/relationships/hyperlink" Target="https://interelectricas.com.co/apantallamiento-proteccion-contra-rayos/2864-grapa-dehn-cruz-rd8-x-rd-16mm-acero-galv-ref-316163.html" TargetMode="External"/><Relationship Id="rId458" Type="http://schemas.openxmlformats.org/officeDocument/2006/relationships/hyperlink" Target="https://interelectricas.com.co/tuberia-metalica-y-pvc/2410-adaptador-terminal-pvc-de-1-2.html" TargetMode="External"/><Relationship Id="rId15" Type="http://schemas.openxmlformats.org/officeDocument/2006/relationships/hyperlink" Target="file:///C:\Users\Luis%20Gerardo%20L&#243;pez%20M\AppData\04.%20DISE&#195;&#145;O%203%20(L.G)\13.%20ID20200070%20-%20%20S.E.%20BARAYA\154\APUs%20Gobernaci&#195;&#179;n%20de%20Risaralda.pdf" TargetMode="External"/><Relationship Id="rId57" Type="http://schemas.openxmlformats.org/officeDocument/2006/relationships/hyperlink" Target="https://www.macrotics.com/bandeja-de-fibra-optica-glc-con-adaptador-y-pigtail-sc-apc-x-24-puertos/p?srsltid=AfmBOoo_U4pRKfy26owDuHIX_gs84hN2jZObIj5eV9rVqCfR6eGacEz4" TargetMode="External"/><Relationship Id="rId262" Type="http://schemas.openxmlformats.org/officeDocument/2006/relationships/hyperlink" Target="https://interelectricas.com.co/aisladores/3002-aislador-tipo-pin-o-para-espigo-de-13-2-kv-ansi-55-4-te.html" TargetMode="External"/><Relationship Id="rId318" Type="http://schemas.openxmlformats.org/officeDocument/2006/relationships/hyperlink" Target="https://interelectricas.com.co/cable-fibra-optica/10655-fibra-optica-multimodo-om-3-6-hilos-int-ext-tigh-buffer-chaqueta-fr-lzsh-f40060629b-i2-241129.html" TargetMode="External"/><Relationship Id="rId99" Type="http://schemas.openxmlformats.org/officeDocument/2006/relationships/hyperlink" Target="https://interelectricas.com.co/iluminacion/199-luminaria-led-sylvania-tortuga-12w-bulkhead-dl-110-240v.html" TargetMode="External"/><Relationship Id="rId122" Type="http://schemas.openxmlformats.org/officeDocument/2006/relationships/hyperlink" Target="https://vicartechz.com/producto/conectores/borneras-y-terminales/terminal-de-ojo-para-cable-2-0-awg/?srsltid=AfmBOooLMlEFb0bYLJ55Uf1m79Zdc_dF82Iksal2PLtSp3vRyRaEU9cM" TargetMode="External"/><Relationship Id="rId164" Type="http://schemas.openxmlformats.org/officeDocument/2006/relationships/hyperlink" Target="https://www.producabos.com/producto/chazo-expansivo-zincado-de-3-8-x-2-1-2/" TargetMode="External"/><Relationship Id="rId371" Type="http://schemas.openxmlformats.org/officeDocument/2006/relationships/hyperlink" Target="https://www.homecenter.com.co/homecenter-co/product/29795/union-6-sanitaria/29795/" TargetMode="External"/><Relationship Id="rId427" Type="http://schemas.openxmlformats.org/officeDocument/2006/relationships/hyperlink" Target="https://selinc.com/es/products/351/" TargetMode="External"/><Relationship Id="rId469" Type="http://schemas.openxmlformats.org/officeDocument/2006/relationships/hyperlink" Target="https://colempaques.com/products/sistema-septico-integrado-horizontal-1650-litros?variant=45783070212262&amp;country=CO&amp;currency=COP&amp;utm_medium=product_sync&amp;utm_source=google&amp;utm_content=sag_organic&amp;utm_campaign=sag_organic&amp;srsltid=AfmBOorddUk_fr5zQgzc0m5FJShYew9Shmv3V3BsYSBc3ZQEkdnDPNcf9gc" TargetMode="External"/><Relationship Id="rId26" Type="http://schemas.openxmlformats.org/officeDocument/2006/relationships/hyperlink" Target="https://library.e.abb.com/public/2d5168643b254398924091c3c1a2bd6c/Lista%20de%20Precios%20EL%20ABB%20Chile%20Media%20Tension.pdf?x-sign=ZJKue/Z677X7jWkIvZMTxAEnbHiIE2kTsCwvxniKQViAircjFw29m/zuDKliB3Tz" TargetMode="External"/><Relationship Id="rId231" Type="http://schemas.openxmlformats.org/officeDocument/2006/relationships/hyperlink" Target="https://tul.com.co/details-product/multimarca-recebo-b400-x-7-m3" TargetMode="External"/><Relationship Id="rId273" Type="http://schemas.openxmlformats.org/officeDocument/2006/relationships/hyperlink" Target="https://colombia.generadordeprecios.info/obra_nueva/calculaprecio.asp?Valor=2|0_1|1|UVT010|uvt_010:_0_0_0_0_0_0_0_0" TargetMode="External"/><Relationship Id="rId329" Type="http://schemas.openxmlformats.org/officeDocument/2006/relationships/hyperlink" Target="https://www.jd-market.com/MCO-814927417-conector-de-red-terminal-rj45-cat-6-bolsa-x-100-unidades-_JM?srsltid=AfmBOoqwVKa8-W6EzRCO2wvVMbffmU044TXPcbLXuRJTtGXJy2Ava_HW" TargetMode="External"/><Relationship Id="rId480" Type="http://schemas.openxmlformats.org/officeDocument/2006/relationships/hyperlink" Target="https://articulo.mercadolibre.com.co/MCO-2385579570-niple-roscado-pvc-1-12-_JM" TargetMode="External"/><Relationship Id="rId68" Type="http://schemas.openxmlformats.org/officeDocument/2006/relationships/hyperlink" Target="https://interelectricas.com.co/alambres-y-cables/2035-cable-multiplex-cuadruplex-3-x-50-mm-50-mm-aislado-de-3-x-10-10-metro.html" TargetMode="External"/><Relationship Id="rId133" Type="http://schemas.openxmlformats.org/officeDocument/2006/relationships/hyperlink" Target="https://interelectricas.com.co/alambres-y-cables/2828-cable-encauchetado-4-x-8-awg-cobre-.html" TargetMode="External"/><Relationship Id="rId175" Type="http://schemas.openxmlformats.org/officeDocument/2006/relationships/hyperlink" Target="https://interelectricas.com.co/alambres-y-cables/2533-cable-de-cobre-aislado-no-14-awg-metro-thhn-color-negro.html" TargetMode="External"/><Relationship Id="rId340" Type="http://schemas.openxmlformats.org/officeDocument/2006/relationships/hyperlink" Target="https://panelconstructor.com.co/producto/platinas-12mm-3mm/?srsltid=AfmBOoqbmazsAaHqJmPknrOsasQD0GkjFu8l-mCr01q7PcOCP2c-8yzh" TargetMode="External"/><Relationship Id="rId200" Type="http://schemas.openxmlformats.org/officeDocument/2006/relationships/hyperlink" Target="https://www.homecenter.com.co/homecenter-co/product/22762/removedor-pvc-1-4-galon-760gr/22762/" TargetMode="External"/><Relationship Id="rId382" Type="http://schemas.openxmlformats.org/officeDocument/2006/relationships/hyperlink" Target="https://corona.co/productos/sanitarios/sanitarios-individuales/sanitario-aquajet-pro/p/O27001001" TargetMode="External"/><Relationship Id="rId438" Type="http://schemas.openxmlformats.org/officeDocument/2006/relationships/hyperlink" Target="https://almacenpanamericano.com.co/product/breaker-regulable-caja-moldeada-40ka-240v-easypact-cv-schneider/" TargetMode="External"/><Relationship Id="rId242" Type="http://schemas.openxmlformats.org/officeDocument/2006/relationships/hyperlink" Target="https://www.homecenter.com.co/homecenter-co/product/612879/tornillo-panel-drywall-pundta-aguda-6x1-1-4-1000und-fixser/612879/" TargetMode="External"/><Relationship Id="rId284" Type="http://schemas.openxmlformats.org/officeDocument/2006/relationships/hyperlink" Target="https://www.router-switch.com/es/ie-4010-4s24p.html" TargetMode="External"/><Relationship Id="rId37" Type="http://schemas.openxmlformats.org/officeDocument/2006/relationships/hyperlink" Target="https://interelectricas.com.co/tuberia-metalica-y-pvc/2368-tubo-pvc-conduit-de-3-4-x-3-mts.html" TargetMode="External"/><Relationship Id="rId79" Type="http://schemas.openxmlformats.org/officeDocument/2006/relationships/hyperlink" Target="https://laumayer.com.ec/wp-content/uploads/2023/08/lista-de-precios-completa-laucol-ecuador-3.pdf" TargetMode="External"/><Relationship Id="rId102" Type="http://schemas.openxmlformats.org/officeDocument/2006/relationships/hyperlink" Target="https://interelectricas.com.co/articulos-electricos/1613-clavija-caucho-15-amp-con-polo.html" TargetMode="External"/><Relationship Id="rId144" Type="http://schemas.openxmlformats.org/officeDocument/2006/relationships/hyperlink" Target="https://www.casaferretera.com/anclaje_rl_3-8/p?srsltid=AfmBOopd0nix-OjDwcfXZzm2OuT2Va_OmqlyRk5Bc5PP_eIU1OkiFxoU" TargetMode="External"/><Relationship Id="rId90" Type="http://schemas.openxmlformats.org/officeDocument/2006/relationships/hyperlink" Target="https://geztio.co/es-la/upa/co/Mortero-1:4/" TargetMode="External"/><Relationship Id="rId186" Type="http://schemas.openxmlformats.org/officeDocument/2006/relationships/hyperlink" Target="https://www.homecenter.com.co/homecenter-co/product/350570/caja-cuadrada-4x4-plastica-retie-setx10/350570/" TargetMode="External"/><Relationship Id="rId351" Type="http://schemas.openxmlformats.org/officeDocument/2006/relationships/hyperlink" Target="https://fyeel.com.co/productos/994-terminales-premoldeadas-para-15-kv-uso-exterior-para-calibres-de-cable-entre-250-500-juego-x-3-unidades.html" TargetMode="External"/><Relationship Id="rId393" Type="http://schemas.openxmlformats.org/officeDocument/2006/relationships/hyperlink" Target="https://corona.co/productos/lavamanos/lavamanos-free-institucional/p/OO3891001?srsltid=AfmBOornWouR4Mmxwp3uJ760OCrgg0qESqjcaV39u4c2RTK6YY9_OUzE" TargetMode="External"/><Relationship Id="rId407" Type="http://schemas.openxmlformats.org/officeDocument/2006/relationships/hyperlink" Target="https://www.homecenter.com.co/homecenter-co/product/04606/adaptador-macho-1-2-presion/04606/" TargetMode="External"/><Relationship Id="rId449" Type="http://schemas.openxmlformats.org/officeDocument/2006/relationships/hyperlink" Target="https://almacenpanamericano.com.co/product/breaker-regulable-caja-moldeada-40ka-240v-easypact-cv-schneider/" TargetMode="External"/><Relationship Id="rId211" Type="http://schemas.openxmlformats.org/officeDocument/2006/relationships/hyperlink" Target="https://interelectricas.com.co/articulos-electricos/1112-borna-no-8-awg-de-ponchar-estanada-en-cobre-barril-largo.html" TargetMode="External"/><Relationship Id="rId253" Type="http://schemas.openxmlformats.org/officeDocument/2006/relationships/hyperlink" Target="http://www.colombia.generadordeprecios.info/obra_nueva/Revestimentos/Suelos_y_pisos/Contrapisos_y_grandes_recrecidos/Contrapiso_de_concreto_liviano.html" TargetMode="External"/><Relationship Id="rId295" Type="http://schemas.openxmlformats.org/officeDocument/2006/relationships/hyperlink" Target="https://interelectricas.com.co/iluminacion/165-luminaria-led-sylvania-emergencia-aviso-salida-rectangular-verde-18w-110-130v-p33718-19-.html" TargetMode="External"/><Relationship Id="rId309" Type="http://schemas.openxmlformats.org/officeDocument/2006/relationships/hyperlink" Target="https://interelectricas.com.co/lista/LISTA_PRECIOS_PROCABLES.pdf" TargetMode="External"/><Relationship Id="rId460" Type="http://schemas.openxmlformats.org/officeDocument/2006/relationships/hyperlink" Target="https://www.edemco.co/producto/sello-serie-eys-0453-3-4-rw" TargetMode="External"/><Relationship Id="rId48" Type="http://schemas.openxmlformats.org/officeDocument/2006/relationships/hyperlink" Target="https://interelectricas.com.co/tuberia-metalica-y-pvc/959-curva-pvc-de-2.html" TargetMode="External"/><Relationship Id="rId113" Type="http://schemas.openxmlformats.org/officeDocument/2006/relationships/hyperlink" Target="https://interelectricas.com.co/alambres-y-cables/2840-cable-de-cobre-encauchetado-4-x-12-awg-de-metro.html" TargetMode="External"/><Relationship Id="rId320" Type="http://schemas.openxmlformats.org/officeDocument/2006/relationships/hyperlink" Target="https://interelectricas.com.co/tuberia-metalica-y-pvc/2343-tubo-ducto-pvc-db-de-2-x-3-mts.html" TargetMode="External"/><Relationship Id="rId155" Type="http://schemas.openxmlformats.org/officeDocument/2006/relationships/hyperlink" Target="https://interelectricas.com.co/tuberia-metalica-y-pvc/2195-union-metalica-galvanizada-imc-de-1-1-4.html" TargetMode="External"/><Relationship Id="rId197" Type="http://schemas.openxmlformats.org/officeDocument/2006/relationships/hyperlink" Target="https://interelectricas.com.co/tuberia-metalica-y-pvc/958-curva-pvc-de-1.html" TargetMode="External"/><Relationship Id="rId362" Type="http://schemas.openxmlformats.org/officeDocument/2006/relationships/hyperlink" Target="https://geztio.co/upa/co/Mortero-1:5" TargetMode="External"/><Relationship Id="rId418" Type="http://schemas.openxmlformats.org/officeDocument/2006/relationships/hyperlink" Target="https://www.homecenter.com.co/homecenter-co/product/117572/tubo-presion-6-mts-rde-21-200-psi-4-pulg/117572/" TargetMode="External"/><Relationship Id="rId222" Type="http://schemas.openxmlformats.org/officeDocument/2006/relationships/hyperlink" Target="https://interelectricas.com.co/tuberia-metalica-y-pvc/944-grapa-metalica-aleta-doble-1-pulg-.html" TargetMode="External"/><Relationship Id="rId264" Type="http://schemas.openxmlformats.org/officeDocument/2006/relationships/hyperlink" Target="https://interelectricas.com.co/articulos-electricos/2270-caja-concreto-para-camara-de-inspeccion-puesta-a-tierra-30-x-30-con-tapa.html" TargetMode="External"/><Relationship Id="rId471" Type="http://schemas.openxmlformats.org/officeDocument/2006/relationships/hyperlink" Target="https://www.homecenter.com.co/homecenter-co/product/117568/tubo-presion-6-mts-rde-21-200-psi-1-1-2-pulg/117568/" TargetMode="External"/><Relationship Id="rId17" Type="http://schemas.openxmlformats.org/officeDocument/2006/relationships/hyperlink" Target="https://energiaputumayo.com/testimonial/solicitud-publica-de-oferta-no-002-2024/" TargetMode="External"/><Relationship Id="rId59" Type="http://schemas.openxmlformats.org/officeDocument/2006/relationships/hyperlink" Target="https://energiaputumayo.com/testimonial/solicitud-publica-de-oferta-no-002-2024/" TargetMode="External"/><Relationship Id="rId124" Type="http://schemas.openxmlformats.org/officeDocument/2006/relationships/hyperlink" Target="https://interelectricas.com.co/premoldeados-media-baja-tension/2910-cubierta-o-funda-para-linea-desnuda-raychem-35kv-cable-no-2-a-397kcmil-ref-147654-mvlc-18-a241.html" TargetMode="External"/><Relationship Id="rId70" Type="http://schemas.openxmlformats.org/officeDocument/2006/relationships/hyperlink" Target="https://interelectricas.com.co/tuberia-metalica-y-pvc/1508-capacete-roscado-en-aluminio-para-tuberia-imc-de-2.html" TargetMode="External"/><Relationship Id="rId166" Type="http://schemas.openxmlformats.org/officeDocument/2006/relationships/hyperlink" Target="https://interelectricas.com.co/tuberia-metalica-y-pvc/2323-tubo-metalico-imc-de-1-2-pulgadas-x-3-mts-con-union.html" TargetMode="External"/><Relationship Id="rId331" Type="http://schemas.openxmlformats.org/officeDocument/2006/relationships/hyperlink" Target="https://electrificadoracapital.com/producto/tubo-pvc-db-6-x6m-norma" TargetMode="External"/><Relationship Id="rId373" Type="http://schemas.openxmlformats.org/officeDocument/2006/relationships/hyperlink" Target="https://www.homecenter.com.co/homecenter-co/product/299542/codo-90-x-8-cxc-sanitaria/299542/" TargetMode="External"/><Relationship Id="rId429" Type="http://schemas.openxmlformats.org/officeDocument/2006/relationships/hyperlink" Target="https://interelectricas.com.co/tuberia-metalica-y-pvc/2323-tubo-metalico-imc-de-1-2-pulgadas-x-3-mts-con-union.html" TargetMode="External"/><Relationship Id="rId1" Type="http://schemas.openxmlformats.org/officeDocument/2006/relationships/hyperlink" Target="https://selinc.com/es/products/351/" TargetMode="External"/><Relationship Id="rId233" Type="http://schemas.openxmlformats.org/officeDocument/2006/relationships/hyperlink" Target="http://emsercota.gov.co/contratacion/2021/CONTRATOS/%20CONTRATO_126_2021_AL_CONSULTORES_SAS20220124_15214392.pdf" TargetMode="External"/><Relationship Id="rId440" Type="http://schemas.openxmlformats.org/officeDocument/2006/relationships/hyperlink" Target="https://almacenpanamericano.com.co/product/breaker-regulable-caja-moldeada-40ka-240v-easypact-cv-schneider/" TargetMode="External"/><Relationship Id="rId28" Type="http://schemas.openxmlformats.org/officeDocument/2006/relationships/hyperlink" Target="https://energiaputumayo.com/testimonial/solicitud-publica-de-oferta-no-002-2024/" TargetMode="External"/><Relationship Id="rId275" Type="http://schemas.openxmlformats.org/officeDocument/2006/relationships/hyperlink" Target="http://www.colombia.generadordeprecios.info/obra_nueva/Fachadas/Mamposterias_estructurales/Hoja_exterior_cara_vista/FFX010_Hoja_exterior_de_fachada__de_mampos.html" TargetMode="External"/><Relationship Id="rId300" Type="http://schemas.openxmlformats.org/officeDocument/2006/relationships/hyperlink" Target="https://electrificadoracapital.com/producto/interruptor-doble-4-vias-10a-127v-negro-mate?srsltid=AfmBOooT5TQFVXZiFRaPrRvdj_oX82Au73JY6YNPO0ta81XXyhv8iH8e" TargetMode="External"/><Relationship Id="rId482" Type="http://schemas.openxmlformats.org/officeDocument/2006/relationships/hyperlink" Target="file:///C:\Users\Luis%20Gerardo%20L&#243;pez%20M\AppData\Roaming\Microsoft\Excel\RV_%20COTIZACION\RV_%20Baraya-Ehuila-%20ABB_%20Cotizaci&#243;n%20Equipos%20Potencia\OPP-23-6352727%20%20Rev.%2002%20SUMINISTRO%20EQUIPOS%20PATIO.pdf" TargetMode="External"/><Relationship Id="rId81" Type="http://schemas.openxmlformats.org/officeDocument/2006/relationships/hyperlink" Target="https://www.surtielectronic.com/producto/sylvania-p23679-36-led-jeta-pro-luminaria-100w-dl-unv?srsltid=AfmBOop2MJfnip9Cs6cPFwzFgbmt-psNqC2LIvwjsSk3_N7HyPjnZx3W" TargetMode="External"/><Relationship Id="rId135" Type="http://schemas.openxmlformats.org/officeDocument/2006/relationships/hyperlink" Target="https://interelectricas.com.co/breakers/1284-breaker-de-riel-tripolar-abb-3-x-40a-10ka.html" TargetMode="External"/><Relationship Id="rId177" Type="http://schemas.openxmlformats.org/officeDocument/2006/relationships/hyperlink" Target="https://interelectricas.com.co/articulos-electricos/1544-cinta-aislante-azul-x-15-mts.html" TargetMode="External"/><Relationship Id="rId342" Type="http://schemas.openxmlformats.org/officeDocument/2006/relationships/hyperlink" Target="https://interelectricas.com.co/aisladores/4161-aislador-tipo-pin-polimerico-35kv.html" TargetMode="External"/><Relationship Id="rId384" Type="http://schemas.openxmlformats.org/officeDocument/2006/relationships/hyperlink" Target="http://www.colombia.generadordeprecios.info/obra_nueva/calculaprecio.asp?Valor=55|0_0_0_0|1|UAA010|uaa_010:_0_0_0_1_0_0_1_0_0" TargetMode="External"/><Relationship Id="rId202" Type="http://schemas.openxmlformats.org/officeDocument/2006/relationships/hyperlink" Target="https://interelectricas.com.co/maniobra-e-industria/1635-toma-sencilla-legrand-20amp-125v-2f-turnlok-p-tierra.html" TargetMode="External"/><Relationship Id="rId244" Type="http://schemas.openxmlformats.org/officeDocument/2006/relationships/hyperlink" Target="http://www.colombia.generadordeprecios.info/obra_nueva/Revestimentos/Suelos_y_pisos/Ceramicos_gres/RSG010_Piso_de_baldosas_ceramicas_colocada.html" TargetMode="External"/><Relationship Id="rId39" Type="http://schemas.openxmlformats.org/officeDocument/2006/relationships/hyperlink" Target="https://electroservimos.co/sistemas-de-canalizacion/1859-c7lr11-conduleta-de-lr-imc-rosca-cooper-crouse-hinds.html" TargetMode="External"/><Relationship Id="rId286" Type="http://schemas.openxmlformats.org/officeDocument/2006/relationships/hyperlink" Target="https://interelectricas.com.co/lista/LISTA_PRECIOS_CL_INGENIERIA.pdf?__cf_chl_tk=zP6d1uC1CL3yA.cbhUVzZlb7FXa21VeeR_R5.JpYQ_4-1739292848-1.0.1.1-idh.FequtBahebQ5CvGqcSdKr.tgn87y7zLncKpo0AI" TargetMode="External"/><Relationship Id="rId451" Type="http://schemas.openxmlformats.org/officeDocument/2006/relationships/hyperlink" Target="https://interelectricas.com.co/tuberia-metalica-y-pvc/2328-union-emt-acero-c-h-1-1-2-pulgadas.html" TargetMode="External"/><Relationship Id="rId50" Type="http://schemas.openxmlformats.org/officeDocument/2006/relationships/hyperlink" Target="https://vitelenergia.com/es/condulet-aluminio-lr-2.html" TargetMode="External"/><Relationship Id="rId104" Type="http://schemas.openxmlformats.org/officeDocument/2006/relationships/hyperlink" Target="https://www.homecenter.com.co/homecenter-co/product/889451/propack-interruptor-sencillo-5-unds-lynx-blanco/889451/" TargetMode="External"/><Relationship Id="rId146" Type="http://schemas.openxmlformats.org/officeDocument/2006/relationships/hyperlink" Target="https://interelectricas.com.co/articulos-electricos/392-riel-channel-4x2-x-3-00-mts-troquelado.html" TargetMode="External"/><Relationship Id="rId188" Type="http://schemas.openxmlformats.org/officeDocument/2006/relationships/hyperlink" Target="https://www.ferrelectrica.cl/product/prensa-estopa-metalica-1-2-12mm?srsltid=AfmBOopKqhsbCBVZiTvDOiknkRFmsLkGqVXVOQ3P_VCqzG83TS-7eN6g" TargetMode="External"/><Relationship Id="rId311" Type="http://schemas.openxmlformats.org/officeDocument/2006/relationships/hyperlink" Target="https://interelectricas.com.co/articulos-electricos/1408-suplemento-proelectricos-2400-galvanizado.html" TargetMode="External"/><Relationship Id="rId353" Type="http://schemas.openxmlformats.org/officeDocument/2006/relationships/hyperlink" Target="https://interelectricas.com.co/articulos-electricos/1125-borna-ied-ponchar-cu-rojo-n-4-0.html" TargetMode="External"/><Relationship Id="rId395" Type="http://schemas.openxmlformats.org/officeDocument/2006/relationships/hyperlink" Target="https://www.homecenter.com.co/homecenter-co/product/190406/griferia-lavamanos-monocontrol-alta-milan/190406/" TargetMode="External"/><Relationship Id="rId409" Type="http://schemas.openxmlformats.org/officeDocument/2006/relationships/hyperlink" Target="https://www.homecenter.com.co/homecenter-co/product/149167/geotextil-nt-1600s-1mt-largo-x-35mt-ancho/149167/" TargetMode="External"/><Relationship Id="rId92" Type="http://schemas.openxmlformats.org/officeDocument/2006/relationships/hyperlink" Target="https://comem.com.co/producto/terminal-pvc-2-" TargetMode="External"/><Relationship Id="rId213" Type="http://schemas.openxmlformats.org/officeDocument/2006/relationships/hyperlink" Target="https://interelectricas.com.co/herrajes-electricos/1743-conector-bimetalico-1-perno-no-1-cab-6.html" TargetMode="External"/><Relationship Id="rId420" Type="http://schemas.openxmlformats.org/officeDocument/2006/relationships/hyperlink" Target="https://selinc.com/es/products/351/" TargetMode="External"/><Relationship Id="rId255" Type="http://schemas.openxmlformats.org/officeDocument/2006/relationships/hyperlink" Target="https://colombia.generadordeprecios.info/obra_nueva/Cimentaciones/Superficiales/Zapatas/CSZ015_Zapata_de_cimentacion_de_concreto_s.html" TargetMode="External"/><Relationship Id="rId297" Type="http://schemas.openxmlformats.org/officeDocument/2006/relationships/hyperlink" Target="https://interelectricas.com.co/articulos-electricos/136-ultra-interruptor-doble-conmutable-blanco.html" TargetMode="External"/><Relationship Id="rId462" Type="http://schemas.openxmlformats.org/officeDocument/2006/relationships/hyperlink" Target="https://www.homecenter.com.co/homecenter-co/product/52872/malla-18mt-x-10mt-metal-2-1-4-x-2-1-4-25mm-eslabonada/52872/" TargetMode="External"/><Relationship Id="rId115" Type="http://schemas.openxmlformats.org/officeDocument/2006/relationships/hyperlink" Target="https://interelectricas.com.co/puesta-a-tierra/802-soldadura-exotermica-grounding-115-gramos.html" TargetMode="External"/><Relationship Id="rId157" Type="http://schemas.openxmlformats.org/officeDocument/2006/relationships/hyperlink" Target="https://www.compelelectronica.com/product/cable-ftp-con-categoria-6-apantallado-utpftp/" TargetMode="External"/><Relationship Id="rId322" Type="http://schemas.openxmlformats.org/officeDocument/2006/relationships/hyperlink" Target="https://interelectricas.com.co/herrajes-electricos/1740-conector-coraza-liquid-tight-recto-2-pulg-.html" TargetMode="External"/><Relationship Id="rId364" Type="http://schemas.openxmlformats.org/officeDocument/2006/relationships/hyperlink" Target="https://gyj.com.co/bogota_65/lamina-alfajor-bogota-65-acero-industrial.html?srsltid=AfmBOoqXtV4iyKbLWFuREPO6BVTDZ2yL0wEo7pieJQ1rCNgP1t3ucFvq" TargetMode="External"/><Relationship Id="rId61" Type="http://schemas.openxmlformats.org/officeDocument/2006/relationships/hyperlink" Target="https://www.daga-store.com/patch-cords-duplex-multimodo-om3-lc-lc" TargetMode="External"/><Relationship Id="rId199" Type="http://schemas.openxmlformats.org/officeDocument/2006/relationships/hyperlink" Target="https://edemco.co/index.php/producto/tapa-tc-rawelt-0418-4-4-ciega" TargetMode="External"/><Relationship Id="rId19" Type="http://schemas.openxmlformats.org/officeDocument/2006/relationships/hyperlink" Target="https://www.proelectrico.com/wp-content/uploads/2024/10/Lista-de-Precios-2024.pdf" TargetMode="External"/><Relationship Id="rId224" Type="http://schemas.openxmlformats.org/officeDocument/2006/relationships/hyperlink" Target="https://www.homecenter.com.co/homecenter-co/product/456213/amarra-plastica-blanca-36-x-200mm-paquete-x-100-unidades/456213/" TargetMode="External"/><Relationship Id="rId266" Type="http://schemas.openxmlformats.org/officeDocument/2006/relationships/hyperlink" Target="http://www.colombia.generadordeprecios.info/obra_nueva/Cimentaciones/Concretos__aceros_y_encofrados/Concretos/Concreto_ciclopeo.html" TargetMode="External"/><Relationship Id="rId431" Type="http://schemas.openxmlformats.org/officeDocument/2006/relationships/hyperlink" Target="https://www.homecenter.com.co/homecenter-co/product/491912/toma-aerea-de-seguridad-hembra-de-4-polos-halux/491912/" TargetMode="External"/><Relationship Id="rId473" Type="http://schemas.openxmlformats.org/officeDocument/2006/relationships/hyperlink" Target="https://www.homecenter.com.co/homecenter-co/product/04604/union-1-1-2-presion/04604/" TargetMode="External"/><Relationship Id="rId30" Type="http://schemas.openxmlformats.org/officeDocument/2006/relationships/hyperlink" Target="https://interelectricas.com.co/lista/LISTA_PRECIOS_CL_INGENIERIA.pdf?__cf_chl_tk=zP6d1uC1CL3yA.cbhUVzZlb7FXa21VeeR_R5.JpYQ_4-1739292848-1.0.1.1-idh.FequtBahebQ5CvGqcSdKr.tgn87y7zLncKpo0AI" TargetMode="External"/><Relationship Id="rId126" Type="http://schemas.openxmlformats.org/officeDocument/2006/relationships/hyperlink" Target="https://interelectricas.com.co/puesta-a-tierra/803-soldadura-exotermica-grounding-150-gramos.html" TargetMode="External"/><Relationship Id="rId168" Type="http://schemas.openxmlformats.org/officeDocument/2006/relationships/hyperlink" Target="https://aldiaferreteria.com/presion/974-union-pvc-presion-de-1?srsltid=AfmBOor-jYKacUCH1AEWwb_xjTFA3yVSo4uiRINk8eYvkP7yk8BrohCJ" TargetMode="External"/><Relationship Id="rId333" Type="http://schemas.openxmlformats.org/officeDocument/2006/relationships/hyperlink" Target="file:///C:\Users\Luis%20Gerardo%20L&#243;pez%20M\AppData\Roaming\Microsoft\Excel\RV_%20COTIZACION\RV_%20Baraya-Ehuila-%20ABB_%20Cotizaci&#243;n%20Equipos%20Potencia\OPP-23-6352727%20%20Rev.%2002%20SUMINISTRO%20EQUIPOS%20PATIO.pdf" TargetMode="External"/><Relationship Id="rId72" Type="http://schemas.openxmlformats.org/officeDocument/2006/relationships/hyperlink" Target="https://www.epm.com.co/content/dam/epm/clientes-y-usuarios/energia/m%C3%A1s-de-energ%C3%ADa/costos-asociados-a-la-conexion-y-decretos-de-precios/documentos/decreto-de-precios-portafolio.pdf" TargetMode="External"/><Relationship Id="rId375" Type="http://schemas.openxmlformats.org/officeDocument/2006/relationships/hyperlink" Target="https://www.homecenter.com.co/homecenter-co/product/212209/accesorio-alcantarillado-tdp-union-10pulg/212209/" TargetMode="External"/><Relationship Id="rId3" Type="http://schemas.openxmlformats.org/officeDocument/2006/relationships/hyperlink" Target="https://www.comdiel.cl/cable-fibra-optica-multimodo-exterior-24-fibras-om3-lszh?srsltid=AfmBOopOxT_YDy_JyXaH6EZHofJndYZUhiUW0RL_HanBHL9hkPOXK0_Z" TargetMode="External"/><Relationship Id="rId235" Type="http://schemas.openxmlformats.org/officeDocument/2006/relationships/hyperlink" Target="https://www.homecenter.com.co/homecenter-co/product/553695/espejo-decorativo-circular-40cm/553695/" TargetMode="External"/><Relationship Id="rId277" Type="http://schemas.openxmlformats.org/officeDocument/2006/relationships/hyperlink" Target="https://cimbrados.com/product-category/vias/" TargetMode="External"/><Relationship Id="rId400" Type="http://schemas.openxmlformats.org/officeDocument/2006/relationships/hyperlink" Target="https://www.homecenter.com.co/homecenter-co/product/04755/codo-90-x-1-presion/04755/" TargetMode="External"/><Relationship Id="rId442" Type="http://schemas.openxmlformats.org/officeDocument/2006/relationships/hyperlink" Target="https://almacenpanamericano.com.co/product/breaker-regulable-caja-moldeada-40ka-240v-easypact-cv-schneider/" TargetMode="External"/><Relationship Id="rId484" Type="http://schemas.openxmlformats.org/officeDocument/2006/relationships/hyperlink" Target="https://interelectricas.com.co/aisladores/2970-aislador-suspension-10-ansi-52-4-ansi-52-4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6A04-254F-4463-B089-5F138521E276}">
  <sheetPr codeName="Hoja23"/>
  <dimension ref="A1:I681"/>
  <sheetViews>
    <sheetView topLeftCell="A652" workbookViewId="0">
      <selection activeCell="B1" sqref="B1"/>
    </sheetView>
  </sheetViews>
  <sheetFormatPr baseColWidth="10" defaultRowHeight="15" x14ac:dyDescent="0.25"/>
  <cols>
    <col min="1" max="1" width="9.140625" bestFit="1" customWidth="1"/>
    <col min="2" max="2" width="82.28515625" customWidth="1"/>
    <col min="3" max="3" width="19.140625" bestFit="1" customWidth="1"/>
    <col min="4" max="4" width="8.140625" bestFit="1" customWidth="1"/>
    <col min="5" max="5" width="21.42578125" bestFit="1" customWidth="1"/>
    <col min="6" max="6" width="13.85546875" bestFit="1" customWidth="1"/>
    <col min="7" max="7" width="14.5703125" customWidth="1"/>
    <col min="8" max="8" width="18" customWidth="1"/>
  </cols>
  <sheetData>
    <row r="1" spans="1:8" x14ac:dyDescent="0.25">
      <c r="A1" s="27" t="s">
        <v>166</v>
      </c>
      <c r="B1" s="27" t="s">
        <v>36</v>
      </c>
      <c r="C1" s="27" t="s">
        <v>148</v>
      </c>
      <c r="D1" s="27" t="s">
        <v>37</v>
      </c>
      <c r="E1" s="37" t="s">
        <v>1094</v>
      </c>
      <c r="F1" s="27" t="s">
        <v>1093</v>
      </c>
      <c r="G1" s="27" t="s">
        <v>189</v>
      </c>
      <c r="H1" s="27" t="s">
        <v>355</v>
      </c>
    </row>
    <row r="2" spans="1:8" x14ac:dyDescent="0.25">
      <c r="A2" s="211" t="s">
        <v>330</v>
      </c>
      <c r="B2" t="s">
        <v>372</v>
      </c>
      <c r="C2" s="48">
        <f t="shared" ref="C2:C13" si="0">E2*F2</f>
        <v>104000</v>
      </c>
      <c r="D2" t="s">
        <v>8</v>
      </c>
      <c r="E2" s="190">
        <v>80000</v>
      </c>
      <c r="F2" s="212">
        <v>1.3</v>
      </c>
      <c r="G2" s="213">
        <v>45693</v>
      </c>
      <c r="H2" s="77" t="s">
        <v>406</v>
      </c>
    </row>
    <row r="3" spans="1:8" x14ac:dyDescent="0.25">
      <c r="A3" s="211" t="s">
        <v>332</v>
      </c>
      <c r="B3" t="s">
        <v>2938</v>
      </c>
      <c r="C3" s="48">
        <f t="shared" si="0"/>
        <v>107835</v>
      </c>
      <c r="D3" t="s">
        <v>8</v>
      </c>
      <c r="E3" s="190">
        <v>82950</v>
      </c>
      <c r="F3" s="212">
        <v>1.3</v>
      </c>
      <c r="G3" s="213">
        <v>45693</v>
      </c>
      <c r="H3" s="77" t="s">
        <v>407</v>
      </c>
    </row>
    <row r="4" spans="1:8" x14ac:dyDescent="0.25">
      <c r="A4" s="211" t="s">
        <v>333</v>
      </c>
      <c r="B4" t="s">
        <v>28</v>
      </c>
      <c r="C4" s="48">
        <f t="shared" si="0"/>
        <v>99645</v>
      </c>
      <c r="D4" t="s">
        <v>8</v>
      </c>
      <c r="E4" s="190">
        <v>76650</v>
      </c>
      <c r="F4" s="212">
        <v>1.3</v>
      </c>
      <c r="G4" s="213">
        <v>45693</v>
      </c>
      <c r="H4" s="77" t="s">
        <v>408</v>
      </c>
    </row>
    <row r="5" spans="1:8" x14ac:dyDescent="0.25">
      <c r="A5" s="211" t="s">
        <v>334</v>
      </c>
      <c r="B5" t="s">
        <v>2932</v>
      </c>
      <c r="C5" s="48">
        <f t="shared" si="0"/>
        <v>24505</v>
      </c>
      <c r="D5" t="s">
        <v>8</v>
      </c>
      <c r="E5" s="190">
        <v>18850</v>
      </c>
      <c r="F5" s="212">
        <v>1.3</v>
      </c>
      <c r="G5" s="213">
        <v>45693</v>
      </c>
      <c r="H5" s="77" t="s">
        <v>409</v>
      </c>
    </row>
    <row r="6" spans="1:8" x14ac:dyDescent="0.25">
      <c r="A6" s="211" t="s">
        <v>335</v>
      </c>
      <c r="B6" t="s">
        <v>2933</v>
      </c>
      <c r="C6" s="48">
        <f t="shared" si="0"/>
        <v>27755</v>
      </c>
      <c r="D6" t="s">
        <v>8</v>
      </c>
      <c r="E6" s="190">
        <v>21350</v>
      </c>
      <c r="F6" s="212">
        <v>1.3</v>
      </c>
      <c r="G6" s="213">
        <v>45693</v>
      </c>
      <c r="H6" s="77" t="s">
        <v>410</v>
      </c>
    </row>
    <row r="7" spans="1:8" x14ac:dyDescent="0.25">
      <c r="A7" s="211" t="s">
        <v>336</v>
      </c>
      <c r="B7" t="s">
        <v>2934</v>
      </c>
      <c r="C7" s="48">
        <f t="shared" si="0"/>
        <v>33150</v>
      </c>
      <c r="D7" t="s">
        <v>8</v>
      </c>
      <c r="E7" s="190">
        <v>25500</v>
      </c>
      <c r="F7" s="212">
        <v>1.3</v>
      </c>
      <c r="G7" s="213">
        <v>45693</v>
      </c>
      <c r="H7" s="77" t="s">
        <v>411</v>
      </c>
    </row>
    <row r="8" spans="1:8" x14ac:dyDescent="0.25">
      <c r="A8" s="211" t="s">
        <v>337</v>
      </c>
      <c r="B8" t="s">
        <v>2935</v>
      </c>
      <c r="C8" s="48">
        <f t="shared" si="0"/>
        <v>39000</v>
      </c>
      <c r="D8" t="s">
        <v>8</v>
      </c>
      <c r="E8" s="190">
        <v>30000</v>
      </c>
      <c r="F8" s="212">
        <v>1.3</v>
      </c>
      <c r="G8" s="213">
        <v>45693</v>
      </c>
      <c r="H8" s="77" t="s">
        <v>429</v>
      </c>
    </row>
    <row r="9" spans="1:8" x14ac:dyDescent="0.25">
      <c r="A9" s="211" t="s">
        <v>338</v>
      </c>
      <c r="B9" t="s">
        <v>2936</v>
      </c>
      <c r="C9" s="48">
        <f t="shared" si="0"/>
        <v>763908.6</v>
      </c>
      <c r="D9" t="s">
        <v>8</v>
      </c>
      <c r="E9" s="190">
        <v>587622</v>
      </c>
      <c r="F9" s="212">
        <v>1.3</v>
      </c>
      <c r="G9" s="213">
        <v>45693</v>
      </c>
      <c r="H9" s="77" t="s">
        <v>412</v>
      </c>
    </row>
    <row r="10" spans="1:8" x14ac:dyDescent="0.25">
      <c r="A10" s="211" t="s">
        <v>339</v>
      </c>
      <c r="B10" t="s">
        <v>2937</v>
      </c>
      <c r="C10" s="48">
        <f t="shared" si="0"/>
        <v>10920</v>
      </c>
      <c r="D10" t="s">
        <v>8</v>
      </c>
      <c r="E10" s="190">
        <v>8400</v>
      </c>
      <c r="F10" s="212">
        <v>1.3</v>
      </c>
      <c r="G10" s="213">
        <v>45693</v>
      </c>
      <c r="H10" s="77" t="s">
        <v>413</v>
      </c>
    </row>
    <row r="11" spans="1:8" x14ac:dyDescent="0.25">
      <c r="A11" s="211" t="s">
        <v>340</v>
      </c>
      <c r="B11" t="s">
        <v>373</v>
      </c>
      <c r="C11" s="48">
        <f t="shared" si="0"/>
        <v>37155.300000000003</v>
      </c>
      <c r="D11" t="s">
        <v>8</v>
      </c>
      <c r="E11" s="190">
        <v>28581</v>
      </c>
      <c r="F11" s="212">
        <v>1.3</v>
      </c>
      <c r="G11" s="213">
        <v>45693</v>
      </c>
      <c r="H11" s="77" t="s">
        <v>414</v>
      </c>
    </row>
    <row r="12" spans="1:8" x14ac:dyDescent="0.25">
      <c r="A12" s="211" t="s">
        <v>341</v>
      </c>
      <c r="B12" t="s">
        <v>2939</v>
      </c>
      <c r="C12" s="48">
        <f t="shared" si="0"/>
        <v>18200</v>
      </c>
      <c r="D12" t="s">
        <v>8</v>
      </c>
      <c r="E12" s="190">
        <v>14000</v>
      </c>
      <c r="F12" s="212">
        <v>1.3</v>
      </c>
      <c r="G12" s="213">
        <v>45693</v>
      </c>
      <c r="H12" s="77" t="s">
        <v>415</v>
      </c>
    </row>
    <row r="13" spans="1:8" x14ac:dyDescent="0.25">
      <c r="A13" s="211" t="s">
        <v>342</v>
      </c>
      <c r="B13" t="s">
        <v>365</v>
      </c>
      <c r="C13" s="48">
        <f t="shared" si="0"/>
        <v>2782325</v>
      </c>
      <c r="D13" t="s">
        <v>8</v>
      </c>
      <c r="E13" s="190">
        <v>2140250</v>
      </c>
      <c r="F13" s="212">
        <v>1.3</v>
      </c>
      <c r="G13" s="213">
        <v>45693</v>
      </c>
      <c r="H13" s="77" t="s">
        <v>417</v>
      </c>
    </row>
    <row r="14" spans="1:8" x14ac:dyDescent="0.25">
      <c r="A14" s="211" t="s">
        <v>343</v>
      </c>
      <c r="B14" t="s">
        <v>418</v>
      </c>
      <c r="C14" s="48">
        <v>8577</v>
      </c>
      <c r="D14" t="s">
        <v>113</v>
      </c>
      <c r="E14" s="190">
        <v>16379</v>
      </c>
      <c r="F14" s="212">
        <v>1.3</v>
      </c>
      <c r="G14" s="213">
        <v>45694</v>
      </c>
      <c r="H14" s="77" t="s">
        <v>1104</v>
      </c>
    </row>
    <row r="15" spans="1:8" x14ac:dyDescent="0.25">
      <c r="A15" s="211" t="s">
        <v>344</v>
      </c>
      <c r="B15" t="s">
        <v>419</v>
      </c>
      <c r="C15" s="48">
        <f t="shared" ref="C15:C54" si="1">E15*F15</f>
        <v>620227.23330691375</v>
      </c>
      <c r="D15" t="s">
        <v>114</v>
      </c>
      <c r="E15" s="190">
        <v>477097.87177454901</v>
      </c>
      <c r="F15" s="212">
        <v>1.3</v>
      </c>
      <c r="G15" s="213">
        <v>45694</v>
      </c>
      <c r="H15" s="77" t="s">
        <v>424</v>
      </c>
    </row>
    <row r="16" spans="1:8" x14ac:dyDescent="0.25">
      <c r="A16" s="211" t="s">
        <v>345</v>
      </c>
      <c r="B16" t="s">
        <v>425</v>
      </c>
      <c r="C16" s="48">
        <f t="shared" si="1"/>
        <v>46020</v>
      </c>
      <c r="D16" t="s">
        <v>108</v>
      </c>
      <c r="E16" s="190">
        <v>35400</v>
      </c>
      <c r="F16" s="212">
        <v>1.3</v>
      </c>
      <c r="G16" s="213">
        <v>45694</v>
      </c>
      <c r="H16" s="77" t="s">
        <v>427</v>
      </c>
    </row>
    <row r="17" spans="1:8" x14ac:dyDescent="0.25">
      <c r="A17" s="211" t="s">
        <v>352</v>
      </c>
      <c r="B17" t="s">
        <v>1851</v>
      </c>
      <c r="C17" s="48">
        <f t="shared" si="1"/>
        <v>104000</v>
      </c>
      <c r="D17" t="s">
        <v>113</v>
      </c>
      <c r="E17" s="190">
        <v>80000</v>
      </c>
      <c r="F17" s="212">
        <v>1.3</v>
      </c>
      <c r="G17" s="213">
        <v>45694</v>
      </c>
      <c r="H17" s="77" t="s">
        <v>429</v>
      </c>
    </row>
    <row r="18" spans="1:8" x14ac:dyDescent="0.25">
      <c r="A18" s="211" t="s">
        <v>353</v>
      </c>
      <c r="B18" t="s">
        <v>420</v>
      </c>
      <c r="C18" s="48">
        <f t="shared" si="1"/>
        <v>45663.8</v>
      </c>
      <c r="D18" t="s">
        <v>114</v>
      </c>
      <c r="E18" s="190">
        <v>35126</v>
      </c>
      <c r="F18" s="212">
        <v>1.3</v>
      </c>
      <c r="G18" s="213">
        <v>45694</v>
      </c>
      <c r="H18" s="77" t="s">
        <v>428</v>
      </c>
    </row>
    <row r="19" spans="1:8" x14ac:dyDescent="0.25">
      <c r="A19" s="211" t="s">
        <v>354</v>
      </c>
      <c r="B19" t="s">
        <v>366</v>
      </c>
      <c r="C19" s="48">
        <f t="shared" si="1"/>
        <v>10400</v>
      </c>
      <c r="D19" t="s">
        <v>108</v>
      </c>
      <c r="E19" s="190">
        <v>8000</v>
      </c>
      <c r="F19" s="212">
        <v>1.3</v>
      </c>
      <c r="G19" s="213">
        <v>45455</v>
      </c>
      <c r="H19" s="77" t="s">
        <v>430</v>
      </c>
    </row>
    <row r="20" spans="1:8" x14ac:dyDescent="0.25">
      <c r="A20" s="211" t="s">
        <v>356</v>
      </c>
      <c r="B20" t="s">
        <v>367</v>
      </c>
      <c r="C20" s="48">
        <f t="shared" si="1"/>
        <v>63707.161699999997</v>
      </c>
      <c r="D20" t="s">
        <v>108</v>
      </c>
      <c r="E20" s="190">
        <v>49005.508999999998</v>
      </c>
      <c r="F20" s="212">
        <v>1.3</v>
      </c>
      <c r="G20" s="213">
        <v>45694</v>
      </c>
      <c r="H20" s="111" t="s">
        <v>768</v>
      </c>
    </row>
    <row r="21" spans="1:8" x14ac:dyDescent="0.25">
      <c r="A21" s="211" t="s">
        <v>357</v>
      </c>
      <c r="B21" t="s">
        <v>331</v>
      </c>
      <c r="C21" s="48">
        <f t="shared" si="1"/>
        <v>972000000</v>
      </c>
      <c r="D21" t="s">
        <v>8</v>
      </c>
      <c r="E21" s="190">
        <f>180000*'Precio Monedas'!B2</f>
        <v>810000000</v>
      </c>
      <c r="F21" s="212">
        <v>1.2</v>
      </c>
      <c r="G21" s="213">
        <v>45694</v>
      </c>
      <c r="H21" s="78" t="s">
        <v>1117</v>
      </c>
    </row>
    <row r="22" spans="1:8" x14ac:dyDescent="0.25">
      <c r="A22" s="211" t="s">
        <v>358</v>
      </c>
      <c r="B22" t="s">
        <v>1371</v>
      </c>
      <c r="C22" s="48">
        <f t="shared" si="1"/>
        <v>156633750</v>
      </c>
      <c r="D22" t="s">
        <v>8</v>
      </c>
      <c r="E22" s="190">
        <f>22500*'Precio Monedas'!B2*1.19</f>
        <v>120487500</v>
      </c>
      <c r="F22" s="212">
        <v>1.3</v>
      </c>
      <c r="G22" s="213">
        <v>45695</v>
      </c>
      <c r="H22" s="77" t="s">
        <v>2340</v>
      </c>
    </row>
    <row r="23" spans="1:8" x14ac:dyDescent="0.25">
      <c r="A23" s="211" t="s">
        <v>359</v>
      </c>
      <c r="B23" t="s">
        <v>346</v>
      </c>
      <c r="C23" s="48">
        <f t="shared" si="1"/>
        <v>57857274.592899233</v>
      </c>
      <c r="D23" t="s">
        <v>8</v>
      </c>
      <c r="E23" s="190">
        <v>48214395.494082697</v>
      </c>
      <c r="F23" s="212">
        <v>1.2</v>
      </c>
      <c r="G23" s="213">
        <v>45695</v>
      </c>
      <c r="H23" s="77" t="s">
        <v>318</v>
      </c>
    </row>
    <row r="24" spans="1:8" x14ac:dyDescent="0.25">
      <c r="A24" s="211" t="s">
        <v>360</v>
      </c>
      <c r="B24" t="s">
        <v>347</v>
      </c>
      <c r="C24" s="48">
        <f t="shared" si="1"/>
        <v>38388148.806243218</v>
      </c>
      <c r="D24" t="s">
        <v>8</v>
      </c>
      <c r="E24" s="190">
        <v>31990124.005202681</v>
      </c>
      <c r="F24" s="212">
        <v>1.2</v>
      </c>
      <c r="G24" s="213">
        <v>45695</v>
      </c>
      <c r="H24" s="77" t="s">
        <v>318</v>
      </c>
    </row>
    <row r="25" spans="1:8" x14ac:dyDescent="0.25">
      <c r="A25" s="211" t="s">
        <v>361</v>
      </c>
      <c r="B25" t="s">
        <v>778</v>
      </c>
      <c r="C25" s="48">
        <f t="shared" si="1"/>
        <v>394810</v>
      </c>
      <c r="D25" t="s">
        <v>8</v>
      </c>
      <c r="E25" s="190">
        <v>303700</v>
      </c>
      <c r="F25" s="212">
        <v>1.3</v>
      </c>
      <c r="G25" s="213">
        <v>45692</v>
      </c>
      <c r="H25" s="77" t="s">
        <v>399</v>
      </c>
    </row>
    <row r="26" spans="1:8" x14ac:dyDescent="0.25">
      <c r="A26" s="211" t="s">
        <v>362</v>
      </c>
      <c r="B26" t="s">
        <v>772</v>
      </c>
      <c r="C26" s="48">
        <f t="shared" si="1"/>
        <v>9282000</v>
      </c>
      <c r="D26" t="s">
        <v>8</v>
      </c>
      <c r="E26" s="190">
        <f>6000000*1.19</f>
        <v>7140000</v>
      </c>
      <c r="F26" s="212">
        <v>1.3</v>
      </c>
      <c r="G26" s="213">
        <v>45692</v>
      </c>
      <c r="H26" s="77" t="s">
        <v>780</v>
      </c>
    </row>
    <row r="27" spans="1:8" x14ac:dyDescent="0.25">
      <c r="A27" s="211" t="s">
        <v>363</v>
      </c>
      <c r="B27" t="s">
        <v>773</v>
      </c>
      <c r="C27" s="48">
        <f t="shared" si="1"/>
        <v>25061400</v>
      </c>
      <c r="D27" t="s">
        <v>8</v>
      </c>
      <c r="E27" s="190">
        <f>3900*'Precio Monedas'!B2*1.19</f>
        <v>20884500</v>
      </c>
      <c r="F27" s="212">
        <v>1.2</v>
      </c>
      <c r="G27" s="213">
        <v>45695</v>
      </c>
      <c r="H27" s="77" t="s">
        <v>2341</v>
      </c>
    </row>
    <row r="28" spans="1:8" x14ac:dyDescent="0.25">
      <c r="A28" s="211" t="s">
        <v>364</v>
      </c>
      <c r="B28" t="s">
        <v>774</v>
      </c>
      <c r="C28" s="48">
        <f t="shared" si="1"/>
        <v>23776200</v>
      </c>
      <c r="D28" t="s">
        <v>8</v>
      </c>
      <c r="E28" s="190">
        <f>3700*'Precio Monedas'!B2*1.19</f>
        <v>19813500</v>
      </c>
      <c r="F28" s="212">
        <v>1.2</v>
      </c>
      <c r="G28" s="213">
        <v>45695</v>
      </c>
      <c r="H28" s="77" t="s">
        <v>2341</v>
      </c>
    </row>
    <row r="29" spans="1:8" x14ac:dyDescent="0.25">
      <c r="A29" s="211" t="s">
        <v>380</v>
      </c>
      <c r="B29" t="s">
        <v>775</v>
      </c>
      <c r="C29" s="48">
        <f t="shared" si="1"/>
        <v>23776200</v>
      </c>
      <c r="D29" t="s">
        <v>8</v>
      </c>
      <c r="E29" s="190">
        <f>3700*'Precio Monedas'!B2*1.19</f>
        <v>19813500</v>
      </c>
      <c r="F29" s="212">
        <v>1.2</v>
      </c>
      <c r="G29" s="213">
        <v>45695</v>
      </c>
      <c r="H29" s="77" t="s">
        <v>2341</v>
      </c>
    </row>
    <row r="30" spans="1:8" x14ac:dyDescent="0.25">
      <c r="A30" s="211" t="s">
        <v>381</v>
      </c>
      <c r="B30" t="s">
        <v>348</v>
      </c>
      <c r="C30" s="48">
        <f t="shared" si="1"/>
        <v>21205800</v>
      </c>
      <c r="D30" t="s">
        <v>8</v>
      </c>
      <c r="E30" s="190">
        <f>3300*'Precio Monedas'!B2*1.19</f>
        <v>17671500</v>
      </c>
      <c r="F30" s="212">
        <v>1.2</v>
      </c>
      <c r="G30" s="213">
        <v>45695</v>
      </c>
      <c r="H30" s="77" t="s">
        <v>2341</v>
      </c>
    </row>
    <row r="31" spans="1:8" x14ac:dyDescent="0.25">
      <c r="A31" s="211" t="s">
        <v>382</v>
      </c>
      <c r="B31" t="s">
        <v>1372</v>
      </c>
      <c r="C31" s="48">
        <f t="shared" si="1"/>
        <v>21205800</v>
      </c>
      <c r="D31" t="s">
        <v>8</v>
      </c>
      <c r="E31" s="190">
        <f>3300*'Precio Monedas'!B2*1.19</f>
        <v>17671500</v>
      </c>
      <c r="F31" s="212">
        <v>1.2</v>
      </c>
      <c r="G31" s="213">
        <v>45695</v>
      </c>
      <c r="H31" s="77" t="s">
        <v>2341</v>
      </c>
    </row>
    <row r="32" spans="1:8" x14ac:dyDescent="0.25">
      <c r="A32" s="211" t="s">
        <v>383</v>
      </c>
      <c r="B32" t="s">
        <v>765</v>
      </c>
      <c r="C32" s="48">
        <f t="shared" si="1"/>
        <v>9100000</v>
      </c>
      <c r="D32" t="s">
        <v>8</v>
      </c>
      <c r="E32" s="190">
        <v>7000000</v>
      </c>
      <c r="F32" s="212">
        <v>1.3</v>
      </c>
      <c r="G32" s="213">
        <v>45695</v>
      </c>
      <c r="H32" s="77" t="s">
        <v>318</v>
      </c>
    </row>
    <row r="33" spans="1:9" x14ac:dyDescent="0.25">
      <c r="A33" s="211" t="s">
        <v>384</v>
      </c>
      <c r="B33" t="s">
        <v>748</v>
      </c>
      <c r="C33" s="48">
        <f t="shared" si="1"/>
        <v>307373.88256268692</v>
      </c>
      <c r="D33" t="s">
        <v>8</v>
      </c>
      <c r="E33" s="190">
        <v>236441.44812514377</v>
      </c>
      <c r="F33" s="212">
        <v>1.3</v>
      </c>
      <c r="G33" s="213">
        <v>45323</v>
      </c>
      <c r="H33" s="77" t="s">
        <v>752</v>
      </c>
    </row>
    <row r="34" spans="1:9" x14ac:dyDescent="0.25">
      <c r="A34" s="211" t="s">
        <v>385</v>
      </c>
      <c r="B34" t="s">
        <v>1978</v>
      </c>
      <c r="C34" s="48">
        <f t="shared" si="1"/>
        <v>262031.83808815968</v>
      </c>
      <c r="D34" t="s">
        <v>8</v>
      </c>
      <c r="E34" s="190">
        <v>201562.95237550745</v>
      </c>
      <c r="F34" s="212">
        <v>1.3</v>
      </c>
      <c r="G34" s="213">
        <v>45323</v>
      </c>
      <c r="H34" s="77" t="s">
        <v>752</v>
      </c>
    </row>
    <row r="35" spans="1:9" x14ac:dyDescent="0.25">
      <c r="A35" s="211" t="s">
        <v>386</v>
      </c>
      <c r="B35" t="s">
        <v>1979</v>
      </c>
      <c r="C35" s="48">
        <f t="shared" si="1"/>
        <v>23790</v>
      </c>
      <c r="D35" t="s">
        <v>8</v>
      </c>
      <c r="E35" s="190">
        <v>18300</v>
      </c>
      <c r="F35" s="212">
        <v>1.3</v>
      </c>
      <c r="G35" s="213">
        <v>45698</v>
      </c>
      <c r="H35" s="77" t="s">
        <v>755</v>
      </c>
    </row>
    <row r="36" spans="1:9" x14ac:dyDescent="0.25">
      <c r="A36" s="211" t="s">
        <v>387</v>
      </c>
      <c r="B36" t="s">
        <v>1019</v>
      </c>
      <c r="C36" s="48">
        <f t="shared" si="1"/>
        <v>1075128.6000000001</v>
      </c>
      <c r="D36" t="s">
        <v>8</v>
      </c>
      <c r="E36" s="190">
        <v>827022</v>
      </c>
      <c r="F36" s="212">
        <v>1.3</v>
      </c>
      <c r="G36" s="213">
        <v>44602</v>
      </c>
      <c r="H36" s="77" t="s">
        <v>754</v>
      </c>
    </row>
    <row r="37" spans="1:9" x14ac:dyDescent="0.25">
      <c r="A37" s="211" t="s">
        <v>388</v>
      </c>
      <c r="B37" t="s">
        <v>751</v>
      </c>
      <c r="C37" s="48">
        <f t="shared" si="1"/>
        <v>31908.5</v>
      </c>
      <c r="D37" t="s">
        <v>108</v>
      </c>
      <c r="E37" s="190">
        <v>24545</v>
      </c>
      <c r="F37" s="212">
        <v>1.3</v>
      </c>
      <c r="G37" s="213">
        <v>45695</v>
      </c>
      <c r="H37" s="77" t="s">
        <v>750</v>
      </c>
    </row>
    <row r="38" spans="1:9" x14ac:dyDescent="0.25">
      <c r="A38" s="211" t="s">
        <v>389</v>
      </c>
      <c r="B38" t="s">
        <v>349</v>
      </c>
      <c r="C38" s="48">
        <f t="shared" si="1"/>
        <v>3445591.5</v>
      </c>
      <c r="D38" t="s">
        <v>8</v>
      </c>
      <c r="E38" s="190">
        <v>2650455</v>
      </c>
      <c r="F38" s="212">
        <v>1.3</v>
      </c>
      <c r="G38" s="213">
        <v>45698</v>
      </c>
      <c r="H38" s="77" t="s">
        <v>764</v>
      </c>
    </row>
    <row r="39" spans="1:9" x14ac:dyDescent="0.25">
      <c r="A39" s="211" t="s">
        <v>390</v>
      </c>
      <c r="B39" t="s">
        <v>350</v>
      </c>
      <c r="C39" s="48">
        <f t="shared" si="1"/>
        <v>23390640</v>
      </c>
      <c r="D39" t="s">
        <v>8</v>
      </c>
      <c r="E39" s="190">
        <f>3360*'Precio Monedas'!B2*1.19</f>
        <v>17992800</v>
      </c>
      <c r="F39" s="212">
        <v>1.3</v>
      </c>
      <c r="G39" s="213">
        <v>45692</v>
      </c>
      <c r="H39" s="77" t="s">
        <v>317</v>
      </c>
    </row>
    <row r="40" spans="1:9" x14ac:dyDescent="0.25">
      <c r="A40" s="211" t="s">
        <v>391</v>
      </c>
      <c r="B40" t="s">
        <v>351</v>
      </c>
      <c r="C40" s="48">
        <f t="shared" si="1"/>
        <v>49023954</v>
      </c>
      <c r="D40" t="s">
        <v>8</v>
      </c>
      <c r="E40" s="190">
        <f>7629*'Precio Monedas'!B2*1.19</f>
        <v>40853295</v>
      </c>
      <c r="F40" s="212">
        <v>1.2</v>
      </c>
      <c r="G40" s="213">
        <v>45692</v>
      </c>
      <c r="H40" s="77" t="s">
        <v>2341</v>
      </c>
    </row>
    <row r="41" spans="1:9" x14ac:dyDescent="0.25">
      <c r="A41" s="211" t="s">
        <v>392</v>
      </c>
      <c r="B41" t="s">
        <v>898</v>
      </c>
      <c r="C41" s="48">
        <f t="shared" si="1"/>
        <v>3445</v>
      </c>
      <c r="D41" t="s">
        <v>108</v>
      </c>
      <c r="E41" s="190">
        <v>2650</v>
      </c>
      <c r="F41" s="212">
        <v>1.3</v>
      </c>
      <c r="G41" s="213">
        <v>45698</v>
      </c>
      <c r="H41" s="77" t="s">
        <v>395</v>
      </c>
    </row>
    <row r="42" spans="1:9" x14ac:dyDescent="0.25">
      <c r="A42" s="211" t="s">
        <v>393</v>
      </c>
      <c r="B42" t="s">
        <v>368</v>
      </c>
      <c r="C42" s="48">
        <f t="shared" si="1"/>
        <v>52000</v>
      </c>
      <c r="D42" t="s">
        <v>108</v>
      </c>
      <c r="E42" s="190">
        <v>40000</v>
      </c>
      <c r="F42" s="212">
        <v>1.3</v>
      </c>
      <c r="G42" s="213">
        <v>45692</v>
      </c>
      <c r="H42" s="77" t="s">
        <v>396</v>
      </c>
    </row>
    <row r="43" spans="1:9" x14ac:dyDescent="0.25">
      <c r="A43" s="211" t="s">
        <v>394</v>
      </c>
      <c r="B43" t="s">
        <v>369</v>
      </c>
      <c r="C43" s="48">
        <f t="shared" si="1"/>
        <v>32045</v>
      </c>
      <c r="D43" t="s">
        <v>108</v>
      </c>
      <c r="E43" s="190">
        <v>24650</v>
      </c>
      <c r="F43" s="212">
        <v>1.3</v>
      </c>
      <c r="G43" s="213">
        <v>45692</v>
      </c>
      <c r="H43" s="77" t="s">
        <v>397</v>
      </c>
    </row>
    <row r="44" spans="1:9" x14ac:dyDescent="0.25">
      <c r="A44" s="211" t="s">
        <v>421</v>
      </c>
      <c r="B44" t="s">
        <v>370</v>
      </c>
      <c r="C44" s="48">
        <f t="shared" si="1"/>
        <v>26000</v>
      </c>
      <c r="D44" t="s">
        <v>108</v>
      </c>
      <c r="E44" s="190">
        <v>20000</v>
      </c>
      <c r="F44" s="212">
        <v>1.3</v>
      </c>
      <c r="G44" s="213">
        <v>45692</v>
      </c>
      <c r="H44" s="77" t="s">
        <v>398</v>
      </c>
    </row>
    <row r="45" spans="1:9" x14ac:dyDescent="0.25">
      <c r="A45" s="211" t="s">
        <v>422</v>
      </c>
      <c r="B45" t="s">
        <v>371</v>
      </c>
      <c r="C45" s="48">
        <f t="shared" si="1"/>
        <v>194877.74150000003</v>
      </c>
      <c r="D45" t="s">
        <v>108</v>
      </c>
      <c r="E45" s="190">
        <v>149905.95500000002</v>
      </c>
      <c r="F45" s="212">
        <v>1.3</v>
      </c>
      <c r="G45" s="213">
        <v>45692</v>
      </c>
      <c r="H45" s="77" t="s">
        <v>767</v>
      </c>
    </row>
    <row r="46" spans="1:9" x14ac:dyDescent="0.25">
      <c r="A46" s="211" t="s">
        <v>423</v>
      </c>
      <c r="B46" t="s">
        <v>1374</v>
      </c>
      <c r="C46" s="48">
        <f t="shared" si="1"/>
        <v>128787750</v>
      </c>
      <c r="D46" t="s">
        <v>8</v>
      </c>
      <c r="E46" s="190">
        <f>18500*'Precio Monedas'!B2*1.19</f>
        <v>99067500</v>
      </c>
      <c r="F46" s="212">
        <v>1.3</v>
      </c>
      <c r="G46" s="213">
        <v>45698</v>
      </c>
      <c r="H46" s="77" t="s">
        <v>1370</v>
      </c>
      <c r="I46" s="77" t="s">
        <v>769</v>
      </c>
    </row>
    <row r="47" spans="1:9" x14ac:dyDescent="0.25">
      <c r="A47" s="211" t="s">
        <v>426</v>
      </c>
      <c r="B47" t="s">
        <v>899</v>
      </c>
      <c r="C47" s="48">
        <f t="shared" si="1"/>
        <v>55063653.419221319</v>
      </c>
      <c r="D47" t="s">
        <v>8</v>
      </c>
      <c r="E47" s="190">
        <v>45886377.849351101</v>
      </c>
      <c r="F47" s="212">
        <v>1.2</v>
      </c>
      <c r="G47" s="213">
        <v>45695</v>
      </c>
      <c r="H47" s="77" t="s">
        <v>318</v>
      </c>
    </row>
    <row r="48" spans="1:9" x14ac:dyDescent="0.25">
      <c r="A48" s="211" t="s">
        <v>756</v>
      </c>
      <c r="B48" t="s">
        <v>900</v>
      </c>
      <c r="C48" s="48">
        <f t="shared" si="1"/>
        <v>37791536.679983996</v>
      </c>
      <c r="D48" t="s">
        <v>8</v>
      </c>
      <c r="E48" s="190">
        <v>31492947.233319998</v>
      </c>
      <c r="F48" s="212">
        <v>1.2</v>
      </c>
      <c r="G48" s="213">
        <v>45695</v>
      </c>
      <c r="H48" s="77" t="s">
        <v>318</v>
      </c>
    </row>
    <row r="49" spans="1:8" x14ac:dyDescent="0.25">
      <c r="A49" s="211" t="s">
        <v>757</v>
      </c>
      <c r="B49" t="s">
        <v>781</v>
      </c>
      <c r="C49" s="48">
        <f t="shared" si="1"/>
        <v>154960</v>
      </c>
      <c r="D49" t="s">
        <v>8</v>
      </c>
      <c r="E49" s="190">
        <v>119200</v>
      </c>
      <c r="F49" s="212">
        <v>1.3</v>
      </c>
      <c r="G49" s="213">
        <v>45692</v>
      </c>
      <c r="H49" s="77" t="s">
        <v>400</v>
      </c>
    </row>
    <row r="50" spans="1:8" x14ac:dyDescent="0.25">
      <c r="A50" s="211" t="s">
        <v>758</v>
      </c>
      <c r="B50" t="s">
        <v>782</v>
      </c>
      <c r="C50" s="48">
        <f t="shared" si="1"/>
        <v>20563200</v>
      </c>
      <c r="D50" t="s">
        <v>8</v>
      </c>
      <c r="E50" s="190">
        <f>3200*'Precio Monedas'!B2*1.19</f>
        <v>17136000</v>
      </c>
      <c r="F50" s="212">
        <v>1.2</v>
      </c>
      <c r="G50" s="213">
        <v>45695</v>
      </c>
      <c r="H50" s="77" t="s">
        <v>2341</v>
      </c>
    </row>
    <row r="51" spans="1:8" x14ac:dyDescent="0.25">
      <c r="A51" s="211" t="s">
        <v>759</v>
      </c>
      <c r="B51" t="s">
        <v>783</v>
      </c>
      <c r="C51" s="48">
        <f t="shared" si="1"/>
        <v>20563200</v>
      </c>
      <c r="D51" t="s">
        <v>8</v>
      </c>
      <c r="E51" s="190">
        <f>3200*'Precio Monedas'!B2*1.19</f>
        <v>17136000</v>
      </c>
      <c r="F51" s="212">
        <v>1.2</v>
      </c>
      <c r="G51" s="213">
        <v>45695</v>
      </c>
      <c r="H51" s="77" t="s">
        <v>2341</v>
      </c>
    </row>
    <row r="52" spans="1:8" x14ac:dyDescent="0.25">
      <c r="A52" s="211" t="s">
        <v>760</v>
      </c>
      <c r="B52" t="s">
        <v>1373</v>
      </c>
      <c r="C52" s="48">
        <f t="shared" si="1"/>
        <v>18635400</v>
      </c>
      <c r="D52" t="s">
        <v>8</v>
      </c>
      <c r="E52" s="190">
        <f>2900*'Precio Monedas'!B2*1.19</f>
        <v>15529500</v>
      </c>
      <c r="F52" s="212">
        <v>1.2</v>
      </c>
      <c r="G52" s="213">
        <v>45695</v>
      </c>
      <c r="H52" s="77" t="s">
        <v>2341</v>
      </c>
    </row>
    <row r="53" spans="1:8" x14ac:dyDescent="0.25">
      <c r="A53" s="211" t="s">
        <v>761</v>
      </c>
      <c r="B53" t="s">
        <v>1980</v>
      </c>
      <c r="C53" s="48">
        <f t="shared" si="1"/>
        <v>157268.58333333334</v>
      </c>
      <c r="D53" t="s">
        <v>108</v>
      </c>
      <c r="E53" s="190">
        <f>290342/2.4</f>
        <v>120975.83333333334</v>
      </c>
      <c r="F53" s="212">
        <v>1.3</v>
      </c>
      <c r="G53" s="213">
        <v>45170</v>
      </c>
      <c r="H53" s="77" t="s">
        <v>789</v>
      </c>
    </row>
    <row r="54" spans="1:8" x14ac:dyDescent="0.25">
      <c r="A54" s="211" t="s">
        <v>762</v>
      </c>
      <c r="B54" t="s">
        <v>1981</v>
      </c>
      <c r="C54" s="48">
        <f t="shared" si="1"/>
        <v>68593.416666666672</v>
      </c>
      <c r="D54" t="s">
        <v>108</v>
      </c>
      <c r="E54" s="190">
        <f>126634/2.4</f>
        <v>52764.166666666672</v>
      </c>
      <c r="F54" s="212">
        <v>1.3</v>
      </c>
      <c r="G54" s="213">
        <v>45170</v>
      </c>
      <c r="H54" s="77" t="s">
        <v>789</v>
      </c>
    </row>
    <row r="55" spans="1:8" x14ac:dyDescent="0.25">
      <c r="A55" s="211" t="s">
        <v>763</v>
      </c>
      <c r="B55" t="s">
        <v>1982</v>
      </c>
      <c r="C55" s="48">
        <f t="shared" ref="C55:C60" si="2">E55*F55</f>
        <v>137074.70833333334</v>
      </c>
      <c r="D55" t="s">
        <v>108</v>
      </c>
      <c r="E55" s="190">
        <f>253061/2.4</f>
        <v>105442.08333333334</v>
      </c>
      <c r="F55" s="212">
        <v>1.3</v>
      </c>
      <c r="G55" s="213">
        <v>45170</v>
      </c>
      <c r="H55" s="77" t="s">
        <v>789</v>
      </c>
    </row>
    <row r="56" spans="1:8" x14ac:dyDescent="0.25">
      <c r="A56" s="211" t="s">
        <v>770</v>
      </c>
      <c r="B56" t="s">
        <v>1983</v>
      </c>
      <c r="C56" s="48">
        <f t="shared" si="2"/>
        <v>126975.875</v>
      </c>
      <c r="D56" t="s">
        <v>108</v>
      </c>
      <c r="E56" s="190">
        <f>234417/2.4</f>
        <v>97673.75</v>
      </c>
      <c r="F56" s="212">
        <v>1.3</v>
      </c>
      <c r="G56" s="213">
        <v>45170</v>
      </c>
      <c r="H56" s="77" t="s">
        <v>789</v>
      </c>
    </row>
    <row r="57" spans="1:8" x14ac:dyDescent="0.25">
      <c r="A57" s="211" t="s">
        <v>771</v>
      </c>
      <c r="B57" t="s">
        <v>1984</v>
      </c>
      <c r="C57" s="48">
        <f t="shared" si="2"/>
        <v>55381.083333333336</v>
      </c>
      <c r="D57" t="s">
        <v>108</v>
      </c>
      <c r="E57" s="190">
        <f>102242/2.4</f>
        <v>42600.833333333336</v>
      </c>
      <c r="F57" s="212">
        <v>1.3</v>
      </c>
      <c r="G57" s="213">
        <v>45170</v>
      </c>
      <c r="H57" s="77" t="s">
        <v>789</v>
      </c>
    </row>
    <row r="58" spans="1:8" x14ac:dyDescent="0.25">
      <c r="A58" s="211" t="s">
        <v>776</v>
      </c>
      <c r="B58" t="s">
        <v>1985</v>
      </c>
      <c r="C58" s="48">
        <f t="shared" si="2"/>
        <v>59785.916666666672</v>
      </c>
      <c r="D58" t="s">
        <v>108</v>
      </c>
      <c r="E58" s="190">
        <f>110374/2.4</f>
        <v>45989.166666666672</v>
      </c>
      <c r="F58" s="212">
        <v>1.3</v>
      </c>
      <c r="G58" s="213">
        <v>45170</v>
      </c>
      <c r="H58" s="77" t="s">
        <v>789</v>
      </c>
    </row>
    <row r="59" spans="1:8" x14ac:dyDescent="0.25">
      <c r="A59" s="211" t="s">
        <v>777</v>
      </c>
      <c r="B59" t="s">
        <v>1986</v>
      </c>
      <c r="C59" s="48">
        <f t="shared" si="2"/>
        <v>137074.70833333334</v>
      </c>
      <c r="D59" t="s">
        <v>108</v>
      </c>
      <c r="E59" s="190">
        <f>253061/2.4</f>
        <v>105442.08333333334</v>
      </c>
      <c r="F59" s="212">
        <v>1.3</v>
      </c>
      <c r="G59" s="213">
        <v>45170</v>
      </c>
      <c r="H59" s="77" t="s">
        <v>789</v>
      </c>
    </row>
    <row r="60" spans="1:8" x14ac:dyDescent="0.25">
      <c r="A60" s="211" t="s">
        <v>779</v>
      </c>
      <c r="B60" t="s">
        <v>1987</v>
      </c>
      <c r="C60" s="48">
        <f t="shared" si="2"/>
        <v>59785.916666666672</v>
      </c>
      <c r="D60" t="s">
        <v>108</v>
      </c>
      <c r="E60" s="190">
        <f>110374/2.4</f>
        <v>45989.166666666672</v>
      </c>
      <c r="F60" s="212">
        <v>1.3</v>
      </c>
      <c r="G60" s="213">
        <v>45170</v>
      </c>
      <c r="H60" s="77" t="s">
        <v>789</v>
      </c>
    </row>
    <row r="61" spans="1:8" x14ac:dyDescent="0.25">
      <c r="A61" s="211" t="s">
        <v>784</v>
      </c>
      <c r="B61" t="s">
        <v>1988</v>
      </c>
      <c r="C61" s="48">
        <f t="shared" ref="C61:C71" si="3">E61*F61</f>
        <v>22219.166666666668</v>
      </c>
      <c r="D61" t="s">
        <v>108</v>
      </c>
      <c r="E61" s="190">
        <v>17091.666666666668</v>
      </c>
      <c r="F61" s="212">
        <v>1.3</v>
      </c>
      <c r="G61" s="213">
        <v>45699</v>
      </c>
      <c r="H61" s="77" t="s">
        <v>791</v>
      </c>
    </row>
    <row r="62" spans="1:8" x14ac:dyDescent="0.25">
      <c r="A62" s="211" t="s">
        <v>785</v>
      </c>
      <c r="B62" t="s">
        <v>1989</v>
      </c>
      <c r="C62" s="48">
        <f t="shared" si="3"/>
        <v>13541.666666666666</v>
      </c>
      <c r="D62" t="s">
        <v>108</v>
      </c>
      <c r="E62" s="190">
        <v>10416.666666666666</v>
      </c>
      <c r="F62" s="212">
        <v>1.3</v>
      </c>
      <c r="G62" s="213">
        <v>45699</v>
      </c>
      <c r="H62" s="77" t="s">
        <v>815</v>
      </c>
    </row>
    <row r="63" spans="1:8" x14ac:dyDescent="0.25">
      <c r="A63" s="211" t="s">
        <v>786</v>
      </c>
      <c r="B63" t="s">
        <v>1162</v>
      </c>
      <c r="C63" s="48">
        <f t="shared" si="3"/>
        <v>45500</v>
      </c>
      <c r="D63" t="s">
        <v>108</v>
      </c>
      <c r="E63" s="190">
        <f>105000/3</f>
        <v>35000</v>
      </c>
      <c r="F63" s="212">
        <v>1.3</v>
      </c>
      <c r="G63" s="213">
        <v>45699</v>
      </c>
      <c r="H63" s="77" t="s">
        <v>416</v>
      </c>
    </row>
    <row r="64" spans="1:8" x14ac:dyDescent="0.25">
      <c r="A64" s="211" t="s">
        <v>787</v>
      </c>
      <c r="B64" t="s">
        <v>374</v>
      </c>
      <c r="C64" s="48">
        <f t="shared" si="3"/>
        <v>47646.3</v>
      </c>
      <c r="D64" t="s">
        <v>8</v>
      </c>
      <c r="E64" s="190">
        <v>36651</v>
      </c>
      <c r="F64" s="212">
        <v>1.3</v>
      </c>
      <c r="G64" s="213">
        <v>45699</v>
      </c>
      <c r="H64" s="77" t="s">
        <v>793</v>
      </c>
    </row>
    <row r="65" spans="1:8" x14ac:dyDescent="0.25">
      <c r="A65" s="211" t="s">
        <v>788</v>
      </c>
      <c r="B65" t="s">
        <v>375</v>
      </c>
      <c r="C65" s="48">
        <f t="shared" si="3"/>
        <v>15275</v>
      </c>
      <c r="D65" t="s">
        <v>108</v>
      </c>
      <c r="E65" s="190">
        <v>11750</v>
      </c>
      <c r="F65" s="212">
        <v>1.3</v>
      </c>
      <c r="G65" s="213">
        <v>45699</v>
      </c>
      <c r="H65" s="77" t="s">
        <v>794</v>
      </c>
    </row>
    <row r="66" spans="1:8" x14ac:dyDescent="0.25">
      <c r="A66" s="211" t="s">
        <v>790</v>
      </c>
      <c r="B66" t="s">
        <v>376</v>
      </c>
      <c r="C66" s="48">
        <f t="shared" si="3"/>
        <v>11505</v>
      </c>
      <c r="D66" t="s">
        <v>8</v>
      </c>
      <c r="E66" s="190">
        <v>8850</v>
      </c>
      <c r="F66" s="212">
        <v>1.3</v>
      </c>
      <c r="G66" s="213">
        <v>45699</v>
      </c>
      <c r="H66" s="77" t="s">
        <v>795</v>
      </c>
    </row>
    <row r="67" spans="1:8" x14ac:dyDescent="0.25">
      <c r="A67" s="211" t="s">
        <v>792</v>
      </c>
      <c r="B67" t="s">
        <v>377</v>
      </c>
      <c r="C67" s="48">
        <f t="shared" si="3"/>
        <v>5200</v>
      </c>
      <c r="D67" t="s">
        <v>108</v>
      </c>
      <c r="E67" s="190">
        <f>12000/3</f>
        <v>4000</v>
      </c>
      <c r="F67" s="212">
        <v>1.3</v>
      </c>
      <c r="G67" s="213">
        <v>45699</v>
      </c>
      <c r="H67" s="77" t="s">
        <v>796</v>
      </c>
    </row>
    <row r="68" spans="1:8" x14ac:dyDescent="0.25">
      <c r="A68" s="211" t="s">
        <v>801</v>
      </c>
      <c r="B68" t="s">
        <v>378</v>
      </c>
      <c r="C68" s="48">
        <f t="shared" si="3"/>
        <v>2600</v>
      </c>
      <c r="D68" t="s">
        <v>8</v>
      </c>
      <c r="E68" s="190">
        <v>2000</v>
      </c>
      <c r="F68" s="212">
        <v>1.3</v>
      </c>
      <c r="G68" s="213">
        <v>45699</v>
      </c>
      <c r="H68" s="77" t="s">
        <v>797</v>
      </c>
    </row>
    <row r="69" spans="1:8" x14ac:dyDescent="0.25">
      <c r="A69" s="211" t="s">
        <v>806</v>
      </c>
      <c r="B69" t="s">
        <v>379</v>
      </c>
      <c r="C69" s="48">
        <f t="shared" si="3"/>
        <v>780</v>
      </c>
      <c r="D69" t="s">
        <v>8</v>
      </c>
      <c r="E69" s="190">
        <v>600</v>
      </c>
      <c r="F69" s="212">
        <v>1.3</v>
      </c>
      <c r="G69" s="213">
        <v>45699</v>
      </c>
      <c r="H69" s="77" t="s">
        <v>798</v>
      </c>
    </row>
    <row r="70" spans="1:8" x14ac:dyDescent="0.25">
      <c r="A70" s="211" t="s">
        <v>807</v>
      </c>
      <c r="B70" t="s">
        <v>1243</v>
      </c>
      <c r="C70" s="48">
        <f t="shared" si="3"/>
        <v>29965</v>
      </c>
      <c r="D70" t="s">
        <v>108</v>
      </c>
      <c r="E70" s="190">
        <v>23050</v>
      </c>
      <c r="F70" s="212">
        <v>1.3</v>
      </c>
      <c r="G70" s="213">
        <v>45699</v>
      </c>
      <c r="H70" s="88" t="s">
        <v>799</v>
      </c>
    </row>
    <row r="71" spans="1:8" x14ac:dyDescent="0.25">
      <c r="A71" s="211" t="s">
        <v>808</v>
      </c>
      <c r="B71" t="s">
        <v>800</v>
      </c>
      <c r="C71" s="48">
        <f t="shared" si="3"/>
        <v>8905</v>
      </c>
      <c r="D71" t="s">
        <v>108</v>
      </c>
      <c r="E71" s="190">
        <v>6850</v>
      </c>
      <c r="F71" s="212">
        <v>1.3</v>
      </c>
      <c r="G71" s="213">
        <v>45699</v>
      </c>
      <c r="H71" s="111" t="s">
        <v>802</v>
      </c>
    </row>
    <row r="72" spans="1:8" x14ac:dyDescent="0.25">
      <c r="A72" s="211" t="s">
        <v>809</v>
      </c>
      <c r="B72" t="s">
        <v>803</v>
      </c>
      <c r="C72" s="48">
        <f t="shared" ref="C72:C135" si="4">E72*F72</f>
        <v>2253.3333333333335</v>
      </c>
      <c r="D72" t="s">
        <v>108</v>
      </c>
      <c r="E72" s="190">
        <v>1733.3333333333333</v>
      </c>
      <c r="F72" s="212">
        <v>1.3</v>
      </c>
      <c r="G72" s="213">
        <v>45699</v>
      </c>
      <c r="H72" s="111" t="s">
        <v>810</v>
      </c>
    </row>
    <row r="73" spans="1:8" x14ac:dyDescent="0.25">
      <c r="A73" s="211" t="s">
        <v>816</v>
      </c>
      <c r="B73" t="s">
        <v>804</v>
      </c>
      <c r="C73" s="48">
        <f t="shared" si="4"/>
        <v>975</v>
      </c>
      <c r="D73" t="s">
        <v>8</v>
      </c>
      <c r="E73" s="190">
        <v>750</v>
      </c>
      <c r="F73" s="212">
        <v>1.3</v>
      </c>
      <c r="G73" s="213">
        <v>45699</v>
      </c>
      <c r="H73" s="111" t="s">
        <v>811</v>
      </c>
    </row>
    <row r="74" spans="1:8" x14ac:dyDescent="0.25">
      <c r="A74" s="211" t="s">
        <v>817</v>
      </c>
      <c r="B74" t="s">
        <v>805</v>
      </c>
      <c r="C74" s="48">
        <f t="shared" si="4"/>
        <v>19034.600000000002</v>
      </c>
      <c r="D74" t="s">
        <v>8</v>
      </c>
      <c r="E74" s="190">
        <v>14642</v>
      </c>
      <c r="F74" s="212">
        <v>1.3</v>
      </c>
      <c r="G74" s="213">
        <v>45699</v>
      </c>
      <c r="H74" s="111" t="s">
        <v>814</v>
      </c>
    </row>
    <row r="75" spans="1:8" x14ac:dyDescent="0.25">
      <c r="A75" s="211" t="s">
        <v>818</v>
      </c>
      <c r="B75" t="s">
        <v>813</v>
      </c>
      <c r="C75" s="48">
        <f t="shared" si="4"/>
        <v>8433.1</v>
      </c>
      <c r="D75" t="s">
        <v>8</v>
      </c>
      <c r="E75" s="190">
        <v>6487</v>
      </c>
      <c r="F75" s="212">
        <v>1.3</v>
      </c>
      <c r="G75" s="213">
        <v>45699</v>
      </c>
      <c r="H75" s="88" t="s">
        <v>812</v>
      </c>
    </row>
    <row r="76" spans="1:8" x14ac:dyDescent="0.25">
      <c r="A76" s="211" t="s">
        <v>819</v>
      </c>
      <c r="B76" t="s">
        <v>1244</v>
      </c>
      <c r="C76" s="48">
        <f t="shared" si="4"/>
        <v>69593.333333333343</v>
      </c>
      <c r="D76" t="s">
        <v>108</v>
      </c>
      <c r="E76" s="190">
        <f>160600/3</f>
        <v>53533.333333333336</v>
      </c>
      <c r="F76" s="212">
        <v>1.3</v>
      </c>
      <c r="G76" s="213">
        <v>45699</v>
      </c>
      <c r="H76" s="88" t="s">
        <v>828</v>
      </c>
    </row>
    <row r="77" spans="1:8" x14ac:dyDescent="0.25">
      <c r="A77" s="211" t="s">
        <v>820</v>
      </c>
      <c r="B77" t="s">
        <v>822</v>
      </c>
      <c r="C77" s="48">
        <f t="shared" si="4"/>
        <v>25285</v>
      </c>
      <c r="D77" t="s">
        <v>108</v>
      </c>
      <c r="E77" s="190">
        <v>19450</v>
      </c>
      <c r="F77" s="212">
        <v>1.3</v>
      </c>
      <c r="G77" s="213">
        <v>45700</v>
      </c>
      <c r="H77" s="88" t="s">
        <v>827</v>
      </c>
    </row>
    <row r="78" spans="1:8" x14ac:dyDescent="0.25">
      <c r="A78" s="211" t="s">
        <v>821</v>
      </c>
      <c r="B78" t="s">
        <v>823</v>
      </c>
      <c r="C78" s="48">
        <f t="shared" si="4"/>
        <v>6261.666666666667</v>
      </c>
      <c r="D78" t="s">
        <v>108</v>
      </c>
      <c r="E78" s="190">
        <v>4816.666666666667</v>
      </c>
      <c r="F78" s="212">
        <v>1.3</v>
      </c>
      <c r="G78" s="213">
        <v>45700</v>
      </c>
      <c r="H78" s="88" t="s">
        <v>829</v>
      </c>
    </row>
    <row r="79" spans="1:8" x14ac:dyDescent="0.25">
      <c r="A79" s="211" t="s">
        <v>835</v>
      </c>
      <c r="B79" t="s">
        <v>824</v>
      </c>
      <c r="C79" s="48">
        <f t="shared" si="4"/>
        <v>4680</v>
      </c>
      <c r="D79" t="s">
        <v>8</v>
      </c>
      <c r="E79" s="190">
        <v>3600</v>
      </c>
      <c r="F79" s="212">
        <v>1.3</v>
      </c>
      <c r="G79" s="213">
        <v>45700</v>
      </c>
      <c r="H79" s="88" t="s">
        <v>830</v>
      </c>
    </row>
    <row r="80" spans="1:8" x14ac:dyDescent="0.25">
      <c r="A80" s="211" t="s">
        <v>836</v>
      </c>
      <c r="B80" t="s">
        <v>825</v>
      </c>
      <c r="C80" s="48">
        <f t="shared" si="4"/>
        <v>17095</v>
      </c>
      <c r="D80" t="s">
        <v>8</v>
      </c>
      <c r="E80" s="190">
        <v>13150</v>
      </c>
      <c r="F80" s="212">
        <v>1.3</v>
      </c>
      <c r="G80" s="213">
        <v>45700</v>
      </c>
      <c r="H80" s="88" t="s">
        <v>831</v>
      </c>
    </row>
    <row r="81" spans="1:8" x14ac:dyDescent="0.25">
      <c r="A81" s="211" t="s">
        <v>840</v>
      </c>
      <c r="B81" t="s">
        <v>826</v>
      </c>
      <c r="C81" s="48">
        <f t="shared" si="4"/>
        <v>22662.9</v>
      </c>
      <c r="D81" t="s">
        <v>8</v>
      </c>
      <c r="E81" s="190">
        <v>17433</v>
      </c>
      <c r="F81" s="212">
        <v>1.3</v>
      </c>
      <c r="G81" s="213">
        <v>45700</v>
      </c>
      <c r="H81" s="88" t="s">
        <v>832</v>
      </c>
    </row>
    <row r="82" spans="1:8" x14ac:dyDescent="0.25">
      <c r="A82" s="211" t="s">
        <v>841</v>
      </c>
      <c r="B82" t="s">
        <v>1990</v>
      </c>
      <c r="C82" s="48">
        <f t="shared" si="4"/>
        <v>2275000</v>
      </c>
      <c r="D82" t="s">
        <v>8</v>
      </c>
      <c r="E82" s="190">
        <v>1750000</v>
      </c>
      <c r="F82" s="212">
        <v>1.3</v>
      </c>
      <c r="G82" s="213">
        <v>45700</v>
      </c>
      <c r="H82" s="111" t="s">
        <v>837</v>
      </c>
    </row>
    <row r="83" spans="1:8" x14ac:dyDescent="0.25">
      <c r="A83" s="211" t="s">
        <v>844</v>
      </c>
      <c r="B83" t="s">
        <v>833</v>
      </c>
      <c r="C83" s="48">
        <f t="shared" si="4"/>
        <v>2382590.6</v>
      </c>
      <c r="D83" t="s">
        <v>8</v>
      </c>
      <c r="E83" s="190">
        <v>1832762</v>
      </c>
      <c r="F83" s="212">
        <v>1.3</v>
      </c>
      <c r="G83" s="213">
        <v>45700</v>
      </c>
      <c r="H83" s="111" t="s">
        <v>834</v>
      </c>
    </row>
    <row r="84" spans="1:8" x14ac:dyDescent="0.25">
      <c r="A84" s="211" t="s">
        <v>846</v>
      </c>
      <c r="B84" t="s">
        <v>838</v>
      </c>
      <c r="C84" s="48">
        <f t="shared" si="4"/>
        <v>20748000</v>
      </c>
      <c r="D84" t="s">
        <v>8</v>
      </c>
      <c r="E84" s="190">
        <v>15960000</v>
      </c>
      <c r="F84" s="212">
        <v>1.3</v>
      </c>
      <c r="G84" s="213">
        <v>45700</v>
      </c>
      <c r="H84" s="111" t="s">
        <v>839</v>
      </c>
    </row>
    <row r="85" spans="1:8" x14ac:dyDescent="0.25">
      <c r="A85" s="211" t="s">
        <v>848</v>
      </c>
      <c r="B85" t="s">
        <v>1991</v>
      </c>
      <c r="C85" s="48">
        <f t="shared" si="4"/>
        <v>17550000</v>
      </c>
      <c r="D85" t="s">
        <v>8</v>
      </c>
      <c r="E85" s="190">
        <f>3000*'Precio Monedas'!B2</f>
        <v>13500000</v>
      </c>
      <c r="F85" s="212">
        <v>1.3</v>
      </c>
      <c r="G85" s="213">
        <v>45700</v>
      </c>
      <c r="H85" s="111" t="s">
        <v>842</v>
      </c>
    </row>
    <row r="86" spans="1:8" x14ac:dyDescent="0.25">
      <c r="A86" s="211" t="s">
        <v>850</v>
      </c>
      <c r="B86" t="s">
        <v>1992</v>
      </c>
      <c r="C86" s="48">
        <f t="shared" si="4"/>
        <v>10400000</v>
      </c>
      <c r="D86" t="s">
        <v>8</v>
      </c>
      <c r="E86" s="190">
        <v>8000000</v>
      </c>
      <c r="F86" s="212">
        <v>1.3</v>
      </c>
      <c r="G86" s="213">
        <v>45700</v>
      </c>
      <c r="H86" s="111" t="s">
        <v>843</v>
      </c>
    </row>
    <row r="87" spans="1:8" x14ac:dyDescent="0.25">
      <c r="A87" s="211" t="s">
        <v>854</v>
      </c>
      <c r="B87" t="s">
        <v>1993</v>
      </c>
      <c r="C87" s="48">
        <f t="shared" si="4"/>
        <v>18181800</v>
      </c>
      <c r="D87" t="s">
        <v>8</v>
      </c>
      <c r="E87" s="190">
        <v>13986000</v>
      </c>
      <c r="F87" s="212">
        <v>1.3</v>
      </c>
      <c r="G87" s="213">
        <v>45700</v>
      </c>
      <c r="H87" s="111" t="s">
        <v>845</v>
      </c>
    </row>
    <row r="88" spans="1:8" x14ac:dyDescent="0.25">
      <c r="A88" s="211" t="s">
        <v>855</v>
      </c>
      <c r="B88" t="s">
        <v>851</v>
      </c>
      <c r="C88" s="48">
        <f t="shared" si="4"/>
        <v>5951400</v>
      </c>
      <c r="D88" t="s">
        <v>8</v>
      </c>
      <c r="E88" s="190">
        <v>4578000</v>
      </c>
      <c r="F88" s="212">
        <v>1.3</v>
      </c>
      <c r="G88" s="213">
        <v>45700</v>
      </c>
      <c r="H88" s="111" t="s">
        <v>849</v>
      </c>
    </row>
    <row r="89" spans="1:8" x14ac:dyDescent="0.25">
      <c r="A89" s="211" t="s">
        <v>857</v>
      </c>
      <c r="B89" t="s">
        <v>852</v>
      </c>
      <c r="C89" s="48">
        <f t="shared" si="4"/>
        <v>280800</v>
      </c>
      <c r="D89" t="s">
        <v>8</v>
      </c>
      <c r="E89" s="190">
        <v>216000</v>
      </c>
      <c r="F89" s="212">
        <v>1.3</v>
      </c>
      <c r="G89" s="213">
        <v>45700</v>
      </c>
      <c r="H89" s="111" t="s">
        <v>847</v>
      </c>
    </row>
    <row r="90" spans="1:8" x14ac:dyDescent="0.25">
      <c r="A90" s="211" t="s">
        <v>859</v>
      </c>
      <c r="B90" t="s">
        <v>901</v>
      </c>
      <c r="C90" s="48">
        <f t="shared" si="4"/>
        <v>11009570.021702593</v>
      </c>
      <c r="D90" t="s">
        <v>8</v>
      </c>
      <c r="E90" s="190">
        <v>8468900.0166943017</v>
      </c>
      <c r="F90" s="212">
        <v>1.3</v>
      </c>
      <c r="G90" s="213">
        <v>45695</v>
      </c>
      <c r="H90" s="77" t="s">
        <v>318</v>
      </c>
    </row>
    <row r="91" spans="1:8" x14ac:dyDescent="0.25">
      <c r="A91" s="211" t="s">
        <v>862</v>
      </c>
      <c r="B91" t="s">
        <v>853</v>
      </c>
      <c r="C91" s="48">
        <f t="shared" si="4"/>
        <v>0</v>
      </c>
      <c r="D91" t="s">
        <v>8</v>
      </c>
      <c r="E91" s="190">
        <v>0</v>
      </c>
      <c r="F91" s="212">
        <v>1.3</v>
      </c>
      <c r="G91" s="213">
        <v>45695</v>
      </c>
      <c r="H91" s="77" t="s">
        <v>318</v>
      </c>
    </row>
    <row r="92" spans="1:8" x14ac:dyDescent="0.25">
      <c r="A92" s="211" t="s">
        <v>863</v>
      </c>
      <c r="B92" t="s">
        <v>1189</v>
      </c>
      <c r="C92" s="48">
        <f t="shared" si="4"/>
        <v>47582.6</v>
      </c>
      <c r="D92" t="s">
        <v>8</v>
      </c>
      <c r="E92" s="190">
        <v>36602</v>
      </c>
      <c r="F92" s="212">
        <v>1.3</v>
      </c>
      <c r="G92" s="213">
        <v>45700</v>
      </c>
      <c r="H92" s="111" t="s">
        <v>856</v>
      </c>
    </row>
    <row r="93" spans="1:8" x14ac:dyDescent="0.25">
      <c r="A93" s="211" t="s">
        <v>864</v>
      </c>
      <c r="B93" t="s">
        <v>860</v>
      </c>
      <c r="C93" s="48">
        <f t="shared" si="4"/>
        <v>3900</v>
      </c>
      <c r="D93" t="s">
        <v>8</v>
      </c>
      <c r="E93" s="190">
        <v>3000</v>
      </c>
      <c r="F93" s="212">
        <v>1.3</v>
      </c>
      <c r="G93" s="213">
        <v>45700</v>
      </c>
      <c r="H93" s="111" t="s">
        <v>858</v>
      </c>
    </row>
    <row r="94" spans="1:8" x14ac:dyDescent="0.25">
      <c r="A94" s="211" t="s">
        <v>876</v>
      </c>
      <c r="B94" t="s">
        <v>1994</v>
      </c>
      <c r="C94" s="48">
        <f t="shared" si="4"/>
        <v>202402.2</v>
      </c>
      <c r="D94" t="s">
        <v>8</v>
      </c>
      <c r="E94" s="190">
        <v>155694</v>
      </c>
      <c r="F94" s="212">
        <v>1.3</v>
      </c>
      <c r="G94" s="213">
        <v>45700</v>
      </c>
      <c r="H94" s="111" t="s">
        <v>861</v>
      </c>
    </row>
    <row r="95" spans="1:8" x14ac:dyDescent="0.25">
      <c r="A95" s="211" t="s">
        <v>877</v>
      </c>
      <c r="B95" t="s">
        <v>1995</v>
      </c>
      <c r="C95" s="48">
        <f t="shared" si="4"/>
        <v>37570</v>
      </c>
      <c r="D95" t="s">
        <v>8</v>
      </c>
      <c r="E95" s="190">
        <v>28900</v>
      </c>
      <c r="F95" s="212">
        <v>1.3</v>
      </c>
      <c r="G95" s="213">
        <v>45700</v>
      </c>
      <c r="H95" s="111" t="s">
        <v>2397</v>
      </c>
    </row>
    <row r="96" spans="1:8" x14ac:dyDescent="0.25">
      <c r="A96" s="211" t="s">
        <v>878</v>
      </c>
      <c r="B96" t="s">
        <v>1996</v>
      </c>
      <c r="C96" s="48">
        <f t="shared" si="4"/>
        <v>17280000</v>
      </c>
      <c r="D96" t="s">
        <v>8</v>
      </c>
      <c r="E96" s="190">
        <v>14400000</v>
      </c>
      <c r="F96" s="212">
        <v>1.2</v>
      </c>
      <c r="G96" s="213">
        <v>45700</v>
      </c>
      <c r="H96" s="111" t="s">
        <v>895</v>
      </c>
    </row>
    <row r="97" spans="1:8" x14ac:dyDescent="0.25">
      <c r="A97" s="211" t="s">
        <v>879</v>
      </c>
      <c r="B97" t="s">
        <v>1997</v>
      </c>
      <c r="C97" s="48">
        <f t="shared" si="4"/>
        <v>12621300</v>
      </c>
      <c r="D97" t="s">
        <v>8</v>
      </c>
      <c r="E97" s="190">
        <v>10517750</v>
      </c>
      <c r="F97" s="212">
        <v>1.2</v>
      </c>
      <c r="G97" s="213">
        <v>45700</v>
      </c>
      <c r="H97" s="111" t="s">
        <v>894</v>
      </c>
    </row>
    <row r="98" spans="1:8" x14ac:dyDescent="0.25">
      <c r="A98" s="211" t="s">
        <v>880</v>
      </c>
      <c r="B98" t="s">
        <v>865</v>
      </c>
      <c r="C98" s="48">
        <f t="shared" si="4"/>
        <v>1638</v>
      </c>
      <c r="D98" t="s">
        <v>8</v>
      </c>
      <c r="E98" s="190">
        <v>1260</v>
      </c>
      <c r="F98" s="212">
        <v>1.3</v>
      </c>
      <c r="H98" t="s">
        <v>893</v>
      </c>
    </row>
    <row r="99" spans="1:8" x14ac:dyDescent="0.25">
      <c r="A99" s="211" t="s">
        <v>881</v>
      </c>
      <c r="B99" t="s">
        <v>866</v>
      </c>
      <c r="C99" s="48">
        <f t="shared" si="4"/>
        <v>507</v>
      </c>
      <c r="D99" t="s">
        <v>8</v>
      </c>
      <c r="E99" s="190">
        <v>390</v>
      </c>
      <c r="F99" s="212">
        <v>1.3</v>
      </c>
      <c r="H99" t="s">
        <v>893</v>
      </c>
    </row>
    <row r="100" spans="1:8" x14ac:dyDescent="0.25">
      <c r="A100" s="211" t="s">
        <v>882</v>
      </c>
      <c r="B100" t="s">
        <v>867</v>
      </c>
      <c r="C100" s="48">
        <f t="shared" si="4"/>
        <v>509.6</v>
      </c>
      <c r="D100" t="s">
        <v>8</v>
      </c>
      <c r="E100" s="190">
        <v>392</v>
      </c>
      <c r="F100" s="212">
        <v>1.3</v>
      </c>
      <c r="H100" t="s">
        <v>893</v>
      </c>
    </row>
    <row r="101" spans="1:8" x14ac:dyDescent="0.25">
      <c r="A101" s="211" t="s">
        <v>883</v>
      </c>
      <c r="B101" t="s">
        <v>868</v>
      </c>
      <c r="C101" s="48">
        <f t="shared" si="4"/>
        <v>26104</v>
      </c>
      <c r="D101" t="s">
        <v>108</v>
      </c>
      <c r="E101" s="190">
        <v>20080</v>
      </c>
      <c r="F101" s="212">
        <v>1.3</v>
      </c>
      <c r="H101" t="s">
        <v>893</v>
      </c>
    </row>
    <row r="102" spans="1:8" x14ac:dyDescent="0.25">
      <c r="A102" s="211" t="s">
        <v>884</v>
      </c>
      <c r="B102" t="s">
        <v>869</v>
      </c>
      <c r="C102" s="48">
        <f t="shared" si="4"/>
        <v>6474</v>
      </c>
      <c r="D102" t="s">
        <v>108</v>
      </c>
      <c r="E102" s="190">
        <v>4980</v>
      </c>
      <c r="F102" s="212">
        <v>1.3</v>
      </c>
      <c r="H102" t="s">
        <v>893</v>
      </c>
    </row>
    <row r="103" spans="1:8" x14ac:dyDescent="0.25">
      <c r="A103" s="211" t="s">
        <v>885</v>
      </c>
      <c r="B103" t="s">
        <v>870</v>
      </c>
      <c r="C103" s="48">
        <f t="shared" si="4"/>
        <v>23078.9</v>
      </c>
      <c r="D103" t="s">
        <v>8</v>
      </c>
      <c r="E103" s="190">
        <v>17753</v>
      </c>
      <c r="F103" s="212">
        <v>1.3</v>
      </c>
      <c r="H103" t="s">
        <v>893</v>
      </c>
    </row>
    <row r="104" spans="1:8" x14ac:dyDescent="0.25">
      <c r="A104" s="211" t="s">
        <v>886</v>
      </c>
      <c r="B104" t="s">
        <v>871</v>
      </c>
      <c r="C104" s="48">
        <f t="shared" si="4"/>
        <v>390266.5</v>
      </c>
      <c r="D104" t="s">
        <v>8</v>
      </c>
      <c r="E104" s="190">
        <v>300205</v>
      </c>
      <c r="F104" s="212">
        <v>1.3</v>
      </c>
      <c r="H104" t="s">
        <v>893</v>
      </c>
    </row>
    <row r="105" spans="1:8" x14ac:dyDescent="0.25">
      <c r="A105" s="211" t="s">
        <v>887</v>
      </c>
      <c r="B105" t="s">
        <v>872</v>
      </c>
      <c r="C105" s="48">
        <f t="shared" si="4"/>
        <v>214905.60000000001</v>
      </c>
      <c r="D105" t="s">
        <v>8</v>
      </c>
      <c r="E105" s="190">
        <v>165312</v>
      </c>
      <c r="F105" s="212">
        <v>1.3</v>
      </c>
      <c r="H105" t="s">
        <v>893</v>
      </c>
    </row>
    <row r="106" spans="1:8" x14ac:dyDescent="0.25">
      <c r="A106" s="211" t="s">
        <v>888</v>
      </c>
      <c r="B106" t="s">
        <v>873</v>
      </c>
      <c r="C106" s="48">
        <f t="shared" si="4"/>
        <v>53995.5</v>
      </c>
      <c r="D106" t="s">
        <v>8</v>
      </c>
      <c r="E106" s="190">
        <v>41535</v>
      </c>
      <c r="F106" s="212">
        <v>1.3</v>
      </c>
      <c r="H106" t="s">
        <v>893</v>
      </c>
    </row>
    <row r="107" spans="1:8" x14ac:dyDescent="0.25">
      <c r="A107" s="211" t="s">
        <v>889</v>
      </c>
      <c r="B107" t="s">
        <v>874</v>
      </c>
      <c r="C107" s="48">
        <f t="shared" si="4"/>
        <v>52942.5</v>
      </c>
      <c r="D107" t="s">
        <v>8</v>
      </c>
      <c r="E107" s="190">
        <v>40725</v>
      </c>
      <c r="F107" s="212">
        <v>1.3</v>
      </c>
      <c r="H107" t="s">
        <v>893</v>
      </c>
    </row>
    <row r="108" spans="1:8" x14ac:dyDescent="0.25">
      <c r="A108" s="211" t="s">
        <v>890</v>
      </c>
      <c r="B108" t="s">
        <v>1242</v>
      </c>
      <c r="C108" s="48">
        <f t="shared" si="4"/>
        <v>19760</v>
      </c>
      <c r="D108" t="s">
        <v>108</v>
      </c>
      <c r="E108" s="190">
        <f>45600/3</f>
        <v>15200</v>
      </c>
      <c r="F108" s="212">
        <v>1.3</v>
      </c>
      <c r="G108" s="213">
        <v>45712</v>
      </c>
      <c r="H108" s="111" t="s">
        <v>1203</v>
      </c>
    </row>
    <row r="109" spans="1:8" x14ac:dyDescent="0.25">
      <c r="A109" s="211" t="s">
        <v>891</v>
      </c>
      <c r="B109" t="s">
        <v>875</v>
      </c>
      <c r="C109" s="48">
        <f t="shared" si="4"/>
        <v>83072.600000000006</v>
      </c>
      <c r="D109" t="s">
        <v>8</v>
      </c>
      <c r="E109" s="190">
        <v>63902</v>
      </c>
      <c r="F109" s="212">
        <v>1.3</v>
      </c>
      <c r="H109" t="s">
        <v>893</v>
      </c>
    </row>
    <row r="110" spans="1:8" x14ac:dyDescent="0.25">
      <c r="A110" s="211" t="s">
        <v>892</v>
      </c>
      <c r="B110" t="s">
        <v>896</v>
      </c>
      <c r="C110" s="48">
        <f t="shared" si="4"/>
        <v>382395</v>
      </c>
      <c r="D110" t="s">
        <v>8</v>
      </c>
      <c r="E110" s="190">
        <v>294150</v>
      </c>
      <c r="F110" s="212">
        <v>1.3</v>
      </c>
      <c r="G110" s="213">
        <v>45700</v>
      </c>
      <c r="H110" s="111" t="s">
        <v>897</v>
      </c>
    </row>
    <row r="111" spans="1:8" x14ac:dyDescent="0.25">
      <c r="A111" s="211" t="s">
        <v>911</v>
      </c>
      <c r="B111" t="s">
        <v>903</v>
      </c>
      <c r="C111" s="48">
        <f t="shared" si="4"/>
        <v>35230</v>
      </c>
      <c r="D111" t="s">
        <v>108</v>
      </c>
      <c r="E111" s="190">
        <v>27100</v>
      </c>
      <c r="F111" s="212">
        <v>1.3</v>
      </c>
      <c r="G111" s="213">
        <v>45701</v>
      </c>
      <c r="H111" s="111" t="s">
        <v>902</v>
      </c>
    </row>
    <row r="112" spans="1:8" x14ac:dyDescent="0.25">
      <c r="A112" s="211" t="s">
        <v>913</v>
      </c>
      <c r="B112" t="s">
        <v>1998</v>
      </c>
      <c r="C112" s="48">
        <f t="shared" si="4"/>
        <v>29315</v>
      </c>
      <c r="D112" t="s">
        <v>8</v>
      </c>
      <c r="E112" s="190">
        <v>22550</v>
      </c>
      <c r="F112" s="212">
        <v>1.3</v>
      </c>
      <c r="G112" s="213">
        <v>45701</v>
      </c>
      <c r="H112" s="111" t="s">
        <v>904</v>
      </c>
    </row>
    <row r="113" spans="1:8" x14ac:dyDescent="0.25">
      <c r="A113" s="211" t="s">
        <v>914</v>
      </c>
      <c r="B113" t="s">
        <v>905</v>
      </c>
      <c r="C113" s="48">
        <f t="shared" si="4"/>
        <v>159900</v>
      </c>
      <c r="D113" t="s">
        <v>906</v>
      </c>
      <c r="E113" s="190">
        <v>123000</v>
      </c>
      <c r="F113" s="212">
        <v>1.3</v>
      </c>
      <c r="G113" s="213">
        <v>45701</v>
      </c>
      <c r="H113" s="111" t="s">
        <v>907</v>
      </c>
    </row>
    <row r="114" spans="1:8" x14ac:dyDescent="0.25">
      <c r="A114" s="211" t="s">
        <v>916</v>
      </c>
      <c r="B114" t="s">
        <v>909</v>
      </c>
      <c r="C114" s="48">
        <f t="shared" si="4"/>
        <v>1611716.7742050621</v>
      </c>
      <c r="D114" t="s">
        <v>8</v>
      </c>
      <c r="E114" s="190">
        <v>1239782.1340038939</v>
      </c>
      <c r="F114" s="212">
        <v>1.3</v>
      </c>
      <c r="G114" s="213">
        <v>45701</v>
      </c>
      <c r="H114" s="111" t="s">
        <v>908</v>
      </c>
    </row>
    <row r="115" spans="1:8" x14ac:dyDescent="0.25">
      <c r="A115" s="211" t="s">
        <v>917</v>
      </c>
      <c r="B115" t="s">
        <v>1999</v>
      </c>
      <c r="C115" s="48">
        <f t="shared" si="4"/>
        <v>240000</v>
      </c>
      <c r="D115" t="s">
        <v>8</v>
      </c>
      <c r="E115" s="190">
        <v>200000</v>
      </c>
      <c r="F115" s="212">
        <v>1.2</v>
      </c>
      <c r="G115" s="213">
        <v>45701</v>
      </c>
      <c r="H115" s="111" t="s">
        <v>910</v>
      </c>
    </row>
    <row r="116" spans="1:8" x14ac:dyDescent="0.25">
      <c r="A116" s="211" t="s">
        <v>919</v>
      </c>
      <c r="B116" t="s">
        <v>2000</v>
      </c>
      <c r="C116" s="48">
        <f t="shared" si="4"/>
        <v>159315</v>
      </c>
      <c r="D116" t="s">
        <v>8</v>
      </c>
      <c r="E116" s="190">
        <v>122550</v>
      </c>
      <c r="F116" s="212">
        <v>1.3</v>
      </c>
      <c r="G116" s="213">
        <v>45701</v>
      </c>
      <c r="H116" s="111" t="s">
        <v>912</v>
      </c>
    </row>
    <row r="117" spans="1:8" x14ac:dyDescent="0.25">
      <c r="A117" s="211" t="s">
        <v>920</v>
      </c>
      <c r="B117" t="s">
        <v>2001</v>
      </c>
      <c r="C117" s="48">
        <f t="shared" si="4"/>
        <v>49166</v>
      </c>
      <c r="D117" t="s">
        <v>108</v>
      </c>
      <c r="E117" s="190">
        <v>37820</v>
      </c>
      <c r="F117" s="212">
        <v>1.3</v>
      </c>
      <c r="G117" s="213">
        <v>45701</v>
      </c>
      <c r="H117" s="111" t="s">
        <v>396</v>
      </c>
    </row>
    <row r="118" spans="1:8" x14ac:dyDescent="0.25">
      <c r="A118" s="211" t="s">
        <v>922</v>
      </c>
      <c r="B118" t="s">
        <v>2002</v>
      </c>
      <c r="C118" s="48">
        <f t="shared" si="4"/>
        <v>520</v>
      </c>
      <c r="D118" t="s">
        <v>8</v>
      </c>
      <c r="E118" s="190">
        <v>400</v>
      </c>
      <c r="F118" s="212">
        <v>1.3</v>
      </c>
      <c r="G118" s="213">
        <v>45701</v>
      </c>
      <c r="H118" s="111" t="s">
        <v>915</v>
      </c>
    </row>
    <row r="119" spans="1:8" x14ac:dyDescent="0.25">
      <c r="A119" s="211" t="s">
        <v>924</v>
      </c>
      <c r="B119" s="1" t="s">
        <v>2003</v>
      </c>
      <c r="C119" s="48">
        <f t="shared" si="4"/>
        <v>60836856.645361274</v>
      </c>
      <c r="D119" t="s">
        <v>8</v>
      </c>
      <c r="E119" s="190">
        <v>46797582.034893289</v>
      </c>
      <c r="F119" s="212">
        <v>1.3</v>
      </c>
      <c r="G119" s="213">
        <v>45701</v>
      </c>
      <c r="H119" t="s">
        <v>918</v>
      </c>
    </row>
    <row r="120" spans="1:8" x14ac:dyDescent="0.25">
      <c r="A120" s="211" t="s">
        <v>926</v>
      </c>
      <c r="B120" t="s">
        <v>2004</v>
      </c>
      <c r="C120" s="48">
        <f t="shared" si="4"/>
        <v>110601940.65507214</v>
      </c>
      <c r="D120" t="s">
        <v>8</v>
      </c>
      <c r="E120" s="190">
        <v>85078415.888517022</v>
      </c>
      <c r="F120" s="212">
        <v>1.3</v>
      </c>
      <c r="G120" s="213">
        <v>45701</v>
      </c>
      <c r="H120" t="s">
        <v>918</v>
      </c>
    </row>
    <row r="121" spans="1:8" x14ac:dyDescent="0.25">
      <c r="A121" s="211" t="s">
        <v>928</v>
      </c>
      <c r="B121" t="s">
        <v>2005</v>
      </c>
      <c r="C121" s="48">
        <f t="shared" si="4"/>
        <v>729505.96464997053</v>
      </c>
      <c r="D121" t="s">
        <v>8</v>
      </c>
      <c r="E121" s="190">
        <f>558000*IPP!C285</f>
        <v>561158.43434613117</v>
      </c>
      <c r="F121" s="212">
        <v>1.3</v>
      </c>
      <c r="G121" s="213">
        <v>45701</v>
      </c>
      <c r="H121" s="77" t="s">
        <v>749</v>
      </c>
    </row>
    <row r="122" spans="1:8" x14ac:dyDescent="0.25">
      <c r="A122" s="211" t="s">
        <v>932</v>
      </c>
      <c r="B122" t="s">
        <v>1192</v>
      </c>
      <c r="C122" s="48">
        <f t="shared" si="4"/>
        <v>1950000</v>
      </c>
      <c r="D122" t="s">
        <v>108</v>
      </c>
      <c r="E122" s="190">
        <v>1500000</v>
      </c>
      <c r="F122" s="212">
        <v>1.3</v>
      </c>
      <c r="G122" s="213">
        <v>45701</v>
      </c>
      <c r="H122" s="111" t="s">
        <v>1794</v>
      </c>
    </row>
    <row r="123" spans="1:8" x14ac:dyDescent="0.25">
      <c r="A123" s="211" t="s">
        <v>933</v>
      </c>
      <c r="B123" t="s">
        <v>2006</v>
      </c>
      <c r="C123" s="48">
        <f t="shared" si="4"/>
        <v>186781.4</v>
      </c>
      <c r="D123" t="s">
        <v>8</v>
      </c>
      <c r="E123" s="190">
        <v>143678</v>
      </c>
      <c r="F123" s="212">
        <v>1.3</v>
      </c>
      <c r="G123" s="213">
        <v>45701</v>
      </c>
      <c r="H123" s="111" t="s">
        <v>921</v>
      </c>
    </row>
    <row r="124" spans="1:8" x14ac:dyDescent="0.25">
      <c r="A124" s="211" t="s">
        <v>937</v>
      </c>
      <c r="B124" t="s">
        <v>929</v>
      </c>
      <c r="C124" s="48">
        <f t="shared" si="4"/>
        <v>6500000</v>
      </c>
      <c r="D124" t="s">
        <v>8</v>
      </c>
      <c r="E124" s="190">
        <v>5000000</v>
      </c>
      <c r="F124" s="212">
        <v>1.3</v>
      </c>
      <c r="G124" s="213">
        <v>45701</v>
      </c>
      <c r="H124" s="111" t="s">
        <v>923</v>
      </c>
    </row>
    <row r="125" spans="1:8" x14ac:dyDescent="0.25">
      <c r="A125" s="211" t="s">
        <v>939</v>
      </c>
      <c r="B125" t="s">
        <v>1198</v>
      </c>
      <c r="C125" s="48">
        <f t="shared" si="4"/>
        <v>2375100</v>
      </c>
      <c r="D125" t="s">
        <v>8</v>
      </c>
      <c r="E125" s="190">
        <v>1827000</v>
      </c>
      <c r="F125" s="212">
        <v>1.3</v>
      </c>
      <c r="G125" s="213">
        <v>45701</v>
      </c>
      <c r="H125" s="88" t="s">
        <v>923</v>
      </c>
    </row>
    <row r="126" spans="1:8" x14ac:dyDescent="0.25">
      <c r="A126" s="211" t="s">
        <v>944</v>
      </c>
      <c r="B126" t="s">
        <v>930</v>
      </c>
      <c r="C126" s="48">
        <f t="shared" si="4"/>
        <v>2548260</v>
      </c>
      <c r="D126" t="s">
        <v>8</v>
      </c>
      <c r="E126" s="190">
        <v>1960200</v>
      </c>
      <c r="F126" s="212">
        <v>1.3</v>
      </c>
      <c r="G126" s="213">
        <v>45701</v>
      </c>
      <c r="H126" s="214" t="s">
        <v>927</v>
      </c>
    </row>
    <row r="127" spans="1:8" x14ac:dyDescent="0.25">
      <c r="A127" s="211" t="s">
        <v>945</v>
      </c>
      <c r="B127" t="s">
        <v>931</v>
      </c>
      <c r="C127" s="48">
        <f t="shared" si="4"/>
        <v>264382.3</v>
      </c>
      <c r="D127" t="s">
        <v>8</v>
      </c>
      <c r="E127" s="190">
        <v>203371</v>
      </c>
      <c r="F127" s="212">
        <v>1.3</v>
      </c>
      <c r="G127" s="213">
        <v>45701</v>
      </c>
      <c r="H127" s="88" t="s">
        <v>938</v>
      </c>
    </row>
    <row r="128" spans="1:8" x14ac:dyDescent="0.25">
      <c r="A128" s="211" t="s">
        <v>948</v>
      </c>
      <c r="B128" t="s">
        <v>2007</v>
      </c>
      <c r="C128" s="48">
        <f t="shared" si="4"/>
        <v>6175</v>
      </c>
      <c r="D128" t="s">
        <v>108</v>
      </c>
      <c r="E128" s="190">
        <v>4750</v>
      </c>
      <c r="F128" s="212">
        <v>1.3</v>
      </c>
      <c r="G128" s="213">
        <v>45701</v>
      </c>
      <c r="H128" s="88" t="s">
        <v>934</v>
      </c>
    </row>
    <row r="129" spans="1:8" x14ac:dyDescent="0.25">
      <c r="A129" s="211" t="s">
        <v>951</v>
      </c>
      <c r="B129" t="s">
        <v>936</v>
      </c>
      <c r="C129" s="48">
        <f t="shared" si="4"/>
        <v>53105</v>
      </c>
      <c r="D129" t="s">
        <v>8</v>
      </c>
      <c r="E129" s="190">
        <v>40850</v>
      </c>
      <c r="F129" s="212">
        <v>1.3</v>
      </c>
      <c r="G129" s="213">
        <v>45701</v>
      </c>
      <c r="H129" s="111" t="s">
        <v>935</v>
      </c>
    </row>
    <row r="130" spans="1:8" x14ac:dyDescent="0.25">
      <c r="A130" s="211" t="s">
        <v>956</v>
      </c>
      <c r="B130" t="s">
        <v>940</v>
      </c>
      <c r="C130" s="48">
        <f t="shared" si="4"/>
        <v>11700</v>
      </c>
      <c r="D130" t="s">
        <v>8</v>
      </c>
      <c r="E130" s="190">
        <v>9000</v>
      </c>
      <c r="F130" s="212">
        <v>1.3</v>
      </c>
      <c r="G130" s="213">
        <v>45701</v>
      </c>
      <c r="H130" s="111" t="s">
        <v>935</v>
      </c>
    </row>
    <row r="131" spans="1:8" x14ac:dyDescent="0.25">
      <c r="A131" s="211" t="s">
        <v>957</v>
      </c>
      <c r="B131" t="s">
        <v>1202</v>
      </c>
      <c r="C131" s="48">
        <f t="shared" si="4"/>
        <v>1668.3333333333333</v>
      </c>
      <c r="D131" t="s">
        <v>108</v>
      </c>
      <c r="E131" s="190">
        <f>3850/3</f>
        <v>1283.3333333333333</v>
      </c>
      <c r="F131" s="212">
        <v>1.3</v>
      </c>
      <c r="G131" s="213">
        <v>45702</v>
      </c>
      <c r="H131" s="88" t="s">
        <v>941</v>
      </c>
    </row>
    <row r="132" spans="1:8" x14ac:dyDescent="0.25">
      <c r="A132" s="211" t="s">
        <v>958</v>
      </c>
      <c r="B132" t="s">
        <v>943</v>
      </c>
      <c r="C132" s="48">
        <f t="shared" si="4"/>
        <v>455</v>
      </c>
      <c r="D132" t="s">
        <v>8</v>
      </c>
      <c r="E132" s="190">
        <v>350</v>
      </c>
      <c r="F132" s="212">
        <v>1.3</v>
      </c>
      <c r="G132" s="213">
        <v>45702</v>
      </c>
      <c r="H132" s="111" t="s">
        <v>942</v>
      </c>
    </row>
    <row r="133" spans="1:8" x14ac:dyDescent="0.25">
      <c r="A133" s="211" t="s">
        <v>959</v>
      </c>
      <c r="B133" t="s">
        <v>946</v>
      </c>
      <c r="C133" s="48">
        <f t="shared" si="4"/>
        <v>8502</v>
      </c>
      <c r="D133" t="s">
        <v>8</v>
      </c>
      <c r="E133" s="190">
        <v>6540</v>
      </c>
      <c r="F133" s="212">
        <v>1.3</v>
      </c>
      <c r="G133" s="213">
        <v>45702</v>
      </c>
      <c r="H133" s="111" t="s">
        <v>947</v>
      </c>
    </row>
    <row r="134" spans="1:8" x14ac:dyDescent="0.25">
      <c r="A134" s="211" t="s">
        <v>960</v>
      </c>
      <c r="B134" t="s">
        <v>949</v>
      </c>
      <c r="C134" s="48">
        <f t="shared" si="4"/>
        <v>349411.78220000002</v>
      </c>
      <c r="D134" t="s">
        <v>8</v>
      </c>
      <c r="E134" s="190">
        <v>268778.29399999999</v>
      </c>
      <c r="F134" s="212">
        <v>1.3</v>
      </c>
      <c r="G134" s="213">
        <v>45702</v>
      </c>
      <c r="H134" s="88" t="s">
        <v>950</v>
      </c>
    </row>
    <row r="135" spans="1:8" x14ac:dyDescent="0.25">
      <c r="A135" s="211" t="s">
        <v>961</v>
      </c>
      <c r="B135" t="s">
        <v>1211</v>
      </c>
      <c r="C135" s="48">
        <f t="shared" si="4"/>
        <v>260000</v>
      </c>
      <c r="D135" t="s">
        <v>8</v>
      </c>
      <c r="E135" s="190">
        <v>200000</v>
      </c>
      <c r="F135" s="212">
        <v>1.3</v>
      </c>
      <c r="G135" s="213">
        <v>45702</v>
      </c>
      <c r="H135" s="88" t="s">
        <v>976</v>
      </c>
    </row>
    <row r="136" spans="1:8" x14ac:dyDescent="0.25">
      <c r="A136" s="211" t="s">
        <v>962</v>
      </c>
      <c r="B136" t="s">
        <v>1424</v>
      </c>
      <c r="C136" s="48">
        <f t="shared" ref="C136:C199" si="5">E136*F136</f>
        <v>6500</v>
      </c>
      <c r="D136" t="s">
        <v>108</v>
      </c>
      <c r="E136" s="190">
        <f>30000/6</f>
        <v>5000</v>
      </c>
      <c r="F136" s="212">
        <v>1.3</v>
      </c>
      <c r="G136" s="213">
        <v>45702</v>
      </c>
      <c r="H136" s="88" t="s">
        <v>971</v>
      </c>
    </row>
    <row r="137" spans="1:8" x14ac:dyDescent="0.25">
      <c r="A137" s="211" t="s">
        <v>963</v>
      </c>
      <c r="B137" t="s">
        <v>952</v>
      </c>
      <c r="C137" s="48">
        <f t="shared" si="5"/>
        <v>649545</v>
      </c>
      <c r="D137" t="s">
        <v>114</v>
      </c>
      <c r="E137" s="190">
        <v>499650</v>
      </c>
      <c r="F137" s="212">
        <v>1.3</v>
      </c>
      <c r="G137" s="213">
        <v>45702</v>
      </c>
      <c r="H137" s="88" t="s">
        <v>974</v>
      </c>
    </row>
    <row r="138" spans="1:8" x14ac:dyDescent="0.25">
      <c r="A138" s="211" t="s">
        <v>964</v>
      </c>
      <c r="B138" t="s">
        <v>954</v>
      </c>
      <c r="C138" s="48">
        <f t="shared" si="5"/>
        <v>6110</v>
      </c>
      <c r="D138" t="s">
        <v>8</v>
      </c>
      <c r="E138" s="190">
        <v>4700</v>
      </c>
      <c r="F138" s="212">
        <v>1.3</v>
      </c>
      <c r="G138" s="213">
        <v>45702</v>
      </c>
      <c r="H138" s="88" t="s">
        <v>969</v>
      </c>
    </row>
    <row r="139" spans="1:8" x14ac:dyDescent="0.25">
      <c r="A139" s="211" t="s">
        <v>965</v>
      </c>
      <c r="B139" t="s">
        <v>966</v>
      </c>
      <c r="C139" s="48">
        <f t="shared" si="5"/>
        <v>20800</v>
      </c>
      <c r="D139" t="s">
        <v>114</v>
      </c>
      <c r="E139" s="190">
        <v>16000</v>
      </c>
      <c r="F139" s="212">
        <v>1.3</v>
      </c>
      <c r="G139" s="213">
        <v>45702</v>
      </c>
      <c r="H139" s="88" t="s">
        <v>970</v>
      </c>
    </row>
    <row r="140" spans="1:8" x14ac:dyDescent="0.25">
      <c r="A140" s="211" t="s">
        <v>967</v>
      </c>
      <c r="B140" t="s">
        <v>953</v>
      </c>
      <c r="C140" s="48">
        <f t="shared" si="5"/>
        <v>5005</v>
      </c>
      <c r="D140" t="s">
        <v>8</v>
      </c>
      <c r="E140" s="190">
        <v>3850</v>
      </c>
      <c r="F140" s="212">
        <v>1.3</v>
      </c>
      <c r="G140" s="213">
        <v>45702</v>
      </c>
      <c r="H140" s="88" t="s">
        <v>973</v>
      </c>
    </row>
    <row r="141" spans="1:8" x14ac:dyDescent="0.25">
      <c r="A141" s="211" t="s">
        <v>968</v>
      </c>
      <c r="B141" t="s">
        <v>955</v>
      </c>
      <c r="C141" s="48">
        <f t="shared" si="5"/>
        <v>104000</v>
      </c>
      <c r="D141" t="s">
        <v>114</v>
      </c>
      <c r="E141" s="190">
        <v>80000</v>
      </c>
      <c r="F141" s="212">
        <v>1.3</v>
      </c>
      <c r="G141" s="213">
        <v>45702</v>
      </c>
      <c r="H141" s="111" t="s">
        <v>975</v>
      </c>
    </row>
    <row r="142" spans="1:8" x14ac:dyDescent="0.25">
      <c r="A142" s="211" t="s">
        <v>972</v>
      </c>
      <c r="B142" t="s">
        <v>977</v>
      </c>
      <c r="C142" s="48">
        <f t="shared" si="5"/>
        <v>13778.7</v>
      </c>
      <c r="D142" t="s">
        <v>8</v>
      </c>
      <c r="E142" s="190">
        <v>10599</v>
      </c>
      <c r="F142" s="212">
        <v>1.3</v>
      </c>
      <c r="G142" s="213">
        <v>45702</v>
      </c>
      <c r="H142" s="88" t="s">
        <v>978</v>
      </c>
    </row>
    <row r="143" spans="1:8" x14ac:dyDescent="0.25">
      <c r="A143" s="211" t="s">
        <v>984</v>
      </c>
      <c r="B143" t="s">
        <v>979</v>
      </c>
      <c r="C143" s="48">
        <f t="shared" si="5"/>
        <v>7020</v>
      </c>
      <c r="D143" t="s">
        <v>108</v>
      </c>
      <c r="E143" s="190">
        <v>5400</v>
      </c>
      <c r="F143" s="212">
        <v>1.3</v>
      </c>
      <c r="G143" s="213">
        <v>45702</v>
      </c>
      <c r="H143" s="111" t="s">
        <v>980</v>
      </c>
    </row>
    <row r="144" spans="1:8" x14ac:dyDescent="0.25">
      <c r="A144" s="211" t="s">
        <v>986</v>
      </c>
      <c r="B144" t="s">
        <v>2008</v>
      </c>
      <c r="C144" s="48">
        <f t="shared" si="5"/>
        <v>12935</v>
      </c>
      <c r="D144" t="s">
        <v>108</v>
      </c>
      <c r="E144" s="190">
        <v>9950</v>
      </c>
      <c r="F144" s="212">
        <v>1.3</v>
      </c>
      <c r="G144" s="213">
        <v>45702</v>
      </c>
      <c r="H144" s="111" t="s">
        <v>981</v>
      </c>
    </row>
    <row r="145" spans="1:8" x14ac:dyDescent="0.25">
      <c r="A145" s="211" t="s">
        <v>988</v>
      </c>
      <c r="B145" t="s">
        <v>1213</v>
      </c>
      <c r="C145" s="48">
        <f t="shared" si="5"/>
        <v>416000</v>
      </c>
      <c r="D145" t="s">
        <v>8</v>
      </c>
      <c r="E145" s="190">
        <f>400000*0.8</f>
        <v>320000</v>
      </c>
      <c r="F145" s="212">
        <v>1.3</v>
      </c>
      <c r="G145" s="213">
        <v>45702</v>
      </c>
      <c r="H145" s="111" t="s">
        <v>1215</v>
      </c>
    </row>
    <row r="146" spans="1:8" x14ac:dyDescent="0.25">
      <c r="A146" s="211" t="s">
        <v>991</v>
      </c>
      <c r="B146" t="s">
        <v>1265</v>
      </c>
      <c r="C146" s="48">
        <f t="shared" si="5"/>
        <v>31590</v>
      </c>
      <c r="D146" t="s">
        <v>8</v>
      </c>
      <c r="E146" s="190">
        <v>24300</v>
      </c>
      <c r="F146" s="212">
        <v>1.3</v>
      </c>
      <c r="G146" s="213">
        <v>45702</v>
      </c>
      <c r="H146" s="111" t="s">
        <v>982</v>
      </c>
    </row>
    <row r="147" spans="1:8" x14ac:dyDescent="0.25">
      <c r="A147" s="211" t="s">
        <v>993</v>
      </c>
      <c r="B147" t="s">
        <v>2009</v>
      </c>
      <c r="C147" s="48">
        <f t="shared" si="5"/>
        <v>4160000</v>
      </c>
      <c r="D147" t="s">
        <v>8</v>
      </c>
      <c r="E147" s="190">
        <f>2400000+800000</f>
        <v>3200000</v>
      </c>
      <c r="F147" s="212">
        <v>1.3</v>
      </c>
      <c r="G147" s="213">
        <v>45702</v>
      </c>
      <c r="H147" s="111" t="s">
        <v>983</v>
      </c>
    </row>
    <row r="148" spans="1:8" x14ac:dyDescent="0.25">
      <c r="A148" s="211" t="s">
        <v>994</v>
      </c>
      <c r="B148" t="s">
        <v>1264</v>
      </c>
      <c r="C148" s="48">
        <f t="shared" si="5"/>
        <v>167180</v>
      </c>
      <c r="D148" t="s">
        <v>8</v>
      </c>
      <c r="E148" s="190">
        <v>128600</v>
      </c>
      <c r="F148" s="212">
        <v>1.3</v>
      </c>
      <c r="G148" s="213">
        <v>45702</v>
      </c>
      <c r="H148" s="111" t="s">
        <v>985</v>
      </c>
    </row>
    <row r="149" spans="1:8" x14ac:dyDescent="0.25">
      <c r="A149" s="211" t="s">
        <v>997</v>
      </c>
      <c r="B149" t="s">
        <v>2010</v>
      </c>
      <c r="C149" s="48">
        <f t="shared" si="5"/>
        <v>6825</v>
      </c>
      <c r="D149" t="s">
        <v>8</v>
      </c>
      <c r="E149" s="190">
        <v>5250</v>
      </c>
      <c r="F149" s="212">
        <v>1.3</v>
      </c>
      <c r="G149" s="213">
        <v>45702</v>
      </c>
      <c r="H149" s="111" t="s">
        <v>987</v>
      </c>
    </row>
    <row r="150" spans="1:8" x14ac:dyDescent="0.25">
      <c r="A150" s="211" t="s">
        <v>999</v>
      </c>
      <c r="B150" t="s">
        <v>989</v>
      </c>
      <c r="C150" s="48">
        <f t="shared" si="5"/>
        <v>1560</v>
      </c>
      <c r="D150" t="s">
        <v>8</v>
      </c>
      <c r="E150" s="190">
        <v>1200</v>
      </c>
      <c r="F150" s="212">
        <v>1.3</v>
      </c>
      <c r="G150" s="213">
        <v>45702</v>
      </c>
      <c r="H150" s="111" t="s">
        <v>990</v>
      </c>
    </row>
    <row r="151" spans="1:8" x14ac:dyDescent="0.25">
      <c r="A151" s="211" t="s">
        <v>1003</v>
      </c>
      <c r="B151" t="s">
        <v>2011</v>
      </c>
      <c r="C151" s="48">
        <f t="shared" si="5"/>
        <v>2574</v>
      </c>
      <c r="D151" t="s">
        <v>8</v>
      </c>
      <c r="E151" s="190">
        <v>1980</v>
      </c>
      <c r="F151" s="212">
        <v>1.3</v>
      </c>
      <c r="G151" s="213">
        <v>45702</v>
      </c>
      <c r="H151" s="111" t="s">
        <v>992</v>
      </c>
    </row>
    <row r="152" spans="1:8" x14ac:dyDescent="0.25">
      <c r="A152" s="211" t="s">
        <v>1005</v>
      </c>
      <c r="B152" t="s">
        <v>1266</v>
      </c>
      <c r="C152" s="48">
        <f t="shared" si="5"/>
        <v>116155</v>
      </c>
      <c r="D152" t="s">
        <v>8</v>
      </c>
      <c r="E152" s="190">
        <v>89350</v>
      </c>
      <c r="F152" s="212">
        <v>1.3</v>
      </c>
      <c r="G152" s="213">
        <v>45702</v>
      </c>
      <c r="H152" s="111" t="s">
        <v>995</v>
      </c>
    </row>
    <row r="153" spans="1:8" x14ac:dyDescent="0.25">
      <c r="A153" s="211" t="s">
        <v>1008</v>
      </c>
      <c r="B153" t="s">
        <v>1284</v>
      </c>
      <c r="C153" s="48">
        <f t="shared" si="5"/>
        <v>17550</v>
      </c>
      <c r="D153" t="s">
        <v>8</v>
      </c>
      <c r="E153" s="190">
        <v>13500</v>
      </c>
      <c r="F153" s="212">
        <v>1.3</v>
      </c>
      <c r="G153" s="213">
        <v>45702</v>
      </c>
      <c r="H153" s="111" t="s">
        <v>996</v>
      </c>
    </row>
    <row r="154" spans="1:8" x14ac:dyDescent="0.25">
      <c r="A154" s="211" t="s">
        <v>1010</v>
      </c>
      <c r="B154" t="s">
        <v>1000</v>
      </c>
      <c r="C154" s="48">
        <f t="shared" si="5"/>
        <v>780000</v>
      </c>
      <c r="D154" t="s">
        <v>8</v>
      </c>
      <c r="E154" s="190">
        <v>600000</v>
      </c>
      <c r="F154" s="212">
        <v>1.3</v>
      </c>
      <c r="G154" s="213">
        <v>45702</v>
      </c>
      <c r="H154" s="111" t="s">
        <v>998</v>
      </c>
    </row>
    <row r="155" spans="1:8" x14ac:dyDescent="0.25">
      <c r="A155" s="211" t="s">
        <v>1013</v>
      </c>
      <c r="B155" t="s">
        <v>1002</v>
      </c>
      <c r="C155" s="48">
        <f t="shared" si="5"/>
        <v>1040</v>
      </c>
      <c r="D155" t="s">
        <v>8</v>
      </c>
      <c r="E155" s="190">
        <v>800</v>
      </c>
      <c r="F155" s="212">
        <v>1.3</v>
      </c>
      <c r="G155" s="213">
        <v>45702</v>
      </c>
      <c r="H155" s="111" t="s">
        <v>1001</v>
      </c>
    </row>
    <row r="156" spans="1:8" x14ac:dyDescent="0.25">
      <c r="A156" s="211" t="s">
        <v>1015</v>
      </c>
      <c r="B156" t="s">
        <v>2012</v>
      </c>
      <c r="C156" s="48">
        <f t="shared" si="5"/>
        <v>5265</v>
      </c>
      <c r="D156" t="s">
        <v>8</v>
      </c>
      <c r="E156" s="190">
        <v>4050</v>
      </c>
      <c r="F156" s="212">
        <v>1.3</v>
      </c>
      <c r="G156" s="213">
        <v>45702</v>
      </c>
      <c r="H156" s="111" t="s">
        <v>1004</v>
      </c>
    </row>
    <row r="157" spans="1:8" x14ac:dyDescent="0.25">
      <c r="A157" s="211" t="s">
        <v>1018</v>
      </c>
      <c r="B157" t="s">
        <v>1007</v>
      </c>
      <c r="C157" s="48">
        <f t="shared" si="5"/>
        <v>26195</v>
      </c>
      <c r="D157" t="s">
        <v>108</v>
      </c>
      <c r="E157" s="190">
        <v>20150</v>
      </c>
      <c r="F157" s="212">
        <v>1.3</v>
      </c>
      <c r="G157" s="213">
        <v>45702</v>
      </c>
      <c r="H157" s="111" t="s">
        <v>1006</v>
      </c>
    </row>
    <row r="158" spans="1:8" x14ac:dyDescent="0.25">
      <c r="A158" s="211" t="s">
        <v>1020</v>
      </c>
      <c r="B158" t="s">
        <v>1318</v>
      </c>
      <c r="C158" s="48">
        <f t="shared" si="5"/>
        <v>8580</v>
      </c>
      <c r="D158" t="s">
        <v>108</v>
      </c>
      <c r="E158" s="190">
        <f>19800/3</f>
        <v>6600</v>
      </c>
      <c r="F158" s="212">
        <v>1.3</v>
      </c>
      <c r="G158" s="213">
        <v>45702</v>
      </c>
      <c r="H158" s="88" t="s">
        <v>1009</v>
      </c>
    </row>
    <row r="159" spans="1:8" x14ac:dyDescent="0.25">
      <c r="A159" s="211" t="s">
        <v>1021</v>
      </c>
      <c r="B159" t="s">
        <v>1012</v>
      </c>
      <c r="C159" s="48">
        <f t="shared" si="5"/>
        <v>43095</v>
      </c>
      <c r="D159" t="s">
        <v>8</v>
      </c>
      <c r="E159" s="190">
        <v>33150</v>
      </c>
      <c r="F159" s="212">
        <v>1.3</v>
      </c>
      <c r="G159" s="213">
        <v>45702</v>
      </c>
      <c r="H159" s="111" t="s">
        <v>1011</v>
      </c>
    </row>
    <row r="160" spans="1:8" x14ac:dyDescent="0.25">
      <c r="A160" s="211" t="s">
        <v>1022</v>
      </c>
      <c r="B160" t="s">
        <v>2013</v>
      </c>
      <c r="C160" s="48">
        <f t="shared" si="5"/>
        <v>16510</v>
      </c>
      <c r="D160" t="s">
        <v>108</v>
      </c>
      <c r="E160" s="190">
        <v>12700</v>
      </c>
      <c r="F160" s="212">
        <v>1.3</v>
      </c>
      <c r="G160" s="213">
        <v>45702</v>
      </c>
      <c r="H160" s="111" t="s">
        <v>1014</v>
      </c>
    </row>
    <row r="161" spans="1:8" x14ac:dyDescent="0.25">
      <c r="A161" s="211" t="s">
        <v>1023</v>
      </c>
      <c r="B161" t="s">
        <v>1017</v>
      </c>
      <c r="C161" s="48">
        <f t="shared" si="5"/>
        <v>1430</v>
      </c>
      <c r="D161" t="s">
        <v>8</v>
      </c>
      <c r="E161" s="190">
        <v>1100</v>
      </c>
      <c r="F161" s="212">
        <v>1.3</v>
      </c>
      <c r="G161" s="213">
        <v>45702</v>
      </c>
      <c r="H161" s="111" t="s">
        <v>1016</v>
      </c>
    </row>
    <row r="162" spans="1:8" x14ac:dyDescent="0.25">
      <c r="A162" s="211" t="s">
        <v>1024</v>
      </c>
      <c r="B162" t="s">
        <v>1045</v>
      </c>
      <c r="C162" s="48">
        <f t="shared" si="5"/>
        <v>24505</v>
      </c>
      <c r="D162" t="s">
        <v>8</v>
      </c>
      <c r="E162" s="190">
        <v>18850</v>
      </c>
      <c r="F162" s="212">
        <v>1.3</v>
      </c>
      <c r="G162" s="213">
        <v>45705</v>
      </c>
      <c r="H162" s="111" t="s">
        <v>1036</v>
      </c>
    </row>
    <row r="163" spans="1:8" x14ac:dyDescent="0.25">
      <c r="A163" s="211" t="s">
        <v>1025</v>
      </c>
      <c r="B163" t="s">
        <v>1051</v>
      </c>
      <c r="C163" s="48">
        <f t="shared" si="5"/>
        <v>37375</v>
      </c>
      <c r="D163" t="s">
        <v>8</v>
      </c>
      <c r="E163" s="190">
        <v>28750</v>
      </c>
      <c r="F163" s="212">
        <v>1.3</v>
      </c>
      <c r="G163" s="213">
        <v>45705</v>
      </c>
      <c r="H163" s="111" t="s">
        <v>1052</v>
      </c>
    </row>
    <row r="164" spans="1:8" x14ac:dyDescent="0.25">
      <c r="A164" s="211" t="s">
        <v>1026</v>
      </c>
      <c r="B164" t="s">
        <v>1053</v>
      </c>
      <c r="C164" s="48">
        <f t="shared" si="5"/>
        <v>32175</v>
      </c>
      <c r="D164" t="s">
        <v>8</v>
      </c>
      <c r="E164" s="190">
        <v>24750</v>
      </c>
      <c r="F164" s="212">
        <v>1.3</v>
      </c>
      <c r="G164" s="213">
        <v>45705</v>
      </c>
      <c r="H164" s="111" t="s">
        <v>1054</v>
      </c>
    </row>
    <row r="165" spans="1:8" x14ac:dyDescent="0.25">
      <c r="A165" s="211" t="s">
        <v>1027</v>
      </c>
      <c r="B165" t="s">
        <v>1047</v>
      </c>
      <c r="C165" s="48">
        <f t="shared" si="5"/>
        <v>310700</v>
      </c>
      <c r="D165" t="s">
        <v>8</v>
      </c>
      <c r="E165" s="190">
        <v>239000</v>
      </c>
      <c r="F165" s="212">
        <v>1.3</v>
      </c>
      <c r="G165" s="213">
        <v>45705</v>
      </c>
      <c r="H165" s="111" t="s">
        <v>1037</v>
      </c>
    </row>
    <row r="166" spans="1:8" x14ac:dyDescent="0.25">
      <c r="A166" s="211" t="s">
        <v>1028</v>
      </c>
      <c r="B166" t="s">
        <v>1055</v>
      </c>
      <c r="C166" s="48">
        <f t="shared" si="5"/>
        <v>285350</v>
      </c>
      <c r="D166" t="s">
        <v>8</v>
      </c>
      <c r="E166" s="190">
        <v>219500</v>
      </c>
      <c r="F166" s="212">
        <v>1.3</v>
      </c>
      <c r="G166" s="213">
        <v>45705</v>
      </c>
      <c r="H166" s="111" t="s">
        <v>1043</v>
      </c>
    </row>
    <row r="167" spans="1:8" x14ac:dyDescent="0.25">
      <c r="A167" s="211" t="s">
        <v>1029</v>
      </c>
      <c r="B167" t="s">
        <v>204</v>
      </c>
      <c r="C167" s="48">
        <f t="shared" si="5"/>
        <v>10985</v>
      </c>
      <c r="D167" t="s">
        <v>8</v>
      </c>
      <c r="E167" s="190">
        <v>8450</v>
      </c>
      <c r="F167" s="212">
        <v>1.3</v>
      </c>
      <c r="G167" s="213">
        <v>45705</v>
      </c>
      <c r="H167" s="111" t="s">
        <v>1038</v>
      </c>
    </row>
    <row r="168" spans="1:8" x14ac:dyDescent="0.25">
      <c r="A168" s="211" t="s">
        <v>1030</v>
      </c>
      <c r="B168" t="s">
        <v>1334</v>
      </c>
      <c r="C168" s="48">
        <f t="shared" si="5"/>
        <v>704338.81517999992</v>
      </c>
      <c r="D168" t="s">
        <v>8</v>
      </c>
      <c r="E168" s="190">
        <v>541799.0885999999</v>
      </c>
      <c r="F168" s="212">
        <v>1.3</v>
      </c>
      <c r="G168" s="213">
        <v>45705</v>
      </c>
      <c r="H168" s="111" t="s">
        <v>1039</v>
      </c>
    </row>
    <row r="169" spans="1:8" x14ac:dyDescent="0.25">
      <c r="A169" s="211" t="s">
        <v>1031</v>
      </c>
      <c r="B169" s="89" t="s">
        <v>205</v>
      </c>
      <c r="C169" s="48">
        <f t="shared" si="5"/>
        <v>7046</v>
      </c>
      <c r="D169" t="s">
        <v>8</v>
      </c>
      <c r="E169" s="190">
        <v>5420</v>
      </c>
      <c r="F169" s="212">
        <v>1.3</v>
      </c>
      <c r="G169" s="213">
        <v>45705</v>
      </c>
      <c r="H169" s="111" t="s">
        <v>1044</v>
      </c>
    </row>
    <row r="170" spans="1:8" x14ac:dyDescent="0.25">
      <c r="A170" s="211" t="s">
        <v>1032</v>
      </c>
      <c r="B170" t="s">
        <v>1048</v>
      </c>
      <c r="C170" s="48">
        <f t="shared" si="5"/>
        <v>90805</v>
      </c>
      <c r="D170" t="s">
        <v>108</v>
      </c>
      <c r="E170" s="190">
        <v>69850</v>
      </c>
      <c r="F170" s="212">
        <v>1.3</v>
      </c>
      <c r="G170" s="213">
        <v>45705</v>
      </c>
      <c r="H170" s="111" t="s">
        <v>1040</v>
      </c>
    </row>
    <row r="171" spans="1:8" x14ac:dyDescent="0.25">
      <c r="A171" s="211" t="s">
        <v>1033</v>
      </c>
      <c r="B171" t="s">
        <v>206</v>
      </c>
      <c r="C171" s="48">
        <f t="shared" si="5"/>
        <v>57785</v>
      </c>
      <c r="D171" t="s">
        <v>108</v>
      </c>
      <c r="E171" s="190">
        <v>44450</v>
      </c>
      <c r="F171" s="212">
        <v>1.3</v>
      </c>
      <c r="G171" s="213">
        <v>45705</v>
      </c>
      <c r="H171" s="111" t="s">
        <v>1041</v>
      </c>
    </row>
    <row r="172" spans="1:8" x14ac:dyDescent="0.25">
      <c r="A172" s="211" t="s">
        <v>1034</v>
      </c>
      <c r="B172" t="s">
        <v>316</v>
      </c>
      <c r="C172" s="48">
        <f t="shared" si="5"/>
        <v>47645</v>
      </c>
      <c r="D172" t="s">
        <v>108</v>
      </c>
      <c r="E172" s="190">
        <v>36650</v>
      </c>
      <c r="F172" s="212">
        <v>1.3</v>
      </c>
      <c r="G172" s="213">
        <v>45705</v>
      </c>
      <c r="H172" s="111" t="s">
        <v>1042</v>
      </c>
    </row>
    <row r="173" spans="1:8" x14ac:dyDescent="0.25">
      <c r="A173" s="211" t="s">
        <v>1035</v>
      </c>
      <c r="B173" t="s">
        <v>2014</v>
      </c>
      <c r="C173" s="48">
        <f t="shared" si="5"/>
        <v>126685</v>
      </c>
      <c r="D173" t="s">
        <v>108</v>
      </c>
      <c r="E173" s="190">
        <v>97450</v>
      </c>
      <c r="F173" s="212">
        <v>1.3</v>
      </c>
      <c r="G173" s="213">
        <v>45705</v>
      </c>
      <c r="H173" s="111" t="s">
        <v>1049</v>
      </c>
    </row>
    <row r="174" spans="1:8" x14ac:dyDescent="0.25">
      <c r="A174" s="211" t="s">
        <v>1064</v>
      </c>
      <c r="B174" t="s">
        <v>1057</v>
      </c>
      <c r="C174" s="48">
        <f t="shared" si="5"/>
        <v>5525</v>
      </c>
      <c r="D174" t="s">
        <v>108</v>
      </c>
      <c r="E174" s="190">
        <v>4250</v>
      </c>
      <c r="F174" s="212">
        <v>1.3</v>
      </c>
      <c r="G174" s="213">
        <v>45705</v>
      </c>
      <c r="H174" s="111" t="s">
        <v>1056</v>
      </c>
    </row>
    <row r="175" spans="1:8" x14ac:dyDescent="0.25">
      <c r="A175" s="211" t="s">
        <v>1065</v>
      </c>
      <c r="B175" t="s">
        <v>1059</v>
      </c>
      <c r="C175" s="48">
        <f t="shared" si="5"/>
        <v>138385</v>
      </c>
      <c r="D175" t="s">
        <v>8</v>
      </c>
      <c r="E175" s="190">
        <v>106450</v>
      </c>
      <c r="F175" s="212">
        <v>1.3</v>
      </c>
      <c r="G175" s="213">
        <v>45705</v>
      </c>
      <c r="H175" s="111" t="s">
        <v>1058</v>
      </c>
    </row>
    <row r="176" spans="1:8" x14ac:dyDescent="0.25">
      <c r="A176" s="211" t="s">
        <v>1066</v>
      </c>
      <c r="B176" t="s">
        <v>1061</v>
      </c>
      <c r="C176" s="48">
        <f t="shared" si="5"/>
        <v>6110</v>
      </c>
      <c r="D176" t="s">
        <v>108</v>
      </c>
      <c r="E176" s="190">
        <v>4700</v>
      </c>
      <c r="F176" s="212">
        <v>1.3</v>
      </c>
      <c r="G176" s="213">
        <v>45705</v>
      </c>
      <c r="H176" s="111" t="s">
        <v>1060</v>
      </c>
    </row>
    <row r="177" spans="1:8" x14ac:dyDescent="0.25">
      <c r="A177" s="211" t="s">
        <v>1364</v>
      </c>
      <c r="B177" t="s">
        <v>111</v>
      </c>
      <c r="C177" s="48">
        <f t="shared" si="5"/>
        <v>34450</v>
      </c>
      <c r="D177" t="s">
        <v>8</v>
      </c>
      <c r="E177" s="190">
        <v>26500</v>
      </c>
      <c r="F177" s="212">
        <v>1.3</v>
      </c>
      <c r="G177" s="213">
        <v>45705</v>
      </c>
      <c r="H177" s="111" t="s">
        <v>1062</v>
      </c>
    </row>
    <row r="178" spans="1:8" x14ac:dyDescent="0.25">
      <c r="A178" s="211" t="s">
        <v>1070</v>
      </c>
      <c r="B178" t="s">
        <v>1063</v>
      </c>
      <c r="C178" s="48">
        <f t="shared" si="5"/>
        <v>34450</v>
      </c>
      <c r="D178" t="s">
        <v>8</v>
      </c>
      <c r="E178" s="190">
        <v>26500</v>
      </c>
      <c r="F178" s="212">
        <v>1.3</v>
      </c>
      <c r="G178" s="213">
        <v>45705</v>
      </c>
      <c r="H178" s="111" t="s">
        <v>1062</v>
      </c>
    </row>
    <row r="179" spans="1:8" x14ac:dyDescent="0.25">
      <c r="A179" s="211" t="s">
        <v>1072</v>
      </c>
      <c r="B179" t="s">
        <v>2015</v>
      </c>
      <c r="C179" s="48">
        <f t="shared" si="5"/>
        <v>46215</v>
      </c>
      <c r="D179" t="s">
        <v>8</v>
      </c>
      <c r="E179" s="190">
        <v>35550</v>
      </c>
      <c r="F179" s="212">
        <v>1.3</v>
      </c>
      <c r="G179" s="213">
        <v>45705</v>
      </c>
      <c r="H179" s="111" t="s">
        <v>1067</v>
      </c>
    </row>
    <row r="180" spans="1:8" x14ac:dyDescent="0.25">
      <c r="A180" s="211" t="s">
        <v>1078</v>
      </c>
      <c r="B180" t="s">
        <v>2016</v>
      </c>
      <c r="C180" s="48">
        <f t="shared" si="5"/>
        <v>32370</v>
      </c>
      <c r="D180" t="s">
        <v>108</v>
      </c>
      <c r="E180" s="190">
        <v>24900</v>
      </c>
      <c r="F180" s="212">
        <v>1.3</v>
      </c>
      <c r="G180" s="213">
        <v>45705</v>
      </c>
      <c r="H180" s="111" t="s">
        <v>1068</v>
      </c>
    </row>
    <row r="181" spans="1:8" x14ac:dyDescent="0.25">
      <c r="A181" s="211" t="s">
        <v>1079</v>
      </c>
      <c r="B181" t="s">
        <v>2017</v>
      </c>
      <c r="C181" s="48">
        <f t="shared" si="5"/>
        <v>50700</v>
      </c>
      <c r="D181" t="s">
        <v>108</v>
      </c>
      <c r="E181" s="190">
        <v>39000</v>
      </c>
      <c r="F181" s="212">
        <v>1.3</v>
      </c>
      <c r="G181" s="213">
        <v>45705</v>
      </c>
      <c r="H181" s="111" t="s">
        <v>1069</v>
      </c>
    </row>
    <row r="182" spans="1:8" x14ac:dyDescent="0.25">
      <c r="A182" s="211" t="s">
        <v>1080</v>
      </c>
      <c r="B182" t="s">
        <v>1073</v>
      </c>
      <c r="C182" s="48">
        <f t="shared" si="5"/>
        <v>162695</v>
      </c>
      <c r="D182" t="s">
        <v>8</v>
      </c>
      <c r="E182" s="190">
        <v>125150</v>
      </c>
      <c r="F182" s="212">
        <v>1.3</v>
      </c>
      <c r="G182" s="213">
        <v>45706</v>
      </c>
      <c r="H182" s="111" t="s">
        <v>1071</v>
      </c>
    </row>
    <row r="183" spans="1:8" x14ac:dyDescent="0.25">
      <c r="A183" s="211" t="s">
        <v>1081</v>
      </c>
      <c r="B183" t="s">
        <v>1074</v>
      </c>
      <c r="C183" s="48">
        <f t="shared" si="5"/>
        <v>87360</v>
      </c>
      <c r="D183" t="s">
        <v>8</v>
      </c>
      <c r="E183" s="190">
        <f>67200</f>
        <v>67200</v>
      </c>
      <c r="F183" s="212">
        <v>1.3</v>
      </c>
      <c r="G183" s="213">
        <v>45706</v>
      </c>
      <c r="H183" s="111" t="s">
        <v>1085</v>
      </c>
    </row>
    <row r="184" spans="1:8" x14ac:dyDescent="0.25">
      <c r="A184" s="211" t="s">
        <v>1082</v>
      </c>
      <c r="B184" t="s">
        <v>1075</v>
      </c>
      <c r="C184" s="48">
        <f t="shared" si="5"/>
        <v>268710</v>
      </c>
      <c r="D184" t="s">
        <v>8</v>
      </c>
      <c r="E184" s="190">
        <v>206700</v>
      </c>
      <c r="F184" s="212">
        <v>1.3</v>
      </c>
      <c r="G184" s="213">
        <v>45706</v>
      </c>
      <c r="H184" s="111" t="s">
        <v>1084</v>
      </c>
    </row>
    <row r="185" spans="1:8" x14ac:dyDescent="0.25">
      <c r="A185" s="211" t="s">
        <v>1083</v>
      </c>
      <c r="B185" t="s">
        <v>2460</v>
      </c>
      <c r="C185" s="48">
        <f t="shared" si="5"/>
        <v>44223.4</v>
      </c>
      <c r="D185" t="s">
        <v>8</v>
      </c>
      <c r="E185" s="190">
        <v>34018</v>
      </c>
      <c r="F185" s="212">
        <v>1.3</v>
      </c>
      <c r="G185" s="213">
        <v>45706</v>
      </c>
      <c r="H185" s="111" t="s">
        <v>1086</v>
      </c>
    </row>
    <row r="186" spans="1:8" x14ac:dyDescent="0.25">
      <c r="A186" s="211" t="s">
        <v>1090</v>
      </c>
      <c r="B186" t="s">
        <v>1076</v>
      </c>
      <c r="C186" s="48">
        <f t="shared" si="5"/>
        <v>322400</v>
      </c>
      <c r="D186" t="s">
        <v>8</v>
      </c>
      <c r="E186" s="190">
        <v>248000</v>
      </c>
      <c r="F186" s="212">
        <v>1.3</v>
      </c>
      <c r="G186" s="213">
        <v>45706</v>
      </c>
      <c r="H186" s="111" t="s">
        <v>1087</v>
      </c>
    </row>
    <row r="187" spans="1:8" x14ac:dyDescent="0.25">
      <c r="A187" s="211" t="s">
        <v>1101</v>
      </c>
      <c r="B187" t="s">
        <v>1077</v>
      </c>
      <c r="C187" s="48">
        <f t="shared" si="5"/>
        <v>86286.2</v>
      </c>
      <c r="D187" t="s">
        <v>8</v>
      </c>
      <c r="E187" s="190">
        <v>66374</v>
      </c>
      <c r="F187" s="212">
        <v>1.3</v>
      </c>
      <c r="G187" s="213">
        <v>45706</v>
      </c>
      <c r="H187" s="111" t="s">
        <v>1088</v>
      </c>
    </row>
    <row r="188" spans="1:8" x14ac:dyDescent="0.25">
      <c r="A188" s="211" t="s">
        <v>1107</v>
      </c>
      <c r="B188" t="s">
        <v>1325</v>
      </c>
      <c r="C188" s="48">
        <f t="shared" si="5"/>
        <v>71500</v>
      </c>
      <c r="D188" t="s">
        <v>8</v>
      </c>
      <c r="E188" s="190">
        <v>55000</v>
      </c>
      <c r="F188" s="212">
        <v>1.3</v>
      </c>
      <c r="G188" s="213">
        <v>45706</v>
      </c>
      <c r="H188" s="88" t="s">
        <v>1091</v>
      </c>
    </row>
    <row r="189" spans="1:8" x14ac:dyDescent="0.25">
      <c r="A189" s="211" t="s">
        <v>1108</v>
      </c>
      <c r="B189" t="s">
        <v>2486</v>
      </c>
      <c r="C189" s="48">
        <f t="shared" si="5"/>
        <v>827190</v>
      </c>
      <c r="D189" t="s">
        <v>8</v>
      </c>
      <c r="E189" s="190">
        <v>636300</v>
      </c>
      <c r="F189" s="212">
        <v>1.3</v>
      </c>
      <c r="G189" s="213">
        <v>45706</v>
      </c>
      <c r="H189" s="111" t="s">
        <v>2487</v>
      </c>
    </row>
    <row r="190" spans="1:8" x14ac:dyDescent="0.25">
      <c r="A190" s="211" t="s">
        <v>1123</v>
      </c>
      <c r="B190" t="s">
        <v>2375</v>
      </c>
      <c r="C190" s="48">
        <f t="shared" si="5"/>
        <v>31172.05</v>
      </c>
      <c r="D190" t="s">
        <v>108</v>
      </c>
      <c r="E190" s="190">
        <f>20150*1.19</f>
        <v>23978.5</v>
      </c>
      <c r="F190" s="212">
        <v>1.3</v>
      </c>
      <c r="G190" s="213">
        <v>45707</v>
      </c>
      <c r="H190" t="s">
        <v>1102</v>
      </c>
    </row>
    <row r="191" spans="1:8" x14ac:dyDescent="0.25">
      <c r="A191" s="211" t="s">
        <v>1128</v>
      </c>
      <c r="B191" t="s">
        <v>1105</v>
      </c>
      <c r="C191" s="48">
        <f t="shared" si="5"/>
        <v>760500</v>
      </c>
      <c r="D191" t="s">
        <v>114</v>
      </c>
      <c r="E191" s="190">
        <v>585000</v>
      </c>
      <c r="F191" s="212">
        <v>1.3</v>
      </c>
      <c r="H191" t="s">
        <v>1104</v>
      </c>
    </row>
    <row r="192" spans="1:8" x14ac:dyDescent="0.25">
      <c r="A192" s="211" t="s">
        <v>1134</v>
      </c>
      <c r="B192" t="s">
        <v>1106</v>
      </c>
      <c r="C192" s="48">
        <f t="shared" si="5"/>
        <v>338000</v>
      </c>
      <c r="D192" t="s">
        <v>114</v>
      </c>
      <c r="E192" s="190">
        <f>351000-91000</f>
        <v>260000</v>
      </c>
      <c r="F192" s="212">
        <v>1.3</v>
      </c>
      <c r="H192" t="s">
        <v>1104</v>
      </c>
    </row>
    <row r="193" spans="1:8" x14ac:dyDescent="0.25">
      <c r="A193" s="211" t="s">
        <v>1135</v>
      </c>
      <c r="B193" t="s">
        <v>1124</v>
      </c>
      <c r="C193" s="48">
        <f t="shared" si="5"/>
        <v>32500</v>
      </c>
      <c r="D193" t="s">
        <v>8</v>
      </c>
      <c r="E193" s="190">
        <v>25000</v>
      </c>
      <c r="F193" s="212">
        <v>1.3</v>
      </c>
      <c r="G193" s="213">
        <v>45709</v>
      </c>
      <c r="H193" t="s">
        <v>1794</v>
      </c>
    </row>
    <row r="194" spans="1:8" x14ac:dyDescent="0.25">
      <c r="A194" s="211" t="s">
        <v>1136</v>
      </c>
      <c r="B194" t="s">
        <v>1129</v>
      </c>
      <c r="C194" s="48">
        <f t="shared" si="5"/>
        <v>260</v>
      </c>
      <c r="D194" t="s">
        <v>8</v>
      </c>
      <c r="E194" s="190">
        <v>200</v>
      </c>
      <c r="F194" s="212">
        <v>1.3</v>
      </c>
      <c r="G194" s="213">
        <v>45709</v>
      </c>
      <c r="H194" s="111" t="s">
        <v>1127</v>
      </c>
    </row>
    <row r="195" spans="1:8" x14ac:dyDescent="0.25">
      <c r="A195" s="211" t="s">
        <v>1137</v>
      </c>
      <c r="B195" t="s">
        <v>1130</v>
      </c>
      <c r="C195" s="48">
        <f t="shared" si="5"/>
        <v>455</v>
      </c>
      <c r="D195" t="s">
        <v>8</v>
      </c>
      <c r="E195" s="190">
        <v>350</v>
      </c>
      <c r="F195" s="212">
        <v>1.3</v>
      </c>
      <c r="G195" s="213">
        <v>45709</v>
      </c>
      <c r="H195" s="111" t="s">
        <v>1138</v>
      </c>
    </row>
    <row r="196" spans="1:8" x14ac:dyDescent="0.25">
      <c r="A196" s="211" t="s">
        <v>1142</v>
      </c>
      <c r="B196" t="s">
        <v>1131</v>
      </c>
      <c r="C196" s="48">
        <f t="shared" si="5"/>
        <v>3466.6666666666665</v>
      </c>
      <c r="D196" t="s">
        <v>8</v>
      </c>
      <c r="E196" s="190">
        <f>8000/3</f>
        <v>2666.6666666666665</v>
      </c>
      <c r="F196" s="212">
        <v>1.3</v>
      </c>
      <c r="G196" s="213">
        <v>45709</v>
      </c>
      <c r="H196" s="111" t="s">
        <v>1139</v>
      </c>
    </row>
    <row r="197" spans="1:8" x14ac:dyDescent="0.25">
      <c r="A197" s="211" t="s">
        <v>1143</v>
      </c>
      <c r="B197" t="s">
        <v>1132</v>
      </c>
      <c r="C197" s="48">
        <f t="shared" si="5"/>
        <v>10551.666666666668</v>
      </c>
      <c r="D197" t="s">
        <v>108</v>
      </c>
      <c r="E197" s="190">
        <f>24350/3</f>
        <v>8116.666666666667</v>
      </c>
      <c r="F197" s="212">
        <v>1.3</v>
      </c>
      <c r="G197" s="213">
        <v>45709</v>
      </c>
      <c r="H197" s="111" t="s">
        <v>1140</v>
      </c>
    </row>
    <row r="198" spans="1:8" x14ac:dyDescent="0.25">
      <c r="A198" s="211" t="s">
        <v>1149</v>
      </c>
      <c r="B198" t="s">
        <v>1133</v>
      </c>
      <c r="C198" s="48">
        <f t="shared" si="5"/>
        <v>7150</v>
      </c>
      <c r="D198" t="s">
        <v>108</v>
      </c>
      <c r="E198" s="190">
        <v>5500</v>
      </c>
      <c r="F198" s="212">
        <v>1.3</v>
      </c>
      <c r="G198" s="213">
        <v>45709</v>
      </c>
      <c r="H198" s="111" t="s">
        <v>1141</v>
      </c>
    </row>
    <row r="199" spans="1:8" x14ac:dyDescent="0.25">
      <c r="A199" s="211" t="s">
        <v>1150</v>
      </c>
      <c r="B199" t="s">
        <v>1148</v>
      </c>
      <c r="C199" s="48">
        <f t="shared" si="5"/>
        <v>60000</v>
      </c>
      <c r="D199" t="s">
        <v>114</v>
      </c>
      <c r="E199" s="190">
        <v>60000</v>
      </c>
      <c r="F199" s="212">
        <v>1</v>
      </c>
      <c r="G199" s="213">
        <v>45709</v>
      </c>
      <c r="H199" s="111" t="s">
        <v>1157</v>
      </c>
    </row>
    <row r="200" spans="1:8" x14ac:dyDescent="0.25">
      <c r="A200" s="211" t="s">
        <v>1151</v>
      </c>
      <c r="B200" t="s">
        <v>1144</v>
      </c>
      <c r="C200" s="48">
        <f t="shared" ref="C200:C231" si="6">E200*F200</f>
        <v>1300</v>
      </c>
      <c r="D200" t="s">
        <v>108</v>
      </c>
      <c r="E200" s="190">
        <v>1000</v>
      </c>
      <c r="F200" s="212">
        <v>1.3</v>
      </c>
      <c r="G200" s="213">
        <v>45709</v>
      </c>
      <c r="H200" s="111" t="s">
        <v>1158</v>
      </c>
    </row>
    <row r="201" spans="1:8" x14ac:dyDescent="0.25">
      <c r="A201" s="211" t="s">
        <v>1152</v>
      </c>
      <c r="B201" t="s">
        <v>1301</v>
      </c>
      <c r="C201" s="48">
        <f t="shared" si="6"/>
        <v>88270</v>
      </c>
      <c r="D201" t="s">
        <v>1145</v>
      </c>
      <c r="E201" s="190">
        <v>67900</v>
      </c>
      <c r="F201" s="212">
        <v>1.3</v>
      </c>
      <c r="G201" s="213">
        <v>45709</v>
      </c>
      <c r="H201" s="111" t="s">
        <v>1146</v>
      </c>
    </row>
    <row r="202" spans="1:8" x14ac:dyDescent="0.25">
      <c r="A202" s="211" t="s">
        <v>1156</v>
      </c>
      <c r="B202" t="s">
        <v>1154</v>
      </c>
      <c r="C202" s="48">
        <f t="shared" si="6"/>
        <v>6955</v>
      </c>
      <c r="D202" t="s">
        <v>8</v>
      </c>
      <c r="E202" s="190">
        <v>5350</v>
      </c>
      <c r="F202" s="212">
        <v>1.3</v>
      </c>
      <c r="G202" s="213">
        <v>45709</v>
      </c>
      <c r="H202" s="111" t="s">
        <v>1153</v>
      </c>
    </row>
    <row r="203" spans="1:8" x14ac:dyDescent="0.25">
      <c r="A203" s="211" t="s">
        <v>1164</v>
      </c>
      <c r="B203" t="s">
        <v>1147</v>
      </c>
      <c r="C203" s="48">
        <f t="shared" si="6"/>
        <v>13195</v>
      </c>
      <c r="D203" t="s">
        <v>8</v>
      </c>
      <c r="E203" s="190">
        <v>10150</v>
      </c>
      <c r="F203" s="212">
        <v>1.3</v>
      </c>
      <c r="G203" s="213">
        <v>45709</v>
      </c>
      <c r="H203" s="111" t="s">
        <v>1155</v>
      </c>
    </row>
    <row r="204" spans="1:8" x14ac:dyDescent="0.25">
      <c r="A204" s="211" t="s">
        <v>1166</v>
      </c>
      <c r="B204" t="s">
        <v>1170</v>
      </c>
      <c r="C204" s="48">
        <f t="shared" si="6"/>
        <v>11830</v>
      </c>
      <c r="D204" t="s">
        <v>8</v>
      </c>
      <c r="E204" s="190">
        <v>9100</v>
      </c>
      <c r="F204" s="212">
        <v>1.3</v>
      </c>
      <c r="G204" s="213">
        <v>45709</v>
      </c>
      <c r="H204" s="111" t="s">
        <v>1163</v>
      </c>
    </row>
    <row r="205" spans="1:8" x14ac:dyDescent="0.25">
      <c r="A205" s="211" t="s">
        <v>1168</v>
      </c>
      <c r="B205" t="s">
        <v>1161</v>
      </c>
      <c r="C205" s="48">
        <f t="shared" si="6"/>
        <v>4420</v>
      </c>
      <c r="D205" t="s">
        <v>8</v>
      </c>
      <c r="E205" s="190">
        <v>3400</v>
      </c>
      <c r="F205" s="212">
        <v>1.3</v>
      </c>
      <c r="G205" s="213">
        <v>45709</v>
      </c>
      <c r="H205" s="111" t="s">
        <v>1165</v>
      </c>
    </row>
    <row r="206" spans="1:8" x14ac:dyDescent="0.25">
      <c r="A206" s="211" t="s">
        <v>1173</v>
      </c>
      <c r="B206" t="s">
        <v>1169</v>
      </c>
      <c r="C206" s="48">
        <f t="shared" si="6"/>
        <v>9881.3000000000011</v>
      </c>
      <c r="D206" t="s">
        <v>8</v>
      </c>
      <c r="E206" s="190">
        <v>7601</v>
      </c>
      <c r="F206" s="212">
        <v>1.3</v>
      </c>
      <c r="G206" s="213">
        <v>45709</v>
      </c>
      <c r="H206" s="111" t="s">
        <v>1167</v>
      </c>
    </row>
    <row r="207" spans="1:8" x14ac:dyDescent="0.25">
      <c r="A207" s="211" t="s">
        <v>1175</v>
      </c>
      <c r="B207" t="s">
        <v>1172</v>
      </c>
      <c r="C207" s="48">
        <f t="shared" si="6"/>
        <v>5590</v>
      </c>
      <c r="D207" t="s">
        <v>108</v>
      </c>
      <c r="E207" s="190">
        <v>4300</v>
      </c>
      <c r="F207" s="212">
        <v>1.3</v>
      </c>
      <c r="G207" s="213">
        <v>45709</v>
      </c>
      <c r="H207" s="111" t="s">
        <v>1171</v>
      </c>
    </row>
    <row r="208" spans="1:8" x14ac:dyDescent="0.25">
      <c r="A208" s="211" t="s">
        <v>1177</v>
      </c>
      <c r="B208" t="s">
        <v>2018</v>
      </c>
      <c r="C208" s="48">
        <f t="shared" si="6"/>
        <v>291200</v>
      </c>
      <c r="D208" t="s">
        <v>8</v>
      </c>
      <c r="E208" s="190">
        <v>224000</v>
      </c>
      <c r="F208" s="212">
        <v>1.3</v>
      </c>
      <c r="G208" s="213">
        <v>45710</v>
      </c>
      <c r="H208" s="111" t="s">
        <v>1174</v>
      </c>
    </row>
    <row r="209" spans="1:8" x14ac:dyDescent="0.25">
      <c r="A209" s="211" t="s">
        <v>1179</v>
      </c>
      <c r="B209" t="s">
        <v>1178</v>
      </c>
      <c r="C209" s="48">
        <f t="shared" si="6"/>
        <v>117000</v>
      </c>
      <c r="D209" t="s">
        <v>8</v>
      </c>
      <c r="E209" s="190">
        <v>90000</v>
      </c>
      <c r="F209" s="212">
        <v>1.3</v>
      </c>
      <c r="G209" s="213">
        <v>45710</v>
      </c>
      <c r="H209" s="111" t="s">
        <v>1176</v>
      </c>
    </row>
    <row r="210" spans="1:8" x14ac:dyDescent="0.25">
      <c r="A210" s="211" t="s">
        <v>1186</v>
      </c>
      <c r="B210" t="s">
        <v>1181</v>
      </c>
      <c r="C210" s="48">
        <f t="shared" si="6"/>
        <v>11085750</v>
      </c>
      <c r="D210" t="s">
        <v>8</v>
      </c>
      <c r="E210" s="190">
        <f>1895*'Precio Monedas'!B2</f>
        <v>8527500</v>
      </c>
      <c r="F210" s="212">
        <v>1.3</v>
      </c>
      <c r="G210" s="213">
        <v>45710</v>
      </c>
      <c r="H210" s="111" t="s">
        <v>1180</v>
      </c>
    </row>
    <row r="211" spans="1:8" x14ac:dyDescent="0.25">
      <c r="A211" s="211" t="s">
        <v>1187</v>
      </c>
      <c r="B211" t="s">
        <v>1182</v>
      </c>
      <c r="C211" s="48">
        <f t="shared" si="6"/>
        <v>309400</v>
      </c>
      <c r="D211" t="s">
        <v>8</v>
      </c>
      <c r="E211" s="190">
        <v>238000</v>
      </c>
      <c r="F211" s="212">
        <v>1.3</v>
      </c>
      <c r="G211" s="213">
        <v>45710</v>
      </c>
      <c r="H211" s="111" t="s">
        <v>1184</v>
      </c>
    </row>
    <row r="212" spans="1:8" x14ac:dyDescent="0.25">
      <c r="A212" s="211" t="s">
        <v>1194</v>
      </c>
      <c r="B212" t="s">
        <v>1183</v>
      </c>
      <c r="C212" s="48">
        <f t="shared" si="6"/>
        <v>77350</v>
      </c>
      <c r="D212" t="s">
        <v>8</v>
      </c>
      <c r="E212" s="190">
        <v>59500</v>
      </c>
      <c r="F212" s="212">
        <v>1.3</v>
      </c>
      <c r="G212" s="213">
        <v>45710</v>
      </c>
      <c r="H212" s="111" t="s">
        <v>1185</v>
      </c>
    </row>
    <row r="213" spans="1:8" x14ac:dyDescent="0.25">
      <c r="A213" s="211" t="s">
        <v>1196</v>
      </c>
      <c r="B213" t="s">
        <v>1193</v>
      </c>
      <c r="C213" s="48">
        <f t="shared" si="6"/>
        <v>10551.666666666668</v>
      </c>
      <c r="D213" t="s">
        <v>108</v>
      </c>
      <c r="E213" s="190">
        <f>24350/3</f>
        <v>8116.666666666667</v>
      </c>
      <c r="F213" s="212">
        <v>1.3</v>
      </c>
      <c r="G213" s="213">
        <v>45712</v>
      </c>
      <c r="H213" s="111" t="s">
        <v>1140</v>
      </c>
    </row>
    <row r="214" spans="1:8" x14ac:dyDescent="0.25">
      <c r="A214" s="211" t="s">
        <v>1200</v>
      </c>
      <c r="B214" t="s">
        <v>1195</v>
      </c>
      <c r="C214" s="48">
        <f t="shared" si="6"/>
        <v>1430</v>
      </c>
      <c r="D214" t="s">
        <v>8</v>
      </c>
      <c r="E214" s="190">
        <v>1100</v>
      </c>
      <c r="F214" s="212">
        <v>1.3</v>
      </c>
      <c r="G214" s="213">
        <v>45712</v>
      </c>
      <c r="H214" s="111" t="s">
        <v>1197</v>
      </c>
    </row>
    <row r="215" spans="1:8" x14ac:dyDescent="0.25">
      <c r="A215" s="211" t="s">
        <v>1206</v>
      </c>
      <c r="B215" t="s">
        <v>1201</v>
      </c>
      <c r="C215" s="48">
        <f t="shared" si="6"/>
        <v>5070</v>
      </c>
      <c r="D215" t="s">
        <v>108</v>
      </c>
      <c r="E215" s="190">
        <f>195000/50</f>
        <v>3900</v>
      </c>
      <c r="F215" s="212">
        <v>1.3</v>
      </c>
      <c r="G215" s="213">
        <v>45712</v>
      </c>
      <c r="H215" s="111" t="s">
        <v>1199</v>
      </c>
    </row>
    <row r="216" spans="1:8" x14ac:dyDescent="0.25">
      <c r="A216" s="211" t="s">
        <v>1208</v>
      </c>
      <c r="B216" t="s">
        <v>1205</v>
      </c>
      <c r="C216" s="48">
        <f t="shared" si="6"/>
        <v>3055</v>
      </c>
      <c r="D216" t="s">
        <v>108</v>
      </c>
      <c r="E216" s="190">
        <f>7050/3</f>
        <v>2350</v>
      </c>
      <c r="F216" s="212">
        <v>1.3</v>
      </c>
      <c r="G216" s="213">
        <v>45713</v>
      </c>
      <c r="H216" s="111" t="s">
        <v>1204</v>
      </c>
    </row>
    <row r="217" spans="1:8" x14ac:dyDescent="0.25">
      <c r="A217" s="211" t="s">
        <v>1216</v>
      </c>
      <c r="B217" t="s">
        <v>1209</v>
      </c>
      <c r="C217" s="48">
        <f t="shared" si="6"/>
        <v>786.5</v>
      </c>
      <c r="D217" t="s">
        <v>8</v>
      </c>
      <c r="E217" s="190">
        <v>605</v>
      </c>
      <c r="F217" s="212">
        <v>1.3</v>
      </c>
      <c r="G217" s="213">
        <v>45713</v>
      </c>
      <c r="H217" s="111" t="s">
        <v>1207</v>
      </c>
    </row>
    <row r="218" spans="1:8" x14ac:dyDescent="0.25">
      <c r="A218" s="211" t="s">
        <v>1218</v>
      </c>
      <c r="B218" t="s">
        <v>1852</v>
      </c>
      <c r="C218" s="48">
        <f t="shared" si="6"/>
        <v>24691.116165303549</v>
      </c>
      <c r="D218" t="s">
        <v>113</v>
      </c>
      <c r="E218" s="190">
        <f>21667*0.7*IPP!C273</f>
        <v>18993.16628100273</v>
      </c>
      <c r="F218" s="212">
        <v>1.3</v>
      </c>
      <c r="G218" s="213">
        <v>45713</v>
      </c>
      <c r="H218" t="s">
        <v>1212</v>
      </c>
    </row>
    <row r="219" spans="1:8" x14ac:dyDescent="0.25">
      <c r="A219" s="211" t="s">
        <v>1220</v>
      </c>
      <c r="B219" t="s">
        <v>1214</v>
      </c>
      <c r="C219" s="48">
        <f t="shared" si="6"/>
        <v>2028000</v>
      </c>
      <c r="D219" t="s">
        <v>8</v>
      </c>
      <c r="E219" s="190">
        <f>2000000*0.78</f>
        <v>1560000</v>
      </c>
      <c r="F219" s="212">
        <v>1.3</v>
      </c>
      <c r="G219" s="213">
        <v>45714</v>
      </c>
      <c r="H219" t="s">
        <v>1212</v>
      </c>
    </row>
    <row r="220" spans="1:8" x14ac:dyDescent="0.25">
      <c r="A220" s="211" t="s">
        <v>1221</v>
      </c>
      <c r="B220" t="s">
        <v>2019</v>
      </c>
      <c r="C220" s="48">
        <f t="shared" si="6"/>
        <v>3445</v>
      </c>
      <c r="D220" t="s">
        <v>108</v>
      </c>
      <c r="E220" s="190">
        <f>132500/50</f>
        <v>2650</v>
      </c>
      <c r="F220" s="212">
        <v>1.3</v>
      </c>
      <c r="G220" s="213">
        <v>45719</v>
      </c>
      <c r="H220" s="111" t="s">
        <v>1217</v>
      </c>
    </row>
    <row r="221" spans="1:8" x14ac:dyDescent="0.25">
      <c r="A221" s="211" t="s">
        <v>1223</v>
      </c>
      <c r="B221" t="s">
        <v>2020</v>
      </c>
      <c r="C221" s="48">
        <f t="shared" si="6"/>
        <v>11830</v>
      </c>
      <c r="D221" t="s">
        <v>108</v>
      </c>
      <c r="E221" s="190">
        <f>27300/3</f>
        <v>9100</v>
      </c>
      <c r="F221" s="212">
        <v>1.3</v>
      </c>
      <c r="G221" s="213">
        <v>45719</v>
      </c>
      <c r="H221" s="111" t="s">
        <v>1219</v>
      </c>
    </row>
    <row r="222" spans="1:8" x14ac:dyDescent="0.25">
      <c r="A222" s="211" t="s">
        <v>1225</v>
      </c>
      <c r="B222" t="s">
        <v>2021</v>
      </c>
      <c r="C222" s="48">
        <f t="shared" si="6"/>
        <v>16633.5</v>
      </c>
      <c r="D222" t="s">
        <v>8</v>
      </c>
      <c r="E222" s="190">
        <f>255900/20</f>
        <v>12795</v>
      </c>
      <c r="F222" s="212">
        <v>1.3</v>
      </c>
      <c r="G222" s="213">
        <v>45719</v>
      </c>
      <c r="H222" s="111" t="s">
        <v>1830</v>
      </c>
    </row>
    <row r="223" spans="1:8" x14ac:dyDescent="0.25">
      <c r="A223" s="211" t="s">
        <v>1227</v>
      </c>
      <c r="B223" t="s">
        <v>2022</v>
      </c>
      <c r="C223" s="48">
        <f t="shared" si="6"/>
        <v>1495</v>
      </c>
      <c r="D223" t="s">
        <v>8</v>
      </c>
      <c r="E223" s="190">
        <v>1150</v>
      </c>
      <c r="F223" s="212">
        <v>1.3</v>
      </c>
      <c r="G223" s="213">
        <v>45719</v>
      </c>
      <c r="H223" s="111" t="s">
        <v>1222</v>
      </c>
    </row>
    <row r="224" spans="1:8" x14ac:dyDescent="0.25">
      <c r="A224" s="211" t="s">
        <v>1229</v>
      </c>
      <c r="B224" t="s">
        <v>2023</v>
      </c>
      <c r="C224" s="48">
        <f t="shared" si="6"/>
        <v>1495</v>
      </c>
      <c r="D224" t="s">
        <v>8</v>
      </c>
      <c r="E224" s="190">
        <v>1150</v>
      </c>
      <c r="F224" s="212">
        <v>1.3</v>
      </c>
      <c r="G224" s="213">
        <v>45719</v>
      </c>
      <c r="H224" s="111" t="s">
        <v>1224</v>
      </c>
    </row>
    <row r="225" spans="1:8" x14ac:dyDescent="0.25">
      <c r="A225" s="211" t="s">
        <v>1231</v>
      </c>
      <c r="B225" t="s">
        <v>2024</v>
      </c>
      <c r="C225" s="48">
        <f t="shared" si="6"/>
        <v>2340</v>
      </c>
      <c r="D225" t="s">
        <v>8</v>
      </c>
      <c r="E225" s="190">
        <v>1800</v>
      </c>
      <c r="F225" s="212">
        <v>1.3</v>
      </c>
      <c r="G225" s="213">
        <v>45719</v>
      </c>
      <c r="H225" s="111" t="s">
        <v>1226</v>
      </c>
    </row>
    <row r="226" spans="1:8" x14ac:dyDescent="0.25">
      <c r="A226" s="211" t="s">
        <v>1234</v>
      </c>
      <c r="B226" t="s">
        <v>2025</v>
      </c>
      <c r="C226" s="48">
        <f t="shared" si="6"/>
        <v>325</v>
      </c>
      <c r="D226" t="s">
        <v>8</v>
      </c>
      <c r="E226" s="190">
        <v>250</v>
      </c>
      <c r="F226" s="212">
        <v>1.3</v>
      </c>
      <c r="G226" s="213">
        <v>45719</v>
      </c>
      <c r="H226" s="111" t="s">
        <v>1228</v>
      </c>
    </row>
    <row r="227" spans="1:8" x14ac:dyDescent="0.25">
      <c r="A227" s="211" t="s">
        <v>1237</v>
      </c>
      <c r="B227" t="s">
        <v>2026</v>
      </c>
      <c r="C227" s="48">
        <f t="shared" si="6"/>
        <v>2210</v>
      </c>
      <c r="D227" t="s">
        <v>108</v>
      </c>
      <c r="E227" s="190">
        <f>85000/50</f>
        <v>1700</v>
      </c>
      <c r="F227" s="212">
        <v>1.3</v>
      </c>
      <c r="G227" s="213">
        <v>45719</v>
      </c>
      <c r="H227" s="111" t="s">
        <v>1230</v>
      </c>
    </row>
    <row r="228" spans="1:8" x14ac:dyDescent="0.25">
      <c r="A228" s="211" t="s">
        <v>1239</v>
      </c>
      <c r="B228" t="s">
        <v>1233</v>
      </c>
      <c r="C228" s="48">
        <f t="shared" si="6"/>
        <v>299</v>
      </c>
      <c r="D228" t="s">
        <v>8</v>
      </c>
      <c r="E228" s="190">
        <v>230</v>
      </c>
      <c r="F228" s="212">
        <v>1.3</v>
      </c>
      <c r="G228" s="213">
        <v>45719</v>
      </c>
      <c r="H228" s="111" t="s">
        <v>1232</v>
      </c>
    </row>
    <row r="229" spans="1:8" x14ac:dyDescent="0.25">
      <c r="A229" s="211" t="s">
        <v>1240</v>
      </c>
      <c r="B229" t="s">
        <v>1236</v>
      </c>
      <c r="C229" s="48">
        <f t="shared" si="6"/>
        <v>54.080000000000005</v>
      </c>
      <c r="D229" t="s">
        <v>108</v>
      </c>
      <c r="E229" s="190">
        <f>20800/500</f>
        <v>41.6</v>
      </c>
      <c r="F229" s="212">
        <v>1.3</v>
      </c>
      <c r="G229" s="213">
        <v>45719</v>
      </c>
      <c r="H229" s="111" t="s">
        <v>1235</v>
      </c>
    </row>
    <row r="230" spans="1:8" x14ac:dyDescent="0.25">
      <c r="A230" s="211" t="s">
        <v>1247</v>
      </c>
      <c r="B230" t="s">
        <v>1322</v>
      </c>
      <c r="C230" s="48">
        <f t="shared" si="6"/>
        <v>4615</v>
      </c>
      <c r="D230" t="s">
        <v>8</v>
      </c>
      <c r="E230" s="190">
        <v>3550</v>
      </c>
      <c r="F230" s="212">
        <v>1.3</v>
      </c>
      <c r="G230" s="213">
        <v>45719</v>
      </c>
      <c r="H230" s="111" t="s">
        <v>1238</v>
      </c>
    </row>
    <row r="231" spans="1:8" x14ac:dyDescent="0.25">
      <c r="A231" s="211" t="s">
        <v>1249</v>
      </c>
      <c r="B231" t="s">
        <v>2027</v>
      </c>
      <c r="C231" s="48">
        <f t="shared" si="6"/>
        <v>21385</v>
      </c>
      <c r="D231" t="s">
        <v>8</v>
      </c>
      <c r="E231" s="190">
        <v>16450</v>
      </c>
      <c r="F231" s="212">
        <v>1.3</v>
      </c>
      <c r="G231" s="213">
        <v>45719</v>
      </c>
      <c r="H231" s="111" t="s">
        <v>1241</v>
      </c>
    </row>
    <row r="232" spans="1:8" x14ac:dyDescent="0.25">
      <c r="A232" s="211" t="s">
        <v>1251</v>
      </c>
      <c r="B232" t="s">
        <v>1246</v>
      </c>
      <c r="C232" s="48">
        <f t="shared" ref="C232:C263" si="7">E232*F232</f>
        <v>607.1</v>
      </c>
      <c r="D232" t="s">
        <v>8</v>
      </c>
      <c r="E232" s="190">
        <v>467</v>
      </c>
      <c r="F232" s="212">
        <v>1.3</v>
      </c>
      <c r="G232" s="213">
        <v>45719</v>
      </c>
      <c r="H232" s="111" t="s">
        <v>1245</v>
      </c>
    </row>
    <row r="233" spans="1:8" x14ac:dyDescent="0.25">
      <c r="A233" s="211" t="s">
        <v>1254</v>
      </c>
      <c r="B233" t="s">
        <v>2028</v>
      </c>
      <c r="C233" s="48">
        <f t="shared" si="7"/>
        <v>1820</v>
      </c>
      <c r="D233" t="s">
        <v>8</v>
      </c>
      <c r="E233" s="190">
        <v>1400</v>
      </c>
      <c r="F233" s="212">
        <v>1.3</v>
      </c>
      <c r="G233" s="213">
        <v>45719</v>
      </c>
      <c r="H233" s="111" t="s">
        <v>1248</v>
      </c>
    </row>
    <row r="234" spans="1:8" x14ac:dyDescent="0.25">
      <c r="A234" s="211" t="s">
        <v>1255</v>
      </c>
      <c r="B234" t="s">
        <v>2029</v>
      </c>
      <c r="C234" s="48">
        <f t="shared" si="7"/>
        <v>7995</v>
      </c>
      <c r="D234" t="s">
        <v>8</v>
      </c>
      <c r="E234" s="190">
        <v>6150</v>
      </c>
      <c r="F234" s="212">
        <v>1.3</v>
      </c>
      <c r="G234" s="213">
        <v>45719</v>
      </c>
      <c r="H234" s="111" t="s">
        <v>1250</v>
      </c>
    </row>
    <row r="235" spans="1:8" x14ac:dyDescent="0.25">
      <c r="A235" s="211" t="s">
        <v>1261</v>
      </c>
      <c r="B235" t="s">
        <v>1252</v>
      </c>
      <c r="C235" s="48">
        <f t="shared" si="7"/>
        <v>29683.333333333332</v>
      </c>
      <c r="D235" t="s">
        <v>108</v>
      </c>
      <c r="E235" s="190">
        <f>68500/3</f>
        <v>22833.333333333332</v>
      </c>
      <c r="F235" s="212">
        <v>1.3</v>
      </c>
      <c r="G235" s="213">
        <v>45719</v>
      </c>
      <c r="H235" s="111" t="s">
        <v>1256</v>
      </c>
    </row>
    <row r="236" spans="1:8" x14ac:dyDescent="0.25">
      <c r="A236" s="211" t="s">
        <v>1263</v>
      </c>
      <c r="B236" t="s">
        <v>1253</v>
      </c>
      <c r="C236" s="48">
        <f t="shared" si="7"/>
        <v>1826.5</v>
      </c>
      <c r="D236" t="s">
        <v>108</v>
      </c>
      <c r="E236" s="190">
        <f>28100/20</f>
        <v>1405</v>
      </c>
      <c r="F236" s="212">
        <v>1.3</v>
      </c>
      <c r="G236" s="213">
        <v>45719</v>
      </c>
      <c r="H236" s="111" t="s">
        <v>1257</v>
      </c>
    </row>
    <row r="237" spans="1:8" x14ac:dyDescent="0.25">
      <c r="A237" s="211" t="s">
        <v>1260</v>
      </c>
      <c r="B237" t="s">
        <v>1259</v>
      </c>
      <c r="C237" s="48">
        <f t="shared" si="7"/>
        <v>35815</v>
      </c>
      <c r="D237" t="s">
        <v>8</v>
      </c>
      <c r="E237" s="190">
        <v>27550</v>
      </c>
      <c r="F237" s="212">
        <v>1.3</v>
      </c>
      <c r="G237" s="213">
        <v>45719</v>
      </c>
      <c r="H237" s="111" t="s">
        <v>1258</v>
      </c>
    </row>
    <row r="238" spans="1:8" x14ac:dyDescent="0.25">
      <c r="A238" s="211" t="s">
        <v>1271</v>
      </c>
      <c r="B238" t="s">
        <v>2030</v>
      </c>
      <c r="C238" s="48">
        <f t="shared" si="7"/>
        <v>3627</v>
      </c>
      <c r="D238" t="s">
        <v>8</v>
      </c>
      <c r="E238" s="190">
        <f>27900/10</f>
        <v>2790</v>
      </c>
      <c r="F238" s="212">
        <v>1.3</v>
      </c>
      <c r="G238" s="213">
        <v>45719</v>
      </c>
      <c r="H238" s="111" t="s">
        <v>1262</v>
      </c>
    </row>
    <row r="239" spans="1:8" x14ac:dyDescent="0.25">
      <c r="A239" s="211" t="s">
        <v>1293</v>
      </c>
      <c r="B239" t="s">
        <v>2031</v>
      </c>
      <c r="C239" s="48">
        <f t="shared" si="7"/>
        <v>8125</v>
      </c>
      <c r="D239" t="s">
        <v>108</v>
      </c>
      <c r="E239" s="190">
        <v>6250</v>
      </c>
      <c r="F239" s="212">
        <v>1.3</v>
      </c>
      <c r="G239" s="213">
        <v>45719</v>
      </c>
      <c r="H239" s="111" t="s">
        <v>1267</v>
      </c>
    </row>
    <row r="240" spans="1:8" x14ac:dyDescent="0.25">
      <c r="A240" s="211" t="s">
        <v>1294</v>
      </c>
      <c r="B240" s="14" t="s">
        <v>1268</v>
      </c>
      <c r="C240" s="48">
        <f t="shared" si="7"/>
        <v>3900</v>
      </c>
      <c r="D240" t="s">
        <v>8</v>
      </c>
      <c r="E240" s="190">
        <v>3000</v>
      </c>
      <c r="F240" s="212">
        <v>1.3</v>
      </c>
      <c r="G240" s="213">
        <v>45719</v>
      </c>
      <c r="H240" s="111" t="s">
        <v>1277</v>
      </c>
    </row>
    <row r="241" spans="1:8" x14ac:dyDescent="0.25">
      <c r="A241" s="211" t="s">
        <v>1272</v>
      </c>
      <c r="B241" s="14" t="s">
        <v>2032</v>
      </c>
      <c r="C241" s="48">
        <f t="shared" si="7"/>
        <v>1430</v>
      </c>
      <c r="D241" t="s">
        <v>8</v>
      </c>
      <c r="E241" s="190">
        <f>275000/250</f>
        <v>1100</v>
      </c>
      <c r="F241" s="212">
        <v>1.3</v>
      </c>
      <c r="G241" s="213">
        <v>45719</v>
      </c>
      <c r="H241" s="111" t="s">
        <v>1278</v>
      </c>
    </row>
    <row r="242" spans="1:8" x14ac:dyDescent="0.25">
      <c r="A242" s="211" t="s">
        <v>1273</v>
      </c>
      <c r="B242" s="14" t="s">
        <v>1269</v>
      </c>
      <c r="C242" s="48">
        <f t="shared" si="7"/>
        <v>3120</v>
      </c>
      <c r="D242" t="s">
        <v>8</v>
      </c>
      <c r="E242" s="190">
        <v>2400</v>
      </c>
      <c r="F242" s="212">
        <v>1.3</v>
      </c>
      <c r="G242" s="213">
        <v>45719</v>
      </c>
      <c r="H242" s="111" t="s">
        <v>1279</v>
      </c>
    </row>
    <row r="243" spans="1:8" x14ac:dyDescent="0.25">
      <c r="A243" s="211" t="s">
        <v>1274</v>
      </c>
      <c r="B243" s="14" t="s">
        <v>1270</v>
      </c>
      <c r="C243" s="48">
        <f t="shared" si="7"/>
        <v>154.70000000000002</v>
      </c>
      <c r="D243" t="s">
        <v>8</v>
      </c>
      <c r="E243" s="190">
        <f>11900/100</f>
        <v>119</v>
      </c>
      <c r="F243" s="212">
        <v>1.3</v>
      </c>
      <c r="G243" s="213">
        <v>45719</v>
      </c>
      <c r="H243" s="111" t="s">
        <v>1280</v>
      </c>
    </row>
    <row r="244" spans="1:8" x14ac:dyDescent="0.25">
      <c r="A244" s="211" t="s">
        <v>1275</v>
      </c>
      <c r="B244" s="14" t="s">
        <v>1281</v>
      </c>
      <c r="C244" s="48">
        <f t="shared" si="7"/>
        <v>19500</v>
      </c>
      <c r="D244" t="s">
        <v>8</v>
      </c>
      <c r="E244" s="190">
        <v>15000</v>
      </c>
      <c r="F244" s="212">
        <v>1.3</v>
      </c>
      <c r="G244" s="213">
        <v>45719</v>
      </c>
      <c r="H244" s="111" t="s">
        <v>2160</v>
      </c>
    </row>
    <row r="245" spans="1:8" x14ac:dyDescent="0.25">
      <c r="A245" s="211" t="s">
        <v>1276</v>
      </c>
      <c r="B245" s="14" t="s">
        <v>1282</v>
      </c>
      <c r="C245" s="48">
        <f t="shared" si="7"/>
        <v>585</v>
      </c>
      <c r="D245" t="s">
        <v>8</v>
      </c>
      <c r="E245" s="190">
        <f>22500/50</f>
        <v>450</v>
      </c>
      <c r="F245" s="212">
        <v>1.3</v>
      </c>
      <c r="G245" s="213">
        <v>45719</v>
      </c>
      <c r="H245" s="111" t="s">
        <v>1283</v>
      </c>
    </row>
    <row r="246" spans="1:8" x14ac:dyDescent="0.25">
      <c r="A246" s="211" t="s">
        <v>1286</v>
      </c>
      <c r="B246" t="s">
        <v>2033</v>
      </c>
      <c r="C246" s="48">
        <f t="shared" si="7"/>
        <v>33995</v>
      </c>
      <c r="D246" t="s">
        <v>108</v>
      </c>
      <c r="E246" s="190">
        <f>78450/3</f>
        <v>26150</v>
      </c>
      <c r="F246" s="212">
        <v>1.3</v>
      </c>
      <c r="G246" s="213">
        <v>45720</v>
      </c>
      <c r="H246" s="111" t="s">
        <v>1285</v>
      </c>
    </row>
    <row r="247" spans="1:8" x14ac:dyDescent="0.25">
      <c r="A247" s="211" t="s">
        <v>1295</v>
      </c>
      <c r="B247" t="s">
        <v>1288</v>
      </c>
      <c r="C247" s="48">
        <f t="shared" si="7"/>
        <v>11895</v>
      </c>
      <c r="D247" t="s">
        <v>108</v>
      </c>
      <c r="E247" s="190">
        <v>9150</v>
      </c>
      <c r="F247" s="212">
        <v>1.3</v>
      </c>
      <c r="G247" s="213">
        <v>45720</v>
      </c>
      <c r="H247" s="111" t="s">
        <v>1287</v>
      </c>
    </row>
    <row r="248" spans="1:8" x14ac:dyDescent="0.25">
      <c r="A248" s="211" t="s">
        <v>1297</v>
      </c>
      <c r="B248" t="s">
        <v>1290</v>
      </c>
      <c r="C248" s="48">
        <f t="shared" si="7"/>
        <v>6175</v>
      </c>
      <c r="D248" t="s">
        <v>8</v>
      </c>
      <c r="E248" s="190">
        <v>4750</v>
      </c>
      <c r="F248" s="212">
        <v>1.3</v>
      </c>
      <c r="G248" s="213">
        <v>45720</v>
      </c>
      <c r="H248" s="111" t="s">
        <v>1289</v>
      </c>
    </row>
    <row r="249" spans="1:8" x14ac:dyDescent="0.25">
      <c r="A249" s="211" t="s">
        <v>1299</v>
      </c>
      <c r="B249" t="s">
        <v>1292</v>
      </c>
      <c r="C249" s="48">
        <f t="shared" si="7"/>
        <v>23536.5</v>
      </c>
      <c r="D249" t="s">
        <v>8</v>
      </c>
      <c r="E249" s="190">
        <v>18105</v>
      </c>
      <c r="F249" s="212">
        <v>1.3</v>
      </c>
      <c r="G249" s="213">
        <v>45720</v>
      </c>
      <c r="H249" s="111" t="s">
        <v>1291</v>
      </c>
    </row>
    <row r="250" spans="1:8" x14ac:dyDescent="0.25">
      <c r="A250" s="211" t="s">
        <v>1303</v>
      </c>
      <c r="B250" t="s">
        <v>2034</v>
      </c>
      <c r="C250" s="48">
        <f t="shared" si="7"/>
        <v>1365</v>
      </c>
      <c r="D250" t="s">
        <v>8</v>
      </c>
      <c r="E250" s="190">
        <v>1050</v>
      </c>
      <c r="F250" s="212">
        <v>1.3</v>
      </c>
      <c r="G250" s="213">
        <v>45720</v>
      </c>
      <c r="H250" s="111" t="s">
        <v>1296</v>
      </c>
    </row>
    <row r="251" spans="1:8" x14ac:dyDescent="0.25">
      <c r="A251" s="211" t="s">
        <v>1306</v>
      </c>
      <c r="B251" t="s">
        <v>2035</v>
      </c>
      <c r="C251" s="48">
        <f t="shared" si="7"/>
        <v>1300</v>
      </c>
      <c r="D251" t="s">
        <v>8</v>
      </c>
      <c r="E251" s="190">
        <v>1000</v>
      </c>
      <c r="F251" s="212">
        <v>1.3</v>
      </c>
      <c r="G251" s="213">
        <v>45720</v>
      </c>
      <c r="H251" s="111" t="s">
        <v>1298</v>
      </c>
    </row>
    <row r="252" spans="1:8" x14ac:dyDescent="0.25">
      <c r="A252" s="211" t="s">
        <v>1308</v>
      </c>
      <c r="B252" t="s">
        <v>1300</v>
      </c>
      <c r="C252" s="48">
        <f t="shared" si="7"/>
        <v>11590.800000000001</v>
      </c>
      <c r="D252" t="s">
        <v>8</v>
      </c>
      <c r="E252" s="190">
        <v>8916</v>
      </c>
      <c r="F252" s="212">
        <v>1.3</v>
      </c>
      <c r="G252" s="213">
        <v>45720</v>
      </c>
      <c r="H252" s="111" t="s">
        <v>1302</v>
      </c>
    </row>
    <row r="253" spans="1:8" x14ac:dyDescent="0.25">
      <c r="A253" s="211" t="s">
        <v>1310</v>
      </c>
      <c r="B253" t="s">
        <v>1305</v>
      </c>
      <c r="C253" s="48">
        <f t="shared" si="7"/>
        <v>60970</v>
      </c>
      <c r="D253" t="s">
        <v>1145</v>
      </c>
      <c r="E253" s="190">
        <v>46900</v>
      </c>
      <c r="F253" s="212">
        <v>1.3</v>
      </c>
      <c r="G253" s="213">
        <v>45720</v>
      </c>
      <c r="H253" s="111" t="s">
        <v>1304</v>
      </c>
    </row>
    <row r="254" spans="1:8" x14ac:dyDescent="0.25">
      <c r="A254" s="211" t="s">
        <v>1311</v>
      </c>
      <c r="B254" t="s">
        <v>2036</v>
      </c>
      <c r="C254" s="48">
        <f t="shared" si="7"/>
        <v>325</v>
      </c>
      <c r="D254" t="s">
        <v>8</v>
      </c>
      <c r="E254" s="190">
        <v>250</v>
      </c>
      <c r="F254" s="212">
        <v>1.3</v>
      </c>
      <c r="G254" s="213">
        <v>45720</v>
      </c>
      <c r="H254" s="111" t="s">
        <v>1307</v>
      </c>
    </row>
    <row r="255" spans="1:8" x14ac:dyDescent="0.25">
      <c r="A255" s="211" t="s">
        <v>1314</v>
      </c>
      <c r="B255" t="s">
        <v>2437</v>
      </c>
      <c r="C255" s="48">
        <f t="shared" si="7"/>
        <v>29380</v>
      </c>
      <c r="D255" t="s">
        <v>8</v>
      </c>
      <c r="E255" s="190">
        <v>22600</v>
      </c>
      <c r="F255" s="212">
        <v>1.3</v>
      </c>
      <c r="G255" s="213">
        <v>45720</v>
      </c>
      <c r="H255" s="111" t="s">
        <v>1309</v>
      </c>
    </row>
    <row r="256" spans="1:8" x14ac:dyDescent="0.25">
      <c r="A256" s="211" t="s">
        <v>1316</v>
      </c>
      <c r="B256" t="s">
        <v>1642</v>
      </c>
      <c r="C256" s="48">
        <f t="shared" si="7"/>
        <v>87100</v>
      </c>
      <c r="D256" t="s">
        <v>8</v>
      </c>
      <c r="E256" s="190">
        <v>67000</v>
      </c>
      <c r="F256" s="212">
        <v>1.3</v>
      </c>
      <c r="G256" s="213">
        <v>45720</v>
      </c>
      <c r="H256" s="111" t="s">
        <v>1312</v>
      </c>
    </row>
    <row r="257" spans="1:8" x14ac:dyDescent="0.25">
      <c r="A257" s="211" t="s">
        <v>1320</v>
      </c>
      <c r="B257" t="s">
        <v>2535</v>
      </c>
      <c r="C257" s="48">
        <f t="shared" si="7"/>
        <v>32500</v>
      </c>
      <c r="D257" t="s">
        <v>8</v>
      </c>
      <c r="E257" s="190">
        <v>25000</v>
      </c>
      <c r="F257" s="212">
        <v>1.3</v>
      </c>
      <c r="G257" s="213">
        <v>45720</v>
      </c>
      <c r="H257" s="111" t="s">
        <v>1313</v>
      </c>
    </row>
    <row r="258" spans="1:8" x14ac:dyDescent="0.25">
      <c r="A258" s="211" t="s">
        <v>1321</v>
      </c>
      <c r="B258" t="s">
        <v>1317</v>
      </c>
      <c r="C258" s="48">
        <f t="shared" si="7"/>
        <v>23400</v>
      </c>
      <c r="D258" t="s">
        <v>8</v>
      </c>
      <c r="E258" s="190">
        <v>18000</v>
      </c>
      <c r="F258" s="212">
        <v>1.3</v>
      </c>
      <c r="G258" s="213">
        <v>45720</v>
      </c>
      <c r="H258" s="111" t="s">
        <v>1315</v>
      </c>
    </row>
    <row r="259" spans="1:8" x14ac:dyDescent="0.25">
      <c r="A259" s="211" t="s">
        <v>1326</v>
      </c>
      <c r="B259" t="s">
        <v>2037</v>
      </c>
      <c r="C259" s="48">
        <f t="shared" si="7"/>
        <v>2776410</v>
      </c>
      <c r="D259" t="s">
        <v>8</v>
      </c>
      <c r="E259" s="190">
        <v>2135700</v>
      </c>
      <c r="F259" s="212">
        <v>1.3</v>
      </c>
      <c r="G259" s="213">
        <v>45720</v>
      </c>
      <c r="H259" s="111" t="s">
        <v>1319</v>
      </c>
    </row>
    <row r="260" spans="1:8" x14ac:dyDescent="0.25">
      <c r="A260" s="211" t="s">
        <v>1327</v>
      </c>
      <c r="B260" t="s">
        <v>2038</v>
      </c>
      <c r="C260" s="48">
        <f t="shared" si="7"/>
        <v>10985</v>
      </c>
      <c r="D260" t="s">
        <v>8</v>
      </c>
      <c r="E260" s="190">
        <v>8450</v>
      </c>
      <c r="F260" s="212">
        <v>1.3</v>
      </c>
      <c r="G260" s="213">
        <v>45720</v>
      </c>
      <c r="H260" s="111" t="s">
        <v>1038</v>
      </c>
    </row>
    <row r="261" spans="1:8" x14ac:dyDescent="0.25">
      <c r="A261" s="211" t="s">
        <v>1330</v>
      </c>
      <c r="B261" t="s">
        <v>1324</v>
      </c>
      <c r="C261" s="48">
        <f t="shared" si="7"/>
        <v>469781</v>
      </c>
      <c r="D261" t="s">
        <v>8</v>
      </c>
      <c r="E261" s="190">
        <v>361370</v>
      </c>
      <c r="F261" s="212">
        <v>1.3</v>
      </c>
      <c r="G261" s="213">
        <v>45720</v>
      </c>
      <c r="H261" s="111" t="s">
        <v>1323</v>
      </c>
    </row>
    <row r="262" spans="1:8" x14ac:dyDescent="0.25">
      <c r="A262" s="211" t="s">
        <v>1332</v>
      </c>
      <c r="B262" s="89" t="s">
        <v>1329</v>
      </c>
      <c r="C262" s="48">
        <f t="shared" si="7"/>
        <v>4875</v>
      </c>
      <c r="D262" t="s">
        <v>8</v>
      </c>
      <c r="E262" s="190">
        <v>3750</v>
      </c>
      <c r="F262" s="212">
        <v>1.3</v>
      </c>
      <c r="G262" s="213">
        <v>45721</v>
      </c>
      <c r="H262" s="111" t="s">
        <v>1328</v>
      </c>
    </row>
    <row r="263" spans="1:8" x14ac:dyDescent="0.25">
      <c r="A263" s="211" t="s">
        <v>1337</v>
      </c>
      <c r="B263" s="89" t="s">
        <v>1331</v>
      </c>
      <c r="C263" s="48">
        <f t="shared" si="7"/>
        <v>1235</v>
      </c>
      <c r="D263" t="s">
        <v>8</v>
      </c>
      <c r="E263" s="190">
        <v>950</v>
      </c>
      <c r="F263" s="212">
        <v>1.3</v>
      </c>
      <c r="G263" s="213">
        <v>45721</v>
      </c>
      <c r="H263" s="111" t="s">
        <v>1333</v>
      </c>
    </row>
    <row r="264" spans="1:8" x14ac:dyDescent="0.25">
      <c r="A264" s="211" t="s">
        <v>1340</v>
      </c>
      <c r="B264" t="s">
        <v>1336</v>
      </c>
      <c r="C264" s="48">
        <f t="shared" ref="C264:C275" si="8">E264*F264</f>
        <v>2600</v>
      </c>
      <c r="D264" t="s">
        <v>8</v>
      </c>
      <c r="E264" s="190">
        <v>2000</v>
      </c>
      <c r="F264" s="212">
        <v>1.3</v>
      </c>
      <c r="G264" s="213">
        <v>45722</v>
      </c>
      <c r="H264" s="111" t="s">
        <v>1335</v>
      </c>
    </row>
    <row r="265" spans="1:8" x14ac:dyDescent="0.25">
      <c r="A265" s="211" t="s">
        <v>1342</v>
      </c>
      <c r="B265" t="s">
        <v>1339</v>
      </c>
      <c r="C265" s="48">
        <f t="shared" si="8"/>
        <v>5785</v>
      </c>
      <c r="D265" t="s">
        <v>8</v>
      </c>
      <c r="E265" s="190">
        <v>4450</v>
      </c>
      <c r="F265" s="212">
        <v>1.3</v>
      </c>
      <c r="G265" s="213">
        <v>45722</v>
      </c>
      <c r="H265" s="111" t="s">
        <v>1338</v>
      </c>
    </row>
    <row r="266" spans="1:8" x14ac:dyDescent="0.25">
      <c r="A266" s="211" t="s">
        <v>1348</v>
      </c>
      <c r="B266" t="s">
        <v>2039</v>
      </c>
      <c r="C266" s="48">
        <f t="shared" si="8"/>
        <v>1950</v>
      </c>
      <c r="D266" t="s">
        <v>8</v>
      </c>
      <c r="E266" s="190">
        <v>1500</v>
      </c>
      <c r="F266" s="212">
        <v>1.3</v>
      </c>
      <c r="G266" s="213">
        <v>45722</v>
      </c>
      <c r="H266" s="111" t="s">
        <v>1341</v>
      </c>
    </row>
    <row r="267" spans="1:8" x14ac:dyDescent="0.25">
      <c r="A267" s="211" t="s">
        <v>1351</v>
      </c>
      <c r="B267" t="s">
        <v>1347</v>
      </c>
      <c r="C267" s="48">
        <f t="shared" si="8"/>
        <v>67600</v>
      </c>
      <c r="D267" t="s">
        <v>8</v>
      </c>
      <c r="E267" s="190">
        <v>52000</v>
      </c>
      <c r="F267" s="212">
        <v>1.3</v>
      </c>
      <c r="G267" s="213">
        <v>45722</v>
      </c>
      <c r="H267" s="111" t="s">
        <v>1346</v>
      </c>
    </row>
    <row r="268" spans="1:8" x14ac:dyDescent="0.25">
      <c r="A268" s="211" t="s">
        <v>1353</v>
      </c>
      <c r="B268" t="s">
        <v>1350</v>
      </c>
      <c r="C268" s="48">
        <f t="shared" si="8"/>
        <v>108355</v>
      </c>
      <c r="D268" t="s">
        <v>8</v>
      </c>
      <c r="E268" s="190">
        <v>83350</v>
      </c>
      <c r="F268" s="212">
        <v>1.3</v>
      </c>
      <c r="G268" s="213">
        <v>45722</v>
      </c>
      <c r="H268" s="111" t="s">
        <v>1349</v>
      </c>
    </row>
    <row r="269" spans="1:8" x14ac:dyDescent="0.25">
      <c r="A269" s="211" t="s">
        <v>1354</v>
      </c>
      <c r="B269" t="s">
        <v>2040</v>
      </c>
      <c r="C269" s="48">
        <f t="shared" si="8"/>
        <v>10660</v>
      </c>
      <c r="D269" t="s">
        <v>108</v>
      </c>
      <c r="E269" s="190">
        <v>8200</v>
      </c>
      <c r="F269" s="212">
        <v>1.3</v>
      </c>
      <c r="G269" s="213">
        <v>45722</v>
      </c>
      <c r="H269" s="111" t="s">
        <v>1352</v>
      </c>
    </row>
    <row r="270" spans="1:8" x14ac:dyDescent="0.25">
      <c r="A270" s="211" t="s">
        <v>1357</v>
      </c>
      <c r="B270" t="s">
        <v>2041</v>
      </c>
      <c r="C270" s="48">
        <f t="shared" si="8"/>
        <v>201760</v>
      </c>
      <c r="D270" t="s">
        <v>8</v>
      </c>
      <c r="E270" s="190">
        <v>155200</v>
      </c>
      <c r="F270" s="212">
        <v>1.3</v>
      </c>
      <c r="G270" s="213">
        <v>45722</v>
      </c>
      <c r="H270" s="111" t="s">
        <v>1355</v>
      </c>
    </row>
    <row r="271" spans="1:8" x14ac:dyDescent="0.25">
      <c r="A271" s="211" t="s">
        <v>1359</v>
      </c>
      <c r="B271" t="s">
        <v>2042</v>
      </c>
      <c r="C271" s="48">
        <f t="shared" si="8"/>
        <v>1950</v>
      </c>
      <c r="D271" t="s">
        <v>8</v>
      </c>
      <c r="E271" s="190">
        <v>1500</v>
      </c>
      <c r="F271" s="212">
        <v>1.3</v>
      </c>
      <c r="G271" s="213">
        <v>45722</v>
      </c>
      <c r="H271" s="111" t="s">
        <v>1356</v>
      </c>
    </row>
    <row r="272" spans="1:8" x14ac:dyDescent="0.25">
      <c r="A272" s="211" t="s">
        <v>1363</v>
      </c>
      <c r="B272" t="s">
        <v>2043</v>
      </c>
      <c r="C272" s="48">
        <f t="shared" si="8"/>
        <v>65000</v>
      </c>
      <c r="D272" t="s">
        <v>8</v>
      </c>
      <c r="E272" s="190">
        <v>50000</v>
      </c>
      <c r="F272" s="212">
        <v>1.3</v>
      </c>
      <c r="G272" s="213">
        <v>45722</v>
      </c>
      <c r="H272" s="111" t="s">
        <v>1358</v>
      </c>
    </row>
    <row r="273" spans="1:8" x14ac:dyDescent="0.25">
      <c r="A273" s="211" t="s">
        <v>1367</v>
      </c>
      <c r="B273" t="s">
        <v>2044</v>
      </c>
      <c r="C273" s="48">
        <f t="shared" si="8"/>
        <v>6500</v>
      </c>
      <c r="D273" t="s">
        <v>8</v>
      </c>
      <c r="E273" s="190">
        <v>5000</v>
      </c>
      <c r="F273" s="212">
        <v>1.3</v>
      </c>
      <c r="G273" s="213">
        <v>45723</v>
      </c>
      <c r="H273" s="111" t="s">
        <v>1362</v>
      </c>
    </row>
    <row r="274" spans="1:8" x14ac:dyDescent="0.25">
      <c r="A274" s="211" t="s">
        <v>1369</v>
      </c>
      <c r="B274" t="s">
        <v>2045</v>
      </c>
      <c r="C274" s="48">
        <f t="shared" si="8"/>
        <v>390</v>
      </c>
      <c r="D274" t="s">
        <v>8</v>
      </c>
      <c r="E274" s="190">
        <v>300</v>
      </c>
      <c r="F274" s="212">
        <v>1.3</v>
      </c>
      <c r="G274" s="213">
        <v>45723</v>
      </c>
      <c r="H274" s="111" t="s">
        <v>1365</v>
      </c>
    </row>
    <row r="275" spans="1:8" x14ac:dyDescent="0.25">
      <c r="A275" s="211" t="s">
        <v>1377</v>
      </c>
      <c r="B275" t="s">
        <v>2046</v>
      </c>
      <c r="C275" s="48">
        <f t="shared" si="8"/>
        <v>8645</v>
      </c>
      <c r="D275" t="s">
        <v>108</v>
      </c>
      <c r="E275" s="190">
        <v>6650</v>
      </c>
      <c r="F275" s="212">
        <v>1.3</v>
      </c>
      <c r="G275" s="213">
        <v>45721</v>
      </c>
      <c r="H275" s="111" t="s">
        <v>1366</v>
      </c>
    </row>
    <row r="276" spans="1:8" x14ac:dyDescent="0.25">
      <c r="A276" s="211" t="s">
        <v>1382</v>
      </c>
      <c r="B276" t="s">
        <v>2047</v>
      </c>
      <c r="C276" s="48">
        <f t="shared" ref="C276:C295" si="9">E276*F276</f>
        <v>167.70000000000002</v>
      </c>
      <c r="D276" t="s">
        <v>8</v>
      </c>
      <c r="E276" s="190">
        <f>12900/100</f>
        <v>129</v>
      </c>
      <c r="F276" s="212">
        <v>1.3</v>
      </c>
      <c r="G276" s="213">
        <v>45721</v>
      </c>
      <c r="H276" s="111" t="s">
        <v>1368</v>
      </c>
    </row>
    <row r="277" spans="1:8" x14ac:dyDescent="0.25">
      <c r="A277" s="211" t="s">
        <v>1383</v>
      </c>
      <c r="B277" t="s">
        <v>1419</v>
      </c>
      <c r="C277" s="48">
        <f t="shared" si="9"/>
        <v>88270</v>
      </c>
      <c r="D277" t="s">
        <v>114</v>
      </c>
      <c r="E277" s="190">
        <v>67900</v>
      </c>
      <c r="F277" s="212">
        <v>1.3</v>
      </c>
      <c r="G277" s="213">
        <v>45727</v>
      </c>
      <c r="H277" s="111" t="s">
        <v>1423</v>
      </c>
    </row>
    <row r="278" spans="1:8" x14ac:dyDescent="0.25">
      <c r="A278" s="211" t="s">
        <v>1384</v>
      </c>
      <c r="B278" t="s">
        <v>1380</v>
      </c>
      <c r="C278" s="48">
        <f t="shared" si="9"/>
        <v>14539.2</v>
      </c>
      <c r="D278" t="s">
        <v>113</v>
      </c>
      <c r="E278" s="190">
        <v>11184</v>
      </c>
      <c r="F278" s="212">
        <v>1.3</v>
      </c>
      <c r="G278" s="213">
        <v>45727</v>
      </c>
      <c r="H278" s="111" t="s">
        <v>1388</v>
      </c>
    </row>
    <row r="279" spans="1:8" x14ac:dyDescent="0.25">
      <c r="A279" s="211" t="s">
        <v>1385</v>
      </c>
      <c r="B279" t="s">
        <v>2048</v>
      </c>
      <c r="C279" s="48">
        <f t="shared" si="9"/>
        <v>39000</v>
      </c>
      <c r="D279" t="s">
        <v>114</v>
      </c>
      <c r="E279" s="190">
        <v>30000</v>
      </c>
      <c r="F279" s="212">
        <v>1.3</v>
      </c>
      <c r="G279" s="213">
        <v>45727</v>
      </c>
      <c r="H279" s="111" t="s">
        <v>1388</v>
      </c>
    </row>
    <row r="280" spans="1:8" x14ac:dyDescent="0.25">
      <c r="A280" s="211" t="s">
        <v>1386</v>
      </c>
      <c r="B280" t="s">
        <v>2049</v>
      </c>
      <c r="C280" s="48">
        <f t="shared" si="9"/>
        <v>98.358000000000004</v>
      </c>
      <c r="D280" t="s">
        <v>1387</v>
      </c>
      <c r="E280" s="190">
        <v>75.66</v>
      </c>
      <c r="F280" s="212">
        <v>1.3</v>
      </c>
      <c r="G280" s="213">
        <v>45727</v>
      </c>
      <c r="H280" s="111" t="s">
        <v>1388</v>
      </c>
    </row>
    <row r="281" spans="1:8" x14ac:dyDescent="0.25">
      <c r="A281" s="211" t="s">
        <v>1393</v>
      </c>
      <c r="B281" t="s">
        <v>2050</v>
      </c>
      <c r="C281" s="48">
        <f t="shared" si="9"/>
        <v>4105.491</v>
      </c>
      <c r="D281" t="s">
        <v>1387</v>
      </c>
      <c r="E281" s="190">
        <v>3158.07</v>
      </c>
      <c r="F281" s="212">
        <v>1.3</v>
      </c>
      <c r="G281" s="213">
        <v>45727</v>
      </c>
      <c r="H281" s="111" t="s">
        <v>1388</v>
      </c>
    </row>
    <row r="282" spans="1:8" x14ac:dyDescent="0.25">
      <c r="A282" s="211" t="s">
        <v>1407</v>
      </c>
      <c r="B282" t="s">
        <v>1381</v>
      </c>
      <c r="C282" s="48">
        <f t="shared" si="9"/>
        <v>94.9</v>
      </c>
      <c r="D282" t="s">
        <v>114</v>
      </c>
      <c r="E282" s="190">
        <v>73</v>
      </c>
      <c r="F282" s="212">
        <v>1.3</v>
      </c>
      <c r="G282" s="213">
        <v>45727</v>
      </c>
      <c r="H282" s="111" t="s">
        <v>1388</v>
      </c>
    </row>
    <row r="283" spans="1:8" x14ac:dyDescent="0.25">
      <c r="A283" s="211" t="s">
        <v>1408</v>
      </c>
      <c r="B283" t="s">
        <v>1395</v>
      </c>
      <c r="C283" s="48">
        <f t="shared" si="9"/>
        <v>5135000</v>
      </c>
      <c r="D283" t="s">
        <v>8</v>
      </c>
      <c r="E283" s="190">
        <v>3950000</v>
      </c>
      <c r="F283" s="212">
        <v>1.3</v>
      </c>
      <c r="G283" s="213">
        <v>45727</v>
      </c>
      <c r="H283" s="111" t="s">
        <v>1394</v>
      </c>
    </row>
    <row r="284" spans="1:8" x14ac:dyDescent="0.25">
      <c r="A284" s="211" t="s">
        <v>1409</v>
      </c>
      <c r="B284" t="s">
        <v>1396</v>
      </c>
      <c r="C284" s="48">
        <f t="shared" si="9"/>
        <v>39520</v>
      </c>
      <c r="D284" t="s">
        <v>8</v>
      </c>
      <c r="E284" s="190">
        <v>30400</v>
      </c>
      <c r="F284" s="212">
        <v>1.3</v>
      </c>
      <c r="G284" s="213">
        <v>45800</v>
      </c>
      <c r="H284" t="s">
        <v>2914</v>
      </c>
    </row>
    <row r="285" spans="1:8" x14ac:dyDescent="0.25">
      <c r="A285" s="211" t="s">
        <v>1410</v>
      </c>
      <c r="B285" t="s">
        <v>1397</v>
      </c>
      <c r="C285" s="48">
        <f t="shared" si="9"/>
        <v>12870</v>
      </c>
      <c r="D285" t="s">
        <v>1406</v>
      </c>
      <c r="E285" s="190">
        <f>19.8*500</f>
        <v>9900</v>
      </c>
      <c r="F285" s="212">
        <v>1.3</v>
      </c>
      <c r="G285" s="213">
        <v>45800</v>
      </c>
      <c r="H285" s="111" t="s">
        <v>1850</v>
      </c>
    </row>
    <row r="286" spans="1:8" x14ac:dyDescent="0.25">
      <c r="A286" s="211" t="s">
        <v>1411</v>
      </c>
      <c r="B286" t="s">
        <v>1398</v>
      </c>
      <c r="C286" s="48">
        <f t="shared" si="9"/>
        <v>16900</v>
      </c>
      <c r="D286" t="s">
        <v>8</v>
      </c>
      <c r="E286" s="190">
        <v>13000</v>
      </c>
      <c r="F286" s="212">
        <v>1.3</v>
      </c>
      <c r="G286" s="213">
        <v>45800</v>
      </c>
      <c r="H286" t="s">
        <v>2914</v>
      </c>
    </row>
    <row r="287" spans="1:8" x14ac:dyDescent="0.25">
      <c r="A287" s="211" t="s">
        <v>1412</v>
      </c>
      <c r="B287" t="s">
        <v>1399</v>
      </c>
      <c r="C287" s="48">
        <f t="shared" si="9"/>
        <v>23270</v>
      </c>
      <c r="D287" t="s">
        <v>8</v>
      </c>
      <c r="E287" s="190">
        <v>17900</v>
      </c>
      <c r="F287" s="212">
        <v>1.3</v>
      </c>
      <c r="G287" s="213">
        <v>45800</v>
      </c>
      <c r="H287" t="s">
        <v>2914</v>
      </c>
    </row>
    <row r="288" spans="1:8" x14ac:dyDescent="0.25">
      <c r="A288" s="211" t="s">
        <v>1413</v>
      </c>
      <c r="B288" t="s">
        <v>1400</v>
      </c>
      <c r="C288" s="48">
        <f t="shared" si="9"/>
        <v>595561.20000000007</v>
      </c>
      <c r="D288" t="s">
        <v>114</v>
      </c>
      <c r="E288" s="190">
        <v>458124</v>
      </c>
      <c r="F288" s="212">
        <v>1.3</v>
      </c>
      <c r="G288" s="213">
        <v>45800</v>
      </c>
      <c r="H288" t="s">
        <v>2914</v>
      </c>
    </row>
    <row r="289" spans="1:8" x14ac:dyDescent="0.25">
      <c r="A289" s="211" t="s">
        <v>1414</v>
      </c>
      <c r="B289" t="s">
        <v>1401</v>
      </c>
      <c r="C289" s="48">
        <f t="shared" si="9"/>
        <v>38675</v>
      </c>
      <c r="D289" t="s">
        <v>8</v>
      </c>
      <c r="E289" s="190">
        <v>29750</v>
      </c>
      <c r="F289" s="212">
        <v>1.3</v>
      </c>
      <c r="G289" s="213">
        <v>45800</v>
      </c>
      <c r="H289" t="s">
        <v>2914</v>
      </c>
    </row>
    <row r="290" spans="1:8" x14ac:dyDescent="0.25">
      <c r="A290" s="211" t="s">
        <v>1415</v>
      </c>
      <c r="B290" t="s">
        <v>1402</v>
      </c>
      <c r="C290" s="48">
        <f t="shared" si="9"/>
        <v>147085.9</v>
      </c>
      <c r="D290" t="s">
        <v>114</v>
      </c>
      <c r="E290" s="190">
        <v>113143</v>
      </c>
      <c r="F290" s="212">
        <v>1.3</v>
      </c>
      <c r="G290" s="213">
        <v>45800</v>
      </c>
      <c r="H290" t="s">
        <v>2914</v>
      </c>
    </row>
    <row r="291" spans="1:8" x14ac:dyDescent="0.25">
      <c r="A291" s="211" t="s">
        <v>1416</v>
      </c>
      <c r="B291" t="s">
        <v>1403</v>
      </c>
      <c r="C291" s="48">
        <f t="shared" si="9"/>
        <v>138450</v>
      </c>
      <c r="D291" t="s">
        <v>114</v>
      </c>
      <c r="E291" s="190">
        <v>106500</v>
      </c>
      <c r="F291" s="212">
        <v>1.3</v>
      </c>
      <c r="G291" s="213">
        <v>45800</v>
      </c>
      <c r="H291" t="s">
        <v>2914</v>
      </c>
    </row>
    <row r="292" spans="1:8" x14ac:dyDescent="0.25">
      <c r="A292" s="211" t="s">
        <v>1418</v>
      </c>
      <c r="B292" t="s">
        <v>1404</v>
      </c>
      <c r="C292" s="48">
        <f t="shared" si="9"/>
        <v>16900</v>
      </c>
      <c r="D292" t="s">
        <v>8</v>
      </c>
      <c r="E292" s="190">
        <v>13000</v>
      </c>
      <c r="F292" s="212">
        <v>1.3</v>
      </c>
      <c r="G292" s="213">
        <v>45800</v>
      </c>
      <c r="H292" t="s">
        <v>2914</v>
      </c>
    </row>
    <row r="293" spans="1:8" x14ac:dyDescent="0.25">
      <c r="A293" s="211" t="s">
        <v>1420</v>
      </c>
      <c r="B293" t="s">
        <v>1405</v>
      </c>
      <c r="C293" s="48">
        <f t="shared" si="9"/>
        <v>161070</v>
      </c>
      <c r="D293" t="s">
        <v>8</v>
      </c>
      <c r="E293" s="190">
        <v>123900</v>
      </c>
      <c r="F293" s="212">
        <v>1.3</v>
      </c>
      <c r="G293" s="213">
        <v>45800</v>
      </c>
      <c r="H293" t="s">
        <v>2914</v>
      </c>
    </row>
    <row r="294" spans="1:8" x14ac:dyDescent="0.25">
      <c r="A294" s="211" t="s">
        <v>1425</v>
      </c>
      <c r="B294" t="s">
        <v>1417</v>
      </c>
      <c r="C294" s="48">
        <f t="shared" si="9"/>
        <v>2990</v>
      </c>
      <c r="D294" t="s">
        <v>108</v>
      </c>
      <c r="E294" s="190">
        <v>2300</v>
      </c>
      <c r="F294" s="212">
        <v>1.3</v>
      </c>
      <c r="G294" s="213">
        <v>45800</v>
      </c>
      <c r="H294" t="s">
        <v>2914</v>
      </c>
    </row>
    <row r="295" spans="1:8" x14ac:dyDescent="0.25">
      <c r="A295" s="211" t="s">
        <v>1427</v>
      </c>
      <c r="B295" t="s">
        <v>1421</v>
      </c>
      <c r="C295" s="48">
        <f t="shared" si="9"/>
        <v>98279.814285714296</v>
      </c>
      <c r="D295" t="s">
        <v>114</v>
      </c>
      <c r="E295" s="190">
        <f>529199/7</f>
        <v>75599.857142857145</v>
      </c>
      <c r="F295" s="212">
        <v>1.3</v>
      </c>
      <c r="G295" s="213">
        <v>45728</v>
      </c>
      <c r="H295" s="111" t="s">
        <v>1422</v>
      </c>
    </row>
    <row r="296" spans="1:8" x14ac:dyDescent="0.25">
      <c r="A296" s="211" t="s">
        <v>1428</v>
      </c>
      <c r="B296" t="s">
        <v>2665</v>
      </c>
      <c r="C296" s="48">
        <f t="shared" ref="C296:C309" si="10">E296*F296</f>
        <v>6293196</v>
      </c>
      <c r="D296" t="s">
        <v>8</v>
      </c>
      <c r="E296" s="190">
        <f>4068000*1.19</f>
        <v>4840920</v>
      </c>
      <c r="F296" s="212">
        <v>1.3</v>
      </c>
      <c r="G296" s="213">
        <v>45729</v>
      </c>
      <c r="H296" s="111" t="s">
        <v>1426</v>
      </c>
    </row>
    <row r="297" spans="1:8" x14ac:dyDescent="0.25">
      <c r="A297" s="211" t="s">
        <v>1429</v>
      </c>
      <c r="B297" t="s">
        <v>2664</v>
      </c>
      <c r="C297" s="48">
        <f t="shared" si="10"/>
        <v>3378648</v>
      </c>
      <c r="D297" t="s">
        <v>8</v>
      </c>
      <c r="E297" s="190">
        <f>2184000*1.19</f>
        <v>2598960</v>
      </c>
      <c r="F297" s="212">
        <v>1.3</v>
      </c>
      <c r="G297" s="213">
        <v>45729</v>
      </c>
      <c r="H297" s="111" t="s">
        <v>1426</v>
      </c>
    </row>
    <row r="298" spans="1:8" x14ac:dyDescent="0.25">
      <c r="A298" s="211" t="s">
        <v>1430</v>
      </c>
      <c r="B298" t="s">
        <v>2051</v>
      </c>
      <c r="C298" s="48">
        <f t="shared" si="10"/>
        <v>525.16100000000006</v>
      </c>
      <c r="D298" t="s">
        <v>1387</v>
      </c>
      <c r="E298" s="190">
        <v>403.97</v>
      </c>
      <c r="F298" s="212">
        <v>1.3</v>
      </c>
      <c r="G298" s="213">
        <v>45729</v>
      </c>
      <c r="H298" s="111" t="s">
        <v>1432</v>
      </c>
    </row>
    <row r="299" spans="1:8" x14ac:dyDescent="0.25">
      <c r="A299" s="211" t="s">
        <v>1431</v>
      </c>
      <c r="B299" t="s">
        <v>2052</v>
      </c>
      <c r="C299" s="48">
        <f t="shared" si="10"/>
        <v>26568.100000000002</v>
      </c>
      <c r="D299" t="s">
        <v>113</v>
      </c>
      <c r="E299" s="190">
        <v>20437</v>
      </c>
      <c r="F299" s="212">
        <v>1.3</v>
      </c>
      <c r="G299" s="213">
        <v>45729</v>
      </c>
      <c r="H299" s="111" t="s">
        <v>1432</v>
      </c>
    </row>
    <row r="300" spans="1:8" x14ac:dyDescent="0.25">
      <c r="A300" s="211" t="s">
        <v>1433</v>
      </c>
      <c r="B300" t="s">
        <v>2053</v>
      </c>
      <c r="C300" s="48">
        <f t="shared" si="10"/>
        <v>476.73600000000005</v>
      </c>
      <c r="D300" t="s">
        <v>1387</v>
      </c>
      <c r="E300" s="190">
        <v>366.72</v>
      </c>
      <c r="F300" s="212">
        <v>1.3</v>
      </c>
      <c r="G300" s="213">
        <v>45729</v>
      </c>
      <c r="H300" s="111" t="s">
        <v>1432</v>
      </c>
    </row>
    <row r="301" spans="1:8" x14ac:dyDescent="0.25">
      <c r="A301" s="211" t="s">
        <v>1436</v>
      </c>
      <c r="B301" t="s">
        <v>2054</v>
      </c>
      <c r="C301" s="48">
        <f t="shared" si="10"/>
        <v>374776.32399999996</v>
      </c>
      <c r="D301" t="s">
        <v>114</v>
      </c>
      <c r="E301" s="190">
        <v>288289.48</v>
      </c>
      <c r="F301" s="212">
        <v>1.3</v>
      </c>
      <c r="G301" s="213">
        <v>45729</v>
      </c>
      <c r="H301" s="111" t="s">
        <v>1432</v>
      </c>
    </row>
    <row r="302" spans="1:8" x14ac:dyDescent="0.25">
      <c r="A302" s="211" t="s">
        <v>1439</v>
      </c>
      <c r="B302" t="s">
        <v>2055</v>
      </c>
      <c r="C302" s="48">
        <f t="shared" si="10"/>
        <v>93600</v>
      </c>
      <c r="D302" t="s">
        <v>8</v>
      </c>
      <c r="E302" s="190">
        <v>72000</v>
      </c>
      <c r="F302" s="212">
        <v>1.3</v>
      </c>
      <c r="G302" s="213">
        <v>45729</v>
      </c>
      <c r="H302" s="111" t="s">
        <v>1434</v>
      </c>
    </row>
    <row r="303" spans="1:8" x14ac:dyDescent="0.25">
      <c r="A303" s="211" t="s">
        <v>1441</v>
      </c>
      <c r="B303" t="s">
        <v>1435</v>
      </c>
      <c r="C303" s="48">
        <f t="shared" si="10"/>
        <v>70631.600000000006</v>
      </c>
      <c r="D303" t="s">
        <v>113</v>
      </c>
      <c r="E303" s="190">
        <v>54332</v>
      </c>
      <c r="F303" s="212">
        <v>1.3</v>
      </c>
      <c r="G303" s="213">
        <v>45729</v>
      </c>
      <c r="H303" s="111" t="s">
        <v>1437</v>
      </c>
    </row>
    <row r="304" spans="1:8" x14ac:dyDescent="0.25">
      <c r="A304" s="211" t="s">
        <v>1443</v>
      </c>
      <c r="B304" t="s">
        <v>2056</v>
      </c>
      <c r="C304" s="48">
        <f t="shared" si="10"/>
        <v>3900</v>
      </c>
      <c r="D304" t="s">
        <v>8</v>
      </c>
      <c r="E304" s="190">
        <f>30000/10</f>
        <v>3000</v>
      </c>
      <c r="F304" s="212">
        <v>1.3</v>
      </c>
      <c r="G304" s="213">
        <v>45729</v>
      </c>
      <c r="H304" s="111" t="s">
        <v>1438</v>
      </c>
    </row>
    <row r="305" spans="1:8" x14ac:dyDescent="0.25">
      <c r="A305" s="211" t="s">
        <v>1446</v>
      </c>
      <c r="B305" t="s">
        <v>2057</v>
      </c>
      <c r="C305" s="48">
        <f t="shared" si="10"/>
        <v>69213.3</v>
      </c>
      <c r="D305" t="s">
        <v>1387</v>
      </c>
      <c r="E305" s="190">
        <v>53241</v>
      </c>
      <c r="F305" s="212">
        <v>1.3</v>
      </c>
      <c r="G305" s="213">
        <v>45729</v>
      </c>
      <c r="H305" s="111" t="s">
        <v>1440</v>
      </c>
    </row>
    <row r="306" spans="1:8" x14ac:dyDescent="0.25">
      <c r="A306" s="211" t="s">
        <v>1448</v>
      </c>
      <c r="B306" t="s">
        <v>1442</v>
      </c>
      <c r="C306" s="48">
        <f t="shared" si="10"/>
        <v>99567.92857142858</v>
      </c>
      <c r="D306" t="s">
        <v>113</v>
      </c>
      <c r="E306" s="190">
        <f>107227/1.4</f>
        <v>76590.71428571429</v>
      </c>
      <c r="F306" s="212">
        <v>1.3</v>
      </c>
      <c r="G306" s="213">
        <v>45729</v>
      </c>
      <c r="H306" s="111" t="s">
        <v>1444</v>
      </c>
    </row>
    <row r="307" spans="1:8" x14ac:dyDescent="0.25">
      <c r="A307" s="211" t="s">
        <v>1451</v>
      </c>
      <c r="B307" t="s">
        <v>1449</v>
      </c>
      <c r="C307" s="48">
        <f t="shared" si="10"/>
        <v>2340</v>
      </c>
      <c r="D307" t="s">
        <v>8</v>
      </c>
      <c r="E307" s="190">
        <v>1800</v>
      </c>
      <c r="F307" s="212">
        <v>1.3</v>
      </c>
      <c r="G307" s="213">
        <v>45729</v>
      </c>
      <c r="H307" s="111" t="s">
        <v>1445</v>
      </c>
    </row>
    <row r="308" spans="1:8" x14ac:dyDescent="0.25">
      <c r="A308" s="211" t="s">
        <v>1454</v>
      </c>
      <c r="B308" t="s">
        <v>2058</v>
      </c>
      <c r="C308" s="48">
        <f t="shared" si="10"/>
        <v>2080000</v>
      </c>
      <c r="D308" t="s">
        <v>8</v>
      </c>
      <c r="E308" s="190">
        <v>1600000</v>
      </c>
      <c r="F308" s="212">
        <v>1.3</v>
      </c>
      <c r="G308" s="213">
        <v>45729</v>
      </c>
      <c r="H308" s="111" t="s">
        <v>1447</v>
      </c>
    </row>
    <row r="309" spans="1:8" x14ac:dyDescent="0.25">
      <c r="A309" s="211" t="s">
        <v>1457</v>
      </c>
      <c r="B309" t="s">
        <v>2059</v>
      </c>
      <c r="C309" s="48">
        <f t="shared" si="10"/>
        <v>650</v>
      </c>
      <c r="D309" t="s">
        <v>8</v>
      </c>
      <c r="E309" s="190">
        <f>50000/100</f>
        <v>500</v>
      </c>
      <c r="F309" s="212">
        <v>1.3</v>
      </c>
      <c r="G309" s="213">
        <v>45729</v>
      </c>
      <c r="H309" s="111" t="s">
        <v>1450</v>
      </c>
    </row>
    <row r="310" spans="1:8" x14ac:dyDescent="0.25">
      <c r="A310" s="211" t="s">
        <v>1458</v>
      </c>
      <c r="B310" t="s">
        <v>1453</v>
      </c>
      <c r="C310" s="48">
        <f t="shared" ref="C310:C316" si="11">E310*F310</f>
        <v>3770</v>
      </c>
      <c r="D310" t="s">
        <v>8</v>
      </c>
      <c r="E310" s="190">
        <v>2900</v>
      </c>
      <c r="F310" s="212">
        <v>1.3</v>
      </c>
      <c r="G310" s="213">
        <v>45729</v>
      </c>
      <c r="H310" s="111" t="s">
        <v>1452</v>
      </c>
    </row>
    <row r="311" spans="1:8" x14ac:dyDescent="0.25">
      <c r="A311" s="211" t="s">
        <v>1459</v>
      </c>
      <c r="B311" t="s">
        <v>1455</v>
      </c>
      <c r="C311" s="48">
        <f t="shared" si="11"/>
        <v>845</v>
      </c>
      <c r="D311" t="s">
        <v>1387</v>
      </c>
      <c r="E311" s="190">
        <v>650</v>
      </c>
      <c r="F311" s="212">
        <v>1.3</v>
      </c>
      <c r="G311" s="213">
        <v>45729</v>
      </c>
      <c r="H311" s="111" t="s">
        <v>1456</v>
      </c>
    </row>
    <row r="312" spans="1:8" x14ac:dyDescent="0.25">
      <c r="A312" s="211" t="s">
        <v>1460</v>
      </c>
      <c r="B312" t="s">
        <v>2060</v>
      </c>
      <c r="C312" s="48">
        <f t="shared" si="11"/>
        <v>9118.2000000000007</v>
      </c>
      <c r="D312" t="s">
        <v>8</v>
      </c>
      <c r="E312" s="190">
        <v>7014</v>
      </c>
      <c r="F312" s="212">
        <v>1.3</v>
      </c>
      <c r="G312" s="213">
        <v>45729</v>
      </c>
      <c r="H312" s="111" t="s">
        <v>1461</v>
      </c>
    </row>
    <row r="313" spans="1:8" x14ac:dyDescent="0.25">
      <c r="A313" s="211" t="s">
        <v>1463</v>
      </c>
      <c r="B313" t="s">
        <v>2061</v>
      </c>
      <c r="C313" s="48">
        <f t="shared" si="11"/>
        <v>392629.9</v>
      </c>
      <c r="D313" t="s">
        <v>114</v>
      </c>
      <c r="E313" s="190">
        <v>302023</v>
      </c>
      <c r="F313" s="212">
        <v>1.3</v>
      </c>
      <c r="G313" s="213">
        <v>45729</v>
      </c>
      <c r="H313" s="111" t="s">
        <v>1461</v>
      </c>
    </row>
    <row r="314" spans="1:8" x14ac:dyDescent="0.25">
      <c r="A314" s="211" t="s">
        <v>1465</v>
      </c>
      <c r="B314" t="s">
        <v>2062</v>
      </c>
      <c r="C314" s="48">
        <f t="shared" si="11"/>
        <v>523.91300000000001</v>
      </c>
      <c r="D314" t="s">
        <v>8</v>
      </c>
      <c r="E314" s="190">
        <v>403.01</v>
      </c>
      <c r="F314" s="212">
        <v>1.3</v>
      </c>
      <c r="G314" s="213">
        <v>45729</v>
      </c>
      <c r="H314" s="111" t="s">
        <v>1461</v>
      </c>
    </row>
    <row r="315" spans="1:8" x14ac:dyDescent="0.25">
      <c r="A315" s="211" t="s">
        <v>1466</v>
      </c>
      <c r="B315" t="s">
        <v>2063</v>
      </c>
      <c r="C315" s="48">
        <f t="shared" si="11"/>
        <v>172033.33333333334</v>
      </c>
      <c r="D315" t="s">
        <v>108</v>
      </c>
      <c r="E315" s="190">
        <f>397000/3</f>
        <v>132333.33333333334</v>
      </c>
      <c r="F315" s="212">
        <v>1.3</v>
      </c>
      <c r="G315" s="213">
        <v>45730</v>
      </c>
      <c r="H315" s="111" t="s">
        <v>1462</v>
      </c>
    </row>
    <row r="316" spans="1:8" x14ac:dyDescent="0.25">
      <c r="A316" s="211" t="s">
        <v>1467</v>
      </c>
      <c r="B316" t="s">
        <v>2064</v>
      </c>
      <c r="C316" s="48">
        <f t="shared" si="11"/>
        <v>9963.2000000000007</v>
      </c>
      <c r="D316" t="s">
        <v>108</v>
      </c>
      <c r="E316" s="190">
        <v>7664</v>
      </c>
      <c r="F316" s="212">
        <v>1.3</v>
      </c>
      <c r="G316" s="213">
        <v>45730</v>
      </c>
      <c r="H316" s="111" t="s">
        <v>1464</v>
      </c>
    </row>
    <row r="317" spans="1:8" x14ac:dyDescent="0.25">
      <c r="A317" s="211" t="s">
        <v>1469</v>
      </c>
      <c r="B317" t="s">
        <v>2065</v>
      </c>
      <c r="C317" s="48">
        <f>E317*F317</f>
        <v>1670.5</v>
      </c>
      <c r="D317" t="s">
        <v>1387</v>
      </c>
      <c r="E317" s="190">
        <v>1285</v>
      </c>
      <c r="F317" s="212">
        <v>1.3</v>
      </c>
      <c r="G317" s="213">
        <v>45730</v>
      </c>
      <c r="H317" s="111" t="s">
        <v>1464</v>
      </c>
    </row>
    <row r="318" spans="1:8" x14ac:dyDescent="0.25">
      <c r="A318" s="211" t="s">
        <v>1471</v>
      </c>
      <c r="B318" t="s">
        <v>2066</v>
      </c>
      <c r="C318" s="48">
        <f>E318*F318</f>
        <v>279370</v>
      </c>
      <c r="D318" t="s">
        <v>1145</v>
      </c>
      <c r="E318" s="190">
        <v>214900</v>
      </c>
      <c r="F318" s="212">
        <v>1.3</v>
      </c>
      <c r="G318" s="213">
        <v>45730</v>
      </c>
      <c r="H318" s="111" t="s">
        <v>1468</v>
      </c>
    </row>
    <row r="319" spans="1:8" x14ac:dyDescent="0.25">
      <c r="A319" s="211" t="s">
        <v>1475</v>
      </c>
      <c r="B319" t="s">
        <v>2067</v>
      </c>
      <c r="C319" s="48">
        <f t="shared" ref="C319:C337" si="12">E319*F319</f>
        <v>372182.2</v>
      </c>
      <c r="D319" t="s">
        <v>114</v>
      </c>
      <c r="E319" s="190">
        <v>286294</v>
      </c>
      <c r="F319" s="212">
        <v>1.3</v>
      </c>
      <c r="G319" s="213">
        <v>45730</v>
      </c>
      <c r="H319" s="111" t="s">
        <v>1470</v>
      </c>
    </row>
    <row r="320" spans="1:8" x14ac:dyDescent="0.25">
      <c r="A320" s="211" t="s">
        <v>1477</v>
      </c>
      <c r="B320" t="s">
        <v>2068</v>
      </c>
      <c r="C320" s="48">
        <f t="shared" si="12"/>
        <v>3793.6470000000004</v>
      </c>
      <c r="D320" t="s">
        <v>113</v>
      </c>
      <c r="E320" s="190">
        <v>2918.19</v>
      </c>
      <c r="F320" s="212">
        <v>1.3</v>
      </c>
      <c r="G320" s="213">
        <v>45730</v>
      </c>
      <c r="H320" s="111" t="s">
        <v>1470</v>
      </c>
    </row>
    <row r="321" spans="1:8" x14ac:dyDescent="0.25">
      <c r="A321" s="211" t="s">
        <v>1478</v>
      </c>
      <c r="B321" t="s">
        <v>2069</v>
      </c>
      <c r="C321" s="48">
        <f t="shared" si="12"/>
        <v>101302.5</v>
      </c>
      <c r="D321" t="s">
        <v>114</v>
      </c>
      <c r="E321" s="190">
        <v>77925</v>
      </c>
      <c r="F321" s="212">
        <v>1.3</v>
      </c>
      <c r="G321" s="213">
        <v>45730</v>
      </c>
      <c r="H321" s="111" t="s">
        <v>1476</v>
      </c>
    </row>
    <row r="322" spans="1:8" x14ac:dyDescent="0.25">
      <c r="A322" s="211" t="s">
        <v>1489</v>
      </c>
      <c r="B322" t="s">
        <v>2070</v>
      </c>
      <c r="C322" s="48">
        <f t="shared" si="12"/>
        <v>71891.3</v>
      </c>
      <c r="D322" t="s">
        <v>114</v>
      </c>
      <c r="E322" s="190">
        <v>55301</v>
      </c>
      <c r="F322" s="212">
        <v>1.3</v>
      </c>
      <c r="G322" s="213">
        <v>45730</v>
      </c>
      <c r="H322" s="111" t="s">
        <v>1476</v>
      </c>
    </row>
    <row r="323" spans="1:8" x14ac:dyDescent="0.25">
      <c r="A323" s="211" t="s">
        <v>1490</v>
      </c>
      <c r="B323" t="s">
        <v>2071</v>
      </c>
      <c r="C323" s="48">
        <f t="shared" si="12"/>
        <v>630.08400000000006</v>
      </c>
      <c r="D323" t="s">
        <v>1387</v>
      </c>
      <c r="E323" s="190">
        <v>484.68</v>
      </c>
      <c r="F323" s="212">
        <v>1.3</v>
      </c>
      <c r="G323" s="213">
        <v>45730</v>
      </c>
      <c r="H323" s="111" t="s">
        <v>1476</v>
      </c>
    </row>
    <row r="324" spans="1:8" x14ac:dyDescent="0.25">
      <c r="A324" s="211" t="s">
        <v>1491</v>
      </c>
      <c r="B324" t="s">
        <v>1486</v>
      </c>
      <c r="C324" s="48">
        <f t="shared" si="12"/>
        <v>129722.307</v>
      </c>
      <c r="D324" t="s">
        <v>113</v>
      </c>
      <c r="E324" s="190">
        <v>99786.39</v>
      </c>
      <c r="F324" s="212">
        <v>1.3</v>
      </c>
      <c r="G324" s="213">
        <v>45733</v>
      </c>
      <c r="H324" s="111" t="s">
        <v>1502</v>
      </c>
    </row>
    <row r="325" spans="1:8" x14ac:dyDescent="0.25">
      <c r="A325" s="211" t="s">
        <v>1492</v>
      </c>
      <c r="B325" t="s">
        <v>1485</v>
      </c>
      <c r="C325" s="48">
        <f t="shared" si="12"/>
        <v>290806.06099999999</v>
      </c>
      <c r="D325" t="s">
        <v>113</v>
      </c>
      <c r="E325" s="190">
        <v>223696.97</v>
      </c>
      <c r="F325" s="212">
        <v>1.3</v>
      </c>
      <c r="G325" s="213">
        <v>45733</v>
      </c>
      <c r="H325" s="111" t="s">
        <v>1502</v>
      </c>
    </row>
    <row r="326" spans="1:8" x14ac:dyDescent="0.25">
      <c r="A326" s="211" t="s">
        <v>1493</v>
      </c>
      <c r="B326" t="s">
        <v>1484</v>
      </c>
      <c r="C326" s="48">
        <f t="shared" si="12"/>
        <v>54890.498</v>
      </c>
      <c r="D326" t="s">
        <v>8</v>
      </c>
      <c r="E326" s="190">
        <v>42223.46</v>
      </c>
      <c r="F326" s="212">
        <v>1.3</v>
      </c>
      <c r="G326" s="213">
        <v>45733</v>
      </c>
      <c r="H326" s="111" t="s">
        <v>1502</v>
      </c>
    </row>
    <row r="327" spans="1:8" x14ac:dyDescent="0.25">
      <c r="A327" s="211" t="s">
        <v>1494</v>
      </c>
      <c r="B327" t="s">
        <v>1483</v>
      </c>
      <c r="C327" s="48">
        <f t="shared" si="12"/>
        <v>1013544.662</v>
      </c>
      <c r="D327" t="s">
        <v>114</v>
      </c>
      <c r="E327" s="190">
        <v>779649.74</v>
      </c>
      <c r="F327" s="212">
        <v>1.3</v>
      </c>
      <c r="G327" s="213">
        <v>45733</v>
      </c>
      <c r="H327" s="111" t="s">
        <v>1502</v>
      </c>
    </row>
    <row r="328" spans="1:8" x14ac:dyDescent="0.25">
      <c r="A328" s="211" t="s">
        <v>1495</v>
      </c>
      <c r="B328" t="s">
        <v>1482</v>
      </c>
      <c r="C328" s="48">
        <f t="shared" si="12"/>
        <v>24946.596999999998</v>
      </c>
      <c r="D328" t="s">
        <v>1387</v>
      </c>
      <c r="E328" s="190">
        <v>19189.689999999999</v>
      </c>
      <c r="F328" s="212">
        <v>1.3</v>
      </c>
      <c r="G328" s="213">
        <v>45733</v>
      </c>
      <c r="H328" s="111" t="s">
        <v>1502</v>
      </c>
    </row>
    <row r="329" spans="1:8" x14ac:dyDescent="0.25">
      <c r="A329" s="211" t="s">
        <v>1496</v>
      </c>
      <c r="B329" t="s">
        <v>1481</v>
      </c>
      <c r="C329" s="48">
        <f t="shared" si="12"/>
        <v>5143.84</v>
      </c>
      <c r="D329" t="s">
        <v>906</v>
      </c>
      <c r="E329" s="190">
        <v>3956.8</v>
      </c>
      <c r="F329" s="212">
        <v>1.3</v>
      </c>
      <c r="G329" s="213">
        <v>45733</v>
      </c>
      <c r="H329" s="111" t="s">
        <v>1502</v>
      </c>
    </row>
    <row r="330" spans="1:8" x14ac:dyDescent="0.25">
      <c r="A330" s="211" t="s">
        <v>1497</v>
      </c>
      <c r="B330" t="s">
        <v>1480</v>
      </c>
      <c r="C330" s="48">
        <f t="shared" si="12"/>
        <v>254.21500000000003</v>
      </c>
      <c r="D330" t="s">
        <v>8</v>
      </c>
      <c r="E330" s="190">
        <v>195.55</v>
      </c>
      <c r="F330" s="212">
        <v>1.3</v>
      </c>
      <c r="G330" s="213">
        <v>45733</v>
      </c>
      <c r="H330" s="111" t="s">
        <v>1502</v>
      </c>
    </row>
    <row r="331" spans="1:8" x14ac:dyDescent="0.25">
      <c r="A331" s="211" t="s">
        <v>1498</v>
      </c>
      <c r="B331" t="s">
        <v>2931</v>
      </c>
      <c r="C331" s="48">
        <f t="shared" si="12"/>
        <v>2742.8049999999998</v>
      </c>
      <c r="D331" t="s">
        <v>1387</v>
      </c>
      <c r="E331" s="190">
        <v>2109.85</v>
      </c>
      <c r="F331" s="212">
        <v>1.3</v>
      </c>
      <c r="G331" s="213">
        <v>45733</v>
      </c>
      <c r="H331" s="111" t="s">
        <v>1502</v>
      </c>
    </row>
    <row r="332" spans="1:8" x14ac:dyDescent="0.25">
      <c r="A332" s="211" t="s">
        <v>1499</v>
      </c>
      <c r="B332" t="s">
        <v>1479</v>
      </c>
      <c r="C332" s="48">
        <f t="shared" si="12"/>
        <v>4276.558</v>
      </c>
      <c r="D332" t="s">
        <v>1387</v>
      </c>
      <c r="E332" s="190">
        <v>3289.66</v>
      </c>
      <c r="F332" s="212">
        <v>1.3</v>
      </c>
      <c r="G332" s="213">
        <v>45733</v>
      </c>
      <c r="H332" s="111" t="s">
        <v>1502</v>
      </c>
    </row>
    <row r="333" spans="1:8" x14ac:dyDescent="0.25">
      <c r="A333" s="211" t="s">
        <v>1500</v>
      </c>
      <c r="B333" t="s">
        <v>1507</v>
      </c>
      <c r="C333" s="48">
        <f t="shared" si="12"/>
        <v>73329.945000000007</v>
      </c>
      <c r="D333" t="s">
        <v>114</v>
      </c>
      <c r="E333" s="190">
        <v>56407.65</v>
      </c>
      <c r="F333" s="212">
        <v>1.3</v>
      </c>
      <c r="G333" s="213">
        <v>45733</v>
      </c>
      <c r="H333" s="111" t="s">
        <v>1502</v>
      </c>
    </row>
    <row r="334" spans="1:8" x14ac:dyDescent="0.25">
      <c r="A334" s="211" t="s">
        <v>1501</v>
      </c>
      <c r="B334" t="s">
        <v>1503</v>
      </c>
      <c r="C334" s="48">
        <f t="shared" si="12"/>
        <v>254.21500000000003</v>
      </c>
      <c r="D334" t="s">
        <v>8</v>
      </c>
      <c r="E334" s="190">
        <v>195.55</v>
      </c>
      <c r="F334" s="212">
        <v>1.3</v>
      </c>
      <c r="G334" s="213">
        <v>45733</v>
      </c>
      <c r="H334" s="111" t="s">
        <v>1476</v>
      </c>
    </row>
    <row r="335" spans="1:8" x14ac:dyDescent="0.25">
      <c r="A335" s="211" t="s">
        <v>1508</v>
      </c>
      <c r="B335" t="s">
        <v>1504</v>
      </c>
      <c r="C335" s="48">
        <f t="shared" si="12"/>
        <v>164219.88700000002</v>
      </c>
      <c r="D335" t="s">
        <v>113</v>
      </c>
      <c r="E335" s="190">
        <v>126322.99</v>
      </c>
      <c r="F335" s="212">
        <v>1.3</v>
      </c>
      <c r="G335" s="213">
        <v>45733</v>
      </c>
      <c r="H335" s="111" t="s">
        <v>1518</v>
      </c>
    </row>
    <row r="336" spans="1:8" x14ac:dyDescent="0.25">
      <c r="A336" s="211" t="s">
        <v>1510</v>
      </c>
      <c r="B336" t="s">
        <v>1505</v>
      </c>
      <c r="C336" s="48">
        <f t="shared" si="12"/>
        <v>92661.088000000003</v>
      </c>
      <c r="D336" t="s">
        <v>8</v>
      </c>
      <c r="E336" s="190">
        <v>71277.759999999995</v>
      </c>
      <c r="F336" s="212">
        <v>1.3</v>
      </c>
      <c r="G336" s="213">
        <v>45733</v>
      </c>
      <c r="H336" s="111" t="s">
        <v>1476</v>
      </c>
    </row>
    <row r="337" spans="1:8" x14ac:dyDescent="0.25">
      <c r="A337" s="211" t="s">
        <v>1513</v>
      </c>
      <c r="B337" t="s">
        <v>1506</v>
      </c>
      <c r="C337" s="48">
        <f t="shared" si="12"/>
        <v>1568.0730000000001</v>
      </c>
      <c r="D337" t="s">
        <v>8</v>
      </c>
      <c r="E337" s="190">
        <v>1206.21</v>
      </c>
      <c r="F337" s="212">
        <v>1.3</v>
      </c>
      <c r="G337" s="213">
        <v>45733</v>
      </c>
      <c r="H337" s="111" t="s">
        <v>1476</v>
      </c>
    </row>
    <row r="338" spans="1:8" x14ac:dyDescent="0.25">
      <c r="A338" s="211" t="s">
        <v>1514</v>
      </c>
      <c r="B338" t="s">
        <v>1512</v>
      </c>
      <c r="C338" s="48">
        <f t="shared" ref="C338:C343" si="13">E338*F338</f>
        <v>23855</v>
      </c>
      <c r="D338" t="s">
        <v>8</v>
      </c>
      <c r="E338" s="190">
        <v>18350</v>
      </c>
      <c r="F338" s="212">
        <v>1.3</v>
      </c>
      <c r="G338" s="213">
        <v>45736</v>
      </c>
      <c r="H338" s="111" t="s">
        <v>1511</v>
      </c>
    </row>
    <row r="339" spans="1:8" x14ac:dyDescent="0.25">
      <c r="A339" s="211" t="s">
        <v>1519</v>
      </c>
      <c r="B339" t="s">
        <v>2072</v>
      </c>
      <c r="C339" s="48">
        <f t="shared" si="13"/>
        <v>107835</v>
      </c>
      <c r="D339" t="s">
        <v>8</v>
      </c>
      <c r="E339" s="190">
        <v>82950</v>
      </c>
      <c r="F339" s="212">
        <v>1.3</v>
      </c>
      <c r="G339" s="213">
        <v>45736</v>
      </c>
      <c r="H339" s="111" t="s">
        <v>407</v>
      </c>
    </row>
    <row r="340" spans="1:8" x14ac:dyDescent="0.25">
      <c r="A340" s="211" t="s">
        <v>1520</v>
      </c>
      <c r="B340" t="s">
        <v>2073</v>
      </c>
      <c r="C340" s="48">
        <f t="shared" si="13"/>
        <v>139165</v>
      </c>
      <c r="D340" t="s">
        <v>8</v>
      </c>
      <c r="E340" s="190">
        <v>107050</v>
      </c>
      <c r="F340" s="212">
        <v>1.3</v>
      </c>
      <c r="G340" s="213">
        <v>45737</v>
      </c>
      <c r="H340" s="111" t="s">
        <v>1515</v>
      </c>
    </row>
    <row r="341" spans="1:8" x14ac:dyDescent="0.25">
      <c r="A341" s="211" t="s">
        <v>1521</v>
      </c>
      <c r="B341" t="s">
        <v>2074</v>
      </c>
      <c r="C341" s="48">
        <f t="shared" si="13"/>
        <v>630.08400000000006</v>
      </c>
      <c r="D341" t="s">
        <v>114</v>
      </c>
      <c r="E341" s="190">
        <v>484.68</v>
      </c>
      <c r="F341" s="212">
        <v>1.3</v>
      </c>
      <c r="G341" s="213">
        <v>45751</v>
      </c>
      <c r="H341" s="111" t="s">
        <v>1531</v>
      </c>
    </row>
    <row r="342" spans="1:8" x14ac:dyDescent="0.25">
      <c r="A342" s="211" t="s">
        <v>1522</v>
      </c>
      <c r="B342" t="s">
        <v>2075</v>
      </c>
      <c r="C342" s="48">
        <f t="shared" si="13"/>
        <v>63722.541999999994</v>
      </c>
      <c r="D342" t="s">
        <v>114</v>
      </c>
      <c r="E342" s="215">
        <v>49017.34</v>
      </c>
      <c r="F342" s="212">
        <v>1.3</v>
      </c>
      <c r="G342" s="213">
        <v>45751</v>
      </c>
      <c r="H342" s="111" t="s">
        <v>1531</v>
      </c>
    </row>
    <row r="343" spans="1:8" x14ac:dyDescent="0.25">
      <c r="A343" s="211" t="s">
        <v>1523</v>
      </c>
      <c r="B343" t="s">
        <v>2076</v>
      </c>
      <c r="C343" s="48">
        <f t="shared" si="13"/>
        <v>211553.33333333334</v>
      </c>
      <c r="D343" t="s">
        <v>108</v>
      </c>
      <c r="E343" s="215">
        <f>488200/3</f>
        <v>162733.33333333334</v>
      </c>
      <c r="F343" s="212">
        <v>1.3</v>
      </c>
      <c r="G343" s="213">
        <v>45751</v>
      </c>
      <c r="H343" s="111" t="s">
        <v>1532</v>
      </c>
    </row>
    <row r="344" spans="1:8" x14ac:dyDescent="0.25">
      <c r="A344" s="211" t="s">
        <v>1524</v>
      </c>
      <c r="B344" t="s">
        <v>2077</v>
      </c>
      <c r="C344" s="48">
        <f t="shared" ref="C344:C352" si="14">E344*F344</f>
        <v>249471.30000000002</v>
      </c>
      <c r="D344" t="s">
        <v>8</v>
      </c>
      <c r="E344" s="190">
        <v>191901</v>
      </c>
      <c r="F344" s="212">
        <v>1.3</v>
      </c>
      <c r="G344" s="213">
        <v>45751</v>
      </c>
      <c r="H344" s="111" t="s">
        <v>1533</v>
      </c>
    </row>
    <row r="345" spans="1:8" x14ac:dyDescent="0.25">
      <c r="A345" s="211" t="s">
        <v>1525</v>
      </c>
      <c r="B345" t="s">
        <v>2078</v>
      </c>
      <c r="C345" s="48">
        <f t="shared" si="14"/>
        <v>4209.4000000000005</v>
      </c>
      <c r="D345" t="s">
        <v>113</v>
      </c>
      <c r="E345" s="190">
        <v>3238</v>
      </c>
      <c r="F345" s="212">
        <v>1.3</v>
      </c>
      <c r="G345" s="213">
        <v>45751</v>
      </c>
      <c r="H345" s="111" t="s">
        <v>1533</v>
      </c>
    </row>
    <row r="346" spans="1:8" x14ac:dyDescent="0.25">
      <c r="A346" s="211" t="s">
        <v>1526</v>
      </c>
      <c r="B346" t="s">
        <v>2079</v>
      </c>
      <c r="C346" s="48">
        <f t="shared" si="14"/>
        <v>20296.25</v>
      </c>
      <c r="D346" t="s">
        <v>108</v>
      </c>
      <c r="E346" s="190">
        <f>124900/8</f>
        <v>15612.5</v>
      </c>
      <c r="F346" s="212">
        <v>1.3</v>
      </c>
      <c r="G346" s="213">
        <v>45751</v>
      </c>
      <c r="H346" s="111" t="s">
        <v>1535</v>
      </c>
    </row>
    <row r="347" spans="1:8" x14ac:dyDescent="0.25">
      <c r="A347" s="211" t="s">
        <v>1527</v>
      </c>
      <c r="B347" t="s">
        <v>1536</v>
      </c>
      <c r="C347" s="48">
        <f t="shared" si="14"/>
        <v>54705.404000000002</v>
      </c>
      <c r="D347" t="s">
        <v>8</v>
      </c>
      <c r="E347" s="190">
        <v>42081.08</v>
      </c>
      <c r="F347" s="212">
        <v>1.3</v>
      </c>
      <c r="G347" s="213">
        <v>45751</v>
      </c>
      <c r="H347" s="111" t="s">
        <v>1542</v>
      </c>
    </row>
    <row r="348" spans="1:8" x14ac:dyDescent="0.25">
      <c r="A348" s="211" t="s">
        <v>1528</v>
      </c>
      <c r="B348" t="s">
        <v>1537</v>
      </c>
      <c r="C348" s="48">
        <f t="shared" si="14"/>
        <v>58080.958000000006</v>
      </c>
      <c r="D348" t="s">
        <v>8</v>
      </c>
      <c r="E348" s="190">
        <v>44677.66</v>
      </c>
      <c r="F348" s="212">
        <v>1.3</v>
      </c>
      <c r="G348" s="213">
        <v>45751</v>
      </c>
      <c r="H348" s="111" t="s">
        <v>1542</v>
      </c>
    </row>
    <row r="349" spans="1:8" x14ac:dyDescent="0.25">
      <c r="A349" s="211" t="s">
        <v>1555</v>
      </c>
      <c r="B349" t="s">
        <v>1538</v>
      </c>
      <c r="C349" s="48">
        <f t="shared" si="14"/>
        <v>70190.081000000006</v>
      </c>
      <c r="D349" t="s">
        <v>8</v>
      </c>
      <c r="E349" s="190">
        <v>53992.37</v>
      </c>
      <c r="F349" s="212">
        <v>1.3</v>
      </c>
      <c r="G349" s="213">
        <v>45751</v>
      </c>
      <c r="H349" s="111" t="s">
        <v>1542</v>
      </c>
    </row>
    <row r="350" spans="1:8" x14ac:dyDescent="0.25">
      <c r="A350" s="211" t="s">
        <v>1529</v>
      </c>
      <c r="B350" t="s">
        <v>1539</v>
      </c>
      <c r="C350" s="48">
        <f t="shared" si="14"/>
        <v>75440.95</v>
      </c>
      <c r="D350" t="s">
        <v>8</v>
      </c>
      <c r="E350" s="190">
        <v>58031.5</v>
      </c>
      <c r="F350" s="212">
        <v>1.3</v>
      </c>
      <c r="G350" s="213">
        <v>45751</v>
      </c>
      <c r="H350" s="111" t="s">
        <v>1542</v>
      </c>
    </row>
    <row r="351" spans="1:8" x14ac:dyDescent="0.25">
      <c r="A351" s="211" t="s">
        <v>1530</v>
      </c>
      <c r="B351" t="s">
        <v>1540</v>
      </c>
      <c r="C351" s="48">
        <f t="shared" si="14"/>
        <v>4349.0460000000003</v>
      </c>
      <c r="D351" t="s">
        <v>8</v>
      </c>
      <c r="E351" s="190">
        <v>3345.42</v>
      </c>
      <c r="F351" s="212">
        <v>1.3</v>
      </c>
      <c r="G351" s="213">
        <v>45751</v>
      </c>
      <c r="H351" s="111" t="s">
        <v>1542</v>
      </c>
    </row>
    <row r="352" spans="1:8" x14ac:dyDescent="0.25">
      <c r="A352" s="211" t="s">
        <v>1547</v>
      </c>
      <c r="B352" t="s">
        <v>1541</v>
      </c>
      <c r="C352" s="48">
        <f t="shared" si="14"/>
        <v>427901.14899999998</v>
      </c>
      <c r="D352" t="s">
        <v>114</v>
      </c>
      <c r="E352" s="190">
        <v>329154.73</v>
      </c>
      <c r="F352" s="212">
        <v>1.3</v>
      </c>
      <c r="G352" s="213">
        <v>45751</v>
      </c>
      <c r="H352" s="111" t="s">
        <v>1542</v>
      </c>
    </row>
    <row r="353" spans="1:8" x14ac:dyDescent="0.25">
      <c r="A353" s="211" t="s">
        <v>1548</v>
      </c>
      <c r="B353" t="s">
        <v>1543</v>
      </c>
      <c r="C353" s="48">
        <f t="shared" ref="C353:C359" si="15">E353*F353</f>
        <v>361.15300000000002</v>
      </c>
      <c r="D353" t="s">
        <v>8</v>
      </c>
      <c r="E353" s="190">
        <v>277.81</v>
      </c>
      <c r="F353" s="212">
        <v>1.3</v>
      </c>
      <c r="G353" s="213">
        <v>45751</v>
      </c>
      <c r="H353" s="111" t="s">
        <v>1551</v>
      </c>
    </row>
    <row r="354" spans="1:8" x14ac:dyDescent="0.25">
      <c r="A354" s="211" t="s">
        <v>1549</v>
      </c>
      <c r="B354" t="s">
        <v>1544</v>
      </c>
      <c r="C354" s="48">
        <f t="shared" si="15"/>
        <v>371606.14400000003</v>
      </c>
      <c r="D354" t="s">
        <v>114</v>
      </c>
      <c r="E354" s="190">
        <v>285850.88</v>
      </c>
      <c r="F354" s="212">
        <v>1.3</v>
      </c>
      <c r="G354" s="213">
        <v>45751</v>
      </c>
      <c r="H354" s="111" t="s">
        <v>1551</v>
      </c>
    </row>
    <row r="355" spans="1:8" x14ac:dyDescent="0.25">
      <c r="A355" s="211" t="s">
        <v>1550</v>
      </c>
      <c r="B355" t="s">
        <v>1545</v>
      </c>
      <c r="C355" s="48">
        <f t="shared" si="15"/>
        <v>2527.0440000000003</v>
      </c>
      <c r="D355" t="s">
        <v>1387</v>
      </c>
      <c r="E355" s="190">
        <v>1943.88</v>
      </c>
      <c r="F355" s="212">
        <v>1.3</v>
      </c>
      <c r="G355" s="213">
        <v>45751</v>
      </c>
      <c r="H355" s="111" t="s">
        <v>1551</v>
      </c>
    </row>
    <row r="356" spans="1:8" x14ac:dyDescent="0.25">
      <c r="A356" s="211" t="s">
        <v>1553</v>
      </c>
      <c r="B356" t="s">
        <v>1546</v>
      </c>
      <c r="C356" s="48">
        <f t="shared" si="15"/>
        <v>2872.0380000000005</v>
      </c>
      <c r="D356" t="s">
        <v>1387</v>
      </c>
      <c r="E356" s="190">
        <v>2209.2600000000002</v>
      </c>
      <c r="F356" s="212">
        <v>1.3</v>
      </c>
      <c r="G356" s="213">
        <v>45751</v>
      </c>
      <c r="H356" s="111" t="s">
        <v>1551</v>
      </c>
    </row>
    <row r="357" spans="1:8" x14ac:dyDescent="0.25">
      <c r="A357" s="211" t="s">
        <v>1557</v>
      </c>
      <c r="B357" t="s">
        <v>1552</v>
      </c>
      <c r="C357" s="48">
        <f t="shared" si="15"/>
        <v>136849.908</v>
      </c>
      <c r="D357" t="s">
        <v>113</v>
      </c>
      <c r="E357" s="190">
        <v>105269.16</v>
      </c>
      <c r="F357" s="212">
        <v>1.3</v>
      </c>
      <c r="G357" s="213">
        <v>45752</v>
      </c>
      <c r="H357" s="111" t="s">
        <v>1554</v>
      </c>
    </row>
    <row r="358" spans="1:8" x14ac:dyDescent="0.25">
      <c r="A358" s="211" t="s">
        <v>1560</v>
      </c>
      <c r="B358" t="s">
        <v>2780</v>
      </c>
      <c r="C358" s="48">
        <f t="shared" si="15"/>
        <v>153553.4</v>
      </c>
      <c r="D358" t="s">
        <v>8</v>
      </c>
      <c r="E358" s="190">
        <v>118118</v>
      </c>
      <c r="F358" s="212">
        <v>1.3</v>
      </c>
      <c r="G358" s="213">
        <v>45752</v>
      </c>
      <c r="H358" t="s">
        <v>1556</v>
      </c>
    </row>
    <row r="359" spans="1:8" x14ac:dyDescent="0.25">
      <c r="A359" s="211" t="s">
        <v>1561</v>
      </c>
      <c r="B359" t="s">
        <v>2781</v>
      </c>
      <c r="C359" s="48">
        <f t="shared" si="15"/>
        <v>80405</v>
      </c>
      <c r="D359" t="s">
        <v>8</v>
      </c>
      <c r="E359" s="190">
        <v>61850</v>
      </c>
      <c r="F359" s="212">
        <v>1.3</v>
      </c>
      <c r="G359" s="213">
        <v>45755</v>
      </c>
      <c r="H359" s="111" t="s">
        <v>2782</v>
      </c>
    </row>
    <row r="360" spans="1:8" x14ac:dyDescent="0.25">
      <c r="A360" s="211" t="s">
        <v>1562</v>
      </c>
      <c r="B360" t="s">
        <v>1558</v>
      </c>
      <c r="C360" s="48">
        <f t="shared" ref="C360:C365" si="16">E360*F360</f>
        <v>404281.8</v>
      </c>
      <c r="D360" t="s">
        <v>114</v>
      </c>
      <c r="E360" s="190">
        <v>310986</v>
      </c>
      <c r="F360" s="212">
        <v>1.3</v>
      </c>
      <c r="G360" s="213">
        <v>45755</v>
      </c>
      <c r="H360" s="111" t="s">
        <v>1564</v>
      </c>
    </row>
    <row r="361" spans="1:8" x14ac:dyDescent="0.25">
      <c r="A361" s="211" t="s">
        <v>1563</v>
      </c>
      <c r="B361" t="s">
        <v>1559</v>
      </c>
      <c r="C361" s="48">
        <f t="shared" si="16"/>
        <v>58500</v>
      </c>
      <c r="D361" t="s">
        <v>132</v>
      </c>
      <c r="E361" s="190">
        <v>45000</v>
      </c>
      <c r="F361" s="212">
        <v>1.3</v>
      </c>
      <c r="G361" s="213">
        <v>45755</v>
      </c>
      <c r="H361" s="111" t="s">
        <v>1564</v>
      </c>
    </row>
    <row r="362" spans="1:8" x14ac:dyDescent="0.25">
      <c r="A362" s="211" t="s">
        <v>2161</v>
      </c>
      <c r="B362" t="s">
        <v>1572</v>
      </c>
      <c r="C362" s="48">
        <f t="shared" si="16"/>
        <v>1435500000</v>
      </c>
      <c r="D362" t="s">
        <v>8</v>
      </c>
      <c r="E362" s="190">
        <f>290000*'Precio Monedas'!B2</f>
        <v>1305000000</v>
      </c>
      <c r="F362" s="212">
        <v>1.1000000000000001</v>
      </c>
      <c r="G362" s="213">
        <v>45755</v>
      </c>
      <c r="H362" s="78" t="s">
        <v>1117</v>
      </c>
    </row>
    <row r="363" spans="1:8" x14ac:dyDescent="0.25">
      <c r="A363" s="211" t="s">
        <v>1565</v>
      </c>
      <c r="B363" t="s">
        <v>1573</v>
      </c>
      <c r="C363" s="48">
        <f t="shared" si="16"/>
        <v>423577026.56732506</v>
      </c>
      <c r="D363" t="s">
        <v>8</v>
      </c>
      <c r="E363" s="190">
        <f>40490*IPP!C273*'Precio Monedas'!B2*1.3*1.19</f>
        <v>352980855.47277087</v>
      </c>
      <c r="F363" s="212">
        <v>1.2</v>
      </c>
      <c r="G363" s="213">
        <v>45695</v>
      </c>
      <c r="H363" s="77" t="s">
        <v>1574</v>
      </c>
    </row>
    <row r="364" spans="1:8" x14ac:dyDescent="0.25">
      <c r="A364" s="211" t="s">
        <v>1578</v>
      </c>
      <c r="B364" t="s">
        <v>2254</v>
      </c>
      <c r="C364" s="48">
        <f t="shared" ref="C364" si="17">E364*F364</f>
        <v>423577026.56732506</v>
      </c>
      <c r="D364" t="s">
        <v>8</v>
      </c>
      <c r="E364" s="190">
        <f>40490*IPP!C273*'Precio Monedas'!B2*1.3*1.19</f>
        <v>352980855.47277087</v>
      </c>
      <c r="F364" s="212">
        <v>1.2</v>
      </c>
      <c r="G364" s="213">
        <v>45695</v>
      </c>
      <c r="H364" s="77" t="s">
        <v>1574</v>
      </c>
    </row>
    <row r="365" spans="1:8" x14ac:dyDescent="0.25">
      <c r="A365" s="211" t="s">
        <v>1579</v>
      </c>
      <c r="B365" t="s">
        <v>1575</v>
      </c>
      <c r="C365" s="48">
        <f t="shared" si="16"/>
        <v>423577026.56732506</v>
      </c>
      <c r="D365" t="s">
        <v>8</v>
      </c>
      <c r="E365" s="190">
        <f>40490*IPP!C273*'Precio Monedas'!B2*1.3*1.19</f>
        <v>352980855.47277087</v>
      </c>
      <c r="F365" s="212">
        <v>1.2</v>
      </c>
      <c r="G365" s="213">
        <v>45695</v>
      </c>
      <c r="H365" s="77" t="s">
        <v>1574</v>
      </c>
    </row>
    <row r="366" spans="1:8" x14ac:dyDescent="0.25">
      <c r="A366" s="211" t="s">
        <v>1585</v>
      </c>
      <c r="B366" t="s">
        <v>1741</v>
      </c>
      <c r="C366" s="48">
        <f t="shared" ref="C366:C367" si="18">E366*F366</f>
        <v>325828481.97486538</v>
      </c>
      <c r="D366" t="s">
        <v>8</v>
      </c>
      <c r="E366" s="190">
        <f>40490*IPP!C273*'Precio Monedas'!B2*1.19</f>
        <v>271523734.97905451</v>
      </c>
      <c r="F366" s="212">
        <v>1.2</v>
      </c>
      <c r="G366" s="213">
        <v>45695</v>
      </c>
      <c r="H366" s="77" t="s">
        <v>1574</v>
      </c>
    </row>
    <row r="367" spans="1:8" x14ac:dyDescent="0.25">
      <c r="A367" s="211" t="s">
        <v>1598</v>
      </c>
      <c r="B367" t="s">
        <v>1740</v>
      </c>
      <c r="C367" s="48">
        <f t="shared" si="18"/>
        <v>325828481.97486538</v>
      </c>
      <c r="D367" t="s">
        <v>8</v>
      </c>
      <c r="E367" s="190">
        <f>40490*IPP!C273*'Precio Monedas'!B2*1.19</f>
        <v>271523734.97905451</v>
      </c>
      <c r="F367" s="212">
        <v>1.2</v>
      </c>
      <c r="G367" s="213">
        <v>45695</v>
      </c>
      <c r="H367" s="77" t="s">
        <v>1574</v>
      </c>
    </row>
    <row r="368" spans="1:8" x14ac:dyDescent="0.25">
      <c r="A368" s="211" t="s">
        <v>1599</v>
      </c>
      <c r="B368" t="s">
        <v>1576</v>
      </c>
      <c r="C368" s="48">
        <f>E368*F368</f>
        <v>23776200</v>
      </c>
      <c r="D368" t="s">
        <v>8</v>
      </c>
      <c r="E368" s="190">
        <f>3700*'Precio Monedas'!B2*1.19</f>
        <v>19813500</v>
      </c>
      <c r="F368" s="212">
        <v>1.2</v>
      </c>
      <c r="G368" s="213">
        <v>45695</v>
      </c>
      <c r="H368" s="77" t="s">
        <v>1574</v>
      </c>
    </row>
    <row r="369" spans="1:8" x14ac:dyDescent="0.25">
      <c r="A369" s="211" t="s">
        <v>1601</v>
      </c>
      <c r="B369" t="s">
        <v>1577</v>
      </c>
      <c r="C369" s="48">
        <f>E369*F369</f>
        <v>23776200</v>
      </c>
      <c r="D369" t="s">
        <v>8</v>
      </c>
      <c r="E369" s="190">
        <f>3700*'Precio Monedas'!B2*1.19</f>
        <v>19813500</v>
      </c>
      <c r="F369" s="212">
        <v>1.2</v>
      </c>
      <c r="G369" s="213">
        <v>45695</v>
      </c>
      <c r="H369" s="77" t="s">
        <v>1574</v>
      </c>
    </row>
    <row r="370" spans="1:8" x14ac:dyDescent="0.25">
      <c r="A370" s="211" t="s">
        <v>1602</v>
      </c>
      <c r="B370" t="s">
        <v>192</v>
      </c>
      <c r="C370" s="48">
        <f t="shared" ref="C370" si="19">E370*F370</f>
        <v>24897600</v>
      </c>
      <c r="D370" t="s">
        <v>8</v>
      </c>
      <c r="E370" s="190">
        <f>4256*'Precio Monedas'!B2</f>
        <v>19152000</v>
      </c>
      <c r="F370" s="212">
        <v>1.3</v>
      </c>
      <c r="G370" s="213">
        <v>45757</v>
      </c>
      <c r="H370" s="111" t="s">
        <v>1584</v>
      </c>
    </row>
    <row r="371" spans="1:8" x14ac:dyDescent="0.25">
      <c r="A371" s="211" t="s">
        <v>1605</v>
      </c>
      <c r="B371" t="s">
        <v>2080</v>
      </c>
      <c r="C371" s="48">
        <f t="shared" ref="C371:C379" si="20">E371*F371</f>
        <v>16748.333333333336</v>
      </c>
      <c r="D371" t="s">
        <v>108</v>
      </c>
      <c r="E371" s="190">
        <f>38650/3</f>
        <v>12883.333333333334</v>
      </c>
      <c r="F371" s="212">
        <v>1.3</v>
      </c>
      <c r="G371" s="213">
        <v>45776</v>
      </c>
      <c r="H371" s="111" t="s">
        <v>1600</v>
      </c>
    </row>
    <row r="372" spans="1:8" x14ac:dyDescent="0.25">
      <c r="A372" s="211" t="s">
        <v>1606</v>
      </c>
      <c r="B372" t="s">
        <v>2081</v>
      </c>
      <c r="C372" s="48">
        <f t="shared" si="20"/>
        <v>2470</v>
      </c>
      <c r="D372" t="s">
        <v>8</v>
      </c>
      <c r="E372" s="190">
        <v>1900</v>
      </c>
      <c r="F372" s="212">
        <v>1.3</v>
      </c>
      <c r="G372" s="213">
        <v>45776</v>
      </c>
      <c r="H372" s="111" t="s">
        <v>1603</v>
      </c>
    </row>
    <row r="373" spans="1:8" x14ac:dyDescent="0.25">
      <c r="A373" s="211" t="s">
        <v>1610</v>
      </c>
      <c r="B373" t="s">
        <v>2082</v>
      </c>
      <c r="C373" s="48">
        <f t="shared" si="20"/>
        <v>1495</v>
      </c>
      <c r="D373" t="s">
        <v>8</v>
      </c>
      <c r="E373" s="190">
        <v>1150</v>
      </c>
      <c r="F373" s="212">
        <v>1.3</v>
      </c>
      <c r="G373" s="213">
        <v>45776</v>
      </c>
      <c r="H373" s="111" t="s">
        <v>1604</v>
      </c>
    </row>
    <row r="374" spans="1:8" x14ac:dyDescent="0.25">
      <c r="A374" s="211" t="s">
        <v>1612</v>
      </c>
      <c r="B374" t="s">
        <v>2083</v>
      </c>
      <c r="C374" s="48">
        <f t="shared" si="20"/>
        <v>4095</v>
      </c>
      <c r="D374" t="s">
        <v>8</v>
      </c>
      <c r="E374" s="190">
        <v>3150</v>
      </c>
      <c r="F374" s="212">
        <v>1.3</v>
      </c>
      <c r="G374" s="213">
        <v>45776</v>
      </c>
      <c r="H374" s="111" t="s">
        <v>1607</v>
      </c>
    </row>
    <row r="375" spans="1:8" x14ac:dyDescent="0.25">
      <c r="A375" s="211" t="s">
        <v>1614</v>
      </c>
      <c r="B375" t="s">
        <v>1608</v>
      </c>
      <c r="C375" s="48">
        <f t="shared" si="20"/>
        <v>21448.7</v>
      </c>
      <c r="D375" t="s">
        <v>8</v>
      </c>
      <c r="E375" s="190">
        <v>16499</v>
      </c>
      <c r="F375" s="212">
        <v>1.3</v>
      </c>
      <c r="G375" s="213">
        <v>45776</v>
      </c>
      <c r="H375" s="111" t="s">
        <v>1609</v>
      </c>
    </row>
    <row r="376" spans="1:8" x14ac:dyDescent="0.25">
      <c r="A376" s="211" t="s">
        <v>1616</v>
      </c>
      <c r="B376" t="s">
        <v>2084</v>
      </c>
      <c r="C376" s="48">
        <f t="shared" si="20"/>
        <v>13260</v>
      </c>
      <c r="D376" t="s">
        <v>108</v>
      </c>
      <c r="E376" s="190">
        <v>10200</v>
      </c>
      <c r="F376" s="212">
        <v>1.3</v>
      </c>
      <c r="G376" s="213">
        <v>45776</v>
      </c>
      <c r="H376" s="111" t="s">
        <v>1611</v>
      </c>
    </row>
    <row r="377" spans="1:8" x14ac:dyDescent="0.25">
      <c r="A377" s="211" t="s">
        <v>1619</v>
      </c>
      <c r="B377" t="s">
        <v>2085</v>
      </c>
      <c r="C377" s="48">
        <f t="shared" si="20"/>
        <v>104000</v>
      </c>
      <c r="D377" t="s">
        <v>8</v>
      </c>
      <c r="E377" s="190">
        <v>80000</v>
      </c>
      <c r="F377" s="212">
        <v>1.3</v>
      </c>
      <c r="G377" s="213">
        <v>45776</v>
      </c>
      <c r="H377" s="111" t="s">
        <v>1613</v>
      </c>
    </row>
    <row r="378" spans="1:8" x14ac:dyDescent="0.25">
      <c r="A378" s="211" t="s">
        <v>1620</v>
      </c>
      <c r="B378" t="s">
        <v>1617</v>
      </c>
      <c r="C378" s="48">
        <f t="shared" si="20"/>
        <v>4753045</v>
      </c>
      <c r="D378" t="s">
        <v>8</v>
      </c>
      <c r="E378" s="190">
        <v>4320950</v>
      </c>
      <c r="F378" s="212">
        <v>1.1000000000000001</v>
      </c>
      <c r="G378" s="213">
        <v>45776</v>
      </c>
      <c r="H378" s="111" t="s">
        <v>1615</v>
      </c>
    </row>
    <row r="379" spans="1:8" x14ac:dyDescent="0.25">
      <c r="A379" s="211" t="s">
        <v>1623</v>
      </c>
      <c r="B379" t="s">
        <v>2086</v>
      </c>
      <c r="C379" s="48">
        <f t="shared" si="20"/>
        <v>101140</v>
      </c>
      <c r="D379" t="s">
        <v>8</v>
      </c>
      <c r="E379" s="190">
        <v>77800</v>
      </c>
      <c r="F379" s="212">
        <v>1.3</v>
      </c>
      <c r="G379" s="213">
        <v>45776</v>
      </c>
      <c r="H379" s="111" t="s">
        <v>1618</v>
      </c>
    </row>
    <row r="380" spans="1:8" x14ac:dyDescent="0.25">
      <c r="A380" s="211" t="s">
        <v>1625</v>
      </c>
      <c r="B380" t="s">
        <v>2087</v>
      </c>
      <c r="C380" s="48">
        <f t="shared" ref="C380:C382" si="21">E380*F380</f>
        <v>97240</v>
      </c>
      <c r="D380" t="s">
        <v>8</v>
      </c>
      <c r="E380" s="190">
        <v>74800</v>
      </c>
      <c r="F380" s="212">
        <v>1.3</v>
      </c>
      <c r="G380" s="213">
        <v>45776</v>
      </c>
      <c r="H380" s="111" t="s">
        <v>1621</v>
      </c>
    </row>
    <row r="381" spans="1:8" x14ac:dyDescent="0.25">
      <c r="A381" s="211" t="s">
        <v>1626</v>
      </c>
      <c r="B381" t="s">
        <v>2088</v>
      </c>
      <c r="C381" s="48">
        <f t="shared" si="21"/>
        <v>7280</v>
      </c>
      <c r="D381" t="s">
        <v>8</v>
      </c>
      <c r="E381" s="190">
        <v>5600</v>
      </c>
      <c r="F381" s="212">
        <v>1.3</v>
      </c>
      <c r="G381" s="213">
        <v>45776</v>
      </c>
      <c r="H381" s="111" t="s">
        <v>1622</v>
      </c>
    </row>
    <row r="382" spans="1:8" x14ac:dyDescent="0.25">
      <c r="A382" s="211" t="s">
        <v>1627</v>
      </c>
      <c r="B382" t="s">
        <v>2089</v>
      </c>
      <c r="C382" s="48">
        <f t="shared" si="21"/>
        <v>11570</v>
      </c>
      <c r="D382" t="s">
        <v>8</v>
      </c>
      <c r="E382" s="190">
        <v>8900</v>
      </c>
      <c r="F382" s="212">
        <v>1.3</v>
      </c>
      <c r="G382" s="213">
        <v>45776</v>
      </c>
      <c r="H382" s="111" t="s">
        <v>1624</v>
      </c>
    </row>
    <row r="383" spans="1:8" x14ac:dyDescent="0.25">
      <c r="A383" s="211" t="s">
        <v>1629</v>
      </c>
      <c r="B383" t="s">
        <v>2443</v>
      </c>
      <c r="C383" s="48">
        <f t="shared" ref="C383:C386" si="22">E383*F383</f>
        <v>9205170</v>
      </c>
      <c r="D383" t="s">
        <v>8</v>
      </c>
      <c r="E383" s="190">
        <v>7080900</v>
      </c>
      <c r="F383" s="212">
        <v>1.3</v>
      </c>
      <c r="G383" s="213">
        <v>45776</v>
      </c>
      <c r="H383" s="111" t="s">
        <v>2451</v>
      </c>
    </row>
    <row r="384" spans="1:8" x14ac:dyDescent="0.25">
      <c r="A384" s="211" t="s">
        <v>1630</v>
      </c>
      <c r="B384" t="s">
        <v>2442</v>
      </c>
      <c r="C384" s="48">
        <f t="shared" si="22"/>
        <v>14781000</v>
      </c>
      <c r="D384" t="s">
        <v>8</v>
      </c>
      <c r="E384" s="190">
        <v>11370000</v>
      </c>
      <c r="F384" s="212">
        <v>1.3</v>
      </c>
      <c r="G384" s="213">
        <v>45776</v>
      </c>
      <c r="H384" s="111" t="s">
        <v>2452</v>
      </c>
    </row>
    <row r="385" spans="1:8" x14ac:dyDescent="0.25">
      <c r="A385" s="211" t="s">
        <v>1633</v>
      </c>
      <c r="B385" t="s">
        <v>2090</v>
      </c>
      <c r="C385" s="48">
        <f t="shared" si="22"/>
        <v>55386.5</v>
      </c>
      <c r="D385" t="s">
        <v>8</v>
      </c>
      <c r="E385" s="190">
        <v>42605</v>
      </c>
      <c r="F385" s="212">
        <v>1.3</v>
      </c>
      <c r="G385" s="213">
        <v>45776</v>
      </c>
      <c r="H385" s="111" t="s">
        <v>1628</v>
      </c>
    </row>
    <row r="386" spans="1:8" ht="17.25" customHeight="1" x14ac:dyDescent="0.25">
      <c r="A386" s="211" t="s">
        <v>1634</v>
      </c>
      <c r="B386" t="s">
        <v>2091</v>
      </c>
      <c r="C386" s="48">
        <f t="shared" si="22"/>
        <v>833040</v>
      </c>
      <c r="D386" t="s">
        <v>8</v>
      </c>
      <c r="E386" s="190">
        <v>640800</v>
      </c>
      <c r="F386" s="212">
        <v>1.3</v>
      </c>
      <c r="G386" s="213">
        <v>45777</v>
      </c>
      <c r="H386" s="111" t="s">
        <v>1631</v>
      </c>
    </row>
    <row r="387" spans="1:8" x14ac:dyDescent="0.25">
      <c r="A387" s="211" t="s">
        <v>1637</v>
      </c>
      <c r="B387" t="s">
        <v>2092</v>
      </c>
      <c r="C387" s="48">
        <f t="shared" ref="C387:C388" si="23">E387*F387</f>
        <v>133900</v>
      </c>
      <c r="D387" t="s">
        <v>8</v>
      </c>
      <c r="E387" s="190">
        <v>103000</v>
      </c>
      <c r="F387" s="212">
        <v>1.3</v>
      </c>
      <c r="G387" s="213">
        <v>45777</v>
      </c>
      <c r="H387" s="111" t="s">
        <v>1632</v>
      </c>
    </row>
    <row r="388" spans="1:8" x14ac:dyDescent="0.25">
      <c r="A388" s="211" t="s">
        <v>1638</v>
      </c>
      <c r="B388" t="s">
        <v>1635</v>
      </c>
      <c r="C388" s="48">
        <f t="shared" si="23"/>
        <v>9100000</v>
      </c>
      <c r="D388" t="s">
        <v>8</v>
      </c>
      <c r="E388" s="190">
        <v>7000000</v>
      </c>
      <c r="F388" s="212">
        <v>1.3</v>
      </c>
      <c r="G388" s="213">
        <v>45695</v>
      </c>
      <c r="H388" s="77" t="s">
        <v>318</v>
      </c>
    </row>
    <row r="389" spans="1:8" x14ac:dyDescent="0.25">
      <c r="A389" s="211" t="s">
        <v>1639</v>
      </c>
      <c r="B389" t="s">
        <v>2093</v>
      </c>
      <c r="C389" s="48">
        <f t="shared" ref="C389:C392" si="24">E389*F389</f>
        <v>51740</v>
      </c>
      <c r="D389" t="s">
        <v>108</v>
      </c>
      <c r="E389" s="190">
        <v>39800</v>
      </c>
      <c r="F389" s="212">
        <v>1.3</v>
      </c>
      <c r="G389" s="213">
        <v>45777</v>
      </c>
      <c r="H389" s="111" t="s">
        <v>1636</v>
      </c>
    </row>
    <row r="390" spans="1:8" x14ac:dyDescent="0.25">
      <c r="A390" s="211" t="s">
        <v>1640</v>
      </c>
      <c r="B390" t="s">
        <v>2094</v>
      </c>
      <c r="C390" s="48">
        <f t="shared" si="24"/>
        <v>5200</v>
      </c>
      <c r="D390" t="s">
        <v>108</v>
      </c>
      <c r="E390" s="190">
        <f>200000/50</f>
        <v>4000</v>
      </c>
      <c r="F390" s="212">
        <v>1.3</v>
      </c>
      <c r="G390" s="213">
        <v>45777</v>
      </c>
      <c r="H390" s="111" t="s">
        <v>1199</v>
      </c>
    </row>
    <row r="391" spans="1:8" x14ac:dyDescent="0.25">
      <c r="A391" s="211" t="s">
        <v>1651</v>
      </c>
      <c r="B391" t="s">
        <v>1641</v>
      </c>
      <c r="C391" s="48">
        <f t="shared" si="24"/>
        <v>7995</v>
      </c>
      <c r="D391" t="s">
        <v>8</v>
      </c>
      <c r="E391" s="190">
        <v>6150</v>
      </c>
      <c r="F391" s="212">
        <v>1.3</v>
      </c>
      <c r="G391" s="213">
        <v>45777</v>
      </c>
      <c r="H391" s="111" t="s">
        <v>1250</v>
      </c>
    </row>
    <row r="392" spans="1:8" x14ac:dyDescent="0.25">
      <c r="A392" s="211" t="s">
        <v>1652</v>
      </c>
      <c r="B392" t="s">
        <v>1644</v>
      </c>
      <c r="C392" s="48">
        <f t="shared" si="24"/>
        <v>224160.30000000002</v>
      </c>
      <c r="D392" t="s">
        <v>8</v>
      </c>
      <c r="E392" s="190">
        <v>172431</v>
      </c>
      <c r="F392" s="212">
        <v>1.3</v>
      </c>
      <c r="G392" s="213">
        <v>45777</v>
      </c>
      <c r="H392" s="111" t="s">
        <v>1643</v>
      </c>
    </row>
    <row r="393" spans="1:8" x14ac:dyDescent="0.25">
      <c r="A393" s="211" t="s">
        <v>1654</v>
      </c>
      <c r="B393" t="s">
        <v>1649</v>
      </c>
      <c r="C393" s="48">
        <f t="shared" ref="C393" si="25">E393*F393</f>
        <v>100175.60532393273</v>
      </c>
      <c r="D393" t="s">
        <v>108</v>
      </c>
      <c r="E393" s="190">
        <f>73703*IPP!C296</f>
        <v>77058.157941486716</v>
      </c>
      <c r="F393" s="212">
        <v>1.3</v>
      </c>
      <c r="G393" s="213">
        <v>45779</v>
      </c>
      <c r="H393" s="111" t="s">
        <v>1648</v>
      </c>
    </row>
    <row r="394" spans="1:8" x14ac:dyDescent="0.25">
      <c r="A394" s="211" t="s">
        <v>1656</v>
      </c>
      <c r="B394" t="s">
        <v>1650</v>
      </c>
      <c r="C394" s="48">
        <f t="shared" ref="C394:C398" si="26">E394*F394</f>
        <v>202788.34332105418</v>
      </c>
      <c r="D394" t="s">
        <v>108</v>
      </c>
      <c r="E394" s="190">
        <f>146151*IPP!C297</f>
        <v>155991.03332388782</v>
      </c>
      <c r="F394" s="212">
        <v>1.3</v>
      </c>
      <c r="G394" s="213">
        <v>45779</v>
      </c>
      <c r="H394" s="111" t="s">
        <v>1648</v>
      </c>
    </row>
    <row r="395" spans="1:8" x14ac:dyDescent="0.25">
      <c r="A395" s="211" t="s">
        <v>1665</v>
      </c>
      <c r="B395" t="s">
        <v>1653</v>
      </c>
      <c r="C395" s="48">
        <f t="shared" si="26"/>
        <v>87360</v>
      </c>
      <c r="D395" t="s">
        <v>8</v>
      </c>
      <c r="E395" s="190">
        <f>67200</f>
        <v>67200</v>
      </c>
      <c r="F395" s="212">
        <v>1.3</v>
      </c>
      <c r="G395" s="213">
        <v>45706</v>
      </c>
      <c r="H395" s="111" t="s">
        <v>1085</v>
      </c>
    </row>
    <row r="396" spans="1:8" x14ac:dyDescent="0.25">
      <c r="A396" s="211" t="s">
        <v>1666</v>
      </c>
      <c r="B396" t="s">
        <v>1657</v>
      </c>
      <c r="C396" s="48">
        <f t="shared" si="26"/>
        <v>164255</v>
      </c>
      <c r="D396" t="s">
        <v>8</v>
      </c>
      <c r="E396" s="190">
        <v>126350</v>
      </c>
      <c r="F396" s="212">
        <v>1.3</v>
      </c>
      <c r="G396" s="213">
        <v>45779</v>
      </c>
      <c r="H396" s="111" t="s">
        <v>1655</v>
      </c>
    </row>
    <row r="397" spans="1:8" x14ac:dyDescent="0.25">
      <c r="A397" s="211" t="s">
        <v>1668</v>
      </c>
      <c r="B397" t="s">
        <v>2095</v>
      </c>
      <c r="C397" s="48">
        <f t="shared" si="26"/>
        <v>1170</v>
      </c>
      <c r="D397" t="s">
        <v>8</v>
      </c>
      <c r="E397" s="190">
        <v>900</v>
      </c>
      <c r="F397" s="212">
        <v>1.3</v>
      </c>
      <c r="G397" s="213">
        <v>45785</v>
      </c>
      <c r="H397" s="111" t="s">
        <v>1664</v>
      </c>
    </row>
    <row r="398" spans="1:8" x14ac:dyDescent="0.25">
      <c r="A398" s="211" t="s">
        <v>1676</v>
      </c>
      <c r="B398" t="s">
        <v>2544</v>
      </c>
      <c r="C398" s="48">
        <f t="shared" si="26"/>
        <v>2614287</v>
      </c>
      <c r="D398" t="s">
        <v>8</v>
      </c>
      <c r="E398" s="190">
        <v>2010990</v>
      </c>
      <c r="F398" s="212">
        <v>1.3</v>
      </c>
      <c r="G398" s="213">
        <v>45785</v>
      </c>
      <c r="H398" s="111" t="s">
        <v>2545</v>
      </c>
    </row>
    <row r="399" spans="1:8" x14ac:dyDescent="0.25">
      <c r="A399" s="211" t="s">
        <v>1677</v>
      </c>
      <c r="B399" t="s">
        <v>1669</v>
      </c>
      <c r="C399" s="48">
        <f t="shared" ref="C399:C400" si="27">E399*F399</f>
        <v>123500</v>
      </c>
      <c r="D399" t="s">
        <v>8</v>
      </c>
      <c r="E399" s="190">
        <v>95000</v>
      </c>
      <c r="F399" s="212">
        <v>1.3</v>
      </c>
      <c r="G399" s="213">
        <v>45785</v>
      </c>
      <c r="H399" s="111" t="s">
        <v>1667</v>
      </c>
    </row>
    <row r="400" spans="1:8" x14ac:dyDescent="0.25">
      <c r="A400" s="211" t="s">
        <v>1680</v>
      </c>
      <c r="B400" t="s">
        <v>2096</v>
      </c>
      <c r="C400" s="48">
        <f t="shared" si="27"/>
        <v>1170</v>
      </c>
      <c r="D400" t="s">
        <v>8</v>
      </c>
      <c r="E400" s="190">
        <v>900</v>
      </c>
      <c r="F400" s="212">
        <v>1.3</v>
      </c>
      <c r="G400" s="213">
        <v>45789</v>
      </c>
      <c r="H400" s="111" t="s">
        <v>1675</v>
      </c>
    </row>
    <row r="401" spans="1:8" x14ac:dyDescent="0.25">
      <c r="A401" s="211" t="s">
        <v>1682</v>
      </c>
      <c r="B401" t="s">
        <v>2097</v>
      </c>
      <c r="C401" s="48">
        <f t="shared" ref="C401:C405" si="28">E401*F401</f>
        <v>1040</v>
      </c>
      <c r="D401" t="s">
        <v>8</v>
      </c>
      <c r="E401" s="190">
        <v>800</v>
      </c>
      <c r="F401" s="212">
        <v>1.3</v>
      </c>
      <c r="G401" s="213">
        <v>45789</v>
      </c>
      <c r="H401" s="111" t="s">
        <v>1001</v>
      </c>
    </row>
    <row r="402" spans="1:8" x14ac:dyDescent="0.25">
      <c r="A402" s="211" t="s">
        <v>1684</v>
      </c>
      <c r="B402" t="s">
        <v>2098</v>
      </c>
      <c r="C402" s="48">
        <f t="shared" si="28"/>
        <v>36021.651250000003</v>
      </c>
      <c r="D402" t="s">
        <v>108</v>
      </c>
      <c r="E402" s="190">
        <f>481895*1.15/20</f>
        <v>27708.962500000001</v>
      </c>
      <c r="F402" s="212">
        <v>1.3</v>
      </c>
      <c r="G402" s="213">
        <v>45789</v>
      </c>
      <c r="H402" s="111" t="s">
        <v>1679</v>
      </c>
    </row>
    <row r="403" spans="1:8" x14ac:dyDescent="0.25">
      <c r="A403" s="211" t="s">
        <v>1686</v>
      </c>
      <c r="B403" t="s">
        <v>2099</v>
      </c>
      <c r="C403" s="48">
        <f t="shared" si="28"/>
        <v>63830</v>
      </c>
      <c r="D403" t="s">
        <v>108</v>
      </c>
      <c r="E403" s="190">
        <v>49100</v>
      </c>
      <c r="F403" s="212">
        <v>1.3</v>
      </c>
      <c r="G403" s="213">
        <v>45789</v>
      </c>
      <c r="H403" s="111" t="s">
        <v>1681</v>
      </c>
    </row>
    <row r="404" spans="1:8" x14ac:dyDescent="0.25">
      <c r="A404" s="211" t="s">
        <v>1689</v>
      </c>
      <c r="B404" t="s">
        <v>2100</v>
      </c>
      <c r="C404" s="48">
        <f t="shared" si="28"/>
        <v>8450</v>
      </c>
      <c r="D404" t="s">
        <v>8</v>
      </c>
      <c r="E404" s="190">
        <v>6500</v>
      </c>
      <c r="F404" s="212">
        <v>1.3</v>
      </c>
      <c r="G404" s="213">
        <v>45789</v>
      </c>
      <c r="H404" s="111" t="s">
        <v>1683</v>
      </c>
    </row>
    <row r="405" spans="1:8" x14ac:dyDescent="0.25">
      <c r="A405" s="211" t="s">
        <v>1690</v>
      </c>
      <c r="B405" t="s">
        <v>2101</v>
      </c>
      <c r="C405" s="48">
        <f t="shared" si="28"/>
        <v>24375</v>
      </c>
      <c r="D405" t="s">
        <v>108</v>
      </c>
      <c r="E405" s="190">
        <v>18750</v>
      </c>
      <c r="F405" s="212">
        <v>1.3</v>
      </c>
      <c r="G405" s="213">
        <v>45790</v>
      </c>
      <c r="H405" s="111" t="s">
        <v>827</v>
      </c>
    </row>
    <row r="406" spans="1:8" x14ac:dyDescent="0.25">
      <c r="A406" s="211" t="s">
        <v>1691</v>
      </c>
      <c r="B406" t="s">
        <v>1688</v>
      </c>
      <c r="C406" s="48">
        <f t="shared" ref="C406" si="29">E406*F406</f>
        <v>6153.333333333333</v>
      </c>
      <c r="D406" t="s">
        <v>108</v>
      </c>
      <c r="E406" s="190">
        <f>14200/3</f>
        <v>4733.333333333333</v>
      </c>
      <c r="F406" s="212">
        <v>1.3</v>
      </c>
      <c r="G406" s="213">
        <v>45790</v>
      </c>
      <c r="H406" s="111" t="s">
        <v>1687</v>
      </c>
    </row>
    <row r="407" spans="1:8" x14ac:dyDescent="0.25">
      <c r="A407" s="211" t="s">
        <v>1694</v>
      </c>
      <c r="B407" t="s">
        <v>2102</v>
      </c>
      <c r="C407" s="48">
        <f t="shared" ref="C407" si="30">E407*F407</f>
        <v>4680</v>
      </c>
      <c r="D407" t="s">
        <v>8</v>
      </c>
      <c r="E407" s="190">
        <v>3600</v>
      </c>
      <c r="F407" s="212">
        <v>1.3</v>
      </c>
      <c r="G407" s="213">
        <v>45790</v>
      </c>
      <c r="H407" s="111" t="s">
        <v>830</v>
      </c>
    </row>
    <row r="408" spans="1:8" x14ac:dyDescent="0.25">
      <c r="A408" s="211" t="s">
        <v>1697</v>
      </c>
      <c r="B408" t="s">
        <v>2103</v>
      </c>
      <c r="C408" s="48">
        <f t="shared" ref="C408" si="31">E408*F408</f>
        <v>17485</v>
      </c>
      <c r="D408" t="s">
        <v>8</v>
      </c>
      <c r="E408" s="190">
        <v>13450</v>
      </c>
      <c r="F408" s="212">
        <v>1.3</v>
      </c>
      <c r="G408" s="213">
        <v>45790</v>
      </c>
      <c r="H408" s="111" t="s">
        <v>831</v>
      </c>
    </row>
    <row r="409" spans="1:8" x14ac:dyDescent="0.25">
      <c r="A409" s="211" t="s">
        <v>1702</v>
      </c>
      <c r="B409" t="s">
        <v>1693</v>
      </c>
      <c r="C409" s="48">
        <f t="shared" ref="C409:C410" si="32">E409*F409</f>
        <v>57534.1</v>
      </c>
      <c r="D409" t="s">
        <v>8</v>
      </c>
      <c r="E409" s="190">
        <v>44257</v>
      </c>
      <c r="F409" s="212">
        <v>1.3</v>
      </c>
      <c r="G409" s="213">
        <v>45790</v>
      </c>
      <c r="H409" s="111" t="s">
        <v>1692</v>
      </c>
    </row>
    <row r="410" spans="1:8" x14ac:dyDescent="0.25">
      <c r="A410" s="211" t="s">
        <v>1703</v>
      </c>
      <c r="B410" t="s">
        <v>1695</v>
      </c>
      <c r="C410" s="48">
        <f t="shared" si="32"/>
        <v>9750</v>
      </c>
      <c r="D410" t="s">
        <v>8</v>
      </c>
      <c r="E410" s="190">
        <v>7500</v>
      </c>
      <c r="F410" s="212">
        <v>1.3</v>
      </c>
      <c r="G410" s="213">
        <v>45790</v>
      </c>
      <c r="H410" s="111" t="s">
        <v>1696</v>
      </c>
    </row>
    <row r="411" spans="1:8" x14ac:dyDescent="0.25">
      <c r="A411" s="211" t="s">
        <v>1704</v>
      </c>
      <c r="B411" t="s">
        <v>1700</v>
      </c>
      <c r="C411" s="48">
        <f t="shared" ref="C411:C413" si="33">E411*F411</f>
        <v>484120.55999999994</v>
      </c>
      <c r="D411" t="s">
        <v>108</v>
      </c>
      <c r="E411" s="190">
        <f>1608*'Precio Monedas'!$B$5*1.19</f>
        <v>420974.39999999997</v>
      </c>
      <c r="F411" s="212">
        <v>1.1499999999999999</v>
      </c>
      <c r="G411" s="213">
        <v>45790</v>
      </c>
      <c r="H411" s="111" t="s">
        <v>1706</v>
      </c>
    </row>
    <row r="412" spans="1:8" x14ac:dyDescent="0.25">
      <c r="A412" s="211" t="s">
        <v>1705</v>
      </c>
      <c r="B412" t="s">
        <v>1698</v>
      </c>
      <c r="C412" s="48">
        <f t="shared" si="33"/>
        <v>242060.27999999997</v>
      </c>
      <c r="D412" t="s">
        <v>108</v>
      </c>
      <c r="E412" s="190">
        <f>0.5*E411</f>
        <v>210487.19999999998</v>
      </c>
      <c r="F412" s="212">
        <v>1.1499999999999999</v>
      </c>
      <c r="G412" s="213">
        <v>45790</v>
      </c>
      <c r="H412" s="111" t="s">
        <v>1706</v>
      </c>
    </row>
    <row r="413" spans="1:8" x14ac:dyDescent="0.25">
      <c r="A413" s="211" t="s">
        <v>1710</v>
      </c>
      <c r="B413" t="s">
        <v>1699</v>
      </c>
      <c r="C413" s="48">
        <f t="shared" si="33"/>
        <v>629356.72799999989</v>
      </c>
      <c r="D413" t="s">
        <v>108</v>
      </c>
      <c r="E413" s="190">
        <f>E411*1.3</f>
        <v>547266.72</v>
      </c>
      <c r="F413" s="212">
        <v>1.1499999999999999</v>
      </c>
      <c r="G413" s="213">
        <v>45790</v>
      </c>
      <c r="H413" s="111" t="s">
        <v>1706</v>
      </c>
    </row>
    <row r="414" spans="1:8" x14ac:dyDescent="0.25">
      <c r="A414" s="211" t="s">
        <v>1711</v>
      </c>
      <c r="B414" t="s">
        <v>1701</v>
      </c>
      <c r="C414" s="48">
        <f t="shared" ref="C414:C420" si="34">E414*F414</f>
        <v>314678.36399999994</v>
      </c>
      <c r="D414" t="s">
        <v>108</v>
      </c>
      <c r="E414" s="190">
        <f>0.5*E413</f>
        <v>273633.36</v>
      </c>
      <c r="F414" s="212">
        <v>1.1499999999999999</v>
      </c>
      <c r="G414" s="213">
        <v>45790</v>
      </c>
      <c r="H414" s="111" t="s">
        <v>1706</v>
      </c>
    </row>
    <row r="415" spans="1:8" x14ac:dyDescent="0.25">
      <c r="A415" s="211" t="s">
        <v>1713</v>
      </c>
      <c r="B415" t="s">
        <v>1707</v>
      </c>
      <c r="C415" s="48">
        <f t="shared" si="34"/>
        <v>10136779.51155466</v>
      </c>
      <c r="D415" t="s">
        <v>8</v>
      </c>
      <c r="E415" s="190">
        <f>4968006.9501221*IPP!C225</f>
        <v>8447316.2596288845</v>
      </c>
      <c r="F415" s="212">
        <v>1.2</v>
      </c>
      <c r="G415" s="213">
        <v>45790</v>
      </c>
      <c r="H415" t="s">
        <v>1709</v>
      </c>
    </row>
    <row r="416" spans="1:8" x14ac:dyDescent="0.25">
      <c r="A416" s="211" t="s">
        <v>1715</v>
      </c>
      <c r="B416" t="s">
        <v>1708</v>
      </c>
      <c r="C416" s="48">
        <f t="shared" si="34"/>
        <v>10820639.024993686</v>
      </c>
      <c r="D416" t="s">
        <v>8</v>
      </c>
      <c r="E416" s="190">
        <f>5303164.56224137*IPP!C225</f>
        <v>9017199.187494738</v>
      </c>
      <c r="F416" s="212">
        <v>1.2</v>
      </c>
      <c r="G416" s="213">
        <v>45790</v>
      </c>
      <c r="H416" t="s">
        <v>1709</v>
      </c>
    </row>
    <row r="417" spans="1:8" x14ac:dyDescent="0.25">
      <c r="A417" s="211" t="s">
        <v>1716</v>
      </c>
      <c r="B417" t="s">
        <v>1712</v>
      </c>
      <c r="C417" s="48">
        <f t="shared" si="34"/>
        <v>9100000</v>
      </c>
      <c r="D417" t="s">
        <v>8</v>
      </c>
      <c r="E417" s="190">
        <v>7000000</v>
      </c>
      <c r="F417" s="212">
        <v>1.3</v>
      </c>
      <c r="G417" s="213">
        <v>45695</v>
      </c>
      <c r="H417" s="77" t="s">
        <v>318</v>
      </c>
    </row>
    <row r="418" spans="1:8" x14ac:dyDescent="0.25">
      <c r="A418" s="211" t="s">
        <v>1729</v>
      </c>
      <c r="B418" t="s">
        <v>1714</v>
      </c>
      <c r="C418" s="48">
        <f t="shared" si="34"/>
        <v>3445591.5</v>
      </c>
      <c r="D418" t="s">
        <v>8</v>
      </c>
      <c r="E418" s="190">
        <v>2650455</v>
      </c>
      <c r="F418" s="212">
        <v>1.3</v>
      </c>
      <c r="G418" s="213">
        <v>45698</v>
      </c>
      <c r="H418" s="77" t="s">
        <v>764</v>
      </c>
    </row>
    <row r="419" spans="1:8" x14ac:dyDescent="0.25">
      <c r="A419" s="211" t="s">
        <v>1730</v>
      </c>
      <c r="B419" t="s">
        <v>2104</v>
      </c>
      <c r="C419" s="48">
        <f t="shared" si="34"/>
        <v>234</v>
      </c>
      <c r="D419" t="s">
        <v>8</v>
      </c>
      <c r="E419" s="190">
        <f>18000/100</f>
        <v>180</v>
      </c>
      <c r="F419" s="212">
        <v>1.3</v>
      </c>
      <c r="G419" s="213">
        <v>45790</v>
      </c>
      <c r="H419" s="111" t="s">
        <v>1717</v>
      </c>
    </row>
    <row r="420" spans="1:8" x14ac:dyDescent="0.25">
      <c r="A420" s="211" t="s">
        <v>1733</v>
      </c>
      <c r="B420" t="s">
        <v>2384</v>
      </c>
      <c r="C420" s="48">
        <f t="shared" si="34"/>
        <v>49743034.920634933</v>
      </c>
      <c r="D420" t="s">
        <v>8</v>
      </c>
      <c r="E420" s="190">
        <f>21760000*IPP!C221</f>
        <v>38263873.015873022</v>
      </c>
      <c r="F420" s="212">
        <v>1.3</v>
      </c>
      <c r="G420" s="213">
        <v>45790</v>
      </c>
      <c r="H420" t="s">
        <v>1776</v>
      </c>
    </row>
    <row r="421" spans="1:8" x14ac:dyDescent="0.25">
      <c r="A421" s="211" t="s">
        <v>1736</v>
      </c>
      <c r="B421" t="s">
        <v>2105</v>
      </c>
      <c r="C421" s="48">
        <f t="shared" ref="C421:C422" si="35">E421*F421</f>
        <v>698230</v>
      </c>
      <c r="D421" t="s">
        <v>108</v>
      </c>
      <c r="E421" s="190">
        <f>1611300/3</f>
        <v>537100</v>
      </c>
      <c r="F421" s="212">
        <v>1.3</v>
      </c>
      <c r="G421" s="213">
        <v>45791</v>
      </c>
      <c r="H421" s="111" t="s">
        <v>1728</v>
      </c>
    </row>
    <row r="422" spans="1:8" x14ac:dyDescent="0.25">
      <c r="A422" s="211" t="s">
        <v>1738</v>
      </c>
      <c r="B422" t="s">
        <v>1731</v>
      </c>
      <c r="C422" s="48">
        <f t="shared" si="35"/>
        <v>65650</v>
      </c>
      <c r="D422" t="s">
        <v>108</v>
      </c>
      <c r="E422" s="190">
        <f>303000/6</f>
        <v>50500</v>
      </c>
      <c r="F422" s="212">
        <v>1.3</v>
      </c>
      <c r="G422" s="213">
        <v>45790</v>
      </c>
      <c r="H422" s="111" t="s">
        <v>1732</v>
      </c>
    </row>
    <row r="423" spans="1:8" x14ac:dyDescent="0.25">
      <c r="A423" s="211" t="s">
        <v>1739</v>
      </c>
      <c r="B423" t="s">
        <v>1735</v>
      </c>
      <c r="C423" s="48">
        <f t="shared" ref="C423:C425" si="36">E423*F423</f>
        <v>129090</v>
      </c>
      <c r="D423" t="s">
        <v>8</v>
      </c>
      <c r="E423" s="190">
        <v>99300</v>
      </c>
      <c r="F423" s="212">
        <v>1.3</v>
      </c>
      <c r="G423" s="213">
        <v>45790</v>
      </c>
      <c r="H423" s="111" t="s">
        <v>1734</v>
      </c>
    </row>
    <row r="424" spans="1:8" x14ac:dyDescent="0.25">
      <c r="A424" s="211" t="s">
        <v>1743</v>
      </c>
      <c r="B424" t="s">
        <v>2106</v>
      </c>
      <c r="C424" s="48">
        <f t="shared" si="36"/>
        <v>21710</v>
      </c>
      <c r="D424" t="s">
        <v>108</v>
      </c>
      <c r="E424" s="190">
        <v>16700</v>
      </c>
      <c r="F424" s="212">
        <v>1.3</v>
      </c>
      <c r="G424" s="213">
        <v>45790</v>
      </c>
      <c r="H424" s="111" t="s">
        <v>1742</v>
      </c>
    </row>
    <row r="425" spans="1:8" x14ac:dyDescent="0.25">
      <c r="A425" s="211" t="s">
        <v>1744</v>
      </c>
      <c r="B425" t="s">
        <v>1752</v>
      </c>
      <c r="C425" s="48">
        <f t="shared" si="36"/>
        <v>1885</v>
      </c>
      <c r="D425" t="s">
        <v>8</v>
      </c>
      <c r="E425" s="190">
        <v>1450</v>
      </c>
      <c r="F425" s="212">
        <v>1.3</v>
      </c>
      <c r="G425" s="213">
        <v>45790</v>
      </c>
      <c r="H425" s="111" t="s">
        <v>1745</v>
      </c>
    </row>
    <row r="426" spans="1:8" x14ac:dyDescent="0.25">
      <c r="A426" s="211" t="s">
        <v>1747</v>
      </c>
      <c r="B426" t="s">
        <v>1753</v>
      </c>
      <c r="C426" s="48">
        <f t="shared" ref="C426" si="37">E426*F426</f>
        <v>1279.2</v>
      </c>
      <c r="D426" t="s">
        <v>8</v>
      </c>
      <c r="E426" s="190">
        <v>984</v>
      </c>
      <c r="F426" s="212">
        <v>1.3</v>
      </c>
      <c r="G426" s="213">
        <v>45790</v>
      </c>
      <c r="H426" s="111" t="s">
        <v>1746</v>
      </c>
    </row>
    <row r="427" spans="1:8" x14ac:dyDescent="0.25">
      <c r="A427" s="211" t="s">
        <v>1748</v>
      </c>
      <c r="B427" t="s">
        <v>1749</v>
      </c>
      <c r="C427" s="48">
        <f t="shared" ref="C427" si="38">E427*F427</f>
        <v>224330.6</v>
      </c>
      <c r="D427" t="s">
        <v>108</v>
      </c>
      <c r="E427" s="190">
        <v>172562</v>
      </c>
      <c r="F427" s="212">
        <v>1.3</v>
      </c>
      <c r="G427" s="213">
        <v>45790</v>
      </c>
      <c r="H427" s="111" t="s">
        <v>1750</v>
      </c>
    </row>
    <row r="428" spans="1:8" x14ac:dyDescent="0.25">
      <c r="A428" s="211" t="s">
        <v>1754</v>
      </c>
      <c r="B428" t="s">
        <v>1782</v>
      </c>
      <c r="C428" s="48">
        <f t="shared" ref="C428" si="39">E428*F428</f>
        <v>17875</v>
      </c>
      <c r="D428" t="s">
        <v>8</v>
      </c>
      <c r="E428" s="190">
        <v>13750</v>
      </c>
      <c r="F428" s="212">
        <v>1.3</v>
      </c>
      <c r="G428" s="213">
        <v>45790</v>
      </c>
      <c r="H428" s="111" t="s">
        <v>1751</v>
      </c>
    </row>
    <row r="429" spans="1:8" x14ac:dyDescent="0.25">
      <c r="A429" s="211" t="s">
        <v>1756</v>
      </c>
      <c r="B429" t="s">
        <v>1757</v>
      </c>
      <c r="C429" s="48">
        <f t="shared" ref="C429" si="40">E429*F429</f>
        <v>438122.80701754382</v>
      </c>
      <c r="D429" t="s">
        <v>8</v>
      </c>
      <c r="E429" s="190">
        <f>192100*10/5.7</f>
        <v>337017.5438596491</v>
      </c>
      <c r="F429" s="212">
        <v>1.3</v>
      </c>
      <c r="G429" s="213">
        <v>45792</v>
      </c>
      <c r="H429" s="111" t="s">
        <v>1755</v>
      </c>
    </row>
    <row r="430" spans="1:8" x14ac:dyDescent="0.25">
      <c r="A430" s="211" t="s">
        <v>1760</v>
      </c>
      <c r="B430" t="s">
        <v>1759</v>
      </c>
      <c r="C430" s="48">
        <f t="shared" ref="C430" si="41">E430*F430</f>
        <v>30938.483333333334</v>
      </c>
      <c r="D430" t="s">
        <v>8</v>
      </c>
      <c r="E430" s="190">
        <f>142793/6</f>
        <v>23798.833333333332</v>
      </c>
      <c r="F430" s="212">
        <v>1.3</v>
      </c>
      <c r="G430" s="213">
        <v>45792</v>
      </c>
      <c r="H430" s="111" t="s">
        <v>1758</v>
      </c>
    </row>
    <row r="431" spans="1:8" x14ac:dyDescent="0.25">
      <c r="A431" s="211" t="s">
        <v>1763</v>
      </c>
      <c r="B431" t="s">
        <v>1761</v>
      </c>
      <c r="C431" s="48">
        <f t="shared" ref="C431" si="42">E431*F431</f>
        <v>2080</v>
      </c>
      <c r="D431" t="s">
        <v>8</v>
      </c>
      <c r="E431" s="190">
        <v>1600</v>
      </c>
      <c r="F431" s="212">
        <v>1.3</v>
      </c>
      <c r="G431" s="213">
        <v>45792</v>
      </c>
      <c r="H431" s="111" t="s">
        <v>1762</v>
      </c>
    </row>
    <row r="432" spans="1:8" x14ac:dyDescent="0.25">
      <c r="A432" s="211" t="s">
        <v>1764</v>
      </c>
      <c r="B432" t="s">
        <v>2107</v>
      </c>
      <c r="C432" s="48">
        <f t="shared" ref="C432" si="43">E432*F432</f>
        <v>104455</v>
      </c>
      <c r="D432" t="s">
        <v>8</v>
      </c>
      <c r="E432" s="190">
        <v>80350</v>
      </c>
      <c r="F432" s="212">
        <v>1.3</v>
      </c>
      <c r="G432" s="213">
        <v>45792</v>
      </c>
      <c r="H432" s="111" t="s">
        <v>1765</v>
      </c>
    </row>
    <row r="433" spans="1:8" x14ac:dyDescent="0.25">
      <c r="A433" s="211" t="s">
        <v>1767</v>
      </c>
      <c r="B433" t="s">
        <v>2108</v>
      </c>
      <c r="C433" s="48">
        <f t="shared" ref="C433" si="44">E433*F433</f>
        <v>68445</v>
      </c>
      <c r="D433" t="s">
        <v>8</v>
      </c>
      <c r="E433" s="190">
        <v>52650</v>
      </c>
      <c r="F433" s="212">
        <v>1.3</v>
      </c>
      <c r="G433" s="213">
        <v>45792</v>
      </c>
      <c r="H433" s="111" t="s">
        <v>1766</v>
      </c>
    </row>
    <row r="434" spans="1:8" x14ac:dyDescent="0.25">
      <c r="A434" s="211" t="s">
        <v>1772</v>
      </c>
      <c r="B434" t="s">
        <v>1771</v>
      </c>
      <c r="C434" s="48">
        <f t="shared" ref="C434:C438" si="45">E434*F434</f>
        <v>21190</v>
      </c>
      <c r="D434" t="s">
        <v>8</v>
      </c>
      <c r="E434" s="190">
        <v>16300</v>
      </c>
      <c r="F434" s="212">
        <v>1.3</v>
      </c>
      <c r="G434" s="213">
        <v>45792</v>
      </c>
      <c r="H434" s="111" t="s">
        <v>1770</v>
      </c>
    </row>
    <row r="435" spans="1:8" x14ac:dyDescent="0.25">
      <c r="A435" s="211" t="s">
        <v>1775</v>
      </c>
      <c r="B435" t="s">
        <v>1774</v>
      </c>
      <c r="C435" s="48">
        <f t="shared" si="45"/>
        <v>30355</v>
      </c>
      <c r="D435" t="s">
        <v>8</v>
      </c>
      <c r="E435" s="190">
        <v>23350</v>
      </c>
      <c r="F435" s="212">
        <v>1.3</v>
      </c>
      <c r="G435" s="213">
        <v>45792</v>
      </c>
      <c r="H435" s="111" t="s">
        <v>1773</v>
      </c>
    </row>
    <row r="436" spans="1:8" x14ac:dyDescent="0.25">
      <c r="A436" s="211" t="s">
        <v>1779</v>
      </c>
      <c r="B436" t="s">
        <v>1777</v>
      </c>
      <c r="C436" s="48">
        <f t="shared" si="45"/>
        <v>60674655.535052434</v>
      </c>
      <c r="D436" t="s">
        <v>8</v>
      </c>
      <c r="E436" s="190">
        <f>39809000*1.19*IPP!C297</f>
        <v>50562212.94587703</v>
      </c>
      <c r="F436" s="212">
        <v>1.2</v>
      </c>
      <c r="G436" s="213"/>
      <c r="H436" s="111" t="s">
        <v>1778</v>
      </c>
    </row>
    <row r="437" spans="1:8" x14ac:dyDescent="0.25">
      <c r="A437" s="211" t="s">
        <v>1841</v>
      </c>
      <c r="B437" t="s">
        <v>1780</v>
      </c>
      <c r="C437" s="48">
        <f t="shared" si="45"/>
        <v>441959.47393973754</v>
      </c>
      <c r="D437" t="s">
        <v>8</v>
      </c>
      <c r="E437" s="190">
        <f>803000*1.19*IPP!C297/3</f>
        <v>339968.8261074904</v>
      </c>
      <c r="F437" s="212">
        <v>1.3</v>
      </c>
      <c r="G437" s="213">
        <v>45790</v>
      </c>
      <c r="H437" s="111" t="s">
        <v>1778</v>
      </c>
    </row>
    <row r="438" spans="1:8" x14ac:dyDescent="0.25">
      <c r="A438" s="211" t="s">
        <v>1842</v>
      </c>
      <c r="B438" t="s">
        <v>1785</v>
      </c>
      <c r="C438" s="48">
        <f t="shared" si="45"/>
        <v>240000</v>
      </c>
      <c r="D438" t="s">
        <v>8</v>
      </c>
      <c r="E438" s="190">
        <v>200000</v>
      </c>
      <c r="F438" s="212">
        <v>1.2</v>
      </c>
      <c r="G438" s="213">
        <v>45790</v>
      </c>
      <c r="H438" s="111" t="s">
        <v>1783</v>
      </c>
    </row>
    <row r="439" spans="1:8" x14ac:dyDescent="0.25">
      <c r="A439" s="211" t="s">
        <v>1781</v>
      </c>
      <c r="B439" t="s">
        <v>1787</v>
      </c>
      <c r="C439" s="48">
        <f t="shared" ref="C439:C440" si="46">E439*F439</f>
        <v>455</v>
      </c>
      <c r="D439" t="s">
        <v>8</v>
      </c>
      <c r="E439" s="190">
        <v>350</v>
      </c>
      <c r="F439" s="212">
        <v>1.3</v>
      </c>
      <c r="G439" s="213">
        <v>45793</v>
      </c>
      <c r="H439" s="111" t="s">
        <v>1788</v>
      </c>
    </row>
    <row r="440" spans="1:8" x14ac:dyDescent="0.25">
      <c r="A440" s="211" t="s">
        <v>1784</v>
      </c>
      <c r="B440" t="s">
        <v>1790</v>
      </c>
      <c r="C440" s="48">
        <f t="shared" si="46"/>
        <v>9100000</v>
      </c>
      <c r="D440" t="s">
        <v>8</v>
      </c>
      <c r="E440" s="190">
        <v>7000000</v>
      </c>
      <c r="F440" s="212">
        <v>1.3</v>
      </c>
      <c r="G440" s="213">
        <v>45695</v>
      </c>
      <c r="H440" s="77" t="s">
        <v>318</v>
      </c>
    </row>
    <row r="441" spans="1:8" x14ac:dyDescent="0.25">
      <c r="A441" s="211" t="s">
        <v>1789</v>
      </c>
      <c r="B441" t="s">
        <v>1792</v>
      </c>
      <c r="C441" s="48">
        <f t="shared" ref="C441:C444" si="47">E441*F441</f>
        <v>2210000</v>
      </c>
      <c r="D441" t="s">
        <v>8</v>
      </c>
      <c r="E441" s="190">
        <v>1700000</v>
      </c>
      <c r="F441" s="212">
        <v>1.3</v>
      </c>
      <c r="G441" s="213"/>
      <c r="H441" s="111" t="s">
        <v>1794</v>
      </c>
    </row>
    <row r="442" spans="1:8" x14ac:dyDescent="0.25">
      <c r="A442" s="211" t="s">
        <v>1791</v>
      </c>
      <c r="B442" t="s">
        <v>2536</v>
      </c>
      <c r="C442" s="48">
        <f t="shared" si="47"/>
        <v>138970</v>
      </c>
      <c r="D442" t="s">
        <v>8</v>
      </c>
      <c r="E442" s="190">
        <v>106900</v>
      </c>
      <c r="F442" s="212">
        <v>1.3</v>
      </c>
      <c r="G442" s="213">
        <v>45793</v>
      </c>
      <c r="H442" s="111" t="s">
        <v>1802</v>
      </c>
    </row>
    <row r="443" spans="1:8" x14ac:dyDescent="0.25">
      <c r="A443" s="211" t="s">
        <v>1793</v>
      </c>
      <c r="B443" t="s">
        <v>2109</v>
      </c>
      <c r="C443" s="48">
        <f t="shared" ref="C443" si="48">E443*F443</f>
        <v>527301.66666666674</v>
      </c>
      <c r="D443" t="s">
        <v>8</v>
      </c>
      <c r="E443" s="190">
        <f>1216850/3</f>
        <v>405616.66666666669</v>
      </c>
      <c r="F443" s="212">
        <v>1.3</v>
      </c>
      <c r="G443" s="213">
        <v>45797</v>
      </c>
      <c r="H443" s="111" t="s">
        <v>1808</v>
      </c>
    </row>
    <row r="444" spans="1:8" x14ac:dyDescent="0.25">
      <c r="A444" s="211" t="s">
        <v>1803</v>
      </c>
      <c r="B444" t="s">
        <v>2110</v>
      </c>
      <c r="C444" s="48">
        <f t="shared" si="47"/>
        <v>1053354.0333333334</v>
      </c>
      <c r="D444" t="s">
        <v>8</v>
      </c>
      <c r="E444" s="190">
        <f>2430817/3</f>
        <v>810272.33333333337</v>
      </c>
      <c r="F444" s="212">
        <v>1.3</v>
      </c>
      <c r="G444" s="213">
        <v>45797</v>
      </c>
      <c r="H444" s="111" t="s">
        <v>1811</v>
      </c>
    </row>
    <row r="445" spans="1:8" x14ac:dyDescent="0.25">
      <c r="A445" s="211" t="s">
        <v>1809</v>
      </c>
      <c r="B445" t="s">
        <v>2111</v>
      </c>
      <c r="C445" s="48">
        <f t="shared" ref="C445" si="49">E445*F445</f>
        <v>249448.33333333334</v>
      </c>
      <c r="D445" t="s">
        <v>8</v>
      </c>
      <c r="E445" s="190">
        <f>575650/3</f>
        <v>191883.33333333334</v>
      </c>
      <c r="F445" s="212">
        <v>1.3</v>
      </c>
      <c r="G445" s="213">
        <v>45797</v>
      </c>
      <c r="H445" s="111" t="s">
        <v>1812</v>
      </c>
    </row>
    <row r="446" spans="1:8" x14ac:dyDescent="0.25">
      <c r="A446" s="211" t="s">
        <v>1810</v>
      </c>
      <c r="B446" t="s">
        <v>2112</v>
      </c>
      <c r="C446" s="48">
        <f t="shared" ref="C446:C447" si="50">E446*F446</f>
        <v>201283.33333333334</v>
      </c>
      <c r="D446" t="s">
        <v>8</v>
      </c>
      <c r="E446" s="190">
        <f>464500/3</f>
        <v>154833.33333333334</v>
      </c>
      <c r="F446" s="212">
        <v>1.3</v>
      </c>
      <c r="G446" s="213">
        <v>45797</v>
      </c>
      <c r="H446" s="111" t="s">
        <v>1812</v>
      </c>
    </row>
    <row r="447" spans="1:8" x14ac:dyDescent="0.25">
      <c r="A447" s="211" t="s">
        <v>1813</v>
      </c>
      <c r="B447" t="s">
        <v>1815</v>
      </c>
      <c r="C447" s="48">
        <f t="shared" si="50"/>
        <v>3965</v>
      </c>
      <c r="D447" t="s">
        <v>8</v>
      </c>
      <c r="E447" s="190">
        <v>3050</v>
      </c>
      <c r="F447" s="212">
        <v>1.3</v>
      </c>
      <c r="G447" s="213">
        <v>45798</v>
      </c>
      <c r="H447" s="111" t="s">
        <v>1816</v>
      </c>
    </row>
    <row r="448" spans="1:8" x14ac:dyDescent="0.25">
      <c r="A448" s="211" t="s">
        <v>1814</v>
      </c>
      <c r="B448" t="s">
        <v>1820</v>
      </c>
      <c r="C448" s="48">
        <f t="shared" ref="C448" si="51">E448*F448</f>
        <v>2275</v>
      </c>
      <c r="D448" t="s">
        <v>8</v>
      </c>
      <c r="E448" s="190">
        <v>1750</v>
      </c>
      <c r="F448" s="212">
        <v>1.3</v>
      </c>
      <c r="G448" s="213">
        <v>45798</v>
      </c>
      <c r="H448" s="111" t="s">
        <v>1818</v>
      </c>
    </row>
    <row r="449" spans="1:8" x14ac:dyDescent="0.25">
      <c r="A449" s="211" t="s">
        <v>1817</v>
      </c>
      <c r="B449" t="s">
        <v>1823</v>
      </c>
      <c r="C449" s="48">
        <f t="shared" ref="C449:C452" si="52">E449*F449</f>
        <v>171771.6</v>
      </c>
      <c r="D449" t="s">
        <v>8</v>
      </c>
      <c r="E449" s="190">
        <f>429*'Precio Monedas'!B5*1.4</f>
        <v>132132</v>
      </c>
      <c r="F449" s="212">
        <v>1.3</v>
      </c>
      <c r="G449" s="213">
        <v>45798</v>
      </c>
      <c r="H449" s="111" t="s">
        <v>1822</v>
      </c>
    </row>
    <row r="450" spans="1:8" x14ac:dyDescent="0.25">
      <c r="A450" s="211" t="s">
        <v>1819</v>
      </c>
      <c r="B450" t="s">
        <v>2113</v>
      </c>
      <c r="C450" s="48">
        <f t="shared" si="52"/>
        <v>845</v>
      </c>
      <c r="D450" t="s">
        <v>8</v>
      </c>
      <c r="E450" s="190">
        <v>650</v>
      </c>
      <c r="F450" s="212">
        <v>1.3</v>
      </c>
      <c r="G450" s="213">
        <v>45799</v>
      </c>
      <c r="H450" s="111" t="s">
        <v>1828</v>
      </c>
    </row>
    <row r="451" spans="1:8" x14ac:dyDescent="0.25">
      <c r="A451" s="211" t="s">
        <v>1821</v>
      </c>
      <c r="B451" t="s">
        <v>2114</v>
      </c>
      <c r="C451" s="48">
        <f t="shared" si="52"/>
        <v>16633.5</v>
      </c>
      <c r="D451" t="s">
        <v>8</v>
      </c>
      <c r="E451" s="190">
        <f>255900/20</f>
        <v>12795</v>
      </c>
      <c r="F451" s="212">
        <v>1.3</v>
      </c>
      <c r="G451" s="213">
        <v>45799</v>
      </c>
      <c r="H451" s="111" t="s">
        <v>1830</v>
      </c>
    </row>
    <row r="452" spans="1:8" x14ac:dyDescent="0.25">
      <c r="A452" s="211" t="s">
        <v>1829</v>
      </c>
      <c r="B452" t="s">
        <v>1834</v>
      </c>
      <c r="C452" s="48">
        <f t="shared" si="52"/>
        <v>1170</v>
      </c>
      <c r="D452" t="s">
        <v>8</v>
      </c>
      <c r="E452" s="190">
        <v>900</v>
      </c>
      <c r="F452" s="212">
        <v>1.3</v>
      </c>
      <c r="G452" s="213">
        <v>45798</v>
      </c>
      <c r="H452" s="111" t="s">
        <v>1333</v>
      </c>
    </row>
    <row r="453" spans="1:8" x14ac:dyDescent="0.25">
      <c r="A453" s="211" t="s">
        <v>1831</v>
      </c>
      <c r="B453" t="s">
        <v>1837</v>
      </c>
      <c r="C453" s="48">
        <f t="shared" ref="C453" si="53">E453*F453</f>
        <v>24700</v>
      </c>
      <c r="D453" t="s">
        <v>8</v>
      </c>
      <c r="E453" s="190">
        <v>19000</v>
      </c>
      <c r="F453" s="212">
        <v>1.3</v>
      </c>
      <c r="G453" s="213">
        <v>45800</v>
      </c>
      <c r="H453" s="111" t="s">
        <v>1836</v>
      </c>
    </row>
    <row r="454" spans="1:8" x14ac:dyDescent="0.25">
      <c r="A454" s="211" t="s">
        <v>1835</v>
      </c>
      <c r="B454" t="s">
        <v>1839</v>
      </c>
      <c r="C454" s="48">
        <f t="shared" ref="C454" si="54">E454*F454</f>
        <v>45000000</v>
      </c>
      <c r="D454" t="s">
        <v>8</v>
      </c>
      <c r="E454" s="190">
        <f>9000000000*0.5%</f>
        <v>45000000</v>
      </c>
      <c r="F454" s="212">
        <v>1</v>
      </c>
      <c r="G454" s="213">
        <v>45800</v>
      </c>
      <c r="H454" s="111" t="s">
        <v>1840</v>
      </c>
    </row>
    <row r="455" spans="1:8" x14ac:dyDescent="0.25">
      <c r="A455" s="211" t="s">
        <v>1838</v>
      </c>
      <c r="B455" t="s">
        <v>1098</v>
      </c>
      <c r="C455" s="48">
        <f t="shared" ref="C455" si="55">E455*F455</f>
        <v>35000000</v>
      </c>
      <c r="D455" t="s">
        <v>8</v>
      </c>
      <c r="E455" s="190">
        <v>35000000</v>
      </c>
      <c r="F455" s="212">
        <v>1</v>
      </c>
      <c r="G455" s="213">
        <v>45800</v>
      </c>
      <c r="H455" s="111" t="s">
        <v>1843</v>
      </c>
    </row>
    <row r="456" spans="1:8" x14ac:dyDescent="0.25">
      <c r="A456" s="211" t="s">
        <v>1845</v>
      </c>
      <c r="B456" t="s">
        <v>1844</v>
      </c>
      <c r="C456" s="48">
        <f t="shared" ref="C456:C457" si="56">E456*F456</f>
        <v>3000000</v>
      </c>
      <c r="D456" t="s">
        <v>8</v>
      </c>
      <c r="E456" s="190">
        <v>3000000</v>
      </c>
      <c r="F456" s="212">
        <v>1</v>
      </c>
      <c r="G456" s="213">
        <v>45800</v>
      </c>
      <c r="H456" s="111" t="s">
        <v>1843</v>
      </c>
    </row>
    <row r="457" spans="1:8" x14ac:dyDescent="0.25">
      <c r="A457" s="211" t="s">
        <v>1853</v>
      </c>
      <c r="B457" t="s">
        <v>1846</v>
      </c>
      <c r="C457" s="48">
        <f t="shared" si="56"/>
        <v>5749.9000000000005</v>
      </c>
      <c r="D457" t="s">
        <v>1387</v>
      </c>
      <c r="E457" s="190">
        <v>4423</v>
      </c>
      <c r="F457" s="212">
        <v>1.3</v>
      </c>
      <c r="G457" s="213">
        <v>45800</v>
      </c>
      <c r="H457" s="111" t="s">
        <v>1847</v>
      </c>
    </row>
    <row r="458" spans="1:8" x14ac:dyDescent="0.25">
      <c r="A458" s="211" t="s">
        <v>1854</v>
      </c>
      <c r="B458" t="s">
        <v>1849</v>
      </c>
      <c r="C458" s="48">
        <f t="shared" ref="C458:C459" si="57">E458*F458</f>
        <v>8083.4000000000005</v>
      </c>
      <c r="D458" t="s">
        <v>1387</v>
      </c>
      <c r="E458" s="190">
        <v>6218</v>
      </c>
      <c r="F458" s="212">
        <v>1.3</v>
      </c>
      <c r="G458" s="213">
        <v>45800</v>
      </c>
      <c r="H458" s="111" t="s">
        <v>1848</v>
      </c>
    </row>
    <row r="459" spans="1:8" x14ac:dyDescent="0.25">
      <c r="A459" s="211" t="s">
        <v>1867</v>
      </c>
      <c r="B459" t="s">
        <v>1857</v>
      </c>
      <c r="C459" s="48">
        <f t="shared" si="57"/>
        <v>578099.6</v>
      </c>
      <c r="D459" t="s">
        <v>114</v>
      </c>
      <c r="E459" s="190">
        <v>444692</v>
      </c>
      <c r="F459" s="212">
        <v>1.3</v>
      </c>
      <c r="G459" s="213">
        <v>45755</v>
      </c>
      <c r="H459" s="111" t="s">
        <v>1856</v>
      </c>
    </row>
    <row r="460" spans="1:8" x14ac:dyDescent="0.25">
      <c r="A460" s="211" t="s">
        <v>1868</v>
      </c>
      <c r="B460" t="s">
        <v>1859</v>
      </c>
      <c r="C460" s="48">
        <f t="shared" ref="C460:C461" si="58">E460*F460</f>
        <v>813410.53161779384</v>
      </c>
      <c r="D460" t="s">
        <v>114</v>
      </c>
      <c r="E460" s="190">
        <f>499650*IPP!C273</f>
        <v>625700.40893676446</v>
      </c>
      <c r="F460" s="212">
        <v>1.3</v>
      </c>
      <c r="G460" s="213">
        <v>45800</v>
      </c>
      <c r="H460" s="111" t="s">
        <v>1939</v>
      </c>
    </row>
    <row r="461" spans="1:8" x14ac:dyDescent="0.25">
      <c r="A461" s="211" t="s">
        <v>1858</v>
      </c>
      <c r="B461" t="s">
        <v>1862</v>
      </c>
      <c r="C461" s="48">
        <f t="shared" si="58"/>
        <v>1170</v>
      </c>
      <c r="D461" t="s">
        <v>8</v>
      </c>
      <c r="E461" s="190">
        <v>900</v>
      </c>
      <c r="F461" s="212">
        <v>1.3</v>
      </c>
      <c r="G461" s="213">
        <v>45751</v>
      </c>
      <c r="H461" s="111" t="s">
        <v>1551</v>
      </c>
    </row>
    <row r="462" spans="1:8" x14ac:dyDescent="0.25">
      <c r="A462" s="211" t="s">
        <v>1860</v>
      </c>
      <c r="B462" t="s">
        <v>2613</v>
      </c>
      <c r="C462" s="48">
        <f t="shared" ref="C462:C464" si="59">E462*F462</f>
        <v>255255</v>
      </c>
      <c r="D462" t="s">
        <v>113</v>
      </c>
      <c r="E462" s="190">
        <f>589050/3</f>
        <v>196350</v>
      </c>
      <c r="F462" s="212">
        <v>1.3</v>
      </c>
      <c r="G462" s="213">
        <v>45800</v>
      </c>
      <c r="H462" s="111" t="s">
        <v>1863</v>
      </c>
    </row>
    <row r="463" spans="1:8" x14ac:dyDescent="0.25">
      <c r="A463" s="211" t="s">
        <v>1861</v>
      </c>
      <c r="B463" t="s">
        <v>1865</v>
      </c>
      <c r="C463" s="48">
        <f t="shared" si="59"/>
        <v>36094.933333333334</v>
      </c>
      <c r="D463" t="s">
        <v>108</v>
      </c>
      <c r="E463" s="190">
        <f>166592/6</f>
        <v>27765.333333333332</v>
      </c>
      <c r="F463" s="212">
        <v>1.3</v>
      </c>
      <c r="G463" s="213">
        <v>45800</v>
      </c>
      <c r="H463" s="111" t="s">
        <v>1794</v>
      </c>
    </row>
    <row r="464" spans="1:8" x14ac:dyDescent="0.25">
      <c r="A464" s="211" t="s">
        <v>1864</v>
      </c>
      <c r="B464" t="s">
        <v>1869</v>
      </c>
      <c r="C464" s="48">
        <f t="shared" si="59"/>
        <v>9727.9</v>
      </c>
      <c r="D464" t="s">
        <v>108</v>
      </c>
      <c r="E464" s="190">
        <v>7483</v>
      </c>
      <c r="F464" s="212">
        <v>1.3</v>
      </c>
      <c r="G464" s="213">
        <v>45803</v>
      </c>
      <c r="H464" s="111" t="s">
        <v>1871</v>
      </c>
    </row>
    <row r="465" spans="1:8" x14ac:dyDescent="0.25">
      <c r="A465" s="211" t="s">
        <v>1866</v>
      </c>
      <c r="B465" t="s">
        <v>1873</v>
      </c>
      <c r="C465" s="48">
        <f t="shared" ref="C465" si="60">E465*F465</f>
        <v>2730</v>
      </c>
      <c r="D465" t="s">
        <v>8</v>
      </c>
      <c r="E465" s="190">
        <v>2100</v>
      </c>
      <c r="F465" s="212">
        <v>1.3</v>
      </c>
      <c r="G465" s="213">
        <v>45803</v>
      </c>
      <c r="H465" s="111" t="s">
        <v>1872</v>
      </c>
    </row>
    <row r="466" spans="1:8" x14ac:dyDescent="0.25">
      <c r="A466" s="211" t="s">
        <v>1870</v>
      </c>
      <c r="B466" t="s">
        <v>1876</v>
      </c>
      <c r="C466" s="48">
        <f t="shared" ref="C466" si="61">E466*F466</f>
        <v>2145</v>
      </c>
      <c r="D466" t="s">
        <v>8</v>
      </c>
      <c r="E466" s="190">
        <v>1650</v>
      </c>
      <c r="F466" s="212">
        <v>1.3</v>
      </c>
      <c r="G466" s="213">
        <v>45803</v>
      </c>
      <c r="H466" s="111" t="s">
        <v>1877</v>
      </c>
    </row>
    <row r="467" spans="1:8" x14ac:dyDescent="0.25">
      <c r="A467" s="211" t="s">
        <v>1874</v>
      </c>
      <c r="B467" t="s">
        <v>1882</v>
      </c>
      <c r="C467" s="48">
        <f t="shared" ref="C467:C469" si="62">E467*F467</f>
        <v>20560.8</v>
      </c>
      <c r="D467" t="s">
        <v>108</v>
      </c>
      <c r="E467" s="190">
        <v>15816</v>
      </c>
      <c r="F467" s="212">
        <v>1.3</v>
      </c>
      <c r="G467" s="213">
        <v>45803</v>
      </c>
      <c r="H467" s="111" t="s">
        <v>1878</v>
      </c>
    </row>
    <row r="468" spans="1:8" x14ac:dyDescent="0.25">
      <c r="A468" s="211" t="s">
        <v>1875</v>
      </c>
      <c r="B468" t="s">
        <v>1883</v>
      </c>
      <c r="C468" s="48">
        <f t="shared" si="62"/>
        <v>10400</v>
      </c>
      <c r="D468" t="s">
        <v>8</v>
      </c>
      <c r="E468" s="190">
        <v>8000</v>
      </c>
      <c r="F468" s="212">
        <v>1.3</v>
      </c>
      <c r="G468" s="213">
        <v>45803</v>
      </c>
      <c r="H468" s="111" t="s">
        <v>1885</v>
      </c>
    </row>
    <row r="469" spans="1:8" x14ac:dyDescent="0.25">
      <c r="A469" s="211" t="s">
        <v>1879</v>
      </c>
      <c r="B469" t="s">
        <v>1884</v>
      </c>
      <c r="C469" s="48">
        <f t="shared" si="62"/>
        <v>6240</v>
      </c>
      <c r="D469" t="s">
        <v>8</v>
      </c>
      <c r="E469" s="190">
        <v>4800</v>
      </c>
      <c r="F469" s="212">
        <v>1.3</v>
      </c>
      <c r="G469" s="213">
        <v>45803</v>
      </c>
      <c r="H469" s="111" t="s">
        <v>1886</v>
      </c>
    </row>
    <row r="470" spans="1:8" x14ac:dyDescent="0.25">
      <c r="A470" s="211" t="s">
        <v>1880</v>
      </c>
      <c r="B470" t="s">
        <v>1887</v>
      </c>
      <c r="C470" s="48">
        <f t="shared" ref="C470:C472" si="63">E470*F470</f>
        <v>46127.9</v>
      </c>
      <c r="D470" t="s">
        <v>108</v>
      </c>
      <c r="E470" s="190">
        <v>35483</v>
      </c>
      <c r="F470" s="212">
        <v>1.3</v>
      </c>
      <c r="G470" s="213">
        <v>45803</v>
      </c>
      <c r="H470" s="111" t="s">
        <v>1905</v>
      </c>
    </row>
    <row r="471" spans="1:8" x14ac:dyDescent="0.25">
      <c r="A471" s="211" t="s">
        <v>1881</v>
      </c>
      <c r="B471" t="s">
        <v>1888</v>
      </c>
      <c r="C471" s="48">
        <f t="shared" si="63"/>
        <v>101335</v>
      </c>
      <c r="D471" t="s">
        <v>8</v>
      </c>
      <c r="E471" s="190">
        <v>77950</v>
      </c>
      <c r="F471" s="212">
        <v>1.3</v>
      </c>
      <c r="G471" s="213">
        <v>45803</v>
      </c>
      <c r="H471" s="111" t="s">
        <v>1906</v>
      </c>
    </row>
    <row r="472" spans="1:8" x14ac:dyDescent="0.25">
      <c r="A472" s="211" t="s">
        <v>1896</v>
      </c>
      <c r="B472" t="s">
        <v>1889</v>
      </c>
      <c r="C472" s="48">
        <f t="shared" si="63"/>
        <v>41470</v>
      </c>
      <c r="D472" t="s">
        <v>8</v>
      </c>
      <c r="E472" s="190">
        <v>31900</v>
      </c>
      <c r="F472" s="212">
        <v>1.3</v>
      </c>
      <c r="G472" s="213">
        <v>45803</v>
      </c>
      <c r="H472" s="111" t="s">
        <v>1907</v>
      </c>
    </row>
    <row r="473" spans="1:8" x14ac:dyDescent="0.25">
      <c r="A473" s="211" t="s">
        <v>1897</v>
      </c>
      <c r="B473" t="s">
        <v>1890</v>
      </c>
      <c r="C473" s="48">
        <f t="shared" ref="C473:C481" si="64">E473*F473</f>
        <v>105927.90000000001</v>
      </c>
      <c r="D473" t="s">
        <v>108</v>
      </c>
      <c r="E473" s="190">
        <v>81483</v>
      </c>
      <c r="F473" s="212">
        <v>1.3</v>
      </c>
      <c r="G473" s="213">
        <v>45803</v>
      </c>
      <c r="H473" s="111" t="s">
        <v>1910</v>
      </c>
    </row>
    <row r="474" spans="1:8" x14ac:dyDescent="0.25">
      <c r="A474" s="211" t="s">
        <v>1898</v>
      </c>
      <c r="B474" t="s">
        <v>1891</v>
      </c>
      <c r="C474" s="48">
        <f t="shared" si="64"/>
        <v>302770</v>
      </c>
      <c r="D474" t="s">
        <v>8</v>
      </c>
      <c r="E474" s="190">
        <v>232900</v>
      </c>
      <c r="F474" s="212">
        <v>1.3</v>
      </c>
      <c r="G474" s="213">
        <v>45803</v>
      </c>
      <c r="H474" s="111" t="s">
        <v>1909</v>
      </c>
    </row>
    <row r="475" spans="1:8" x14ac:dyDescent="0.25">
      <c r="A475" s="211" t="s">
        <v>1899</v>
      </c>
      <c r="B475" t="s">
        <v>1892</v>
      </c>
      <c r="C475" s="48">
        <f t="shared" si="64"/>
        <v>103870</v>
      </c>
      <c r="D475" t="s">
        <v>8</v>
      </c>
      <c r="E475" s="190">
        <v>79900</v>
      </c>
      <c r="F475" s="212">
        <v>1.3</v>
      </c>
      <c r="G475" s="213">
        <v>45803</v>
      </c>
      <c r="H475" s="111" t="s">
        <v>1908</v>
      </c>
    </row>
    <row r="476" spans="1:8" x14ac:dyDescent="0.25">
      <c r="A476" s="211" t="s">
        <v>1900</v>
      </c>
      <c r="B476" t="s">
        <v>1893</v>
      </c>
      <c r="C476" s="48">
        <f t="shared" si="64"/>
        <v>82527.900000000009</v>
      </c>
      <c r="D476" t="s">
        <v>108</v>
      </c>
      <c r="E476" s="190">
        <v>63483</v>
      </c>
      <c r="F476" s="212">
        <v>1.3</v>
      </c>
      <c r="G476" s="213">
        <v>45803</v>
      </c>
      <c r="H476" s="111" t="s">
        <v>1912</v>
      </c>
    </row>
    <row r="477" spans="1:8" x14ac:dyDescent="0.25">
      <c r="A477" s="211" t="s">
        <v>1901</v>
      </c>
      <c r="B477" t="s">
        <v>1894</v>
      </c>
      <c r="C477" s="48">
        <f t="shared" si="64"/>
        <v>539370</v>
      </c>
      <c r="D477" t="s">
        <v>8</v>
      </c>
      <c r="E477" s="190">
        <v>414900</v>
      </c>
      <c r="F477" s="212">
        <v>1.3</v>
      </c>
      <c r="G477" s="213">
        <v>45803</v>
      </c>
      <c r="H477" s="111" t="s">
        <v>1913</v>
      </c>
    </row>
    <row r="478" spans="1:8" x14ac:dyDescent="0.25">
      <c r="A478" s="211" t="s">
        <v>1902</v>
      </c>
      <c r="B478" t="s">
        <v>1895</v>
      </c>
      <c r="C478" s="48">
        <f t="shared" si="64"/>
        <v>258570</v>
      </c>
      <c r="D478" t="s">
        <v>8</v>
      </c>
      <c r="E478" s="190">
        <v>198900</v>
      </c>
      <c r="F478" s="212">
        <v>1.3</v>
      </c>
      <c r="G478" s="213">
        <v>45803</v>
      </c>
      <c r="H478" s="111" t="s">
        <v>1911</v>
      </c>
    </row>
    <row r="479" spans="1:8" x14ac:dyDescent="0.25">
      <c r="A479" s="211" t="s">
        <v>1903</v>
      </c>
      <c r="B479" t="s">
        <v>1917</v>
      </c>
      <c r="C479" s="48">
        <f t="shared" si="64"/>
        <v>65000</v>
      </c>
      <c r="D479" t="s">
        <v>114</v>
      </c>
      <c r="E479" s="190">
        <v>65000</v>
      </c>
      <c r="F479" s="212">
        <v>1</v>
      </c>
      <c r="G479" s="213">
        <v>45804</v>
      </c>
      <c r="H479" s="111" t="s">
        <v>1916</v>
      </c>
    </row>
    <row r="480" spans="1:8" x14ac:dyDescent="0.25">
      <c r="A480" s="211" t="s">
        <v>1904</v>
      </c>
      <c r="B480" t="s">
        <v>1941</v>
      </c>
      <c r="C480" s="48">
        <f t="shared" si="64"/>
        <v>5106.4000000000005</v>
      </c>
      <c r="D480" t="s">
        <v>1387</v>
      </c>
      <c r="E480" s="190">
        <v>3928</v>
      </c>
      <c r="F480" s="212">
        <v>1.3</v>
      </c>
      <c r="G480" s="213">
        <v>45695</v>
      </c>
      <c r="H480" s="111" t="s">
        <v>1940</v>
      </c>
    </row>
    <row r="481" spans="1:8" x14ac:dyDescent="0.25">
      <c r="A481" s="211" t="s">
        <v>1918</v>
      </c>
      <c r="B481" t="s">
        <v>1943</v>
      </c>
      <c r="C481" s="48">
        <f t="shared" si="64"/>
        <v>3928.6</v>
      </c>
      <c r="D481" t="s">
        <v>8</v>
      </c>
      <c r="E481" s="190">
        <v>3022</v>
      </c>
      <c r="F481" s="212">
        <v>1.3</v>
      </c>
      <c r="G481" s="213">
        <v>45799</v>
      </c>
      <c r="H481" s="111" t="s">
        <v>1944</v>
      </c>
    </row>
    <row r="482" spans="1:8" x14ac:dyDescent="0.25">
      <c r="A482" s="211" t="s">
        <v>1942</v>
      </c>
      <c r="B482" t="s">
        <v>2183</v>
      </c>
      <c r="C482" s="48">
        <f t="shared" ref="C482" si="65">E482*F482</f>
        <v>114635.3</v>
      </c>
      <c r="D482" t="s">
        <v>8</v>
      </c>
      <c r="E482" s="190">
        <v>88181</v>
      </c>
      <c r="F482" s="212">
        <v>1.3</v>
      </c>
      <c r="G482" s="213">
        <v>45799</v>
      </c>
      <c r="H482" s="111" t="s">
        <v>1946</v>
      </c>
    </row>
    <row r="483" spans="1:8" x14ac:dyDescent="0.25">
      <c r="A483" s="211" t="s">
        <v>1945</v>
      </c>
      <c r="B483" t="s">
        <v>1948</v>
      </c>
      <c r="C483" s="48">
        <f t="shared" ref="C483:C484" si="66">E483*F483</f>
        <v>195000</v>
      </c>
      <c r="D483" t="s">
        <v>8</v>
      </c>
      <c r="E483" s="190">
        <v>150000</v>
      </c>
      <c r="F483" s="212">
        <v>1.3</v>
      </c>
      <c r="G483" s="213">
        <v>45799</v>
      </c>
      <c r="H483" s="111" t="s">
        <v>1794</v>
      </c>
    </row>
    <row r="484" spans="1:8" x14ac:dyDescent="0.25">
      <c r="A484" s="211" t="s">
        <v>1947</v>
      </c>
      <c r="B484" t="s">
        <v>1951</v>
      </c>
      <c r="C484" s="48">
        <f t="shared" si="66"/>
        <v>27170</v>
      </c>
      <c r="D484" t="s">
        <v>8</v>
      </c>
      <c r="E484" s="190">
        <v>20900</v>
      </c>
      <c r="F484" s="212">
        <v>1.3</v>
      </c>
      <c r="G484" s="213">
        <v>45803</v>
      </c>
      <c r="H484" s="111" t="s">
        <v>1952</v>
      </c>
    </row>
    <row r="485" spans="1:8" x14ac:dyDescent="0.25">
      <c r="A485" s="211" t="s">
        <v>1949</v>
      </c>
      <c r="B485" t="s">
        <v>1956</v>
      </c>
      <c r="C485" s="48">
        <f t="shared" ref="C485:C486" si="67">E485*F485</f>
        <v>832130</v>
      </c>
      <c r="D485" t="s">
        <v>8</v>
      </c>
      <c r="E485" s="190">
        <v>640100</v>
      </c>
      <c r="F485" s="212">
        <v>1.3</v>
      </c>
      <c r="G485" s="213">
        <v>45803</v>
      </c>
      <c r="H485" s="111" t="s">
        <v>1954</v>
      </c>
    </row>
    <row r="486" spans="1:8" x14ac:dyDescent="0.25">
      <c r="A486" s="211" t="s">
        <v>1953</v>
      </c>
      <c r="B486" t="s">
        <v>2176</v>
      </c>
      <c r="C486" s="48">
        <f t="shared" si="67"/>
        <v>204466.6</v>
      </c>
      <c r="D486" t="s">
        <v>8</v>
      </c>
      <c r="E486" s="190">
        <v>157282</v>
      </c>
      <c r="F486" s="212">
        <v>1.3</v>
      </c>
      <c r="G486" s="213">
        <v>45799</v>
      </c>
      <c r="H486" s="111" t="s">
        <v>1957</v>
      </c>
    </row>
    <row r="487" spans="1:8" x14ac:dyDescent="0.25">
      <c r="A487" s="211" t="s">
        <v>1955</v>
      </c>
      <c r="B487" t="s">
        <v>1959</v>
      </c>
      <c r="C487" s="48">
        <f t="shared" ref="C487" si="68">E487*F487</f>
        <v>36670.400000000001</v>
      </c>
      <c r="D487" t="s">
        <v>8</v>
      </c>
      <c r="E487" s="190">
        <v>28208</v>
      </c>
      <c r="F487" s="212">
        <v>1.3</v>
      </c>
      <c r="G487" s="213">
        <v>45799</v>
      </c>
      <c r="H487" s="111" t="s">
        <v>1957</v>
      </c>
    </row>
    <row r="488" spans="1:8" x14ac:dyDescent="0.25">
      <c r="A488" s="211" t="s">
        <v>1958</v>
      </c>
      <c r="B488" t="s">
        <v>2864</v>
      </c>
      <c r="C488" s="48">
        <f t="shared" ref="C488:C489" si="69">E488*F488</f>
        <v>6765.2</v>
      </c>
      <c r="D488" t="s">
        <v>8</v>
      </c>
      <c r="E488" s="190">
        <v>5204</v>
      </c>
      <c r="F488" s="212">
        <v>1.3</v>
      </c>
      <c r="G488" s="213">
        <v>45799</v>
      </c>
      <c r="H488" s="111" t="s">
        <v>1960</v>
      </c>
    </row>
    <row r="489" spans="1:8" x14ac:dyDescent="0.25">
      <c r="A489" s="211" t="s">
        <v>1964</v>
      </c>
      <c r="B489" t="s">
        <v>1963</v>
      </c>
      <c r="C489" s="48">
        <f t="shared" si="69"/>
        <v>16986.666666666668</v>
      </c>
      <c r="D489" t="s">
        <v>108</v>
      </c>
      <c r="E489" s="190">
        <f>78400/6</f>
        <v>13066.666666666666</v>
      </c>
      <c r="F489" s="212">
        <v>1.3</v>
      </c>
      <c r="G489" s="213">
        <v>45804</v>
      </c>
      <c r="H489" s="111" t="s">
        <v>1962</v>
      </c>
    </row>
    <row r="490" spans="1:8" x14ac:dyDescent="0.25">
      <c r="A490" s="211" t="s">
        <v>1967</v>
      </c>
      <c r="B490" t="s">
        <v>1966</v>
      </c>
      <c r="C490" s="48">
        <f t="shared" ref="C490" si="70">E490*F490</f>
        <v>413270</v>
      </c>
      <c r="D490" t="s">
        <v>8</v>
      </c>
      <c r="E490" s="190">
        <v>317900</v>
      </c>
      <c r="F490" s="212">
        <v>1.3</v>
      </c>
      <c r="G490" s="213">
        <v>45805</v>
      </c>
      <c r="H490" s="111" t="s">
        <v>1965</v>
      </c>
    </row>
    <row r="491" spans="1:8" x14ac:dyDescent="0.25">
      <c r="A491" s="211" t="s">
        <v>1970</v>
      </c>
      <c r="B491" t="s">
        <v>1969</v>
      </c>
      <c r="C491" s="48">
        <f t="shared" ref="C491" si="71">E491*F491</f>
        <v>98670</v>
      </c>
      <c r="D491" t="s">
        <v>8</v>
      </c>
      <c r="E491" s="190">
        <v>75900</v>
      </c>
      <c r="F491" s="212">
        <v>1.3</v>
      </c>
      <c r="G491" s="213">
        <v>45805</v>
      </c>
      <c r="H491" s="111" t="s">
        <v>1968</v>
      </c>
    </row>
    <row r="492" spans="1:8" x14ac:dyDescent="0.25">
      <c r="A492" s="211" t="s">
        <v>1971</v>
      </c>
      <c r="B492" t="s">
        <v>1972</v>
      </c>
      <c r="C492" s="48">
        <f t="shared" ref="C492" si="72">E492*F492</f>
        <v>14170</v>
      </c>
      <c r="D492" t="s">
        <v>8</v>
      </c>
      <c r="E492" s="190">
        <v>10900</v>
      </c>
      <c r="F492" s="212">
        <v>1.3</v>
      </c>
      <c r="G492" s="213">
        <v>45805</v>
      </c>
      <c r="H492" s="111" t="s">
        <v>1973</v>
      </c>
    </row>
    <row r="493" spans="1:8" x14ac:dyDescent="0.25">
      <c r="A493" s="211" t="s">
        <v>1976</v>
      </c>
      <c r="B493" t="s">
        <v>1974</v>
      </c>
      <c r="C493" s="48">
        <f t="shared" ref="C493" si="73">E493*F493</f>
        <v>76570</v>
      </c>
      <c r="D493" t="s">
        <v>8</v>
      </c>
      <c r="E493" s="190">
        <v>58900</v>
      </c>
      <c r="F493" s="212">
        <v>1.3</v>
      </c>
      <c r="G493" s="213">
        <v>45805</v>
      </c>
      <c r="H493" s="111" t="s">
        <v>1975</v>
      </c>
    </row>
    <row r="494" spans="1:8" x14ac:dyDescent="0.25">
      <c r="A494" s="211" t="s">
        <v>2115</v>
      </c>
      <c r="B494" t="s">
        <v>2118</v>
      </c>
      <c r="C494" s="48">
        <f t="shared" ref="C494" si="74">E494*F494</f>
        <v>2967.9</v>
      </c>
      <c r="D494" t="s">
        <v>108</v>
      </c>
      <c r="E494" s="190">
        <v>2283</v>
      </c>
      <c r="F494" s="212">
        <v>1.3</v>
      </c>
      <c r="G494" s="213">
        <v>45805</v>
      </c>
      <c r="H494" s="111" t="s">
        <v>2116</v>
      </c>
    </row>
    <row r="495" spans="1:8" x14ac:dyDescent="0.25">
      <c r="A495" s="211" t="s">
        <v>2120</v>
      </c>
      <c r="B495" t="s">
        <v>2117</v>
      </c>
      <c r="C495" s="48">
        <f t="shared" ref="C495" si="75">E495*F495</f>
        <v>520</v>
      </c>
      <c r="D495" t="s">
        <v>108</v>
      </c>
      <c r="E495" s="190">
        <v>400</v>
      </c>
      <c r="F495" s="212">
        <v>1.3</v>
      </c>
      <c r="G495" s="213">
        <v>45805</v>
      </c>
      <c r="H495" s="111" t="s">
        <v>2119</v>
      </c>
    </row>
    <row r="496" spans="1:8" x14ac:dyDescent="0.25">
      <c r="A496" s="211" t="s">
        <v>2123</v>
      </c>
      <c r="B496" t="s">
        <v>2122</v>
      </c>
      <c r="C496" s="48">
        <f t="shared" ref="C496" si="76">E496*F496</f>
        <v>650</v>
      </c>
      <c r="D496" t="s">
        <v>108</v>
      </c>
      <c r="E496" s="190">
        <v>500</v>
      </c>
      <c r="F496" s="212">
        <v>1.3</v>
      </c>
      <c r="G496" s="213">
        <v>45805</v>
      </c>
      <c r="H496" s="111" t="s">
        <v>2121</v>
      </c>
    </row>
    <row r="497" spans="1:8" x14ac:dyDescent="0.25">
      <c r="A497" s="211" t="s">
        <v>2126</v>
      </c>
      <c r="B497" t="s">
        <v>2124</v>
      </c>
      <c r="C497" s="48">
        <f t="shared" ref="C497" si="77">E497*F497</f>
        <v>596570</v>
      </c>
      <c r="D497" t="s">
        <v>108</v>
      </c>
      <c r="E497" s="190">
        <v>458900</v>
      </c>
      <c r="F497" s="212">
        <v>1.3</v>
      </c>
      <c r="G497" s="213">
        <v>45805</v>
      </c>
      <c r="H497" s="111" t="s">
        <v>2125</v>
      </c>
    </row>
    <row r="498" spans="1:8" x14ac:dyDescent="0.25">
      <c r="A498" s="211" t="s">
        <v>2129</v>
      </c>
      <c r="B498" t="s">
        <v>2127</v>
      </c>
      <c r="C498" s="48">
        <f t="shared" ref="C498" si="78">E498*F498</f>
        <v>155870</v>
      </c>
      <c r="D498" t="s">
        <v>108</v>
      </c>
      <c r="E498" s="190">
        <v>119900</v>
      </c>
      <c r="F498" s="212">
        <v>1.3</v>
      </c>
      <c r="G498" s="213">
        <v>45805</v>
      </c>
      <c r="H498" s="111" t="s">
        <v>2128</v>
      </c>
    </row>
    <row r="499" spans="1:8" x14ac:dyDescent="0.25">
      <c r="A499" s="211" t="s">
        <v>2131</v>
      </c>
      <c r="B499" t="s">
        <v>1589</v>
      </c>
      <c r="C499" s="48">
        <f t="shared" ref="C499" si="79">E499*F499</f>
        <v>2079870</v>
      </c>
      <c r="D499" t="s">
        <v>108</v>
      </c>
      <c r="E499" s="190">
        <v>1599900</v>
      </c>
      <c r="F499" s="212">
        <v>1.3</v>
      </c>
      <c r="G499" s="213">
        <v>45805</v>
      </c>
      <c r="H499" s="111" t="s">
        <v>1447</v>
      </c>
    </row>
    <row r="500" spans="1:8" x14ac:dyDescent="0.25">
      <c r="A500" s="211" t="s">
        <v>2132</v>
      </c>
      <c r="B500" t="s">
        <v>2130</v>
      </c>
      <c r="C500" s="48">
        <f t="shared" ref="C500" si="80">E500*F500</f>
        <v>326170</v>
      </c>
      <c r="D500" t="s">
        <v>108</v>
      </c>
      <c r="E500" s="190">
        <v>250900</v>
      </c>
      <c r="F500" s="212">
        <v>1.3</v>
      </c>
      <c r="G500" s="213">
        <v>45805</v>
      </c>
      <c r="H500" s="111" t="s">
        <v>2133</v>
      </c>
    </row>
    <row r="501" spans="1:8" x14ac:dyDescent="0.25">
      <c r="A501" s="211" t="s">
        <v>2134</v>
      </c>
      <c r="B501" t="s">
        <v>2861</v>
      </c>
      <c r="C501" s="48">
        <f t="shared" ref="C501" si="81">E501*F501</f>
        <v>97500</v>
      </c>
      <c r="D501" t="s">
        <v>108</v>
      </c>
      <c r="E501" s="190">
        <v>75000</v>
      </c>
      <c r="F501" s="212">
        <v>1.3</v>
      </c>
      <c r="G501" s="213">
        <v>45805</v>
      </c>
      <c r="H501" s="111" t="s">
        <v>2862</v>
      </c>
    </row>
    <row r="502" spans="1:8" x14ac:dyDescent="0.25">
      <c r="A502" s="211" t="s">
        <v>2136</v>
      </c>
      <c r="B502" t="s">
        <v>2135</v>
      </c>
      <c r="C502" s="48">
        <f t="shared" ref="C502" si="82">E502*F502</f>
        <v>27300</v>
      </c>
      <c r="D502" t="s">
        <v>108</v>
      </c>
      <c r="E502" s="190">
        <v>21000</v>
      </c>
      <c r="F502" s="212">
        <v>1.3</v>
      </c>
      <c r="G502" s="213">
        <v>45805</v>
      </c>
      <c r="H502" s="111" t="s">
        <v>2137</v>
      </c>
    </row>
    <row r="503" spans="1:8" x14ac:dyDescent="0.25">
      <c r="A503" s="211" t="s">
        <v>2140</v>
      </c>
      <c r="B503" t="s">
        <v>2139</v>
      </c>
      <c r="C503" s="48">
        <f t="shared" ref="C503" si="83">E503*F503</f>
        <v>1400808.5</v>
      </c>
      <c r="D503" t="s">
        <v>108</v>
      </c>
      <c r="E503" s="190">
        <v>1077545</v>
      </c>
      <c r="F503" s="212">
        <v>1.3</v>
      </c>
      <c r="G503" s="213">
        <v>45805</v>
      </c>
      <c r="H503" s="111" t="s">
        <v>2138</v>
      </c>
    </row>
    <row r="504" spans="1:8" x14ac:dyDescent="0.25">
      <c r="A504" s="211" t="s">
        <v>2142</v>
      </c>
      <c r="B504" t="str">
        <f>UPPER("Válvula Bola Manija Mariposa 1/2""")</f>
        <v>VÁLVULA BOLA MANIJA MARIPOSA 1/2"</v>
      </c>
      <c r="C504" s="48">
        <f t="shared" ref="C504" si="84">E504*F504</f>
        <v>38870</v>
      </c>
      <c r="D504" t="s">
        <v>108</v>
      </c>
      <c r="E504" s="190">
        <v>29900</v>
      </c>
      <c r="F504" s="212">
        <v>1.3</v>
      </c>
      <c r="G504" s="213">
        <v>45805</v>
      </c>
      <c r="H504" s="111" t="s">
        <v>2141</v>
      </c>
    </row>
    <row r="505" spans="1:8" x14ac:dyDescent="0.25">
      <c r="A505" s="211" t="s">
        <v>2143</v>
      </c>
      <c r="B505" t="s">
        <v>2145</v>
      </c>
      <c r="C505" s="48">
        <f t="shared" ref="C505" si="85">E505*F505</f>
        <v>7127.9000000000005</v>
      </c>
      <c r="D505" t="s">
        <v>108</v>
      </c>
      <c r="E505" s="190">
        <v>5483</v>
      </c>
      <c r="F505" s="212">
        <v>1.3</v>
      </c>
      <c r="G505" s="213">
        <v>45805</v>
      </c>
      <c r="H505" s="111" t="s">
        <v>2144</v>
      </c>
    </row>
    <row r="506" spans="1:8" x14ac:dyDescent="0.25">
      <c r="A506" s="211" t="s">
        <v>2148</v>
      </c>
      <c r="B506" t="s">
        <v>2147</v>
      </c>
      <c r="C506" s="48">
        <f t="shared" ref="C506" si="86">E506*F506</f>
        <v>3770</v>
      </c>
      <c r="D506" t="s">
        <v>108</v>
      </c>
      <c r="E506" s="190">
        <v>2900</v>
      </c>
      <c r="F506" s="212">
        <v>1.3</v>
      </c>
      <c r="G506" s="213">
        <v>45805</v>
      </c>
      <c r="H506" s="111" t="s">
        <v>2146</v>
      </c>
    </row>
    <row r="507" spans="1:8" x14ac:dyDescent="0.25">
      <c r="A507" s="211" t="s">
        <v>2150</v>
      </c>
      <c r="B507" t="s">
        <v>2151</v>
      </c>
      <c r="C507" s="48">
        <f t="shared" ref="C507" si="87">E507*F507</f>
        <v>1560</v>
      </c>
      <c r="D507" t="s">
        <v>108</v>
      </c>
      <c r="E507" s="190">
        <v>1200</v>
      </c>
      <c r="F507" s="212">
        <v>1.3</v>
      </c>
      <c r="G507" s="213">
        <v>45805</v>
      </c>
      <c r="H507" s="111" t="s">
        <v>2149</v>
      </c>
    </row>
    <row r="508" spans="1:8" x14ac:dyDescent="0.25">
      <c r="A508" s="211" t="s">
        <v>2156</v>
      </c>
      <c r="B508" t="s">
        <v>2153</v>
      </c>
      <c r="C508" s="48">
        <f t="shared" ref="C508:C509" si="88">E508*F508</f>
        <v>208000</v>
      </c>
      <c r="D508" t="s">
        <v>108</v>
      </c>
      <c r="E508" s="190">
        <v>160000</v>
      </c>
      <c r="F508" s="212">
        <v>1.3</v>
      </c>
      <c r="G508" s="213">
        <v>45805</v>
      </c>
      <c r="H508" s="111" t="s">
        <v>2152</v>
      </c>
    </row>
    <row r="509" spans="1:8" x14ac:dyDescent="0.25">
      <c r="A509" s="211" t="s">
        <v>2157</v>
      </c>
      <c r="B509" t="s">
        <v>2155</v>
      </c>
      <c r="C509" s="48">
        <f t="shared" si="88"/>
        <v>325</v>
      </c>
      <c r="D509" t="s">
        <v>108</v>
      </c>
      <c r="E509" s="190">
        <v>250</v>
      </c>
      <c r="F509" s="212">
        <v>1.3</v>
      </c>
      <c r="G509" s="213">
        <v>45805</v>
      </c>
      <c r="H509" s="111" t="s">
        <v>2154</v>
      </c>
    </row>
    <row r="510" spans="1:8" x14ac:dyDescent="0.25">
      <c r="A510" s="211" t="s">
        <v>2159</v>
      </c>
      <c r="B510" t="s">
        <v>2869</v>
      </c>
      <c r="C510" s="48">
        <f t="shared" ref="C510:C511" si="89">E510*F510</f>
        <v>287896.7</v>
      </c>
      <c r="D510" t="s">
        <v>108</v>
      </c>
      <c r="E510" s="190">
        <v>221459</v>
      </c>
      <c r="F510" s="212">
        <v>1.3</v>
      </c>
      <c r="G510" s="213">
        <v>45805</v>
      </c>
      <c r="H510" s="111" t="s">
        <v>2158</v>
      </c>
    </row>
    <row r="511" spans="1:8" x14ac:dyDescent="0.25">
      <c r="A511" s="211" t="s">
        <v>2167</v>
      </c>
      <c r="B511" t="s">
        <v>2163</v>
      </c>
      <c r="C511" s="48">
        <f t="shared" si="89"/>
        <v>1430</v>
      </c>
      <c r="D511" t="s">
        <v>8</v>
      </c>
      <c r="E511" s="190">
        <v>1100</v>
      </c>
      <c r="F511" s="212">
        <v>1.3</v>
      </c>
      <c r="G511" s="213">
        <v>45805</v>
      </c>
      <c r="H511" s="111" t="s">
        <v>2162</v>
      </c>
    </row>
    <row r="512" spans="1:8" x14ac:dyDescent="0.25">
      <c r="A512" s="211" t="s">
        <v>2164</v>
      </c>
      <c r="B512" t="s">
        <v>2165</v>
      </c>
      <c r="C512" s="48">
        <f t="shared" ref="C512" si="90">E512*F512</f>
        <v>325</v>
      </c>
      <c r="D512" t="s">
        <v>8</v>
      </c>
      <c r="E512" s="190">
        <v>250</v>
      </c>
      <c r="F512" s="212">
        <v>1.3</v>
      </c>
      <c r="G512" s="213">
        <v>45805</v>
      </c>
      <c r="H512" s="111" t="s">
        <v>2166</v>
      </c>
    </row>
    <row r="513" spans="1:8" x14ac:dyDescent="0.25">
      <c r="A513" s="211" t="s">
        <v>2171</v>
      </c>
      <c r="B513" t="str">
        <f>UPPER("Cinta Teflón Ptfe Básica 3/4 """)</f>
        <v>CINTA TEFLÓN PTFE BÁSICA 3/4 "</v>
      </c>
      <c r="C513" s="48">
        <f t="shared" ref="C513" si="91">E513*F513</f>
        <v>335.40000000000003</v>
      </c>
      <c r="D513" t="s">
        <v>8</v>
      </c>
      <c r="E513" s="190">
        <v>258</v>
      </c>
      <c r="F513" s="212">
        <v>1.3</v>
      </c>
      <c r="G513" s="213">
        <v>45805</v>
      </c>
      <c r="H513" s="111" t="s">
        <v>2168</v>
      </c>
    </row>
    <row r="514" spans="1:8" x14ac:dyDescent="0.25">
      <c r="A514" s="211" t="s">
        <v>2173</v>
      </c>
      <c r="B514" t="s">
        <v>2170</v>
      </c>
      <c r="C514" s="48">
        <f t="shared" ref="C514:C515" si="92">E514*F514</f>
        <v>4790.5</v>
      </c>
      <c r="D514" t="s">
        <v>113</v>
      </c>
      <c r="E514" s="190">
        <v>3685</v>
      </c>
      <c r="F514" s="212">
        <v>1.3</v>
      </c>
      <c r="G514" s="213">
        <v>45805</v>
      </c>
      <c r="H514" s="111" t="s">
        <v>2169</v>
      </c>
    </row>
    <row r="515" spans="1:8" x14ac:dyDescent="0.25">
      <c r="A515" s="211" t="s">
        <v>2179</v>
      </c>
      <c r="B515" t="s">
        <v>2174</v>
      </c>
      <c r="C515" s="48">
        <f t="shared" si="92"/>
        <v>40687.4</v>
      </c>
      <c r="D515" t="s">
        <v>8</v>
      </c>
      <c r="E515" s="190">
        <v>31298</v>
      </c>
      <c r="F515" s="212">
        <v>1.3</v>
      </c>
      <c r="G515" s="213">
        <v>45803</v>
      </c>
      <c r="H515" s="111" t="s">
        <v>2172</v>
      </c>
    </row>
    <row r="516" spans="1:8" x14ac:dyDescent="0.25">
      <c r="A516" s="211" t="s">
        <v>2180</v>
      </c>
      <c r="B516" t="str">
        <f>UPPER("Aditivo hidrófugo para impermeabilización de morteros u concretos")</f>
        <v>ADITIVO HIDRÓFUGO PARA IMPERMEABILIZACIÓN DE MORTEROS U CONCRETOS</v>
      </c>
      <c r="C516" s="48">
        <f t="shared" ref="C516" si="93">E516*F516</f>
        <v>5183.1000000000004</v>
      </c>
      <c r="D516" t="s">
        <v>1387</v>
      </c>
      <c r="E516" s="190">
        <v>3987</v>
      </c>
      <c r="F516" s="212">
        <v>1.3</v>
      </c>
      <c r="G516" s="213">
        <v>45805</v>
      </c>
      <c r="H516" s="111" t="s">
        <v>2178</v>
      </c>
    </row>
    <row r="517" spans="1:8" x14ac:dyDescent="0.25">
      <c r="A517" s="211" t="s">
        <v>2182</v>
      </c>
      <c r="B517" t="str">
        <f>UPPER("tablero cerámico hueco machihembrado, para revestir")</f>
        <v>TABLERO CERÁMICO HUECO MACHIHEMBRADO, PARA REVESTIR</v>
      </c>
      <c r="C517" s="48">
        <f t="shared" ref="C517:C518" si="94">E517*F517</f>
        <v>5066.1000000000004</v>
      </c>
      <c r="D517" t="s">
        <v>8</v>
      </c>
      <c r="E517" s="190">
        <v>3897</v>
      </c>
      <c r="F517" s="212">
        <v>1.3</v>
      </c>
      <c r="G517" s="213">
        <v>45805</v>
      </c>
      <c r="H517" s="111" t="s">
        <v>2178</v>
      </c>
    </row>
    <row r="518" spans="1:8" x14ac:dyDescent="0.25">
      <c r="A518" s="211" t="s">
        <v>2185</v>
      </c>
      <c r="B518" t="s">
        <v>2181</v>
      </c>
      <c r="C518" s="48">
        <f t="shared" si="94"/>
        <v>28600</v>
      </c>
      <c r="D518" t="s">
        <v>16</v>
      </c>
      <c r="E518" s="190">
        <v>22000</v>
      </c>
      <c r="F518" s="212">
        <v>1.3</v>
      </c>
      <c r="G518" s="213">
        <v>45807</v>
      </c>
      <c r="H518" s="111" t="s">
        <v>1794</v>
      </c>
    </row>
    <row r="519" spans="1:8" x14ac:dyDescent="0.25">
      <c r="A519" s="211" t="s">
        <v>2186</v>
      </c>
      <c r="B519" t="s">
        <v>2184</v>
      </c>
      <c r="C519" s="48">
        <f>E519*F519</f>
        <v>23400</v>
      </c>
      <c r="D519" t="s">
        <v>108</v>
      </c>
      <c r="E519" s="190">
        <v>18000</v>
      </c>
      <c r="F519" s="212">
        <v>1.3</v>
      </c>
      <c r="G519" s="213">
        <v>45730</v>
      </c>
      <c r="H519" s="111" t="s">
        <v>1794</v>
      </c>
    </row>
    <row r="520" spans="1:8" x14ac:dyDescent="0.25">
      <c r="A520" s="211" t="s">
        <v>2188</v>
      </c>
      <c r="B520" t="str">
        <f>UPPER("Agregado pétreo para mezcla asfaltica (procesado)")</f>
        <v>AGREGADO PÉTREO PARA MEZCLA ASFALTICA (PROCESADO)</v>
      </c>
      <c r="C520" s="48">
        <f>E520*F520</f>
        <v>86394.1</v>
      </c>
      <c r="D520" t="s">
        <v>114</v>
      </c>
      <c r="E520" s="190">
        <v>66457</v>
      </c>
      <c r="F520" s="212">
        <v>1.3</v>
      </c>
      <c r="G520" s="213">
        <v>45807</v>
      </c>
      <c r="H520" s="111" t="s">
        <v>2194</v>
      </c>
    </row>
    <row r="521" spans="1:8" x14ac:dyDescent="0.25">
      <c r="A521" s="211" t="s">
        <v>2191</v>
      </c>
      <c r="B521" t="s">
        <v>2187</v>
      </c>
      <c r="C521" s="48">
        <f>E521*F521</f>
        <v>11403.6</v>
      </c>
      <c r="D521" t="s">
        <v>114</v>
      </c>
      <c r="E521" s="190">
        <v>8772</v>
      </c>
      <c r="F521" s="212">
        <v>1.3</v>
      </c>
      <c r="G521" s="213">
        <v>45807</v>
      </c>
      <c r="H521" s="111" t="s">
        <v>2189</v>
      </c>
    </row>
    <row r="522" spans="1:8" x14ac:dyDescent="0.25">
      <c r="A522" s="211" t="s">
        <v>2205</v>
      </c>
      <c r="B522" t="s">
        <v>2190</v>
      </c>
      <c r="C522" s="48">
        <f>E522*F522</f>
        <v>95682.6</v>
      </c>
      <c r="D522" t="s">
        <v>114</v>
      </c>
      <c r="E522" s="190">
        <v>73602</v>
      </c>
      <c r="F522" s="212">
        <v>1.3</v>
      </c>
      <c r="G522" s="213">
        <v>45807</v>
      </c>
      <c r="H522" s="111" t="s">
        <v>2192</v>
      </c>
    </row>
    <row r="523" spans="1:8" x14ac:dyDescent="0.25">
      <c r="A523" s="211" t="s">
        <v>2214</v>
      </c>
      <c r="B523" t="str">
        <f>UPPER("Material de sub- base clase A (NT3) gradación SBG-38")</f>
        <v>MATERIAL DE SUB- BASE CLASE A (NT3) GRADACIÓN SBG-38</v>
      </c>
      <c r="C523" s="48">
        <f t="shared" ref="C523" si="95">E523*F523</f>
        <v>105645.54578375584</v>
      </c>
      <c r="D523" t="s">
        <v>114</v>
      </c>
      <c r="E523" s="190">
        <v>81265.804449042946</v>
      </c>
      <c r="F523" s="212">
        <v>1.3</v>
      </c>
      <c r="G523" s="213">
        <v>45805</v>
      </c>
      <c r="H523" s="111" t="s">
        <v>2194</v>
      </c>
    </row>
    <row r="524" spans="1:8" x14ac:dyDescent="0.25">
      <c r="A524" s="211" t="s">
        <v>2217</v>
      </c>
      <c r="B524" t="str">
        <f>UPPER("Emulsión asfáltica CRL-40 (CRL-0)")</f>
        <v>EMULSIÓN ASFÁLTICA CRL-40 (CRL-0)</v>
      </c>
      <c r="C524" s="48">
        <f t="shared" ref="C524" si="96">E524*F524</f>
        <v>2230.8000000000002</v>
      </c>
      <c r="D524" t="s">
        <v>133</v>
      </c>
      <c r="E524" s="190">
        <v>1716</v>
      </c>
      <c r="F524" s="212">
        <v>1.3</v>
      </c>
      <c r="G524" s="213">
        <v>45805</v>
      </c>
      <c r="H524" s="111" t="s">
        <v>2194</v>
      </c>
    </row>
    <row r="525" spans="1:8" x14ac:dyDescent="0.25">
      <c r="A525" s="211" t="s">
        <v>2221</v>
      </c>
      <c r="B525" t="str">
        <f>UPPER("Cemento hidráulico NTC 121 tipo UG")</f>
        <v>CEMENTO HIDRÁULICO NTC 121 TIPO UG</v>
      </c>
      <c r="C525" s="48">
        <f t="shared" ref="C525:C528" si="97">E525*F525</f>
        <v>839.45198615016625</v>
      </c>
      <c r="D525" t="s">
        <v>1387</v>
      </c>
      <c r="E525" s="190">
        <v>645.73229703858942</v>
      </c>
      <c r="F525" s="212">
        <v>1.3</v>
      </c>
      <c r="G525" s="213">
        <v>45812</v>
      </c>
      <c r="H525" s="111" t="s">
        <v>2194</v>
      </c>
    </row>
    <row r="526" spans="1:8" x14ac:dyDescent="0.25">
      <c r="A526" s="211" t="s">
        <v>2222</v>
      </c>
      <c r="B526" t="s">
        <v>2218</v>
      </c>
      <c r="C526" s="48">
        <f t="shared" si="97"/>
        <v>8776.7068804966384</v>
      </c>
      <c r="D526" t="s">
        <v>1387</v>
      </c>
      <c r="E526" s="190">
        <v>6751.3129849974139</v>
      </c>
      <c r="F526" s="212">
        <v>1.3</v>
      </c>
      <c r="G526" s="213">
        <v>45812</v>
      </c>
      <c r="H526" s="111" t="s">
        <v>2194</v>
      </c>
    </row>
    <row r="527" spans="1:8" x14ac:dyDescent="0.25">
      <c r="A527" s="211" t="s">
        <v>2223</v>
      </c>
      <c r="B527" t="s">
        <v>2219</v>
      </c>
      <c r="C527" s="48">
        <f t="shared" si="97"/>
        <v>110449.71171892511</v>
      </c>
      <c r="D527" t="s">
        <v>17</v>
      </c>
      <c r="E527" s="190">
        <v>84961.316706865473</v>
      </c>
      <c r="F527" s="212">
        <v>1.3</v>
      </c>
      <c r="G527" s="213">
        <v>45812</v>
      </c>
      <c r="H527" s="111" t="s">
        <v>2194</v>
      </c>
    </row>
    <row r="528" spans="1:8" x14ac:dyDescent="0.25">
      <c r="A528" s="211" t="s">
        <v>2227</v>
      </c>
      <c r="B528" t="s">
        <v>2220</v>
      </c>
      <c r="C528" s="48">
        <f t="shared" si="97"/>
        <v>71931.846338038595</v>
      </c>
      <c r="D528" t="s">
        <v>17</v>
      </c>
      <c r="E528" s="190">
        <v>55332.189490798919</v>
      </c>
      <c r="F528" s="212">
        <v>1.3</v>
      </c>
      <c r="G528" s="213">
        <v>45812</v>
      </c>
      <c r="H528" s="111" t="s">
        <v>2194</v>
      </c>
    </row>
    <row r="529" spans="1:8" x14ac:dyDescent="0.25">
      <c r="A529" s="211" t="s">
        <v>2229</v>
      </c>
      <c r="B529" t="s">
        <v>2226</v>
      </c>
      <c r="C529" s="48">
        <f t="shared" ref="C529:C533" si="98">E529*F529</f>
        <v>416080.91877909994</v>
      </c>
      <c r="D529" t="s">
        <v>8</v>
      </c>
      <c r="E529" s="190">
        <v>320062.24521469226</v>
      </c>
      <c r="F529" s="212">
        <v>1.3</v>
      </c>
      <c r="G529" s="213">
        <v>45812</v>
      </c>
      <c r="H529" s="111" t="s">
        <v>2194</v>
      </c>
    </row>
    <row r="530" spans="1:8" x14ac:dyDescent="0.25">
      <c r="A530" s="211" t="s">
        <v>2234</v>
      </c>
      <c r="B530" t="s">
        <v>2228</v>
      </c>
      <c r="C530" s="48">
        <f t="shared" si="98"/>
        <v>28877.333333333332</v>
      </c>
      <c r="D530" t="s">
        <v>108</v>
      </c>
      <c r="E530" s="190">
        <f>133280/6</f>
        <v>22213.333333333332</v>
      </c>
      <c r="F530" s="212">
        <v>1.3</v>
      </c>
      <c r="G530" s="213">
        <v>45812</v>
      </c>
      <c r="H530" s="111" t="s">
        <v>2230</v>
      </c>
    </row>
    <row r="531" spans="1:8" x14ac:dyDescent="0.25">
      <c r="A531" s="211" t="s">
        <v>2236</v>
      </c>
      <c r="B531" t="str">
        <f>UPPER("Pintura de color amarillo, para marcas viales sobre la calzada")</f>
        <v>PINTURA DE COLOR AMARILLO, PARA MARCAS VIALES SOBRE LA CALZADA</v>
      </c>
      <c r="C531" s="48">
        <f t="shared" si="98"/>
        <v>18375.5</v>
      </c>
      <c r="D531" t="s">
        <v>1387</v>
      </c>
      <c r="E531" s="190">
        <v>14135</v>
      </c>
      <c r="F531" s="212">
        <v>1.3</v>
      </c>
      <c r="G531" s="213">
        <v>45713</v>
      </c>
      <c r="H531" t="s">
        <v>1212</v>
      </c>
    </row>
    <row r="532" spans="1:8" x14ac:dyDescent="0.25">
      <c r="A532" s="211" t="s">
        <v>2239</v>
      </c>
      <c r="B532" t="str">
        <f>UPPER("Tubo Acero Negro C40 ASTM-53 de 6""")</f>
        <v>TUBO ACERO NEGRO C40 ASTM-53 DE 6"</v>
      </c>
      <c r="C532" s="48">
        <f t="shared" si="98"/>
        <v>256021.13333333336</v>
      </c>
      <c r="D532" t="s">
        <v>108</v>
      </c>
      <c r="E532" s="190">
        <f>1181636/6</f>
        <v>196939.33333333334</v>
      </c>
      <c r="F532" s="212">
        <v>1.3</v>
      </c>
      <c r="G532" s="213">
        <v>45805</v>
      </c>
      <c r="H532" s="111" t="s">
        <v>2235</v>
      </c>
    </row>
    <row r="533" spans="1:8" x14ac:dyDescent="0.25">
      <c r="A533" s="211" t="s">
        <v>2242</v>
      </c>
      <c r="B533" t="s">
        <v>2238</v>
      </c>
      <c r="C533" s="48">
        <f t="shared" si="98"/>
        <v>95095</v>
      </c>
      <c r="D533" t="s">
        <v>108</v>
      </c>
      <c r="E533" s="190">
        <v>73150</v>
      </c>
      <c r="F533" s="212">
        <v>1.3</v>
      </c>
      <c r="G533" s="213">
        <v>45804</v>
      </c>
      <c r="H533" s="111" t="s">
        <v>2237</v>
      </c>
    </row>
    <row r="534" spans="1:8" x14ac:dyDescent="0.25">
      <c r="A534" s="211" t="s">
        <v>2265</v>
      </c>
      <c r="B534" t="s">
        <v>2240</v>
      </c>
      <c r="C534" s="48">
        <f t="shared" ref="C534:C542" si="99">E534*F534</f>
        <v>1605748.3</v>
      </c>
      <c r="D534" t="s">
        <v>8</v>
      </c>
      <c r="E534" s="190">
        <v>1235191</v>
      </c>
      <c r="F534" s="212">
        <v>1.3</v>
      </c>
      <c r="G534" s="213">
        <v>45804</v>
      </c>
      <c r="H534" s="111" t="s">
        <v>2241</v>
      </c>
    </row>
    <row r="535" spans="1:8" x14ac:dyDescent="0.25">
      <c r="A535" s="211" t="s">
        <v>2266</v>
      </c>
      <c r="B535" t="s">
        <v>2259</v>
      </c>
      <c r="C535" s="48">
        <f t="shared" si="99"/>
        <v>108145.427</v>
      </c>
      <c r="D535" t="s">
        <v>8</v>
      </c>
      <c r="E535" s="190">
        <v>83188.789999999994</v>
      </c>
      <c r="F535" s="212">
        <v>1.3</v>
      </c>
      <c r="G535" s="213">
        <v>45828</v>
      </c>
      <c r="H535" s="111" t="s">
        <v>2264</v>
      </c>
    </row>
    <row r="536" spans="1:8" x14ac:dyDescent="0.25">
      <c r="A536" s="211" t="s">
        <v>2267</v>
      </c>
      <c r="B536" t="s">
        <v>2260</v>
      </c>
      <c r="C536" s="48">
        <f t="shared" si="99"/>
        <v>35915.126000000004</v>
      </c>
      <c r="D536" t="s">
        <v>8</v>
      </c>
      <c r="E536" s="190">
        <v>27627.02</v>
      </c>
      <c r="F536" s="212">
        <v>1.3</v>
      </c>
      <c r="G536" s="213">
        <v>45828</v>
      </c>
      <c r="H536" s="111" t="s">
        <v>2264</v>
      </c>
    </row>
    <row r="537" spans="1:8" x14ac:dyDescent="0.25">
      <c r="A537" s="211" t="s">
        <v>2268</v>
      </c>
      <c r="B537" t="s">
        <v>2261</v>
      </c>
      <c r="C537" s="48">
        <f t="shared" si="99"/>
        <v>108634.357</v>
      </c>
      <c r="D537" t="s">
        <v>8</v>
      </c>
      <c r="E537" s="190">
        <v>83564.89</v>
      </c>
      <c r="F537" s="212">
        <v>1.3</v>
      </c>
      <c r="G537" s="213">
        <v>45828</v>
      </c>
      <c r="H537" s="111" t="s">
        <v>2264</v>
      </c>
    </row>
    <row r="538" spans="1:8" x14ac:dyDescent="0.25">
      <c r="A538" s="211" t="s">
        <v>2269</v>
      </c>
      <c r="B538" t="s">
        <v>2262</v>
      </c>
      <c r="C538" s="48">
        <f t="shared" si="99"/>
        <v>77119.731</v>
      </c>
      <c r="D538" t="s">
        <v>8</v>
      </c>
      <c r="E538" s="190">
        <v>59322.87</v>
      </c>
      <c r="F538" s="212">
        <v>1.3</v>
      </c>
      <c r="G538" s="213">
        <v>45828</v>
      </c>
      <c r="H538" s="111" t="s">
        <v>2264</v>
      </c>
    </row>
    <row r="539" spans="1:8" x14ac:dyDescent="0.25">
      <c r="A539" s="211" t="s">
        <v>2270</v>
      </c>
      <c r="B539" t="s">
        <v>2263</v>
      </c>
      <c r="C539" s="48">
        <f t="shared" si="99"/>
        <v>5556.174</v>
      </c>
      <c r="D539" t="s">
        <v>8</v>
      </c>
      <c r="E539" s="190">
        <v>4273.9799999999996</v>
      </c>
      <c r="F539" s="212">
        <v>1.3</v>
      </c>
      <c r="G539" s="213">
        <v>45828</v>
      </c>
      <c r="H539" s="111" t="s">
        <v>2264</v>
      </c>
    </row>
    <row r="540" spans="1:8" x14ac:dyDescent="0.25">
      <c r="A540" s="211" t="s">
        <v>2363</v>
      </c>
      <c r="B540" t="s">
        <v>2271</v>
      </c>
      <c r="C540" s="48">
        <f t="shared" si="99"/>
        <v>2598750000</v>
      </c>
      <c r="D540" t="s">
        <v>8</v>
      </c>
      <c r="E540" s="190">
        <f>525000*'Precio Monedas'!B2</f>
        <v>2362500000</v>
      </c>
      <c r="F540" s="212">
        <v>1.1000000000000001</v>
      </c>
      <c r="G540" s="213">
        <v>45755</v>
      </c>
      <c r="H540" s="78" t="s">
        <v>1117</v>
      </c>
    </row>
    <row r="541" spans="1:8" x14ac:dyDescent="0.25">
      <c r="A541" s="211" t="s">
        <v>2365</v>
      </c>
      <c r="B541" t="s">
        <v>2362</v>
      </c>
      <c r="C541" s="48">
        <f t="shared" si="99"/>
        <v>8400000</v>
      </c>
      <c r="D541" t="s">
        <v>8</v>
      </c>
      <c r="E541" s="190">
        <f>8400000/1.3</f>
        <v>6461538.461538461</v>
      </c>
      <c r="F541" s="212">
        <v>1.3</v>
      </c>
      <c r="G541" s="213">
        <v>45834</v>
      </c>
      <c r="H541" t="s">
        <v>2364</v>
      </c>
    </row>
    <row r="542" spans="1:8" x14ac:dyDescent="0.25">
      <c r="A542" s="211" t="s">
        <v>2370</v>
      </c>
      <c r="B542" t="s">
        <v>2257</v>
      </c>
      <c r="C542" s="48">
        <f t="shared" si="99"/>
        <v>390994178.36983842</v>
      </c>
      <c r="D542" t="s">
        <v>8</v>
      </c>
      <c r="E542" s="190">
        <f>40490*IPP!C273*'Precio Monedas'!B2*1.19*1.2</f>
        <v>325828481.97486538</v>
      </c>
      <c r="F542" s="212">
        <v>1.2</v>
      </c>
      <c r="G542" s="213">
        <v>45695</v>
      </c>
      <c r="H542" s="111" t="s">
        <v>1794</v>
      </c>
    </row>
    <row r="543" spans="1:8" x14ac:dyDescent="0.25">
      <c r="A543" s="211" t="s">
        <v>2389</v>
      </c>
      <c r="B543" t="s">
        <v>2369</v>
      </c>
      <c r="C543" s="48">
        <f t="shared" ref="C543" si="100">E543*F543</f>
        <v>90000000</v>
      </c>
      <c r="D543" t="s">
        <v>8</v>
      </c>
      <c r="E543" s="190">
        <f>90000000/1.2</f>
        <v>75000000</v>
      </c>
      <c r="F543" s="212">
        <v>1.2</v>
      </c>
      <c r="G543" s="213">
        <v>45695</v>
      </c>
      <c r="H543" s="111" t="s">
        <v>1794</v>
      </c>
    </row>
    <row r="544" spans="1:8" x14ac:dyDescent="0.25">
      <c r="A544" s="211" t="s">
        <v>2390</v>
      </c>
      <c r="B544" t="s">
        <v>2376</v>
      </c>
      <c r="C544" s="48">
        <f t="shared" ref="C544:C546" si="101">E544*F544</f>
        <v>37406.46</v>
      </c>
      <c r="D544" t="s">
        <v>108</v>
      </c>
      <c r="E544" s="190">
        <f>20150*1.19*1.2</f>
        <v>28774.2</v>
      </c>
      <c r="F544" s="212">
        <v>1.3</v>
      </c>
      <c r="G544" s="213">
        <v>45707</v>
      </c>
      <c r="H544" t="s">
        <v>1102</v>
      </c>
    </row>
    <row r="545" spans="1:8" x14ac:dyDescent="0.25">
      <c r="A545" s="211" t="s">
        <v>2391</v>
      </c>
      <c r="B545" t="s">
        <v>2381</v>
      </c>
      <c r="C545" s="48">
        <f t="shared" si="101"/>
        <v>2600000</v>
      </c>
      <c r="D545" t="s">
        <v>8</v>
      </c>
      <c r="E545" s="190">
        <v>2000000</v>
      </c>
      <c r="F545" s="212">
        <v>1.3</v>
      </c>
      <c r="G545" s="213">
        <v>45701</v>
      </c>
      <c r="H545" s="111" t="s">
        <v>2382</v>
      </c>
    </row>
    <row r="546" spans="1:8" x14ac:dyDescent="0.25">
      <c r="A546" s="211" t="s">
        <v>2392</v>
      </c>
      <c r="B546" t="s">
        <v>2388</v>
      </c>
      <c r="C546" s="48">
        <f t="shared" si="101"/>
        <v>455</v>
      </c>
      <c r="D546" t="s">
        <v>8</v>
      </c>
      <c r="E546" s="190">
        <v>350</v>
      </c>
      <c r="F546" s="212">
        <v>1.3</v>
      </c>
      <c r="G546" s="213">
        <v>45839</v>
      </c>
      <c r="H546" s="111" t="s">
        <v>2394</v>
      </c>
    </row>
    <row r="547" spans="1:8" x14ac:dyDescent="0.25">
      <c r="A547" s="211" t="s">
        <v>2399</v>
      </c>
      <c r="B547" t="s">
        <v>2393</v>
      </c>
      <c r="C547" s="48">
        <f t="shared" ref="C547:C548" si="102">E547*F547</f>
        <v>57460</v>
      </c>
      <c r="D547" t="s">
        <v>108</v>
      </c>
      <c r="E547" s="190">
        <v>44200</v>
      </c>
      <c r="F547" s="212">
        <v>1.3</v>
      </c>
      <c r="G547" s="213">
        <v>45839</v>
      </c>
      <c r="H547" s="111" t="s">
        <v>1203</v>
      </c>
    </row>
    <row r="548" spans="1:8" x14ac:dyDescent="0.25">
      <c r="A548" s="211" t="s">
        <v>2401</v>
      </c>
      <c r="B548" t="str">
        <f>UPPER("Toma Aerea De Seguridad Hembra De 4 Polos Halux twist lock")</f>
        <v>TOMA AEREA DE SEGURIDAD HEMBRA DE 4 POLOS HALUX TWIST LOCK</v>
      </c>
      <c r="C548" s="48">
        <f t="shared" si="102"/>
        <v>41470</v>
      </c>
      <c r="D548" t="s">
        <v>8</v>
      </c>
      <c r="E548" s="190">
        <v>31900</v>
      </c>
      <c r="F548" s="212">
        <v>1.3</v>
      </c>
      <c r="G548" s="213">
        <v>45840</v>
      </c>
      <c r="H548" s="111" t="s">
        <v>2400</v>
      </c>
    </row>
    <row r="549" spans="1:8" x14ac:dyDescent="0.25">
      <c r="A549" s="211" t="s">
        <v>2403</v>
      </c>
      <c r="B549" t="str">
        <f>UPPER("Clavija Aerea De Seguridad Macho De 4 Polos Halux")</f>
        <v>CLAVIJA AEREA DE SEGURIDAD MACHO DE 4 POLOS HALUX</v>
      </c>
      <c r="C549" s="48">
        <f t="shared" ref="C549" si="103">E549*F549</f>
        <v>115570</v>
      </c>
      <c r="D549" t="s">
        <v>8</v>
      </c>
      <c r="E549" s="190">
        <v>88900</v>
      </c>
      <c r="F549" s="212">
        <v>1.3</v>
      </c>
      <c r="G549" s="213">
        <v>45840</v>
      </c>
      <c r="H549" s="111" t="s">
        <v>2402</v>
      </c>
    </row>
    <row r="550" spans="1:8" x14ac:dyDescent="0.25">
      <c r="A550" s="211" t="s">
        <v>2409</v>
      </c>
      <c r="B550" t="s">
        <v>2405</v>
      </c>
      <c r="C550" s="48">
        <f t="shared" ref="C550:C554" si="104">E550*F550</f>
        <v>26000</v>
      </c>
      <c r="D550" t="s">
        <v>8</v>
      </c>
      <c r="E550" s="190">
        <v>20000</v>
      </c>
      <c r="F550" s="212">
        <v>1.3</v>
      </c>
      <c r="G550" s="213">
        <v>45840</v>
      </c>
      <c r="H550" s="111" t="s">
        <v>1794</v>
      </c>
    </row>
    <row r="551" spans="1:8" x14ac:dyDescent="0.25">
      <c r="A551" s="211" t="s">
        <v>2430</v>
      </c>
      <c r="B551" t="s">
        <v>2408</v>
      </c>
      <c r="C551" s="48">
        <f t="shared" si="104"/>
        <v>12805</v>
      </c>
      <c r="D551" t="s">
        <v>8</v>
      </c>
      <c r="E551" s="190">
        <v>9850</v>
      </c>
      <c r="F551" s="212">
        <v>1.3</v>
      </c>
      <c r="G551" s="213">
        <v>45841</v>
      </c>
      <c r="H551" s="111" t="s">
        <v>2407</v>
      </c>
    </row>
    <row r="552" spans="1:8" x14ac:dyDescent="0.25">
      <c r="A552" s="211" t="s">
        <v>2435</v>
      </c>
      <c r="B552" t="s">
        <v>2431</v>
      </c>
      <c r="C552" s="48">
        <f t="shared" si="104"/>
        <v>1170</v>
      </c>
      <c r="D552" t="s">
        <v>8</v>
      </c>
      <c r="E552" s="190">
        <v>900</v>
      </c>
      <c r="F552" s="212">
        <v>1.3</v>
      </c>
      <c r="G552" s="213">
        <v>45842</v>
      </c>
      <c r="H552" s="111" t="s">
        <v>2429</v>
      </c>
    </row>
    <row r="553" spans="1:8" x14ac:dyDescent="0.25">
      <c r="A553" s="211" t="s">
        <v>2444</v>
      </c>
      <c r="B553" t="s">
        <v>2436</v>
      </c>
      <c r="C553" s="48">
        <f t="shared" si="104"/>
        <v>1495</v>
      </c>
      <c r="D553" t="s">
        <v>8</v>
      </c>
      <c r="E553" s="190">
        <v>1150</v>
      </c>
      <c r="F553" s="212">
        <v>1.3</v>
      </c>
      <c r="G553" s="213">
        <v>45842</v>
      </c>
      <c r="H553" s="111" t="s">
        <v>1224</v>
      </c>
    </row>
    <row r="554" spans="1:8" x14ac:dyDescent="0.25">
      <c r="A554" s="211" t="s">
        <v>2447</v>
      </c>
      <c r="B554" t="s">
        <v>2445</v>
      </c>
      <c r="C554" s="48">
        <f t="shared" si="104"/>
        <v>50375</v>
      </c>
      <c r="D554" t="s">
        <v>108</v>
      </c>
      <c r="E554" s="190">
        <f>155000/4</f>
        <v>38750</v>
      </c>
      <c r="F554" s="212">
        <v>1.3</v>
      </c>
      <c r="G554" s="213">
        <v>45842</v>
      </c>
      <c r="H554" s="111" t="s">
        <v>1794</v>
      </c>
    </row>
    <row r="555" spans="1:8" x14ac:dyDescent="0.25">
      <c r="A555" s="211" t="s">
        <v>2450</v>
      </c>
      <c r="B555" t="s">
        <v>2448</v>
      </c>
      <c r="C555" s="48">
        <f t="shared" ref="C555" si="105">E555*F555</f>
        <v>2300870</v>
      </c>
      <c r="D555" t="s">
        <v>8</v>
      </c>
      <c r="E555" s="190">
        <v>1769900</v>
      </c>
      <c r="F555" s="212">
        <v>1.3</v>
      </c>
      <c r="G555" s="213">
        <v>45842</v>
      </c>
      <c r="H555" s="111" t="s">
        <v>2446</v>
      </c>
    </row>
    <row r="556" spans="1:8" x14ac:dyDescent="0.25">
      <c r="A556" s="211" t="s">
        <v>2456</v>
      </c>
      <c r="B556" t="s">
        <v>2449</v>
      </c>
      <c r="C556" s="48">
        <f t="shared" ref="C556" si="106">E556*F556</f>
        <v>1549600</v>
      </c>
      <c r="D556" t="s">
        <v>8</v>
      </c>
      <c r="E556" s="190">
        <v>1192000</v>
      </c>
      <c r="F556" s="212">
        <v>1.3</v>
      </c>
      <c r="G556" s="213">
        <v>45842</v>
      </c>
      <c r="H556" s="111" t="s">
        <v>2453</v>
      </c>
    </row>
    <row r="557" spans="1:8" x14ac:dyDescent="0.25">
      <c r="A557" s="211" t="s">
        <v>2457</v>
      </c>
      <c r="B557" t="s">
        <v>2464</v>
      </c>
      <c r="C557" s="48">
        <f t="shared" ref="C557" si="107">E557*F557</f>
        <v>512005</v>
      </c>
      <c r="D557" t="s">
        <v>8</v>
      </c>
      <c r="E557" s="190">
        <v>393850</v>
      </c>
      <c r="F557" s="212">
        <v>1.3</v>
      </c>
      <c r="G557" s="213">
        <v>45842</v>
      </c>
      <c r="H557" s="111" t="s">
        <v>2455</v>
      </c>
    </row>
    <row r="558" spans="1:8" x14ac:dyDescent="0.25">
      <c r="A558" s="211" t="s">
        <v>2458</v>
      </c>
      <c r="B558" t="s">
        <v>2463</v>
      </c>
      <c r="C558" s="48">
        <f t="shared" ref="C558" si="108">E558*F558</f>
        <v>438482.2</v>
      </c>
      <c r="D558" t="s">
        <v>8</v>
      </c>
      <c r="E558" s="190">
        <v>337294</v>
      </c>
      <c r="F558" s="212">
        <v>1.3</v>
      </c>
      <c r="G558" s="213">
        <v>45842</v>
      </c>
      <c r="H558" s="111" t="s">
        <v>2455</v>
      </c>
    </row>
    <row r="559" spans="1:8" x14ac:dyDescent="0.25">
      <c r="A559" s="211" t="s">
        <v>2459</v>
      </c>
      <c r="B559" t="s">
        <v>2461</v>
      </c>
      <c r="C559" s="48">
        <f t="shared" ref="C559" si="109">E559*F559</f>
        <v>438482.2</v>
      </c>
      <c r="D559" t="s">
        <v>8</v>
      </c>
      <c r="E559" s="190">
        <v>337294</v>
      </c>
      <c r="F559" s="212">
        <v>1.3</v>
      </c>
      <c r="G559" s="213">
        <v>45842</v>
      </c>
      <c r="H559" s="111" t="s">
        <v>2455</v>
      </c>
    </row>
    <row r="560" spans="1:8" x14ac:dyDescent="0.25">
      <c r="A560" s="211" t="s">
        <v>2465</v>
      </c>
      <c r="B560" t="s">
        <v>2462</v>
      </c>
      <c r="C560" s="48">
        <f t="shared" ref="C560" si="110">E560*F560</f>
        <v>438482.2</v>
      </c>
      <c r="D560" t="s">
        <v>8</v>
      </c>
      <c r="E560" s="190">
        <v>337294</v>
      </c>
      <c r="F560" s="212">
        <v>1.3</v>
      </c>
      <c r="G560" s="213">
        <v>45842</v>
      </c>
      <c r="H560" s="111" t="s">
        <v>2455</v>
      </c>
    </row>
    <row r="561" spans="1:8" x14ac:dyDescent="0.25">
      <c r="A561" s="211" t="s">
        <v>2468</v>
      </c>
      <c r="B561" t="s">
        <v>2466</v>
      </c>
      <c r="C561" s="48">
        <f t="shared" ref="C561" si="111">E561*F561</f>
        <v>1167283</v>
      </c>
      <c r="D561" t="s">
        <v>8</v>
      </c>
      <c r="E561" s="190">
        <v>897910</v>
      </c>
      <c r="F561" s="212">
        <v>1.3</v>
      </c>
      <c r="G561" s="213">
        <v>45842</v>
      </c>
      <c r="H561" s="111" t="s">
        <v>2455</v>
      </c>
    </row>
    <row r="562" spans="1:8" x14ac:dyDescent="0.25">
      <c r="A562" s="211" t="s">
        <v>2471</v>
      </c>
      <c r="B562" t="s">
        <v>2469</v>
      </c>
      <c r="C562" s="48">
        <f t="shared" ref="C562:C563" si="112">E562*F562</f>
        <v>41119</v>
      </c>
      <c r="D562" t="s">
        <v>8</v>
      </c>
      <c r="E562" s="190">
        <v>31630</v>
      </c>
      <c r="F562" s="212">
        <v>1.3</v>
      </c>
      <c r="G562" s="213">
        <v>45842</v>
      </c>
      <c r="H562" s="111" t="s">
        <v>2467</v>
      </c>
    </row>
    <row r="563" spans="1:8" x14ac:dyDescent="0.25">
      <c r="A563" s="211" t="s">
        <v>2475</v>
      </c>
      <c r="B563" t="s">
        <v>2472</v>
      </c>
      <c r="C563" s="48">
        <f t="shared" si="112"/>
        <v>13000000</v>
      </c>
      <c r="D563" t="s">
        <v>8</v>
      </c>
      <c r="E563" s="190">
        <f>5000000*2</f>
        <v>10000000</v>
      </c>
      <c r="F563" s="212">
        <v>1.3</v>
      </c>
      <c r="G563" s="213">
        <v>45701</v>
      </c>
      <c r="H563" s="111" t="s">
        <v>923</v>
      </c>
    </row>
    <row r="564" spans="1:8" x14ac:dyDescent="0.25">
      <c r="A564" s="211" t="s">
        <v>2477</v>
      </c>
      <c r="B564" t="s">
        <v>2474</v>
      </c>
      <c r="C564" s="48">
        <f t="shared" ref="C564" si="113">E564*F564</f>
        <v>58500</v>
      </c>
      <c r="D564" t="s">
        <v>8</v>
      </c>
      <c r="E564" s="190">
        <v>45000</v>
      </c>
      <c r="F564" s="212">
        <v>1.3</v>
      </c>
      <c r="G564" s="213">
        <v>45701</v>
      </c>
      <c r="H564" s="111" t="s">
        <v>2473</v>
      </c>
    </row>
    <row r="565" spans="1:8" x14ac:dyDescent="0.25">
      <c r="A565" s="211" t="s">
        <v>2485</v>
      </c>
      <c r="B565" t="s">
        <v>2478</v>
      </c>
      <c r="C565" s="48">
        <f t="shared" ref="C565:C568" si="114">E565*F565</f>
        <v>104000</v>
      </c>
      <c r="D565" t="s">
        <v>8</v>
      </c>
      <c r="E565" s="190">
        <v>80000</v>
      </c>
      <c r="F565" s="212">
        <v>1.3</v>
      </c>
      <c r="G565" s="213">
        <v>45701</v>
      </c>
      <c r="H565" s="111" t="s">
        <v>2476</v>
      </c>
    </row>
    <row r="566" spans="1:8" x14ac:dyDescent="0.25">
      <c r="A566" s="211" t="s">
        <v>2488</v>
      </c>
      <c r="B566" t="s">
        <v>2484</v>
      </c>
      <c r="C566" s="48">
        <f t="shared" si="114"/>
        <v>512005</v>
      </c>
      <c r="D566" t="s">
        <v>8</v>
      </c>
      <c r="E566" s="190">
        <v>393850</v>
      </c>
      <c r="F566" s="212">
        <v>1.3</v>
      </c>
      <c r="G566" s="213">
        <v>45842</v>
      </c>
      <c r="H566" s="111" t="s">
        <v>2455</v>
      </c>
    </row>
    <row r="567" spans="1:8" x14ac:dyDescent="0.25">
      <c r="A567" s="211" t="s">
        <v>2500</v>
      </c>
      <c r="B567" t="s">
        <v>2489</v>
      </c>
      <c r="C567" s="48">
        <f t="shared" si="114"/>
        <v>438482.2</v>
      </c>
      <c r="D567" t="s">
        <v>8</v>
      </c>
      <c r="E567" s="190">
        <v>337294</v>
      </c>
      <c r="F567" s="212">
        <v>1.3</v>
      </c>
      <c r="G567" s="213">
        <v>45842</v>
      </c>
      <c r="H567" s="111" t="s">
        <v>2455</v>
      </c>
    </row>
    <row r="568" spans="1:8" x14ac:dyDescent="0.25">
      <c r="A568" s="211" t="s">
        <v>2501</v>
      </c>
      <c r="B568" t="s">
        <v>2493</v>
      </c>
      <c r="C568" s="48">
        <f t="shared" si="114"/>
        <v>89895</v>
      </c>
      <c r="D568" t="s">
        <v>108</v>
      </c>
      <c r="E568" s="190">
        <v>69150</v>
      </c>
      <c r="F568" s="212">
        <v>1.3</v>
      </c>
      <c r="G568" s="213">
        <v>45702</v>
      </c>
      <c r="H568" s="111" t="s">
        <v>2492</v>
      </c>
    </row>
    <row r="569" spans="1:8" x14ac:dyDescent="0.25">
      <c r="A569" s="211" t="s">
        <v>2502</v>
      </c>
      <c r="B569" t="s">
        <v>2495</v>
      </c>
      <c r="C569" s="48">
        <f t="shared" ref="C569:C571" si="115">E569*F569</f>
        <v>5070</v>
      </c>
      <c r="D569" t="s">
        <v>8</v>
      </c>
      <c r="E569" s="190">
        <v>3900</v>
      </c>
      <c r="F569" s="212">
        <v>1.3</v>
      </c>
      <c r="G569" s="213">
        <v>45702</v>
      </c>
      <c r="H569" s="111" t="s">
        <v>2494</v>
      </c>
    </row>
    <row r="570" spans="1:8" x14ac:dyDescent="0.25">
      <c r="A570" s="211" t="s">
        <v>2503</v>
      </c>
      <c r="B570" t="s">
        <v>2496</v>
      </c>
      <c r="C570" s="48">
        <f t="shared" si="115"/>
        <v>11440</v>
      </c>
      <c r="D570" t="s">
        <v>8</v>
      </c>
      <c r="E570" s="190">
        <v>8800</v>
      </c>
      <c r="F570" s="212">
        <v>1.3</v>
      </c>
      <c r="G570" s="213">
        <v>45702</v>
      </c>
      <c r="H570" s="111" t="s">
        <v>2497</v>
      </c>
    </row>
    <row r="571" spans="1:8" x14ac:dyDescent="0.25">
      <c r="A571" s="211" t="s">
        <v>2506</v>
      </c>
      <c r="B571" t="s">
        <v>2498</v>
      </c>
      <c r="C571" s="48">
        <f t="shared" si="115"/>
        <v>3380</v>
      </c>
      <c r="D571" t="s">
        <v>8</v>
      </c>
      <c r="E571" s="190">
        <v>2600</v>
      </c>
      <c r="F571" s="212">
        <v>1.3</v>
      </c>
      <c r="G571" s="213">
        <v>45719</v>
      </c>
      <c r="H571" s="111" t="s">
        <v>2499</v>
      </c>
    </row>
    <row r="572" spans="1:8" x14ac:dyDescent="0.25">
      <c r="A572" s="211" t="s">
        <v>2509</v>
      </c>
      <c r="B572" t="s">
        <v>2505</v>
      </c>
      <c r="C572" s="48">
        <f t="shared" ref="C572" si="116">E572*F572</f>
        <v>31525</v>
      </c>
      <c r="D572" t="s">
        <v>8</v>
      </c>
      <c r="E572" s="190">
        <v>24250</v>
      </c>
      <c r="F572" s="212">
        <v>1.3</v>
      </c>
      <c r="G572" s="213">
        <v>45719</v>
      </c>
      <c r="H572" s="111" t="s">
        <v>2504</v>
      </c>
    </row>
    <row r="573" spans="1:8" x14ac:dyDescent="0.25">
      <c r="A573" s="211" t="s">
        <v>2515</v>
      </c>
      <c r="B573" s="89" t="s">
        <v>2508</v>
      </c>
      <c r="C573" s="48">
        <f t="shared" ref="C573:C576" si="117">E573*F573</f>
        <v>3575</v>
      </c>
      <c r="D573" t="s">
        <v>8</v>
      </c>
      <c r="E573" s="190">
        <v>2750</v>
      </c>
      <c r="F573" s="212">
        <v>1.3</v>
      </c>
      <c r="G573" s="213">
        <v>45719</v>
      </c>
      <c r="H573" s="111" t="s">
        <v>2507</v>
      </c>
    </row>
    <row r="574" spans="1:8" x14ac:dyDescent="0.25">
      <c r="A574" s="211" t="s">
        <v>2519</v>
      </c>
      <c r="B574" t="s">
        <v>2516</v>
      </c>
      <c r="C574" s="48">
        <f t="shared" si="117"/>
        <v>4355</v>
      </c>
      <c r="D574" t="s">
        <v>8</v>
      </c>
      <c r="E574" s="190">
        <v>3350</v>
      </c>
      <c r="F574" s="212">
        <v>1.3</v>
      </c>
      <c r="G574" s="213">
        <v>45805</v>
      </c>
      <c r="H574" s="111" t="s">
        <v>2514</v>
      </c>
    </row>
    <row r="575" spans="1:8" x14ac:dyDescent="0.25">
      <c r="A575" s="211" t="s">
        <v>2525</v>
      </c>
      <c r="B575" t="s">
        <v>2518</v>
      </c>
      <c r="C575" s="48">
        <f t="shared" si="117"/>
        <v>23138.7</v>
      </c>
      <c r="D575" t="s">
        <v>8</v>
      </c>
      <c r="E575" s="190">
        <v>17799</v>
      </c>
      <c r="F575" s="212">
        <v>1.3</v>
      </c>
      <c r="G575" s="213">
        <v>45807</v>
      </c>
      <c r="H575" s="111" t="s">
        <v>2517</v>
      </c>
    </row>
    <row r="576" spans="1:8" x14ac:dyDescent="0.25">
      <c r="A576" s="211" t="s">
        <v>2528</v>
      </c>
      <c r="B576" t="s">
        <v>2526</v>
      </c>
      <c r="C576" s="48">
        <f t="shared" si="117"/>
        <v>2730</v>
      </c>
      <c r="D576" t="s">
        <v>8</v>
      </c>
      <c r="E576" s="190">
        <v>2100</v>
      </c>
      <c r="F576" s="212">
        <v>1.3</v>
      </c>
      <c r="G576" s="213">
        <v>45842</v>
      </c>
      <c r="H576" s="111" t="s">
        <v>2524</v>
      </c>
    </row>
    <row r="577" spans="1:8" x14ac:dyDescent="0.25">
      <c r="A577" s="211" t="s">
        <v>2538</v>
      </c>
      <c r="B577" t="s">
        <v>2527</v>
      </c>
      <c r="C577" s="48">
        <f t="shared" ref="C577" si="118">E577*F577</f>
        <v>260</v>
      </c>
      <c r="D577" t="s">
        <v>8</v>
      </c>
      <c r="E577" s="190">
        <v>200</v>
      </c>
      <c r="F577" s="212">
        <v>1.3</v>
      </c>
      <c r="G577" s="213">
        <v>45719</v>
      </c>
      <c r="H577" s="111" t="s">
        <v>2529</v>
      </c>
    </row>
    <row r="578" spans="1:8" x14ac:dyDescent="0.25">
      <c r="A578" s="211" t="s">
        <v>2540</v>
      </c>
      <c r="B578" t="s">
        <v>2537</v>
      </c>
      <c r="C578" s="48">
        <f t="shared" ref="C578" si="119">E578*F578</f>
        <v>41706.6</v>
      </c>
      <c r="D578" t="s">
        <v>8</v>
      </c>
      <c r="E578" s="190">
        <v>32082</v>
      </c>
      <c r="F578" s="212">
        <v>1.3</v>
      </c>
      <c r="G578" s="213">
        <v>45719</v>
      </c>
      <c r="H578" s="111" t="s">
        <v>2539</v>
      </c>
    </row>
    <row r="579" spans="1:8" x14ac:dyDescent="0.25">
      <c r="A579" s="211" t="s">
        <v>2553</v>
      </c>
      <c r="B579" t="s">
        <v>2542</v>
      </c>
      <c r="C579" s="48">
        <f t="shared" ref="C579:C580" si="120">E579*F579</f>
        <v>390000</v>
      </c>
      <c r="D579" t="s">
        <v>8</v>
      </c>
      <c r="E579" s="190">
        <v>300000</v>
      </c>
      <c r="F579" s="212">
        <v>1.3</v>
      </c>
      <c r="G579" s="213">
        <v>45719</v>
      </c>
      <c r="H579" s="111" t="s">
        <v>2541</v>
      </c>
    </row>
    <row r="580" spans="1:8" x14ac:dyDescent="0.25">
      <c r="A580" s="211" t="s">
        <v>2558</v>
      </c>
      <c r="B580" t="s">
        <v>2551</v>
      </c>
      <c r="C580" s="48">
        <f t="shared" si="120"/>
        <v>20800000</v>
      </c>
      <c r="D580" t="s">
        <v>8</v>
      </c>
      <c r="E580" s="190">
        <v>16000000</v>
      </c>
      <c r="F580" s="212">
        <v>1.3</v>
      </c>
      <c r="G580" s="213">
        <v>45785</v>
      </c>
      <c r="H580" t="s">
        <v>2915</v>
      </c>
    </row>
    <row r="581" spans="1:8" x14ac:dyDescent="0.25">
      <c r="A581" s="211" t="s">
        <v>2560</v>
      </c>
      <c r="B581" t="s">
        <v>2557</v>
      </c>
      <c r="C581" s="48">
        <f t="shared" ref="C581" si="121">E581*F581</f>
        <v>29445</v>
      </c>
      <c r="D581" t="s">
        <v>8</v>
      </c>
      <c r="E581" s="190">
        <v>22650</v>
      </c>
      <c r="F581" s="212">
        <v>1.3</v>
      </c>
      <c r="G581" s="213">
        <v>45785</v>
      </c>
      <c r="H581" t="s">
        <v>2915</v>
      </c>
    </row>
    <row r="582" spans="1:8" x14ac:dyDescent="0.25">
      <c r="A582" s="211" t="s">
        <v>2565</v>
      </c>
      <c r="B582" t="s">
        <v>2559</v>
      </c>
      <c r="C582" s="48">
        <f t="shared" ref="C582:C584" si="122">E582*F582</f>
        <v>13000</v>
      </c>
      <c r="D582" s="23" t="s">
        <v>114</v>
      </c>
      <c r="E582" s="190">
        <v>10000</v>
      </c>
      <c r="F582" s="212">
        <v>1.3</v>
      </c>
      <c r="G582" s="213">
        <v>45785</v>
      </c>
      <c r="H582" t="s">
        <v>2915</v>
      </c>
    </row>
    <row r="583" spans="1:8" x14ac:dyDescent="0.25">
      <c r="A583" s="211" t="s">
        <v>2572</v>
      </c>
      <c r="B583" t="s">
        <v>2564</v>
      </c>
      <c r="C583" s="48">
        <f t="shared" si="122"/>
        <v>58500</v>
      </c>
      <c r="D583" t="s">
        <v>114</v>
      </c>
      <c r="E583" s="190">
        <v>45000</v>
      </c>
      <c r="F583" s="212">
        <v>1.3</v>
      </c>
      <c r="G583" s="213">
        <v>45728</v>
      </c>
      <c r="H583" t="s">
        <v>2915</v>
      </c>
    </row>
    <row r="584" spans="1:8" x14ac:dyDescent="0.25">
      <c r="A584" s="211" t="s">
        <v>2574</v>
      </c>
      <c r="B584" t="s">
        <v>2571</v>
      </c>
      <c r="C584" s="48">
        <f t="shared" si="122"/>
        <v>562030.30000000005</v>
      </c>
      <c r="D584" t="s">
        <v>114</v>
      </c>
      <c r="E584" s="190">
        <v>432331</v>
      </c>
      <c r="F584" s="212">
        <v>1.3</v>
      </c>
      <c r="G584" s="213">
        <v>45728</v>
      </c>
      <c r="H584" t="s">
        <v>2915</v>
      </c>
    </row>
    <row r="585" spans="1:8" x14ac:dyDescent="0.25">
      <c r="A585" s="211" t="s">
        <v>2577</v>
      </c>
      <c r="B585" t="s">
        <v>2573</v>
      </c>
      <c r="C585" s="48">
        <f t="shared" ref="C585:C589" si="123">E585*F585</f>
        <v>25155</v>
      </c>
      <c r="D585" t="s">
        <v>8</v>
      </c>
      <c r="E585" s="190">
        <v>19350</v>
      </c>
      <c r="F585" s="212">
        <v>1.3</v>
      </c>
      <c r="G585" s="213">
        <v>45728</v>
      </c>
      <c r="H585" t="s">
        <v>2915</v>
      </c>
    </row>
    <row r="586" spans="1:8" x14ac:dyDescent="0.25">
      <c r="A586" s="211" t="s">
        <v>2579</v>
      </c>
      <c r="B586" t="s">
        <v>2576</v>
      </c>
      <c r="C586" s="48">
        <f t="shared" si="123"/>
        <v>241540</v>
      </c>
      <c r="D586" t="s">
        <v>8</v>
      </c>
      <c r="E586" s="190">
        <v>185800</v>
      </c>
      <c r="F586" s="212">
        <v>1.3</v>
      </c>
      <c r="G586" s="213">
        <v>45805</v>
      </c>
      <c r="H586" t="s">
        <v>2915</v>
      </c>
    </row>
    <row r="587" spans="1:8" x14ac:dyDescent="0.25">
      <c r="A587" s="211" t="s">
        <v>2582</v>
      </c>
      <c r="B587" t="s">
        <v>2578</v>
      </c>
      <c r="C587" s="48">
        <f t="shared" si="123"/>
        <v>6962.8</v>
      </c>
      <c r="D587" t="s">
        <v>1387</v>
      </c>
      <c r="E587" s="190">
        <v>5356</v>
      </c>
      <c r="F587" s="212">
        <v>1.3</v>
      </c>
      <c r="G587" s="213">
        <v>45805</v>
      </c>
      <c r="H587" t="s">
        <v>2915</v>
      </c>
    </row>
    <row r="588" spans="1:8" x14ac:dyDescent="0.25">
      <c r="A588" s="211" t="s">
        <v>2584</v>
      </c>
      <c r="B588" t="s">
        <v>2580</v>
      </c>
      <c r="C588" s="48">
        <f t="shared" si="123"/>
        <v>7341.1</v>
      </c>
      <c r="D588" t="s">
        <v>2581</v>
      </c>
      <c r="E588" s="190">
        <v>5647</v>
      </c>
      <c r="F588" s="212">
        <v>1.3</v>
      </c>
      <c r="G588" s="213">
        <v>45805</v>
      </c>
      <c r="H588" t="s">
        <v>2915</v>
      </c>
    </row>
    <row r="589" spans="1:8" x14ac:dyDescent="0.25">
      <c r="A589" s="211" t="s">
        <v>2592</v>
      </c>
      <c r="B589" t="s">
        <v>2583</v>
      </c>
      <c r="C589" s="48">
        <f t="shared" si="123"/>
        <v>18657.600000000002</v>
      </c>
      <c r="D589" t="s">
        <v>1387</v>
      </c>
      <c r="E589" s="190">
        <v>14352</v>
      </c>
      <c r="F589" s="212">
        <v>1.3</v>
      </c>
      <c r="G589" s="213">
        <v>45805</v>
      </c>
      <c r="H589" t="s">
        <v>2915</v>
      </c>
    </row>
    <row r="590" spans="1:8" x14ac:dyDescent="0.25">
      <c r="A590" s="211" t="s">
        <v>2594</v>
      </c>
      <c r="B590" t="s">
        <v>2591</v>
      </c>
      <c r="C590" s="48">
        <f t="shared" ref="C590" si="124">E590*F590</f>
        <v>20778.333333333336</v>
      </c>
      <c r="D590" t="s">
        <v>108</v>
      </c>
      <c r="E590" s="190">
        <f>95900/6</f>
        <v>15983.333333333334</v>
      </c>
      <c r="F590" s="212">
        <v>1.3</v>
      </c>
      <c r="G590" s="213">
        <v>45800</v>
      </c>
      <c r="H590" s="111" t="s">
        <v>2590</v>
      </c>
    </row>
    <row r="591" spans="1:8" x14ac:dyDescent="0.25">
      <c r="A591" s="211" t="s">
        <v>2596</v>
      </c>
      <c r="B591" t="s">
        <v>2593</v>
      </c>
      <c r="C591" s="48">
        <f t="shared" ref="C591:C598" si="125">E591*F591</f>
        <v>37050</v>
      </c>
      <c r="D591" t="s">
        <v>113</v>
      </c>
      <c r="E591" s="190">
        <v>28500</v>
      </c>
      <c r="F591" s="212">
        <v>1.3</v>
      </c>
      <c r="G591" s="213">
        <v>45800</v>
      </c>
      <c r="H591" s="111" t="s">
        <v>2598</v>
      </c>
    </row>
    <row r="592" spans="1:8" x14ac:dyDescent="0.25">
      <c r="A592" s="211" t="s">
        <v>2602</v>
      </c>
      <c r="B592" t="s">
        <v>2595</v>
      </c>
      <c r="C592" s="48">
        <f t="shared" si="125"/>
        <v>34240.700000000004</v>
      </c>
      <c r="D592" t="s">
        <v>1387</v>
      </c>
      <c r="E592" s="190">
        <v>26339</v>
      </c>
      <c r="F592" s="212">
        <v>1.3</v>
      </c>
      <c r="G592" s="213">
        <v>45800</v>
      </c>
      <c r="H592" t="s">
        <v>2915</v>
      </c>
    </row>
    <row r="593" spans="1:8" x14ac:dyDescent="0.25">
      <c r="A593" s="211" t="s">
        <v>2603</v>
      </c>
      <c r="B593" t="s">
        <v>2600</v>
      </c>
      <c r="C593" s="48">
        <f t="shared" si="125"/>
        <v>5200</v>
      </c>
      <c r="D593" t="s">
        <v>8</v>
      </c>
      <c r="E593" s="190">
        <v>4000</v>
      </c>
      <c r="F593" s="212">
        <v>1.3</v>
      </c>
      <c r="G593" s="213">
        <v>45800</v>
      </c>
      <c r="H593" t="s">
        <v>2915</v>
      </c>
    </row>
    <row r="594" spans="1:8" x14ac:dyDescent="0.25">
      <c r="A594" s="211" t="s">
        <v>2605</v>
      </c>
      <c r="B594" t="s">
        <v>2601</v>
      </c>
      <c r="C594" s="48">
        <f t="shared" si="125"/>
        <v>3793.4</v>
      </c>
      <c r="D594" t="s">
        <v>8</v>
      </c>
      <c r="E594" s="190">
        <v>2918</v>
      </c>
      <c r="F594" s="212">
        <v>1.3</v>
      </c>
      <c r="G594" s="213">
        <v>45800</v>
      </c>
      <c r="H594" t="s">
        <v>2915</v>
      </c>
    </row>
    <row r="595" spans="1:8" x14ac:dyDescent="0.25">
      <c r="A595" s="211" t="s">
        <v>2608</v>
      </c>
      <c r="B595" t="s">
        <v>2604</v>
      </c>
      <c r="C595" s="48">
        <f t="shared" si="125"/>
        <v>611297.70000000007</v>
      </c>
      <c r="D595" t="s">
        <v>114</v>
      </c>
      <c r="E595" s="216">
        <v>470229</v>
      </c>
      <c r="F595" s="212">
        <v>1.3</v>
      </c>
      <c r="G595" s="213">
        <v>45805</v>
      </c>
      <c r="H595" t="s">
        <v>2915</v>
      </c>
    </row>
    <row r="596" spans="1:8" x14ac:dyDescent="0.25">
      <c r="A596" s="211" t="s">
        <v>2610</v>
      </c>
      <c r="B596" t="s">
        <v>2607</v>
      </c>
      <c r="C596" s="48">
        <f t="shared" si="125"/>
        <v>490840.35000000003</v>
      </c>
      <c r="D596" t="s">
        <v>108</v>
      </c>
      <c r="E596" s="190">
        <f>2265417/6</f>
        <v>377569.5</v>
      </c>
      <c r="F596" s="212">
        <v>1.3</v>
      </c>
      <c r="G596" s="213">
        <v>45842</v>
      </c>
      <c r="H596" s="111" t="s">
        <v>2606</v>
      </c>
    </row>
    <row r="597" spans="1:8" x14ac:dyDescent="0.25">
      <c r="A597" s="211" t="s">
        <v>2617</v>
      </c>
      <c r="B597" t="s">
        <v>2609</v>
      </c>
      <c r="C597" s="48">
        <f t="shared" si="125"/>
        <v>5106.4000000000005</v>
      </c>
      <c r="D597" t="s">
        <v>2581</v>
      </c>
      <c r="E597" s="190">
        <v>3928</v>
      </c>
      <c r="F597" s="212">
        <v>1.3</v>
      </c>
      <c r="G597" s="213">
        <v>45695</v>
      </c>
      <c r="H597" s="111" t="s">
        <v>1940</v>
      </c>
    </row>
    <row r="598" spans="1:8" x14ac:dyDescent="0.25">
      <c r="A598" s="211" t="s">
        <v>2624</v>
      </c>
      <c r="B598" t="s">
        <v>2618</v>
      </c>
      <c r="C598" s="48">
        <f t="shared" si="125"/>
        <v>548405</v>
      </c>
      <c r="D598" t="s">
        <v>8</v>
      </c>
      <c r="E598" s="190">
        <v>498550</v>
      </c>
      <c r="F598" s="212">
        <v>1.1000000000000001</v>
      </c>
      <c r="G598" s="213">
        <v>45702</v>
      </c>
      <c r="H598" s="88" t="s">
        <v>976</v>
      </c>
    </row>
    <row r="599" spans="1:8" x14ac:dyDescent="0.25">
      <c r="A599" s="211" t="s">
        <v>2630</v>
      </c>
      <c r="B599" t="s">
        <v>2622</v>
      </c>
      <c r="C599" s="48">
        <f t="shared" ref="C599:C611" si="126">E599*F599</f>
        <v>20694.7</v>
      </c>
      <c r="D599" t="s">
        <v>2623</v>
      </c>
      <c r="E599" s="190">
        <v>15919</v>
      </c>
      <c r="F599" s="212">
        <v>1.3</v>
      </c>
      <c r="G599" s="213">
        <v>45800</v>
      </c>
      <c r="H599" t="s">
        <v>2915</v>
      </c>
    </row>
    <row r="600" spans="1:8" x14ac:dyDescent="0.25">
      <c r="A600" s="211" t="s">
        <v>2642</v>
      </c>
      <c r="B600" t="s">
        <v>2629</v>
      </c>
      <c r="C600" s="48">
        <f t="shared" si="126"/>
        <v>1560</v>
      </c>
      <c r="D600" t="s">
        <v>8</v>
      </c>
      <c r="E600" s="190">
        <v>1200</v>
      </c>
      <c r="F600" s="212">
        <v>1.3</v>
      </c>
      <c r="G600" s="213">
        <v>45751</v>
      </c>
      <c r="H600" t="s">
        <v>2915</v>
      </c>
    </row>
    <row r="601" spans="1:8" x14ac:dyDescent="0.25">
      <c r="A601" s="211" t="s">
        <v>2643</v>
      </c>
      <c r="B601" t="s">
        <v>2637</v>
      </c>
      <c r="C601" s="48">
        <f t="shared" si="126"/>
        <v>6609.2</v>
      </c>
      <c r="D601" t="s">
        <v>16</v>
      </c>
      <c r="E601" s="190">
        <v>5084</v>
      </c>
      <c r="F601" s="212">
        <v>1.3</v>
      </c>
      <c r="G601" s="213">
        <v>45751</v>
      </c>
      <c r="H601" t="s">
        <v>2915</v>
      </c>
    </row>
    <row r="602" spans="1:8" x14ac:dyDescent="0.25">
      <c r="A602" s="211" t="s">
        <v>2644</v>
      </c>
      <c r="B602" t="s">
        <v>2638</v>
      </c>
      <c r="C602" s="48">
        <f t="shared" si="126"/>
        <v>1739.4</v>
      </c>
      <c r="D602" t="s">
        <v>16</v>
      </c>
      <c r="E602" s="190">
        <v>1338</v>
      </c>
      <c r="F602" s="212">
        <v>1.3</v>
      </c>
      <c r="G602" s="213">
        <v>45751</v>
      </c>
      <c r="H602" t="s">
        <v>2915</v>
      </c>
    </row>
    <row r="603" spans="1:8" x14ac:dyDescent="0.25">
      <c r="A603" s="211" t="s">
        <v>2645</v>
      </c>
      <c r="B603" t="s">
        <v>2639</v>
      </c>
      <c r="C603" s="48">
        <f t="shared" si="126"/>
        <v>6063.2</v>
      </c>
      <c r="D603" t="s">
        <v>1406</v>
      </c>
      <c r="E603" s="190">
        <v>4664</v>
      </c>
      <c r="F603" s="212">
        <v>1.3</v>
      </c>
      <c r="G603" s="213">
        <v>45751</v>
      </c>
      <c r="H603" t="s">
        <v>2915</v>
      </c>
    </row>
    <row r="604" spans="1:8" x14ac:dyDescent="0.25">
      <c r="A604" s="211" t="s">
        <v>2646</v>
      </c>
      <c r="B604" t="s">
        <v>2580</v>
      </c>
      <c r="C604" s="48">
        <f t="shared" si="126"/>
        <v>7341.1</v>
      </c>
      <c r="D604" t="s">
        <v>1387</v>
      </c>
      <c r="E604" s="190">
        <v>5647</v>
      </c>
      <c r="F604" s="212">
        <v>1.3</v>
      </c>
      <c r="G604" s="213">
        <v>45751</v>
      </c>
      <c r="H604" t="s">
        <v>2915</v>
      </c>
    </row>
    <row r="605" spans="1:8" x14ac:dyDescent="0.25">
      <c r="A605" s="211" t="s">
        <v>2647</v>
      </c>
      <c r="B605" t="s">
        <v>2640</v>
      </c>
      <c r="C605" s="48">
        <f t="shared" si="126"/>
        <v>10488.4</v>
      </c>
      <c r="D605" t="s">
        <v>1387</v>
      </c>
      <c r="E605" s="190">
        <v>8068</v>
      </c>
      <c r="F605" s="212">
        <v>1.3</v>
      </c>
      <c r="G605" s="213">
        <v>45751</v>
      </c>
      <c r="H605" t="s">
        <v>2915</v>
      </c>
    </row>
    <row r="606" spans="1:8" x14ac:dyDescent="0.25">
      <c r="A606" s="211" t="s">
        <v>2654</v>
      </c>
      <c r="B606" t="s">
        <v>2641</v>
      </c>
      <c r="C606" s="48">
        <f t="shared" si="126"/>
        <v>647978.5</v>
      </c>
      <c r="D606" t="s">
        <v>114</v>
      </c>
      <c r="E606" s="190">
        <v>498445</v>
      </c>
      <c r="F606" s="212">
        <v>1.3</v>
      </c>
      <c r="G606" s="213">
        <v>45751</v>
      </c>
      <c r="H606" t="s">
        <v>2915</v>
      </c>
    </row>
    <row r="607" spans="1:8" x14ac:dyDescent="0.25">
      <c r="A607" s="211" t="s">
        <v>2655</v>
      </c>
      <c r="B607" t="s">
        <v>2649</v>
      </c>
      <c r="C607" s="48">
        <f t="shared" si="126"/>
        <v>1247.3500000000001</v>
      </c>
      <c r="D607" t="s">
        <v>2659</v>
      </c>
      <c r="E607" s="190">
        <v>959.5</v>
      </c>
      <c r="F607" s="212">
        <v>1.3</v>
      </c>
      <c r="G607" s="213">
        <v>45751</v>
      </c>
      <c r="H607" t="s">
        <v>2915</v>
      </c>
    </row>
    <row r="608" spans="1:8" x14ac:dyDescent="0.25">
      <c r="A608" s="211" t="s">
        <v>2656</v>
      </c>
      <c r="B608" t="s">
        <v>2650</v>
      </c>
      <c r="C608" s="48">
        <f t="shared" si="126"/>
        <v>3986.6666666666665</v>
      </c>
      <c r="D608" t="s">
        <v>8</v>
      </c>
      <c r="E608" s="190">
        <v>3066.6666666666665</v>
      </c>
      <c r="F608" s="212">
        <v>1.3</v>
      </c>
      <c r="G608" s="213">
        <v>45751</v>
      </c>
      <c r="H608" t="s">
        <v>2915</v>
      </c>
    </row>
    <row r="609" spans="1:8" x14ac:dyDescent="0.25">
      <c r="A609" s="211" t="s">
        <v>2657</v>
      </c>
      <c r="B609" t="s">
        <v>2651</v>
      </c>
      <c r="C609" s="48">
        <f t="shared" si="126"/>
        <v>8010.166666666667</v>
      </c>
      <c r="D609" t="s">
        <v>2581</v>
      </c>
      <c r="E609" s="190">
        <v>6161.666666666667</v>
      </c>
      <c r="F609" s="212">
        <v>1.3</v>
      </c>
      <c r="G609" s="213">
        <v>45751</v>
      </c>
      <c r="H609" t="s">
        <v>2915</v>
      </c>
    </row>
    <row r="610" spans="1:8" x14ac:dyDescent="0.25">
      <c r="A610" s="211" t="s">
        <v>2658</v>
      </c>
      <c r="B610" t="s">
        <v>2652</v>
      </c>
      <c r="C610" s="48">
        <f t="shared" si="126"/>
        <v>2035.8000000000002</v>
      </c>
      <c r="D610" t="s">
        <v>2581</v>
      </c>
      <c r="E610" s="190">
        <v>1566</v>
      </c>
      <c r="F610" s="212">
        <v>1.3</v>
      </c>
      <c r="G610" s="213">
        <v>45751</v>
      </c>
      <c r="H610" t="s">
        <v>2915</v>
      </c>
    </row>
    <row r="611" spans="1:8" x14ac:dyDescent="0.25">
      <c r="A611" s="211" t="s">
        <v>2663</v>
      </c>
      <c r="B611" t="s">
        <v>2653</v>
      </c>
      <c r="C611" s="48">
        <f t="shared" si="126"/>
        <v>874606.20000000007</v>
      </c>
      <c r="D611" t="s">
        <v>114</v>
      </c>
      <c r="E611" s="190">
        <v>672774</v>
      </c>
      <c r="F611" s="212">
        <v>1.3</v>
      </c>
      <c r="G611" s="213">
        <v>45752</v>
      </c>
      <c r="H611" t="s">
        <v>2915</v>
      </c>
    </row>
    <row r="612" spans="1:8" x14ac:dyDescent="0.25">
      <c r="A612" s="211" t="s">
        <v>2669</v>
      </c>
      <c r="B612" t="s">
        <v>2662</v>
      </c>
      <c r="C612" s="48">
        <f t="shared" ref="C612:C613" si="127">E612*F612</f>
        <v>290707.95600000001</v>
      </c>
      <c r="D612" t="s">
        <v>113</v>
      </c>
      <c r="E612" s="190">
        <v>242256.63</v>
      </c>
      <c r="F612" s="212">
        <v>1.2</v>
      </c>
      <c r="G612" s="213">
        <v>45752</v>
      </c>
      <c r="H612" t="s">
        <v>2915</v>
      </c>
    </row>
    <row r="613" spans="1:8" x14ac:dyDescent="0.25">
      <c r="A613" s="211" t="s">
        <v>2674</v>
      </c>
      <c r="B613" t="s">
        <v>2668</v>
      </c>
      <c r="C613" s="48">
        <f t="shared" si="127"/>
        <v>2622165</v>
      </c>
      <c r="D613" t="s">
        <v>8</v>
      </c>
      <c r="E613" s="190">
        <f>1695000*1.19</f>
        <v>2017050</v>
      </c>
      <c r="F613" s="212">
        <v>1.3</v>
      </c>
      <c r="G613" s="213">
        <v>45752</v>
      </c>
      <c r="H613" t="s">
        <v>2915</v>
      </c>
    </row>
    <row r="614" spans="1:8" x14ac:dyDescent="0.25">
      <c r="A614" s="211" t="s">
        <v>2675</v>
      </c>
      <c r="B614" t="s">
        <v>2672</v>
      </c>
      <c r="C614" s="48">
        <f t="shared" ref="C614:C651" si="128">E614*F614</f>
        <v>2815540</v>
      </c>
      <c r="D614" t="s">
        <v>8</v>
      </c>
      <c r="E614" s="190">
        <f>1820000*1.19</f>
        <v>2165800</v>
      </c>
      <c r="F614" s="212">
        <v>1.3</v>
      </c>
      <c r="G614" s="213">
        <v>45752</v>
      </c>
      <c r="H614" t="s">
        <v>2915</v>
      </c>
    </row>
    <row r="615" spans="1:8" x14ac:dyDescent="0.25">
      <c r="A615" s="211" t="s">
        <v>2676</v>
      </c>
      <c r="B615" t="s">
        <v>2671</v>
      </c>
      <c r="C615" s="48">
        <f t="shared" si="128"/>
        <v>6017830</v>
      </c>
      <c r="D615" t="s">
        <v>8</v>
      </c>
      <c r="E615" s="190">
        <f>3890000*1.19</f>
        <v>4629100</v>
      </c>
      <c r="F615" s="212">
        <v>1.3</v>
      </c>
      <c r="G615" s="213">
        <v>45752</v>
      </c>
      <c r="H615" t="s">
        <v>2915</v>
      </c>
    </row>
    <row r="616" spans="1:8" x14ac:dyDescent="0.25">
      <c r="A616" s="211" t="s">
        <v>2685</v>
      </c>
      <c r="B616" t="s">
        <v>2670</v>
      </c>
      <c r="C616" s="48">
        <f t="shared" si="128"/>
        <v>9114348.75</v>
      </c>
      <c r="D616" t="s">
        <v>8</v>
      </c>
      <c r="E616" s="190">
        <f>753875*3*3.1</f>
        <v>7011037.5</v>
      </c>
      <c r="F616" s="212">
        <v>1.3</v>
      </c>
      <c r="G616" s="213">
        <v>45752</v>
      </c>
      <c r="H616" t="s">
        <v>2915</v>
      </c>
    </row>
    <row r="617" spans="1:8" x14ac:dyDescent="0.25">
      <c r="A617" s="211" t="s">
        <v>2686</v>
      </c>
      <c r="B617" t="s">
        <v>2682</v>
      </c>
      <c r="C617" s="48">
        <f t="shared" si="128"/>
        <v>2536.3000000000002</v>
      </c>
      <c r="D617" s="211" t="s">
        <v>2684</v>
      </c>
      <c r="E617" s="190">
        <v>1951</v>
      </c>
      <c r="F617" s="212">
        <v>1.3</v>
      </c>
      <c r="G617" s="213">
        <v>45855</v>
      </c>
      <c r="H617" t="s">
        <v>2915</v>
      </c>
    </row>
    <row r="618" spans="1:8" x14ac:dyDescent="0.25">
      <c r="A618" s="211" t="s">
        <v>2689</v>
      </c>
      <c r="B618" t="s">
        <v>2683</v>
      </c>
      <c r="C618" s="48">
        <f t="shared" si="128"/>
        <v>4997.2</v>
      </c>
      <c r="D618" t="s">
        <v>1387</v>
      </c>
      <c r="E618" s="190">
        <v>3844</v>
      </c>
      <c r="F618" s="212">
        <v>1.3</v>
      </c>
      <c r="G618" s="213">
        <v>45855</v>
      </c>
      <c r="H618" t="s">
        <v>2915</v>
      </c>
    </row>
    <row r="619" spans="1:8" x14ac:dyDescent="0.25">
      <c r="A619" s="211" t="s">
        <v>2690</v>
      </c>
      <c r="B619" t="s">
        <v>2687</v>
      </c>
      <c r="C619" s="48">
        <f t="shared" si="128"/>
        <v>1869.4</v>
      </c>
      <c r="D619" t="s">
        <v>1387</v>
      </c>
      <c r="E619" s="190">
        <v>1438</v>
      </c>
      <c r="F619" s="212">
        <v>1.3</v>
      </c>
      <c r="G619" s="213">
        <v>45855</v>
      </c>
      <c r="H619" t="s">
        <v>2915</v>
      </c>
    </row>
    <row r="620" spans="1:8" x14ac:dyDescent="0.25">
      <c r="A620" s="211" t="s">
        <v>2693</v>
      </c>
      <c r="B620" t="s">
        <v>2688</v>
      </c>
      <c r="C620" s="48">
        <f t="shared" si="128"/>
        <v>127172.5</v>
      </c>
      <c r="D620" t="s">
        <v>2623</v>
      </c>
      <c r="E620" s="190">
        <v>97825</v>
      </c>
      <c r="F620" s="212">
        <v>1.3</v>
      </c>
      <c r="G620" s="213">
        <v>45855</v>
      </c>
      <c r="H620" t="s">
        <v>2915</v>
      </c>
    </row>
    <row r="621" spans="1:8" x14ac:dyDescent="0.25">
      <c r="A621" s="211" t="s">
        <v>2694</v>
      </c>
      <c r="B621" t="s">
        <v>2691</v>
      </c>
      <c r="C621" s="48">
        <f t="shared" si="128"/>
        <v>23328.5</v>
      </c>
      <c r="D621" t="s">
        <v>2696</v>
      </c>
      <c r="E621" s="190">
        <v>17945</v>
      </c>
      <c r="F621" s="212">
        <v>1.3</v>
      </c>
      <c r="G621" s="213">
        <v>45855</v>
      </c>
      <c r="H621" t="s">
        <v>2915</v>
      </c>
    </row>
    <row r="622" spans="1:8" x14ac:dyDescent="0.25">
      <c r="A622" s="211" t="s">
        <v>2711</v>
      </c>
      <c r="B622" t="s">
        <v>2692</v>
      </c>
      <c r="C622" s="48">
        <f t="shared" si="128"/>
        <v>227778.2</v>
      </c>
      <c r="D622" t="s">
        <v>2697</v>
      </c>
      <c r="E622" s="190">
        <v>175214</v>
      </c>
      <c r="F622" s="212">
        <v>1.3</v>
      </c>
      <c r="G622" s="213">
        <v>45855</v>
      </c>
      <c r="H622" t="s">
        <v>2915</v>
      </c>
    </row>
    <row r="623" spans="1:8" x14ac:dyDescent="0.25">
      <c r="A623" s="211" t="s">
        <v>2712</v>
      </c>
      <c r="B623" t="s">
        <v>2698</v>
      </c>
      <c r="C623" s="48">
        <f t="shared" si="128"/>
        <v>4533.1000000000004</v>
      </c>
      <c r="D623" t="s">
        <v>8</v>
      </c>
      <c r="E623" s="190">
        <v>3487</v>
      </c>
      <c r="F623" s="212">
        <v>1.3</v>
      </c>
      <c r="G623" s="213">
        <v>45855</v>
      </c>
      <c r="H623" t="s">
        <v>2915</v>
      </c>
    </row>
    <row r="624" spans="1:8" x14ac:dyDescent="0.25">
      <c r="A624" s="211" t="s">
        <v>2713</v>
      </c>
      <c r="B624" t="s">
        <v>2699</v>
      </c>
      <c r="C624" s="48">
        <f t="shared" si="128"/>
        <v>7883.2</v>
      </c>
      <c r="D624" t="s">
        <v>2724</v>
      </c>
      <c r="E624" s="190">
        <v>6064</v>
      </c>
      <c r="F624" s="212">
        <v>1.3</v>
      </c>
      <c r="G624" s="213">
        <v>45855</v>
      </c>
      <c r="H624" t="s">
        <v>2915</v>
      </c>
    </row>
    <row r="625" spans="1:8" x14ac:dyDescent="0.25">
      <c r="A625" s="211" t="s">
        <v>2714</v>
      </c>
      <c r="B625" t="s">
        <v>2700</v>
      </c>
      <c r="C625" s="48">
        <f t="shared" si="128"/>
        <v>1053</v>
      </c>
      <c r="D625" t="s">
        <v>2724</v>
      </c>
      <c r="E625" s="190">
        <v>810</v>
      </c>
      <c r="F625" s="212">
        <v>1.3</v>
      </c>
      <c r="G625" s="213">
        <v>45855</v>
      </c>
      <c r="H625" t="s">
        <v>2915</v>
      </c>
    </row>
    <row r="626" spans="1:8" x14ac:dyDescent="0.25">
      <c r="A626" s="211" t="s">
        <v>2715</v>
      </c>
      <c r="B626" t="s">
        <v>2701</v>
      </c>
      <c r="C626" s="48">
        <f t="shared" si="128"/>
        <v>3295.5</v>
      </c>
      <c r="D626" t="s">
        <v>8</v>
      </c>
      <c r="E626" s="190">
        <v>2535</v>
      </c>
      <c r="F626" s="212">
        <v>1.3</v>
      </c>
      <c r="G626" s="213">
        <v>45855</v>
      </c>
      <c r="H626" t="s">
        <v>2915</v>
      </c>
    </row>
    <row r="627" spans="1:8" x14ac:dyDescent="0.25">
      <c r="A627" s="211" t="s">
        <v>2716</v>
      </c>
      <c r="B627" t="s">
        <v>2702</v>
      </c>
      <c r="C627" s="48">
        <f t="shared" si="128"/>
        <v>1387.1000000000001</v>
      </c>
      <c r="D627" t="s">
        <v>8</v>
      </c>
      <c r="E627" s="190">
        <v>1067</v>
      </c>
      <c r="F627" s="212">
        <v>1.3</v>
      </c>
      <c r="G627" s="213">
        <v>45855</v>
      </c>
      <c r="H627" t="s">
        <v>2915</v>
      </c>
    </row>
    <row r="628" spans="1:8" x14ac:dyDescent="0.25">
      <c r="A628" s="211" t="s">
        <v>2717</v>
      </c>
      <c r="B628" t="s">
        <v>2703</v>
      </c>
      <c r="C628" s="48">
        <f t="shared" si="128"/>
        <v>4583.8</v>
      </c>
      <c r="D628" t="s">
        <v>8</v>
      </c>
      <c r="E628" s="190">
        <v>3526</v>
      </c>
      <c r="F628" s="212">
        <v>1.3</v>
      </c>
      <c r="G628" s="213">
        <v>45855</v>
      </c>
      <c r="H628" t="s">
        <v>2915</v>
      </c>
    </row>
    <row r="629" spans="1:8" x14ac:dyDescent="0.25">
      <c r="A629" s="211" t="s">
        <v>2718</v>
      </c>
      <c r="B629" t="s">
        <v>2704</v>
      </c>
      <c r="C629" s="48">
        <f t="shared" si="128"/>
        <v>80462.2</v>
      </c>
      <c r="D629" t="s">
        <v>8</v>
      </c>
      <c r="E629" s="190">
        <v>61894</v>
      </c>
      <c r="F629" s="212">
        <v>1.3</v>
      </c>
      <c r="G629" s="213">
        <v>45855</v>
      </c>
      <c r="H629" t="s">
        <v>2915</v>
      </c>
    </row>
    <row r="630" spans="1:8" x14ac:dyDescent="0.25">
      <c r="A630" s="211" t="s">
        <v>2719</v>
      </c>
      <c r="B630" t="s">
        <v>2705</v>
      </c>
      <c r="C630" s="48">
        <f t="shared" si="128"/>
        <v>166873.20000000001</v>
      </c>
      <c r="D630" t="s">
        <v>8</v>
      </c>
      <c r="E630" s="190">
        <v>128364</v>
      </c>
      <c r="F630" s="212">
        <v>1.3</v>
      </c>
      <c r="G630" s="213">
        <v>45855</v>
      </c>
      <c r="H630" t="s">
        <v>2915</v>
      </c>
    </row>
    <row r="631" spans="1:8" x14ac:dyDescent="0.25">
      <c r="A631" s="211" t="s">
        <v>2720</v>
      </c>
      <c r="B631" t="s">
        <v>2706</v>
      </c>
      <c r="C631" s="48">
        <f t="shared" si="128"/>
        <v>1859</v>
      </c>
      <c r="D631" t="s">
        <v>8</v>
      </c>
      <c r="E631" s="190">
        <v>1430</v>
      </c>
      <c r="F631" s="212">
        <v>1.3</v>
      </c>
      <c r="G631" s="213">
        <v>45855</v>
      </c>
      <c r="H631" t="s">
        <v>2915</v>
      </c>
    </row>
    <row r="632" spans="1:8" x14ac:dyDescent="0.25">
      <c r="A632" s="211" t="s">
        <v>2721</v>
      </c>
      <c r="B632" t="s">
        <v>2707</v>
      </c>
      <c r="C632" s="48">
        <f t="shared" si="128"/>
        <v>94225.3</v>
      </c>
      <c r="D632" t="s">
        <v>8</v>
      </c>
      <c r="E632" s="190">
        <v>72481</v>
      </c>
      <c r="F632" s="212">
        <v>1.3</v>
      </c>
      <c r="G632" s="213">
        <v>45855</v>
      </c>
      <c r="H632" t="s">
        <v>2915</v>
      </c>
    </row>
    <row r="633" spans="1:8" x14ac:dyDescent="0.25">
      <c r="A633" s="211" t="s">
        <v>2722</v>
      </c>
      <c r="B633" t="s">
        <v>2708</v>
      </c>
      <c r="C633" s="48">
        <f t="shared" si="128"/>
        <v>30741.100000000002</v>
      </c>
      <c r="D633" t="s">
        <v>8</v>
      </c>
      <c r="E633" s="190">
        <v>23647</v>
      </c>
      <c r="F633" s="212">
        <v>1.3</v>
      </c>
      <c r="G633" s="213">
        <v>45855</v>
      </c>
      <c r="H633" t="s">
        <v>2915</v>
      </c>
    </row>
    <row r="634" spans="1:8" x14ac:dyDescent="0.25">
      <c r="A634" s="211" t="s">
        <v>2723</v>
      </c>
      <c r="B634" t="s">
        <v>2709</v>
      </c>
      <c r="C634" s="48">
        <f t="shared" si="128"/>
        <v>88185.5</v>
      </c>
      <c r="D634" t="s">
        <v>8</v>
      </c>
      <c r="E634" s="190">
        <v>67835</v>
      </c>
      <c r="F634" s="212">
        <v>1.3</v>
      </c>
      <c r="G634" s="213">
        <v>45855</v>
      </c>
      <c r="H634" t="s">
        <v>2915</v>
      </c>
    </row>
    <row r="635" spans="1:8" x14ac:dyDescent="0.25">
      <c r="A635" s="211" t="s">
        <v>2729</v>
      </c>
      <c r="B635" t="s">
        <v>2710</v>
      </c>
      <c r="C635" s="48">
        <f t="shared" si="128"/>
        <v>92584.7</v>
      </c>
      <c r="D635" t="s">
        <v>8</v>
      </c>
      <c r="E635" s="190">
        <v>71219</v>
      </c>
      <c r="F635" s="212">
        <v>1.3</v>
      </c>
      <c r="G635" s="213">
        <v>45855</v>
      </c>
      <c r="H635" t="s">
        <v>2915</v>
      </c>
    </row>
    <row r="636" spans="1:8" x14ac:dyDescent="0.25">
      <c r="A636" s="211" t="s">
        <v>2735</v>
      </c>
      <c r="B636" t="s">
        <v>2728</v>
      </c>
      <c r="C636" s="48">
        <f t="shared" si="128"/>
        <v>829800.4</v>
      </c>
      <c r="D636" t="s">
        <v>114</v>
      </c>
      <c r="E636" s="190">
        <v>638308</v>
      </c>
      <c r="F636" s="212">
        <v>1.3</v>
      </c>
      <c r="G636" s="213">
        <v>45855</v>
      </c>
      <c r="H636" t="s">
        <v>2915</v>
      </c>
    </row>
    <row r="637" spans="1:8" x14ac:dyDescent="0.25">
      <c r="A637" s="211" t="s">
        <v>2736</v>
      </c>
      <c r="B637" t="s">
        <v>2730</v>
      </c>
      <c r="C637" s="48">
        <f t="shared" si="128"/>
        <v>2050.1</v>
      </c>
      <c r="D637" t="s">
        <v>1387</v>
      </c>
      <c r="E637" s="190">
        <v>1577</v>
      </c>
      <c r="F637" s="212">
        <v>1.3</v>
      </c>
      <c r="G637" s="213">
        <v>45855</v>
      </c>
      <c r="H637" t="s">
        <v>2915</v>
      </c>
    </row>
    <row r="638" spans="1:8" x14ac:dyDescent="0.25">
      <c r="A638" s="211" t="s">
        <v>2737</v>
      </c>
      <c r="B638" t="s">
        <v>2731</v>
      </c>
      <c r="C638" s="48">
        <f t="shared" si="128"/>
        <v>62400</v>
      </c>
      <c r="D638" t="s">
        <v>113</v>
      </c>
      <c r="E638" s="190">
        <v>48000</v>
      </c>
      <c r="F638" s="212">
        <v>1.3</v>
      </c>
      <c r="G638" s="213">
        <v>45855</v>
      </c>
      <c r="H638" t="s">
        <v>2915</v>
      </c>
    </row>
    <row r="639" spans="1:8" x14ac:dyDescent="0.25">
      <c r="A639" s="211" t="s">
        <v>2738</v>
      </c>
      <c r="B639" t="s">
        <v>2732</v>
      </c>
      <c r="C639" s="48">
        <f t="shared" si="128"/>
        <v>48.1</v>
      </c>
      <c r="D639" t="s">
        <v>8</v>
      </c>
      <c r="E639" s="190">
        <v>37</v>
      </c>
      <c r="F639" s="212">
        <v>1.3</v>
      </c>
      <c r="G639" s="213">
        <v>45855</v>
      </c>
      <c r="H639" t="s">
        <v>2915</v>
      </c>
    </row>
    <row r="640" spans="1:8" x14ac:dyDescent="0.25">
      <c r="A640" s="211" t="s">
        <v>2739</v>
      </c>
      <c r="B640" t="s">
        <v>2733</v>
      </c>
      <c r="C640" s="48">
        <f t="shared" si="128"/>
        <v>5224.7</v>
      </c>
      <c r="D640" t="s">
        <v>1406</v>
      </c>
      <c r="E640" s="190">
        <v>4019</v>
      </c>
      <c r="F640" s="212">
        <v>1.3</v>
      </c>
      <c r="G640" s="213">
        <v>45855</v>
      </c>
      <c r="H640" t="s">
        <v>2915</v>
      </c>
    </row>
    <row r="641" spans="1:8" x14ac:dyDescent="0.25">
      <c r="A641" s="211" t="s">
        <v>2740</v>
      </c>
      <c r="B641" t="s">
        <v>2734</v>
      </c>
      <c r="C641" s="48">
        <f t="shared" si="128"/>
        <v>12591.800000000001</v>
      </c>
      <c r="D641" t="s">
        <v>1387</v>
      </c>
      <c r="E641" s="190">
        <v>9686</v>
      </c>
      <c r="F641" s="212">
        <v>1.3</v>
      </c>
      <c r="G641" s="213">
        <v>45855</v>
      </c>
      <c r="H641" t="s">
        <v>2915</v>
      </c>
    </row>
    <row r="642" spans="1:8" x14ac:dyDescent="0.25">
      <c r="A642" s="211" t="s">
        <v>2747</v>
      </c>
      <c r="B642" t="s">
        <v>2743</v>
      </c>
      <c r="C642" s="48">
        <f t="shared" si="128"/>
        <v>116870</v>
      </c>
      <c r="D642" t="s">
        <v>113</v>
      </c>
      <c r="E642" s="190">
        <v>89900</v>
      </c>
      <c r="F642" s="212">
        <v>1.3</v>
      </c>
      <c r="G642" s="213">
        <v>45855</v>
      </c>
      <c r="H642" t="s">
        <v>2915</v>
      </c>
    </row>
    <row r="643" spans="1:8" x14ac:dyDescent="0.25">
      <c r="A643" s="211" t="s">
        <v>2748</v>
      </c>
      <c r="B643" t="s">
        <v>2744</v>
      </c>
      <c r="C643" s="48">
        <f t="shared" si="128"/>
        <v>15352.723750000001</v>
      </c>
      <c r="D643" t="s">
        <v>1387</v>
      </c>
      <c r="E643" s="190">
        <v>11809.7875</v>
      </c>
      <c r="F643" s="212">
        <v>1.3</v>
      </c>
      <c r="G643" s="213">
        <v>45855</v>
      </c>
      <c r="H643" t="s">
        <v>2915</v>
      </c>
    </row>
    <row r="644" spans="1:8" x14ac:dyDescent="0.25">
      <c r="A644" s="211" t="s">
        <v>2749</v>
      </c>
      <c r="B644" t="s">
        <v>2745</v>
      </c>
      <c r="C644" s="48">
        <f t="shared" si="128"/>
        <v>12425.833333333334</v>
      </c>
      <c r="D644" t="s">
        <v>1387</v>
      </c>
      <c r="E644" s="190">
        <v>9558.3333333333339</v>
      </c>
      <c r="F644" s="212">
        <v>1.3</v>
      </c>
      <c r="G644" s="213">
        <v>45855</v>
      </c>
      <c r="H644" t="s">
        <v>2915</v>
      </c>
    </row>
    <row r="645" spans="1:8" x14ac:dyDescent="0.25">
      <c r="A645" s="211" t="s">
        <v>2756</v>
      </c>
      <c r="B645" t="s">
        <v>2746</v>
      </c>
      <c r="C645" s="48">
        <f t="shared" si="128"/>
        <v>181.09000000000003</v>
      </c>
      <c r="D645" t="s">
        <v>8</v>
      </c>
      <c r="E645" s="190">
        <v>139.30000000000001</v>
      </c>
      <c r="F645" s="212">
        <v>1.3</v>
      </c>
      <c r="G645" s="213">
        <v>45855</v>
      </c>
      <c r="H645" t="s">
        <v>2915</v>
      </c>
    </row>
    <row r="646" spans="1:8" x14ac:dyDescent="0.25">
      <c r="A646" s="211" t="s">
        <v>2757</v>
      </c>
      <c r="B646" t="s">
        <v>2752</v>
      </c>
      <c r="C646" s="48">
        <f t="shared" si="128"/>
        <v>99606</v>
      </c>
      <c r="D646" t="s">
        <v>2623</v>
      </c>
      <c r="E646" s="190">
        <v>76620</v>
      </c>
      <c r="F646" s="212">
        <v>1.3</v>
      </c>
      <c r="G646" s="213">
        <v>45855</v>
      </c>
      <c r="H646" t="s">
        <v>2915</v>
      </c>
    </row>
    <row r="647" spans="1:8" x14ac:dyDescent="0.25">
      <c r="A647" s="211" t="s">
        <v>2758</v>
      </c>
      <c r="B647" t="s">
        <v>2753</v>
      </c>
      <c r="C647" s="48">
        <f t="shared" si="128"/>
        <v>33081.1</v>
      </c>
      <c r="D647" t="s">
        <v>2696</v>
      </c>
      <c r="E647" s="190">
        <v>25447</v>
      </c>
      <c r="F647" s="212">
        <v>1.3</v>
      </c>
      <c r="G647" s="213">
        <v>45855</v>
      </c>
      <c r="H647" t="s">
        <v>2915</v>
      </c>
    </row>
    <row r="648" spans="1:8" x14ac:dyDescent="0.25">
      <c r="A648" s="211" t="s">
        <v>2759</v>
      </c>
      <c r="B648" t="s">
        <v>2754</v>
      </c>
      <c r="C648" s="48">
        <f t="shared" si="128"/>
        <v>5980</v>
      </c>
      <c r="D648" t="s">
        <v>2761</v>
      </c>
      <c r="E648" s="190">
        <v>4600</v>
      </c>
      <c r="F648" s="212">
        <v>1.3</v>
      </c>
      <c r="G648" s="213">
        <v>45855</v>
      </c>
      <c r="H648" t="s">
        <v>2915</v>
      </c>
    </row>
    <row r="649" spans="1:8" x14ac:dyDescent="0.25">
      <c r="A649" s="211" t="s">
        <v>2760</v>
      </c>
      <c r="B649" t="s">
        <v>2755</v>
      </c>
      <c r="C649" s="48">
        <f t="shared" si="128"/>
        <v>70.850000000000009</v>
      </c>
      <c r="D649" t="s">
        <v>8</v>
      </c>
      <c r="E649" s="190">
        <v>54.5</v>
      </c>
      <c r="F649" s="212">
        <v>1.3</v>
      </c>
      <c r="G649" s="213">
        <v>45855</v>
      </c>
      <c r="H649" t="s">
        <v>2915</v>
      </c>
    </row>
    <row r="650" spans="1:8" x14ac:dyDescent="0.25">
      <c r="A650" s="211" t="s">
        <v>2765</v>
      </c>
      <c r="B650" t="s">
        <v>2763</v>
      </c>
      <c r="C650" s="48">
        <f t="shared" si="128"/>
        <v>96236.400000000009</v>
      </c>
      <c r="D650" t="s">
        <v>2659</v>
      </c>
      <c r="E650" s="190">
        <v>74028</v>
      </c>
      <c r="F650" s="212">
        <v>1.3</v>
      </c>
      <c r="G650" s="213">
        <v>45855</v>
      </c>
      <c r="H650" t="s">
        <v>2915</v>
      </c>
    </row>
    <row r="651" spans="1:8" x14ac:dyDescent="0.25">
      <c r="A651" s="211" t="s">
        <v>2766</v>
      </c>
      <c r="B651" t="s">
        <v>2764</v>
      </c>
      <c r="C651" s="48">
        <f t="shared" si="128"/>
        <v>90089.025000000009</v>
      </c>
      <c r="D651" t="s">
        <v>2695</v>
      </c>
      <c r="E651" s="190">
        <v>69299.25</v>
      </c>
      <c r="F651" s="212">
        <v>1.3</v>
      </c>
      <c r="G651" s="213">
        <v>45855</v>
      </c>
      <c r="H651" t="s">
        <v>2915</v>
      </c>
    </row>
    <row r="652" spans="1:8" x14ac:dyDescent="0.25">
      <c r="A652" s="211" t="s">
        <v>2772</v>
      </c>
      <c r="B652" t="s">
        <v>2768</v>
      </c>
      <c r="C652" s="48">
        <f t="shared" ref="C652:C656" si="129">E652*F652</f>
        <v>22092.98</v>
      </c>
      <c r="D652" t="s">
        <v>113</v>
      </c>
      <c r="E652" s="190">
        <v>16994.599999999999</v>
      </c>
      <c r="F652" s="212">
        <v>1.3</v>
      </c>
      <c r="G652" s="213">
        <v>45855</v>
      </c>
      <c r="H652" t="s">
        <v>2915</v>
      </c>
    </row>
    <row r="653" spans="1:8" x14ac:dyDescent="0.25">
      <c r="A653" s="211" t="s">
        <v>2773</v>
      </c>
      <c r="B653" t="s">
        <v>2769</v>
      </c>
      <c r="C653" s="48">
        <f t="shared" si="129"/>
        <v>35656.621000000006</v>
      </c>
      <c r="D653" t="s">
        <v>113</v>
      </c>
      <c r="E653" s="190">
        <v>27428.170000000002</v>
      </c>
      <c r="F653" s="212">
        <v>1.3</v>
      </c>
      <c r="G653" s="213">
        <v>45855</v>
      </c>
      <c r="H653" t="s">
        <v>2915</v>
      </c>
    </row>
    <row r="654" spans="1:8" x14ac:dyDescent="0.25">
      <c r="A654" s="211" t="s">
        <v>2774</v>
      </c>
      <c r="B654" t="s">
        <v>2770</v>
      </c>
      <c r="C654" s="48">
        <f t="shared" si="129"/>
        <v>63381.5</v>
      </c>
      <c r="D654" t="s">
        <v>2659</v>
      </c>
      <c r="E654" s="190">
        <v>48755</v>
      </c>
      <c r="F654" s="212">
        <v>1.3</v>
      </c>
      <c r="G654" s="213">
        <v>45855</v>
      </c>
      <c r="H654" t="s">
        <v>2915</v>
      </c>
    </row>
    <row r="655" spans="1:8" x14ac:dyDescent="0.25">
      <c r="A655" s="211" t="s">
        <v>2775</v>
      </c>
      <c r="B655" t="s">
        <v>2771</v>
      </c>
      <c r="C655" s="48">
        <f t="shared" si="129"/>
        <v>129990.90000000001</v>
      </c>
      <c r="D655" t="s">
        <v>8</v>
      </c>
      <c r="E655" s="190">
        <v>99993</v>
      </c>
      <c r="F655" s="212">
        <v>1.3</v>
      </c>
      <c r="G655" s="213">
        <v>45855</v>
      </c>
      <c r="H655" t="s">
        <v>2915</v>
      </c>
    </row>
    <row r="656" spans="1:8" x14ac:dyDescent="0.25">
      <c r="A656" s="211" t="s">
        <v>2777</v>
      </c>
      <c r="B656" t="s">
        <v>2776</v>
      </c>
      <c r="C656" s="48">
        <f t="shared" si="129"/>
        <v>19500</v>
      </c>
      <c r="D656" t="s">
        <v>113</v>
      </c>
      <c r="E656" s="190">
        <v>15000</v>
      </c>
      <c r="F656" s="212">
        <v>1.3</v>
      </c>
      <c r="G656" s="213">
        <v>45855</v>
      </c>
      <c r="H656" t="s">
        <v>2915</v>
      </c>
    </row>
    <row r="657" spans="1:8" x14ac:dyDescent="0.25">
      <c r="A657" s="211" t="s">
        <v>2794</v>
      </c>
      <c r="B657" t="str">
        <f>UPPER("Cielo Raso Fibra Mineral 0.60m x 0.60m x 14mm Caja x 10 Unidades")</f>
        <v>CIELO RASO FIBRA MINERAL 0.60M X 0.60M X 14MM CAJA X 10 UNIDADES</v>
      </c>
      <c r="C657" s="48">
        <f t="shared" ref="C657" si="130">E657*F657</f>
        <v>66046.5</v>
      </c>
      <c r="D657" t="s">
        <v>113</v>
      </c>
      <c r="E657" s="190">
        <v>50805</v>
      </c>
      <c r="F657" s="212">
        <v>1.3</v>
      </c>
      <c r="G657" s="213">
        <v>45855</v>
      </c>
      <c r="H657" t="s">
        <v>2915</v>
      </c>
    </row>
    <row r="658" spans="1:8" x14ac:dyDescent="0.25">
      <c r="A658" s="211" t="s">
        <v>2800</v>
      </c>
      <c r="B658" t="s">
        <v>2793</v>
      </c>
      <c r="C658" s="48">
        <f t="shared" ref="C658" si="131">E658*F658</f>
        <v>751885.68</v>
      </c>
      <c r="D658" t="s">
        <v>114</v>
      </c>
      <c r="E658" s="190">
        <v>578373.6</v>
      </c>
      <c r="F658" s="212">
        <v>1.3</v>
      </c>
      <c r="G658" s="213">
        <v>45855</v>
      </c>
      <c r="H658" t="s">
        <v>2915</v>
      </c>
    </row>
    <row r="659" spans="1:8" x14ac:dyDescent="0.25">
      <c r="A659" s="211" t="s">
        <v>2804</v>
      </c>
      <c r="B659" t="s">
        <v>2798</v>
      </c>
      <c r="C659" s="48">
        <f t="shared" ref="C659:C662" si="132">E659*F659</f>
        <v>271570</v>
      </c>
      <c r="D659" t="s">
        <v>8</v>
      </c>
      <c r="E659" s="190">
        <v>208900</v>
      </c>
      <c r="F659" s="212">
        <v>1.3</v>
      </c>
      <c r="G659" s="213">
        <v>45855</v>
      </c>
      <c r="H659" s="111" t="s">
        <v>2799</v>
      </c>
    </row>
    <row r="660" spans="1:8" x14ac:dyDescent="0.25">
      <c r="A660" s="211" t="s">
        <v>2806</v>
      </c>
      <c r="B660" t="s">
        <v>2803</v>
      </c>
      <c r="C660" s="48">
        <f t="shared" si="132"/>
        <v>784030</v>
      </c>
      <c r="D660" t="s">
        <v>114</v>
      </c>
      <c r="E660" s="190">
        <v>603100</v>
      </c>
      <c r="F660" s="212">
        <v>1.3</v>
      </c>
      <c r="G660" s="213">
        <v>45855</v>
      </c>
      <c r="H660" t="s">
        <v>2915</v>
      </c>
    </row>
    <row r="661" spans="1:8" x14ac:dyDescent="0.25">
      <c r="A661" s="211" t="s">
        <v>2807</v>
      </c>
      <c r="B661" t="s">
        <v>2805</v>
      </c>
      <c r="C661" s="48">
        <f t="shared" si="132"/>
        <v>26366.704000000002</v>
      </c>
      <c r="D661" t="s">
        <v>2659</v>
      </c>
      <c r="E661" s="190">
        <v>20282.080000000002</v>
      </c>
      <c r="F661" s="212">
        <v>1.3</v>
      </c>
      <c r="G661" s="213">
        <v>45855</v>
      </c>
      <c r="H661" t="s">
        <v>2915</v>
      </c>
    </row>
    <row r="662" spans="1:8" x14ac:dyDescent="0.25">
      <c r="A662" s="211" t="s">
        <v>2810</v>
      </c>
      <c r="B662" t="s">
        <v>2809</v>
      </c>
      <c r="C662" s="48">
        <f t="shared" si="132"/>
        <v>1065220</v>
      </c>
      <c r="D662" t="s">
        <v>8</v>
      </c>
      <c r="E662" s="190">
        <v>819400</v>
      </c>
      <c r="F662" s="212">
        <v>1.3</v>
      </c>
      <c r="G662" s="213">
        <v>45855</v>
      </c>
      <c r="H662" s="111" t="s">
        <v>2808</v>
      </c>
    </row>
    <row r="663" spans="1:8" x14ac:dyDescent="0.25">
      <c r="A663" s="211" t="s">
        <v>2832</v>
      </c>
      <c r="B663" t="s">
        <v>2812</v>
      </c>
      <c r="C663" s="48">
        <f t="shared" ref="C663:C664" si="133">E663*F663</f>
        <v>694603</v>
      </c>
      <c r="D663" t="s">
        <v>8</v>
      </c>
      <c r="E663" s="190">
        <v>534310</v>
      </c>
      <c r="F663" s="212">
        <v>1.3</v>
      </c>
      <c r="G663" s="213">
        <v>45855</v>
      </c>
      <c r="H663" s="111" t="s">
        <v>2811</v>
      </c>
    </row>
    <row r="664" spans="1:8" x14ac:dyDescent="0.25">
      <c r="A664" s="211" t="s">
        <v>2834</v>
      </c>
      <c r="B664" t="s">
        <v>2831</v>
      </c>
      <c r="C664" s="48">
        <f t="shared" si="133"/>
        <v>38099.1</v>
      </c>
      <c r="D664" t="s">
        <v>8</v>
      </c>
      <c r="E664" s="190">
        <v>29307</v>
      </c>
      <c r="F664" s="212">
        <v>1.3</v>
      </c>
      <c r="G664" s="213">
        <v>45805</v>
      </c>
      <c r="H664" t="s">
        <v>2915</v>
      </c>
    </row>
    <row r="665" spans="1:8" x14ac:dyDescent="0.25">
      <c r="A665" s="211" t="s">
        <v>2835</v>
      </c>
      <c r="B665" t="str">
        <f>UPPER("Tanque séptico en politileno 100% virgen, capacidad 1650 lts")</f>
        <v>TANQUE SÉPTICO EN POLITILENO 100% VIRGEN, CAPACIDAD 1650 LTS</v>
      </c>
      <c r="C665" s="48">
        <f t="shared" ref="C665" si="134">E665*F665</f>
        <v>5460000</v>
      </c>
      <c r="D665" t="s">
        <v>8</v>
      </c>
      <c r="E665" s="190">
        <v>4200000</v>
      </c>
      <c r="F665" s="212">
        <v>1.3</v>
      </c>
      <c r="G665" s="213">
        <v>45806</v>
      </c>
      <c r="H665" s="111" t="s">
        <v>2836</v>
      </c>
    </row>
    <row r="666" spans="1:8" x14ac:dyDescent="0.25">
      <c r="A666" s="211" t="s">
        <v>2838</v>
      </c>
      <c r="B666" t="str">
        <f>UPPER("Kit de accesorios para sistema septico de 2000 lts")</f>
        <v>KIT DE ACCESORIOS PARA SISTEMA SEPTICO DE 2000 LTS</v>
      </c>
      <c r="C666" s="48">
        <f t="shared" ref="C666:C670" si="135">E666*F666</f>
        <v>390000</v>
      </c>
      <c r="D666" t="s">
        <v>8</v>
      </c>
      <c r="E666" s="190">
        <v>300000</v>
      </c>
      <c r="F666" s="212">
        <v>1.3</v>
      </c>
      <c r="G666" s="213">
        <v>45806</v>
      </c>
      <c r="H666" t="s">
        <v>2915</v>
      </c>
    </row>
    <row r="667" spans="1:8" x14ac:dyDescent="0.25">
      <c r="A667" s="211" t="s">
        <v>2840</v>
      </c>
      <c r="B667" t="str">
        <f>UPPER("Tuberia de Drenaje de 4 Pulgadas")</f>
        <v>TUBERIA DE DRENAJE DE 4 PULGADAS</v>
      </c>
      <c r="C667" s="48">
        <f t="shared" si="135"/>
        <v>19487</v>
      </c>
      <c r="D667" t="s">
        <v>108</v>
      </c>
      <c r="E667" s="190">
        <v>14990</v>
      </c>
      <c r="F667" s="212">
        <v>1.3</v>
      </c>
      <c r="G667" s="213">
        <v>45804</v>
      </c>
      <c r="H667" s="111" t="s">
        <v>2837</v>
      </c>
    </row>
    <row r="668" spans="1:8" x14ac:dyDescent="0.25">
      <c r="A668" s="211" t="s">
        <v>2843</v>
      </c>
      <c r="B668" t="s">
        <v>2865</v>
      </c>
      <c r="C668" s="48">
        <f t="shared" si="135"/>
        <v>39000</v>
      </c>
      <c r="D668" t="s">
        <v>8</v>
      </c>
      <c r="E668" s="190">
        <v>30000</v>
      </c>
      <c r="F668" s="212">
        <v>1.3</v>
      </c>
      <c r="G668" s="213">
        <v>45855</v>
      </c>
      <c r="H668" t="s">
        <v>2915</v>
      </c>
    </row>
    <row r="669" spans="1:8" x14ac:dyDescent="0.25">
      <c r="A669" s="211" t="s">
        <v>2848</v>
      </c>
      <c r="B669" t="s">
        <v>2842</v>
      </c>
      <c r="C669" s="48">
        <f t="shared" si="135"/>
        <v>39000</v>
      </c>
      <c r="D669" t="s">
        <v>8</v>
      </c>
      <c r="E669">
        <v>30000</v>
      </c>
      <c r="F669" s="212">
        <v>1.3</v>
      </c>
      <c r="G669" s="213">
        <v>45855</v>
      </c>
      <c r="H669" t="s">
        <v>2915</v>
      </c>
    </row>
    <row r="670" spans="1:8" x14ac:dyDescent="0.25">
      <c r="A670" s="211" t="s">
        <v>2850</v>
      </c>
      <c r="B670" t="s">
        <v>2846</v>
      </c>
      <c r="C670" s="48">
        <f t="shared" si="135"/>
        <v>16250</v>
      </c>
      <c r="D670" t="s">
        <v>108</v>
      </c>
      <c r="E670" s="190">
        <v>12500</v>
      </c>
      <c r="F670" s="212">
        <v>1.3</v>
      </c>
      <c r="G670" s="213">
        <v>45856</v>
      </c>
      <c r="H670" s="111" t="s">
        <v>2845</v>
      </c>
    </row>
    <row r="671" spans="1:8" x14ac:dyDescent="0.25">
      <c r="A671" s="211" t="s">
        <v>2847</v>
      </c>
      <c r="B671" t="s">
        <v>2851</v>
      </c>
      <c r="C671" s="48">
        <f t="shared" ref="C671" si="136">E671*F671</f>
        <v>10335</v>
      </c>
      <c r="D671" t="s">
        <v>8</v>
      </c>
      <c r="E671" s="190">
        <v>7950</v>
      </c>
      <c r="F671" s="212">
        <v>1.3</v>
      </c>
      <c r="G671" s="213">
        <v>45856</v>
      </c>
      <c r="H671" s="111" t="s">
        <v>2849</v>
      </c>
    </row>
    <row r="672" spans="1:8" x14ac:dyDescent="0.25">
      <c r="A672" s="211" t="s">
        <v>2855</v>
      </c>
      <c r="B672" t="s">
        <v>2853</v>
      </c>
      <c r="C672" s="48">
        <f t="shared" ref="C672" si="137">E672*F672</f>
        <v>4225</v>
      </c>
      <c r="D672" t="s">
        <v>8</v>
      </c>
      <c r="E672" s="190">
        <v>3250</v>
      </c>
      <c r="F672" s="212">
        <v>1.3</v>
      </c>
      <c r="G672" s="213">
        <v>45856</v>
      </c>
      <c r="H672" s="111" t="s">
        <v>2852</v>
      </c>
    </row>
    <row r="673" spans="1:8" x14ac:dyDescent="0.25">
      <c r="A673" s="211" t="s">
        <v>2859</v>
      </c>
      <c r="B673" t="s">
        <v>2857</v>
      </c>
      <c r="C673" s="48">
        <f t="shared" ref="C673" si="138">E673*F673</f>
        <v>2665</v>
      </c>
      <c r="D673" t="s">
        <v>8</v>
      </c>
      <c r="E673" s="190">
        <v>2050</v>
      </c>
      <c r="F673" s="212">
        <v>1.3</v>
      </c>
      <c r="G673" s="213">
        <v>45856</v>
      </c>
      <c r="H673" s="111" t="s">
        <v>2854</v>
      </c>
    </row>
    <row r="674" spans="1:8" x14ac:dyDescent="0.25">
      <c r="A674" s="211" t="s">
        <v>2867</v>
      </c>
      <c r="B674" t="s">
        <v>2858</v>
      </c>
      <c r="C674" s="48">
        <f t="shared" ref="C674" si="139">E674*F674</f>
        <v>6175</v>
      </c>
      <c r="D674" t="s">
        <v>8</v>
      </c>
      <c r="E674" s="190">
        <v>4750</v>
      </c>
      <c r="F674" s="212">
        <v>1.3</v>
      </c>
      <c r="G674" s="213">
        <v>45856</v>
      </c>
      <c r="H674" s="111" t="s">
        <v>2856</v>
      </c>
    </row>
    <row r="675" spans="1:8" x14ac:dyDescent="0.25">
      <c r="A675" s="211" t="s">
        <v>2871</v>
      </c>
      <c r="B675" t="s">
        <v>2868</v>
      </c>
      <c r="C675" s="48">
        <f t="shared" ref="C675:C676" si="140">E675*F675</f>
        <v>21970</v>
      </c>
      <c r="D675" t="s">
        <v>8</v>
      </c>
      <c r="E675" s="190">
        <v>16900</v>
      </c>
      <c r="F675" s="212">
        <v>1.3</v>
      </c>
      <c r="G675" s="213">
        <v>45856</v>
      </c>
      <c r="H675" s="111" t="s">
        <v>2866</v>
      </c>
    </row>
    <row r="676" spans="1:8" x14ac:dyDescent="0.25">
      <c r="A676" s="211" t="s">
        <v>2874</v>
      </c>
      <c r="B676" t="s">
        <v>2870</v>
      </c>
      <c r="C676" s="48">
        <f t="shared" si="140"/>
        <v>802100</v>
      </c>
      <c r="D676" t="s">
        <v>8</v>
      </c>
      <c r="E676" s="190">
        <v>617000</v>
      </c>
      <c r="F676" s="212">
        <v>1.3</v>
      </c>
      <c r="G676" s="213">
        <v>45855</v>
      </c>
      <c r="H676" s="111" t="s">
        <v>2872</v>
      </c>
    </row>
    <row r="677" spans="1:8" x14ac:dyDescent="0.25">
      <c r="A677" s="211" t="s">
        <v>2878</v>
      </c>
      <c r="B677" t="s">
        <v>2875</v>
      </c>
      <c r="C677" s="48">
        <f t="shared" ref="C677" si="141">E677*F677</f>
        <v>151816.6</v>
      </c>
      <c r="D677" t="s">
        <v>8</v>
      </c>
      <c r="E677" s="190">
        <v>116782</v>
      </c>
      <c r="F677" s="212">
        <v>1.3</v>
      </c>
      <c r="G677" s="213">
        <v>45855</v>
      </c>
      <c r="H677" s="111" t="s">
        <v>2873</v>
      </c>
    </row>
    <row r="678" spans="1:8" x14ac:dyDescent="0.25">
      <c r="A678" s="211" t="s">
        <v>2880</v>
      </c>
      <c r="B678" t="s">
        <v>2877</v>
      </c>
      <c r="C678" s="48">
        <f t="shared" ref="C678" si="142">E678*F678</f>
        <v>258385.40000000002</v>
      </c>
      <c r="D678" t="s">
        <v>8</v>
      </c>
      <c r="E678" s="190">
        <v>198758</v>
      </c>
      <c r="F678" s="212">
        <v>1.3</v>
      </c>
      <c r="G678" s="213">
        <v>45855</v>
      </c>
      <c r="H678" s="111" t="s">
        <v>2876</v>
      </c>
    </row>
    <row r="679" spans="1:8" x14ac:dyDescent="0.25">
      <c r="A679" s="211" t="s">
        <v>2883</v>
      </c>
      <c r="B679" t="s">
        <v>2881</v>
      </c>
      <c r="C679" s="48">
        <f t="shared" ref="C679" si="143">E679*F679</f>
        <v>8320</v>
      </c>
      <c r="D679" t="s">
        <v>8</v>
      </c>
      <c r="E679" s="190">
        <v>6400</v>
      </c>
      <c r="F679" s="212">
        <v>1.3</v>
      </c>
      <c r="G679" s="213">
        <v>45855</v>
      </c>
      <c r="H679" s="111" t="s">
        <v>2879</v>
      </c>
    </row>
    <row r="680" spans="1:8" x14ac:dyDescent="0.25">
      <c r="A680" s="211" t="s">
        <v>2913</v>
      </c>
      <c r="B680" t="s">
        <v>2884</v>
      </c>
      <c r="C680" s="48">
        <f t="shared" ref="C680:C681" si="144">E680*F680</f>
        <v>8970</v>
      </c>
      <c r="D680" t="s">
        <v>8</v>
      </c>
      <c r="E680" s="190">
        <v>6900</v>
      </c>
      <c r="F680" s="212">
        <v>1.3</v>
      </c>
      <c r="G680" s="213">
        <v>45855</v>
      </c>
      <c r="H680" s="111" t="s">
        <v>2882</v>
      </c>
    </row>
    <row r="681" spans="1:8" x14ac:dyDescent="0.25">
      <c r="A681" s="211" t="s">
        <v>2917</v>
      </c>
      <c r="B681" t="s">
        <v>2916</v>
      </c>
      <c r="C681" s="48">
        <f t="shared" si="144"/>
        <v>95030</v>
      </c>
      <c r="D681" t="s">
        <v>8</v>
      </c>
      <c r="E681" s="190">
        <v>73100</v>
      </c>
      <c r="F681" s="212">
        <v>1.3</v>
      </c>
      <c r="G681" s="213">
        <v>45693</v>
      </c>
      <c r="H681" s="77" t="s">
        <v>407</v>
      </c>
    </row>
  </sheetData>
  <autoFilter ref="A1:I681" xr:uid="{F1A06A04-254F-4463-B089-5F138521E276}"/>
  <phoneticPr fontId="15" type="noConversion"/>
  <conditionalFormatting sqref="B1">
    <cfRule type="duplicateValues" dxfId="762" priority="344"/>
  </conditionalFormatting>
  <conditionalFormatting sqref="B1:B333">
    <cfRule type="duplicateValues" dxfId="761" priority="1590"/>
  </conditionalFormatting>
  <conditionalFormatting sqref="B50">
    <cfRule type="duplicateValues" dxfId="760" priority="248"/>
  </conditionalFormatting>
  <conditionalFormatting sqref="B59:B60">
    <cfRule type="duplicateValues" dxfId="759" priority="230"/>
  </conditionalFormatting>
  <conditionalFormatting sqref="B62">
    <cfRule type="duplicateValues" dxfId="758" priority="247"/>
  </conditionalFormatting>
  <conditionalFormatting sqref="B76:B81">
    <cfRule type="duplicateValues" dxfId="757" priority="246"/>
  </conditionalFormatting>
  <conditionalFormatting sqref="B127">
    <cfRule type="duplicateValues" dxfId="756" priority="244"/>
  </conditionalFormatting>
  <conditionalFormatting sqref="B143">
    <cfRule type="duplicateValues" dxfId="755" priority="243"/>
  </conditionalFormatting>
  <conditionalFormatting sqref="B173">
    <cfRule type="duplicateValues" dxfId="754" priority="241"/>
  </conditionalFormatting>
  <conditionalFormatting sqref="B178">
    <cfRule type="duplicateValues" dxfId="753" priority="240"/>
  </conditionalFormatting>
  <conditionalFormatting sqref="B179">
    <cfRule type="duplicateValues" dxfId="752" priority="238"/>
  </conditionalFormatting>
  <conditionalFormatting sqref="B217">
    <cfRule type="duplicateValues" dxfId="751" priority="237"/>
  </conditionalFormatting>
  <conditionalFormatting sqref="B227">
    <cfRule type="duplicateValues" dxfId="750" priority="236"/>
  </conditionalFormatting>
  <conditionalFormatting sqref="B237">
    <cfRule type="duplicateValues" dxfId="749" priority="235"/>
  </conditionalFormatting>
  <conditionalFormatting sqref="B247">
    <cfRule type="duplicateValues" dxfId="748" priority="234"/>
  </conditionalFormatting>
  <conditionalFormatting sqref="B248">
    <cfRule type="duplicateValues" dxfId="747" priority="233"/>
  </conditionalFormatting>
  <conditionalFormatting sqref="B250">
    <cfRule type="duplicateValues" dxfId="746" priority="232"/>
  </conditionalFormatting>
  <conditionalFormatting sqref="B256">
    <cfRule type="duplicateValues" dxfId="745" priority="231"/>
  </conditionalFormatting>
  <conditionalFormatting sqref="B271">
    <cfRule type="duplicateValues" dxfId="744" priority="229"/>
  </conditionalFormatting>
  <conditionalFormatting sqref="B302">
    <cfRule type="duplicateValues" dxfId="743" priority="228"/>
  </conditionalFormatting>
  <conditionalFormatting sqref="B305">
    <cfRule type="duplicateValues" dxfId="742" priority="227"/>
  </conditionalFormatting>
  <conditionalFormatting sqref="B338:B339">
    <cfRule type="duplicateValues" dxfId="741" priority="225"/>
  </conditionalFormatting>
  <conditionalFormatting sqref="B340">
    <cfRule type="duplicateValues" dxfId="740" priority="224"/>
    <cfRule type="duplicateValues" dxfId="739" priority="223"/>
  </conditionalFormatting>
  <conditionalFormatting sqref="B362">
    <cfRule type="duplicateValues" dxfId="738" priority="220"/>
    <cfRule type="duplicateValues" dxfId="737" priority="221"/>
  </conditionalFormatting>
  <conditionalFormatting sqref="B363:B367">
    <cfRule type="duplicateValues" dxfId="736" priority="219"/>
    <cfRule type="duplicateValues" dxfId="735" priority="218"/>
  </conditionalFormatting>
  <conditionalFormatting sqref="B368:B370">
    <cfRule type="duplicateValues" dxfId="734" priority="1619"/>
  </conditionalFormatting>
  <conditionalFormatting sqref="B371">
    <cfRule type="duplicateValues" dxfId="733" priority="207"/>
    <cfRule type="duplicateValues" dxfId="732" priority="208"/>
    <cfRule type="duplicateValues" dxfId="731" priority="206"/>
  </conditionalFormatting>
  <conditionalFormatting sqref="B375">
    <cfRule type="duplicateValues" dxfId="730" priority="205"/>
  </conditionalFormatting>
  <conditionalFormatting sqref="B381">
    <cfRule type="duplicateValues" dxfId="729" priority="204"/>
  </conditionalFormatting>
  <conditionalFormatting sqref="B383">
    <cfRule type="duplicateValues" dxfId="728" priority="203"/>
  </conditionalFormatting>
  <conditionalFormatting sqref="B384">
    <cfRule type="duplicateValues" dxfId="727" priority="202"/>
  </conditionalFormatting>
  <conditionalFormatting sqref="B387">
    <cfRule type="duplicateValues" dxfId="726" priority="200"/>
    <cfRule type="duplicateValues" dxfId="725" priority="201"/>
  </conditionalFormatting>
  <conditionalFormatting sqref="B388">
    <cfRule type="duplicateValues" dxfId="724" priority="197"/>
    <cfRule type="duplicateValues" dxfId="723" priority="198"/>
    <cfRule type="duplicateValues" dxfId="722" priority="199"/>
  </conditionalFormatting>
  <conditionalFormatting sqref="B390:B391">
    <cfRule type="duplicateValues" dxfId="721" priority="196"/>
  </conditionalFormatting>
  <conditionalFormatting sqref="B392">
    <cfRule type="duplicateValues" dxfId="720" priority="195"/>
    <cfRule type="duplicateValues" dxfId="719" priority="194"/>
  </conditionalFormatting>
  <conditionalFormatting sqref="B395">
    <cfRule type="duplicateValues" dxfId="718" priority="193"/>
  </conditionalFormatting>
  <conditionalFormatting sqref="B398">
    <cfRule type="duplicateValues" dxfId="717" priority="192"/>
    <cfRule type="duplicateValues" dxfId="716" priority="191"/>
  </conditionalFormatting>
  <conditionalFormatting sqref="B399">
    <cfRule type="duplicateValues" dxfId="715" priority="190"/>
  </conditionalFormatting>
  <conditionalFormatting sqref="B407">
    <cfRule type="duplicateValues" dxfId="714" priority="189"/>
    <cfRule type="duplicateValues" dxfId="713" priority="188"/>
  </conditionalFormatting>
  <conditionalFormatting sqref="B415">
    <cfRule type="duplicateValues" dxfId="712" priority="187"/>
  </conditionalFormatting>
  <conditionalFormatting sqref="B416">
    <cfRule type="duplicateValues" dxfId="711" priority="186"/>
  </conditionalFormatting>
  <conditionalFormatting sqref="B417">
    <cfRule type="duplicateValues" dxfId="710" priority="185"/>
  </conditionalFormatting>
  <conditionalFormatting sqref="B418">
    <cfRule type="duplicateValues" dxfId="709" priority="184"/>
  </conditionalFormatting>
  <conditionalFormatting sqref="B440">
    <cfRule type="duplicateValues" dxfId="708" priority="182"/>
    <cfRule type="duplicateValues" dxfId="707" priority="181"/>
    <cfRule type="duplicateValues" dxfId="706" priority="180"/>
  </conditionalFormatting>
  <conditionalFormatting sqref="B442">
    <cfRule type="duplicateValues" dxfId="705" priority="179"/>
    <cfRule type="duplicateValues" dxfId="704" priority="178"/>
  </conditionalFormatting>
  <conditionalFormatting sqref="B446">
    <cfRule type="duplicateValues" dxfId="703" priority="175"/>
    <cfRule type="duplicateValues" dxfId="702" priority="177"/>
    <cfRule type="duplicateValues" dxfId="701" priority="176"/>
  </conditionalFormatting>
  <conditionalFormatting sqref="B447 B425:B439 B441:B445 B449:B450 B453:B454 B493:B495 B497:B500">
    <cfRule type="duplicateValues" dxfId="700" priority="183"/>
  </conditionalFormatting>
  <conditionalFormatting sqref="B448">
    <cfRule type="duplicateValues" dxfId="699" priority="172"/>
    <cfRule type="duplicateValues" dxfId="698" priority="174"/>
    <cfRule type="duplicateValues" dxfId="697" priority="173"/>
  </conditionalFormatting>
  <conditionalFormatting sqref="B451">
    <cfRule type="duplicateValues" dxfId="696" priority="166"/>
    <cfRule type="duplicateValues" dxfId="695" priority="165"/>
    <cfRule type="duplicateValues" dxfId="694" priority="164"/>
  </conditionalFormatting>
  <conditionalFormatting sqref="B452">
    <cfRule type="duplicateValues" dxfId="693" priority="163"/>
    <cfRule type="duplicateValues" dxfId="692" priority="162"/>
    <cfRule type="duplicateValues" dxfId="691" priority="161"/>
  </conditionalFormatting>
  <conditionalFormatting sqref="B455:B457 B459 B461:B464 B479:B484 B486:B487">
    <cfRule type="duplicateValues" dxfId="690" priority="159"/>
  </conditionalFormatting>
  <conditionalFormatting sqref="B455:B457">
    <cfRule type="duplicateValues" dxfId="689" priority="160"/>
    <cfRule type="duplicateValues" dxfId="688" priority="158"/>
  </conditionalFormatting>
  <conditionalFormatting sqref="B458">
    <cfRule type="duplicateValues" dxfId="687" priority="157"/>
    <cfRule type="duplicateValues" dxfId="686" priority="156"/>
    <cfRule type="duplicateValues" dxfId="685" priority="155"/>
  </conditionalFormatting>
  <conditionalFormatting sqref="B460">
    <cfRule type="duplicateValues" dxfId="684" priority="154"/>
    <cfRule type="duplicateValues" dxfId="683" priority="152"/>
    <cfRule type="duplicateValues" dxfId="682" priority="153"/>
  </conditionalFormatting>
  <conditionalFormatting sqref="B465">
    <cfRule type="duplicateValues" dxfId="681" priority="151"/>
  </conditionalFormatting>
  <conditionalFormatting sqref="B466">
    <cfRule type="duplicateValues" dxfId="680" priority="150"/>
  </conditionalFormatting>
  <conditionalFormatting sqref="B467">
    <cfRule type="duplicateValues" dxfId="679" priority="149"/>
  </conditionalFormatting>
  <conditionalFormatting sqref="B468">
    <cfRule type="duplicateValues" dxfId="678" priority="148"/>
  </conditionalFormatting>
  <conditionalFormatting sqref="B469">
    <cfRule type="duplicateValues" dxfId="677" priority="147"/>
  </conditionalFormatting>
  <conditionalFormatting sqref="B470">
    <cfRule type="duplicateValues" dxfId="676" priority="146"/>
  </conditionalFormatting>
  <conditionalFormatting sqref="B471">
    <cfRule type="duplicateValues" dxfId="675" priority="145"/>
  </conditionalFormatting>
  <conditionalFormatting sqref="B472">
    <cfRule type="duplicateValues" dxfId="674" priority="144"/>
  </conditionalFormatting>
  <conditionalFormatting sqref="B473">
    <cfRule type="duplicateValues" dxfId="673" priority="143"/>
  </conditionalFormatting>
  <conditionalFormatting sqref="B474">
    <cfRule type="duplicateValues" dxfId="672" priority="142"/>
  </conditionalFormatting>
  <conditionalFormatting sqref="B475">
    <cfRule type="duplicateValues" dxfId="671" priority="141"/>
  </conditionalFormatting>
  <conditionalFormatting sqref="B476">
    <cfRule type="duplicateValues" dxfId="670" priority="140"/>
  </conditionalFormatting>
  <conditionalFormatting sqref="B477">
    <cfRule type="duplicateValues" dxfId="669" priority="139"/>
  </conditionalFormatting>
  <conditionalFormatting sqref="B478">
    <cfRule type="duplicateValues" dxfId="668" priority="138"/>
  </conditionalFormatting>
  <conditionalFormatting sqref="B485">
    <cfRule type="duplicateValues" dxfId="667" priority="137"/>
  </conditionalFormatting>
  <conditionalFormatting sqref="B488">
    <cfRule type="duplicateValues" dxfId="666" priority="136"/>
  </conditionalFormatting>
  <conditionalFormatting sqref="B489">
    <cfRule type="duplicateValues" dxfId="665" priority="135"/>
  </conditionalFormatting>
  <conditionalFormatting sqref="B490">
    <cfRule type="duplicateValues" dxfId="664" priority="134"/>
  </conditionalFormatting>
  <conditionalFormatting sqref="B491">
    <cfRule type="duplicateValues" dxfId="663" priority="133"/>
  </conditionalFormatting>
  <conditionalFormatting sqref="B492">
    <cfRule type="duplicateValues" dxfId="662" priority="132"/>
  </conditionalFormatting>
  <conditionalFormatting sqref="B496">
    <cfRule type="duplicateValues" dxfId="661" priority="131"/>
    <cfRule type="duplicateValues" dxfId="660" priority="130"/>
    <cfRule type="duplicateValues" dxfId="659" priority="129"/>
  </conditionalFormatting>
  <conditionalFormatting sqref="B501:B503 B510 B512:B513 B516:B535">
    <cfRule type="duplicateValues" dxfId="658" priority="127"/>
  </conditionalFormatting>
  <conditionalFormatting sqref="B501:B503">
    <cfRule type="duplicateValues" dxfId="657" priority="126"/>
    <cfRule type="duplicateValues" dxfId="656" priority="128"/>
  </conditionalFormatting>
  <conditionalFormatting sqref="B504">
    <cfRule type="duplicateValues" dxfId="655" priority="124"/>
    <cfRule type="duplicateValues" dxfId="654" priority="125"/>
    <cfRule type="duplicateValues" dxfId="653" priority="123"/>
  </conditionalFormatting>
  <conditionalFormatting sqref="B505">
    <cfRule type="duplicateValues" dxfId="652" priority="122"/>
    <cfRule type="duplicateValues" dxfId="651" priority="121"/>
    <cfRule type="duplicateValues" dxfId="650" priority="120"/>
  </conditionalFormatting>
  <conditionalFormatting sqref="B506">
    <cfRule type="duplicateValues" dxfId="649" priority="116"/>
    <cfRule type="duplicateValues" dxfId="648" priority="115"/>
    <cfRule type="duplicateValues" dxfId="647" priority="114"/>
  </conditionalFormatting>
  <conditionalFormatting sqref="B507">
    <cfRule type="duplicateValues" dxfId="646" priority="113"/>
    <cfRule type="duplicateValues" dxfId="645" priority="112"/>
    <cfRule type="duplicateValues" dxfId="644" priority="111"/>
  </conditionalFormatting>
  <conditionalFormatting sqref="B508">
    <cfRule type="duplicateValues" dxfId="643" priority="110"/>
    <cfRule type="duplicateValues" dxfId="642" priority="109"/>
    <cfRule type="duplicateValues" dxfId="641" priority="108"/>
  </conditionalFormatting>
  <conditionalFormatting sqref="B509">
    <cfRule type="duplicateValues" dxfId="640" priority="105"/>
    <cfRule type="duplicateValues" dxfId="639" priority="106"/>
    <cfRule type="duplicateValues" dxfId="638" priority="107"/>
  </conditionalFormatting>
  <conditionalFormatting sqref="B511">
    <cfRule type="duplicateValues" dxfId="637" priority="104"/>
  </conditionalFormatting>
  <conditionalFormatting sqref="B514">
    <cfRule type="duplicateValues" dxfId="636" priority="103"/>
  </conditionalFormatting>
  <conditionalFormatting sqref="B515">
    <cfRule type="duplicateValues" dxfId="635" priority="102"/>
  </conditionalFormatting>
  <conditionalFormatting sqref="B540">
    <cfRule type="duplicateValues" dxfId="634" priority="101"/>
    <cfRule type="duplicateValues" dxfId="633" priority="100"/>
  </conditionalFormatting>
  <conditionalFormatting sqref="B542">
    <cfRule type="duplicateValues" dxfId="632" priority="99"/>
    <cfRule type="duplicateValues" dxfId="631" priority="98"/>
  </conditionalFormatting>
  <conditionalFormatting sqref="B544">
    <cfRule type="duplicateValues" dxfId="630" priority="97"/>
  </conditionalFormatting>
  <conditionalFormatting sqref="B545">
    <cfRule type="duplicateValues" dxfId="629" priority="96"/>
  </conditionalFormatting>
  <conditionalFormatting sqref="B547">
    <cfRule type="duplicateValues" dxfId="628" priority="94"/>
  </conditionalFormatting>
  <conditionalFormatting sqref="B549">
    <cfRule type="duplicateValues" dxfId="627" priority="92"/>
  </conditionalFormatting>
  <conditionalFormatting sqref="B550 B544:B546 B536:B539 B493:B495 B447 B368:B370 B1:B361 B389:B397 B399:B439 B441:B445 B449:B450 B453:B454 B497:B500 B541 B548 B554 B372:B386 B557 B573 B599:B657 B659:B670 B682:B1048576">
    <cfRule type="duplicateValues" dxfId="626" priority="222"/>
  </conditionalFormatting>
  <conditionalFormatting sqref="B550 B544:B546 B536:B539 B493:B495 B447 B368:B370 B180:B210 B144:B172 B63:B75 B1:B49 B126 B82:B124 B128:B142 B174:B177 B213:B216 B218:B226 B228:B236 B238:B246 B249 B251:B255 B61 B257:B270 B272:B301 B303:B304 B306:B339 B341:B361 B51:B58 B389:B397 B399:B439 B441:B445 B449:B450 B453:B454 B497:B500 B541 B548 B554 B372:B386 B557 B573 B599:B657 B659:B670 B682:B1048576">
    <cfRule type="duplicateValues" dxfId="625" priority="945"/>
  </conditionalFormatting>
  <conditionalFormatting sqref="B551">
    <cfRule type="duplicateValues" dxfId="624" priority="91"/>
  </conditionalFormatting>
  <conditionalFormatting sqref="B552">
    <cfRule type="duplicateValues" dxfId="623" priority="88"/>
    <cfRule type="duplicateValues" dxfId="622" priority="87"/>
    <cfRule type="duplicateValues" dxfId="621" priority="86"/>
  </conditionalFormatting>
  <conditionalFormatting sqref="B553">
    <cfRule type="duplicateValues" dxfId="620" priority="84"/>
  </conditionalFormatting>
  <conditionalFormatting sqref="B555">
    <cfRule type="duplicateValues" dxfId="619" priority="81"/>
  </conditionalFormatting>
  <conditionalFormatting sqref="B556">
    <cfRule type="duplicateValues" dxfId="618" priority="80"/>
  </conditionalFormatting>
  <conditionalFormatting sqref="B558">
    <cfRule type="duplicateValues" dxfId="617" priority="79"/>
    <cfRule type="duplicateValues" dxfId="616" priority="78"/>
  </conditionalFormatting>
  <conditionalFormatting sqref="B559">
    <cfRule type="duplicateValues" dxfId="615" priority="77"/>
    <cfRule type="duplicateValues" dxfId="614" priority="76"/>
  </conditionalFormatting>
  <conditionalFormatting sqref="B560">
    <cfRule type="duplicateValues" dxfId="613" priority="74"/>
    <cfRule type="duplicateValues" dxfId="612" priority="75"/>
  </conditionalFormatting>
  <conditionalFormatting sqref="B561">
    <cfRule type="duplicateValues" dxfId="611" priority="73"/>
    <cfRule type="duplicateValues" dxfId="610" priority="72"/>
  </conditionalFormatting>
  <conditionalFormatting sqref="B562">
    <cfRule type="duplicateValues" dxfId="609" priority="69"/>
    <cfRule type="duplicateValues" dxfId="608" priority="68"/>
  </conditionalFormatting>
  <conditionalFormatting sqref="B563">
    <cfRule type="duplicateValues" dxfId="607" priority="67"/>
    <cfRule type="duplicateValues" dxfId="606" priority="65"/>
    <cfRule type="duplicateValues" dxfId="605" priority="66"/>
  </conditionalFormatting>
  <conditionalFormatting sqref="B564">
    <cfRule type="duplicateValues" dxfId="604" priority="64"/>
    <cfRule type="duplicateValues" dxfId="603" priority="62"/>
    <cfRule type="duplicateValues" dxfId="602" priority="63"/>
  </conditionalFormatting>
  <conditionalFormatting sqref="B565">
    <cfRule type="duplicateValues" dxfId="601" priority="61"/>
    <cfRule type="duplicateValues" dxfId="600" priority="60"/>
    <cfRule type="duplicateValues" dxfId="599" priority="59"/>
  </conditionalFormatting>
  <conditionalFormatting sqref="B566">
    <cfRule type="duplicateValues" dxfId="598" priority="57"/>
    <cfRule type="duplicateValues" dxfId="597" priority="58"/>
  </conditionalFormatting>
  <conditionalFormatting sqref="B567">
    <cfRule type="duplicateValues" dxfId="596" priority="56"/>
    <cfRule type="duplicateValues" dxfId="595" priority="55"/>
  </conditionalFormatting>
  <conditionalFormatting sqref="B568">
    <cfRule type="duplicateValues" dxfId="594" priority="52"/>
    <cfRule type="duplicateValues" dxfId="593" priority="54"/>
    <cfRule type="duplicateValues" dxfId="592" priority="53"/>
  </conditionalFormatting>
  <conditionalFormatting sqref="B569">
    <cfRule type="duplicateValues" dxfId="591" priority="49"/>
    <cfRule type="duplicateValues" dxfId="590" priority="50"/>
    <cfRule type="duplicateValues" dxfId="589" priority="51"/>
  </conditionalFormatting>
  <conditionalFormatting sqref="B570">
    <cfRule type="duplicateValues" dxfId="588" priority="46"/>
    <cfRule type="duplicateValues" dxfId="587" priority="47"/>
    <cfRule type="duplicateValues" dxfId="586" priority="48"/>
  </conditionalFormatting>
  <conditionalFormatting sqref="B571">
    <cfRule type="duplicateValues" dxfId="585" priority="43"/>
    <cfRule type="duplicateValues" dxfId="584" priority="44"/>
    <cfRule type="duplicateValues" dxfId="583" priority="45"/>
  </conditionalFormatting>
  <conditionalFormatting sqref="B572">
    <cfRule type="duplicateValues" dxfId="582" priority="41"/>
    <cfRule type="duplicateValues" dxfId="581" priority="42"/>
    <cfRule type="duplicateValues" dxfId="580" priority="40"/>
  </conditionalFormatting>
  <conditionalFormatting sqref="B573">
    <cfRule type="duplicateValues" dxfId="579" priority="39"/>
  </conditionalFormatting>
  <conditionalFormatting sqref="B574">
    <cfRule type="duplicateValues" dxfId="578" priority="38"/>
    <cfRule type="duplicateValues" dxfId="577" priority="37"/>
    <cfRule type="duplicateValues" dxfId="576" priority="36"/>
  </conditionalFormatting>
  <conditionalFormatting sqref="B575">
    <cfRule type="duplicateValues" dxfId="575" priority="35"/>
  </conditionalFormatting>
  <conditionalFormatting sqref="B576">
    <cfRule type="duplicateValues" dxfId="574" priority="33"/>
    <cfRule type="duplicateValues" dxfId="573" priority="34"/>
  </conditionalFormatting>
  <conditionalFormatting sqref="B577">
    <cfRule type="duplicateValues" dxfId="572" priority="32"/>
    <cfRule type="duplicateValues" dxfId="571" priority="30"/>
    <cfRule type="duplicateValues" dxfId="570" priority="31"/>
  </conditionalFormatting>
  <conditionalFormatting sqref="B578 B580 B582 B584 B586 B588 B590 B592 B594 B596">
    <cfRule type="duplicateValues" dxfId="569" priority="25"/>
  </conditionalFormatting>
  <conditionalFormatting sqref="B578">
    <cfRule type="duplicateValues" dxfId="568" priority="26"/>
  </conditionalFormatting>
  <conditionalFormatting sqref="B579 B581 B583 B585 B587 B589 B591 B593 B595 B597">
    <cfRule type="duplicateValues" dxfId="567" priority="22"/>
    <cfRule type="duplicateValues" dxfId="566" priority="23"/>
    <cfRule type="duplicateValues" dxfId="565" priority="24"/>
  </conditionalFormatting>
  <conditionalFormatting sqref="B598">
    <cfRule type="duplicateValues" dxfId="564" priority="19"/>
    <cfRule type="duplicateValues" dxfId="563" priority="20"/>
    <cfRule type="duplicateValues" dxfId="562" priority="21"/>
  </conditionalFormatting>
  <conditionalFormatting sqref="B671">
    <cfRule type="duplicateValues" dxfId="561" priority="17"/>
    <cfRule type="duplicateValues" dxfId="560" priority="18"/>
  </conditionalFormatting>
  <conditionalFormatting sqref="B672">
    <cfRule type="duplicateValues" dxfId="559" priority="15"/>
    <cfRule type="duplicateValues" dxfId="558" priority="16"/>
  </conditionalFormatting>
  <conditionalFormatting sqref="B673">
    <cfRule type="duplicateValues" dxfId="557" priority="14"/>
    <cfRule type="duplicateValues" dxfId="556" priority="13"/>
  </conditionalFormatting>
  <conditionalFormatting sqref="B674">
    <cfRule type="duplicateValues" dxfId="555" priority="12"/>
    <cfRule type="duplicateValues" dxfId="554" priority="11"/>
  </conditionalFormatting>
  <conditionalFormatting sqref="B675">
    <cfRule type="duplicateValues" dxfId="553" priority="10"/>
    <cfRule type="duplicateValues" dxfId="552" priority="9"/>
  </conditionalFormatting>
  <conditionalFormatting sqref="B676">
    <cfRule type="duplicateValues" dxfId="551" priority="8"/>
  </conditionalFormatting>
  <conditionalFormatting sqref="B677">
    <cfRule type="duplicateValues" dxfId="550" priority="7"/>
  </conditionalFormatting>
  <conditionalFormatting sqref="B678">
    <cfRule type="duplicateValues" dxfId="549" priority="6"/>
  </conditionalFormatting>
  <conditionalFormatting sqref="B679">
    <cfRule type="duplicateValues" dxfId="548" priority="5"/>
  </conditionalFormatting>
  <conditionalFormatting sqref="B680">
    <cfRule type="duplicateValues" dxfId="547" priority="4"/>
  </conditionalFormatting>
  <conditionalFormatting sqref="B681">
    <cfRule type="duplicateValues" dxfId="546" priority="1"/>
    <cfRule type="duplicateValues" dxfId="545" priority="2"/>
    <cfRule type="duplicateValues" dxfId="544" priority="3"/>
  </conditionalFormatting>
  <conditionalFormatting sqref="F1:G1">
    <cfRule type="duplicateValues" dxfId="543" priority="3428"/>
  </conditionalFormatting>
  <hyperlinks>
    <hyperlink ref="H39" r:id="rId1" xr:uid="{A84D9EBC-07AB-465B-8EF6-D140DCEDF83F}"/>
    <hyperlink ref="H40" r:id="rId2" display="https://selinc.com/es/products/351/" xr:uid="{062319C1-AACD-427E-92BE-FD31144121DC}"/>
    <hyperlink ref="H41" r:id="rId3" xr:uid="{C8061251-C145-42C8-8A8B-4CFA71BC0E5D}"/>
    <hyperlink ref="H42" r:id="rId4" xr:uid="{945DDF54-12C2-4BFF-95FB-68BCD60A7A54}"/>
    <hyperlink ref="H43" r:id="rId5" xr:uid="{0B5184F2-C219-454E-A478-E31ECFEC2EA3}"/>
    <hyperlink ref="H44" r:id="rId6" xr:uid="{0719A1B5-9225-4D2C-BA4F-268FA3BADEB5}"/>
    <hyperlink ref="H25" r:id="rId7" xr:uid="{FD69BFB5-8B24-4FBD-9CA8-64094429EA95}"/>
    <hyperlink ref="H49" r:id="rId8" xr:uid="{4D70A519-52F4-4628-9DC8-CFF02AFD4904}"/>
    <hyperlink ref="H2" r:id="rId9" xr:uid="{759CE56B-8925-4542-8F67-F1EC1179CF78}"/>
    <hyperlink ref="H3" r:id="rId10" xr:uid="{DDCD0290-74F1-4C91-A8CD-B174A30F5DEB}"/>
    <hyperlink ref="H5" r:id="rId11" xr:uid="{37F4FDD6-C024-4E7F-A7A0-136BE82BBF30}"/>
    <hyperlink ref="H9" r:id="rId12" xr:uid="{A4806FC3-C611-453D-BEE5-CB3DEEAAE681}"/>
    <hyperlink ref="H14" r:id="rId13" display="https://energiaputumayo.com/testimonial/solicitud-publica-de-oferta-no-002-2024/" xr:uid="{0AF15A3D-D529-4DF4-9DAA-78199312783E}"/>
    <hyperlink ref="H16" r:id="rId14" xr:uid="{B30BE373-E2A1-4D49-AA2C-F8C358D939FE}"/>
    <hyperlink ref="H18" r:id="rId15" xr:uid="{D6E43D56-266B-4D94-8649-ECC1F292A8CA}"/>
    <hyperlink ref="H23" r:id="rId16" xr:uid="{8857CCA5-B880-4024-88D3-A86A29097C7D}"/>
    <hyperlink ref="H24" r:id="rId17" xr:uid="{FECFD2DD-F931-4FD8-9F08-C3426711BF0C}"/>
    <hyperlink ref="H32" r:id="rId18" xr:uid="{42EF0D5C-9161-4136-AC2B-3E748EEE4CE2}"/>
    <hyperlink ref="H34" r:id="rId19" xr:uid="{929EA176-03BB-4341-A30E-C19D8101F3C3}"/>
    <hyperlink ref="H121" r:id="rId20" xr:uid="{24B9D3AF-C172-40AC-AE88-6AD6A1EDC2B1}"/>
    <hyperlink ref="H33" r:id="rId21" xr:uid="{22DD8F8F-2B74-4E75-8378-FF1ECDCF861F}"/>
    <hyperlink ref="H36" r:id="rId22" xr:uid="{95CE1E33-165D-4A5B-810E-5F3723EBDAFC}"/>
    <hyperlink ref="H35" r:id="rId23" xr:uid="{C206568B-5280-443B-A9B0-1ED353DEEA12}"/>
    <hyperlink ref="H38" r:id="rId24" xr:uid="{DFBF163F-79F0-4D4B-9341-3B01676F3000}"/>
    <hyperlink ref="H20" r:id="rId25" xr:uid="{7F0E5DFD-599B-449D-A7AD-A7EACB6852D4}"/>
    <hyperlink ref="I46" r:id="rId26" xr:uid="{0BEE2F93-C115-41AD-8C60-D6B692DDE39F}"/>
    <hyperlink ref="H47" r:id="rId27" xr:uid="{A0C65678-07E7-4045-AE70-8A7D6A847C5B}"/>
    <hyperlink ref="H48" r:id="rId28" xr:uid="{C4617572-364B-4F64-BBD8-1F63111B39FC}"/>
    <hyperlink ref="H53" r:id="rId29" xr:uid="{9E465454-03CF-47CB-A0F3-A5C6DEA50860}"/>
    <hyperlink ref="H54" r:id="rId30" xr:uid="{DAADD6DC-138D-40F5-A873-53158D9910ED}"/>
    <hyperlink ref="H64" r:id="rId31" xr:uid="{AB3AE5B4-DD42-44D2-A775-FC06F9A3888A}"/>
    <hyperlink ref="H66" r:id="rId32" xr:uid="{13DE56E3-7385-44FE-A718-0227D92292F1}"/>
    <hyperlink ref="H67" r:id="rId33" xr:uid="{00FF3757-8901-4C75-BEFB-F1F4D69F83BC}"/>
    <hyperlink ref="H68" r:id="rId34" xr:uid="{8CE05EEC-F137-42FD-9044-4C1830C2B036}"/>
    <hyperlink ref="H69" r:id="rId35" xr:uid="{E40082AB-8958-4184-A72E-1DE91EB422DB}"/>
    <hyperlink ref="H70" r:id="rId36" xr:uid="{CEA99FA4-0253-45B3-AAF3-27BDA21F9620}"/>
    <hyperlink ref="H72" r:id="rId37" xr:uid="{B4F3F610-4D86-4BAF-8544-8B28967C24AB}"/>
    <hyperlink ref="H73" r:id="rId38" xr:uid="{B9496F9B-5E19-4BF7-877A-0ECCDC28653C}"/>
    <hyperlink ref="H75" r:id="rId39" xr:uid="{223D18B5-075C-4B6E-BFAF-C90262EE4B9D}"/>
    <hyperlink ref="H74" r:id="rId40" xr:uid="{2DB48079-D811-4280-A1AA-FE49F13C895B}"/>
    <hyperlink ref="H61" r:id="rId41" xr:uid="{BCB5E454-C821-4718-A0E8-D660748843DE}"/>
    <hyperlink ref="H62" r:id="rId42" xr:uid="{B825C2AC-32F8-4BA0-B9A9-FA8E712B440A}"/>
    <hyperlink ref="H63" r:id="rId43" xr:uid="{4520264E-5B1E-442D-AA61-99246B2E38F2}"/>
    <hyperlink ref="H65" r:id="rId44" xr:uid="{C1FDA91C-AE9E-4600-B0A2-9036006F8B1B}"/>
    <hyperlink ref="H77" r:id="rId45" xr:uid="{B08F2C09-9DCF-47F0-88AE-D0D7A1F6FC2F}"/>
    <hyperlink ref="H76" r:id="rId46" xr:uid="{352527D6-B76B-4DD7-B061-F328228CEF6B}"/>
    <hyperlink ref="H78" r:id="rId47" xr:uid="{1E368336-AB65-4C67-9ED0-023887AE6146}"/>
    <hyperlink ref="H79" r:id="rId48" xr:uid="{4EA44F7B-BACD-4ED9-B1F3-4E14BA20BD92}"/>
    <hyperlink ref="H80" r:id="rId49" xr:uid="{F1FB5683-FC21-4467-880D-B5D2F4293CCE}"/>
    <hyperlink ref="H81" r:id="rId50" xr:uid="{79570A44-E972-49B9-A1BC-A3338206FD8F}"/>
    <hyperlink ref="H83" r:id="rId51" xr:uid="{028946E3-0FE9-43E0-829F-2459BF3A6911}"/>
    <hyperlink ref="H82" r:id="rId52" xr:uid="{F5F4649A-A0E8-4474-961F-927E61F0E738}"/>
    <hyperlink ref="H84" r:id="rId53" xr:uid="{476D5933-25E4-4ABA-829C-9CC2C8C5C57E}"/>
    <hyperlink ref="H85" r:id="rId54" xr:uid="{9FE8E47D-53C0-4BB5-B461-1E9779FB6D07}"/>
    <hyperlink ref="H86" r:id="rId55" xr:uid="{0474C1D4-68AE-4394-A5D1-084C57156892}"/>
    <hyperlink ref="H87" r:id="rId56" xr:uid="{0E0ABBEA-A85D-4F03-81C6-8D8E11EEF17B}"/>
    <hyperlink ref="H89" r:id="rId57" xr:uid="{73FE957E-0609-4D33-927A-F1D854135805}"/>
    <hyperlink ref="H88" r:id="rId58" xr:uid="{2D8092F0-20A7-4D15-A058-F9DB9D2054B6}"/>
    <hyperlink ref="H91" r:id="rId59" xr:uid="{E3C04925-CD6A-4817-8DEF-750708603BB6}"/>
    <hyperlink ref="H90" r:id="rId60" xr:uid="{4347A0E2-8474-4AEF-8240-64B0DC535D9C}"/>
    <hyperlink ref="H92" r:id="rId61" xr:uid="{ACF265EE-DB22-4222-A071-66C72652192F}"/>
    <hyperlink ref="H93" r:id="rId62" xr:uid="{B4184ABC-E83F-4AB3-A1B1-366F4EBC3A97}"/>
    <hyperlink ref="H94" r:id="rId63" xr:uid="{246A1AD9-3594-469E-A4F0-B73F4717BB31}"/>
    <hyperlink ref="H95" r:id="rId64" xr:uid="{410EE0DF-4FF2-44A4-8A2E-2EAA52BF2E57}"/>
    <hyperlink ref="H97" r:id="rId65" xr:uid="{E510B7FC-6583-4051-92A6-9F6DD70F2F42}"/>
    <hyperlink ref="H96" r:id="rId66" xr:uid="{DEF29B1E-7542-4E44-B19C-80FF71EF6D2A}"/>
    <hyperlink ref="H110" r:id="rId67" xr:uid="{8EE74FAD-1E17-4025-A084-AB677DAFB623}"/>
    <hyperlink ref="H111" r:id="rId68" xr:uid="{52C49E18-F268-4F98-8BAA-04F336B76935}"/>
    <hyperlink ref="H71" r:id="rId69" xr:uid="{2E20DC1F-D5B9-44B8-BFD3-30207A5A3D56}"/>
    <hyperlink ref="H112" r:id="rId70" xr:uid="{0DCEF6F5-4605-4A45-B24A-5B90B3EA3147}"/>
    <hyperlink ref="H113" r:id="rId71" location="polycard_client=search-nordic&amp;position=1&amp;search_layout=grid&amp;type=item&amp;tracking_id=f95df70d-a7ef-4b08-8f22-739dac698d43" xr:uid="{A1D116AB-26C7-4C7B-ACC2-71B1A9C99F56}"/>
    <hyperlink ref="H114" r:id="rId72" xr:uid="{6B3CE397-2AB0-400E-88BE-E81ED143AE10}"/>
    <hyperlink ref="H115" r:id="rId73" xr:uid="{A632D61D-1638-4946-9A18-E3889CA2D982}"/>
    <hyperlink ref="H116" r:id="rId74" xr:uid="{9A1001DC-1B13-4BB9-B657-FBC7A97EF7F1}"/>
    <hyperlink ref="H117" r:id="rId75" xr:uid="{380763C5-6A85-4FF4-990B-67236678351B}"/>
    <hyperlink ref="H118" r:id="rId76" xr:uid="{4D8CEC64-D60F-4852-ABB0-DCE45979A08B}"/>
    <hyperlink ref="H123" r:id="rId77" xr:uid="{AED74E47-A575-45FC-BD0F-DA5F951362AF}"/>
    <hyperlink ref="H124" r:id="rId78" xr:uid="{D3322F0A-626C-4A9C-A187-B9F0C50D5882}"/>
    <hyperlink ref="H125" r:id="rId79" xr:uid="{7D51507D-26C4-4729-A543-E872FDBE3884}"/>
    <hyperlink ref="H126" r:id="rId80" xr:uid="{4E6095C8-E8BD-488C-9430-36729C55EAAD}"/>
    <hyperlink ref="H127" r:id="rId81" xr:uid="{34601C2E-F953-4846-806B-0BC34FFC97C0}"/>
    <hyperlink ref="H128" r:id="rId82" xr:uid="{0000F811-A42D-4FBB-A7EA-17C5625EB849}"/>
    <hyperlink ref="H129" r:id="rId83" xr:uid="{75964172-ACD0-417C-B4A3-1023948B4346}"/>
    <hyperlink ref="H130" r:id="rId84" xr:uid="{7C021A91-0B7F-44D8-BFA6-BE2EE666A399}"/>
    <hyperlink ref="H131" r:id="rId85" xr:uid="{A5EF6C8B-89A4-4F88-B783-54C06D828C1A}"/>
    <hyperlink ref="H132" r:id="rId86" xr:uid="{EC3499D9-5359-431E-8C72-7C845185BE74}"/>
    <hyperlink ref="H133" r:id="rId87" xr:uid="{3728BD8D-C793-49DF-A72F-DCB86E4C6F67}"/>
    <hyperlink ref="H134" r:id="rId88" xr:uid="{CC4B8589-EC77-4238-BAD2-D73408536386}"/>
    <hyperlink ref="H138" r:id="rId89" xr:uid="{D0E35D97-720A-48B8-B22C-3770E3314BC4}"/>
    <hyperlink ref="H139" r:id="rId90" xr:uid="{CD3C0FFF-27F2-42D2-84B3-D7A58416A073}"/>
    <hyperlink ref="H136" r:id="rId91" xr:uid="{0A6D5B20-84B6-48E5-9982-FC2ACB8EE615}"/>
    <hyperlink ref="H140" r:id="rId92" xr:uid="{411EAACA-952E-48BD-B06E-45D13547A67C}"/>
    <hyperlink ref="H137" r:id="rId93" display="https://www.google.com.co/search?q=An%C3%A1lisis+Unitarios+de+Referencia+Gobernaci%C3%B3n+de+Risaralda+precio&amp;sca_esv=fe22a64d7c0cbfa7&amp;biw=1920&amp;bih=919&amp;sxsrf=AHTn8zoLPU3Rwip96AvoA1D9E1YgHh0IRg%3A1739542526504&amp;ei=_k-vZ720HsKYwbkPyMzY0As&amp;ved=0ahUKEwi9q_TyrMOLAxVCTDABHUgmFroQ4dUDCBI&amp;uact=5&amp;oq=An%C3%A1lisis+Unitarios+de+Referencia+Gobernaci%C3%B3n+de+Risaralda+precio&amp;gs_lp=Egxnd3Mtd2l6LXNlcnAiQkFuw6FsaXNpcyBVbml0YXJpb3MgZGUgUmVmZXJlbmNpYSBHb2Jlcm5hY2nDs24gZGUgUmlzYXJhbGRhIHByZWNpb0iPC1AAWABwAHgBkAEAmAGeAaABngGqAQMwLjG4AQPIAQD4AQL4AQGYAgCgAgCYAwCSBwCgB34&amp;sclient=gws-wiz-serp" xr:uid="{A05E32E9-0EC5-44D6-B2D2-1A947FFCA19B}"/>
    <hyperlink ref="H141" r:id="rId94" xr:uid="{F0945824-DE32-4A62-AAB7-4E8C9DE36D47}"/>
    <hyperlink ref="H135" r:id="rId95" xr:uid="{DDBA8AB9-5C7D-4097-9863-31F76FA3A678}"/>
    <hyperlink ref="H142" r:id="rId96" xr:uid="{69E29CE8-8FA3-46D4-94A3-7D559891BAB3}"/>
    <hyperlink ref="H143" r:id="rId97" xr:uid="{7EEFAE7C-0E0A-432E-89F7-4C2A3A489D73}"/>
    <hyperlink ref="H144" r:id="rId98" xr:uid="{C7D7172E-07DC-4ECB-A8FC-2CAA49E29FD7}"/>
    <hyperlink ref="H146" r:id="rId99" xr:uid="{225CEDA7-1F82-43B8-8D72-C6B7BFA89C08}"/>
    <hyperlink ref="H147" r:id="rId100" location="polycard_client=search-nordic&amp;position=6&amp;search_layout=stack&amp;type=item&amp;tracking_id=1de01b54-ed55-4131-ba44-c9c5699099ac" xr:uid="{40FCEF71-EF85-4F7F-8CCF-BFD7E0B9105A}"/>
    <hyperlink ref="H148" r:id="rId101" xr:uid="{D2E027D1-B86C-46A7-924A-1E07E48E2565}"/>
    <hyperlink ref="H149" r:id="rId102" xr:uid="{01CB6279-23DB-4C91-85DA-23C47A091D19}"/>
    <hyperlink ref="H150" r:id="rId103" xr:uid="{5768147B-8AEE-47CA-8912-F0A30A9394A1}"/>
    <hyperlink ref="H151" r:id="rId104" xr:uid="{9E405B14-6B0F-4FC4-A775-1610DDB75605}"/>
    <hyperlink ref="H152" r:id="rId105" xr:uid="{FD6CC305-B92E-4AF0-BDC0-F50E87E56246}"/>
    <hyperlink ref="H153" r:id="rId106" xr:uid="{22A943F3-7FE9-474A-8DD6-547BEF15EBB1}"/>
    <hyperlink ref="H154" r:id="rId107" location="polycard_client=search-nordic&amp;searchVariation=174238918448&amp;position=3&amp;search_layout=stack&amp;type=item&amp;tracking_id=abf9664c-52f9-4cfa-bd53-26a2166db58d" display="https://articulo.mercadolibre.com.co/MCO-568923932-extractor-de-aire-16-pulgadas-industrial-_JM?searchVariation=174238918448#polycard_client=search-nordic&amp;searchVariation=174238918448&amp;position=3&amp;search_layout=stack&amp;type=item&amp;tracking_id=abf9664c-52f9-4cfa-bd53-26a2166db58d" xr:uid="{2B8C1536-89A9-48FE-9BE4-B87F256D997E}"/>
    <hyperlink ref="H155" r:id="rId108" xr:uid="{0F4BA54B-2F19-480A-BAC6-7FD3F363F970}"/>
    <hyperlink ref="H156" r:id="rId109" xr:uid="{2DBD8CE1-6C05-49AF-B243-B770828A9914}"/>
    <hyperlink ref="H157" r:id="rId110" xr:uid="{C0112953-EFDF-4E44-9427-218D1EB60AD2}"/>
    <hyperlink ref="H158" r:id="rId111" xr:uid="{B5601151-A6AA-4A00-85BD-8DAA198B682B}"/>
    <hyperlink ref="H159" r:id="rId112" xr:uid="{F5DCD741-30D3-4651-A6AD-15E97CF352E5}"/>
    <hyperlink ref="H160" r:id="rId113" xr:uid="{B5B2B896-5FCD-4B9D-B1B5-0E42CCEC1289}"/>
    <hyperlink ref="H161" r:id="rId114" xr:uid="{0FA22E06-9851-4FA4-8B98-C06E3743B8D8}"/>
    <hyperlink ref="H162" r:id="rId115" xr:uid="{E0CCC4D9-02C4-415A-B209-5405871F5AAC}"/>
    <hyperlink ref="H167" r:id="rId116" xr:uid="{CA1E0596-FA32-405E-8077-380798E07E1D}"/>
    <hyperlink ref="H168" r:id="rId117" xr:uid="{F72B067A-5967-4A56-8401-9096F8C45BA8}"/>
    <hyperlink ref="H170" r:id="rId118" xr:uid="{7C941557-C40A-4D73-84E0-664D9EC1A70D}"/>
    <hyperlink ref="H171" r:id="rId119" xr:uid="{CCFCF389-AFBB-4281-A108-32CB048E2E5B}"/>
    <hyperlink ref="H172" r:id="rId120" xr:uid="{A7334C5C-79D5-4B65-9705-3D329B3D8AB5}"/>
    <hyperlink ref="H166" r:id="rId121" xr:uid="{322C0E68-86BB-4ABA-BD99-6ED93CB626BC}"/>
    <hyperlink ref="H169" r:id="rId122" xr:uid="{BE6C18A4-4652-45E9-A543-C09039747F3C}"/>
    <hyperlink ref="H165" r:id="rId123" xr:uid="{CE4016C5-CF95-4123-AB87-65FCC692C3FE}"/>
    <hyperlink ref="H173" r:id="rId124" xr:uid="{EA8A2C55-35A9-4CDB-93C2-1C6A47BB6A6C}"/>
    <hyperlink ref="H163" r:id="rId125" xr:uid="{24E485F2-F12A-46D4-BFC1-57407382CD3C}"/>
    <hyperlink ref="H164" r:id="rId126" xr:uid="{AA77393E-F543-40EB-B121-F9AB72573E2D}"/>
    <hyperlink ref="H174" r:id="rId127" xr:uid="{D0840D1B-A6C1-489B-B7D6-52A3BEA46B2C}"/>
    <hyperlink ref="H175" r:id="rId128" xr:uid="{52D1A07F-48D1-497E-83AC-248EA52DAE6B}"/>
    <hyperlink ref="H176" r:id="rId129" xr:uid="{5CFEFC83-F403-40BA-A4A7-786BEAFB1CFE}"/>
    <hyperlink ref="H177" r:id="rId130" xr:uid="{C0743D88-BD78-490C-AA88-2AB468DBD20E}"/>
    <hyperlink ref="H178" r:id="rId131" xr:uid="{CE959482-B0E6-41F9-B503-CC0B355B6A4A}"/>
    <hyperlink ref="H179" r:id="rId132" xr:uid="{77C244F4-42C7-4355-9649-57F5955E53E2}"/>
    <hyperlink ref="H180" r:id="rId133" xr:uid="{7972068B-1886-4116-A168-6AC218A34A37}"/>
    <hyperlink ref="H181" r:id="rId134" xr:uid="{CAC0E6AD-DBEA-4C49-A833-8C8B6D96F69B}"/>
    <hyperlink ref="H182" r:id="rId135" xr:uid="{9EABAB33-F6F7-4D26-B69B-96C47CA380FA}"/>
    <hyperlink ref="H184" r:id="rId136" xr:uid="{08076627-2E27-44F2-817F-A37CD4FCBCCD}"/>
    <hyperlink ref="H183" r:id="rId137" xr:uid="{8F46E738-894C-4664-8F5A-E4D6D023957F}"/>
    <hyperlink ref="H185" r:id="rId138" xr:uid="{90DEE41B-9511-46E7-9065-38EE30D1D298}"/>
    <hyperlink ref="H186" r:id="rId139" xr:uid="{F1B60E11-25D6-490F-8B9C-A33CC2E96E9E}"/>
    <hyperlink ref="H187" r:id="rId140" xr:uid="{2EACA48D-BC5E-47C6-A9B0-789CA3F3B34D}"/>
    <hyperlink ref="H189" r:id="rId141" xr:uid="{10E5F8B3-9B62-4B2A-A12F-43BB92354B03}"/>
    <hyperlink ref="H188" r:id="rId142" xr:uid="{4D96A58D-1FAC-4279-B7DD-99260A0E8E22}"/>
    <hyperlink ref="H194" r:id="rId143" xr:uid="{B149B1D1-A03C-4D84-9D56-27E6838FD8ED}"/>
    <hyperlink ref="H195" r:id="rId144" xr:uid="{56EDE57B-0D87-410B-A4FF-44C3C4CE330F}"/>
    <hyperlink ref="H196" r:id="rId145" xr:uid="{0B7067B8-A380-4647-9816-72BE28F7AB23}"/>
    <hyperlink ref="H197" r:id="rId146" xr:uid="{15BD175E-C96B-49D0-9525-04C35A994C38}"/>
    <hyperlink ref="H198" r:id="rId147" xr:uid="{417483A3-6117-497A-B9B7-1F048152514C}"/>
    <hyperlink ref="H55:H58" r:id="rId148" display="https://interelectricas.com.co/lista/LISTA_PRECIOS_CL_INGENIERIA.pdf?__cf_chl_tk=zP6d1uC1CL3yA.cbhUVzZlb7FXa21VeeR_R5.JpYQ_4-1739292848-1.0.1.1-idh.FequtBahebQ5CvGqcSdKr.tgn87y7zLncKpo0AI" xr:uid="{8D591AAE-DF31-4574-98D8-746D3B5BACC3}"/>
    <hyperlink ref="H199" r:id="rId149" xr:uid="{FF5830CB-DBE4-4164-8449-2F437054FCE2}"/>
    <hyperlink ref="H202" r:id="rId150" xr:uid="{2AEC47D1-8ABF-4480-9468-6A8A8980CB95}"/>
    <hyperlink ref="H203" r:id="rId151" xr:uid="{A1ABAC98-5716-46BB-BD93-CB4BFC250F3D}"/>
    <hyperlink ref="H201" r:id="rId152" xr:uid="{52D54684-C8AE-41D6-9B40-C3035DEBE0F7}"/>
    <hyperlink ref="H200" r:id="rId153" xr:uid="{3BA2FD0A-EAB2-4562-9E7E-4AA1DBCE5DEF}"/>
    <hyperlink ref="H204" r:id="rId154" xr:uid="{108E6A48-779C-4CD9-85EF-DC4288BC4190}"/>
    <hyperlink ref="H205" r:id="rId155" xr:uid="{BC3C9605-8896-46C3-B047-15D96D8B2E2E}"/>
    <hyperlink ref="H206" r:id="rId156" xr:uid="{B8FC0992-2602-4FB0-AC07-47776951BFBF}"/>
    <hyperlink ref="H207" r:id="rId157" xr:uid="{089F6250-4E94-46A5-B579-65803E61E4C8}"/>
    <hyperlink ref="H208" r:id="rId158" xr:uid="{346BC642-2921-453A-A1AE-BDFDB011E777}"/>
    <hyperlink ref="H209" r:id="rId159" xr:uid="{80457594-0A9F-4870-BB96-B44A7433CFC5}"/>
    <hyperlink ref="H210" r:id="rId160" xr:uid="{1F38ED7C-76B2-433C-90A2-04AFA8209C98}"/>
    <hyperlink ref="H211" r:id="rId161" xr:uid="{F5B2EAFC-B825-4CD2-9078-F5C82D9BC95A}"/>
    <hyperlink ref="H212" r:id="rId162" xr:uid="{370D7AA4-8227-4890-A161-1C71CA4A0ED1}"/>
    <hyperlink ref="H213" r:id="rId163" xr:uid="{0DDE503D-D174-47AE-827E-BF24B26240F8}"/>
    <hyperlink ref="H214" r:id="rId164" xr:uid="{9333312C-12C4-4737-A707-41422A6FD8DE}"/>
    <hyperlink ref="H215" r:id="rId165" xr:uid="{1ABA5D98-91A6-44DD-85F7-963AA249BD96}"/>
    <hyperlink ref="H108" r:id="rId166" xr:uid="{B3788B18-3B07-434C-B5CE-45E2C6C96FB8}"/>
    <hyperlink ref="H216" r:id="rId167" xr:uid="{A1188AA2-6A67-4620-9EC0-448192A2EE84}"/>
    <hyperlink ref="H217" r:id="rId168" xr:uid="{060458F4-1442-440E-A10A-D5582FCC8D8E}"/>
    <hyperlink ref="H220" r:id="rId169" xr:uid="{0D6B1579-1099-4D47-BAA2-57D82F5970B5}"/>
    <hyperlink ref="H221" r:id="rId170" xr:uid="{5CAB3280-6784-4FAA-905F-EAD1A6F1E654}"/>
    <hyperlink ref="H223" r:id="rId171" display="https://interelectricas.com.co/tuberia-metalica-y-pvc/896-terminal-emt-acero-c-h-3-4-pulg-.html?__cf_chl_tk=fR1sobfHHmx4ZIZFrwnEgaVGcrQMLVAGM5Dp9iAJjE4-1741015398-1.0.1.1-PQCZtU2KHePVxucpMyVHDW9BwrvGPvc9ej05iocFE2EAEBmAILoALqHMICChAAGIAEGEMYigXCAgsQABiABBixAxiDAcICDhAuGIAEGLEDGNEDGMcBwgIOEAAYgAQYsQMYgwEYigXCAggQABiABBixA8ICERAuGIAEGMcBGJgFGJkFGK8BwgIKECMYgAQYJxiKBcICBBAjGCfCAgsQABiABBixAxiKBZgDAJIHCzAuNS4xLjIuMS4yoAeGXA&amp;sclient=gws-wiz-serp" xr:uid="{2C823399-DED5-42E0-8CA5-C4116697D650}"/>
    <hyperlink ref="H224" r:id="rId172" xr:uid="{EBEE666F-ACE1-472F-9070-9A3E4CD46828}"/>
    <hyperlink ref="H225" r:id="rId173" xr:uid="{143C7029-DFAF-4C06-B7B7-F00AD64C201D}"/>
    <hyperlink ref="H226" r:id="rId174" xr:uid="{9DA4EF17-32DB-4B1F-B6CD-37B95F71FC89}"/>
    <hyperlink ref="H227" r:id="rId175" xr:uid="{C06DA00A-81B9-4C28-842C-EC46F2AD5FC2}"/>
    <hyperlink ref="H228" r:id="rId176" xr:uid="{77E5E327-191D-4EEB-954B-753F196A6C32}"/>
    <hyperlink ref="H229" r:id="rId177" xr:uid="{62782940-B1F4-4906-B2A8-77B69517D0B8}"/>
    <hyperlink ref="H230" r:id="rId178" xr:uid="{31928E76-F494-4295-98B8-D0C6E2ACFA01}"/>
    <hyperlink ref="H231" r:id="rId179" xr:uid="{439422F3-2D6B-477E-8331-F7517CE81217}"/>
    <hyperlink ref="H232" r:id="rId180" xr:uid="{B554AB51-DF1E-43DD-A56D-398EB9CE948B}"/>
    <hyperlink ref="H233" r:id="rId181" xr:uid="{56AE97EF-72F1-4DC3-BF9F-92DD6BC9BB7D}"/>
    <hyperlink ref="H234" r:id="rId182" xr:uid="{CA37E1F8-A5AC-44B0-86C2-93573150C03C}"/>
    <hyperlink ref="H235" r:id="rId183" xr:uid="{EDE52D90-1E20-4632-9FF9-101288CB65DC}"/>
    <hyperlink ref="H236" r:id="rId184" xr:uid="{2B389612-32CC-4693-A9A2-00736D9FF7C8}"/>
    <hyperlink ref="H237" r:id="rId185" xr:uid="{2384C19C-2C7A-4F67-8E94-27E57B02DBBA}"/>
    <hyperlink ref="H238" r:id="rId186" xr:uid="{53FC525E-BF8F-4109-8281-DB0A230968F5}"/>
    <hyperlink ref="H239" r:id="rId187" xr:uid="{92E58D99-4341-4C47-B052-33A56F9CA24D}"/>
    <hyperlink ref="H240" r:id="rId188" xr:uid="{F1F44C11-71EE-457C-A74E-ACA2C17E23F6}"/>
    <hyperlink ref="H241" r:id="rId189" xr:uid="{8635C38E-843B-4E60-9BA7-5CB77CE941D5}"/>
    <hyperlink ref="H242" r:id="rId190" xr:uid="{D41D2240-DD69-40DB-97BF-278910711279}"/>
    <hyperlink ref="H243" r:id="rId191" location="polycard_client=search-nordic&amp;searchVariation=181837640371&amp;position=15&amp;search_layout=stack&amp;type=item&amp;tracking_id=ce9116b4-8b6d-4986-86cb-f87a9eb165d4" display="https://articulo.mercadolibre.com.co/MCO-1395782091-mini-armella-cancamos-8x4mm-para-joyeria-100-und-_JM?searchVariation=181837640371#polycard_client=search-nordic&amp;searchVariation=181837640371&amp;position=15&amp;search_layout=stack&amp;type=item&amp;tracking_id=ce9116b4-8b6d-4986-86cb-f87a9eb165d4" xr:uid="{99D583AC-A067-4C8C-A2CD-C161026F192E}"/>
    <hyperlink ref="H245" r:id="rId192" xr:uid="{429F0116-3A8B-436F-93F9-89FE5EB1198C}"/>
    <hyperlink ref="H246" r:id="rId193" xr:uid="{C8482920-EB6E-4469-ADA7-998CF2AC65F2}"/>
    <hyperlink ref="H247" r:id="rId194" xr:uid="{442C6FAB-DEC0-4D0D-AA82-7F1ECDD65B20}"/>
    <hyperlink ref="H248" r:id="rId195" xr:uid="{265F4D82-FA67-431B-B2EC-CC998335C3E5}"/>
    <hyperlink ref="H249" r:id="rId196" xr:uid="{1570A159-5A6B-45F2-9527-93CBB66625AB}"/>
    <hyperlink ref="H250" r:id="rId197" xr:uid="{0118DED0-1DF9-4F7E-94DD-3D1F66302636}"/>
    <hyperlink ref="H251" r:id="rId198" xr:uid="{C75FBFE4-5F80-485F-9467-9DF8D14DB296}"/>
    <hyperlink ref="H252" r:id="rId199" xr:uid="{BEEC0B8D-FFFB-4F5D-B2E2-658D6F24D0E5}"/>
    <hyperlink ref="H253" r:id="rId200" xr:uid="{C237FA70-3237-4BB2-906E-21D91C5E032B}"/>
    <hyperlink ref="H254" r:id="rId201" xr:uid="{9E37CAE7-E1D3-45C5-A248-11E723FEE576}"/>
    <hyperlink ref="H255" r:id="rId202" xr:uid="{42CB2472-4518-4320-AA4E-B33F311AAC10}"/>
    <hyperlink ref="H256" r:id="rId203" xr:uid="{88F747EC-5F8A-4CB2-A3BC-8438FED63809}"/>
    <hyperlink ref="H257" r:id="rId204" xr:uid="{CF92AB83-B072-4482-A4B2-C5B809AAE89E}"/>
    <hyperlink ref="H258" r:id="rId205" xr:uid="{DDB80E2A-715C-4CC5-AE3B-29A868839BA7}"/>
    <hyperlink ref="H259" r:id="rId206" xr:uid="{AE1C95D6-DC6B-450D-AFD8-CA8DB213A26E}"/>
    <hyperlink ref="H260" r:id="rId207" xr:uid="{441A7604-624E-4827-8868-1F8FB254E2AB}"/>
    <hyperlink ref="H261" r:id="rId208" xr:uid="{48CFDCA9-F7F0-4990-87D5-186BEE306F02}"/>
    <hyperlink ref="H59:H60" r:id="rId209" display="https://interelectricas.com.co/lista/LISTA_PRECIOS_CL_INGENIERIA.pdf?__cf_chl_tk=zP6d1uC1CL3yA.cbhUVzZlb7FXa21VeeR_R5.JpYQ_4-1739292848-1.0.1.1-idh.FequtBahebQ5CvGqcSdKr.tgn87y7zLncKpo0AI" xr:uid="{604261A2-CBCD-4A3D-9DCB-8445E805FFB3}"/>
    <hyperlink ref="H262" r:id="rId210" xr:uid="{DDA9F2F8-42B9-437D-BEEF-7F833821B1FC}"/>
    <hyperlink ref="H263" r:id="rId211" xr:uid="{E3589E18-D453-4BDE-AB99-8B05EA169F9E}"/>
    <hyperlink ref="H264" r:id="rId212" xr:uid="{B166663A-A68F-479C-8DAE-76E923078DED}"/>
    <hyperlink ref="H265" r:id="rId213" xr:uid="{CAA8605D-C0B2-4F73-9221-654C53489692}"/>
    <hyperlink ref="H266" r:id="rId214" xr:uid="{F2ED6811-C0F9-4ABB-B960-E393CFC86091}"/>
    <hyperlink ref="H267" r:id="rId215" xr:uid="{77E66F9B-01B0-4564-A57B-529DBECC3D4F}"/>
    <hyperlink ref="H268" r:id="rId216" xr:uid="{4B5247BC-725F-44F0-A288-63A0F26B17CD}"/>
    <hyperlink ref="H269" r:id="rId217" xr:uid="{8F92E22E-6C53-48CB-B412-75AD587FFCD1}"/>
    <hyperlink ref="H270" r:id="rId218" xr:uid="{DD83B950-783B-4194-B242-5BCA04336522}"/>
    <hyperlink ref="H271" r:id="rId219" xr:uid="{3BF4DBCB-D374-4EFC-9EB7-E2652E7EB788}"/>
    <hyperlink ref="H272" r:id="rId220" xr:uid="{06D0C4D7-921E-4C04-B813-050790525CE9}"/>
    <hyperlink ref="H273" r:id="rId221" xr:uid="{57ECD670-D242-45D3-BE93-DD61C2056366}"/>
    <hyperlink ref="H274" r:id="rId222" xr:uid="{154CE59C-7D68-4052-873A-0FD4E5D54B8B}"/>
    <hyperlink ref="H275" r:id="rId223" xr:uid="{594A7AB8-343A-4110-962D-C59A26E79342}"/>
    <hyperlink ref="H276" r:id="rId224" xr:uid="{0AC4B7B0-CB09-4127-9911-8D793BB42DE7}"/>
    <hyperlink ref="H46" r:id="rId225" display="cotización ie cinco sas" xr:uid="{D5B8849B-DAB4-4DCA-A605-1B8FEFC4716D}"/>
    <hyperlink ref="H22" r:id="rId226" display="cotización ie cinco sas" xr:uid="{A82B0623-F13D-4001-ABF8-CCC3B7F8BC77}"/>
    <hyperlink ref="H277" r:id="rId227" xr:uid="{52DE3E6E-FC2A-45A6-B442-6F3CBE677505}"/>
    <hyperlink ref="H278" r:id="rId228" xr:uid="{D0903346-6384-4401-B6CC-22CF1CB2A988}"/>
    <hyperlink ref="H279:H282" r:id="rId229" display="https://colombia.generadordeprecios.info/obra_nueva/Urbanizacion_interior_del_terreno/Jardineria/Tepes_y_cespedes/Tepe.html" xr:uid="{D84FC535-A890-48FF-852C-51DA3D093ECF}"/>
    <hyperlink ref="H283" r:id="rId230" xr:uid="{282CE110-B368-46F8-A900-C612A70E34C9}"/>
    <hyperlink ref="H295" r:id="rId231" xr:uid="{07A99222-3807-4BA9-B78E-824EB0CC6452}"/>
    <hyperlink ref="H296" r:id="rId232" xr:uid="{73335027-99A7-4571-B879-4DDF98A9FF7E}"/>
    <hyperlink ref="H297" r:id="rId233" xr:uid="{00658D37-B576-4519-99A7-3AEDA9295CB1}"/>
    <hyperlink ref="H298" r:id="rId234" xr:uid="{6764A2F4-8343-4CA6-9F6F-B5A2B6044B6A}"/>
    <hyperlink ref="H302" r:id="rId235" xr:uid="{1C6F6F31-62B3-4FB0-92AF-AA42076435C9}"/>
    <hyperlink ref="H303" r:id="rId236" xr:uid="{1ADE789B-F51B-4BA7-8BE9-48291EDC0E7F}"/>
    <hyperlink ref="H304" r:id="rId237" xr:uid="{BCBC2885-5C43-4DD2-8FF3-A201C5A83B0E}"/>
    <hyperlink ref="H305" r:id="rId238" xr:uid="{A7C45710-426C-4CF6-8721-995F70ADE951}"/>
    <hyperlink ref="H306" r:id="rId239" xr:uid="{764BE8A2-B0E3-4781-97DC-35089117FE47}"/>
    <hyperlink ref="H307" r:id="rId240" xr:uid="{6EDD6069-E1E6-4207-855E-5E74EB2268C2}"/>
    <hyperlink ref="H308" r:id="rId241" xr:uid="{51520578-D0D5-4BD7-8A8B-781A6BED095D}"/>
    <hyperlink ref="H309" r:id="rId242" xr:uid="{72DB17B5-3764-4DFB-8AE6-3C4548845AC7}"/>
    <hyperlink ref="H310" r:id="rId243" xr:uid="{772732B4-1A79-4D84-B4AC-C9CB45441B15}"/>
    <hyperlink ref="H299:H301" r:id="rId244" display="http://www.colombia.generadordeprecios.info/obra_nueva/Revestimentos/Suelos_y_pisos/Ceramicos_gres/RSG010_Piso_de_baldosas_ceramicas_colocada.html" xr:uid="{0BA71D81-DCC7-4F33-8F09-4633604CFC50}"/>
    <hyperlink ref="H311" r:id="rId245" xr:uid="{E53E349C-BA4D-404F-9157-107130A0835A}"/>
    <hyperlink ref="H312" r:id="rId246" xr:uid="{1558E998-84BD-4DF4-B3DE-BA1D78E168E1}"/>
    <hyperlink ref="H313" r:id="rId247" xr:uid="{0C2D1131-1AFD-46A1-AD5C-6BD03994FBB2}"/>
    <hyperlink ref="H314" r:id="rId248" xr:uid="{251E800A-F50F-4596-B91C-1AE0561680B5}"/>
    <hyperlink ref="H315" r:id="rId249" xr:uid="{62875C36-3228-4E51-90CE-79B337A4ACDF}"/>
    <hyperlink ref="H316" r:id="rId250" xr:uid="{104B0D17-E637-43CC-8170-8D641182E300}"/>
    <hyperlink ref="H317" r:id="rId251" xr:uid="{3CF4DEA3-E291-47E6-8919-EF6BAB6F9734}"/>
    <hyperlink ref="H318" r:id="rId252" xr:uid="{7AE03CD4-5059-4FB9-923D-23AE5B8C425C}"/>
    <hyperlink ref="H319" r:id="rId253" xr:uid="{7DB04B5B-704C-4379-9DA7-EF70C7D4A0D3}"/>
    <hyperlink ref="H320" r:id="rId254" xr:uid="{0BD6A60C-2030-4211-AB04-82A40D8C6DFF}"/>
    <hyperlink ref="H321" r:id="rId255" xr:uid="{F8371B54-059F-4C77-B3DB-0EFAA1244A71}"/>
    <hyperlink ref="H322" r:id="rId256" xr:uid="{09441D9B-36E6-4FEF-ADAB-FB49B5AE2BF4}"/>
    <hyperlink ref="H323" r:id="rId257" xr:uid="{54CA3C35-35EB-40FC-9223-5189E799C22F}"/>
    <hyperlink ref="H324" r:id="rId258" display="https://colombia.generadordeprecios.info/obra_nueva/calculaprecio.asp?Valor=30|0|2|EHV010|ehv_015%20viga:_0_0_0_5|hor_p_estruc%20viga:c14_0_1c3_0_5|ehv_cuan%20viga:_149000|acero%20viga:_0_0_0_0_0_0_0_3|hor_separadores%20vigas:_0_0_0_0_0_0_3_0|enc_ehv_011%20viga:c4_0_1c3_0_10_0_100_0_30_100c4_0_10" xr:uid="{3EADE34E-1847-4424-A7B5-99F1EC03B519}"/>
    <hyperlink ref="H325:H333" r:id="rId259" display="https://colombia.generadordeprecios.info/obra_nueva/calculaprecio.asp?Valor=30|0|2|EHV010|ehv_015%20viga:_0_0_0_5|hor_p_estruc%20viga:c14_0_1c3_0_5|ehv_cuan%20viga:_149000|acero%20viga:_0_0_0_0_0_0_0_3|hor_separadores%20vigas:_0_0_0_0_0_0_3_0|enc_ehv_011%20viga:c4_0_1c3_0_10_0_100_0_30_100c4_0_10" xr:uid="{3EBA2F8A-7538-4BF4-A97C-02092341164F}"/>
    <hyperlink ref="H334" r:id="rId260" xr:uid="{110C27D6-D629-4F29-8734-1003CC232A8E}"/>
    <hyperlink ref="H335:H337" r:id="rId261" display="https://colombia.generadordeprecios.info/obra_nueva/Cimentaciones/Superficiales/Zapatas/CSZ015_Zapata_de_cimentacion_de_concreto_s.html" xr:uid="{DE7E6290-855B-4A42-B335-9C246EE065DB}"/>
    <hyperlink ref="H338" r:id="rId262" xr:uid="{E6AFB8F2-48BF-402D-96BC-8BA43AC1A8A0}"/>
    <hyperlink ref="H339" r:id="rId263" xr:uid="{9FF5C10F-9B6E-471A-880B-3E1B4C3916B7}"/>
    <hyperlink ref="H340" r:id="rId264" xr:uid="{F7738F06-AB26-459F-B92B-557ECFAAF39A}"/>
    <hyperlink ref="H335" r:id="rId265" display="https://colombia.generadordeprecios.info/obra_nueva/calculaprecio.asp?Valor=25|0|3|EHV010|ehv_015%20viga:_0_0_0_5|hor_p_estruc%20viga:c14_0_1c3_0_5|ehv_cuan%20viga:_149000|acero%20viga:_0_0_0_0_0_0_0_3|hor_separadores%20vigas:_0_0_0_0_0_0_3_0|enc_ehv_011%20viga:c4_0_1c3_0_10_0_100_0_30_100c4_0_10" xr:uid="{B3A03824-93F5-47CB-91B9-0B62F95AB346}"/>
    <hyperlink ref="H341" r:id="rId266" xr:uid="{712E558A-182B-415D-A5B3-EF869EF28623}"/>
    <hyperlink ref="H342" r:id="rId267" xr:uid="{AE262805-8D7C-48D5-8904-C79324C7407D}"/>
    <hyperlink ref="H343" r:id="rId268" xr:uid="{C2AA2539-73DE-4DAA-B146-2EA3D189A1A0}"/>
    <hyperlink ref="H344" r:id="rId269" xr:uid="{DE132C2D-0CC5-487D-B25D-E4162B88755B}"/>
    <hyperlink ref="H345" r:id="rId270" xr:uid="{A9A0F00E-D695-46B6-9EB2-DBD7C43C9666}"/>
    <hyperlink ref="H346" r:id="rId271" xr:uid="{A0129C30-5FE4-4F99-B745-491DBC1E6947}"/>
    <hyperlink ref="H347" r:id="rId272" xr:uid="{A2665A31-38CB-4ADA-9FFA-D32ACE0B6631}"/>
    <hyperlink ref="H348:H352" r:id="rId273" display="https://colombia.generadordeprecios.info/obra_nueva/calculaprecio.asp?Valor=2|0_1|1|UVT010|uvt_010:_0_0_0_0_0_0_0_0" xr:uid="{9B35DD64-597D-42F9-8547-009E3E57F0EF}"/>
    <hyperlink ref="H353" r:id="rId274" xr:uid="{B7F7F69C-A812-4363-9FD1-2B8F9E0D6BD2}"/>
    <hyperlink ref="H354:H356" r:id="rId275" display="http://www.colombia.generadordeprecios.info/obra_nueva/Fachadas/Mamposterias_estructurales/Hoja_exterior_cara_vista/FFX010_Hoja_exterior_de_fachada__de_mampos.html" xr:uid="{915FE05D-85A6-4263-BDEC-D61D7FCB8EFA}"/>
    <hyperlink ref="H357" r:id="rId276" display="https://colombia.generadordeprecios.info/obra_nueva/calculaprecio.asp?Valor=0|1_0_0_0_0|5|EHS010|ehs_altplant%20rectangular:c14_0_25_0_0_100c4_0_10c3_0|hor_p_estruc%20pilar:c14_0_1c3_0_5|ehs_cuan:_119000|acero%20pilar:_0_0_0_0_0_0_0_3|hor_separadores%20soportes:_0_0_0_0_0_0_11_0" xr:uid="{908C6775-A4FA-44EB-BF43-0886126A4129}"/>
    <hyperlink ref="H359" r:id="rId277" xr:uid="{781D643E-E7A1-40B5-A65A-12902378DEFE}"/>
    <hyperlink ref="H360" r:id="rId278" xr:uid="{29421F88-39B1-4D14-B501-0E404019BB9A}"/>
    <hyperlink ref="H361" r:id="rId279" xr:uid="{BD767CDE-CFE9-43AC-A2AC-8A1BF5384412}"/>
    <hyperlink ref="H363" r:id="rId280" display="cotización ie cinco sas" xr:uid="{B58121EA-80DD-4181-8D43-275CB07640F4}"/>
    <hyperlink ref="H365" r:id="rId281" display="cotización ie cinco sas" xr:uid="{F5AA1288-E8CE-4484-A45B-B68FCBCEA0FA}"/>
    <hyperlink ref="H368" r:id="rId282" display="cotización ie cinco sas" xr:uid="{D5A0218B-04F7-4304-9D73-468E83631C52}"/>
    <hyperlink ref="H369" r:id="rId283" display="cotización ie cinco sas" xr:uid="{4DC81D05-C88B-4D6E-B3EC-4C26C56FC35A}"/>
    <hyperlink ref="H370" r:id="rId284" xr:uid="{D0221B4D-513E-4BD8-B106-0BE4AB2B3B3D}"/>
    <hyperlink ref="H56" r:id="rId285" xr:uid="{9CC232B4-53DF-48EC-B748-568D40853D39}"/>
    <hyperlink ref="H57" r:id="rId286" xr:uid="{C2728ACC-376D-4F39-860E-60C25A629BFF}"/>
    <hyperlink ref="H371" r:id="rId287" xr:uid="{2798FDDD-155D-41D9-9247-16E5DBCB19BE}"/>
    <hyperlink ref="H372" r:id="rId288" xr:uid="{E61A34A5-F6C3-44C5-9081-AE7CD7424B04}"/>
    <hyperlink ref="H373" r:id="rId289" xr:uid="{25F8D428-7624-408A-A6A2-6BF8653879A5}"/>
    <hyperlink ref="H375" r:id="rId290" xr:uid="{669BB5D0-E068-4C0F-B623-36A58ADA547C}"/>
    <hyperlink ref="H376" r:id="rId291" xr:uid="{37E53236-0DA9-4E6E-901D-82A2C767E535}"/>
    <hyperlink ref="H377" r:id="rId292" xr:uid="{CE97EBDE-D3FE-425D-877B-56DB8457AA16}"/>
    <hyperlink ref="H378" r:id="rId293" xr:uid="{6B97FA20-525E-4C25-8215-97C1EED53788}"/>
    <hyperlink ref="H379" r:id="rId294" xr:uid="{FAD54694-7899-45DD-AC37-FF6DEB6CE528}"/>
    <hyperlink ref="H380" r:id="rId295" xr:uid="{337DAC69-9E7A-47B5-829D-D82772A46D0A}"/>
    <hyperlink ref="H381" r:id="rId296" xr:uid="{8D4822CD-3532-4F87-A975-18168A91F31D}"/>
    <hyperlink ref="H382" r:id="rId297" xr:uid="{1AC0BAD0-8A1F-4FCE-B2D8-36EC0B77E4B1}"/>
    <hyperlink ref="H383" r:id="rId298" xr:uid="{F2BD5FBE-1F96-489B-B01A-9FE89A9BDCDD}"/>
    <hyperlink ref="H384" r:id="rId299" xr:uid="{1A98F095-C957-48F3-AEEC-7E19073BA166}"/>
    <hyperlink ref="H385" r:id="rId300" xr:uid="{31DCC799-B882-40F5-8758-9F85BD3BECF3}"/>
    <hyperlink ref="H386" r:id="rId301" xr:uid="{1AE445BB-B4D3-4D10-8D69-C4FC57D83879}"/>
    <hyperlink ref="H387" r:id="rId302" xr:uid="{74ABCF39-DCAF-42AC-972E-E71563B16807}"/>
    <hyperlink ref="H388" r:id="rId303" xr:uid="{9CCE2249-67A5-4465-9CFE-1B44ABC425D4}"/>
    <hyperlink ref="H389" r:id="rId304" xr:uid="{7784BE06-4A93-4037-80CA-63C2E45369F6}"/>
    <hyperlink ref="H390" r:id="rId305" xr:uid="{4AF7891B-74E3-4738-A269-6CAF2CBA0189}"/>
    <hyperlink ref="H391" r:id="rId306" xr:uid="{CC070A0A-15CE-482C-A5EC-97DE3E1DF34B}"/>
    <hyperlink ref="H392" r:id="rId307" xr:uid="{61845FC0-9ACC-4147-88BE-E4840B89DBF3}"/>
    <hyperlink ref="H393" r:id="rId308" xr:uid="{B150EFC0-7FF5-47D4-90E9-9027D2308F64}"/>
    <hyperlink ref="H394" r:id="rId309" xr:uid="{5028BB1B-CA67-427E-B05F-7CEDEFCBABBB}"/>
    <hyperlink ref="H396" r:id="rId310" xr:uid="{4D827D97-2546-49E2-B946-1C17A5B1DD2D}"/>
    <hyperlink ref="H397" r:id="rId311" xr:uid="{7B0DF4B9-590A-4B21-8048-DCF0ECF76B4E}"/>
    <hyperlink ref="H398" r:id="rId312" location="polycard_client=search-nordic&amp;position=31&amp;search_layout=stack&amp;type=item&amp;tracking_id=9b26c461-74d1-43ad-acd1-fef153bc0fdd&amp;wid=MCO2899516240&amp;sid=search" display="https://articulo.mercadolibre.com.co/MCO-2899516240-ventilador-de-escape-a-prueba-de-explosiones-10-pulgadas-_JM#polycard_client=search-nordic&amp;position=31&amp;search_layout=stack&amp;type=item&amp;tracking_id=9b26c461-74d1-43ad-acd1-fef153bc0fdd&amp;wid=MCO2899516240&amp;sid=search" xr:uid="{A8286995-6D42-4C7B-BB74-0DCA2109307F}"/>
    <hyperlink ref="H399" r:id="rId313" location="polycard_client=search-nordic&amp;searchVariation=181515076882&amp;position=45&amp;search_layout=grid&amp;type=item&amp;tracking_id=89bb4d06-70e4-4008-a959-c15552c1246a" display="https://articulo.mercadolibre.com.co/MCO-1473148871-tomacorriente-doble-leviton-con-tapa-intemperie-metalica-_JM?searchVariation=181515076882#polycard_client=search-nordic&amp;searchVariation=181515076882&amp;position=45&amp;search_layout=grid&amp;type=item&amp;tracking_id=89bb4d06-70e4-4008-a959-c15552c1246a" xr:uid="{98B5A0CA-0248-4C7D-9FCA-1BEDC707F519}"/>
    <hyperlink ref="H400" r:id="rId314" xr:uid="{205E2C71-0AD9-4865-B960-EE283730365E}"/>
    <hyperlink ref="H401" r:id="rId315" xr:uid="{FC77F832-F80C-410A-A2E7-1C56406B261A}"/>
    <hyperlink ref="H402" r:id="rId316" xr:uid="{A674461B-4B85-4C0B-9D64-FEED94C4EAFD}"/>
    <hyperlink ref="H403" r:id="rId317" xr:uid="{DBA8BC46-0364-4BF6-B1F0-169FF3091067}"/>
    <hyperlink ref="H404" r:id="rId318" xr:uid="{181BF696-C8CA-47E4-87EC-F938B3CEE6C4}"/>
    <hyperlink ref="H405" r:id="rId319" xr:uid="{7BBD9F4C-C8DE-4252-84D5-E2C93406B255}"/>
    <hyperlink ref="H406" r:id="rId320" xr:uid="{D5876664-6783-4F6D-AB7E-E548A428A2CB}"/>
    <hyperlink ref="H407" r:id="rId321" xr:uid="{1A1A32A0-7C0A-47DB-8B09-B9FC8A5C1D5F}"/>
    <hyperlink ref="H408" r:id="rId322" xr:uid="{9A76A813-E462-41CF-BFB8-E67601C153B9}"/>
    <hyperlink ref="H409" r:id="rId323" xr:uid="{5F33F6D6-3DB0-46A2-94EE-185F78EF0FCD}"/>
    <hyperlink ref="H410" r:id="rId324" xr:uid="{FFF65792-C278-4293-80CE-7E306EE28681}"/>
    <hyperlink ref="H411" r:id="rId325" xr:uid="{C88E3190-3943-4925-BCF2-49292BD4A55B}"/>
    <hyperlink ref="H412:H414" r:id="rId326" display="https://indelek.com/xlpe-cu-15-kv/cable-xlp-500-mcm-rojo-carrete-100-cobre-15kv-5723.html" xr:uid="{D874DEA7-3FBB-4360-A3C1-4B9E1C865037}"/>
    <hyperlink ref="H417" r:id="rId327" xr:uid="{4A241FDD-2640-42CB-8E0B-FD07D71E3CDA}"/>
    <hyperlink ref="H418" r:id="rId328" xr:uid="{7B187CAE-7679-4B46-B396-E2D4A633E318}"/>
    <hyperlink ref="H419" r:id="rId329" xr:uid="{3768A490-A7F8-49B9-A461-B6223800747E}"/>
    <hyperlink ref="H421" r:id="rId330" xr:uid="{DF99E3A3-7301-4E1D-826E-E36107531810}"/>
    <hyperlink ref="H422" r:id="rId331" xr:uid="{D30A776C-D9D1-4FC3-85A5-4B6053BFAD5D}"/>
    <hyperlink ref="H423" r:id="rId332" xr:uid="{CDBBDF38-2303-4C94-9566-B719D3107FB4}"/>
    <hyperlink ref="H366:H367" r:id="rId333" display="cotización ie cinco sas" xr:uid="{F889E037-A24F-431B-9312-8325ADC37226}"/>
    <hyperlink ref="H424" r:id="rId334" xr:uid="{86B4F71A-7A81-4B10-AFFB-CD1AB62DAC64}"/>
    <hyperlink ref="H425" r:id="rId335" xr:uid="{B7374CDF-2D84-4A34-8986-A07A8DE89A08}"/>
    <hyperlink ref="H426" r:id="rId336" xr:uid="{4EC58BB8-7010-4A02-B7AB-516D792C686C}"/>
    <hyperlink ref="H427" r:id="rId337" xr:uid="{3BEE6F06-AD80-4AC2-94AF-D8006A1987A5}"/>
    <hyperlink ref="H428" r:id="rId338" xr:uid="{DB8DB535-53B3-4A32-A6C8-807477B7DE29}"/>
    <hyperlink ref="H429" r:id="rId339" xr:uid="{1B174583-6A3B-44D7-8843-C1972906BC55}"/>
    <hyperlink ref="H430" r:id="rId340" xr:uid="{4898469A-B132-4813-A410-820A8C2014DC}"/>
    <hyperlink ref="H431" r:id="rId341" xr:uid="{44EBFE27-DF74-41C5-BD94-ECFDC229E6B0}"/>
    <hyperlink ref="H432" r:id="rId342" xr:uid="{E6B1639F-2112-4E71-8014-4AFB18E53686}"/>
    <hyperlink ref="H434" r:id="rId343" xr:uid="{1017334E-9F89-4F21-AFCA-0F3C384C7375}"/>
    <hyperlink ref="H435" r:id="rId344" xr:uid="{737C8484-F5B9-4855-90D6-BD3DBA72C4AC}"/>
    <hyperlink ref="H438" r:id="rId345" xr:uid="{D4F1C107-FB1E-42F2-BED1-7D33A626F8C9}"/>
    <hyperlink ref="H439" r:id="rId346" xr:uid="{6DE596A9-C919-489E-BEF2-81B97860325E}"/>
    <hyperlink ref="H440" r:id="rId347" xr:uid="{262C24DA-F9FB-4280-BB9D-E263EBCB8658}"/>
    <hyperlink ref="H442" r:id="rId348" xr:uid="{558B6240-7DF3-402B-A5CE-DC1D6ADAD56B}"/>
    <hyperlink ref="H443" r:id="rId349" xr:uid="{F58EBB84-72E7-483E-9AEA-934974320094}"/>
    <hyperlink ref="H444" r:id="rId350" xr:uid="{574E8095-44F3-4D20-AD0D-AA77383B37F8}"/>
    <hyperlink ref="H445" r:id="rId351" xr:uid="{A51F99CC-AAAA-41A6-B272-77FFF30DFA9C}"/>
    <hyperlink ref="H446" r:id="rId352" xr:uid="{E54287E6-82EC-4F4B-8379-E3331278D0D9}"/>
    <hyperlink ref="H447" r:id="rId353" location="bb27/classic/" xr:uid="{EB47B014-ED57-473A-A829-757ABC57FEE2}"/>
    <hyperlink ref="H448" r:id="rId354" xr:uid="{432782A8-3EA6-4253-9283-F1DCE731B9AC}"/>
    <hyperlink ref="H449" r:id="rId355" xr:uid="{93C6AFDB-3875-489F-9205-4D1A7D35B74C}"/>
    <hyperlink ref="H450" r:id="rId356" xr:uid="{510DC7FF-D02F-44CD-820A-7D7B0F71E84F}"/>
    <hyperlink ref="H451" r:id="rId357" xr:uid="{126C8065-BA8D-4973-BE10-98CDC8F81848}"/>
    <hyperlink ref="H452" r:id="rId358" xr:uid="{D9B4D03C-2BDD-40A5-A0B6-9C687F288D6D}"/>
    <hyperlink ref="H453" r:id="rId359" xr:uid="{CBECB126-339B-4477-8780-2A5C0ADB6EB0}"/>
    <hyperlink ref="H457" r:id="rId360" xr:uid="{77BDDD14-1E94-4B86-B29C-E19CFFDF8F56}"/>
    <hyperlink ref="H458" r:id="rId361" xr:uid="{58A1186A-37BC-4B0E-A0A2-DA510FA29147}"/>
    <hyperlink ref="H459" r:id="rId362" xr:uid="{EF5ECB3E-68E9-48DF-A5C1-BA9A45A377F9}"/>
    <hyperlink ref="H461" r:id="rId363" xr:uid="{F8E55593-16DB-4A2B-98CD-AFDD2DA2D4A6}"/>
    <hyperlink ref="H462" r:id="rId364" xr:uid="{904886E5-07C5-4ECA-A8B2-CD61C65CED96}"/>
    <hyperlink ref="H464" r:id="rId365" xr:uid="{914713BA-60B8-4B58-9BA8-2BB249BB90AF}"/>
    <hyperlink ref="H466" r:id="rId366" xr:uid="{60B957EF-6EC8-4468-AB48-5BC91703FF01}"/>
    <hyperlink ref="H467" r:id="rId367" xr:uid="{D461BAE7-04C1-4F38-8124-F288292A1D1E}"/>
    <hyperlink ref="H469" r:id="rId368" xr:uid="{A6B04C36-FE9F-4C6B-9AC1-695CB6A3C445}"/>
    <hyperlink ref="H468" r:id="rId369" xr:uid="{DE304039-4670-4ADE-809E-665CC9A6CD5B}"/>
    <hyperlink ref="H470" r:id="rId370" xr:uid="{65EDF322-A8E3-46F0-9894-6498C8B72F90}"/>
    <hyperlink ref="H472" r:id="rId371" xr:uid="{FF7B43D7-D9E6-48FE-A9CD-668F53B575DE}"/>
    <hyperlink ref="H475" r:id="rId372" xr:uid="{81C696D9-5971-4D8A-8E20-B1168462AE48}"/>
    <hyperlink ref="H474" r:id="rId373" xr:uid="{71B6B899-D178-4D1A-8EF3-B43CD799E08D}"/>
    <hyperlink ref="H473" r:id="rId374" xr:uid="{84962C86-57CD-4732-8CA3-5FC7C365CC3D}"/>
    <hyperlink ref="H478" r:id="rId375" xr:uid="{905374D6-B071-44AA-A5A0-B5283BE2EB40}"/>
    <hyperlink ref="H476" r:id="rId376" xr:uid="{445756FD-1CB9-4C5A-AC28-32ECDBAE5C1F}"/>
    <hyperlink ref="H477" r:id="rId377" xr:uid="{5AA11A46-3A5C-4866-9DE7-40A6721CB4EE}"/>
    <hyperlink ref="H479" r:id="rId378" xr:uid="{81228A90-B80E-430D-B748-D2506FE3117F}"/>
    <hyperlink ref="H480" r:id="rId379" xr:uid="{6659D600-10EB-4161-A038-A3BE2F408F2B}"/>
    <hyperlink ref="H482" r:id="rId380" xr:uid="{F25871CA-2D6C-4126-805B-5F2C41E78643}"/>
    <hyperlink ref="H484" r:id="rId381" xr:uid="{88ED640C-2AAF-42BB-88D9-17953BAE341D}"/>
    <hyperlink ref="H485" r:id="rId382" xr:uid="{E754CEF1-9637-4490-82A7-6040DCA02102}"/>
    <hyperlink ref="H486" r:id="rId383" xr:uid="{A2F2E523-A5DE-4E71-BB4C-2D0766E2A9F5}"/>
    <hyperlink ref="H487" r:id="rId384" xr:uid="{01E605DF-B522-4778-9D39-FDF7CFBB40C7}"/>
    <hyperlink ref="H488" r:id="rId385" xr:uid="{FCFD9AB9-C132-41B9-B822-D9A697458A13}"/>
    <hyperlink ref="H490" r:id="rId386" xr:uid="{C31AB748-8B62-46FE-AC28-0B7926329AEE}"/>
    <hyperlink ref="H491" r:id="rId387" xr:uid="{BDBFB304-9F45-4A5B-9173-140D6B4703B3}"/>
    <hyperlink ref="H492" r:id="rId388" xr:uid="{501B7DA3-1CB1-45CC-B27A-3B9BE1033280}"/>
    <hyperlink ref="H493" r:id="rId389" location="polycard_client=search-nordic&amp;searchVariation=180668150849&amp;backend_model=search-backend&amp;position=36&amp;search_layout=grid&amp;type=item&amp;tracking_id=92881e98-3468-4e4f-a06e-20d6e73ab630" display="https://articulo.mercadolibre.com.co/MCO-1360400101-valvula-flotador-automatico-control-nivel-tanque-de-agua-1-_JM?searchVariation=180668150849#polycard_client=search-nordic&amp;searchVariation=180668150849&amp;backend_model=search-backend&amp;position=36&amp;search_layout=grid&amp;type=item&amp;tracking_id=92881e98-3468-4e4f-a06e-20d6e73ab630" xr:uid="{B6130567-3C23-4863-8A85-DFE5E4DC6FF5}"/>
    <hyperlink ref="H494" r:id="rId390" xr:uid="{ED4B0E71-75C1-4828-B3D4-0C99ED3988BE}"/>
    <hyperlink ref="H495" r:id="rId391" xr:uid="{703B19C0-2FCC-494E-881C-2E2F47DBA79F}"/>
    <hyperlink ref="H496" r:id="rId392" xr:uid="{41A3E169-E4F1-4746-825B-D2BE9AF49179}"/>
    <hyperlink ref="H497" r:id="rId393" xr:uid="{FF81B2B0-D83E-4A4E-9EBB-2AE6D05464E4}"/>
    <hyperlink ref="H499" r:id="rId394" xr:uid="{F7C6803A-3172-4F7B-BBC4-D428C8918030}"/>
    <hyperlink ref="H498" r:id="rId395" xr:uid="{2C8C2E74-2DD8-4B55-9BD3-10E649C988C5}"/>
    <hyperlink ref="H501" r:id="rId396" xr:uid="{9343CFC5-3FB9-4365-89EC-554264EC0B29}"/>
    <hyperlink ref="H502" r:id="rId397" location="polycard_client=search-nordic&amp;searchVariation=181419828067&amp;backend_model=search-backend&amp;position=26&amp;search_layout=grid&amp;type=item&amp;tracking_id=062910fa-2501-4518-8184-efdbcdc350d3" display="https://articulo.mercadolibre.com.co/MCO-2147865314-valvula-tapon-desague-anti-insectos-olores-banos-cocina-_JM?searchVariation=181419828067#polycard_client=search-nordic&amp;searchVariation=181419828067&amp;backend_model=search-backend&amp;position=26&amp;search_layout=grid&amp;type=item&amp;tracking_id=062910fa-2501-4518-8184-efdbcdc350d3" xr:uid="{2E3B6CF6-736F-4466-8A64-F851DB269B69}"/>
    <hyperlink ref="H504" r:id="rId398" xr:uid="{7F3E175E-3B3C-4F0C-AC89-7308BCBE1F04}"/>
    <hyperlink ref="H505" r:id="rId399" xr:uid="{BA031486-56AF-48F1-A4B0-9B9700A7896F}"/>
    <hyperlink ref="H506" r:id="rId400" xr:uid="{92EFC611-99B7-470F-AA6E-CB17B55638FB}"/>
    <hyperlink ref="H507" r:id="rId401" xr:uid="{A164917F-AEA5-42C6-9F7A-9FFAF01BAF24}"/>
    <hyperlink ref="H508" r:id="rId402" xr:uid="{222F7E37-82AE-4CDD-A43F-6862AE53F5FD}"/>
    <hyperlink ref="H509" r:id="rId403" xr:uid="{6EA0586E-CCAB-4E57-81DF-C8CE951FDB1B}"/>
    <hyperlink ref="H510" r:id="rId404" xr:uid="{1D04C456-56C7-4F3E-BA44-DE6F3DDD6539}"/>
    <hyperlink ref="H374" r:id="rId405" xr:uid="{EE5F32E8-51FC-4983-B560-6965CEABF5C3}"/>
    <hyperlink ref="H511" r:id="rId406" xr:uid="{AE76C81B-0D91-4081-83D8-9C257E8484C3}"/>
    <hyperlink ref="H512" r:id="rId407" xr:uid="{AA328A7F-A478-4C73-9D96-7228C77F4939}"/>
    <hyperlink ref="H513" r:id="rId408" xr:uid="{543D6806-0109-41FF-8074-75106F28D0EE}"/>
    <hyperlink ref="H514" r:id="rId409" xr:uid="{86058DAD-8477-468C-A101-611B4CC37D09}"/>
    <hyperlink ref="H515" r:id="rId410" xr:uid="{2F9E86F9-A7F6-4B45-9C4D-E95634B050B3}"/>
    <hyperlink ref="H516" r:id="rId411" xr:uid="{B61FB81B-15A6-4991-8169-94D2EE260598}"/>
    <hyperlink ref="H517" r:id="rId412" xr:uid="{160B8D75-E705-4189-B3F9-AD2C52186C12}"/>
    <hyperlink ref="H520" r:id="rId413" display="https://geztio.co/upa/co/mezcla-densa-en-caliente-tipo-mdc-2" xr:uid="{1C36B2DD-2548-470D-B363-3485A2A3462C}"/>
    <hyperlink ref="H521" r:id="rId414" xr:uid="{08BA2D34-65E6-4277-A633-0AE4E358F990}"/>
    <hyperlink ref="H522" r:id="rId415" xr:uid="{6BB20CB4-1D22-4907-B092-7484E85C4267}"/>
    <hyperlink ref="H530" r:id="rId416" xr:uid="{C2575BB5-202D-4FB0-AC26-4437D6700627}"/>
    <hyperlink ref="H532" r:id="rId417" xr:uid="{D3E4E617-772D-4510-9E54-CDE05C662667}"/>
    <hyperlink ref="H533" r:id="rId418" xr:uid="{70B982C7-FDF1-426E-8CD9-4CD014CECC95}"/>
    <hyperlink ref="H534" r:id="rId419" xr:uid="{043A6361-F8A4-4858-9387-AB1105C9FEFA}"/>
    <hyperlink ref="H50" r:id="rId420" display="https://selinc.com/es/products/351/" xr:uid="{5F82E9B3-35B2-45ED-9A6E-06A2B3745CED}"/>
    <hyperlink ref="H51" r:id="rId421" display="https://selinc.com/es/products/351/" xr:uid="{A7B93D89-E1B7-4193-B5FD-E5668F6142B6}"/>
    <hyperlink ref="H52" r:id="rId422" display="https://selinc.com/es/products/351/" xr:uid="{8A11ECBE-EFCF-4359-8718-AEF76854C765}"/>
    <hyperlink ref="H31" r:id="rId423" display="https://selinc.com/es/products/351/" xr:uid="{DB3D7F48-8008-4BC2-93E0-4088D7924475}"/>
    <hyperlink ref="H29" r:id="rId424" display="https://selinc.com/es/products/351/" xr:uid="{660CF691-9631-4ED2-91CC-BB18C831E15A}"/>
    <hyperlink ref="H28" r:id="rId425" display="https://selinc.com/es/products/351/" xr:uid="{E03DCAE5-44EA-4D68-987E-6DE378BFFAF1}"/>
    <hyperlink ref="H27" r:id="rId426" display="https://selinc.com/es/products/351/" xr:uid="{E1A59FAF-0574-4962-95D0-0722484CDBA5}"/>
    <hyperlink ref="H30" r:id="rId427" display="https://selinc.com/es/products/351/" xr:uid="{D8349A39-1D2B-4625-BEF6-D7CD9D9F53FD}"/>
    <hyperlink ref="H545" r:id="rId428" xr:uid="{64484307-74EF-4877-B99F-7CF4468F98CA}"/>
    <hyperlink ref="H547" r:id="rId429" xr:uid="{EA34268A-B0CD-4608-B7E1-331E0602DE44}"/>
    <hyperlink ref="H546" r:id="rId430" xr:uid="{8923A0C3-FEF0-47AA-AB94-4838C652534D}"/>
    <hyperlink ref="H548" r:id="rId431" xr:uid="{CC0774C9-BE56-4189-B8FA-7B8AFA1B4849}"/>
    <hyperlink ref="H549" r:id="rId432" xr:uid="{8FAE103A-12CE-4F8E-848A-BB9CBC2984FB}"/>
    <hyperlink ref="H551" r:id="rId433" xr:uid="{E2BA69E9-1480-46C2-A97A-4C7D953396D2}"/>
    <hyperlink ref="H552" r:id="rId434" xr:uid="{0791EF93-FDB1-47E2-97C4-89322CA0356A}"/>
    <hyperlink ref="H553" r:id="rId435" xr:uid="{0075F2F9-5AF0-4463-9D25-BEF8EB44D1A2}"/>
    <hyperlink ref="H555" r:id="rId436" xr:uid="{85AE6E0A-6927-4EBB-8593-87489DB3DE38}"/>
    <hyperlink ref="H556" r:id="rId437" xr:uid="{57118CA1-E4D1-4A8D-9800-4A6EF2E3E23B}"/>
    <hyperlink ref="H557" r:id="rId438" xr:uid="{5C6C14AB-6CC0-4D1E-BAF4-CE3872566DA8}"/>
    <hyperlink ref="H558" r:id="rId439" xr:uid="{C34AB313-6221-497D-8D79-B2BF8651A919}"/>
    <hyperlink ref="H559" r:id="rId440" xr:uid="{F99DD916-752A-4778-A8BA-E3BE6DF1EF62}"/>
    <hyperlink ref="H560" r:id="rId441" xr:uid="{F963ED06-B490-455D-9F03-06FBD78C11A2}"/>
    <hyperlink ref="H561" r:id="rId442" xr:uid="{4501A306-3F11-4CE5-9119-8945E68E52D9}"/>
    <hyperlink ref="H395" r:id="rId443" xr:uid="{C5A7AB49-7C78-4839-AF92-09F2155D4A02}"/>
    <hyperlink ref="H562" r:id="rId444" xr:uid="{6E76EE87-F815-4C1C-A9AC-1BB54A29B53F}"/>
    <hyperlink ref="H563" r:id="rId445" xr:uid="{1726FEC9-9F59-4C51-9F87-D778B56F56CC}"/>
    <hyperlink ref="H564" r:id="rId446" xr:uid="{09242AE2-7571-4392-BD18-20EFBDB0A934}"/>
    <hyperlink ref="H565" r:id="rId447" xr:uid="{9094A8CD-2AB8-4806-BD5E-CE0E5DAA197A}"/>
    <hyperlink ref="H566" r:id="rId448" xr:uid="{8D6C3268-4420-4431-944E-A9B28BBC356E}"/>
    <hyperlink ref="H567" r:id="rId449" xr:uid="{A7F6714C-5F9F-43DF-8F8E-203BB376A6BE}"/>
    <hyperlink ref="H568" r:id="rId450" xr:uid="{0D4D1358-6133-4152-98AB-D382C755E223}"/>
    <hyperlink ref="H569" r:id="rId451" xr:uid="{D002CB70-D47E-4505-9048-34AFD393758C}"/>
    <hyperlink ref="H570" r:id="rId452" xr:uid="{11C21E5F-51A0-4108-A30E-EE6D82C18116}"/>
    <hyperlink ref="H571" r:id="rId453" xr:uid="{1F04E236-B614-49CC-A56C-5884055DBB36}"/>
    <hyperlink ref="H572" r:id="rId454" xr:uid="{A7846878-28E5-47D1-9682-A7095F4134B2}"/>
    <hyperlink ref="H574" r:id="rId455" xr:uid="{FCD6962D-F9CD-4DB3-9FE2-C400370DA5C5}"/>
    <hyperlink ref="H575" r:id="rId456" xr:uid="{B8E97292-5A82-4D54-9BD3-679EEB646D86}"/>
    <hyperlink ref="H576" r:id="rId457" xr:uid="{D18336EE-E6A1-4458-B379-4B03AD0B7E68}"/>
    <hyperlink ref="H577" r:id="rId458" xr:uid="{0C18D123-EE0D-4B3F-96C6-FC29EF6D0E29}"/>
    <hyperlink ref="H222" r:id="rId459" xr:uid="{47791553-A65B-4244-960F-ADFAA6B85544}"/>
    <hyperlink ref="H578" r:id="rId460" xr:uid="{BC87BFC8-FB29-47FA-95C8-650048B04F0D}"/>
    <hyperlink ref="H590" r:id="rId461" xr:uid="{76159002-8E9D-4CBE-9AC2-53FB653CE64B}"/>
    <hyperlink ref="H591" r:id="rId462" xr:uid="{1E9D5E1D-ECB0-4080-839E-9ACD9F4E9490}"/>
    <hyperlink ref="H596" r:id="rId463" xr:uid="{0A14491E-2AF3-4809-A0AD-40CDDCCBB5EF}"/>
    <hyperlink ref="H597" r:id="rId464" xr:uid="{4BE72A4E-128E-4B1D-84D8-3A29412B7417}"/>
    <hyperlink ref="H598" r:id="rId465" xr:uid="{FE1BCB57-F6B6-4F6F-8128-1746663B3371}"/>
    <hyperlink ref="H659" r:id="rId466" xr:uid="{2DF3B2A4-15EB-4860-802C-457F8E5B2387}"/>
    <hyperlink ref="H662" r:id="rId467" xr:uid="{932ADDA6-34F3-449C-AAA1-7BC8A11D880C}"/>
    <hyperlink ref="H663" r:id="rId468" xr:uid="{B6BC4864-4C89-40E5-A085-900F4F405E67}"/>
    <hyperlink ref="H665" r:id="rId469" display="https://colempaques.com/products/sistema-septico-integrado-horizontal-1650-litros?variant=45783070212262&amp;country=CO&amp;currency=COP&amp;utm_medium=product_sync&amp;utm_source=google&amp;utm_content=sag_organic&amp;utm_campaign=sag_organic&amp;srsltid=AfmBOorddUk_fr5zQgzc0m5FJShYew9Shmv3V3BsYSBc3ZQEkdnDPNcf9gc" xr:uid="{151D0F71-A3C4-419F-8598-093F196816E5}"/>
    <hyperlink ref="H667" r:id="rId470" xr:uid="{94E7DB1C-06AE-4DB2-9749-6A8D0F2C43CC}"/>
    <hyperlink ref="H670" r:id="rId471" xr:uid="{6D01AAAC-196E-4470-8742-4225CE37EC90}"/>
    <hyperlink ref="H671" r:id="rId472" xr:uid="{B82996BA-341C-4EE9-B32B-7A6B9B89383C}"/>
    <hyperlink ref="H672" r:id="rId473" xr:uid="{1B973E11-A358-42AE-84AE-FAFC02EEB4AE}"/>
    <hyperlink ref="H673" r:id="rId474" xr:uid="{0F0577F9-FEC5-42B0-B944-CEDD4D1699DF}"/>
    <hyperlink ref="H674" r:id="rId475" xr:uid="{4C48AEA5-31E3-45F6-9147-FD372505EA6B}"/>
    <hyperlink ref="H675" r:id="rId476" xr:uid="{48E25F0A-1E4A-425A-AA56-4A36A8F9FABB}"/>
    <hyperlink ref="H676" r:id="rId477" xr:uid="{C731F1C4-CA80-4715-9EA7-D0635F89B894}"/>
    <hyperlink ref="H677" r:id="rId478" xr:uid="{E2FE0563-1A9B-4D08-973F-F1FA923C76C2}"/>
    <hyperlink ref="H678" r:id="rId479" xr:uid="{620E435F-70D8-4B0C-B22B-DF075320F61C}"/>
    <hyperlink ref="H679" r:id="rId480" xr:uid="{8A453F21-865B-40E5-8B79-E4ADB6888C21}"/>
    <hyperlink ref="H680" r:id="rId481" xr:uid="{EB205A8C-6174-4D51-9531-816BF700AF49}"/>
    <hyperlink ref="H364" r:id="rId482" display="cotización ie cinco sas" xr:uid="{90299346-B89A-4E0A-BB52-03012CAC3F89}"/>
    <hyperlink ref="H285" r:id="rId483" xr:uid="{AAB5AA8D-9053-4624-B569-F94AE9D57277}"/>
    <hyperlink ref="H681" r:id="rId484" xr:uid="{F0F20A9E-B79E-4185-86D2-CE7B089879DA}"/>
  </hyperlinks>
  <pageMargins left="0.7" right="0.7" top="0.75" bottom="0.75" header="0.3" footer="0.3"/>
  <pageSetup orientation="portrait" r:id="rId485"/>
  <legacyDrawing r:id="rId48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6543-4E1A-4634-B236-5CAD661FBCE3}">
  <sheetPr codeName="Hoja22">
    <tabColor theme="9" tint="0.39997558519241921"/>
  </sheetPr>
  <dimension ref="A1:N24061"/>
  <sheetViews>
    <sheetView view="pageBreakPreview" zoomScale="70" zoomScaleNormal="100" zoomScaleSheetLayoutView="70" workbookViewId="0">
      <selection activeCell="I17" sqref="I17"/>
    </sheetView>
  </sheetViews>
  <sheetFormatPr baseColWidth="10" defaultRowHeight="15" x14ac:dyDescent="0.25"/>
  <cols>
    <col min="1" max="1" width="11.85546875" bestFit="1" customWidth="1"/>
    <col min="2" max="2" width="25" customWidth="1"/>
    <col min="3" max="3" width="39.7109375" customWidth="1"/>
    <col min="4" max="4" width="13.140625" customWidth="1"/>
    <col min="5" max="5" width="19.7109375" customWidth="1"/>
    <col min="6" max="6" width="18" bestFit="1" customWidth="1"/>
    <col min="7" max="7" width="17.85546875" bestFit="1" customWidth="1"/>
    <col min="8" max="8" width="42.5703125" customWidth="1"/>
    <col min="9" max="9" width="33" customWidth="1"/>
    <col min="10" max="10" width="33.140625" customWidth="1"/>
    <col min="11" max="11" width="28.42578125" customWidth="1"/>
    <col min="12" max="13" width="13.85546875" bestFit="1" customWidth="1"/>
  </cols>
  <sheetData>
    <row r="1" spans="1:8" x14ac:dyDescent="0.25">
      <c r="A1" s="74" t="s">
        <v>29</v>
      </c>
      <c r="B1" s="226" t="s">
        <v>30</v>
      </c>
      <c r="C1" s="226"/>
      <c r="D1" s="74" t="s">
        <v>31</v>
      </c>
      <c r="E1" s="74" t="s">
        <v>32</v>
      </c>
      <c r="F1" s="74" t="s">
        <v>189</v>
      </c>
      <c r="G1" s="74" t="s">
        <v>33</v>
      </c>
    </row>
    <row r="2" spans="1:8" ht="50.25" customHeight="1" x14ac:dyDescent="0.25">
      <c r="A2" s="50" t="str">
        <f>Presupuesto!B6</f>
        <v>001_OC</v>
      </c>
      <c r="B2" s="229" t="str">
        <f>Presupuesto!C6</f>
        <v>COMPLEMENTACIÓN Y/O AJUSTE A ESTUDIOS Y DISEÑOS (INCLUYE LEVANTAMIENTO TOPOGRÁFICO, ESTUDIO DE SUELO, DISEÑO HIDRÁULICO E HIDROSANITARIO, DISEÑO ELÉCTRICO, DISEÑO ESTRUCTURAL)</v>
      </c>
      <c r="C2" s="230"/>
      <c r="D2" s="50" t="s">
        <v>8</v>
      </c>
      <c r="E2" s="102">
        <v>2</v>
      </c>
      <c r="F2" s="50"/>
      <c r="G2" s="51">
        <f>G64</f>
        <v>26197600</v>
      </c>
      <c r="H2" s="45"/>
    </row>
    <row r="3" spans="1:8" x14ac:dyDescent="0.25">
      <c r="A3" s="219" t="s">
        <v>34</v>
      </c>
      <c r="B3" s="219"/>
      <c r="C3" s="219"/>
      <c r="D3" s="219"/>
      <c r="E3" s="219"/>
      <c r="F3" s="219"/>
      <c r="G3" s="219"/>
    </row>
    <row r="4" spans="1:8" x14ac:dyDescent="0.25">
      <c r="A4" s="49" t="s">
        <v>35</v>
      </c>
      <c r="B4" s="219" t="s">
        <v>36</v>
      </c>
      <c r="C4" s="219"/>
      <c r="D4" s="49" t="s">
        <v>37</v>
      </c>
      <c r="E4" s="49" t="s">
        <v>38</v>
      </c>
      <c r="F4" s="49" t="s">
        <v>39</v>
      </c>
      <c r="G4" s="49" t="s">
        <v>40</v>
      </c>
    </row>
    <row r="5" spans="1:8" ht="50.25" customHeight="1" x14ac:dyDescent="0.25">
      <c r="A5" s="50" t="str">
        <f>Material!A580</f>
        <v>MA-579</v>
      </c>
      <c r="B5" s="232" t="str">
        <f>IFERROR(VLOOKUP(A5,Material!$A:$H,2,0),"-")</f>
        <v>COMPLEMENTACIÓN Y/O AJUSTE A ESTUDIOS Y DISEÑOS (INCLUYE LEVANTAMIENTO TOPOGRÁFICO, ESTUDIO DE SUELO, DISEÑO HIDRÁULICO E HIDROSANITARIO, DISEÑO ELÉCTRICO, DISEÑO ESTRUCTURAL)</v>
      </c>
      <c r="C5" s="233"/>
      <c r="D5" s="50" t="str">
        <f>IFERROR(VLOOKUP(A5,Material!$A:$H,4,0),"-")</f>
        <v>UN</v>
      </c>
      <c r="E5" s="50">
        <v>1</v>
      </c>
      <c r="F5" s="51">
        <f>IFERROR(VLOOKUP(A5,Material!$A:$H,3,0),"-")</f>
        <v>20800000</v>
      </c>
      <c r="G5" s="51">
        <f>IFERROR(ROUNDUP(F5*E5,0),"-")</f>
        <v>20800000</v>
      </c>
    </row>
    <row r="6" spans="1:8" x14ac:dyDescent="0.25">
      <c r="A6" s="231" t="s">
        <v>41</v>
      </c>
      <c r="B6" s="231"/>
      <c r="C6" s="231"/>
      <c r="D6" s="231"/>
      <c r="E6" s="231"/>
      <c r="F6" s="231"/>
      <c r="G6" s="218">
        <f>SUM(G5:G5)</f>
        <v>20800000</v>
      </c>
    </row>
    <row r="7" spans="1:8" x14ac:dyDescent="0.25">
      <c r="A7" s="56"/>
      <c r="B7" s="57"/>
      <c r="C7" s="57"/>
      <c r="D7" s="57"/>
      <c r="E7" s="57"/>
      <c r="F7" s="57"/>
      <c r="G7" s="58"/>
    </row>
    <row r="8" spans="1:8" x14ac:dyDescent="0.25">
      <c r="A8" s="219" t="s">
        <v>42</v>
      </c>
      <c r="B8" s="219"/>
      <c r="C8" s="219"/>
      <c r="D8" s="219"/>
      <c r="E8" s="219"/>
      <c r="F8" s="219"/>
      <c r="G8" s="219"/>
    </row>
    <row r="9" spans="1:8" x14ac:dyDescent="0.25">
      <c r="A9" s="49" t="s">
        <v>35</v>
      </c>
      <c r="B9" s="49" t="s">
        <v>36</v>
      </c>
      <c r="C9" s="49" t="s">
        <v>38</v>
      </c>
      <c r="D9" s="49" t="s">
        <v>43</v>
      </c>
      <c r="E9" s="49" t="s">
        <v>44</v>
      </c>
      <c r="F9" s="49" t="s">
        <v>45</v>
      </c>
      <c r="G9" s="49" t="s">
        <v>40</v>
      </c>
    </row>
    <row r="10" spans="1:8" x14ac:dyDescent="0.25">
      <c r="A10" s="50" t="s">
        <v>319</v>
      </c>
      <c r="B10" s="68" t="str">
        <f>VLOOKUP(A10,'Componentes APUs'!$H$1:$L$25,2,0)</f>
        <v>Ingeniero Residente de Obra</v>
      </c>
      <c r="C10" s="93">
        <v>0</v>
      </c>
      <c r="D10" s="50">
        <f>VLOOKUP(A10,'Componentes APUs'!$H$1:$L$25,3,0)</f>
        <v>4</v>
      </c>
      <c r="E10" s="51">
        <f>VLOOKUP(A10,'Componentes APUs'!$H$1:$L$25,4,0)</f>
        <v>271142.85714285716</v>
      </c>
      <c r="F10" s="51">
        <f>VLOOKUP(A10,'Componentes APUs'!$H$1:$L$25,5,0)</f>
        <v>162685.71428571429</v>
      </c>
      <c r="G10" s="51">
        <f>ROUNDUP((E10+F10)*C10/E2,0)</f>
        <v>0</v>
      </c>
      <c r="H10" s="66"/>
    </row>
    <row r="11" spans="1:8" x14ac:dyDescent="0.25">
      <c r="A11" s="50" t="s">
        <v>46</v>
      </c>
      <c r="B11" s="68" t="str">
        <f>VLOOKUP(A11,'Componentes APUs'!$H$1:$L$25,2,0)</f>
        <v>Tecnico Liniero</v>
      </c>
      <c r="C11" s="93">
        <v>0</v>
      </c>
      <c r="D11" s="50">
        <f>VLOOKUP(A11,'Componentes APUs'!$H$1:$L$25,3,0)</f>
        <v>2</v>
      </c>
      <c r="E11" s="51">
        <f>VLOOKUP(A11,'Componentes APUs'!$H$1:$L$25,4,0)</f>
        <v>154619.04761904763</v>
      </c>
      <c r="F11" s="51">
        <f>VLOOKUP(A11,'Componentes APUs'!$H$1:$L$25,5,0)</f>
        <v>92771.42857142858</v>
      </c>
      <c r="G11" s="51">
        <f>ROUNDUP((E11+F11)*C11/E2,0)</f>
        <v>0</v>
      </c>
    </row>
    <row r="12" spans="1:8" x14ac:dyDescent="0.25">
      <c r="A12" s="50" t="s">
        <v>54</v>
      </c>
      <c r="B12" s="68" t="str">
        <f>VLOOKUP(A12,'Componentes APUs'!$H$1:$L$25,2,0)</f>
        <v>Maestro de obra civil</v>
      </c>
      <c r="C12" s="93">
        <v>0</v>
      </c>
      <c r="D12" s="50">
        <f>VLOOKUP(A12,'Componentes APUs'!$H$1:$L$25,3,0)</f>
        <v>2.5</v>
      </c>
      <c r="E12" s="51">
        <f>VLOOKUP(A12,'Componentes APUs'!$H$1:$L$25,4,0)</f>
        <v>169464.28571428571</v>
      </c>
      <c r="F12" s="51">
        <f>VLOOKUP(A12,'Componentes APUs'!$H$1:$L$25,5,0)</f>
        <v>101678.57142857142</v>
      </c>
      <c r="G12" s="51">
        <f>ROUNDUP((E12+F12)*C12/E2,0)</f>
        <v>0</v>
      </c>
    </row>
    <row r="13" spans="1:8" x14ac:dyDescent="0.25">
      <c r="A13" s="50" t="s">
        <v>1110</v>
      </c>
      <c r="B13" s="68" t="str">
        <f>VLOOKUP(A13,'Componentes APUs'!$H$1:$L$25,2,0)</f>
        <v>Oficial de Obra Civil</v>
      </c>
      <c r="C13" s="93">
        <v>0</v>
      </c>
      <c r="D13" s="50">
        <f>VLOOKUP(A13,'Componentes APUs'!$H$1:$L$25,3,0)</f>
        <v>1.5</v>
      </c>
      <c r="E13" s="51">
        <f>VLOOKUP(A13,'Componentes APUs'!$H$1:$L$25,4,0)</f>
        <v>115964.28571428571</v>
      </c>
      <c r="F13" s="51">
        <f>VLOOKUP(A13,'Componentes APUs'!$H$1:$L$25,5,0)</f>
        <v>69578.57142857142</v>
      </c>
      <c r="G13" s="51">
        <f>ROUNDUP((E13+F13)*C13/E2,0)</f>
        <v>0</v>
      </c>
    </row>
    <row r="14" spans="1:8" x14ac:dyDescent="0.25">
      <c r="A14" s="50" t="s">
        <v>50</v>
      </c>
      <c r="B14" s="68" t="str">
        <f>VLOOKUP(A14,'Componentes APUs'!$H$1:$L$25,2,0)</f>
        <v>Profesional en SST</v>
      </c>
      <c r="C14" s="93">
        <v>0</v>
      </c>
      <c r="D14" s="50">
        <f>VLOOKUP(A14,'Componentes APUs'!$H$1:$L$25,3,0)</f>
        <v>2.5</v>
      </c>
      <c r="E14" s="51">
        <f>VLOOKUP(A14,'Componentes APUs'!$H$1:$L$25,4,0)</f>
        <v>169464.28571428571</v>
      </c>
      <c r="F14" s="51">
        <f>VLOOKUP(A14,'Componentes APUs'!$H$1:$L$25,5,0)</f>
        <v>101678.57142857142</v>
      </c>
      <c r="G14" s="51">
        <f>ROUNDUP((E14+F14)*C14/E2,0)</f>
        <v>0</v>
      </c>
    </row>
    <row r="15" spans="1:8" x14ac:dyDescent="0.25">
      <c r="A15" s="50" t="s">
        <v>52</v>
      </c>
      <c r="B15" s="68" t="str">
        <f>VLOOKUP(A15,'Componentes APUs'!$H$1:$L$25,2,0)</f>
        <v>Ayudante No Calificado</v>
      </c>
      <c r="C15" s="93">
        <v>0</v>
      </c>
      <c r="D15" s="50">
        <f>VLOOKUP(A15,'Componentes APUs'!$H$1:$L$25,3,0)</f>
        <v>1</v>
      </c>
      <c r="E15" s="51">
        <f>VLOOKUP(A15,'Componentes APUs'!$H$1:$L$25,4,0)</f>
        <v>77309.523809523816</v>
      </c>
      <c r="F15" s="51">
        <f>VLOOKUP(A15,'Componentes APUs'!$H$1:$L$25,5,0)</f>
        <v>46385.71428571429</v>
      </c>
      <c r="G15" s="51">
        <f>ROUNDUP((E15+F15)*C15/E2,0)</f>
        <v>0</v>
      </c>
    </row>
    <row r="16" spans="1:8" x14ac:dyDescent="0.25">
      <c r="A16" s="219" t="s">
        <v>56</v>
      </c>
      <c r="B16" s="219"/>
      <c r="C16" s="219"/>
      <c r="D16" s="219"/>
      <c r="E16" s="219"/>
      <c r="F16" s="219"/>
      <c r="G16" s="52">
        <f>SUM(G10:G15)</f>
        <v>0</v>
      </c>
    </row>
    <row r="17" spans="1:9" x14ac:dyDescent="0.25">
      <c r="A17" s="56"/>
      <c r="B17" s="57"/>
      <c r="C17" s="57"/>
      <c r="D17" s="57"/>
      <c r="E17" s="57"/>
      <c r="F17" s="57"/>
      <c r="G17" s="58"/>
    </row>
    <row r="18" spans="1:9" x14ac:dyDescent="0.25">
      <c r="A18" s="219" t="s">
        <v>57</v>
      </c>
      <c r="B18" s="219"/>
      <c r="C18" s="219"/>
      <c r="D18" s="219"/>
      <c r="E18" s="219"/>
      <c r="F18" s="219"/>
      <c r="G18" s="219"/>
    </row>
    <row r="19" spans="1:9" x14ac:dyDescent="0.25">
      <c r="A19" s="49" t="s">
        <v>35</v>
      </c>
      <c r="B19" s="219" t="s">
        <v>36</v>
      </c>
      <c r="C19" s="219"/>
      <c r="D19" s="49" t="s">
        <v>37</v>
      </c>
      <c r="E19" s="49" t="s">
        <v>38</v>
      </c>
      <c r="F19" s="49" t="s">
        <v>39</v>
      </c>
      <c r="G19" s="49" t="s">
        <v>40</v>
      </c>
    </row>
    <row r="20" spans="1:9" x14ac:dyDescent="0.25">
      <c r="A20" s="50" t="s">
        <v>326</v>
      </c>
      <c r="B20" s="220" t="str">
        <f>VLOOKUP(A20,'Componentes APUs'!$S$1:$V$10,2,0)</f>
        <v>Juego Llaves</v>
      </c>
      <c r="C20" s="220"/>
      <c r="D20" s="50" t="s">
        <v>18</v>
      </c>
      <c r="E20" s="50">
        <v>0</v>
      </c>
      <c r="F20" s="51">
        <f>VLOOKUP(A20,'Componentes APUs'!$S$1:$V$10,4,0)</f>
        <v>9167</v>
      </c>
      <c r="G20" s="51">
        <f>ROUNDUP(F20*((E20/21)/E2),0)</f>
        <v>0</v>
      </c>
      <c r="I20" s="91"/>
    </row>
    <row r="21" spans="1:9" x14ac:dyDescent="0.25">
      <c r="A21" s="50" t="s">
        <v>58</v>
      </c>
      <c r="B21" s="220" t="str">
        <f>VLOOKUP(A21,'Componentes APUs'!$S$1:$V$10,2,0)</f>
        <v>Manila de servicio</v>
      </c>
      <c r="C21" s="220"/>
      <c r="D21" s="50" t="s">
        <v>18</v>
      </c>
      <c r="E21" s="50">
        <v>0</v>
      </c>
      <c r="F21" s="51">
        <f>VLOOKUP(A21,'Componentes APUs'!$S$1:$V$10,4,0)</f>
        <v>2333</v>
      </c>
      <c r="G21" s="51">
        <f>ROUNDUP(F21*((E21/21)/E2),0)</f>
        <v>0</v>
      </c>
    </row>
    <row r="22" spans="1:9" x14ac:dyDescent="0.25">
      <c r="A22" s="50" t="s">
        <v>327</v>
      </c>
      <c r="B22" s="220" t="str">
        <f>VLOOKUP(A22,'Componentes APUs'!$S$1:$V$10,2,0)</f>
        <v>Tula portaherramientas</v>
      </c>
      <c r="C22" s="220"/>
      <c r="D22" s="50" t="s">
        <v>18</v>
      </c>
      <c r="E22" s="50">
        <v>0</v>
      </c>
      <c r="F22" s="51">
        <f>VLOOKUP(A22,'Componentes APUs'!$S$1:$V$10,4,0)</f>
        <v>1250</v>
      </c>
      <c r="G22" s="51">
        <f>ROUNDUP(F22*((E22/21)/E2),0)</f>
        <v>0</v>
      </c>
    </row>
    <row r="23" spans="1:9" x14ac:dyDescent="0.25">
      <c r="A23" s="50" t="s">
        <v>60</v>
      </c>
      <c r="B23" s="220" t="str">
        <f>VLOOKUP(A23,'Componentes APUs'!$S$1:$V$10,2,0)</f>
        <v>Agarradoras</v>
      </c>
      <c r="C23" s="220"/>
      <c r="D23" s="50" t="s">
        <v>18</v>
      </c>
      <c r="E23" s="50">
        <v>0</v>
      </c>
      <c r="F23" s="51">
        <f>VLOOKUP(A23,'Componentes APUs'!$S$1:$V$10,4,0)</f>
        <v>125000</v>
      </c>
      <c r="G23" s="51">
        <f>ROUNDUP(F23*((E23/21)/E2),0)</f>
        <v>0</v>
      </c>
    </row>
    <row r="24" spans="1:9" x14ac:dyDescent="0.25">
      <c r="A24" s="50" t="s">
        <v>62</v>
      </c>
      <c r="B24" s="220" t="str">
        <f>VLOOKUP(A24,'Componentes APUs'!$S$1:$V$10,2,0)</f>
        <v>Templadoras</v>
      </c>
      <c r="C24" s="220"/>
      <c r="D24" s="50" t="s">
        <v>18</v>
      </c>
      <c r="E24" s="50">
        <v>0</v>
      </c>
      <c r="F24" s="51">
        <f>VLOOKUP(A24,'Componentes APUs'!$S$1:$V$10,4,0)</f>
        <v>250000</v>
      </c>
      <c r="G24" s="51">
        <f>ROUNDUP(F24*((E24/21)/E2),0)</f>
        <v>0</v>
      </c>
    </row>
    <row r="25" spans="1:9" x14ac:dyDescent="0.25">
      <c r="A25" s="50" t="s">
        <v>328</v>
      </c>
      <c r="B25" s="220" t="str">
        <f>VLOOKUP(A25,'Componentes APUs'!$S$1:$V$10,2,0)</f>
        <v>Herramienta Menor</v>
      </c>
      <c r="C25" s="220"/>
      <c r="D25" s="50" t="s">
        <v>18</v>
      </c>
      <c r="E25" s="50">
        <v>0</v>
      </c>
      <c r="F25" s="51">
        <f>VLOOKUP(A25,'Componentes APUs'!$S$1:$V$10,4,0)</f>
        <v>75758</v>
      </c>
      <c r="G25" s="51">
        <f>ROUNDUP(F25*((E25/21)/E2),0)</f>
        <v>0</v>
      </c>
    </row>
    <row r="26" spans="1:9" x14ac:dyDescent="0.25">
      <c r="A26" s="219" t="s">
        <v>69</v>
      </c>
      <c r="B26" s="219"/>
      <c r="C26" s="219"/>
      <c r="D26" s="219"/>
      <c r="E26" s="219"/>
      <c r="F26" s="219"/>
      <c r="G26" s="52">
        <f>SUM(G20:G25)</f>
        <v>0</v>
      </c>
    </row>
    <row r="27" spans="1:9" x14ac:dyDescent="0.25">
      <c r="A27" s="56"/>
      <c r="B27" s="57"/>
      <c r="C27" s="57"/>
      <c r="D27" s="57"/>
      <c r="E27" s="57"/>
      <c r="F27" s="57"/>
      <c r="G27" s="58"/>
    </row>
    <row r="28" spans="1:9" x14ac:dyDescent="0.25">
      <c r="A28" s="219" t="s">
        <v>70</v>
      </c>
      <c r="B28" s="219"/>
      <c r="C28" s="219"/>
      <c r="D28" s="219"/>
      <c r="E28" s="219"/>
      <c r="F28" s="219"/>
      <c r="G28" s="219"/>
    </row>
    <row r="29" spans="1:9" x14ac:dyDescent="0.25">
      <c r="A29" s="49" t="s">
        <v>35</v>
      </c>
      <c r="B29" s="219" t="s">
        <v>36</v>
      </c>
      <c r="C29" s="219"/>
      <c r="D29" s="49" t="s">
        <v>37</v>
      </c>
      <c r="E29" s="49" t="s">
        <v>38</v>
      </c>
      <c r="F29" s="49" t="s">
        <v>39</v>
      </c>
      <c r="G29" s="49" t="s">
        <v>40</v>
      </c>
    </row>
    <row r="30" spans="1:9" ht="15" customHeight="1" x14ac:dyDescent="0.25">
      <c r="A30" s="50" t="s">
        <v>71</v>
      </c>
      <c r="B30" s="71" t="str">
        <f>VLOOKUP(A30,'Componentes APUs'!$A$1:$D$14,2,0)</f>
        <v>Camisa indigo sin partes metalicas</v>
      </c>
      <c r="C30" s="71"/>
      <c r="D30" s="50" t="str">
        <f>VLOOKUP(A30,'Componentes APUs'!$A$1:$D$14,3,0)</f>
        <v>U</v>
      </c>
      <c r="E30" s="50">
        <f>SUM(C10:C15)</f>
        <v>0</v>
      </c>
      <c r="F30" s="51">
        <f>VLOOKUP(A30,'Componentes APUs'!$A$1:$D$14,4,0)</f>
        <v>8585.8585858585866</v>
      </c>
      <c r="G30" s="51">
        <f>ROUNDUP(F30*(E30/21)/E2,0)</f>
        <v>0</v>
      </c>
      <c r="I30" s="91"/>
    </row>
    <row r="31" spans="1:9" x14ac:dyDescent="0.25">
      <c r="A31" s="69" t="s">
        <v>73</v>
      </c>
      <c r="B31" s="72" t="str">
        <f>VLOOKUP(A31,'Componentes APUs'!$A$1:$D$14,2,0)</f>
        <v>Bota de seguridad dielectrica</v>
      </c>
      <c r="C31" s="73"/>
      <c r="D31" s="70" t="str">
        <f>VLOOKUP(A31,'Componentes APUs'!$A$1:$D$14,3,0)</f>
        <v>Par</v>
      </c>
      <c r="E31" s="50">
        <f>SUM(C10:C15)</f>
        <v>0</v>
      </c>
      <c r="F31" s="51">
        <f>VLOOKUP(A31,'Componentes APUs'!$A$1:$D$14,4,0)</f>
        <v>7500</v>
      </c>
      <c r="G31" s="51">
        <f>ROUNDUP(F31*(E31/21)/E2,0)</f>
        <v>0</v>
      </c>
    </row>
    <row r="32" spans="1:9" ht="15" customHeight="1" x14ac:dyDescent="0.25">
      <c r="A32" s="50" t="s">
        <v>76</v>
      </c>
      <c r="B32" s="72" t="str">
        <f>VLOOKUP(A32,'Componentes APUs'!$A$1:$D$14,2,0)</f>
        <v>Casco dielectrico Tipo 1 Clase E con barbuquejo</v>
      </c>
      <c r="C32" s="73"/>
      <c r="D32" s="50" t="str">
        <f>VLOOKUP(A32,'Componentes APUs'!$A$1:$D$14,3,0)</f>
        <v>U</v>
      </c>
      <c r="E32" s="50">
        <f>C10+C11+C13+C14+C15+IF(A12&lt;&gt;"MO-3",C12,0)</f>
        <v>0</v>
      </c>
      <c r="F32" s="51">
        <f>VLOOKUP(A32,'Componentes APUs'!$A$1:$D$14,4,0)</f>
        <v>10101.010101010101</v>
      </c>
      <c r="G32" s="51">
        <f>ROUNDUP(F32*(E32/21)/E2,0)</f>
        <v>0</v>
      </c>
    </row>
    <row r="33" spans="1:7" x14ac:dyDescent="0.25">
      <c r="A33" s="69" t="s">
        <v>77</v>
      </c>
      <c r="B33" s="72" t="str">
        <f>VLOOKUP(A33,'Componentes APUs'!$A$1:$D$14,2,0)</f>
        <v>Correa plastica y antiflama</v>
      </c>
      <c r="C33" s="73"/>
      <c r="D33" s="50" t="str">
        <f>VLOOKUP(A33,'Componentes APUs'!$A$1:$D$14,3,0)</f>
        <v>U</v>
      </c>
      <c r="E33" s="50">
        <f>SUM(C10:C15)</f>
        <v>0</v>
      </c>
      <c r="F33" s="51">
        <f>VLOOKUP(A33,'Componentes APUs'!$A$1:$D$14,4,0)</f>
        <v>3787.878787878788</v>
      </c>
      <c r="G33" s="51">
        <f>ROUNDUP(F33*(E33/21)/E2,0)</f>
        <v>0</v>
      </c>
    </row>
    <row r="34" spans="1:7" x14ac:dyDescent="0.25">
      <c r="A34" s="50" t="s">
        <v>79</v>
      </c>
      <c r="B34" s="72" t="str">
        <f>VLOOKUP(A34,'Componentes APUs'!$A$1:$D$14,2,0)</f>
        <v>Gafas protectoras filtro UV</v>
      </c>
      <c r="C34" s="73"/>
      <c r="D34" s="50" t="str">
        <f>VLOOKUP(A34,'Componentes APUs'!$A$1:$D$14,3,0)</f>
        <v>U</v>
      </c>
      <c r="E34" s="50">
        <f>SUM(C10:C15)</f>
        <v>0</v>
      </c>
      <c r="F34" s="51">
        <f>VLOOKUP(A34,'Componentes APUs'!$A$1:$D$14,4,0)</f>
        <v>2777.7777777777778</v>
      </c>
      <c r="G34" s="51">
        <f>ROUNDUP(F34*(E34/21)/E2,0)</f>
        <v>0</v>
      </c>
    </row>
    <row r="35" spans="1:7" ht="15" customHeight="1" x14ac:dyDescent="0.25">
      <c r="A35" s="69" t="s">
        <v>402</v>
      </c>
      <c r="B35" s="72" t="str">
        <f>VLOOKUP(A35,'Componentes APUs'!$A$1:$D$14,2,0)</f>
        <v>Bota de seguridad PVC dielectrica</v>
      </c>
      <c r="C35" s="73"/>
      <c r="D35" s="50" t="str">
        <f>VLOOKUP(A35,'Componentes APUs'!$A$1:$D$14,3,0)</f>
        <v>Par</v>
      </c>
      <c r="E35" s="50">
        <f>SUM(C10:C15)</f>
        <v>0</v>
      </c>
      <c r="F35" s="51">
        <f>VLOOKUP(A35,'Componentes APUs'!$A$1:$D$14,4,0)</f>
        <v>2916.6666666666665</v>
      </c>
      <c r="G35" s="51">
        <f>ROUNDUP(F35*(E35/21)/E2,0)</f>
        <v>0</v>
      </c>
    </row>
    <row r="36" spans="1:7" x14ac:dyDescent="0.25">
      <c r="A36" s="50" t="s">
        <v>403</v>
      </c>
      <c r="B36" s="72" t="str">
        <f>VLOOKUP(A36,'Componentes APUs'!$A$1:$D$14,2,0)</f>
        <v>Capuchon</v>
      </c>
      <c r="C36" s="73"/>
      <c r="D36" s="50" t="str">
        <f>VLOOKUP(A36,'Componentes APUs'!$A$1:$D$14,3,0)</f>
        <v>U</v>
      </c>
      <c r="E36" s="50">
        <f>SUM(C10:C15)</f>
        <v>0</v>
      </c>
      <c r="F36" s="51">
        <f>VLOOKUP(A36,'Componentes APUs'!$A$1:$D$14,4,0)</f>
        <v>2525.2525252525252</v>
      </c>
      <c r="G36" s="51">
        <f>ROUNDUP(F36*(E36/21)/E2,0)</f>
        <v>0</v>
      </c>
    </row>
    <row r="37" spans="1:7" ht="15" customHeight="1" x14ac:dyDescent="0.25">
      <c r="A37" s="69" t="s">
        <v>81</v>
      </c>
      <c r="B37" s="72" t="str">
        <f>VLOOKUP(A37,'Componentes APUs'!$A$1:$D$14,2,0)</f>
        <v>Guantes Protectores  - ingeniero reforzados</v>
      </c>
      <c r="C37" s="73"/>
      <c r="D37" s="50" t="str">
        <f>VLOOKUP(A37,'Componentes APUs'!$A$1:$D$14,3,0)</f>
        <v>Par</v>
      </c>
      <c r="E37" s="50">
        <f>C12+C13+C15</f>
        <v>0</v>
      </c>
      <c r="F37" s="51">
        <f>VLOOKUP(A37,'Componentes APUs'!$A$1:$D$14,4,0)</f>
        <v>2525.2525252525252</v>
      </c>
      <c r="G37" s="51">
        <f>ROUNDUP(F37*(E37/21)/E2,0)</f>
        <v>0</v>
      </c>
    </row>
    <row r="38" spans="1:7" x14ac:dyDescent="0.25">
      <c r="A38" s="50" t="s">
        <v>83</v>
      </c>
      <c r="B38" s="72" t="str">
        <f>VLOOKUP(A38,'Componentes APUs'!$A$1:$D$14,2,0)</f>
        <v>Impermeable (pantalon camisa)</v>
      </c>
      <c r="C38" s="73"/>
      <c r="D38" s="50" t="str">
        <f>VLOOKUP(A38,'Componentes APUs'!$A$1:$D$14,3,0)</f>
        <v>U</v>
      </c>
      <c r="E38" s="50">
        <f>SUM(C10:C15)</f>
        <v>0</v>
      </c>
      <c r="F38" s="51">
        <f>VLOOKUP(A38,'Componentes APUs'!$A$1:$D$14,4,0)</f>
        <v>3750</v>
      </c>
      <c r="G38" s="51">
        <f>ROUNDUP(F38*(E38/21)/E2,0)</f>
        <v>0</v>
      </c>
    </row>
    <row r="39" spans="1:7" x14ac:dyDescent="0.25">
      <c r="A39" s="69" t="s">
        <v>85</v>
      </c>
      <c r="B39" s="72" t="str">
        <f>VLOOKUP(A39,'Componentes APUs'!$A$1:$D$14,2,0)</f>
        <v>Jean Dielectrico</v>
      </c>
      <c r="C39" s="73"/>
      <c r="D39" s="50" t="str">
        <f>VLOOKUP(A39,'Componentes APUs'!$A$1:$D$14,3,0)</f>
        <v>U</v>
      </c>
      <c r="E39" s="50">
        <f>SUM(C10:C15)</f>
        <v>0</v>
      </c>
      <c r="F39" s="51">
        <f>VLOOKUP(A39,'Componentes APUs'!$A$1:$D$14,4,0)</f>
        <v>7575.757575757576</v>
      </c>
      <c r="G39" s="51">
        <f>ROUNDUP(F39*(E39/21)/E2,0)</f>
        <v>0</v>
      </c>
    </row>
    <row r="40" spans="1:7" ht="15" customHeight="1" x14ac:dyDescent="0.25">
      <c r="A40" s="50" t="s">
        <v>87</v>
      </c>
      <c r="B40" s="72" t="str">
        <f>VLOOKUP(A40,'Componentes APUs'!$A$1:$D$14,2,0)</f>
        <v>Casco dielectrico Tipo 2 Clase E con barboquejo</v>
      </c>
      <c r="C40" s="73"/>
      <c r="D40" s="50" t="str">
        <f>VLOOKUP(A40,'Componentes APUs'!$A$1:$D$14,3,0)</f>
        <v>U</v>
      </c>
      <c r="E40" s="53">
        <f>IF(A12="MO-3",C12,0)</f>
        <v>0</v>
      </c>
      <c r="F40" s="51">
        <f>VLOOKUP(A40,'Componentes APUs'!$A$1:$D$14,4,0)</f>
        <v>7500</v>
      </c>
      <c r="G40" s="51">
        <f>ROUNDUP(F40*(E40/21)/E2,0)</f>
        <v>0</v>
      </c>
    </row>
    <row r="41" spans="1:7" ht="15" customHeight="1" x14ac:dyDescent="0.25">
      <c r="A41" s="69" t="s">
        <v>89</v>
      </c>
      <c r="B41" s="72" t="str">
        <f>VLOOKUP(A41,'Componentes APUs'!$A$1:$D$14,2,0)</f>
        <v>Kit de rescate para trabajo en alturas</v>
      </c>
      <c r="C41" s="73"/>
      <c r="D41" s="50" t="str">
        <f>VLOOKUP(A41,'Componentes APUs'!$A$1:$D$14,3,0)</f>
        <v>U</v>
      </c>
      <c r="E41" s="50">
        <f>IF(AND(A12="MO-3",C12=2),1,0)</f>
        <v>0</v>
      </c>
      <c r="F41" s="51">
        <f>VLOOKUP(A41,'Componentes APUs'!$A$1:$D$14,4,0)</f>
        <v>37500</v>
      </c>
      <c r="G41" s="51">
        <f>ROUNDUP(F41*(E41/21)/E2,0)</f>
        <v>0</v>
      </c>
    </row>
    <row r="42" spans="1:7" x14ac:dyDescent="0.25">
      <c r="A42" s="50" t="s">
        <v>91</v>
      </c>
      <c r="B42" s="72" t="str">
        <f>VLOOKUP(A42,'Componentes APUs'!$A$1:$D$14,2,0)</f>
        <v>Equipo completo para trabajo en alturas con pretales (Arnes dielectrico, 1 mosqueton de seguridad, tie off dielectrico, eslinga de posicionamiento, juego de pretales)</v>
      </c>
      <c r="C42" s="73"/>
      <c r="D42" s="50" t="str">
        <f>VLOOKUP(A42,'Componentes APUs'!$A$1:$D$14,3,0)</f>
        <v>U</v>
      </c>
      <c r="E42" s="50">
        <f>IF(A12="MO-3",C12,0)</f>
        <v>0</v>
      </c>
      <c r="F42" s="51">
        <f>VLOOKUP(A42,'Componentes APUs'!$A$1:$D$14,4,0)</f>
        <v>26041.666666666668</v>
      </c>
      <c r="G42" s="51">
        <f>ROUNDUP(F42*(E42/21)/E2,0)</f>
        <v>0</v>
      </c>
    </row>
    <row r="43" spans="1:7" x14ac:dyDescent="0.25">
      <c r="A43" s="219" t="s">
        <v>95</v>
      </c>
      <c r="B43" s="219"/>
      <c r="C43" s="219"/>
      <c r="D43" s="219"/>
      <c r="E43" s="219"/>
      <c r="F43" s="219"/>
      <c r="G43" s="52">
        <f>SUM(G30:G42)</f>
        <v>0</v>
      </c>
    </row>
    <row r="44" spans="1:7" x14ac:dyDescent="0.25">
      <c r="A44" s="56"/>
      <c r="B44" s="57"/>
      <c r="C44" s="57"/>
      <c r="D44" s="57"/>
      <c r="E44" s="57"/>
      <c r="F44" s="57"/>
      <c r="G44" s="58"/>
    </row>
    <row r="45" spans="1:7" x14ac:dyDescent="0.25">
      <c r="A45" s="219" t="s">
        <v>96</v>
      </c>
      <c r="B45" s="219"/>
      <c r="C45" s="219"/>
      <c r="D45" s="219"/>
      <c r="E45" s="219"/>
      <c r="F45" s="219"/>
      <c r="G45" s="219"/>
    </row>
    <row r="46" spans="1:7" x14ac:dyDescent="0.25">
      <c r="A46" s="49" t="s">
        <v>35</v>
      </c>
      <c r="B46" s="225" t="s">
        <v>36</v>
      </c>
      <c r="C46" s="225"/>
      <c r="D46" s="49" t="s">
        <v>37</v>
      </c>
      <c r="E46" s="49" t="s">
        <v>38</v>
      </c>
      <c r="F46" s="49" t="s">
        <v>39</v>
      </c>
      <c r="G46" s="49" t="s">
        <v>40</v>
      </c>
    </row>
    <row r="47" spans="1:7" x14ac:dyDescent="0.25">
      <c r="A47" s="69" t="s">
        <v>97</v>
      </c>
      <c r="B47" s="72" t="str">
        <f>VLOOKUP(A47,'Componentes APUs'!$N$1:$Q$30,2,0)</f>
        <v>Camioneta</v>
      </c>
      <c r="C47" s="73"/>
      <c r="D47" s="70" t="str">
        <f>VLOOKUP(A47,'Componentes APUs'!$N$1:$Q$30,3,0)</f>
        <v>U</v>
      </c>
      <c r="E47" s="50">
        <v>0</v>
      </c>
      <c r="F47" s="51">
        <f>VLOOKUP(A47,'Componentes APUs'!$N$1:$Q$30,4,0)</f>
        <v>5500000</v>
      </c>
      <c r="G47" s="51">
        <f>IFERROR(ROUNDUP(F47*(E47/21)/E2,0),"-")</f>
        <v>0</v>
      </c>
    </row>
    <row r="48" spans="1:7" x14ac:dyDescent="0.25">
      <c r="A48" s="50" t="s">
        <v>1391</v>
      </c>
      <c r="B48" s="72" t="str">
        <f>VLOOKUP(A48,'Componentes APUs'!$N$1:$Q$30,2,0)</f>
        <v>Rodillo Ligero</v>
      </c>
      <c r="C48" s="73"/>
      <c r="D48" s="70" t="str">
        <f>VLOOKUP(A48,'Componentes APUs'!$N$1:$Q$30,3,0)</f>
        <v>U</v>
      </c>
      <c r="E48" s="50">
        <v>0</v>
      </c>
      <c r="F48" s="51">
        <f>VLOOKUP(A48,'Componentes APUs'!$N$1:$Q$30,4,0)</f>
        <v>1675800</v>
      </c>
      <c r="G48" s="51">
        <f>IFERROR(ROUNDUP(F48*(E48/21)/E2,0),"-")</f>
        <v>0</v>
      </c>
    </row>
    <row r="49" spans="1:7" x14ac:dyDescent="0.25">
      <c r="A49" s="50" t="s">
        <v>1392</v>
      </c>
      <c r="B49" s="72" t="str">
        <f>VLOOKUP(A49,'Componentes APUs'!$N$1:$Q$30,2,0)</f>
        <v>Motocultor</v>
      </c>
      <c r="C49" s="73"/>
      <c r="D49" s="70" t="str">
        <f>VLOOKUP(A49,'Componentes APUs'!$N$1:$Q$30,3,0)</f>
        <v>U</v>
      </c>
      <c r="E49" s="50">
        <v>0</v>
      </c>
      <c r="F49" s="51">
        <f>VLOOKUP(A49,'Componentes APUs'!$N$1:$Q$30,4,0)</f>
        <v>1292760</v>
      </c>
      <c r="G49" s="51">
        <f>IFERROR(ROUNDUP(F49*(E49/21)/E2,0),"-")</f>
        <v>0</v>
      </c>
    </row>
    <row r="50" spans="1:7" x14ac:dyDescent="0.25">
      <c r="A50" s="50" t="s">
        <v>323</v>
      </c>
      <c r="B50" s="72" t="str">
        <f>VLOOKUP(A50,'Componentes APUs'!$N$1:$Q$30,2,0)</f>
        <v>Volqueta</v>
      </c>
      <c r="C50" s="73"/>
      <c r="D50" s="70" t="str">
        <f>VLOOKUP(A50,'Componentes APUs'!$N$1:$Q$30,3,0)</f>
        <v>U</v>
      </c>
      <c r="E50" s="50">
        <v>0</v>
      </c>
      <c r="F50" s="51">
        <f>VLOOKUP(A50,'Componentes APUs'!$N$1:$Q$30,4,0)</f>
        <v>14828184</v>
      </c>
      <c r="G50" s="51">
        <f>IFERROR(ROUNDUP(F50*(E50/21)/E2,0),"-")</f>
        <v>0</v>
      </c>
    </row>
    <row r="51" spans="1:7" x14ac:dyDescent="0.25">
      <c r="A51" s="69" t="s">
        <v>324</v>
      </c>
      <c r="B51" s="72" t="str">
        <f>VLOOKUP(A51,'Componentes APUs'!$N$1:$Q$30,2,0)</f>
        <v>Retroexcavadora</v>
      </c>
      <c r="C51" s="73"/>
      <c r="D51" s="70" t="str">
        <f>VLOOKUP(A51,'Componentes APUs'!$N$1:$Q$30,3,0)</f>
        <v>U</v>
      </c>
      <c r="E51" s="50">
        <v>0</v>
      </c>
      <c r="F51" s="51">
        <f>VLOOKUP(A51,'Componentes APUs'!$N$1:$Q$30,4,0)</f>
        <v>46030656</v>
      </c>
      <c r="G51" s="51">
        <f>IFERROR(ROUNDUP(F51*(E51/21)/E2,0),"-")</f>
        <v>0</v>
      </c>
    </row>
    <row r="52" spans="1:7" x14ac:dyDescent="0.25">
      <c r="A52" s="219" t="s">
        <v>99</v>
      </c>
      <c r="B52" s="219"/>
      <c r="C52" s="219"/>
      <c r="D52" s="219"/>
      <c r="E52" s="219"/>
      <c r="F52" s="219"/>
      <c r="G52" s="52">
        <f>SUM(G47:G51)</f>
        <v>0</v>
      </c>
    </row>
    <row r="53" spans="1:7" x14ac:dyDescent="0.25">
      <c r="A53" s="56"/>
      <c r="B53" s="57"/>
      <c r="C53" s="57"/>
      <c r="D53" s="57"/>
      <c r="E53" s="57"/>
      <c r="F53" s="57"/>
      <c r="G53" s="58"/>
    </row>
    <row r="54" spans="1:7" x14ac:dyDescent="0.25">
      <c r="A54" s="219" t="s">
        <v>1516</v>
      </c>
      <c r="B54" s="219"/>
      <c r="C54" s="219"/>
      <c r="D54" s="219"/>
      <c r="E54" s="219"/>
      <c r="F54" s="219"/>
      <c r="G54" s="52">
        <f>G52+G43+G26+G16+G6</f>
        <v>20800000</v>
      </c>
    </row>
    <row r="55" spans="1:7" x14ac:dyDescent="0.25">
      <c r="A55" s="59"/>
      <c r="B55" s="60"/>
      <c r="C55" s="60"/>
      <c r="D55" s="60"/>
      <c r="E55" s="57"/>
      <c r="F55" s="57"/>
      <c r="G55" s="58"/>
    </row>
    <row r="56" spans="1:7" x14ac:dyDescent="0.25">
      <c r="A56" s="64"/>
      <c r="D56" s="55"/>
      <c r="E56" s="49" t="s">
        <v>25</v>
      </c>
      <c r="F56" s="54">
        <v>0.15</v>
      </c>
      <c r="G56" s="51">
        <f>G54*F56</f>
        <v>3120000</v>
      </c>
    </row>
    <row r="57" spans="1:7" x14ac:dyDescent="0.25">
      <c r="A57" s="64"/>
      <c r="D57" s="55"/>
      <c r="E57" s="49" t="s">
        <v>26</v>
      </c>
      <c r="F57" s="54">
        <v>0.05</v>
      </c>
      <c r="G57" s="51">
        <f>G54*F57</f>
        <v>1040000</v>
      </c>
    </row>
    <row r="58" spans="1:7" x14ac:dyDescent="0.25">
      <c r="A58" s="61"/>
      <c r="B58" s="65"/>
      <c r="C58" s="65"/>
      <c r="D58" s="62"/>
      <c r="E58" s="49" t="s">
        <v>27</v>
      </c>
      <c r="F58" s="54">
        <v>0.05</v>
      </c>
      <c r="G58" s="51">
        <f>G54*F58</f>
        <v>1040000</v>
      </c>
    </row>
    <row r="59" spans="1:7" x14ac:dyDescent="0.25">
      <c r="A59" s="61"/>
      <c r="B59" s="62"/>
      <c r="C59" s="62"/>
      <c r="D59" s="62"/>
      <c r="E59" s="62"/>
      <c r="F59" s="62"/>
      <c r="G59" s="63"/>
    </row>
    <row r="60" spans="1:7" x14ac:dyDescent="0.25">
      <c r="A60" s="219" t="s">
        <v>1517</v>
      </c>
      <c r="B60" s="219"/>
      <c r="C60" s="219"/>
      <c r="D60" s="219"/>
      <c r="E60" s="219"/>
      <c r="F60" s="219"/>
      <c r="G60" s="52">
        <f>G54+G56+G57+G58</f>
        <v>26000000</v>
      </c>
    </row>
    <row r="61" spans="1:7" x14ac:dyDescent="0.25">
      <c r="A61" s="59"/>
      <c r="B61" s="60"/>
      <c r="C61" s="60"/>
      <c r="D61" s="60"/>
      <c r="E61" s="57"/>
      <c r="F61" s="57"/>
      <c r="G61" s="58"/>
    </row>
    <row r="62" spans="1:7" x14ac:dyDescent="0.25">
      <c r="A62" s="64"/>
      <c r="D62" s="55"/>
      <c r="E62" s="49" t="s">
        <v>102</v>
      </c>
      <c r="F62" s="49" t="s">
        <v>103</v>
      </c>
      <c r="G62" s="51">
        <f>G58*19%</f>
        <v>197600</v>
      </c>
    </row>
    <row r="63" spans="1:7" x14ac:dyDescent="0.25">
      <c r="A63" s="61"/>
      <c r="B63" s="62"/>
      <c r="C63" s="62"/>
      <c r="D63" s="62"/>
      <c r="E63" s="57"/>
      <c r="F63" s="57"/>
      <c r="G63" s="58"/>
    </row>
    <row r="64" spans="1:7" x14ac:dyDescent="0.25">
      <c r="A64" s="219" t="s">
        <v>104</v>
      </c>
      <c r="B64" s="219"/>
      <c r="C64" s="219"/>
      <c r="D64" s="219"/>
      <c r="E64" s="219"/>
      <c r="F64" s="219"/>
      <c r="G64" s="52">
        <f>G62+G60</f>
        <v>26197600</v>
      </c>
    </row>
    <row r="66" spans="1:8" x14ac:dyDescent="0.25">
      <c r="A66" s="74" t="s">
        <v>29</v>
      </c>
      <c r="B66" s="226" t="s">
        <v>30</v>
      </c>
      <c r="C66" s="226"/>
      <c r="D66" s="74" t="s">
        <v>31</v>
      </c>
      <c r="E66" s="74" t="s">
        <v>32</v>
      </c>
      <c r="F66" s="74" t="s">
        <v>189</v>
      </c>
      <c r="G66" s="74" t="s">
        <v>33</v>
      </c>
    </row>
    <row r="67" spans="1:8" x14ac:dyDescent="0.25">
      <c r="A67" s="50" t="str">
        <f>Presupuesto!B7</f>
        <v>002_OC</v>
      </c>
      <c r="B67" s="229" t="str">
        <f>Presupuesto!C7</f>
        <v>LIMPIEZA DE LOTE, PARA QUITAR MALEZA Y PODAR CÉSPED</v>
      </c>
      <c r="C67" s="230"/>
      <c r="D67" s="50" t="s">
        <v>113</v>
      </c>
      <c r="E67" s="102">
        <v>300</v>
      </c>
      <c r="F67" s="50"/>
      <c r="G67" s="51">
        <f>G135</f>
        <v>44151.772499999999</v>
      </c>
      <c r="H67" s="45"/>
    </row>
    <row r="68" spans="1:8" x14ac:dyDescent="0.25">
      <c r="A68" s="219" t="s">
        <v>34</v>
      </c>
      <c r="B68" s="219"/>
      <c r="C68" s="219"/>
      <c r="D68" s="219"/>
      <c r="E68" s="219"/>
      <c r="F68" s="219"/>
      <c r="G68" s="219"/>
    </row>
    <row r="69" spans="1:8" x14ac:dyDescent="0.25">
      <c r="A69" s="49" t="s">
        <v>35</v>
      </c>
      <c r="B69" s="219" t="s">
        <v>36</v>
      </c>
      <c r="C69" s="219"/>
      <c r="D69" s="49" t="s">
        <v>37</v>
      </c>
      <c r="E69" s="49" t="s">
        <v>38</v>
      </c>
      <c r="F69" s="49" t="s">
        <v>39</v>
      </c>
      <c r="G69" s="49" t="s">
        <v>40</v>
      </c>
    </row>
    <row r="70" spans="1:8" x14ac:dyDescent="0.25">
      <c r="A70" s="50" t="str">
        <f>Material!A647</f>
        <v>MA-646</v>
      </c>
      <c r="B70" s="72" t="str">
        <f>IFERROR(VLOOKUP(A70,Material!$A:$H,2,0),"-")</f>
        <v xml:space="preserve">DISOLVENTE ESMALTE </v>
      </c>
      <c r="C70" s="76"/>
      <c r="D70" s="50" t="str">
        <f>IFERROR(VLOOKUP(A70,Material!$A:$H,4,0),"-")</f>
        <v>LT</v>
      </c>
      <c r="E70" s="50">
        <v>1</v>
      </c>
      <c r="F70" s="51">
        <f>IFERROR(VLOOKUP(A70,Material!$A:$H,3,0),"-")</f>
        <v>33081.1</v>
      </c>
      <c r="G70" s="51">
        <f>IFERROR(ROUNDUP(F70*E70,0),"-")</f>
        <v>33082</v>
      </c>
    </row>
    <row r="71" spans="1:8" x14ac:dyDescent="0.25">
      <c r="A71" s="50"/>
      <c r="B71" s="72" t="str">
        <f>IFERROR(VLOOKUP(A71,Material!$A:$H,2,0),"-")</f>
        <v>-</v>
      </c>
      <c r="C71" s="76"/>
      <c r="D71" s="50" t="str">
        <f>IFERROR(VLOOKUP(A71,Material!$A:$H,4,0),"-")</f>
        <v>-</v>
      </c>
      <c r="E71" s="50"/>
      <c r="F71" s="51" t="str">
        <f>IFERROR(VLOOKUP(A71,Material!$A:$H,3,0),"-")</f>
        <v>-</v>
      </c>
      <c r="G71" s="51" t="str">
        <f>IFERROR(ROUNDUP(F71*E71,0),"-")</f>
        <v>-</v>
      </c>
    </row>
    <row r="72" spans="1:8" x14ac:dyDescent="0.25">
      <c r="A72" s="50"/>
      <c r="B72" s="72" t="str">
        <f>IFERROR(VLOOKUP(A72,Material!$A:$H,2,0),"-")</f>
        <v>-</v>
      </c>
      <c r="C72" s="76"/>
      <c r="D72" s="50" t="str">
        <f>IFERROR(VLOOKUP(A72,Material!$A:$H,4,0),"-")</f>
        <v>-</v>
      </c>
      <c r="E72" s="50"/>
      <c r="F72" s="51" t="str">
        <f>IFERROR(VLOOKUP(A72,Material!$A:$H,3,0),"-")</f>
        <v>-</v>
      </c>
      <c r="G72" s="51" t="str">
        <f>IFERROR(ROUNDUP(F72*E72,0),"-")</f>
        <v>-</v>
      </c>
    </row>
    <row r="73" spans="1:8" x14ac:dyDescent="0.25">
      <c r="A73" s="50"/>
      <c r="B73" s="72" t="str">
        <f>IFERROR(VLOOKUP(A73,Material!$A:$H,2,0),"-")</f>
        <v>-</v>
      </c>
      <c r="C73" s="76"/>
      <c r="D73" s="50" t="str">
        <f>IFERROR(VLOOKUP(A73,Material!$A:$H,4,0),"-")</f>
        <v>-</v>
      </c>
      <c r="E73" s="50"/>
      <c r="F73" s="51" t="str">
        <f>IFERROR(VLOOKUP(A73,Material!$A:$H,3,0),"-")</f>
        <v>-</v>
      </c>
      <c r="G73" s="51" t="str">
        <f>IFERROR(ROUNDUP(F73*E73,0),"-")</f>
        <v>-</v>
      </c>
    </row>
    <row r="74" spans="1:8" x14ac:dyDescent="0.25">
      <c r="A74" s="50"/>
      <c r="B74" s="72"/>
      <c r="C74" s="76"/>
      <c r="D74" s="50"/>
      <c r="E74" s="50"/>
      <c r="F74" s="51"/>
      <c r="G74" s="51"/>
    </row>
    <row r="75" spans="1:8" x14ac:dyDescent="0.25">
      <c r="A75" s="50"/>
      <c r="B75" s="72"/>
      <c r="C75" s="76"/>
      <c r="D75" s="50"/>
      <c r="E75" s="50"/>
      <c r="F75" s="51"/>
      <c r="G75" s="51"/>
    </row>
    <row r="76" spans="1:8" x14ac:dyDescent="0.25">
      <c r="A76" s="50"/>
      <c r="B76" s="72"/>
      <c r="C76" s="76"/>
      <c r="D76" s="50"/>
      <c r="E76" s="50"/>
      <c r="F76" s="51"/>
      <c r="G76" s="51"/>
      <c r="H76" s="92"/>
    </row>
    <row r="77" spans="1:8" x14ac:dyDescent="0.25">
      <c r="A77" s="219" t="s">
        <v>41</v>
      </c>
      <c r="B77" s="219"/>
      <c r="C77" s="219"/>
      <c r="D77" s="219"/>
      <c r="E77" s="219"/>
      <c r="F77" s="219"/>
      <c r="G77" s="52">
        <f>SUM(G70:G76)</f>
        <v>33082</v>
      </c>
    </row>
    <row r="78" spans="1:8" x14ac:dyDescent="0.25">
      <c r="A78" s="56"/>
      <c r="B78" s="57"/>
      <c r="C78" s="57"/>
      <c r="D78" s="57"/>
      <c r="E78" s="57"/>
      <c r="F78" s="57"/>
      <c r="G78" s="58"/>
    </row>
    <row r="79" spans="1:8" x14ac:dyDescent="0.25">
      <c r="A79" s="219" t="s">
        <v>42</v>
      </c>
      <c r="B79" s="219"/>
      <c r="C79" s="219"/>
      <c r="D79" s="219"/>
      <c r="E79" s="219"/>
      <c r="F79" s="219"/>
      <c r="G79" s="219"/>
    </row>
    <row r="80" spans="1:8" x14ac:dyDescent="0.25">
      <c r="A80" s="49" t="s">
        <v>35</v>
      </c>
      <c r="B80" s="49" t="s">
        <v>36</v>
      </c>
      <c r="C80" s="49" t="s">
        <v>38</v>
      </c>
      <c r="D80" s="49" t="s">
        <v>43</v>
      </c>
      <c r="E80" s="49" t="s">
        <v>44</v>
      </c>
      <c r="F80" s="49" t="s">
        <v>45</v>
      </c>
      <c r="G80" s="49" t="s">
        <v>40</v>
      </c>
    </row>
    <row r="81" spans="1:9" x14ac:dyDescent="0.25">
      <c r="A81" s="50" t="s">
        <v>319</v>
      </c>
      <c r="B81" s="68" t="str">
        <f>VLOOKUP(A81,'Componentes APUs'!$H$1:$L$25,2,0)</f>
        <v>Ingeniero Residente de Obra</v>
      </c>
      <c r="C81" s="93">
        <v>0</v>
      </c>
      <c r="D81" s="50">
        <f>VLOOKUP(A81,'Componentes APUs'!$H$1:$L$25,3,0)</f>
        <v>4</v>
      </c>
      <c r="E81" s="51">
        <f>VLOOKUP(A81,'Componentes APUs'!$H$1:$L$25,4,0)</f>
        <v>271142.85714285716</v>
      </c>
      <c r="F81" s="51">
        <f>VLOOKUP(A81,'Componentes APUs'!$H$1:$L$25,5,0)</f>
        <v>162685.71428571429</v>
      </c>
      <c r="G81" s="51">
        <f>ROUNDUP((E81+F81)*C81/E67,0)</f>
        <v>0</v>
      </c>
      <c r="H81" s="66"/>
    </row>
    <row r="82" spans="1:9" x14ac:dyDescent="0.25">
      <c r="A82" s="50" t="s">
        <v>46</v>
      </c>
      <c r="B82" s="68" t="str">
        <f>VLOOKUP(A82,'Componentes APUs'!$H$1:$L$25,2,0)</f>
        <v>Tecnico Liniero</v>
      </c>
      <c r="C82" s="93">
        <v>0</v>
      </c>
      <c r="D82" s="50">
        <f>VLOOKUP(A82,'Componentes APUs'!$H$1:$L$25,3,0)</f>
        <v>2</v>
      </c>
      <c r="E82" s="51">
        <f>VLOOKUP(A82,'Componentes APUs'!$H$1:$L$25,4,0)</f>
        <v>154619.04761904763</v>
      </c>
      <c r="F82" s="51">
        <f>VLOOKUP(A82,'Componentes APUs'!$H$1:$L$25,5,0)</f>
        <v>92771.42857142858</v>
      </c>
      <c r="G82" s="51">
        <f>ROUNDUP((E82+F82)*C82/E67,0)</f>
        <v>0</v>
      </c>
    </row>
    <row r="83" spans="1:9" x14ac:dyDescent="0.25">
      <c r="A83" s="50" t="s">
        <v>54</v>
      </c>
      <c r="B83" s="68" t="str">
        <f>VLOOKUP(A83,'Componentes APUs'!$H$1:$L$25,2,0)</f>
        <v>Maestro de obra civil</v>
      </c>
      <c r="C83" s="93">
        <v>0</v>
      </c>
      <c r="D83" s="50">
        <f>VLOOKUP(A83,'Componentes APUs'!$H$1:$L$25,3,0)</f>
        <v>2.5</v>
      </c>
      <c r="E83" s="51">
        <f>VLOOKUP(A83,'Componentes APUs'!$H$1:$L$25,4,0)</f>
        <v>169464.28571428571</v>
      </c>
      <c r="F83" s="51">
        <f>VLOOKUP(A83,'Componentes APUs'!$H$1:$L$25,5,0)</f>
        <v>101678.57142857142</v>
      </c>
      <c r="G83" s="51">
        <f>ROUNDUP((E83+F83)*C83/E67,0)</f>
        <v>0</v>
      </c>
    </row>
    <row r="84" spans="1:9" x14ac:dyDescent="0.25">
      <c r="A84" s="50" t="s">
        <v>1110</v>
      </c>
      <c r="B84" s="68" t="str">
        <f>VLOOKUP(A84,'Componentes APUs'!$H$1:$L$25,2,0)</f>
        <v>Oficial de Obra Civil</v>
      </c>
      <c r="C84" s="93">
        <v>0</v>
      </c>
      <c r="D84" s="50">
        <f>VLOOKUP(A84,'Componentes APUs'!$H$1:$L$25,3,0)</f>
        <v>1.5</v>
      </c>
      <c r="E84" s="51">
        <f>VLOOKUP(A84,'Componentes APUs'!$H$1:$L$25,4,0)</f>
        <v>115964.28571428571</v>
      </c>
      <c r="F84" s="51">
        <f>VLOOKUP(A84,'Componentes APUs'!$H$1:$L$25,5,0)</f>
        <v>69578.57142857142</v>
      </c>
      <c r="G84" s="51">
        <f>ROUNDUP((E84+F84)*C84/E67,0)</f>
        <v>0</v>
      </c>
    </row>
    <row r="85" spans="1:9" x14ac:dyDescent="0.25">
      <c r="A85" s="50" t="s">
        <v>50</v>
      </c>
      <c r="B85" s="68" t="str">
        <f>VLOOKUP(A85,'Componentes APUs'!$H$1:$L$25,2,0)</f>
        <v>Profesional en SST</v>
      </c>
      <c r="C85" s="93">
        <v>0.25</v>
      </c>
      <c r="D85" s="50">
        <f>VLOOKUP(A85,'Componentes APUs'!$H$1:$L$25,3,0)</f>
        <v>2.5</v>
      </c>
      <c r="E85" s="51">
        <f>VLOOKUP(A85,'Componentes APUs'!$H$1:$L$25,4,0)</f>
        <v>169464.28571428571</v>
      </c>
      <c r="F85" s="51">
        <f>VLOOKUP(A85,'Componentes APUs'!$H$1:$L$25,5,0)</f>
        <v>101678.57142857142</v>
      </c>
      <c r="G85" s="51">
        <f>ROUNDUP((E85+F85)*C85/E67,0)</f>
        <v>226</v>
      </c>
    </row>
    <row r="86" spans="1:9" x14ac:dyDescent="0.25">
      <c r="A86" s="50" t="s">
        <v>52</v>
      </c>
      <c r="B86" s="68" t="str">
        <f>VLOOKUP(A86,'Componentes APUs'!$H$1:$L$25,2,0)</f>
        <v>Ayudante No Calificado</v>
      </c>
      <c r="C86" s="93">
        <v>2</v>
      </c>
      <c r="D86" s="50">
        <f>VLOOKUP(A86,'Componentes APUs'!$H$1:$L$25,3,0)</f>
        <v>1</v>
      </c>
      <c r="E86" s="51">
        <f>VLOOKUP(A86,'Componentes APUs'!$H$1:$L$25,4,0)</f>
        <v>77309.523809523816</v>
      </c>
      <c r="F86" s="51">
        <f>VLOOKUP(A86,'Componentes APUs'!$H$1:$L$25,5,0)</f>
        <v>46385.71428571429</v>
      </c>
      <c r="G86" s="51">
        <f>ROUNDUP((E86+F86)*C86/E67,0)</f>
        <v>825</v>
      </c>
    </row>
    <row r="87" spans="1:9" x14ac:dyDescent="0.25">
      <c r="A87" s="219" t="s">
        <v>56</v>
      </c>
      <c r="B87" s="219"/>
      <c r="C87" s="219"/>
      <c r="D87" s="219"/>
      <c r="E87" s="219"/>
      <c r="F87" s="219"/>
      <c r="G87" s="52">
        <f>SUM(G81:G86)</f>
        <v>1051</v>
      </c>
    </row>
    <row r="88" spans="1:9" x14ac:dyDescent="0.25">
      <c r="A88" s="56"/>
      <c r="B88" s="57"/>
      <c r="C88" s="57"/>
      <c r="D88" s="57"/>
      <c r="E88" s="57"/>
      <c r="F88" s="57"/>
      <c r="G88" s="58"/>
    </row>
    <row r="89" spans="1:9" x14ac:dyDescent="0.25">
      <c r="A89" s="219" t="s">
        <v>57</v>
      </c>
      <c r="B89" s="219"/>
      <c r="C89" s="219"/>
      <c r="D89" s="219"/>
      <c r="E89" s="219"/>
      <c r="F89" s="219"/>
      <c r="G89" s="219"/>
    </row>
    <row r="90" spans="1:9" x14ac:dyDescent="0.25">
      <c r="A90" s="49" t="s">
        <v>35</v>
      </c>
      <c r="B90" s="219" t="s">
        <v>36</v>
      </c>
      <c r="C90" s="219"/>
      <c r="D90" s="49" t="s">
        <v>37</v>
      </c>
      <c r="E90" s="49" t="s">
        <v>38</v>
      </c>
      <c r="F90" s="49" t="s">
        <v>39</v>
      </c>
      <c r="G90" s="49" t="s">
        <v>40</v>
      </c>
    </row>
    <row r="91" spans="1:9" x14ac:dyDescent="0.25">
      <c r="A91" s="50" t="s">
        <v>326</v>
      </c>
      <c r="B91" s="220" t="str">
        <f>VLOOKUP(A91,'Componentes APUs'!$S$1:$V$10,2,0)</f>
        <v>Juego Llaves</v>
      </c>
      <c r="C91" s="220"/>
      <c r="D91" s="50" t="s">
        <v>18</v>
      </c>
      <c r="E91" s="50">
        <v>0</v>
      </c>
      <c r="F91" s="51">
        <f>VLOOKUP(A91,'Componentes APUs'!$S$1:$V$10,4,0)</f>
        <v>9167</v>
      </c>
      <c r="G91" s="51">
        <f>ROUNDUP(F91*((E91/21)/E67),0)</f>
        <v>0</v>
      </c>
      <c r="I91" s="91"/>
    </row>
    <row r="92" spans="1:9" x14ac:dyDescent="0.25">
      <c r="A92" s="50" t="s">
        <v>58</v>
      </c>
      <c r="B92" s="220" t="str">
        <f>VLOOKUP(A92,'Componentes APUs'!$S$1:$V$10,2,0)</f>
        <v>Manila de servicio</v>
      </c>
      <c r="C92" s="220"/>
      <c r="D92" s="50" t="s">
        <v>18</v>
      </c>
      <c r="E92" s="50">
        <v>0</v>
      </c>
      <c r="F92" s="51">
        <f>VLOOKUP(A92,'Componentes APUs'!$S$1:$V$10,4,0)</f>
        <v>2333</v>
      </c>
      <c r="G92" s="51">
        <f>ROUNDUP(F92*((E92/21)/E67),0)</f>
        <v>0</v>
      </c>
    </row>
    <row r="93" spans="1:9" x14ac:dyDescent="0.25">
      <c r="A93" s="50" t="s">
        <v>327</v>
      </c>
      <c r="B93" s="220" t="str">
        <f>VLOOKUP(A93,'Componentes APUs'!$S$1:$V$10,2,0)</f>
        <v>Tula portaherramientas</v>
      </c>
      <c r="C93" s="220"/>
      <c r="D93" s="50" t="s">
        <v>18</v>
      </c>
      <c r="E93" s="50">
        <v>0</v>
      </c>
      <c r="F93" s="51">
        <f>VLOOKUP(A93,'Componentes APUs'!$S$1:$V$10,4,0)</f>
        <v>1250</v>
      </c>
      <c r="G93" s="51">
        <f>ROUNDUP(F93*((E93/21)/E67),0)</f>
        <v>0</v>
      </c>
    </row>
    <row r="94" spans="1:9" x14ac:dyDescent="0.25">
      <c r="A94" s="50" t="s">
        <v>60</v>
      </c>
      <c r="B94" s="220" t="str">
        <f>VLOOKUP(A94,'Componentes APUs'!$S$1:$V$10,2,0)</f>
        <v>Agarradoras</v>
      </c>
      <c r="C94" s="220"/>
      <c r="D94" s="50" t="s">
        <v>18</v>
      </c>
      <c r="E94" s="50">
        <v>0</v>
      </c>
      <c r="F94" s="51">
        <f>VLOOKUP(A94,'Componentes APUs'!$S$1:$V$10,4,0)</f>
        <v>125000</v>
      </c>
      <c r="G94" s="51">
        <f>ROUNDUP(F94*((E94/21)/E67),0)</f>
        <v>0</v>
      </c>
    </row>
    <row r="95" spans="1:9" x14ac:dyDescent="0.25">
      <c r="A95" s="50" t="s">
        <v>62</v>
      </c>
      <c r="B95" s="220" t="str">
        <f>VLOOKUP(A95,'Componentes APUs'!$S$1:$V$10,2,0)</f>
        <v>Templadoras</v>
      </c>
      <c r="C95" s="220"/>
      <c r="D95" s="50" t="s">
        <v>18</v>
      </c>
      <c r="E95" s="50">
        <v>0</v>
      </c>
      <c r="F95" s="51">
        <f>VLOOKUP(A95,'Componentes APUs'!$S$1:$V$10,4,0)</f>
        <v>250000</v>
      </c>
      <c r="G95" s="51">
        <f>ROUNDUP(F95*((E95/21)/E67),0)</f>
        <v>0</v>
      </c>
    </row>
    <row r="96" spans="1:9" x14ac:dyDescent="0.25">
      <c r="A96" s="50" t="s">
        <v>328</v>
      </c>
      <c r="B96" s="220" t="str">
        <f>VLOOKUP(A96,'Componentes APUs'!$S$1:$V$10,2,0)</f>
        <v>Herramienta Menor</v>
      </c>
      <c r="C96" s="220"/>
      <c r="D96" s="50" t="s">
        <v>18</v>
      </c>
      <c r="E96" s="50">
        <v>2</v>
      </c>
      <c r="F96" s="51">
        <f>VLOOKUP(A96,'Componentes APUs'!$S$1:$V$10,4,0)</f>
        <v>75758</v>
      </c>
      <c r="G96" s="51">
        <f>ROUNDUP(F96*((E96/21)/E67),0)</f>
        <v>25</v>
      </c>
    </row>
    <row r="97" spans="1:9" x14ac:dyDescent="0.25">
      <c r="A97" s="219" t="s">
        <v>69</v>
      </c>
      <c r="B97" s="219"/>
      <c r="C97" s="219"/>
      <c r="D97" s="219"/>
      <c r="E97" s="219"/>
      <c r="F97" s="219"/>
      <c r="G97" s="52">
        <f>SUM(G91:G96)</f>
        <v>25</v>
      </c>
    </row>
    <row r="98" spans="1:9" x14ac:dyDescent="0.25">
      <c r="A98" s="56"/>
      <c r="B98" s="57"/>
      <c r="C98" s="57"/>
      <c r="D98" s="57"/>
      <c r="E98" s="57"/>
      <c r="F98" s="57"/>
      <c r="G98" s="58"/>
    </row>
    <row r="99" spans="1:9" x14ac:dyDescent="0.25">
      <c r="A99" s="219" t="s">
        <v>70</v>
      </c>
      <c r="B99" s="219"/>
      <c r="C99" s="219"/>
      <c r="D99" s="219"/>
      <c r="E99" s="219"/>
      <c r="F99" s="219"/>
      <c r="G99" s="219"/>
    </row>
    <row r="100" spans="1:9" x14ac:dyDescent="0.25">
      <c r="A100" s="49" t="s">
        <v>35</v>
      </c>
      <c r="B100" s="219" t="s">
        <v>36</v>
      </c>
      <c r="C100" s="219"/>
      <c r="D100" s="49" t="s">
        <v>37</v>
      </c>
      <c r="E100" s="49" t="s">
        <v>38</v>
      </c>
      <c r="F100" s="49" t="s">
        <v>39</v>
      </c>
      <c r="G100" s="49" t="s">
        <v>40</v>
      </c>
    </row>
    <row r="101" spans="1:9" ht="15" customHeight="1" x14ac:dyDescent="0.25">
      <c r="A101" s="50" t="s">
        <v>71</v>
      </c>
      <c r="B101" s="71" t="str">
        <f>VLOOKUP(A101,'Componentes APUs'!$A$1:$D$14,2,0)</f>
        <v>Camisa indigo sin partes metalicas</v>
      </c>
      <c r="C101" s="71"/>
      <c r="D101" s="50" t="str">
        <f>VLOOKUP(A101,'Componentes APUs'!$A$1:$D$14,3,0)</f>
        <v>U</v>
      </c>
      <c r="E101" s="50">
        <f>SUM(C81:C86)</f>
        <v>2.25</v>
      </c>
      <c r="F101" s="51">
        <f>VLOOKUP(A101,'Componentes APUs'!$A$1:$D$14,4,0)</f>
        <v>8585.8585858585866</v>
      </c>
      <c r="G101" s="51">
        <f>ROUNDUP(F101*(E101/21)/E67,0)</f>
        <v>4</v>
      </c>
      <c r="I101" s="91"/>
    </row>
    <row r="102" spans="1:9" x14ac:dyDescent="0.25">
      <c r="A102" s="69" t="s">
        <v>73</v>
      </c>
      <c r="B102" s="72" t="str">
        <f>VLOOKUP(A102,'Componentes APUs'!$A$1:$D$14,2,0)</f>
        <v>Bota de seguridad dielectrica</v>
      </c>
      <c r="C102" s="73"/>
      <c r="D102" s="70" t="str">
        <f>VLOOKUP(A102,'Componentes APUs'!$A$1:$D$14,3,0)</f>
        <v>Par</v>
      </c>
      <c r="E102" s="50">
        <f>SUM(C81:C86)</f>
        <v>2.25</v>
      </c>
      <c r="F102" s="51">
        <f>VLOOKUP(A102,'Componentes APUs'!$A$1:$D$14,4,0)</f>
        <v>7500</v>
      </c>
      <c r="G102" s="51">
        <f>ROUNDUP(F102*(E102/21)/E67,0)</f>
        <v>3</v>
      </c>
    </row>
    <row r="103" spans="1:9" ht="15" customHeight="1" x14ac:dyDescent="0.25">
      <c r="A103" s="50" t="s">
        <v>76</v>
      </c>
      <c r="B103" s="72" t="str">
        <f>VLOOKUP(A103,'Componentes APUs'!$A$1:$D$14,2,0)</f>
        <v>Casco dielectrico Tipo 1 Clase E con barbuquejo</v>
      </c>
      <c r="C103" s="73"/>
      <c r="D103" s="50" t="str">
        <f>VLOOKUP(A103,'Componentes APUs'!$A$1:$D$14,3,0)</f>
        <v>U</v>
      </c>
      <c r="E103" s="50">
        <f>C81+C82+C84+C85+C86+IF(A83&lt;&gt;"MO-3",C83,0)</f>
        <v>2.25</v>
      </c>
      <c r="F103" s="51">
        <f>VLOOKUP(A103,'Componentes APUs'!$A$1:$D$14,4,0)</f>
        <v>10101.010101010101</v>
      </c>
      <c r="G103" s="51">
        <f>ROUNDUP(F103*(E103/21)/E67,0)</f>
        <v>4</v>
      </c>
    </row>
    <row r="104" spans="1:9" x14ac:dyDescent="0.25">
      <c r="A104" s="69" t="s">
        <v>77</v>
      </c>
      <c r="B104" s="72" t="str">
        <f>VLOOKUP(A104,'Componentes APUs'!$A$1:$D$14,2,0)</f>
        <v>Correa plastica y antiflama</v>
      </c>
      <c r="C104" s="73"/>
      <c r="D104" s="50" t="str">
        <f>VLOOKUP(A104,'Componentes APUs'!$A$1:$D$14,3,0)</f>
        <v>U</v>
      </c>
      <c r="E104" s="50">
        <f>SUM(C81:C86)</f>
        <v>2.25</v>
      </c>
      <c r="F104" s="51">
        <f>VLOOKUP(A104,'Componentes APUs'!$A$1:$D$14,4,0)</f>
        <v>3787.878787878788</v>
      </c>
      <c r="G104" s="51">
        <f>ROUNDUP(F104*(E104/21)/E67,0)</f>
        <v>2</v>
      </c>
    </row>
    <row r="105" spans="1:9" x14ac:dyDescent="0.25">
      <c r="A105" s="50" t="s">
        <v>79</v>
      </c>
      <c r="B105" s="72" t="str">
        <f>VLOOKUP(A105,'Componentes APUs'!$A$1:$D$14,2,0)</f>
        <v>Gafas protectoras filtro UV</v>
      </c>
      <c r="C105" s="73"/>
      <c r="D105" s="50" t="str">
        <f>VLOOKUP(A105,'Componentes APUs'!$A$1:$D$14,3,0)</f>
        <v>U</v>
      </c>
      <c r="E105" s="50">
        <f>SUM(C81:C86)</f>
        <v>2.25</v>
      </c>
      <c r="F105" s="51">
        <f>VLOOKUP(A105,'Componentes APUs'!$A$1:$D$14,4,0)</f>
        <v>2777.7777777777778</v>
      </c>
      <c r="G105" s="51">
        <f>ROUNDUP(F105*(E105/21)/E67,0)</f>
        <v>1</v>
      </c>
    </row>
    <row r="106" spans="1:9" ht="15" customHeight="1" x14ac:dyDescent="0.25">
      <c r="A106" s="69" t="s">
        <v>402</v>
      </c>
      <c r="B106" s="72" t="str">
        <f>VLOOKUP(A106,'Componentes APUs'!$A$1:$D$14,2,0)</f>
        <v>Bota de seguridad PVC dielectrica</v>
      </c>
      <c r="C106" s="73"/>
      <c r="D106" s="50" t="str">
        <f>VLOOKUP(A106,'Componentes APUs'!$A$1:$D$14,3,0)</f>
        <v>Par</v>
      </c>
      <c r="E106" s="50">
        <f>SUM(C81:C86)</f>
        <v>2.25</v>
      </c>
      <c r="F106" s="51">
        <f>VLOOKUP(A106,'Componentes APUs'!$A$1:$D$14,4,0)</f>
        <v>2916.6666666666665</v>
      </c>
      <c r="G106" s="51">
        <f>ROUNDUP(F106*(E106/21)/E67,0)</f>
        <v>2</v>
      </c>
    </row>
    <row r="107" spans="1:9" x14ac:dyDescent="0.25">
      <c r="A107" s="50" t="s">
        <v>403</v>
      </c>
      <c r="B107" s="72" t="str">
        <f>VLOOKUP(A107,'Componentes APUs'!$A$1:$D$14,2,0)</f>
        <v>Capuchon</v>
      </c>
      <c r="C107" s="73"/>
      <c r="D107" s="50" t="str">
        <f>VLOOKUP(A107,'Componentes APUs'!$A$1:$D$14,3,0)</f>
        <v>U</v>
      </c>
      <c r="E107" s="50">
        <f>SUM(C81:C86)</f>
        <v>2.25</v>
      </c>
      <c r="F107" s="51">
        <f>VLOOKUP(A107,'Componentes APUs'!$A$1:$D$14,4,0)</f>
        <v>2525.2525252525252</v>
      </c>
      <c r="G107" s="51">
        <f>ROUNDUP(F107*(E107/21)/E67,0)</f>
        <v>1</v>
      </c>
    </row>
    <row r="108" spans="1:9" ht="15" customHeight="1" x14ac:dyDescent="0.25">
      <c r="A108" s="69" t="s">
        <v>81</v>
      </c>
      <c r="B108" s="72" t="str">
        <f>VLOOKUP(A108,'Componentes APUs'!$A$1:$D$14,2,0)</f>
        <v>Guantes Protectores  - ingeniero reforzados</v>
      </c>
      <c r="C108" s="73"/>
      <c r="D108" s="50" t="str">
        <f>VLOOKUP(A108,'Componentes APUs'!$A$1:$D$14,3,0)</f>
        <v>Par</v>
      </c>
      <c r="E108" s="50">
        <f>C83+C84+C86</f>
        <v>2</v>
      </c>
      <c r="F108" s="51">
        <f>VLOOKUP(A108,'Componentes APUs'!$A$1:$D$14,4,0)</f>
        <v>2525.2525252525252</v>
      </c>
      <c r="G108" s="51">
        <f>ROUNDUP(F108*(E108/21)/E67,0)</f>
        <v>1</v>
      </c>
    </row>
    <row r="109" spans="1:9" x14ac:dyDescent="0.25">
      <c r="A109" s="50" t="s">
        <v>83</v>
      </c>
      <c r="B109" s="72" t="str">
        <f>VLOOKUP(A109,'Componentes APUs'!$A$1:$D$14,2,0)</f>
        <v>Impermeable (pantalon camisa)</v>
      </c>
      <c r="C109" s="73"/>
      <c r="D109" s="50" t="str">
        <f>VLOOKUP(A109,'Componentes APUs'!$A$1:$D$14,3,0)</f>
        <v>U</v>
      </c>
      <c r="E109" s="50">
        <f>SUM(C81:C86)</f>
        <v>2.25</v>
      </c>
      <c r="F109" s="51">
        <f>VLOOKUP(A109,'Componentes APUs'!$A$1:$D$14,4,0)</f>
        <v>3750</v>
      </c>
      <c r="G109" s="51">
        <f>ROUNDUP(F109*(E109/21)/E67,0)</f>
        <v>2</v>
      </c>
    </row>
    <row r="110" spans="1:9" x14ac:dyDescent="0.25">
      <c r="A110" s="69" t="s">
        <v>85</v>
      </c>
      <c r="B110" s="72" t="str">
        <f>VLOOKUP(A110,'Componentes APUs'!$A$1:$D$14,2,0)</f>
        <v>Jean Dielectrico</v>
      </c>
      <c r="C110" s="73"/>
      <c r="D110" s="50" t="str">
        <f>VLOOKUP(A110,'Componentes APUs'!$A$1:$D$14,3,0)</f>
        <v>U</v>
      </c>
      <c r="E110" s="50">
        <f>SUM(C81:C86)</f>
        <v>2.25</v>
      </c>
      <c r="F110" s="51">
        <f>VLOOKUP(A110,'Componentes APUs'!$A$1:$D$14,4,0)</f>
        <v>7575.757575757576</v>
      </c>
      <c r="G110" s="51">
        <f>ROUNDUP(F110*(E110/21)/E67,0)</f>
        <v>3</v>
      </c>
    </row>
    <row r="111" spans="1:9" ht="15" customHeight="1" x14ac:dyDescent="0.25">
      <c r="A111" s="50" t="s">
        <v>87</v>
      </c>
      <c r="B111" s="72" t="str">
        <f>VLOOKUP(A111,'Componentes APUs'!$A$1:$D$14,2,0)</f>
        <v>Casco dielectrico Tipo 2 Clase E con barboquejo</v>
      </c>
      <c r="C111" s="73"/>
      <c r="D111" s="50" t="str">
        <f>VLOOKUP(A111,'Componentes APUs'!$A$1:$D$14,3,0)</f>
        <v>U</v>
      </c>
      <c r="E111" s="53">
        <f>IF(A83="MO-3",C83,0)</f>
        <v>0</v>
      </c>
      <c r="F111" s="51">
        <f>VLOOKUP(A111,'Componentes APUs'!$A$1:$D$14,4,0)</f>
        <v>7500</v>
      </c>
      <c r="G111" s="51">
        <f>ROUNDUP(F111*(E111/21)/E67,0)</f>
        <v>0</v>
      </c>
    </row>
    <row r="112" spans="1:9" ht="15" customHeight="1" x14ac:dyDescent="0.25">
      <c r="A112" s="69" t="s">
        <v>89</v>
      </c>
      <c r="B112" s="72" t="str">
        <f>VLOOKUP(A112,'Componentes APUs'!$A$1:$D$14,2,0)</f>
        <v>Kit de rescate para trabajo en alturas</v>
      </c>
      <c r="C112" s="73"/>
      <c r="D112" s="50" t="str">
        <f>VLOOKUP(A112,'Componentes APUs'!$A$1:$D$14,3,0)</f>
        <v>U</v>
      </c>
      <c r="E112" s="50">
        <f>IF(AND(A83="MO-3",C83=2),1,0)</f>
        <v>0</v>
      </c>
      <c r="F112" s="51">
        <f>VLOOKUP(A112,'Componentes APUs'!$A$1:$D$14,4,0)</f>
        <v>37500</v>
      </c>
      <c r="G112" s="51">
        <f>ROUNDUP(F112*(E112/21)/E67,0)</f>
        <v>0</v>
      </c>
    </row>
    <row r="113" spans="1:7" x14ac:dyDescent="0.25">
      <c r="A113" s="50" t="s">
        <v>91</v>
      </c>
      <c r="B113" s="72" t="str">
        <f>VLOOKUP(A113,'Componentes APUs'!$A$1:$D$14,2,0)</f>
        <v>Equipo completo para trabajo en alturas con pretales (Arnes dielectrico, 1 mosqueton de seguridad, tie off dielectrico, eslinga de posicionamiento, juego de pretales)</v>
      </c>
      <c r="C113" s="73"/>
      <c r="D113" s="50" t="str">
        <f>VLOOKUP(A113,'Componentes APUs'!$A$1:$D$14,3,0)</f>
        <v>U</v>
      </c>
      <c r="E113" s="50">
        <f>IF(A83="MO-3",C83,0)</f>
        <v>0</v>
      </c>
      <c r="F113" s="51">
        <f>VLOOKUP(A113,'Componentes APUs'!$A$1:$D$14,4,0)</f>
        <v>26041.666666666668</v>
      </c>
      <c r="G113" s="51">
        <f>ROUNDUP(F113*(E113/21)/E67,0)</f>
        <v>0</v>
      </c>
    </row>
    <row r="114" spans="1:7" x14ac:dyDescent="0.25">
      <c r="A114" s="219" t="s">
        <v>95</v>
      </c>
      <c r="B114" s="219"/>
      <c r="C114" s="219"/>
      <c r="D114" s="219"/>
      <c r="E114" s="219"/>
      <c r="F114" s="219"/>
      <c r="G114" s="52">
        <f>SUM(G101:G113)</f>
        <v>23</v>
      </c>
    </row>
    <row r="115" spans="1:7" x14ac:dyDescent="0.25">
      <c r="A115" s="56"/>
      <c r="B115" s="57"/>
      <c r="C115" s="57"/>
      <c r="D115" s="57"/>
      <c r="E115" s="57"/>
      <c r="F115" s="57"/>
      <c r="G115" s="58"/>
    </row>
    <row r="116" spans="1:7" x14ac:dyDescent="0.25">
      <c r="A116" s="219" t="s">
        <v>96</v>
      </c>
      <c r="B116" s="219"/>
      <c r="C116" s="219"/>
      <c r="D116" s="219"/>
      <c r="E116" s="219"/>
      <c r="F116" s="219"/>
      <c r="G116" s="219"/>
    </row>
    <row r="117" spans="1:7" x14ac:dyDescent="0.25">
      <c r="A117" s="49" t="s">
        <v>35</v>
      </c>
      <c r="B117" s="225" t="s">
        <v>36</v>
      </c>
      <c r="C117" s="225"/>
      <c r="D117" s="49" t="s">
        <v>37</v>
      </c>
      <c r="E117" s="49" t="s">
        <v>38</v>
      </c>
      <c r="F117" s="49" t="s">
        <v>39</v>
      </c>
      <c r="G117" s="49" t="s">
        <v>40</v>
      </c>
    </row>
    <row r="118" spans="1:7" x14ac:dyDescent="0.25">
      <c r="A118" s="69" t="s">
        <v>97</v>
      </c>
      <c r="B118" s="72" t="str">
        <f>VLOOKUP(A118,'Componentes APUs'!$N$1:$Q$30,2,0)</f>
        <v>Camioneta</v>
      </c>
      <c r="C118" s="73"/>
      <c r="D118" s="70" t="str">
        <f>VLOOKUP(A118,'Componentes APUs'!$N$1:$Q$30,3,0)</f>
        <v>U</v>
      </c>
      <c r="E118" s="50">
        <v>1</v>
      </c>
      <c r="F118" s="51">
        <f>VLOOKUP(A118,'Componentes APUs'!$N$1:$Q$30,4,0)</f>
        <v>5500000</v>
      </c>
      <c r="G118" s="51">
        <f>IFERROR(ROUNDUP(F118*(E118/21)/E67,0),"-")</f>
        <v>874</v>
      </c>
    </row>
    <row r="119" spans="1:7" x14ac:dyDescent="0.25">
      <c r="A119" s="50" t="s">
        <v>1391</v>
      </c>
      <c r="B119" s="72" t="str">
        <f>VLOOKUP(A119,'Componentes APUs'!$N$1:$Q$30,2,0)</f>
        <v>Rodillo Ligero</v>
      </c>
      <c r="C119" s="73"/>
      <c r="D119" s="70" t="str">
        <f>VLOOKUP(A119,'Componentes APUs'!$N$1:$Q$30,3,0)</f>
        <v>U</v>
      </c>
      <c r="E119" s="50">
        <v>0</v>
      </c>
      <c r="F119" s="51">
        <f>VLOOKUP(A119,'Componentes APUs'!$N$1:$Q$30,4,0)</f>
        <v>1675800</v>
      </c>
      <c r="G119" s="51">
        <f>IFERROR(ROUNDUP(F119*(E119/21)/E67,0),"-")</f>
        <v>0</v>
      </c>
    </row>
    <row r="120" spans="1:7" x14ac:dyDescent="0.25">
      <c r="A120" s="50" t="s">
        <v>1392</v>
      </c>
      <c r="B120" s="72" t="str">
        <f>VLOOKUP(A120,'Componentes APUs'!$N$1:$Q$30,2,0)</f>
        <v>Motocultor</v>
      </c>
      <c r="C120" s="73"/>
      <c r="D120" s="70" t="str">
        <f>VLOOKUP(A120,'Componentes APUs'!$N$1:$Q$30,3,0)</f>
        <v>U</v>
      </c>
      <c r="E120" s="50">
        <v>0</v>
      </c>
      <c r="F120" s="51">
        <f>VLOOKUP(A120,'Componentes APUs'!$N$1:$Q$30,4,0)</f>
        <v>1292760</v>
      </c>
      <c r="G120" s="51">
        <f>IFERROR(ROUNDUP(F120*(E120/21)/E67,0),"-")</f>
        <v>0</v>
      </c>
    </row>
    <row r="121" spans="1:7" x14ac:dyDescent="0.25">
      <c r="A121" s="50" t="s">
        <v>323</v>
      </c>
      <c r="B121" s="72" t="str">
        <f>VLOOKUP(A121,'Componentes APUs'!$N$1:$Q$30,2,0)</f>
        <v>Volqueta</v>
      </c>
      <c r="C121" s="73"/>
      <c r="D121" s="70" t="str">
        <f>VLOOKUP(A121,'Componentes APUs'!$N$1:$Q$30,3,0)</f>
        <v>U</v>
      </c>
      <c r="E121" s="50">
        <v>0</v>
      </c>
      <c r="F121" s="51">
        <f>VLOOKUP(A121,'Componentes APUs'!$N$1:$Q$30,4,0)</f>
        <v>14828184</v>
      </c>
      <c r="G121" s="51">
        <f>IFERROR(ROUNDUP(F121*(E121/21)/E67,0),"-")</f>
        <v>0</v>
      </c>
    </row>
    <row r="122" spans="1:7" x14ac:dyDescent="0.25">
      <c r="A122" s="69" t="s">
        <v>324</v>
      </c>
      <c r="B122" s="72" t="str">
        <f>VLOOKUP(A122,'Componentes APUs'!$N$1:$Q$30,2,0)</f>
        <v>Retroexcavadora</v>
      </c>
      <c r="C122" s="73"/>
      <c r="D122" s="70" t="str">
        <f>VLOOKUP(A122,'Componentes APUs'!$N$1:$Q$30,3,0)</f>
        <v>U</v>
      </c>
      <c r="E122" s="50">
        <v>0</v>
      </c>
      <c r="F122" s="51">
        <f>VLOOKUP(A122,'Componentes APUs'!$N$1:$Q$30,4,0)</f>
        <v>46030656</v>
      </c>
      <c r="G122" s="51">
        <f>IFERROR(ROUNDUP(F122*(E122/21)/E67,0),"-")</f>
        <v>0</v>
      </c>
    </row>
    <row r="123" spans="1:7" x14ac:dyDescent="0.25">
      <c r="A123" s="219" t="s">
        <v>99</v>
      </c>
      <c r="B123" s="219"/>
      <c r="C123" s="219"/>
      <c r="D123" s="219"/>
      <c r="E123" s="219"/>
      <c r="F123" s="219"/>
      <c r="G123" s="52">
        <f>SUM(G118:G122)</f>
        <v>874</v>
      </c>
    </row>
    <row r="124" spans="1:7" x14ac:dyDescent="0.25">
      <c r="A124" s="56"/>
      <c r="B124" s="57"/>
      <c r="C124" s="57"/>
      <c r="D124" s="57"/>
      <c r="E124" s="57"/>
      <c r="F124" s="57"/>
      <c r="G124" s="58"/>
    </row>
    <row r="125" spans="1:7" x14ac:dyDescent="0.25">
      <c r="A125" s="219" t="s">
        <v>1516</v>
      </c>
      <c r="B125" s="219"/>
      <c r="C125" s="219"/>
      <c r="D125" s="219"/>
      <c r="E125" s="219"/>
      <c r="F125" s="219"/>
      <c r="G125" s="52">
        <f>G123+G114+G97+G87+G77</f>
        <v>35055</v>
      </c>
    </row>
    <row r="126" spans="1:7" x14ac:dyDescent="0.25">
      <c r="A126" s="59"/>
      <c r="B126" s="60"/>
      <c r="C126" s="60"/>
      <c r="D126" s="60"/>
      <c r="E126" s="57"/>
      <c r="F126" s="57"/>
      <c r="G126" s="58"/>
    </row>
    <row r="127" spans="1:7" x14ac:dyDescent="0.25">
      <c r="A127" s="64"/>
      <c r="D127" s="55"/>
      <c r="E127" s="49" t="s">
        <v>25</v>
      </c>
      <c r="F127" s="54">
        <v>0.15</v>
      </c>
      <c r="G127" s="51">
        <f>G125*F127</f>
        <v>5258.25</v>
      </c>
    </row>
    <row r="128" spans="1:7" x14ac:dyDescent="0.25">
      <c r="A128" s="64"/>
      <c r="D128" s="55"/>
      <c r="E128" s="49" t="s">
        <v>26</v>
      </c>
      <c r="F128" s="54">
        <v>0.05</v>
      </c>
      <c r="G128" s="51">
        <f>G125*F128</f>
        <v>1752.75</v>
      </c>
    </row>
    <row r="129" spans="1:8" x14ac:dyDescent="0.25">
      <c r="A129" s="61"/>
      <c r="B129" s="65"/>
      <c r="C129" s="65"/>
      <c r="D129" s="62"/>
      <c r="E129" s="49" t="s">
        <v>27</v>
      </c>
      <c r="F129" s="54">
        <v>0.05</v>
      </c>
      <c r="G129" s="51">
        <f>G125*F129</f>
        <v>1752.75</v>
      </c>
    </row>
    <row r="130" spans="1:8" x14ac:dyDescent="0.25">
      <c r="A130" s="61"/>
      <c r="B130" s="62"/>
      <c r="C130" s="62"/>
      <c r="D130" s="62"/>
      <c r="E130" s="62"/>
      <c r="F130" s="62"/>
      <c r="G130" s="63"/>
    </row>
    <row r="131" spans="1:8" x14ac:dyDescent="0.25">
      <c r="A131" s="219" t="s">
        <v>1517</v>
      </c>
      <c r="B131" s="219"/>
      <c r="C131" s="219"/>
      <c r="D131" s="219"/>
      <c r="E131" s="219"/>
      <c r="F131" s="219"/>
      <c r="G131" s="52">
        <f>G125+G127+G128+G129</f>
        <v>43818.75</v>
      </c>
    </row>
    <row r="132" spans="1:8" x14ac:dyDescent="0.25">
      <c r="A132" s="59"/>
      <c r="B132" s="60"/>
      <c r="C132" s="60"/>
      <c r="D132" s="60"/>
      <c r="E132" s="57"/>
      <c r="F132" s="57"/>
      <c r="G132" s="58"/>
    </row>
    <row r="133" spans="1:8" x14ac:dyDescent="0.25">
      <c r="A133" s="64"/>
      <c r="D133" s="55"/>
      <c r="E133" s="49" t="s">
        <v>102</v>
      </c>
      <c r="F133" s="49" t="s">
        <v>103</v>
      </c>
      <c r="G133" s="51">
        <f>G129*19%</f>
        <v>333.02249999999998</v>
      </c>
    </row>
    <row r="134" spans="1:8" x14ac:dyDescent="0.25">
      <c r="A134" s="61"/>
      <c r="B134" s="62"/>
      <c r="C134" s="62"/>
      <c r="D134" s="62"/>
      <c r="E134" s="57"/>
      <c r="F134" s="57"/>
      <c r="G134" s="58"/>
    </row>
    <row r="135" spans="1:8" x14ac:dyDescent="0.25">
      <c r="A135" s="219" t="s">
        <v>104</v>
      </c>
      <c r="B135" s="219"/>
      <c r="C135" s="219"/>
      <c r="D135" s="219"/>
      <c r="E135" s="219"/>
      <c r="F135" s="219"/>
      <c r="G135" s="52">
        <f>G133+G131</f>
        <v>44151.772499999999</v>
      </c>
    </row>
    <row r="137" spans="1:8" x14ac:dyDescent="0.25">
      <c r="A137" s="74" t="s">
        <v>29</v>
      </c>
      <c r="B137" s="226" t="s">
        <v>30</v>
      </c>
      <c r="C137" s="226"/>
      <c r="D137" s="74" t="s">
        <v>31</v>
      </c>
      <c r="E137" s="74" t="s">
        <v>32</v>
      </c>
      <c r="F137" s="74" t="s">
        <v>189</v>
      </c>
      <c r="G137" s="74" t="s">
        <v>33</v>
      </c>
    </row>
    <row r="138" spans="1:8" x14ac:dyDescent="0.25">
      <c r="A138" s="50" t="str">
        <f>Presupuesto!B8</f>
        <v>003_OC</v>
      </c>
      <c r="B138" s="247" t="str">
        <f>Presupuesto!C8</f>
        <v>VALLA DE INFORMACIÓN DE 2,00 X 4,00 M</v>
      </c>
      <c r="C138" s="248"/>
      <c r="D138" s="50" t="s">
        <v>8</v>
      </c>
      <c r="E138" s="102">
        <v>2</v>
      </c>
      <c r="F138" s="50"/>
      <c r="G138" s="51">
        <f>G204</f>
        <v>6917161.4050000003</v>
      </c>
      <c r="H138" s="45"/>
    </row>
    <row r="139" spans="1:8" x14ac:dyDescent="0.25">
      <c r="A139" s="219" t="s">
        <v>34</v>
      </c>
      <c r="B139" s="219"/>
      <c r="C139" s="219"/>
      <c r="D139" s="219"/>
      <c r="E139" s="219"/>
      <c r="F139" s="219"/>
      <c r="G139" s="219"/>
    </row>
    <row r="140" spans="1:8" x14ac:dyDescent="0.25">
      <c r="A140" s="49" t="s">
        <v>35</v>
      </c>
      <c r="B140" s="219" t="s">
        <v>36</v>
      </c>
      <c r="C140" s="219"/>
      <c r="D140" s="49" t="s">
        <v>37</v>
      </c>
      <c r="E140" s="49" t="s">
        <v>38</v>
      </c>
      <c r="F140" s="49" t="s">
        <v>39</v>
      </c>
      <c r="G140" s="49" t="s">
        <v>40</v>
      </c>
    </row>
    <row r="141" spans="1:8" x14ac:dyDescent="0.25">
      <c r="A141" s="50" t="str">
        <f>Material!A283</f>
        <v>MA-282</v>
      </c>
      <c r="B141" s="72" t="str">
        <f>IFERROR(VLOOKUP(A141,Material!$A:$H,2,0),"-")</f>
        <v>VALLA DE INFORMACIÓN 3m x 1,8m</v>
      </c>
      <c r="C141" s="76"/>
      <c r="D141" s="50" t="str">
        <f>IFERROR(VLOOKUP(A141,Material!$A:$H,4,0),"-")</f>
        <v>UN</v>
      </c>
      <c r="E141" s="50">
        <v>1</v>
      </c>
      <c r="F141" s="51">
        <f>IFERROR(VLOOKUP(A141,Material!$A:$H,3,0),"-")</f>
        <v>5135000</v>
      </c>
      <c r="G141" s="51">
        <f>IFERROR(ROUNDUP(F141*E141,0),"-")</f>
        <v>5135000</v>
      </c>
    </row>
    <row r="142" spans="1:8" x14ac:dyDescent="0.25">
      <c r="A142" s="50"/>
      <c r="B142" s="72" t="str">
        <f>IFERROR(VLOOKUP(A142,Material!$A:$H,2,0),"-")</f>
        <v>-</v>
      </c>
      <c r="C142" s="76"/>
      <c r="D142" s="50" t="str">
        <f>IFERROR(VLOOKUP(A142,Material!$A:$H,4,0),"-")</f>
        <v>-</v>
      </c>
      <c r="E142" s="50"/>
      <c r="F142" s="51" t="str">
        <f>IFERROR(VLOOKUP(A142,Material!$A:$H,3,0),"-")</f>
        <v>-</v>
      </c>
      <c r="G142" s="51" t="str">
        <f>IFERROR(ROUNDUP(F142*E142,0),"-")</f>
        <v>-</v>
      </c>
    </row>
    <row r="143" spans="1:8" x14ac:dyDescent="0.25">
      <c r="A143" s="50"/>
      <c r="B143" s="72" t="str">
        <f>IFERROR(VLOOKUP(A143,Material!$A:$H,2,0),"-")</f>
        <v>-</v>
      </c>
      <c r="C143" s="76"/>
      <c r="D143" s="50" t="str">
        <f>IFERROR(VLOOKUP(A143,Material!$A:$H,4,0),"-")</f>
        <v>-</v>
      </c>
      <c r="E143" s="50"/>
      <c r="F143" s="51" t="str">
        <f>IFERROR(VLOOKUP(A143,Material!$A:$H,3,0),"-")</f>
        <v>-</v>
      </c>
      <c r="G143" s="51" t="str">
        <f>IFERROR(ROUNDUP(F143*E143,0),"-")</f>
        <v>-</v>
      </c>
    </row>
    <row r="144" spans="1:8" x14ac:dyDescent="0.25">
      <c r="A144" s="50"/>
      <c r="B144" s="72" t="str">
        <f>IFERROR(VLOOKUP(A144,Material!$A:$H,2,0),"-")</f>
        <v>-</v>
      </c>
      <c r="C144" s="76"/>
      <c r="D144" s="50" t="str">
        <f>IFERROR(VLOOKUP(A144,Material!$A:$H,4,0),"-")</f>
        <v>-</v>
      </c>
      <c r="E144" s="50"/>
      <c r="F144" s="51" t="str">
        <f>IFERROR(VLOOKUP(A144,Material!$A:$H,3,0),"-")</f>
        <v>-</v>
      </c>
      <c r="G144" s="51" t="str">
        <f>IFERROR(ROUNDUP(F144*E144,0),"-")</f>
        <v>-</v>
      </c>
    </row>
    <row r="145" spans="1:9" x14ac:dyDescent="0.25">
      <c r="A145" s="50"/>
      <c r="B145" s="72"/>
      <c r="C145" s="76"/>
      <c r="D145" s="50"/>
      <c r="E145" s="50"/>
      <c r="F145" s="51"/>
      <c r="G145" s="51"/>
      <c r="H145" s="92"/>
    </row>
    <row r="146" spans="1:9" x14ac:dyDescent="0.25">
      <c r="A146" s="219" t="s">
        <v>41</v>
      </c>
      <c r="B146" s="219"/>
      <c r="C146" s="219"/>
      <c r="D146" s="219"/>
      <c r="E146" s="219"/>
      <c r="F146" s="219"/>
      <c r="G146" s="52">
        <f>SUM(G141:G145)</f>
        <v>5135000</v>
      </c>
    </row>
    <row r="147" spans="1:9" x14ac:dyDescent="0.25">
      <c r="A147" s="56"/>
      <c r="B147" s="57"/>
      <c r="C147" s="57"/>
      <c r="D147" s="57"/>
      <c r="E147" s="57"/>
      <c r="F147" s="57"/>
      <c r="G147" s="58"/>
    </row>
    <row r="148" spans="1:9" x14ac:dyDescent="0.25">
      <c r="A148" s="219" t="s">
        <v>42</v>
      </c>
      <c r="B148" s="219"/>
      <c r="C148" s="219"/>
      <c r="D148" s="219"/>
      <c r="E148" s="219"/>
      <c r="F148" s="219"/>
      <c r="G148" s="219"/>
    </row>
    <row r="149" spans="1:9" x14ac:dyDescent="0.25">
      <c r="A149" s="49" t="s">
        <v>35</v>
      </c>
      <c r="B149" s="49" t="s">
        <v>36</v>
      </c>
      <c r="C149" s="49" t="s">
        <v>38</v>
      </c>
      <c r="D149" s="49" t="s">
        <v>43</v>
      </c>
      <c r="E149" s="49" t="s">
        <v>44</v>
      </c>
      <c r="F149" s="49" t="s">
        <v>45</v>
      </c>
      <c r="G149" s="49" t="s">
        <v>40</v>
      </c>
    </row>
    <row r="150" spans="1:9" x14ac:dyDescent="0.25">
      <c r="A150" s="50" t="s">
        <v>319</v>
      </c>
      <c r="B150" s="68" t="str">
        <f>VLOOKUP(A150,'Componentes APUs'!$H$1:$L$25,2,0)</f>
        <v>Ingeniero Residente de Obra</v>
      </c>
      <c r="C150" s="93">
        <v>0</v>
      </c>
      <c r="D150" s="50">
        <f>VLOOKUP(A150,'Componentes APUs'!$H$1:$L$25,3,0)</f>
        <v>4</v>
      </c>
      <c r="E150" s="51">
        <f>VLOOKUP(A150,'Componentes APUs'!$H$1:$L$25,4,0)</f>
        <v>271142.85714285716</v>
      </c>
      <c r="F150" s="51">
        <f>VLOOKUP(A150,'Componentes APUs'!$H$1:$L$25,5,0)</f>
        <v>162685.71428571429</v>
      </c>
      <c r="G150" s="51">
        <f>ROUNDUP((E150+F150)*C150/E138,0)</f>
        <v>0</v>
      </c>
      <c r="H150" s="66"/>
    </row>
    <row r="151" spans="1:9" x14ac:dyDescent="0.25">
      <c r="A151" s="50" t="s">
        <v>46</v>
      </c>
      <c r="B151" s="68" t="str">
        <f>VLOOKUP(A151,'Componentes APUs'!$H$1:$L$25,2,0)</f>
        <v>Tecnico Liniero</v>
      </c>
      <c r="C151" s="93">
        <v>1</v>
      </c>
      <c r="D151" s="50">
        <f>VLOOKUP(A151,'Componentes APUs'!$H$1:$L$25,3,0)</f>
        <v>2</v>
      </c>
      <c r="E151" s="51">
        <f>VLOOKUP(A151,'Componentes APUs'!$H$1:$L$25,4,0)</f>
        <v>154619.04761904763</v>
      </c>
      <c r="F151" s="51">
        <f>VLOOKUP(A151,'Componentes APUs'!$H$1:$L$25,5,0)</f>
        <v>92771.42857142858</v>
      </c>
      <c r="G151" s="51">
        <f>ROUNDUP((E151+F151)*C151/E138,0)</f>
        <v>123696</v>
      </c>
    </row>
    <row r="152" spans="1:9" x14ac:dyDescent="0.25">
      <c r="A152" s="50" t="s">
        <v>54</v>
      </c>
      <c r="B152" s="68" t="str">
        <f>VLOOKUP(A152,'Componentes APUs'!$H$1:$L$25,2,0)</f>
        <v>Maestro de obra civil</v>
      </c>
      <c r="C152" s="93">
        <v>0</v>
      </c>
      <c r="D152" s="50">
        <f>VLOOKUP(A152,'Componentes APUs'!$H$1:$L$25,3,0)</f>
        <v>2.5</v>
      </c>
      <c r="E152" s="51">
        <f>VLOOKUP(A152,'Componentes APUs'!$H$1:$L$25,4,0)</f>
        <v>169464.28571428571</v>
      </c>
      <c r="F152" s="51">
        <f>VLOOKUP(A152,'Componentes APUs'!$H$1:$L$25,5,0)</f>
        <v>101678.57142857142</v>
      </c>
      <c r="G152" s="51">
        <f>ROUNDUP((E152+F152)*C152/E138,0)</f>
        <v>0</v>
      </c>
    </row>
    <row r="153" spans="1:9" x14ac:dyDescent="0.25">
      <c r="A153" s="50" t="s">
        <v>1110</v>
      </c>
      <c r="B153" s="68" t="str">
        <f>VLOOKUP(A153,'Componentes APUs'!$H$1:$L$25,2,0)</f>
        <v>Oficial de Obra Civil</v>
      </c>
      <c r="C153" s="93">
        <v>0</v>
      </c>
      <c r="D153" s="50">
        <f>VLOOKUP(A153,'Componentes APUs'!$H$1:$L$25,3,0)</f>
        <v>1.5</v>
      </c>
      <c r="E153" s="51">
        <f>VLOOKUP(A153,'Componentes APUs'!$H$1:$L$25,4,0)</f>
        <v>115964.28571428571</v>
      </c>
      <c r="F153" s="51">
        <f>VLOOKUP(A153,'Componentes APUs'!$H$1:$L$25,5,0)</f>
        <v>69578.57142857142</v>
      </c>
      <c r="G153" s="51">
        <f>ROUNDUP((E153+F153)*C153/E138,0)</f>
        <v>0</v>
      </c>
    </row>
    <row r="154" spans="1:9" x14ac:dyDescent="0.25">
      <c r="A154" s="50" t="s">
        <v>50</v>
      </c>
      <c r="B154" s="68" t="str">
        <f>VLOOKUP(A154,'Componentes APUs'!$H$1:$L$25,2,0)</f>
        <v>Profesional en SST</v>
      </c>
      <c r="C154" s="93">
        <v>0.25</v>
      </c>
      <c r="D154" s="50">
        <f>VLOOKUP(A154,'Componentes APUs'!$H$1:$L$25,3,0)</f>
        <v>2.5</v>
      </c>
      <c r="E154" s="51">
        <f>VLOOKUP(A154,'Componentes APUs'!$H$1:$L$25,4,0)</f>
        <v>169464.28571428571</v>
      </c>
      <c r="F154" s="51">
        <f>VLOOKUP(A154,'Componentes APUs'!$H$1:$L$25,5,0)</f>
        <v>101678.57142857142</v>
      </c>
      <c r="G154" s="51">
        <f>ROUNDUP((E154+F154)*C154/E138,0)</f>
        <v>33893</v>
      </c>
    </row>
    <row r="155" spans="1:9" x14ac:dyDescent="0.25">
      <c r="A155" s="50" t="s">
        <v>52</v>
      </c>
      <c r="B155" s="68" t="str">
        <f>VLOOKUP(A155,'Componentes APUs'!$H$1:$L$25,2,0)</f>
        <v>Ayudante No Calificado</v>
      </c>
      <c r="C155" s="93">
        <v>1</v>
      </c>
      <c r="D155" s="50">
        <f>VLOOKUP(A155,'Componentes APUs'!$H$1:$L$25,3,0)</f>
        <v>1</v>
      </c>
      <c r="E155" s="51">
        <f>VLOOKUP(A155,'Componentes APUs'!$H$1:$L$25,4,0)</f>
        <v>77309.523809523816</v>
      </c>
      <c r="F155" s="51">
        <f>VLOOKUP(A155,'Componentes APUs'!$H$1:$L$25,5,0)</f>
        <v>46385.71428571429</v>
      </c>
      <c r="G155" s="51">
        <f>ROUNDUP((E155+F155)*C155/E138,0)</f>
        <v>61848</v>
      </c>
    </row>
    <row r="156" spans="1:9" x14ac:dyDescent="0.25">
      <c r="A156" s="219" t="s">
        <v>56</v>
      </c>
      <c r="B156" s="219"/>
      <c r="C156" s="219"/>
      <c r="D156" s="219"/>
      <c r="E156" s="219"/>
      <c r="F156" s="219"/>
      <c r="G156" s="52">
        <f>SUM(G150:G155)</f>
        <v>219437</v>
      </c>
    </row>
    <row r="157" spans="1:9" x14ac:dyDescent="0.25">
      <c r="A157" s="56"/>
      <c r="B157" s="57"/>
      <c r="C157" s="57"/>
      <c r="D157" s="57"/>
      <c r="E157" s="57"/>
      <c r="F157" s="57"/>
      <c r="G157" s="58"/>
    </row>
    <row r="158" spans="1:9" x14ac:dyDescent="0.25">
      <c r="A158" s="219" t="s">
        <v>57</v>
      </c>
      <c r="B158" s="219"/>
      <c r="C158" s="219"/>
      <c r="D158" s="219"/>
      <c r="E158" s="219"/>
      <c r="F158" s="219"/>
      <c r="G158" s="219"/>
    </row>
    <row r="159" spans="1:9" x14ac:dyDescent="0.25">
      <c r="A159" s="49" t="s">
        <v>35</v>
      </c>
      <c r="B159" s="219" t="s">
        <v>36</v>
      </c>
      <c r="C159" s="219"/>
      <c r="D159" s="49" t="s">
        <v>37</v>
      </c>
      <c r="E159" s="49" t="s">
        <v>38</v>
      </c>
      <c r="F159" s="49" t="s">
        <v>39</v>
      </c>
      <c r="G159" s="49" t="s">
        <v>40</v>
      </c>
    </row>
    <row r="160" spans="1:9" x14ac:dyDescent="0.25">
      <c r="A160" s="50" t="s">
        <v>326</v>
      </c>
      <c r="B160" s="220" t="str">
        <f>VLOOKUP(A160,'Componentes APUs'!$S$1:$V$10,2,0)</f>
        <v>Juego Llaves</v>
      </c>
      <c r="C160" s="220"/>
      <c r="D160" s="50" t="s">
        <v>18</v>
      </c>
      <c r="E160" s="50">
        <v>1</v>
      </c>
      <c r="F160" s="51">
        <f>VLOOKUP(A160,'Componentes APUs'!$S$1:$V$10,4,0)</f>
        <v>9167</v>
      </c>
      <c r="G160" s="51">
        <f>ROUNDUP(F160*((E160/21)/E138),0)</f>
        <v>219</v>
      </c>
      <c r="I160" s="91"/>
    </row>
    <row r="161" spans="1:9" x14ac:dyDescent="0.25">
      <c r="A161" s="50" t="s">
        <v>58</v>
      </c>
      <c r="B161" s="220" t="str">
        <f>VLOOKUP(A161,'Componentes APUs'!$S$1:$V$10,2,0)</f>
        <v>Manila de servicio</v>
      </c>
      <c r="C161" s="220"/>
      <c r="D161" s="50" t="s">
        <v>18</v>
      </c>
      <c r="E161" s="50">
        <v>1</v>
      </c>
      <c r="F161" s="51">
        <f>VLOOKUP(A161,'Componentes APUs'!$S$1:$V$10,4,0)</f>
        <v>2333</v>
      </c>
      <c r="G161" s="51">
        <f>ROUNDUP(F161*((E161/21)/E138),0)</f>
        <v>56</v>
      </c>
    </row>
    <row r="162" spans="1:9" x14ac:dyDescent="0.25">
      <c r="A162" s="50" t="s">
        <v>327</v>
      </c>
      <c r="B162" s="220" t="str">
        <f>VLOOKUP(A162,'Componentes APUs'!$S$1:$V$10,2,0)</f>
        <v>Tula portaherramientas</v>
      </c>
      <c r="C162" s="220"/>
      <c r="D162" s="50" t="s">
        <v>18</v>
      </c>
      <c r="E162" s="50">
        <v>0</v>
      </c>
      <c r="F162" s="51">
        <f>VLOOKUP(A162,'Componentes APUs'!$S$1:$V$10,4,0)</f>
        <v>1250</v>
      </c>
      <c r="G162" s="51">
        <f>ROUNDUP(F162*((E162/21)/E138),0)</f>
        <v>0</v>
      </c>
    </row>
    <row r="163" spans="1:9" x14ac:dyDescent="0.25">
      <c r="A163" s="50" t="s">
        <v>60</v>
      </c>
      <c r="B163" s="220" t="str">
        <f>VLOOKUP(A163,'Componentes APUs'!$S$1:$V$10,2,0)</f>
        <v>Agarradoras</v>
      </c>
      <c r="C163" s="220"/>
      <c r="D163" s="50" t="s">
        <v>18</v>
      </c>
      <c r="E163" s="50">
        <v>0</v>
      </c>
      <c r="F163" s="51">
        <f>VLOOKUP(A163,'Componentes APUs'!$S$1:$V$10,4,0)</f>
        <v>125000</v>
      </c>
      <c r="G163" s="51">
        <f>ROUNDUP(F163*((E163/21)/E138),0)</f>
        <v>0</v>
      </c>
    </row>
    <row r="164" spans="1:9" x14ac:dyDescent="0.25">
      <c r="A164" s="50" t="s">
        <v>62</v>
      </c>
      <c r="B164" s="220" t="str">
        <f>VLOOKUP(A164,'Componentes APUs'!$S$1:$V$10,2,0)</f>
        <v>Templadoras</v>
      </c>
      <c r="C164" s="220"/>
      <c r="D164" s="50" t="s">
        <v>18</v>
      </c>
      <c r="E164" s="50">
        <v>0</v>
      </c>
      <c r="F164" s="51">
        <f>VLOOKUP(A164,'Componentes APUs'!$S$1:$V$10,4,0)</f>
        <v>250000</v>
      </c>
      <c r="G164" s="51">
        <f>ROUNDUP(F164*((E164/21)/E138),0)</f>
        <v>0</v>
      </c>
    </row>
    <row r="165" spans="1:9" x14ac:dyDescent="0.25">
      <c r="A165" s="50" t="s">
        <v>328</v>
      </c>
      <c r="B165" s="220" t="str">
        <f>VLOOKUP(A165,'Componentes APUs'!$S$1:$V$10,2,0)</f>
        <v>Herramienta Menor</v>
      </c>
      <c r="C165" s="220"/>
      <c r="D165" s="50" t="s">
        <v>18</v>
      </c>
      <c r="E165" s="50">
        <v>2</v>
      </c>
      <c r="F165" s="51">
        <f>VLOOKUP(A165,'Componentes APUs'!$S$1:$V$10,4,0)</f>
        <v>75758</v>
      </c>
      <c r="G165" s="51">
        <f>ROUNDUP(F165*((E165/21)/E138),0)</f>
        <v>3608</v>
      </c>
    </row>
    <row r="166" spans="1:9" x14ac:dyDescent="0.25">
      <c r="A166" s="219" t="s">
        <v>69</v>
      </c>
      <c r="B166" s="219"/>
      <c r="C166" s="219"/>
      <c r="D166" s="219"/>
      <c r="E166" s="219"/>
      <c r="F166" s="219"/>
      <c r="G166" s="52">
        <f>SUM(G160:G165)</f>
        <v>3883</v>
      </c>
    </row>
    <row r="167" spans="1:9" x14ac:dyDescent="0.25">
      <c r="A167" s="56"/>
      <c r="B167" s="57"/>
      <c r="C167" s="57"/>
      <c r="D167" s="57"/>
      <c r="E167" s="57"/>
      <c r="F167" s="57"/>
      <c r="G167" s="58"/>
    </row>
    <row r="168" spans="1:9" x14ac:dyDescent="0.25">
      <c r="A168" s="219" t="s">
        <v>70</v>
      </c>
      <c r="B168" s="219"/>
      <c r="C168" s="219"/>
      <c r="D168" s="219"/>
      <c r="E168" s="219"/>
      <c r="F168" s="219"/>
      <c r="G168" s="219"/>
    </row>
    <row r="169" spans="1:9" x14ac:dyDescent="0.25">
      <c r="A169" s="49" t="s">
        <v>35</v>
      </c>
      <c r="B169" s="219" t="s">
        <v>36</v>
      </c>
      <c r="C169" s="219"/>
      <c r="D169" s="49" t="s">
        <v>37</v>
      </c>
      <c r="E169" s="49" t="s">
        <v>38</v>
      </c>
      <c r="F169" s="49" t="s">
        <v>39</v>
      </c>
      <c r="G169" s="49" t="s">
        <v>40</v>
      </c>
    </row>
    <row r="170" spans="1:9" ht="15" customHeight="1" x14ac:dyDescent="0.25">
      <c r="A170" s="50" t="s">
        <v>71</v>
      </c>
      <c r="B170" s="71" t="str">
        <f>VLOOKUP(A170,'Componentes APUs'!$A$1:$D$14,2,0)</f>
        <v>Camisa indigo sin partes metalicas</v>
      </c>
      <c r="C170" s="71"/>
      <c r="D170" s="50" t="str">
        <f>VLOOKUP(A170,'Componentes APUs'!$A$1:$D$14,3,0)</f>
        <v>U</v>
      </c>
      <c r="E170" s="50">
        <f>SUM(C150:C155)</f>
        <v>2.25</v>
      </c>
      <c r="F170" s="51">
        <f>VLOOKUP(A170,'Componentes APUs'!$A$1:$D$14,4,0)</f>
        <v>8585.8585858585866</v>
      </c>
      <c r="G170" s="51">
        <f>ROUNDUP(F170*(E170/21)/E138,0)</f>
        <v>460</v>
      </c>
      <c r="I170" s="91"/>
    </row>
    <row r="171" spans="1:9" x14ac:dyDescent="0.25">
      <c r="A171" s="69" t="s">
        <v>73</v>
      </c>
      <c r="B171" s="72" t="str">
        <f>VLOOKUP(A171,'Componentes APUs'!$A$1:$D$14,2,0)</f>
        <v>Bota de seguridad dielectrica</v>
      </c>
      <c r="C171" s="73"/>
      <c r="D171" s="70" t="str">
        <f>VLOOKUP(A171,'Componentes APUs'!$A$1:$D$14,3,0)</f>
        <v>Par</v>
      </c>
      <c r="E171" s="50">
        <f>SUM(C150:C155)</f>
        <v>2.25</v>
      </c>
      <c r="F171" s="51">
        <f>VLOOKUP(A171,'Componentes APUs'!$A$1:$D$14,4,0)</f>
        <v>7500</v>
      </c>
      <c r="G171" s="51">
        <f>ROUNDUP(F171*(E171/21)/E138,0)</f>
        <v>402</v>
      </c>
    </row>
    <row r="172" spans="1:9" ht="15" customHeight="1" x14ac:dyDescent="0.25">
      <c r="A172" s="50" t="s">
        <v>76</v>
      </c>
      <c r="B172" s="72" t="str">
        <f>VLOOKUP(A172,'Componentes APUs'!$A$1:$D$14,2,0)</f>
        <v>Casco dielectrico Tipo 1 Clase E con barbuquejo</v>
      </c>
      <c r="C172" s="73"/>
      <c r="D172" s="50" t="str">
        <f>VLOOKUP(A172,'Componentes APUs'!$A$1:$D$14,3,0)</f>
        <v>U</v>
      </c>
      <c r="E172" s="50">
        <f>C150+C151+C153+C154+C155+IF(A152&lt;&gt;"MO-3",C152,0)</f>
        <v>2.25</v>
      </c>
      <c r="F172" s="51">
        <f>VLOOKUP(A172,'Componentes APUs'!$A$1:$D$14,4,0)</f>
        <v>10101.010101010101</v>
      </c>
      <c r="G172" s="51">
        <f>ROUNDUP(F172*(E172/21)/E138,0)</f>
        <v>542</v>
      </c>
    </row>
    <row r="173" spans="1:9" x14ac:dyDescent="0.25">
      <c r="A173" s="69" t="s">
        <v>77</v>
      </c>
      <c r="B173" s="72" t="str">
        <f>VLOOKUP(A173,'Componentes APUs'!$A$1:$D$14,2,0)</f>
        <v>Correa plastica y antiflama</v>
      </c>
      <c r="C173" s="73"/>
      <c r="D173" s="50" t="str">
        <f>VLOOKUP(A173,'Componentes APUs'!$A$1:$D$14,3,0)</f>
        <v>U</v>
      </c>
      <c r="E173" s="50">
        <f>SUM(C150:C155)</f>
        <v>2.25</v>
      </c>
      <c r="F173" s="51">
        <f>VLOOKUP(A173,'Componentes APUs'!$A$1:$D$14,4,0)</f>
        <v>3787.878787878788</v>
      </c>
      <c r="G173" s="51">
        <f>ROUNDUP(F173*(E173/21)/E138,0)</f>
        <v>203</v>
      </c>
    </row>
    <row r="174" spans="1:9" x14ac:dyDescent="0.25">
      <c r="A174" s="50" t="s">
        <v>79</v>
      </c>
      <c r="B174" s="72" t="str">
        <f>VLOOKUP(A174,'Componentes APUs'!$A$1:$D$14,2,0)</f>
        <v>Gafas protectoras filtro UV</v>
      </c>
      <c r="C174" s="73"/>
      <c r="D174" s="50" t="str">
        <f>VLOOKUP(A174,'Componentes APUs'!$A$1:$D$14,3,0)</f>
        <v>U</v>
      </c>
      <c r="E174" s="50">
        <f>SUM(C150:C155)</f>
        <v>2.25</v>
      </c>
      <c r="F174" s="51">
        <f>VLOOKUP(A174,'Componentes APUs'!$A$1:$D$14,4,0)</f>
        <v>2777.7777777777778</v>
      </c>
      <c r="G174" s="51">
        <f>ROUNDUP(F174*(E174/21)/E138,0)</f>
        <v>149</v>
      </c>
    </row>
    <row r="175" spans="1:9" ht="15" customHeight="1" x14ac:dyDescent="0.25">
      <c r="A175" s="69" t="s">
        <v>402</v>
      </c>
      <c r="B175" s="72" t="str">
        <f>VLOOKUP(A175,'Componentes APUs'!$A$1:$D$14,2,0)</f>
        <v>Bota de seguridad PVC dielectrica</v>
      </c>
      <c r="C175" s="73"/>
      <c r="D175" s="50" t="str">
        <f>VLOOKUP(A175,'Componentes APUs'!$A$1:$D$14,3,0)</f>
        <v>Par</v>
      </c>
      <c r="E175" s="50">
        <f>SUM(C150:C155)</f>
        <v>2.25</v>
      </c>
      <c r="F175" s="51">
        <f>VLOOKUP(A175,'Componentes APUs'!$A$1:$D$14,4,0)</f>
        <v>2916.6666666666665</v>
      </c>
      <c r="G175" s="51">
        <f>ROUNDUP(F175*(E175/21)/E138,0)</f>
        <v>157</v>
      </c>
    </row>
    <row r="176" spans="1:9" x14ac:dyDescent="0.25">
      <c r="A176" s="50" t="s">
        <v>403</v>
      </c>
      <c r="B176" s="72" t="str">
        <f>VLOOKUP(A176,'Componentes APUs'!$A$1:$D$14,2,0)</f>
        <v>Capuchon</v>
      </c>
      <c r="C176" s="73"/>
      <c r="D176" s="50" t="str">
        <f>VLOOKUP(A176,'Componentes APUs'!$A$1:$D$14,3,0)</f>
        <v>U</v>
      </c>
      <c r="E176" s="50">
        <f>SUM(C150:C155)</f>
        <v>2.25</v>
      </c>
      <c r="F176" s="51">
        <f>VLOOKUP(A176,'Componentes APUs'!$A$1:$D$14,4,0)</f>
        <v>2525.2525252525252</v>
      </c>
      <c r="G176" s="51">
        <f>ROUNDUP(F176*(E176/21)/E138,0)</f>
        <v>136</v>
      </c>
    </row>
    <row r="177" spans="1:7" ht="15" customHeight="1" x14ac:dyDescent="0.25">
      <c r="A177" s="69" t="s">
        <v>81</v>
      </c>
      <c r="B177" s="72" t="str">
        <f>VLOOKUP(A177,'Componentes APUs'!$A$1:$D$14,2,0)</f>
        <v>Guantes Protectores  - ingeniero reforzados</v>
      </c>
      <c r="C177" s="73"/>
      <c r="D177" s="50" t="str">
        <f>VLOOKUP(A177,'Componentes APUs'!$A$1:$D$14,3,0)</f>
        <v>Par</v>
      </c>
      <c r="E177" s="50">
        <f>C152+C153+C155</f>
        <v>1</v>
      </c>
      <c r="F177" s="51">
        <f>VLOOKUP(A177,'Componentes APUs'!$A$1:$D$14,4,0)</f>
        <v>2525.2525252525252</v>
      </c>
      <c r="G177" s="51">
        <f>ROUNDUP(F177*(E177/21)/E138,0)</f>
        <v>61</v>
      </c>
    </row>
    <row r="178" spans="1:7" x14ac:dyDescent="0.25">
      <c r="A178" s="50" t="s">
        <v>83</v>
      </c>
      <c r="B178" s="72" t="str">
        <f>VLOOKUP(A178,'Componentes APUs'!$A$1:$D$14,2,0)</f>
        <v>Impermeable (pantalon camisa)</v>
      </c>
      <c r="C178" s="73"/>
      <c r="D178" s="50" t="str">
        <f>VLOOKUP(A178,'Componentes APUs'!$A$1:$D$14,3,0)</f>
        <v>U</v>
      </c>
      <c r="E178" s="50">
        <f>SUM(C150:C155)</f>
        <v>2.25</v>
      </c>
      <c r="F178" s="51">
        <f>VLOOKUP(A178,'Componentes APUs'!$A$1:$D$14,4,0)</f>
        <v>3750</v>
      </c>
      <c r="G178" s="51">
        <f>ROUNDUP(F178*(E178/21)/E138,0)</f>
        <v>201</v>
      </c>
    </row>
    <row r="179" spans="1:7" x14ac:dyDescent="0.25">
      <c r="A179" s="69" t="s">
        <v>85</v>
      </c>
      <c r="B179" s="72" t="str">
        <f>VLOOKUP(A179,'Componentes APUs'!$A$1:$D$14,2,0)</f>
        <v>Jean Dielectrico</v>
      </c>
      <c r="C179" s="73"/>
      <c r="D179" s="50" t="str">
        <f>VLOOKUP(A179,'Componentes APUs'!$A$1:$D$14,3,0)</f>
        <v>U</v>
      </c>
      <c r="E179" s="50">
        <f>SUM(C150:C155)</f>
        <v>2.25</v>
      </c>
      <c r="F179" s="51">
        <f>VLOOKUP(A179,'Componentes APUs'!$A$1:$D$14,4,0)</f>
        <v>7575.757575757576</v>
      </c>
      <c r="G179" s="51">
        <f>ROUNDUP(F179*(E179/21)/E138,0)</f>
        <v>406</v>
      </c>
    </row>
    <row r="180" spans="1:7" ht="15" customHeight="1" x14ac:dyDescent="0.25">
      <c r="A180" s="50" t="s">
        <v>87</v>
      </c>
      <c r="B180" s="72" t="str">
        <f>VLOOKUP(A180,'Componentes APUs'!$A$1:$D$14,2,0)</f>
        <v>Casco dielectrico Tipo 2 Clase E con barboquejo</v>
      </c>
      <c r="C180" s="73"/>
      <c r="D180" s="50" t="str">
        <f>VLOOKUP(A180,'Componentes APUs'!$A$1:$D$14,3,0)</f>
        <v>U</v>
      </c>
      <c r="E180" s="53">
        <f>IF(A152="MO-3",C152,0)</f>
        <v>0</v>
      </c>
      <c r="F180" s="51">
        <f>VLOOKUP(A180,'Componentes APUs'!$A$1:$D$14,4,0)</f>
        <v>7500</v>
      </c>
      <c r="G180" s="51">
        <f>ROUNDUP(F180*(E180/21)/E138,0)</f>
        <v>0</v>
      </c>
    </row>
    <row r="181" spans="1:7" ht="15" customHeight="1" x14ac:dyDescent="0.25">
      <c r="A181" s="69" t="s">
        <v>89</v>
      </c>
      <c r="B181" s="72" t="str">
        <f>VLOOKUP(A181,'Componentes APUs'!$A$1:$D$14,2,0)</f>
        <v>Kit de rescate para trabajo en alturas</v>
      </c>
      <c r="C181" s="73"/>
      <c r="D181" s="50" t="str">
        <f>VLOOKUP(A181,'Componentes APUs'!$A$1:$D$14,3,0)</f>
        <v>U</v>
      </c>
      <c r="E181" s="50">
        <f>IF(AND(A152="MO-3",C152=2),1,0)</f>
        <v>0</v>
      </c>
      <c r="F181" s="51">
        <f>VLOOKUP(A181,'Componentes APUs'!$A$1:$D$14,4,0)</f>
        <v>37500</v>
      </c>
      <c r="G181" s="51">
        <f>ROUNDUP(F181*(E181/21)/E138,0)</f>
        <v>0</v>
      </c>
    </row>
    <row r="182" spans="1:7" x14ac:dyDescent="0.25">
      <c r="A182" s="50" t="s">
        <v>91</v>
      </c>
      <c r="B182" s="72" t="str">
        <f>VLOOKUP(A182,'Componentes APUs'!$A$1:$D$14,2,0)</f>
        <v>Equipo completo para trabajo en alturas con pretales (Arnes dielectrico, 1 mosqueton de seguridad, tie off dielectrico, eslinga de posicionamiento, juego de pretales)</v>
      </c>
      <c r="C182" s="73"/>
      <c r="D182" s="50" t="str">
        <f>VLOOKUP(A182,'Componentes APUs'!$A$1:$D$14,3,0)</f>
        <v>U</v>
      </c>
      <c r="E182" s="50">
        <f>IF(A152="MO-3",C152,0)</f>
        <v>0</v>
      </c>
      <c r="F182" s="51">
        <f>VLOOKUP(A182,'Componentes APUs'!$A$1:$D$14,4,0)</f>
        <v>26041.666666666668</v>
      </c>
      <c r="G182" s="51">
        <f>ROUNDUP(F182*(E182/21)/E138,0)</f>
        <v>0</v>
      </c>
    </row>
    <row r="183" spans="1:7" x14ac:dyDescent="0.25">
      <c r="A183" s="219" t="s">
        <v>95</v>
      </c>
      <c r="B183" s="219"/>
      <c r="C183" s="219"/>
      <c r="D183" s="219"/>
      <c r="E183" s="219"/>
      <c r="F183" s="219"/>
      <c r="G183" s="52">
        <f>SUM(G170:G182)</f>
        <v>2717</v>
      </c>
    </row>
    <row r="184" spans="1:7" x14ac:dyDescent="0.25">
      <c r="A184" s="56"/>
      <c r="B184" s="57"/>
      <c r="C184" s="57"/>
      <c r="D184" s="57"/>
      <c r="E184" s="57"/>
      <c r="F184" s="57"/>
      <c r="G184" s="58"/>
    </row>
    <row r="185" spans="1:7" x14ac:dyDescent="0.25">
      <c r="A185" s="219" t="s">
        <v>96</v>
      </c>
      <c r="B185" s="219"/>
      <c r="C185" s="219"/>
      <c r="D185" s="219"/>
      <c r="E185" s="219"/>
      <c r="F185" s="219"/>
      <c r="G185" s="219"/>
    </row>
    <row r="186" spans="1:7" x14ac:dyDescent="0.25">
      <c r="A186" s="49" t="s">
        <v>35</v>
      </c>
      <c r="B186" s="225" t="s">
        <v>36</v>
      </c>
      <c r="C186" s="225"/>
      <c r="D186" s="49" t="s">
        <v>37</v>
      </c>
      <c r="E186" s="49" t="s">
        <v>38</v>
      </c>
      <c r="F186" s="49" t="s">
        <v>39</v>
      </c>
      <c r="G186" s="49" t="s">
        <v>40</v>
      </c>
    </row>
    <row r="187" spans="1:7" x14ac:dyDescent="0.25">
      <c r="A187" s="69" t="s">
        <v>97</v>
      </c>
      <c r="B187" s="72" t="str">
        <f>VLOOKUP(A187,'Componentes APUs'!$N$1:$Q$30,2,0)</f>
        <v>Camioneta</v>
      </c>
      <c r="C187" s="73"/>
      <c r="D187" s="70" t="str">
        <f>VLOOKUP(A187,'Componentes APUs'!$N$1:$Q$30,3,0)</f>
        <v>U</v>
      </c>
      <c r="E187" s="50">
        <v>1</v>
      </c>
      <c r="F187" s="51">
        <f>VLOOKUP(A187,'Componentes APUs'!$N$1:$Q$30,4,0)</f>
        <v>5500000</v>
      </c>
      <c r="G187" s="51">
        <f>IFERROR(ROUNDUP(F187*(E187/21)/E138,0),"-")</f>
        <v>130953</v>
      </c>
    </row>
    <row r="188" spans="1:7" x14ac:dyDescent="0.25">
      <c r="A188" s="50" t="s">
        <v>1391</v>
      </c>
      <c r="B188" s="72" t="str">
        <f>VLOOKUP(A188,'Componentes APUs'!$N$1:$Q$30,2,0)</f>
        <v>Rodillo Ligero</v>
      </c>
      <c r="C188" s="73"/>
      <c r="D188" s="70" t="str">
        <f>VLOOKUP(A188,'Componentes APUs'!$N$1:$Q$30,3,0)</f>
        <v>U</v>
      </c>
      <c r="E188" s="50">
        <v>0</v>
      </c>
      <c r="F188" s="51">
        <f>VLOOKUP(A188,'Componentes APUs'!$N$1:$Q$30,4,0)</f>
        <v>1675800</v>
      </c>
      <c r="G188" s="51">
        <f>IFERROR(ROUNDUP(F188*(E188/21)/E138,0),"-")</f>
        <v>0</v>
      </c>
    </row>
    <row r="189" spans="1:7" x14ac:dyDescent="0.25">
      <c r="A189" s="50" t="s">
        <v>1392</v>
      </c>
      <c r="B189" s="72" t="str">
        <f>VLOOKUP(A189,'Componentes APUs'!$N$1:$Q$30,2,0)</f>
        <v>Motocultor</v>
      </c>
      <c r="C189" s="73"/>
      <c r="D189" s="70" t="str">
        <f>VLOOKUP(A189,'Componentes APUs'!$N$1:$Q$30,3,0)</f>
        <v>U</v>
      </c>
      <c r="E189" s="50">
        <v>0</v>
      </c>
      <c r="F189" s="51">
        <f>VLOOKUP(A189,'Componentes APUs'!$N$1:$Q$30,4,0)</f>
        <v>1292760</v>
      </c>
      <c r="G189" s="51">
        <f>IFERROR(ROUNDUP(F189*(E189/21)/E138,0),"-")</f>
        <v>0</v>
      </c>
    </row>
    <row r="190" spans="1:7" x14ac:dyDescent="0.25">
      <c r="A190" s="50" t="s">
        <v>323</v>
      </c>
      <c r="B190" s="72" t="str">
        <f>VLOOKUP(A190,'Componentes APUs'!$N$1:$Q$30,2,0)</f>
        <v>Volqueta</v>
      </c>
      <c r="C190" s="73"/>
      <c r="D190" s="70" t="str">
        <f>VLOOKUP(A190,'Componentes APUs'!$N$1:$Q$30,3,0)</f>
        <v>U</v>
      </c>
      <c r="E190" s="50">
        <v>0</v>
      </c>
      <c r="F190" s="51">
        <f>VLOOKUP(A190,'Componentes APUs'!$N$1:$Q$30,4,0)</f>
        <v>14828184</v>
      </c>
      <c r="G190" s="51">
        <f>IFERROR(ROUNDUP(F190*(E190/21)/E138,0),"-")</f>
        <v>0</v>
      </c>
    </row>
    <row r="191" spans="1:7" x14ac:dyDescent="0.25">
      <c r="A191" s="69" t="s">
        <v>324</v>
      </c>
      <c r="B191" s="72" t="str">
        <f>VLOOKUP(A191,'Componentes APUs'!$N$1:$Q$30,2,0)</f>
        <v>Retroexcavadora</v>
      </c>
      <c r="C191" s="73"/>
      <c r="D191" s="70" t="str">
        <f>VLOOKUP(A191,'Componentes APUs'!$N$1:$Q$30,3,0)</f>
        <v>U</v>
      </c>
      <c r="E191" s="50">
        <v>0</v>
      </c>
      <c r="F191" s="51">
        <f>VLOOKUP(A191,'Componentes APUs'!$N$1:$Q$30,4,0)</f>
        <v>46030656</v>
      </c>
      <c r="G191" s="51">
        <f>IFERROR(ROUNDUP(F191*(E191/21)/E138,0),"-")</f>
        <v>0</v>
      </c>
    </row>
    <row r="192" spans="1:7" x14ac:dyDescent="0.25">
      <c r="A192" s="219" t="s">
        <v>99</v>
      </c>
      <c r="B192" s="219"/>
      <c r="C192" s="219"/>
      <c r="D192" s="219"/>
      <c r="E192" s="219"/>
      <c r="F192" s="219"/>
      <c r="G192" s="52">
        <f>SUM(G187:G191)</f>
        <v>130953</v>
      </c>
    </row>
    <row r="193" spans="1:8" x14ac:dyDescent="0.25">
      <c r="A193" s="56"/>
      <c r="B193" s="57"/>
      <c r="C193" s="57"/>
      <c r="D193" s="57"/>
      <c r="E193" s="57"/>
      <c r="F193" s="57"/>
      <c r="G193" s="58"/>
    </row>
    <row r="194" spans="1:8" x14ac:dyDescent="0.25">
      <c r="A194" s="219" t="s">
        <v>1516</v>
      </c>
      <c r="B194" s="219"/>
      <c r="C194" s="219"/>
      <c r="D194" s="219"/>
      <c r="E194" s="219"/>
      <c r="F194" s="219"/>
      <c r="G194" s="52">
        <f>G192+G183+G166+G156+G146</f>
        <v>5491990</v>
      </c>
    </row>
    <row r="195" spans="1:8" x14ac:dyDescent="0.25">
      <c r="A195" s="59"/>
      <c r="B195" s="60"/>
      <c r="C195" s="60"/>
      <c r="D195" s="60"/>
      <c r="E195" s="57"/>
      <c r="F195" s="57"/>
      <c r="G195" s="58"/>
    </row>
    <row r="196" spans="1:8" x14ac:dyDescent="0.25">
      <c r="A196" s="64"/>
      <c r="D196" s="55"/>
      <c r="E196" s="49" t="s">
        <v>25</v>
      </c>
      <c r="F196" s="54">
        <v>0.15</v>
      </c>
      <c r="G196" s="51">
        <f>G194*F196</f>
        <v>823798.5</v>
      </c>
    </row>
    <row r="197" spans="1:8" x14ac:dyDescent="0.25">
      <c r="A197" s="64"/>
      <c r="D197" s="55"/>
      <c r="E197" s="49" t="s">
        <v>26</v>
      </c>
      <c r="F197" s="54">
        <v>0.05</v>
      </c>
      <c r="G197" s="51">
        <f>G194*F197</f>
        <v>274599.5</v>
      </c>
    </row>
    <row r="198" spans="1:8" x14ac:dyDescent="0.25">
      <c r="A198" s="61"/>
      <c r="B198" s="65"/>
      <c r="C198" s="65"/>
      <c r="D198" s="62"/>
      <c r="E198" s="49" t="s">
        <v>27</v>
      </c>
      <c r="F198" s="54">
        <v>0.05</v>
      </c>
      <c r="G198" s="51">
        <f>G194*F198</f>
        <v>274599.5</v>
      </c>
    </row>
    <row r="199" spans="1:8" x14ac:dyDescent="0.25">
      <c r="A199" s="61"/>
      <c r="B199" s="62"/>
      <c r="C199" s="62"/>
      <c r="D199" s="62"/>
      <c r="E199" s="62"/>
      <c r="F199" s="62"/>
      <c r="G199" s="63"/>
    </row>
    <row r="200" spans="1:8" x14ac:dyDescent="0.25">
      <c r="A200" s="219" t="s">
        <v>1517</v>
      </c>
      <c r="B200" s="219"/>
      <c r="C200" s="219"/>
      <c r="D200" s="219"/>
      <c r="E200" s="219"/>
      <c r="F200" s="219"/>
      <c r="G200" s="52">
        <f>G194+G196+G197+G198</f>
        <v>6864987.5</v>
      </c>
    </row>
    <row r="201" spans="1:8" x14ac:dyDescent="0.25">
      <c r="A201" s="59"/>
      <c r="B201" s="60"/>
      <c r="C201" s="60"/>
      <c r="D201" s="60"/>
      <c r="E201" s="57"/>
      <c r="F201" s="57"/>
      <c r="G201" s="58"/>
    </row>
    <row r="202" spans="1:8" x14ac:dyDescent="0.25">
      <c r="A202" s="64"/>
      <c r="D202" s="55"/>
      <c r="E202" s="49" t="s">
        <v>102</v>
      </c>
      <c r="F202" s="49" t="s">
        <v>103</v>
      </c>
      <c r="G202" s="51">
        <f>G198*19%</f>
        <v>52173.904999999999</v>
      </c>
    </row>
    <row r="203" spans="1:8" x14ac:dyDescent="0.25">
      <c r="A203" s="61"/>
      <c r="B203" s="62"/>
      <c r="C203" s="62"/>
      <c r="D203" s="62"/>
      <c r="E203" s="57"/>
      <c r="F203" s="57"/>
      <c r="G203" s="58"/>
    </row>
    <row r="204" spans="1:8" x14ac:dyDescent="0.25">
      <c r="A204" s="219" t="s">
        <v>104</v>
      </c>
      <c r="B204" s="219"/>
      <c r="C204" s="219"/>
      <c r="D204" s="219"/>
      <c r="E204" s="219"/>
      <c r="F204" s="219"/>
      <c r="G204" s="52">
        <f>G202+G200</f>
        <v>6917161.4050000003</v>
      </c>
    </row>
    <row r="206" spans="1:8" x14ac:dyDescent="0.25">
      <c r="A206" s="74" t="s">
        <v>29</v>
      </c>
      <c r="B206" s="226" t="s">
        <v>30</v>
      </c>
      <c r="C206" s="226"/>
      <c r="D206" s="74" t="s">
        <v>31</v>
      </c>
      <c r="E206" s="74" t="s">
        <v>32</v>
      </c>
      <c r="F206" s="74" t="s">
        <v>189</v>
      </c>
      <c r="G206" s="74" t="s">
        <v>33</v>
      </c>
    </row>
    <row r="207" spans="1:8" ht="32.25" customHeight="1" x14ac:dyDescent="0.25">
      <c r="A207" s="50" t="str">
        <f>Presupuesto!B9</f>
        <v>004_OC</v>
      </c>
      <c r="B207" s="229" t="str">
        <f>Presupuesto!C9</f>
        <v xml:space="preserve">DESCAPOTE Y LIMPIEZA DE TERRENO </v>
      </c>
      <c r="C207" s="230"/>
      <c r="D207" s="50" t="s">
        <v>113</v>
      </c>
      <c r="E207" s="102">
        <v>70</v>
      </c>
      <c r="F207" s="50"/>
      <c r="G207" s="51">
        <f>G273</f>
        <v>43015.703500000003</v>
      </c>
      <c r="H207" s="45"/>
    </row>
    <row r="208" spans="1:8" x14ac:dyDescent="0.25">
      <c r="A208" s="219" t="s">
        <v>34</v>
      </c>
      <c r="B208" s="219"/>
      <c r="C208" s="219"/>
      <c r="D208" s="219"/>
      <c r="E208" s="219"/>
      <c r="F208" s="219"/>
      <c r="G208" s="219"/>
    </row>
    <row r="209" spans="1:8" x14ac:dyDescent="0.25">
      <c r="A209" s="49" t="s">
        <v>35</v>
      </c>
      <c r="B209" s="219" t="s">
        <v>36</v>
      </c>
      <c r="C209" s="219"/>
      <c r="D209" s="49" t="s">
        <v>37</v>
      </c>
      <c r="E209" s="49" t="s">
        <v>38</v>
      </c>
      <c r="F209" s="49" t="s">
        <v>39</v>
      </c>
      <c r="G209" s="49" t="s">
        <v>40</v>
      </c>
    </row>
    <row r="210" spans="1:8" x14ac:dyDescent="0.25">
      <c r="A210" s="50">
        <f>Material!A783</f>
        <v>0</v>
      </c>
      <c r="B210" s="72" t="str">
        <f>IFERROR(VLOOKUP(A210,Material!$A:$H,2,0),"-")</f>
        <v>-</v>
      </c>
      <c r="C210" s="76"/>
      <c r="D210" s="50" t="str">
        <f>IFERROR(VLOOKUP(A210,Material!$A:$H,4,0),"-")</f>
        <v>-</v>
      </c>
      <c r="E210" s="50">
        <v>1</v>
      </c>
      <c r="F210" s="51" t="str">
        <f>IFERROR(VLOOKUP(A210,Material!$A:$H,3,0),"-")</f>
        <v>-</v>
      </c>
      <c r="G210" s="51" t="str">
        <f>IFERROR(ROUNDUP(F210*E210,0),"-")</f>
        <v>-</v>
      </c>
    </row>
    <row r="211" spans="1:8" x14ac:dyDescent="0.25">
      <c r="A211" s="50"/>
      <c r="B211" s="72" t="str">
        <f>IFERROR(VLOOKUP(A211,Material!$A:$H,2,0),"-")</f>
        <v>-</v>
      </c>
      <c r="C211" s="76"/>
      <c r="D211" s="50" t="str">
        <f>IFERROR(VLOOKUP(A211,Material!$A:$H,4,0),"-")</f>
        <v>-</v>
      </c>
      <c r="E211" s="50"/>
      <c r="F211" s="51" t="str">
        <f>IFERROR(VLOOKUP(A211,Material!$A:$H,3,0),"-")</f>
        <v>-</v>
      </c>
      <c r="G211" s="51" t="str">
        <f>IFERROR(ROUNDUP(F211*E211,0),"-")</f>
        <v>-</v>
      </c>
    </row>
    <row r="212" spans="1:8" x14ac:dyDescent="0.25">
      <c r="A212" s="50"/>
      <c r="B212" s="72" t="str">
        <f>IFERROR(VLOOKUP(A212,Material!$A:$H,2,0),"-")</f>
        <v>-</v>
      </c>
      <c r="C212" s="76"/>
      <c r="D212" s="50" t="str">
        <f>IFERROR(VLOOKUP(A212,Material!$A:$H,4,0),"-")</f>
        <v>-</v>
      </c>
      <c r="E212" s="50"/>
      <c r="F212" s="51" t="str">
        <f>IFERROR(VLOOKUP(A212,Material!$A:$H,3,0),"-")</f>
        <v>-</v>
      </c>
      <c r="G212" s="51" t="str">
        <f>IFERROR(ROUNDUP(F212*E212,0),"-")</f>
        <v>-</v>
      </c>
    </row>
    <row r="213" spans="1:8" x14ac:dyDescent="0.25">
      <c r="A213" s="50"/>
      <c r="B213" s="72" t="str">
        <f>IFERROR(VLOOKUP(A213,Material!$A:$H,2,0),"-")</f>
        <v>-</v>
      </c>
      <c r="C213" s="76"/>
      <c r="D213" s="50" t="str">
        <f>IFERROR(VLOOKUP(A213,Material!$A:$H,4,0),"-")</f>
        <v>-</v>
      </c>
      <c r="E213" s="50"/>
      <c r="F213" s="51" t="str">
        <f>IFERROR(VLOOKUP(A213,Material!$A:$H,3,0),"-")</f>
        <v>-</v>
      </c>
      <c r="G213" s="51" t="str">
        <f>IFERROR(ROUNDUP(F213*E213,0),"-")</f>
        <v>-</v>
      </c>
    </row>
    <row r="214" spans="1:8" x14ac:dyDescent="0.25">
      <c r="A214" s="50"/>
      <c r="B214" s="72"/>
      <c r="C214" s="76"/>
      <c r="D214" s="50"/>
      <c r="E214" s="50"/>
      <c r="F214" s="51"/>
      <c r="G214" s="51"/>
      <c r="H214" s="92"/>
    </row>
    <row r="215" spans="1:8" x14ac:dyDescent="0.25">
      <c r="A215" s="219" t="s">
        <v>41</v>
      </c>
      <c r="B215" s="219"/>
      <c r="C215" s="219"/>
      <c r="D215" s="219"/>
      <c r="E215" s="219"/>
      <c r="F215" s="219"/>
      <c r="G215" s="52">
        <f>SUM(G210:G214)</f>
        <v>0</v>
      </c>
    </row>
    <row r="216" spans="1:8" x14ac:dyDescent="0.25">
      <c r="A216" s="56"/>
      <c r="B216" s="57"/>
      <c r="C216" s="57"/>
      <c r="D216" s="57"/>
      <c r="E216" s="57"/>
      <c r="F216" s="57"/>
      <c r="G216" s="58"/>
    </row>
    <row r="217" spans="1:8" x14ac:dyDescent="0.25">
      <c r="A217" s="219" t="s">
        <v>42</v>
      </c>
      <c r="B217" s="219"/>
      <c r="C217" s="219"/>
      <c r="D217" s="219"/>
      <c r="E217" s="219"/>
      <c r="F217" s="219"/>
      <c r="G217" s="219"/>
    </row>
    <row r="218" spans="1:8" x14ac:dyDescent="0.25">
      <c r="A218" s="49" t="s">
        <v>35</v>
      </c>
      <c r="B218" s="49" t="s">
        <v>36</v>
      </c>
      <c r="C218" s="49" t="s">
        <v>38</v>
      </c>
      <c r="D218" s="49" t="s">
        <v>43</v>
      </c>
      <c r="E218" s="49" t="s">
        <v>44</v>
      </c>
      <c r="F218" s="49" t="s">
        <v>45</v>
      </c>
      <c r="G218" s="49" t="s">
        <v>40</v>
      </c>
    </row>
    <row r="219" spans="1:8" x14ac:dyDescent="0.25">
      <c r="A219" s="50" t="s">
        <v>319</v>
      </c>
      <c r="B219" s="68" t="str">
        <f>VLOOKUP(A219,'Componentes APUs'!$H$1:$L$25,2,0)</f>
        <v>Ingeniero Residente de Obra</v>
      </c>
      <c r="C219" s="93">
        <v>0</v>
      </c>
      <c r="D219" s="50">
        <f>VLOOKUP(A219,'Componentes APUs'!$H$1:$L$25,3,0)</f>
        <v>4</v>
      </c>
      <c r="E219" s="51">
        <f>VLOOKUP(A219,'Componentes APUs'!$H$1:$L$25,4,0)</f>
        <v>271142.85714285716</v>
      </c>
      <c r="F219" s="51">
        <f>VLOOKUP(A219,'Componentes APUs'!$H$1:$L$25,5,0)</f>
        <v>162685.71428571429</v>
      </c>
      <c r="G219" s="51">
        <f>ROUNDUP((E219+F219)*C219/E207,0)</f>
        <v>0</v>
      </c>
      <c r="H219" s="66"/>
    </row>
    <row r="220" spans="1:8" x14ac:dyDescent="0.25">
      <c r="A220" s="50" t="s">
        <v>46</v>
      </c>
      <c r="B220" s="68" t="str">
        <f>VLOOKUP(A220,'Componentes APUs'!$H$1:$L$25,2,0)</f>
        <v>Tecnico Liniero</v>
      </c>
      <c r="C220" s="93">
        <v>0</v>
      </c>
      <c r="D220" s="50">
        <f>VLOOKUP(A220,'Componentes APUs'!$H$1:$L$25,3,0)</f>
        <v>2</v>
      </c>
      <c r="E220" s="51">
        <f>VLOOKUP(A220,'Componentes APUs'!$H$1:$L$25,4,0)</f>
        <v>154619.04761904763</v>
      </c>
      <c r="F220" s="51">
        <f>VLOOKUP(A220,'Componentes APUs'!$H$1:$L$25,5,0)</f>
        <v>92771.42857142858</v>
      </c>
      <c r="G220" s="51">
        <f>ROUNDUP((E220+F220)*C220/E207,0)</f>
        <v>0</v>
      </c>
    </row>
    <row r="221" spans="1:8" x14ac:dyDescent="0.25">
      <c r="A221" s="50" t="s">
        <v>54</v>
      </c>
      <c r="B221" s="68" t="str">
        <f>VLOOKUP(A221,'Componentes APUs'!$H$1:$L$25,2,0)</f>
        <v>Maestro de obra civil</v>
      </c>
      <c r="C221" s="93">
        <v>0</v>
      </c>
      <c r="D221" s="50">
        <f>VLOOKUP(A221,'Componentes APUs'!$H$1:$L$25,3,0)</f>
        <v>2.5</v>
      </c>
      <c r="E221" s="51">
        <f>VLOOKUP(A221,'Componentes APUs'!$H$1:$L$25,4,0)</f>
        <v>169464.28571428571</v>
      </c>
      <c r="F221" s="51">
        <f>VLOOKUP(A221,'Componentes APUs'!$H$1:$L$25,5,0)</f>
        <v>101678.57142857142</v>
      </c>
      <c r="G221" s="51">
        <f>ROUNDUP((E221+F221)*C221/E207,0)</f>
        <v>0</v>
      </c>
    </row>
    <row r="222" spans="1:8" x14ac:dyDescent="0.25">
      <c r="A222" s="50" t="s">
        <v>1110</v>
      </c>
      <c r="B222" s="68" t="str">
        <f>VLOOKUP(A222,'Componentes APUs'!$H$1:$L$25,2,0)</f>
        <v>Oficial de Obra Civil</v>
      </c>
      <c r="C222" s="93">
        <v>0</v>
      </c>
      <c r="D222" s="50">
        <f>VLOOKUP(A222,'Componentes APUs'!$H$1:$L$25,3,0)</f>
        <v>1.5</v>
      </c>
      <c r="E222" s="51">
        <f>VLOOKUP(A222,'Componentes APUs'!$H$1:$L$25,4,0)</f>
        <v>115964.28571428571</v>
      </c>
      <c r="F222" s="51">
        <f>VLOOKUP(A222,'Componentes APUs'!$H$1:$L$25,5,0)</f>
        <v>69578.57142857142</v>
      </c>
      <c r="G222" s="51">
        <f>ROUNDUP((E222+F222)*C222/E207,0)</f>
        <v>0</v>
      </c>
    </row>
    <row r="223" spans="1:8" x14ac:dyDescent="0.25">
      <c r="A223" s="50" t="s">
        <v>50</v>
      </c>
      <c r="B223" s="68" t="str">
        <f>VLOOKUP(A223,'Componentes APUs'!$H$1:$L$25,2,0)</f>
        <v>Profesional en SST</v>
      </c>
      <c r="C223" s="93">
        <v>0.25</v>
      </c>
      <c r="D223" s="50">
        <f>VLOOKUP(A223,'Componentes APUs'!$H$1:$L$25,3,0)</f>
        <v>2.5</v>
      </c>
      <c r="E223" s="51">
        <f>VLOOKUP(A223,'Componentes APUs'!$H$1:$L$25,4,0)</f>
        <v>169464.28571428571</v>
      </c>
      <c r="F223" s="51">
        <f>VLOOKUP(A223,'Componentes APUs'!$H$1:$L$25,5,0)</f>
        <v>101678.57142857142</v>
      </c>
      <c r="G223" s="51">
        <f>ROUNDUP((E223+F223)*C223/E207,0)</f>
        <v>969</v>
      </c>
    </row>
    <row r="224" spans="1:8" x14ac:dyDescent="0.25">
      <c r="A224" s="50" t="s">
        <v>52</v>
      </c>
      <c r="B224" s="68" t="str">
        <f>VLOOKUP(A224,'Componentes APUs'!$H$1:$L$25,2,0)</f>
        <v>Ayudante No Calificado</v>
      </c>
      <c r="C224" s="93">
        <v>1</v>
      </c>
      <c r="D224" s="50">
        <f>VLOOKUP(A224,'Componentes APUs'!$H$1:$L$25,3,0)</f>
        <v>1</v>
      </c>
      <c r="E224" s="51">
        <f>VLOOKUP(A224,'Componentes APUs'!$H$1:$L$25,4,0)</f>
        <v>77309.523809523816</v>
      </c>
      <c r="F224" s="51">
        <f>VLOOKUP(A224,'Componentes APUs'!$H$1:$L$25,5,0)</f>
        <v>46385.71428571429</v>
      </c>
      <c r="G224" s="51">
        <f>ROUNDUP((E224+F224)*C224/E207,0)</f>
        <v>1768</v>
      </c>
    </row>
    <row r="225" spans="1:9" x14ac:dyDescent="0.25">
      <c r="A225" s="219" t="s">
        <v>56</v>
      </c>
      <c r="B225" s="219"/>
      <c r="C225" s="219"/>
      <c r="D225" s="219"/>
      <c r="E225" s="219"/>
      <c r="F225" s="219"/>
      <c r="G225" s="52">
        <f>SUM(G219:G224)</f>
        <v>2737</v>
      </c>
    </row>
    <row r="226" spans="1:9" x14ac:dyDescent="0.25">
      <c r="A226" s="56"/>
      <c r="B226" s="57"/>
      <c r="C226" s="57"/>
      <c r="D226" s="57"/>
      <c r="E226" s="57"/>
      <c r="F226" s="57"/>
      <c r="G226" s="58"/>
    </row>
    <row r="227" spans="1:9" x14ac:dyDescent="0.25">
      <c r="A227" s="219" t="s">
        <v>57</v>
      </c>
      <c r="B227" s="219"/>
      <c r="C227" s="219"/>
      <c r="D227" s="219"/>
      <c r="E227" s="219"/>
      <c r="F227" s="219"/>
      <c r="G227" s="219"/>
    </row>
    <row r="228" spans="1:9" x14ac:dyDescent="0.25">
      <c r="A228" s="49" t="s">
        <v>35</v>
      </c>
      <c r="B228" s="219" t="s">
        <v>36</v>
      </c>
      <c r="C228" s="219"/>
      <c r="D228" s="49" t="s">
        <v>37</v>
      </c>
      <c r="E228" s="49" t="s">
        <v>38</v>
      </c>
      <c r="F228" s="49" t="s">
        <v>39</v>
      </c>
      <c r="G228" s="49" t="s">
        <v>40</v>
      </c>
    </row>
    <row r="229" spans="1:9" x14ac:dyDescent="0.25">
      <c r="A229" s="50" t="s">
        <v>326</v>
      </c>
      <c r="B229" s="220" t="str">
        <f>VLOOKUP(A229,'Componentes APUs'!$S$1:$V$10,2,0)</f>
        <v>Juego Llaves</v>
      </c>
      <c r="C229" s="220"/>
      <c r="D229" s="50" t="s">
        <v>18</v>
      </c>
      <c r="E229" s="50">
        <v>0</v>
      </c>
      <c r="F229" s="51">
        <f>VLOOKUP(A229,'Componentes APUs'!$S$1:$V$10,4,0)</f>
        <v>9167</v>
      </c>
      <c r="G229" s="51">
        <f>ROUNDUP(F229*((E229/21)/E207),0)</f>
        <v>0</v>
      </c>
      <c r="I229" s="91"/>
    </row>
    <row r="230" spans="1:9" x14ac:dyDescent="0.25">
      <c r="A230" s="50" t="s">
        <v>58</v>
      </c>
      <c r="B230" s="220" t="str">
        <f>VLOOKUP(A230,'Componentes APUs'!$S$1:$V$10,2,0)</f>
        <v>Manila de servicio</v>
      </c>
      <c r="C230" s="220"/>
      <c r="D230" s="50" t="s">
        <v>18</v>
      </c>
      <c r="E230" s="50">
        <v>0</v>
      </c>
      <c r="F230" s="51">
        <f>VLOOKUP(A230,'Componentes APUs'!$S$1:$V$10,4,0)</f>
        <v>2333</v>
      </c>
      <c r="G230" s="51">
        <f>ROUNDUP(F230*((E230/21)/E207),0)</f>
        <v>0</v>
      </c>
    </row>
    <row r="231" spans="1:9" x14ac:dyDescent="0.25">
      <c r="A231" s="50" t="s">
        <v>327</v>
      </c>
      <c r="B231" s="220" t="str">
        <f>VLOOKUP(A231,'Componentes APUs'!$S$1:$V$10,2,0)</f>
        <v>Tula portaherramientas</v>
      </c>
      <c r="C231" s="220"/>
      <c r="D231" s="50" t="s">
        <v>18</v>
      </c>
      <c r="E231" s="50">
        <v>0</v>
      </c>
      <c r="F231" s="51">
        <f>VLOOKUP(A231,'Componentes APUs'!$S$1:$V$10,4,0)</f>
        <v>1250</v>
      </c>
      <c r="G231" s="51">
        <f>ROUNDUP(F231*((E231/21)/E207),0)</f>
        <v>0</v>
      </c>
    </row>
    <row r="232" spans="1:9" x14ac:dyDescent="0.25">
      <c r="A232" s="50" t="s">
        <v>60</v>
      </c>
      <c r="B232" s="220" t="str">
        <f>VLOOKUP(A232,'Componentes APUs'!$S$1:$V$10,2,0)</f>
        <v>Agarradoras</v>
      </c>
      <c r="C232" s="220"/>
      <c r="D232" s="50" t="s">
        <v>18</v>
      </c>
      <c r="E232" s="50">
        <v>0</v>
      </c>
      <c r="F232" s="51">
        <f>VLOOKUP(A232,'Componentes APUs'!$S$1:$V$10,4,0)</f>
        <v>125000</v>
      </c>
      <c r="G232" s="51">
        <f>ROUNDUP(F232*((E232/21)/E207),0)</f>
        <v>0</v>
      </c>
    </row>
    <row r="233" spans="1:9" x14ac:dyDescent="0.25">
      <c r="A233" s="50" t="s">
        <v>62</v>
      </c>
      <c r="B233" s="220" t="str">
        <f>VLOOKUP(A233,'Componentes APUs'!$S$1:$V$10,2,0)</f>
        <v>Templadoras</v>
      </c>
      <c r="C233" s="220"/>
      <c r="D233" s="50" t="s">
        <v>18</v>
      </c>
      <c r="E233" s="50">
        <v>0</v>
      </c>
      <c r="F233" s="51">
        <f>VLOOKUP(A233,'Componentes APUs'!$S$1:$V$10,4,0)</f>
        <v>250000</v>
      </c>
      <c r="G233" s="51">
        <f>ROUNDUP(F233*((E233/21)/E207),0)</f>
        <v>0</v>
      </c>
    </row>
    <row r="234" spans="1:9" x14ac:dyDescent="0.25">
      <c r="A234" s="50" t="s">
        <v>328</v>
      </c>
      <c r="B234" s="220" t="str">
        <f>VLOOKUP(A234,'Componentes APUs'!$S$1:$V$10,2,0)</f>
        <v>Herramienta Menor</v>
      </c>
      <c r="C234" s="220"/>
      <c r="D234" s="50" t="s">
        <v>18</v>
      </c>
      <c r="E234" s="50">
        <v>1</v>
      </c>
      <c r="F234" s="51">
        <f>VLOOKUP(A234,'Componentes APUs'!$S$1:$V$10,4,0)</f>
        <v>75758</v>
      </c>
      <c r="G234" s="51">
        <f>ROUNDUP(F234*((E234/21)/E207),0)</f>
        <v>52</v>
      </c>
    </row>
    <row r="235" spans="1:9" x14ac:dyDescent="0.25">
      <c r="A235" s="219" t="s">
        <v>69</v>
      </c>
      <c r="B235" s="219"/>
      <c r="C235" s="219"/>
      <c r="D235" s="219"/>
      <c r="E235" s="219"/>
      <c r="F235" s="219"/>
      <c r="G235" s="52">
        <f>SUM(G229:G234)</f>
        <v>52</v>
      </c>
    </row>
    <row r="236" spans="1:9" x14ac:dyDescent="0.25">
      <c r="A236" s="56"/>
      <c r="B236" s="57"/>
      <c r="C236" s="57"/>
      <c r="D236" s="57"/>
      <c r="E236" s="57"/>
      <c r="F236" s="57"/>
      <c r="G236" s="58"/>
    </row>
    <row r="237" spans="1:9" x14ac:dyDescent="0.25">
      <c r="A237" s="219" t="s">
        <v>70</v>
      </c>
      <c r="B237" s="219"/>
      <c r="C237" s="219"/>
      <c r="D237" s="219"/>
      <c r="E237" s="219"/>
      <c r="F237" s="219"/>
      <c r="G237" s="219"/>
    </row>
    <row r="238" spans="1:9" x14ac:dyDescent="0.25">
      <c r="A238" s="49" t="s">
        <v>35</v>
      </c>
      <c r="B238" s="219" t="s">
        <v>36</v>
      </c>
      <c r="C238" s="219"/>
      <c r="D238" s="49" t="s">
        <v>37</v>
      </c>
      <c r="E238" s="49" t="s">
        <v>38</v>
      </c>
      <c r="F238" s="49" t="s">
        <v>39</v>
      </c>
      <c r="G238" s="49" t="s">
        <v>40</v>
      </c>
    </row>
    <row r="239" spans="1:9" ht="15" customHeight="1" x14ac:dyDescent="0.25">
      <c r="A239" s="50" t="s">
        <v>71</v>
      </c>
      <c r="B239" s="71" t="str">
        <f>VLOOKUP(A239,'Componentes APUs'!$A$1:$D$14,2,0)</f>
        <v>Camisa indigo sin partes metalicas</v>
      </c>
      <c r="C239" s="71"/>
      <c r="D239" s="50" t="str">
        <f>VLOOKUP(A239,'Componentes APUs'!$A$1:$D$14,3,0)</f>
        <v>U</v>
      </c>
      <c r="E239" s="50">
        <f>SUM(C219:C224)</f>
        <v>1.25</v>
      </c>
      <c r="F239" s="51">
        <f>VLOOKUP(A239,'Componentes APUs'!$A$1:$D$14,4,0)</f>
        <v>8585.8585858585866</v>
      </c>
      <c r="G239" s="51">
        <f>ROUNDUP(F239*(E239/21)/E207,0)</f>
        <v>8</v>
      </c>
      <c r="I239" s="91"/>
    </row>
    <row r="240" spans="1:9" x14ac:dyDescent="0.25">
      <c r="A240" s="69" t="s">
        <v>73</v>
      </c>
      <c r="B240" s="72" t="str">
        <f>VLOOKUP(A240,'Componentes APUs'!$A$1:$D$14,2,0)</f>
        <v>Bota de seguridad dielectrica</v>
      </c>
      <c r="C240" s="73"/>
      <c r="D240" s="70" t="str">
        <f>VLOOKUP(A240,'Componentes APUs'!$A$1:$D$14,3,0)</f>
        <v>Par</v>
      </c>
      <c r="E240" s="50">
        <f>SUM(C219:C224)</f>
        <v>1.25</v>
      </c>
      <c r="F240" s="51">
        <f>VLOOKUP(A240,'Componentes APUs'!$A$1:$D$14,4,0)</f>
        <v>7500</v>
      </c>
      <c r="G240" s="51">
        <f>ROUNDUP(F240*(E240/21)/E207,0)</f>
        <v>7</v>
      </c>
    </row>
    <row r="241" spans="1:7" ht="15" customHeight="1" x14ac:dyDescent="0.25">
      <c r="A241" s="50" t="s">
        <v>76</v>
      </c>
      <c r="B241" s="72" t="str">
        <f>VLOOKUP(A241,'Componentes APUs'!$A$1:$D$14,2,0)</f>
        <v>Casco dielectrico Tipo 1 Clase E con barbuquejo</v>
      </c>
      <c r="C241" s="73"/>
      <c r="D241" s="50" t="str">
        <f>VLOOKUP(A241,'Componentes APUs'!$A$1:$D$14,3,0)</f>
        <v>U</v>
      </c>
      <c r="E241" s="50">
        <f>C219+C220+C222+C223+C224+IF(A221&lt;&gt;"MO-3",C221,0)</f>
        <v>1.25</v>
      </c>
      <c r="F241" s="51">
        <f>VLOOKUP(A241,'Componentes APUs'!$A$1:$D$14,4,0)</f>
        <v>10101.010101010101</v>
      </c>
      <c r="G241" s="51">
        <f>ROUNDUP(F241*(E241/21)/E207,0)</f>
        <v>9</v>
      </c>
    </row>
    <row r="242" spans="1:7" x14ac:dyDescent="0.25">
      <c r="A242" s="69" t="s">
        <v>77</v>
      </c>
      <c r="B242" s="72" t="str">
        <f>VLOOKUP(A242,'Componentes APUs'!$A$1:$D$14,2,0)</f>
        <v>Correa plastica y antiflama</v>
      </c>
      <c r="C242" s="73"/>
      <c r="D242" s="50" t="str">
        <f>VLOOKUP(A242,'Componentes APUs'!$A$1:$D$14,3,0)</f>
        <v>U</v>
      </c>
      <c r="E242" s="50">
        <f>SUM(C219:C224)</f>
        <v>1.25</v>
      </c>
      <c r="F242" s="51">
        <f>VLOOKUP(A242,'Componentes APUs'!$A$1:$D$14,4,0)</f>
        <v>3787.878787878788</v>
      </c>
      <c r="G242" s="51">
        <f>ROUNDUP(F242*(E242/21)/E207,0)</f>
        <v>4</v>
      </c>
    </row>
    <row r="243" spans="1:7" x14ac:dyDescent="0.25">
      <c r="A243" s="50" t="s">
        <v>79</v>
      </c>
      <c r="B243" s="72" t="str">
        <f>VLOOKUP(A243,'Componentes APUs'!$A$1:$D$14,2,0)</f>
        <v>Gafas protectoras filtro UV</v>
      </c>
      <c r="C243" s="73"/>
      <c r="D243" s="50" t="str">
        <f>VLOOKUP(A243,'Componentes APUs'!$A$1:$D$14,3,0)</f>
        <v>U</v>
      </c>
      <c r="E243" s="50">
        <f>SUM(C219:C224)</f>
        <v>1.25</v>
      </c>
      <c r="F243" s="51">
        <f>VLOOKUP(A243,'Componentes APUs'!$A$1:$D$14,4,0)</f>
        <v>2777.7777777777778</v>
      </c>
      <c r="G243" s="51">
        <f>ROUNDUP(F243*(E243/21)/E207,0)</f>
        <v>3</v>
      </c>
    </row>
    <row r="244" spans="1:7" ht="15" customHeight="1" x14ac:dyDescent="0.25">
      <c r="A244" s="69" t="s">
        <v>402</v>
      </c>
      <c r="B244" s="72" t="str">
        <f>VLOOKUP(A244,'Componentes APUs'!$A$1:$D$14,2,0)</f>
        <v>Bota de seguridad PVC dielectrica</v>
      </c>
      <c r="C244" s="73"/>
      <c r="D244" s="50" t="str">
        <f>VLOOKUP(A244,'Componentes APUs'!$A$1:$D$14,3,0)</f>
        <v>Par</v>
      </c>
      <c r="E244" s="50">
        <f>SUM(C219:C224)</f>
        <v>1.25</v>
      </c>
      <c r="F244" s="51">
        <f>VLOOKUP(A244,'Componentes APUs'!$A$1:$D$14,4,0)</f>
        <v>2916.6666666666665</v>
      </c>
      <c r="G244" s="51">
        <f>ROUNDUP(F244*(E244/21)/E207,0)</f>
        <v>3</v>
      </c>
    </row>
    <row r="245" spans="1:7" x14ac:dyDescent="0.25">
      <c r="A245" s="50" t="s">
        <v>403</v>
      </c>
      <c r="B245" s="72" t="str">
        <f>VLOOKUP(A245,'Componentes APUs'!$A$1:$D$14,2,0)</f>
        <v>Capuchon</v>
      </c>
      <c r="C245" s="73"/>
      <c r="D245" s="50" t="str">
        <f>VLOOKUP(A245,'Componentes APUs'!$A$1:$D$14,3,0)</f>
        <v>U</v>
      </c>
      <c r="E245" s="50">
        <f>SUM(C219:C224)</f>
        <v>1.25</v>
      </c>
      <c r="F245" s="51">
        <f>VLOOKUP(A245,'Componentes APUs'!$A$1:$D$14,4,0)</f>
        <v>2525.2525252525252</v>
      </c>
      <c r="G245" s="51">
        <f>ROUNDUP(F245*(E245/21)/E207,0)</f>
        <v>3</v>
      </c>
    </row>
    <row r="246" spans="1:7" ht="15" customHeight="1" x14ac:dyDescent="0.25">
      <c r="A246" s="69" t="s">
        <v>81</v>
      </c>
      <c r="B246" s="72" t="str">
        <f>VLOOKUP(A246,'Componentes APUs'!$A$1:$D$14,2,0)</f>
        <v>Guantes Protectores  - ingeniero reforzados</v>
      </c>
      <c r="C246" s="73"/>
      <c r="D246" s="50" t="str">
        <f>VLOOKUP(A246,'Componentes APUs'!$A$1:$D$14,3,0)</f>
        <v>Par</v>
      </c>
      <c r="E246" s="50">
        <f>C221+C222+C224</f>
        <v>1</v>
      </c>
      <c r="F246" s="51">
        <f>VLOOKUP(A246,'Componentes APUs'!$A$1:$D$14,4,0)</f>
        <v>2525.2525252525252</v>
      </c>
      <c r="G246" s="51">
        <f>ROUNDUP(F246*(E246/21)/E207,0)</f>
        <v>2</v>
      </c>
    </row>
    <row r="247" spans="1:7" x14ac:dyDescent="0.25">
      <c r="A247" s="50" t="s">
        <v>83</v>
      </c>
      <c r="B247" s="72" t="str">
        <f>VLOOKUP(A247,'Componentes APUs'!$A$1:$D$14,2,0)</f>
        <v>Impermeable (pantalon camisa)</v>
      </c>
      <c r="C247" s="73"/>
      <c r="D247" s="50" t="str">
        <f>VLOOKUP(A247,'Componentes APUs'!$A$1:$D$14,3,0)</f>
        <v>U</v>
      </c>
      <c r="E247" s="50">
        <f>SUM(C219:C224)</f>
        <v>1.25</v>
      </c>
      <c r="F247" s="51">
        <f>VLOOKUP(A247,'Componentes APUs'!$A$1:$D$14,4,0)</f>
        <v>3750</v>
      </c>
      <c r="G247" s="51">
        <f>ROUNDUP(F247*(E247/21)/E207,0)</f>
        <v>4</v>
      </c>
    </row>
    <row r="248" spans="1:7" x14ac:dyDescent="0.25">
      <c r="A248" s="69" t="s">
        <v>85</v>
      </c>
      <c r="B248" s="72" t="str">
        <f>VLOOKUP(A248,'Componentes APUs'!$A$1:$D$14,2,0)</f>
        <v>Jean Dielectrico</v>
      </c>
      <c r="C248" s="73"/>
      <c r="D248" s="50" t="str">
        <f>VLOOKUP(A248,'Componentes APUs'!$A$1:$D$14,3,0)</f>
        <v>U</v>
      </c>
      <c r="E248" s="50">
        <f>SUM(C219:C224)</f>
        <v>1.25</v>
      </c>
      <c r="F248" s="51">
        <f>VLOOKUP(A248,'Componentes APUs'!$A$1:$D$14,4,0)</f>
        <v>7575.757575757576</v>
      </c>
      <c r="G248" s="51">
        <f>ROUNDUP(F248*(E248/21)/E207,0)</f>
        <v>7</v>
      </c>
    </row>
    <row r="249" spans="1:7" ht="15" customHeight="1" x14ac:dyDescent="0.25">
      <c r="A249" s="50" t="s">
        <v>87</v>
      </c>
      <c r="B249" s="72" t="str">
        <f>VLOOKUP(A249,'Componentes APUs'!$A$1:$D$14,2,0)</f>
        <v>Casco dielectrico Tipo 2 Clase E con barboquejo</v>
      </c>
      <c r="C249" s="73"/>
      <c r="D249" s="50" t="str">
        <f>VLOOKUP(A249,'Componentes APUs'!$A$1:$D$14,3,0)</f>
        <v>U</v>
      </c>
      <c r="E249" s="53">
        <f>IF(A221="MO-3",C221,0)</f>
        <v>0</v>
      </c>
      <c r="F249" s="51">
        <f>VLOOKUP(A249,'Componentes APUs'!$A$1:$D$14,4,0)</f>
        <v>7500</v>
      </c>
      <c r="G249" s="51">
        <f>ROUNDUP(F249*(E249/21)/E207,0)</f>
        <v>0</v>
      </c>
    </row>
    <row r="250" spans="1:7" ht="15" customHeight="1" x14ac:dyDescent="0.25">
      <c r="A250" s="69" t="s">
        <v>89</v>
      </c>
      <c r="B250" s="72" t="str">
        <f>VLOOKUP(A250,'Componentes APUs'!$A$1:$D$14,2,0)</f>
        <v>Kit de rescate para trabajo en alturas</v>
      </c>
      <c r="C250" s="73"/>
      <c r="D250" s="50" t="str">
        <f>VLOOKUP(A250,'Componentes APUs'!$A$1:$D$14,3,0)</f>
        <v>U</v>
      </c>
      <c r="E250" s="50">
        <f>IF(AND(A221="MO-3",C221=2),1,0)</f>
        <v>0</v>
      </c>
      <c r="F250" s="51">
        <f>VLOOKUP(A250,'Componentes APUs'!$A$1:$D$14,4,0)</f>
        <v>37500</v>
      </c>
      <c r="G250" s="51">
        <f>ROUNDUP(F250*(E250/21)/E207,0)</f>
        <v>0</v>
      </c>
    </row>
    <row r="251" spans="1:7" x14ac:dyDescent="0.25">
      <c r="A251" s="50" t="s">
        <v>91</v>
      </c>
      <c r="B251" s="72" t="str">
        <f>VLOOKUP(A251,'Componentes APUs'!$A$1:$D$14,2,0)</f>
        <v>Equipo completo para trabajo en alturas con pretales (Arnes dielectrico, 1 mosqueton de seguridad, tie off dielectrico, eslinga de posicionamiento, juego de pretales)</v>
      </c>
      <c r="C251" s="73"/>
      <c r="D251" s="50" t="str">
        <f>VLOOKUP(A251,'Componentes APUs'!$A$1:$D$14,3,0)</f>
        <v>U</v>
      </c>
      <c r="E251" s="50">
        <f>IF(A221="MO-3",C221,0)</f>
        <v>0</v>
      </c>
      <c r="F251" s="51">
        <f>VLOOKUP(A251,'Componentes APUs'!$A$1:$D$14,4,0)</f>
        <v>26041.666666666668</v>
      </c>
      <c r="G251" s="51">
        <f>ROUNDUP(F251*(E251/21)/E207,0)</f>
        <v>0</v>
      </c>
    </row>
    <row r="252" spans="1:7" x14ac:dyDescent="0.25">
      <c r="A252" s="219" t="s">
        <v>95</v>
      </c>
      <c r="B252" s="219"/>
      <c r="C252" s="219"/>
      <c r="D252" s="219"/>
      <c r="E252" s="219"/>
      <c r="F252" s="219"/>
      <c r="G252" s="52">
        <f>SUM(G239:G251)</f>
        <v>50</v>
      </c>
    </row>
    <row r="253" spans="1:7" x14ac:dyDescent="0.25">
      <c r="A253" s="56"/>
      <c r="B253" s="57"/>
      <c r="C253" s="57"/>
      <c r="D253" s="57"/>
      <c r="E253" s="57"/>
      <c r="F253" s="57"/>
      <c r="G253" s="58"/>
    </row>
    <row r="254" spans="1:7" x14ac:dyDescent="0.25">
      <c r="A254" s="219" t="s">
        <v>96</v>
      </c>
      <c r="B254" s="219"/>
      <c r="C254" s="219"/>
      <c r="D254" s="219"/>
      <c r="E254" s="219"/>
      <c r="F254" s="219"/>
      <c r="G254" s="219"/>
    </row>
    <row r="255" spans="1:7" x14ac:dyDescent="0.25">
      <c r="A255" s="49" t="s">
        <v>35</v>
      </c>
      <c r="B255" s="225" t="s">
        <v>36</v>
      </c>
      <c r="C255" s="225"/>
      <c r="D255" s="49" t="s">
        <v>37</v>
      </c>
      <c r="E255" s="49" t="s">
        <v>38</v>
      </c>
      <c r="F255" s="49" t="s">
        <v>39</v>
      </c>
      <c r="G255" s="49" t="s">
        <v>40</v>
      </c>
    </row>
    <row r="256" spans="1:7" x14ac:dyDescent="0.25">
      <c r="A256" s="69" t="s">
        <v>97</v>
      </c>
      <c r="B256" s="72" t="str">
        <f>VLOOKUP(A256,'Componentes APUs'!$N$1:$Q$30,2,0)</f>
        <v>Camioneta</v>
      </c>
      <c r="C256" s="73"/>
      <c r="D256" s="70" t="str">
        <f>VLOOKUP(A256,'Componentes APUs'!$N$1:$Q$30,3,0)</f>
        <v>U</v>
      </c>
      <c r="E256" s="50">
        <v>0</v>
      </c>
      <c r="F256" s="51">
        <f>VLOOKUP(A256,'Componentes APUs'!$N$1:$Q$30,4,0)</f>
        <v>5500000</v>
      </c>
      <c r="G256" s="51">
        <f>IFERROR(ROUNDUP(F256*(E256/21)/E207,0),"-")</f>
        <v>0</v>
      </c>
    </row>
    <row r="257" spans="1:7" x14ac:dyDescent="0.25">
      <c r="A257" s="50" t="s">
        <v>1391</v>
      </c>
      <c r="B257" s="72" t="str">
        <f>VLOOKUP(A257,'Componentes APUs'!$N$1:$Q$30,2,0)</f>
        <v>Rodillo Ligero</v>
      </c>
      <c r="C257" s="73"/>
      <c r="D257" s="70" t="str">
        <f>VLOOKUP(A257,'Componentes APUs'!$N$1:$Q$30,3,0)</f>
        <v>U</v>
      </c>
      <c r="E257" s="50">
        <v>0</v>
      </c>
      <c r="F257" s="51">
        <f>VLOOKUP(A257,'Componentes APUs'!$N$1:$Q$30,4,0)</f>
        <v>1675800</v>
      </c>
      <c r="G257" s="51">
        <f>IFERROR(ROUNDUP(F257*(E257/21)/E207,0),"-")</f>
        <v>0</v>
      </c>
    </row>
    <row r="258" spans="1:7" x14ac:dyDescent="0.25">
      <c r="A258" s="50" t="s">
        <v>1392</v>
      </c>
      <c r="B258" s="72" t="str">
        <f>VLOOKUP(A258,'Componentes APUs'!$N$1:$Q$30,2,0)</f>
        <v>Motocultor</v>
      </c>
      <c r="C258" s="73"/>
      <c r="D258" s="70" t="str">
        <f>VLOOKUP(A258,'Componentes APUs'!$N$1:$Q$30,3,0)</f>
        <v>U</v>
      </c>
      <c r="E258" s="50">
        <v>0</v>
      </c>
      <c r="F258" s="51">
        <f>VLOOKUP(A258,'Componentes APUs'!$N$1:$Q$30,4,0)</f>
        <v>1292760</v>
      </c>
      <c r="G258" s="51">
        <f>IFERROR(ROUNDUP(F258*(E258/21)/E207,0),"-")</f>
        <v>0</v>
      </c>
    </row>
    <row r="259" spans="1:7" x14ac:dyDescent="0.25">
      <c r="A259" s="50" t="s">
        <v>323</v>
      </c>
      <c r="B259" s="72" t="str">
        <f>VLOOKUP(A259,'Componentes APUs'!$N$1:$Q$30,2,0)</f>
        <v>Volqueta</v>
      </c>
      <c r="C259" s="73"/>
      <c r="D259" s="70" t="str">
        <f>VLOOKUP(A259,'Componentes APUs'!$N$1:$Q$30,3,0)</f>
        <v>U</v>
      </c>
      <c r="E259" s="50">
        <v>0</v>
      </c>
      <c r="F259" s="51">
        <f>VLOOKUP(A259,'Componentes APUs'!$N$1:$Q$30,4,0)</f>
        <v>14828184</v>
      </c>
      <c r="G259" s="51">
        <f>IFERROR(ROUNDUP(F259*(E259/21)/E207,0),"-")</f>
        <v>0</v>
      </c>
    </row>
    <row r="260" spans="1:7" x14ac:dyDescent="0.25">
      <c r="A260" s="69" t="s">
        <v>324</v>
      </c>
      <c r="B260" s="72" t="str">
        <f>VLOOKUP(A260,'Componentes APUs'!$N$1:$Q$30,2,0)</f>
        <v>Retroexcavadora</v>
      </c>
      <c r="C260" s="73"/>
      <c r="D260" s="70" t="str">
        <f>VLOOKUP(A260,'Componentes APUs'!$N$1:$Q$30,3,0)</f>
        <v>U</v>
      </c>
      <c r="E260" s="50">
        <v>1</v>
      </c>
      <c r="F260" s="51">
        <f>VLOOKUP(A260,'Componentes APUs'!$N$1:$Q$30,4,0)</f>
        <v>46030656</v>
      </c>
      <c r="G260" s="51">
        <f>IFERROR(ROUNDUP(F260*(E260/21)/E207,0),"-")</f>
        <v>31314</v>
      </c>
    </row>
    <row r="261" spans="1:7" x14ac:dyDescent="0.25">
      <c r="A261" s="219" t="s">
        <v>99</v>
      </c>
      <c r="B261" s="219"/>
      <c r="C261" s="219"/>
      <c r="D261" s="219"/>
      <c r="E261" s="219"/>
      <c r="F261" s="219"/>
      <c r="G261" s="52">
        <f>SUM(G256:G260)</f>
        <v>31314</v>
      </c>
    </row>
    <row r="262" spans="1:7" x14ac:dyDescent="0.25">
      <c r="A262" s="56"/>
      <c r="B262" s="57"/>
      <c r="C262" s="57"/>
      <c r="D262" s="57"/>
      <c r="E262" s="57"/>
      <c r="F262" s="57"/>
      <c r="G262" s="58"/>
    </row>
    <row r="263" spans="1:7" x14ac:dyDescent="0.25">
      <c r="A263" s="219" t="s">
        <v>1516</v>
      </c>
      <c r="B263" s="219"/>
      <c r="C263" s="219"/>
      <c r="D263" s="219"/>
      <c r="E263" s="219"/>
      <c r="F263" s="219"/>
      <c r="G263" s="52">
        <f>G261+G252+G235+G225+G215</f>
        <v>34153</v>
      </c>
    </row>
    <row r="264" spans="1:7" x14ac:dyDescent="0.25">
      <c r="A264" s="59"/>
      <c r="B264" s="60"/>
      <c r="C264" s="60"/>
      <c r="D264" s="60"/>
      <c r="E264" s="57"/>
      <c r="F264" s="57"/>
      <c r="G264" s="58"/>
    </row>
    <row r="265" spans="1:7" x14ac:dyDescent="0.25">
      <c r="A265" s="64"/>
      <c r="D265" s="55"/>
      <c r="E265" s="49" t="s">
        <v>25</v>
      </c>
      <c r="F265" s="54">
        <v>0.15</v>
      </c>
      <c r="G265" s="51">
        <f>G263*F265</f>
        <v>5122.95</v>
      </c>
    </row>
    <row r="266" spans="1:7" x14ac:dyDescent="0.25">
      <c r="A266" s="64"/>
      <c r="D266" s="55"/>
      <c r="E266" s="49" t="s">
        <v>26</v>
      </c>
      <c r="F266" s="54">
        <v>0.05</v>
      </c>
      <c r="G266" s="51">
        <f>G263*F266</f>
        <v>1707.65</v>
      </c>
    </row>
    <row r="267" spans="1:7" x14ac:dyDescent="0.25">
      <c r="A267" s="61"/>
      <c r="B267" s="65"/>
      <c r="C267" s="65"/>
      <c r="D267" s="62"/>
      <c r="E267" s="49" t="s">
        <v>27</v>
      </c>
      <c r="F267" s="54">
        <v>0.05</v>
      </c>
      <c r="G267" s="51">
        <f>G263*F267</f>
        <v>1707.65</v>
      </c>
    </row>
    <row r="268" spans="1:7" x14ac:dyDescent="0.25">
      <c r="A268" s="61"/>
      <c r="B268" s="62"/>
      <c r="C268" s="62"/>
      <c r="D268" s="62"/>
      <c r="E268" s="62"/>
      <c r="F268" s="62"/>
      <c r="G268" s="63"/>
    </row>
    <row r="269" spans="1:7" x14ac:dyDescent="0.25">
      <c r="A269" s="219" t="s">
        <v>1517</v>
      </c>
      <c r="B269" s="219"/>
      <c r="C269" s="219"/>
      <c r="D269" s="219"/>
      <c r="E269" s="219"/>
      <c r="F269" s="219"/>
      <c r="G269" s="52">
        <f>G263+G265+G266+G267</f>
        <v>42691.25</v>
      </c>
    </row>
    <row r="270" spans="1:7" x14ac:dyDescent="0.25">
      <c r="A270" s="59"/>
      <c r="B270" s="60"/>
      <c r="C270" s="60"/>
      <c r="D270" s="60"/>
      <c r="E270" s="57"/>
      <c r="F270" s="57"/>
      <c r="G270" s="58"/>
    </row>
    <row r="271" spans="1:7" x14ac:dyDescent="0.25">
      <c r="A271" s="64"/>
      <c r="D271" s="55"/>
      <c r="E271" s="49" t="s">
        <v>102</v>
      </c>
      <c r="F271" s="49" t="s">
        <v>103</v>
      </c>
      <c r="G271" s="51">
        <f>G267*19%</f>
        <v>324.45350000000002</v>
      </c>
    </row>
    <row r="272" spans="1:7" x14ac:dyDescent="0.25">
      <c r="A272" s="61"/>
      <c r="B272" s="62"/>
      <c r="C272" s="62"/>
      <c r="D272" s="62"/>
      <c r="E272" s="57"/>
      <c r="F272" s="57"/>
      <c r="G272" s="58"/>
    </row>
    <row r="273" spans="1:8" x14ac:dyDescent="0.25">
      <c r="A273" s="219" t="s">
        <v>104</v>
      </c>
      <c r="B273" s="219"/>
      <c r="C273" s="219"/>
      <c r="D273" s="219"/>
      <c r="E273" s="219"/>
      <c r="F273" s="219"/>
      <c r="G273" s="52">
        <f>G271+G269</f>
        <v>43015.703500000003</v>
      </c>
    </row>
    <row r="275" spans="1:8" x14ac:dyDescent="0.25">
      <c r="A275" s="74" t="s">
        <v>29</v>
      </c>
      <c r="B275" s="226" t="s">
        <v>30</v>
      </c>
      <c r="C275" s="226"/>
      <c r="D275" s="74" t="s">
        <v>31</v>
      </c>
      <c r="E275" s="74" t="s">
        <v>32</v>
      </c>
      <c r="F275" s="74" t="s">
        <v>189</v>
      </c>
      <c r="G275" s="74" t="s">
        <v>33</v>
      </c>
    </row>
    <row r="276" spans="1:8" ht="32.25" customHeight="1" x14ac:dyDescent="0.25">
      <c r="A276" s="50" t="str">
        <f>Presupuesto!B10</f>
        <v>005_OC</v>
      </c>
      <c r="B276" s="229" t="str">
        <f>Presupuesto!C10</f>
        <v>TALA Y CARGUE DE ARBOL CON ALTURA DE HASTA 10 METROS (DESDE LA PARTE RADICULAR)</v>
      </c>
      <c r="C276" s="230"/>
      <c r="D276" s="50" t="s">
        <v>113</v>
      </c>
      <c r="E276" s="102">
        <v>8</v>
      </c>
      <c r="F276" s="50"/>
      <c r="G276" s="51">
        <f>G342</f>
        <v>143886.53949999998</v>
      </c>
      <c r="H276" s="45"/>
    </row>
    <row r="277" spans="1:8" x14ac:dyDescent="0.25">
      <c r="A277" s="219" t="s">
        <v>34</v>
      </c>
      <c r="B277" s="219"/>
      <c r="C277" s="219"/>
      <c r="D277" s="219"/>
      <c r="E277" s="219"/>
      <c r="F277" s="219"/>
      <c r="G277" s="219"/>
    </row>
    <row r="278" spans="1:8" x14ac:dyDescent="0.25">
      <c r="A278" s="49" t="s">
        <v>35</v>
      </c>
      <c r="B278" s="219" t="s">
        <v>36</v>
      </c>
      <c r="C278" s="219"/>
      <c r="D278" s="49" t="s">
        <v>37</v>
      </c>
      <c r="E278" s="49" t="s">
        <v>38</v>
      </c>
      <c r="F278" s="49" t="s">
        <v>39</v>
      </c>
      <c r="G278" s="49" t="s">
        <v>40</v>
      </c>
    </row>
    <row r="279" spans="1:8" ht="18" customHeight="1" x14ac:dyDescent="0.25">
      <c r="A279" s="50" t="str">
        <f>Material!A581</f>
        <v>MA-580</v>
      </c>
      <c r="B279" s="72" t="str">
        <f>IFERROR(VLOOKUP(A279,Material!$A:$H,2,0),"-")</f>
        <v>RESINA CICATRIZANTE PARA HERIDAS, PODAS E INJERTOS</v>
      </c>
      <c r="C279" s="76"/>
      <c r="D279" s="50" t="str">
        <f>IFERROR(VLOOKUP(A279,Material!$A:$H,4,0),"-")</f>
        <v>UN</v>
      </c>
      <c r="E279" s="50">
        <v>1</v>
      </c>
      <c r="F279" s="51">
        <f>IFERROR(VLOOKUP(A279,Material!$A:$H,3,0),"-")</f>
        <v>29445</v>
      </c>
      <c r="G279" s="51">
        <f>IFERROR(ROUNDUP(F279*E279,0),"-")</f>
        <v>29445</v>
      </c>
    </row>
    <row r="280" spans="1:8" x14ac:dyDescent="0.25">
      <c r="A280" s="50"/>
      <c r="B280" s="72" t="str">
        <f>IFERROR(VLOOKUP(A280,Material!$A:$H,2,0),"-")</f>
        <v>-</v>
      </c>
      <c r="C280" s="76"/>
      <c r="D280" s="50" t="str">
        <f>IFERROR(VLOOKUP(A280,Material!$A:$H,4,0),"-")</f>
        <v>-</v>
      </c>
      <c r="E280" s="50"/>
      <c r="F280" s="51" t="str">
        <f>IFERROR(VLOOKUP(A280,Material!$A:$H,3,0),"-")</f>
        <v>-</v>
      </c>
      <c r="G280" s="51" t="str">
        <f>IFERROR(ROUNDUP(F280*E280,0),"-")</f>
        <v>-</v>
      </c>
    </row>
    <row r="281" spans="1:8" x14ac:dyDescent="0.25">
      <c r="A281" s="50"/>
      <c r="B281" s="72" t="str">
        <f>IFERROR(VLOOKUP(A281,Material!$A:$H,2,0),"-")</f>
        <v>-</v>
      </c>
      <c r="C281" s="76"/>
      <c r="D281" s="50" t="str">
        <f>IFERROR(VLOOKUP(A281,Material!$A:$H,4,0),"-")</f>
        <v>-</v>
      </c>
      <c r="E281" s="50"/>
      <c r="F281" s="51" t="str">
        <f>IFERROR(VLOOKUP(A281,Material!$A:$H,3,0),"-")</f>
        <v>-</v>
      </c>
      <c r="G281" s="51" t="str">
        <f>IFERROR(ROUNDUP(F281*E281,0),"-")</f>
        <v>-</v>
      </c>
    </row>
    <row r="282" spans="1:8" x14ac:dyDescent="0.25">
      <c r="A282" s="50"/>
      <c r="B282" s="72" t="str">
        <f>IFERROR(VLOOKUP(A282,Material!$A:$H,2,0),"-")</f>
        <v>-</v>
      </c>
      <c r="C282" s="76"/>
      <c r="D282" s="50" t="str">
        <f>IFERROR(VLOOKUP(A282,Material!$A:$H,4,0),"-")</f>
        <v>-</v>
      </c>
      <c r="E282" s="50"/>
      <c r="F282" s="51" t="str">
        <f>IFERROR(VLOOKUP(A282,Material!$A:$H,3,0),"-")</f>
        <v>-</v>
      </c>
      <c r="G282" s="51" t="str">
        <f>IFERROR(ROUNDUP(F282*E282,0),"-")</f>
        <v>-</v>
      </c>
    </row>
    <row r="283" spans="1:8" x14ac:dyDescent="0.25">
      <c r="A283" s="50"/>
      <c r="B283" s="72"/>
      <c r="C283" s="76"/>
      <c r="D283" s="50"/>
      <c r="E283" s="50"/>
      <c r="F283" s="51"/>
      <c r="G283" s="51"/>
      <c r="H283" s="92"/>
    </row>
    <row r="284" spans="1:8" x14ac:dyDescent="0.25">
      <c r="A284" s="219" t="s">
        <v>41</v>
      </c>
      <c r="B284" s="219"/>
      <c r="C284" s="219"/>
      <c r="D284" s="219"/>
      <c r="E284" s="219"/>
      <c r="F284" s="219"/>
      <c r="G284" s="52">
        <f>SUM(G279:G283)</f>
        <v>29445</v>
      </c>
    </row>
    <row r="285" spans="1:8" x14ac:dyDescent="0.25">
      <c r="A285" s="56"/>
      <c r="B285" s="57"/>
      <c r="C285" s="57"/>
      <c r="D285" s="57"/>
      <c r="E285" s="57"/>
      <c r="F285" s="57"/>
      <c r="G285" s="58"/>
    </row>
    <row r="286" spans="1:8" x14ac:dyDescent="0.25">
      <c r="A286" s="219" t="s">
        <v>42</v>
      </c>
      <c r="B286" s="219"/>
      <c r="C286" s="219"/>
      <c r="D286" s="219"/>
      <c r="E286" s="219"/>
      <c r="F286" s="219"/>
      <c r="G286" s="219"/>
    </row>
    <row r="287" spans="1:8" x14ac:dyDescent="0.25">
      <c r="A287" s="49" t="s">
        <v>35</v>
      </c>
      <c r="B287" s="49" t="s">
        <v>36</v>
      </c>
      <c r="C287" s="49" t="s">
        <v>38</v>
      </c>
      <c r="D287" s="49" t="s">
        <v>43</v>
      </c>
      <c r="E287" s="49" t="s">
        <v>44</v>
      </c>
      <c r="F287" s="49" t="s">
        <v>45</v>
      </c>
      <c r="G287" s="49" t="s">
        <v>40</v>
      </c>
    </row>
    <row r="288" spans="1:8" x14ac:dyDescent="0.25">
      <c r="A288" s="50" t="s">
        <v>319</v>
      </c>
      <c r="B288" s="68" t="str">
        <f>VLOOKUP(A288,'Componentes APUs'!$H$1:$L$25,2,0)</f>
        <v>Ingeniero Residente de Obra</v>
      </c>
      <c r="C288" s="93">
        <v>0</v>
      </c>
      <c r="D288" s="50">
        <f>VLOOKUP(A288,'Componentes APUs'!$H$1:$L$25,3,0)</f>
        <v>4</v>
      </c>
      <c r="E288" s="51">
        <f>VLOOKUP(A288,'Componentes APUs'!$H$1:$L$25,4,0)</f>
        <v>271142.85714285716</v>
      </c>
      <c r="F288" s="51">
        <f>VLOOKUP(A288,'Componentes APUs'!$H$1:$L$25,5,0)</f>
        <v>162685.71428571429</v>
      </c>
      <c r="G288" s="51">
        <f>ROUNDUP((E288+F288)*C288/E276,0)</f>
        <v>0</v>
      </c>
      <c r="H288" s="66"/>
    </row>
    <row r="289" spans="1:9" x14ac:dyDescent="0.25">
      <c r="A289" s="50" t="s">
        <v>46</v>
      </c>
      <c r="B289" s="68" t="str">
        <f>VLOOKUP(A289,'Componentes APUs'!$H$1:$L$25,2,0)</f>
        <v>Tecnico Liniero</v>
      </c>
      <c r="C289" s="93">
        <v>0</v>
      </c>
      <c r="D289" s="50">
        <f>VLOOKUP(A289,'Componentes APUs'!$H$1:$L$25,3,0)</f>
        <v>2</v>
      </c>
      <c r="E289" s="51">
        <f>VLOOKUP(A289,'Componentes APUs'!$H$1:$L$25,4,0)</f>
        <v>154619.04761904763</v>
      </c>
      <c r="F289" s="51">
        <f>VLOOKUP(A289,'Componentes APUs'!$H$1:$L$25,5,0)</f>
        <v>92771.42857142858</v>
      </c>
      <c r="G289" s="51">
        <f>ROUNDUP((E289+F289)*C289/E276,0)</f>
        <v>0</v>
      </c>
    </row>
    <row r="290" spans="1:9" x14ac:dyDescent="0.25">
      <c r="A290" s="50" t="s">
        <v>54</v>
      </c>
      <c r="B290" s="68" t="str">
        <f>VLOOKUP(A290,'Componentes APUs'!$H$1:$L$25,2,0)</f>
        <v>Maestro de obra civil</v>
      </c>
      <c r="C290" s="93">
        <v>0</v>
      </c>
      <c r="D290" s="50">
        <f>VLOOKUP(A290,'Componentes APUs'!$H$1:$L$25,3,0)</f>
        <v>2.5</v>
      </c>
      <c r="E290" s="51">
        <f>VLOOKUP(A290,'Componentes APUs'!$H$1:$L$25,4,0)</f>
        <v>169464.28571428571</v>
      </c>
      <c r="F290" s="51">
        <f>VLOOKUP(A290,'Componentes APUs'!$H$1:$L$25,5,0)</f>
        <v>101678.57142857142</v>
      </c>
      <c r="G290" s="51">
        <f>ROUNDUP((E290+F290)*C290/E276,0)</f>
        <v>0</v>
      </c>
    </row>
    <row r="291" spans="1:9" x14ac:dyDescent="0.25">
      <c r="A291" s="50" t="s">
        <v>1110</v>
      </c>
      <c r="B291" s="68" t="str">
        <f>VLOOKUP(A291,'Componentes APUs'!$H$1:$L$25,2,0)</f>
        <v>Oficial de Obra Civil</v>
      </c>
      <c r="C291" s="93">
        <v>0</v>
      </c>
      <c r="D291" s="50">
        <f>VLOOKUP(A291,'Componentes APUs'!$H$1:$L$25,3,0)</f>
        <v>1.5</v>
      </c>
      <c r="E291" s="51">
        <f>VLOOKUP(A291,'Componentes APUs'!$H$1:$L$25,4,0)</f>
        <v>115964.28571428571</v>
      </c>
      <c r="F291" s="51">
        <f>VLOOKUP(A291,'Componentes APUs'!$H$1:$L$25,5,0)</f>
        <v>69578.57142857142</v>
      </c>
      <c r="G291" s="51">
        <f>ROUNDUP((E291+F291)*C291/E276,0)</f>
        <v>0</v>
      </c>
    </row>
    <row r="292" spans="1:9" x14ac:dyDescent="0.25">
      <c r="A292" s="50" t="s">
        <v>50</v>
      </c>
      <c r="B292" s="68" t="str">
        <f>VLOOKUP(A292,'Componentes APUs'!$H$1:$L$25,2,0)</f>
        <v>Profesional en SST</v>
      </c>
      <c r="C292" s="93">
        <v>0.25</v>
      </c>
      <c r="D292" s="50">
        <f>VLOOKUP(A292,'Componentes APUs'!$H$1:$L$25,3,0)</f>
        <v>2.5</v>
      </c>
      <c r="E292" s="51">
        <f>VLOOKUP(A292,'Componentes APUs'!$H$1:$L$25,4,0)</f>
        <v>169464.28571428571</v>
      </c>
      <c r="F292" s="51">
        <f>VLOOKUP(A292,'Componentes APUs'!$H$1:$L$25,5,0)</f>
        <v>101678.57142857142</v>
      </c>
      <c r="G292" s="51">
        <f>ROUNDUP((E292+F292)*C292/E276,0)</f>
        <v>8474</v>
      </c>
    </row>
    <row r="293" spans="1:9" x14ac:dyDescent="0.25">
      <c r="A293" s="50" t="s">
        <v>52</v>
      </c>
      <c r="B293" s="68" t="str">
        <f>VLOOKUP(A293,'Componentes APUs'!$H$1:$L$25,2,0)</f>
        <v>Ayudante No Calificado</v>
      </c>
      <c r="C293" s="93">
        <v>3</v>
      </c>
      <c r="D293" s="50">
        <f>VLOOKUP(A293,'Componentes APUs'!$H$1:$L$25,3,0)</f>
        <v>1</v>
      </c>
      <c r="E293" s="51">
        <f>VLOOKUP(A293,'Componentes APUs'!$H$1:$L$25,4,0)</f>
        <v>77309.523809523816</v>
      </c>
      <c r="F293" s="51">
        <f>VLOOKUP(A293,'Componentes APUs'!$H$1:$L$25,5,0)</f>
        <v>46385.71428571429</v>
      </c>
      <c r="G293" s="51">
        <f>ROUNDUP((E293+F293)*C293/E276,0)</f>
        <v>46386</v>
      </c>
    </row>
    <row r="294" spans="1:9" x14ac:dyDescent="0.25">
      <c r="A294" s="219" t="s">
        <v>56</v>
      </c>
      <c r="B294" s="219"/>
      <c r="C294" s="219"/>
      <c r="D294" s="219"/>
      <c r="E294" s="219"/>
      <c r="F294" s="219"/>
      <c r="G294" s="52">
        <f>SUM(G288:G293)</f>
        <v>54860</v>
      </c>
    </row>
    <row r="295" spans="1:9" x14ac:dyDescent="0.25">
      <c r="A295" s="56"/>
      <c r="B295" s="57"/>
      <c r="C295" s="57"/>
      <c r="D295" s="57"/>
      <c r="E295" s="57"/>
      <c r="F295" s="57"/>
      <c r="G295" s="58"/>
    </row>
    <row r="296" spans="1:9" x14ac:dyDescent="0.25">
      <c r="A296" s="219" t="s">
        <v>57</v>
      </c>
      <c r="B296" s="219"/>
      <c r="C296" s="219"/>
      <c r="D296" s="219"/>
      <c r="E296" s="219"/>
      <c r="F296" s="219"/>
      <c r="G296" s="219"/>
    </row>
    <row r="297" spans="1:9" x14ac:dyDescent="0.25">
      <c r="A297" s="49" t="s">
        <v>35</v>
      </c>
      <c r="B297" s="219" t="s">
        <v>36</v>
      </c>
      <c r="C297" s="219"/>
      <c r="D297" s="49" t="s">
        <v>37</v>
      </c>
      <c r="E297" s="49" t="s">
        <v>38</v>
      </c>
      <c r="F297" s="49" t="s">
        <v>39</v>
      </c>
      <c r="G297" s="49" t="s">
        <v>40</v>
      </c>
    </row>
    <row r="298" spans="1:9" x14ac:dyDescent="0.25">
      <c r="A298" s="50" t="s">
        <v>326</v>
      </c>
      <c r="B298" s="220" t="str">
        <f>VLOOKUP(A298,'Componentes APUs'!$S$1:$V$10,2,0)</f>
        <v>Juego Llaves</v>
      </c>
      <c r="C298" s="220"/>
      <c r="D298" s="50" t="s">
        <v>18</v>
      </c>
      <c r="E298" s="50">
        <v>0</v>
      </c>
      <c r="F298" s="51">
        <f>VLOOKUP(A298,'Componentes APUs'!$S$1:$V$10,4,0)</f>
        <v>9167</v>
      </c>
      <c r="G298" s="51">
        <f>ROUNDUP(F298*((E298/21)/E276),0)</f>
        <v>0</v>
      </c>
      <c r="I298" s="91"/>
    </row>
    <row r="299" spans="1:9" x14ac:dyDescent="0.25">
      <c r="A299" s="50" t="s">
        <v>58</v>
      </c>
      <c r="B299" s="220" t="str">
        <f>VLOOKUP(A299,'Componentes APUs'!$S$1:$V$10,2,0)</f>
        <v>Manila de servicio</v>
      </c>
      <c r="C299" s="220"/>
      <c r="D299" s="50" t="s">
        <v>18</v>
      </c>
      <c r="E299" s="50">
        <v>0</v>
      </c>
      <c r="F299" s="51">
        <f>VLOOKUP(A299,'Componentes APUs'!$S$1:$V$10,4,0)</f>
        <v>2333</v>
      </c>
      <c r="G299" s="51">
        <f>ROUNDUP(F299*((E299/21)/E276),0)</f>
        <v>0</v>
      </c>
    </row>
    <row r="300" spans="1:9" x14ac:dyDescent="0.25">
      <c r="A300" s="50" t="s">
        <v>327</v>
      </c>
      <c r="B300" s="220" t="str">
        <f>VLOOKUP(A300,'Componentes APUs'!$S$1:$V$10,2,0)</f>
        <v>Tula portaherramientas</v>
      </c>
      <c r="C300" s="220"/>
      <c r="D300" s="50" t="s">
        <v>18</v>
      </c>
      <c r="E300" s="50">
        <v>0</v>
      </c>
      <c r="F300" s="51">
        <f>VLOOKUP(A300,'Componentes APUs'!$S$1:$V$10,4,0)</f>
        <v>1250</v>
      </c>
      <c r="G300" s="51">
        <f>ROUNDUP(F300*((E300/21)/E276),0)</f>
        <v>0</v>
      </c>
    </row>
    <row r="301" spans="1:9" x14ac:dyDescent="0.25">
      <c r="A301" s="50" t="s">
        <v>60</v>
      </c>
      <c r="B301" s="220" t="str">
        <f>VLOOKUP(A301,'Componentes APUs'!$S$1:$V$10,2,0)</f>
        <v>Agarradoras</v>
      </c>
      <c r="C301" s="220"/>
      <c r="D301" s="50" t="s">
        <v>18</v>
      </c>
      <c r="E301" s="50">
        <v>0</v>
      </c>
      <c r="F301" s="51">
        <f>VLOOKUP(A301,'Componentes APUs'!$S$1:$V$10,4,0)</f>
        <v>125000</v>
      </c>
      <c r="G301" s="51">
        <f>ROUNDUP(F301*((E301/21)/E276),0)</f>
        <v>0</v>
      </c>
    </row>
    <row r="302" spans="1:9" x14ac:dyDescent="0.25">
      <c r="A302" s="50" t="s">
        <v>62</v>
      </c>
      <c r="B302" s="220" t="str">
        <f>VLOOKUP(A302,'Componentes APUs'!$S$1:$V$10,2,0)</f>
        <v>Templadoras</v>
      </c>
      <c r="C302" s="220"/>
      <c r="D302" s="50" t="s">
        <v>18</v>
      </c>
      <c r="E302" s="50">
        <v>0</v>
      </c>
      <c r="F302" s="51">
        <f>VLOOKUP(A302,'Componentes APUs'!$S$1:$V$10,4,0)</f>
        <v>250000</v>
      </c>
      <c r="G302" s="51">
        <f>ROUNDUP(F302*((E302/21)/E276),0)</f>
        <v>0</v>
      </c>
    </row>
    <row r="303" spans="1:9" x14ac:dyDescent="0.25">
      <c r="A303" s="50" t="s">
        <v>328</v>
      </c>
      <c r="B303" s="220" t="str">
        <f>VLOOKUP(A303,'Componentes APUs'!$S$1:$V$10,2,0)</f>
        <v>Herramienta Menor</v>
      </c>
      <c r="C303" s="220"/>
      <c r="D303" s="50" t="s">
        <v>18</v>
      </c>
      <c r="E303" s="50">
        <v>25</v>
      </c>
      <c r="F303" s="51">
        <f>VLOOKUP(A303,'Componentes APUs'!$S$1:$V$10,4,0)</f>
        <v>75758</v>
      </c>
      <c r="G303" s="51">
        <f>ROUNDUP(F303*((E303/21)/E276),0)</f>
        <v>11274</v>
      </c>
    </row>
    <row r="304" spans="1:9" x14ac:dyDescent="0.25">
      <c r="A304" s="219" t="s">
        <v>69</v>
      </c>
      <c r="B304" s="219"/>
      <c r="C304" s="219"/>
      <c r="D304" s="219"/>
      <c r="E304" s="219"/>
      <c r="F304" s="219"/>
      <c r="G304" s="52">
        <f>SUM(G298:G303)</f>
        <v>11274</v>
      </c>
    </row>
    <row r="305" spans="1:9" x14ac:dyDescent="0.25">
      <c r="A305" s="56"/>
      <c r="B305" s="57"/>
      <c r="C305" s="57"/>
      <c r="D305" s="57"/>
      <c r="E305" s="57"/>
      <c r="F305" s="57"/>
      <c r="G305" s="58"/>
    </row>
    <row r="306" spans="1:9" x14ac:dyDescent="0.25">
      <c r="A306" s="219" t="s">
        <v>70</v>
      </c>
      <c r="B306" s="219"/>
      <c r="C306" s="219"/>
      <c r="D306" s="219"/>
      <c r="E306" s="219"/>
      <c r="F306" s="219"/>
      <c r="G306" s="219"/>
    </row>
    <row r="307" spans="1:9" x14ac:dyDescent="0.25">
      <c r="A307" s="49" t="s">
        <v>35</v>
      </c>
      <c r="B307" s="219" t="s">
        <v>36</v>
      </c>
      <c r="C307" s="219"/>
      <c r="D307" s="49" t="s">
        <v>37</v>
      </c>
      <c r="E307" s="49" t="s">
        <v>38</v>
      </c>
      <c r="F307" s="49" t="s">
        <v>39</v>
      </c>
      <c r="G307" s="49" t="s">
        <v>40</v>
      </c>
    </row>
    <row r="308" spans="1:9" ht="15" customHeight="1" x14ac:dyDescent="0.25">
      <c r="A308" s="50" t="s">
        <v>71</v>
      </c>
      <c r="B308" s="71" t="str">
        <f>VLOOKUP(A308,'Componentes APUs'!$A$1:$D$14,2,0)</f>
        <v>Camisa indigo sin partes metalicas</v>
      </c>
      <c r="C308" s="71"/>
      <c r="D308" s="50" t="str">
        <f>VLOOKUP(A308,'Componentes APUs'!$A$1:$D$14,3,0)</f>
        <v>U</v>
      </c>
      <c r="E308" s="50">
        <f>SUM(C288:C293)</f>
        <v>3.25</v>
      </c>
      <c r="F308" s="51">
        <f>VLOOKUP(A308,'Componentes APUs'!$A$1:$D$14,4,0)</f>
        <v>8585.8585858585866</v>
      </c>
      <c r="G308" s="51">
        <f>ROUNDUP(F308*(E308/21)/E276,0)</f>
        <v>167</v>
      </c>
      <c r="I308" s="91"/>
    </row>
    <row r="309" spans="1:9" x14ac:dyDescent="0.25">
      <c r="A309" s="69" t="s">
        <v>73</v>
      </c>
      <c r="B309" s="72" t="str">
        <f>VLOOKUP(A309,'Componentes APUs'!$A$1:$D$14,2,0)</f>
        <v>Bota de seguridad dielectrica</v>
      </c>
      <c r="C309" s="73"/>
      <c r="D309" s="70" t="str">
        <f>VLOOKUP(A309,'Componentes APUs'!$A$1:$D$14,3,0)</f>
        <v>Par</v>
      </c>
      <c r="E309" s="50">
        <f>SUM(C288:C293)</f>
        <v>3.25</v>
      </c>
      <c r="F309" s="51">
        <f>VLOOKUP(A309,'Componentes APUs'!$A$1:$D$14,4,0)</f>
        <v>7500</v>
      </c>
      <c r="G309" s="51">
        <f>ROUNDUP(F309*(E309/21)/E276,0)</f>
        <v>146</v>
      </c>
    </row>
    <row r="310" spans="1:9" ht="15" customHeight="1" x14ac:dyDescent="0.25">
      <c r="A310" s="50" t="s">
        <v>76</v>
      </c>
      <c r="B310" s="72" t="str">
        <f>VLOOKUP(A310,'Componentes APUs'!$A$1:$D$14,2,0)</f>
        <v>Casco dielectrico Tipo 1 Clase E con barbuquejo</v>
      </c>
      <c r="C310" s="73"/>
      <c r="D310" s="50" t="str">
        <f>VLOOKUP(A310,'Componentes APUs'!$A$1:$D$14,3,0)</f>
        <v>U</v>
      </c>
      <c r="E310" s="50">
        <f>C288+C289+C291+C292+C293+IF(A290&lt;&gt;"MO-3",C290,0)</f>
        <v>3.25</v>
      </c>
      <c r="F310" s="51">
        <f>VLOOKUP(A310,'Componentes APUs'!$A$1:$D$14,4,0)</f>
        <v>10101.010101010101</v>
      </c>
      <c r="G310" s="51">
        <f>ROUNDUP(F310*(E310/21)/E276,0)</f>
        <v>196</v>
      </c>
    </row>
    <row r="311" spans="1:9" x14ac:dyDescent="0.25">
      <c r="A311" s="69" t="s">
        <v>77</v>
      </c>
      <c r="B311" s="72" t="str">
        <f>VLOOKUP(A311,'Componentes APUs'!$A$1:$D$14,2,0)</f>
        <v>Correa plastica y antiflama</v>
      </c>
      <c r="C311" s="73"/>
      <c r="D311" s="50" t="str">
        <f>VLOOKUP(A311,'Componentes APUs'!$A$1:$D$14,3,0)</f>
        <v>U</v>
      </c>
      <c r="E311" s="50">
        <f>SUM(C288:C293)</f>
        <v>3.25</v>
      </c>
      <c r="F311" s="51">
        <f>VLOOKUP(A311,'Componentes APUs'!$A$1:$D$14,4,0)</f>
        <v>3787.878787878788</v>
      </c>
      <c r="G311" s="51">
        <f>ROUNDUP(F311*(E311/21)/E276,0)</f>
        <v>74</v>
      </c>
    </row>
    <row r="312" spans="1:9" x14ac:dyDescent="0.25">
      <c r="A312" s="50" t="s">
        <v>79</v>
      </c>
      <c r="B312" s="72" t="str">
        <f>VLOOKUP(A312,'Componentes APUs'!$A$1:$D$14,2,0)</f>
        <v>Gafas protectoras filtro UV</v>
      </c>
      <c r="C312" s="73"/>
      <c r="D312" s="50" t="str">
        <f>VLOOKUP(A312,'Componentes APUs'!$A$1:$D$14,3,0)</f>
        <v>U</v>
      </c>
      <c r="E312" s="50">
        <f>SUM(C288:C293)</f>
        <v>3.25</v>
      </c>
      <c r="F312" s="51">
        <f>VLOOKUP(A312,'Componentes APUs'!$A$1:$D$14,4,0)</f>
        <v>2777.7777777777778</v>
      </c>
      <c r="G312" s="51">
        <f>ROUNDUP(F312*(E312/21)/E276,0)</f>
        <v>54</v>
      </c>
    </row>
    <row r="313" spans="1:9" ht="15" customHeight="1" x14ac:dyDescent="0.25">
      <c r="A313" s="69" t="s">
        <v>402</v>
      </c>
      <c r="B313" s="72" t="str">
        <f>VLOOKUP(A313,'Componentes APUs'!$A$1:$D$14,2,0)</f>
        <v>Bota de seguridad PVC dielectrica</v>
      </c>
      <c r="C313" s="73"/>
      <c r="D313" s="50" t="str">
        <f>VLOOKUP(A313,'Componentes APUs'!$A$1:$D$14,3,0)</f>
        <v>Par</v>
      </c>
      <c r="E313" s="50">
        <f>SUM(C288:C293)</f>
        <v>3.25</v>
      </c>
      <c r="F313" s="51">
        <f>VLOOKUP(A313,'Componentes APUs'!$A$1:$D$14,4,0)</f>
        <v>2916.6666666666665</v>
      </c>
      <c r="G313" s="51">
        <f>ROUNDUP(F313*(E313/21)/E276,0)</f>
        <v>57</v>
      </c>
    </row>
    <row r="314" spans="1:9" x14ac:dyDescent="0.25">
      <c r="A314" s="50" t="s">
        <v>403</v>
      </c>
      <c r="B314" s="72" t="str">
        <f>VLOOKUP(A314,'Componentes APUs'!$A$1:$D$14,2,0)</f>
        <v>Capuchon</v>
      </c>
      <c r="C314" s="73"/>
      <c r="D314" s="50" t="str">
        <f>VLOOKUP(A314,'Componentes APUs'!$A$1:$D$14,3,0)</f>
        <v>U</v>
      </c>
      <c r="E314" s="50">
        <f>SUM(C288:C293)</f>
        <v>3.25</v>
      </c>
      <c r="F314" s="51">
        <f>VLOOKUP(A314,'Componentes APUs'!$A$1:$D$14,4,0)</f>
        <v>2525.2525252525252</v>
      </c>
      <c r="G314" s="51">
        <f>ROUNDUP(F314*(E314/21)/E276,0)</f>
        <v>49</v>
      </c>
    </row>
    <row r="315" spans="1:9" ht="15" customHeight="1" x14ac:dyDescent="0.25">
      <c r="A315" s="69" t="s">
        <v>81</v>
      </c>
      <c r="B315" s="72" t="str">
        <f>VLOOKUP(A315,'Componentes APUs'!$A$1:$D$14,2,0)</f>
        <v>Guantes Protectores  - ingeniero reforzados</v>
      </c>
      <c r="C315" s="73"/>
      <c r="D315" s="50" t="str">
        <f>VLOOKUP(A315,'Componentes APUs'!$A$1:$D$14,3,0)</f>
        <v>Par</v>
      </c>
      <c r="E315" s="50">
        <f>C290+C291+C293</f>
        <v>3</v>
      </c>
      <c r="F315" s="51">
        <f>VLOOKUP(A315,'Componentes APUs'!$A$1:$D$14,4,0)</f>
        <v>2525.2525252525252</v>
      </c>
      <c r="G315" s="51">
        <f>ROUNDUP(F315*(E315/21)/E276,0)</f>
        <v>46</v>
      </c>
    </row>
    <row r="316" spans="1:9" x14ac:dyDescent="0.25">
      <c r="A316" s="50" t="s">
        <v>83</v>
      </c>
      <c r="B316" s="72" t="str">
        <f>VLOOKUP(A316,'Componentes APUs'!$A$1:$D$14,2,0)</f>
        <v>Impermeable (pantalon camisa)</v>
      </c>
      <c r="C316" s="73"/>
      <c r="D316" s="50" t="str">
        <f>VLOOKUP(A316,'Componentes APUs'!$A$1:$D$14,3,0)</f>
        <v>U</v>
      </c>
      <c r="E316" s="50">
        <f>SUM(C288:C293)</f>
        <v>3.25</v>
      </c>
      <c r="F316" s="51">
        <f>VLOOKUP(A316,'Componentes APUs'!$A$1:$D$14,4,0)</f>
        <v>3750</v>
      </c>
      <c r="G316" s="51">
        <f>ROUNDUP(F316*(E316/21)/E276,0)</f>
        <v>73</v>
      </c>
    </row>
    <row r="317" spans="1:9" x14ac:dyDescent="0.25">
      <c r="A317" s="69" t="s">
        <v>85</v>
      </c>
      <c r="B317" s="72" t="str">
        <f>VLOOKUP(A317,'Componentes APUs'!$A$1:$D$14,2,0)</f>
        <v>Jean Dielectrico</v>
      </c>
      <c r="C317" s="73"/>
      <c r="D317" s="50" t="str">
        <f>VLOOKUP(A317,'Componentes APUs'!$A$1:$D$14,3,0)</f>
        <v>U</v>
      </c>
      <c r="E317" s="50">
        <f>SUM(C288:C293)</f>
        <v>3.25</v>
      </c>
      <c r="F317" s="51">
        <f>VLOOKUP(A317,'Componentes APUs'!$A$1:$D$14,4,0)</f>
        <v>7575.757575757576</v>
      </c>
      <c r="G317" s="51">
        <f>ROUNDUP(F317*(E317/21)/E276,0)</f>
        <v>147</v>
      </c>
    </row>
    <row r="318" spans="1:9" ht="15" customHeight="1" x14ac:dyDescent="0.25">
      <c r="A318" s="50" t="s">
        <v>87</v>
      </c>
      <c r="B318" s="72" t="str">
        <f>VLOOKUP(A318,'Componentes APUs'!$A$1:$D$14,2,0)</f>
        <v>Casco dielectrico Tipo 2 Clase E con barboquejo</v>
      </c>
      <c r="C318" s="73"/>
      <c r="D318" s="50" t="str">
        <f>VLOOKUP(A318,'Componentes APUs'!$A$1:$D$14,3,0)</f>
        <v>U</v>
      </c>
      <c r="E318" s="53">
        <f>IF(A290="MO-3",C290,0)</f>
        <v>0</v>
      </c>
      <c r="F318" s="51">
        <f>VLOOKUP(A318,'Componentes APUs'!$A$1:$D$14,4,0)</f>
        <v>7500</v>
      </c>
      <c r="G318" s="51">
        <f>ROUNDUP(F318*(E318/21)/E276,0)</f>
        <v>0</v>
      </c>
    </row>
    <row r="319" spans="1:9" ht="15" customHeight="1" x14ac:dyDescent="0.25">
      <c r="A319" s="69" t="s">
        <v>89</v>
      </c>
      <c r="B319" s="72" t="str">
        <f>VLOOKUP(A319,'Componentes APUs'!$A$1:$D$14,2,0)</f>
        <v>Kit de rescate para trabajo en alturas</v>
      </c>
      <c r="C319" s="73"/>
      <c r="D319" s="50" t="str">
        <f>VLOOKUP(A319,'Componentes APUs'!$A$1:$D$14,3,0)</f>
        <v>U</v>
      </c>
      <c r="E319" s="50">
        <f>IF(AND(A290="MO-3",C290=2),1,0)</f>
        <v>0</v>
      </c>
      <c r="F319" s="51">
        <f>VLOOKUP(A319,'Componentes APUs'!$A$1:$D$14,4,0)</f>
        <v>37500</v>
      </c>
      <c r="G319" s="51">
        <f>ROUNDUP(F319*(E319/21)/E276,0)</f>
        <v>0</v>
      </c>
    </row>
    <row r="320" spans="1:9" x14ac:dyDescent="0.25">
      <c r="A320" s="50" t="s">
        <v>91</v>
      </c>
      <c r="B320" s="72" t="str">
        <f>VLOOKUP(A320,'Componentes APUs'!$A$1:$D$14,2,0)</f>
        <v>Equipo completo para trabajo en alturas con pretales (Arnes dielectrico, 1 mosqueton de seguridad, tie off dielectrico, eslinga de posicionamiento, juego de pretales)</v>
      </c>
      <c r="C320" s="73"/>
      <c r="D320" s="50" t="str">
        <f>VLOOKUP(A320,'Componentes APUs'!$A$1:$D$14,3,0)</f>
        <v>U</v>
      </c>
      <c r="E320" s="50">
        <f>IF(A290="MO-3",C290,0)</f>
        <v>0</v>
      </c>
      <c r="F320" s="51">
        <f>VLOOKUP(A320,'Componentes APUs'!$A$1:$D$14,4,0)</f>
        <v>26041.666666666668</v>
      </c>
      <c r="G320" s="51">
        <f>ROUNDUP(F320*(E320/21)/E276,0)</f>
        <v>0</v>
      </c>
    </row>
    <row r="321" spans="1:7" x14ac:dyDescent="0.25">
      <c r="A321" s="219" t="s">
        <v>95</v>
      </c>
      <c r="B321" s="219"/>
      <c r="C321" s="219"/>
      <c r="D321" s="219"/>
      <c r="E321" s="219"/>
      <c r="F321" s="219"/>
      <c r="G321" s="52">
        <f>SUM(G308:G320)</f>
        <v>1009</v>
      </c>
    </row>
    <row r="322" spans="1:7" x14ac:dyDescent="0.25">
      <c r="A322" s="56"/>
      <c r="B322" s="57"/>
      <c r="C322" s="57"/>
      <c r="D322" s="57"/>
      <c r="E322" s="57"/>
      <c r="F322" s="57"/>
      <c r="G322" s="58"/>
    </row>
    <row r="323" spans="1:7" x14ac:dyDescent="0.25">
      <c r="A323" s="219" t="s">
        <v>96</v>
      </c>
      <c r="B323" s="219"/>
      <c r="C323" s="219"/>
      <c r="D323" s="219"/>
      <c r="E323" s="219"/>
      <c r="F323" s="219"/>
      <c r="G323" s="219"/>
    </row>
    <row r="324" spans="1:7" x14ac:dyDescent="0.25">
      <c r="A324" s="49" t="s">
        <v>35</v>
      </c>
      <c r="B324" s="225" t="s">
        <v>36</v>
      </c>
      <c r="C324" s="225"/>
      <c r="D324" s="49" t="s">
        <v>37</v>
      </c>
      <c r="E324" s="49" t="s">
        <v>38</v>
      </c>
      <c r="F324" s="49" t="s">
        <v>39</v>
      </c>
      <c r="G324" s="49" t="s">
        <v>40</v>
      </c>
    </row>
    <row r="325" spans="1:7" x14ac:dyDescent="0.25">
      <c r="A325" s="69" t="s">
        <v>97</v>
      </c>
      <c r="B325" s="72" t="str">
        <f>VLOOKUP(A325,'Componentes APUs'!$N$1:$Q$30,2,0)</f>
        <v>Camioneta</v>
      </c>
      <c r="C325" s="73"/>
      <c r="D325" s="70" t="str">
        <f>VLOOKUP(A325,'Componentes APUs'!$N$1:$Q$30,3,0)</f>
        <v>U</v>
      </c>
      <c r="E325" s="50">
        <v>0</v>
      </c>
      <c r="F325" s="51">
        <f>VLOOKUP(A325,'Componentes APUs'!$N$1:$Q$30,4,0)</f>
        <v>5500000</v>
      </c>
      <c r="G325" s="51">
        <f>IFERROR(ROUNDUP(F325*(E325/21)/E276,0),"-")</f>
        <v>0</v>
      </c>
    </row>
    <row r="326" spans="1:7" x14ac:dyDescent="0.25">
      <c r="A326" s="50" t="s">
        <v>1391</v>
      </c>
      <c r="B326" s="72" t="str">
        <f>VLOOKUP(A326,'Componentes APUs'!$N$1:$Q$30,2,0)</f>
        <v>Rodillo Ligero</v>
      </c>
      <c r="C326" s="73"/>
      <c r="D326" s="70" t="str">
        <f>VLOOKUP(A326,'Componentes APUs'!$N$1:$Q$30,3,0)</f>
        <v>U</v>
      </c>
      <c r="E326" s="50">
        <v>0</v>
      </c>
      <c r="F326" s="51">
        <f>VLOOKUP(A326,'Componentes APUs'!$N$1:$Q$30,4,0)</f>
        <v>1675800</v>
      </c>
      <c r="G326" s="51">
        <f>IFERROR(ROUNDUP(F326*(E326/21)/E276,0),"-")</f>
        <v>0</v>
      </c>
    </row>
    <row r="327" spans="1:7" x14ac:dyDescent="0.25">
      <c r="A327" s="50" t="s">
        <v>1392</v>
      </c>
      <c r="B327" s="72" t="str">
        <f>VLOOKUP(A327,'Componentes APUs'!$N$1:$Q$30,2,0)</f>
        <v>Motocultor</v>
      </c>
      <c r="C327" s="73"/>
      <c r="D327" s="70" t="str">
        <f>VLOOKUP(A327,'Componentes APUs'!$N$1:$Q$30,3,0)</f>
        <v>U</v>
      </c>
      <c r="E327" s="50">
        <v>0</v>
      </c>
      <c r="F327" s="51">
        <f>VLOOKUP(A327,'Componentes APUs'!$N$1:$Q$30,4,0)</f>
        <v>1292760</v>
      </c>
      <c r="G327" s="51">
        <f>IFERROR(ROUNDUP(F327*(E327/21)/E276,0),"-")</f>
        <v>0</v>
      </c>
    </row>
    <row r="328" spans="1:7" x14ac:dyDescent="0.25">
      <c r="A328" s="50" t="s">
        <v>323</v>
      </c>
      <c r="B328" s="72" t="str">
        <f>VLOOKUP(A328,'Componentes APUs'!$N$1:$Q$30,2,0)</f>
        <v>Volqueta</v>
      </c>
      <c r="C328" s="73"/>
      <c r="D328" s="70" t="str">
        <f>VLOOKUP(A328,'Componentes APUs'!$N$1:$Q$30,3,0)</f>
        <v>U</v>
      </c>
      <c r="E328" s="50">
        <v>0.2</v>
      </c>
      <c r="F328" s="51">
        <f>VLOOKUP(A328,'Componentes APUs'!$N$1:$Q$30,4,0)</f>
        <v>14828184</v>
      </c>
      <c r="G328" s="51">
        <f>IFERROR(ROUNDUP(F328*(E328/21)/E276,0),"-")</f>
        <v>17653</v>
      </c>
    </row>
    <row r="329" spans="1:7" x14ac:dyDescent="0.25">
      <c r="A329" s="69" t="s">
        <v>324</v>
      </c>
      <c r="B329" s="72" t="str">
        <f>VLOOKUP(A329,'Componentes APUs'!$N$1:$Q$30,2,0)</f>
        <v>Retroexcavadora</v>
      </c>
      <c r="C329" s="73"/>
      <c r="D329" s="70" t="str">
        <f>VLOOKUP(A329,'Componentes APUs'!$N$1:$Q$30,3,0)</f>
        <v>U</v>
      </c>
      <c r="E329" s="50">
        <v>0</v>
      </c>
      <c r="F329" s="51">
        <f>VLOOKUP(A329,'Componentes APUs'!$N$1:$Q$30,4,0)</f>
        <v>46030656</v>
      </c>
      <c r="G329" s="51">
        <f>IFERROR(ROUNDUP(F329*(E329/21)/E276,0),"-")</f>
        <v>0</v>
      </c>
    </row>
    <row r="330" spans="1:7" x14ac:dyDescent="0.25">
      <c r="A330" s="219" t="s">
        <v>99</v>
      </c>
      <c r="B330" s="219"/>
      <c r="C330" s="219"/>
      <c r="D330" s="219"/>
      <c r="E330" s="219"/>
      <c r="F330" s="219"/>
      <c r="G330" s="52">
        <f>SUM(G325:G329)</f>
        <v>17653</v>
      </c>
    </row>
    <row r="331" spans="1:7" x14ac:dyDescent="0.25">
      <c r="A331" s="56"/>
      <c r="B331" s="57"/>
      <c r="C331" s="57"/>
      <c r="D331" s="57"/>
      <c r="E331" s="57"/>
      <c r="F331" s="57"/>
      <c r="G331" s="58"/>
    </row>
    <row r="332" spans="1:7" x14ac:dyDescent="0.25">
      <c r="A332" s="219" t="s">
        <v>1516</v>
      </c>
      <c r="B332" s="219"/>
      <c r="C332" s="219"/>
      <c r="D332" s="219"/>
      <c r="E332" s="219"/>
      <c r="F332" s="219"/>
      <c r="G332" s="52">
        <f>G330+G321+G304+G294+G284</f>
        <v>114241</v>
      </c>
    </row>
    <row r="333" spans="1:7" x14ac:dyDescent="0.25">
      <c r="A333" s="59"/>
      <c r="B333" s="60"/>
      <c r="C333" s="60"/>
      <c r="D333" s="60"/>
      <c r="E333" s="57"/>
      <c r="F333" s="57"/>
      <c r="G333" s="58"/>
    </row>
    <row r="334" spans="1:7" x14ac:dyDescent="0.25">
      <c r="A334" s="64"/>
      <c r="D334" s="55"/>
      <c r="E334" s="49" t="s">
        <v>25</v>
      </c>
      <c r="F334" s="54">
        <v>0.15</v>
      </c>
      <c r="G334" s="51">
        <f>G332*F334</f>
        <v>17136.149999999998</v>
      </c>
    </row>
    <row r="335" spans="1:7" x14ac:dyDescent="0.25">
      <c r="A335" s="64"/>
      <c r="D335" s="55"/>
      <c r="E335" s="49" t="s">
        <v>26</v>
      </c>
      <c r="F335" s="54">
        <v>0.05</v>
      </c>
      <c r="G335" s="51">
        <f>G332*F335</f>
        <v>5712.05</v>
      </c>
    </row>
    <row r="336" spans="1:7" x14ac:dyDescent="0.25">
      <c r="A336" s="61"/>
      <c r="B336" s="65"/>
      <c r="C336" s="65"/>
      <c r="D336" s="62"/>
      <c r="E336" s="49" t="s">
        <v>27</v>
      </c>
      <c r="F336" s="54">
        <v>0.05</v>
      </c>
      <c r="G336" s="51">
        <f>G332*F336</f>
        <v>5712.05</v>
      </c>
    </row>
    <row r="337" spans="1:9" x14ac:dyDescent="0.25">
      <c r="A337" s="61"/>
      <c r="B337" s="62"/>
      <c r="C337" s="62"/>
      <c r="D337" s="62"/>
      <c r="E337" s="62"/>
      <c r="F337" s="62"/>
      <c r="G337" s="63"/>
    </row>
    <row r="338" spans="1:9" x14ac:dyDescent="0.25">
      <c r="A338" s="219" t="s">
        <v>1517</v>
      </c>
      <c r="B338" s="219"/>
      <c r="C338" s="219"/>
      <c r="D338" s="219"/>
      <c r="E338" s="219"/>
      <c r="F338" s="219"/>
      <c r="G338" s="52">
        <f>G332+G334+G335+G336</f>
        <v>142801.24999999997</v>
      </c>
    </row>
    <row r="339" spans="1:9" x14ac:dyDescent="0.25">
      <c r="A339" s="59"/>
      <c r="B339" s="60"/>
      <c r="C339" s="60"/>
      <c r="D339" s="60"/>
      <c r="E339" s="57"/>
      <c r="F339" s="57"/>
      <c r="G339" s="58"/>
    </row>
    <row r="340" spans="1:9" x14ac:dyDescent="0.25">
      <c r="A340" s="64"/>
      <c r="D340" s="55"/>
      <c r="E340" s="49" t="s">
        <v>102</v>
      </c>
      <c r="F340" s="49" t="s">
        <v>103</v>
      </c>
      <c r="G340" s="51">
        <f>G336*19%</f>
        <v>1085.2895000000001</v>
      </c>
    </row>
    <row r="341" spans="1:9" x14ac:dyDescent="0.25">
      <c r="A341" s="61"/>
      <c r="B341" s="62"/>
      <c r="C341" s="62"/>
      <c r="D341" s="62"/>
      <c r="E341" s="57"/>
      <c r="F341" s="57"/>
      <c r="G341" s="58"/>
    </row>
    <row r="342" spans="1:9" x14ac:dyDescent="0.25">
      <c r="A342" s="219" t="s">
        <v>104</v>
      </c>
      <c r="B342" s="219"/>
      <c r="C342" s="219"/>
      <c r="D342" s="219"/>
      <c r="E342" s="219"/>
      <c r="F342" s="219"/>
      <c r="G342" s="52">
        <f>G340+G338</f>
        <v>143886.53949999998</v>
      </c>
    </row>
    <row r="344" spans="1:9" x14ac:dyDescent="0.25">
      <c r="A344" s="74" t="s">
        <v>29</v>
      </c>
      <c r="B344" s="226" t="s">
        <v>30</v>
      </c>
      <c r="C344" s="226"/>
      <c r="D344" s="74" t="s">
        <v>31</v>
      </c>
      <c r="E344" s="74" t="s">
        <v>32</v>
      </c>
      <c r="F344" s="74" t="s">
        <v>189</v>
      </c>
      <c r="G344" s="74" t="s">
        <v>33</v>
      </c>
      <c r="H344" s="105"/>
    </row>
    <row r="345" spans="1:9" ht="29.25" customHeight="1" x14ac:dyDescent="0.25">
      <c r="A345" s="50" t="str">
        <f>Presupuesto!B11</f>
        <v>006_OC</v>
      </c>
      <c r="B345" s="229" t="str">
        <f>Presupuesto!C11</f>
        <v>DISPOSICION FINAL DEL MATERIAL EN BOTADERO AUTORIZADO</v>
      </c>
      <c r="C345" s="230"/>
      <c r="D345" s="50" t="s">
        <v>114</v>
      </c>
      <c r="E345" s="102">
        <v>70</v>
      </c>
      <c r="F345" s="50"/>
      <c r="G345" s="51">
        <f>G410</f>
        <v>19949.220499999999</v>
      </c>
      <c r="H345" s="45"/>
    </row>
    <row r="346" spans="1:9" x14ac:dyDescent="0.25">
      <c r="A346" s="219" t="s">
        <v>34</v>
      </c>
      <c r="B346" s="219"/>
      <c r="C346" s="219"/>
      <c r="D346" s="219"/>
      <c r="E346" s="219"/>
      <c r="F346" s="219"/>
      <c r="G346" s="219"/>
    </row>
    <row r="347" spans="1:9" x14ac:dyDescent="0.25">
      <c r="A347" s="49" t="s">
        <v>35</v>
      </c>
      <c r="B347" s="219" t="s">
        <v>36</v>
      </c>
      <c r="C347" s="219"/>
      <c r="D347" s="49" t="s">
        <v>37</v>
      </c>
      <c r="E347" s="49" t="s">
        <v>38</v>
      </c>
      <c r="F347" s="49" t="s">
        <v>39</v>
      </c>
      <c r="G347" s="49" t="s">
        <v>40</v>
      </c>
    </row>
    <row r="348" spans="1:9" x14ac:dyDescent="0.25">
      <c r="A348" s="50" t="str">
        <f>Material!A582</f>
        <v>MA-581</v>
      </c>
      <c r="B348" s="72" t="str">
        <f>IFERROR(VLOOKUP(A348,Material!$A:$H,2,0),"-")</f>
        <v>TARIFA ESCOMBRERA AUTORIZADA</v>
      </c>
      <c r="C348" s="76"/>
      <c r="D348" s="50" t="str">
        <f>IFERROR(VLOOKUP(A348,Material!$A:$H,4,0),"-")</f>
        <v>M3</v>
      </c>
      <c r="E348" s="50">
        <v>1</v>
      </c>
      <c r="F348" s="51">
        <f>IFERROR(VLOOKUP(A348,Material!$A:$H,3,0),"-")</f>
        <v>13000</v>
      </c>
      <c r="G348" s="51">
        <f>IFERROR(ROUNDUP(F348*E348,0),"-")</f>
        <v>13000</v>
      </c>
    </row>
    <row r="349" spans="1:9" x14ac:dyDescent="0.25">
      <c r="A349" s="50">
        <v>0</v>
      </c>
      <c r="B349" s="72" t="str">
        <f>IFERROR(VLOOKUP(A349,Material!$A:$H,2,0),"-")</f>
        <v>-</v>
      </c>
      <c r="C349" s="76"/>
      <c r="D349" s="50" t="str">
        <f>IFERROR(VLOOKUP(A349,Material!$A:$H,4,0),"-")</f>
        <v>-</v>
      </c>
      <c r="E349" s="50"/>
      <c r="F349" s="51" t="str">
        <f>IFERROR(VLOOKUP(A349,Material!$A:$H,3,0),"-")</f>
        <v>-</v>
      </c>
      <c r="G349" s="51" t="str">
        <f>IFERROR(ROUNDUP(F349*E349,0),"-")</f>
        <v>-</v>
      </c>
    </row>
    <row r="350" spans="1:9" x14ac:dyDescent="0.25">
      <c r="A350" s="50"/>
      <c r="B350" s="72"/>
      <c r="C350" s="76"/>
      <c r="D350" s="50"/>
      <c r="E350" s="50"/>
      <c r="F350" s="51"/>
      <c r="G350" s="51"/>
    </row>
    <row r="351" spans="1:9" x14ac:dyDescent="0.25">
      <c r="A351" s="50"/>
      <c r="B351" s="72"/>
      <c r="C351" s="76"/>
      <c r="D351" s="50"/>
      <c r="E351" s="50"/>
      <c r="F351" s="51"/>
      <c r="G351" s="51"/>
      <c r="H351" s="92"/>
    </row>
    <row r="352" spans="1:9" x14ac:dyDescent="0.25">
      <c r="A352" s="219" t="s">
        <v>41</v>
      </c>
      <c r="B352" s="219"/>
      <c r="C352" s="219"/>
      <c r="D352" s="219"/>
      <c r="E352" s="219"/>
      <c r="F352" s="219"/>
      <c r="G352" s="52">
        <f>SUM(G348:G351)</f>
        <v>13000</v>
      </c>
      <c r="I352" s="104"/>
    </row>
    <row r="353" spans="1:9" x14ac:dyDescent="0.25">
      <c r="A353" s="56"/>
      <c r="B353" s="57"/>
      <c r="C353" s="57"/>
      <c r="D353" s="57"/>
      <c r="E353" s="57"/>
      <c r="F353" s="57"/>
      <c r="G353" s="58"/>
    </row>
    <row r="354" spans="1:9" x14ac:dyDescent="0.25">
      <c r="A354" s="219" t="s">
        <v>42</v>
      </c>
      <c r="B354" s="219"/>
      <c r="C354" s="219"/>
      <c r="D354" s="219"/>
      <c r="E354" s="219"/>
      <c r="F354" s="219"/>
      <c r="G354" s="219"/>
    </row>
    <row r="355" spans="1:9" x14ac:dyDescent="0.25">
      <c r="A355" s="49" t="s">
        <v>35</v>
      </c>
      <c r="B355" s="49" t="s">
        <v>36</v>
      </c>
      <c r="C355" s="49" t="s">
        <v>38</v>
      </c>
      <c r="D355" s="49" t="s">
        <v>43</v>
      </c>
      <c r="E355" s="49" t="s">
        <v>44</v>
      </c>
      <c r="F355" s="49" t="s">
        <v>45</v>
      </c>
      <c r="G355" s="49" t="s">
        <v>40</v>
      </c>
    </row>
    <row r="356" spans="1:9" x14ac:dyDescent="0.25">
      <c r="A356" s="50" t="s">
        <v>319</v>
      </c>
      <c r="B356" s="68" t="str">
        <f>VLOOKUP(A356,'Componentes APUs'!$H$1:$L$25,2,0)</f>
        <v>Ingeniero Residente de Obra</v>
      </c>
      <c r="C356" s="93">
        <v>0</v>
      </c>
      <c r="D356" s="50">
        <f>VLOOKUP(A356,'Componentes APUs'!$H$1:$L$25,3,0)</f>
        <v>4</v>
      </c>
      <c r="E356" s="51">
        <f>VLOOKUP(A356,'Componentes APUs'!$H$1:$L$25,4,0)</f>
        <v>271142.85714285716</v>
      </c>
      <c r="F356" s="51">
        <f>VLOOKUP(A356,'Componentes APUs'!$H$1:$L$25,5,0)</f>
        <v>162685.71428571429</v>
      </c>
      <c r="G356" s="51">
        <f>ROUNDUP((E356+F356)*C356/E345,0)</f>
        <v>0</v>
      </c>
      <c r="H356" s="66"/>
    </row>
    <row r="357" spans="1:9" x14ac:dyDescent="0.25">
      <c r="A357" s="50" t="s">
        <v>320</v>
      </c>
      <c r="B357" s="68" t="str">
        <f>VLOOKUP(A357,'Componentes APUs'!$H$1:$L$25,2,0)</f>
        <v>Tecnico Supervisor</v>
      </c>
      <c r="C357" s="93">
        <v>0</v>
      </c>
      <c r="D357" s="50">
        <f>VLOOKUP(A357,'Componentes APUs'!$H$1:$L$25,3,0)</f>
        <v>2.2999999999999998</v>
      </c>
      <c r="E357" s="51">
        <f>VLOOKUP(A357,'Componentes APUs'!$H$1:$L$25,4,0)</f>
        <v>155907.14285714284</v>
      </c>
      <c r="F357" s="51">
        <f>VLOOKUP(A357,'Componentes APUs'!$H$1:$L$25,5,0)</f>
        <v>93544.285714285696</v>
      </c>
      <c r="G357" s="51">
        <f>ROUNDUP((E357+F357)*C357/E345,0)</f>
        <v>0</v>
      </c>
    </row>
    <row r="358" spans="1:9" x14ac:dyDescent="0.25">
      <c r="A358" s="50" t="s">
        <v>54</v>
      </c>
      <c r="B358" s="68" t="str">
        <f>VLOOKUP(A358,'Componentes APUs'!$H$1:$L$25,2,0)</f>
        <v>Maestro de obra civil</v>
      </c>
      <c r="C358" s="93">
        <v>0</v>
      </c>
      <c r="D358" s="50">
        <f>VLOOKUP(A358,'Componentes APUs'!$H$1:$L$25,3,0)</f>
        <v>2.5</v>
      </c>
      <c r="E358" s="51">
        <f>VLOOKUP(A358,'Componentes APUs'!$H$1:$L$25,4,0)</f>
        <v>169464.28571428571</v>
      </c>
      <c r="F358" s="51">
        <f>VLOOKUP(A358,'Componentes APUs'!$H$1:$L$25,5,0)</f>
        <v>101678.57142857142</v>
      </c>
      <c r="G358" s="51">
        <f>ROUNDUP((E358+F358)*C358/E345,0)</f>
        <v>0</v>
      </c>
    </row>
    <row r="359" spans="1:9" x14ac:dyDescent="0.25">
      <c r="A359" s="50" t="s">
        <v>1110</v>
      </c>
      <c r="B359" s="68" t="str">
        <f>VLOOKUP(A359,'Componentes APUs'!$H$1:$L$25,2,0)</f>
        <v>Oficial de Obra Civil</v>
      </c>
      <c r="C359" s="93">
        <v>0</v>
      </c>
      <c r="D359" s="50">
        <f>VLOOKUP(A359,'Componentes APUs'!$H$1:$L$25,3,0)</f>
        <v>1.5</v>
      </c>
      <c r="E359" s="51">
        <f>VLOOKUP(A359,'Componentes APUs'!$H$1:$L$25,4,0)</f>
        <v>115964.28571428571</v>
      </c>
      <c r="F359" s="51">
        <f>VLOOKUP(A359,'Componentes APUs'!$H$1:$L$25,5,0)</f>
        <v>69578.57142857142</v>
      </c>
      <c r="G359" s="51">
        <f>ROUNDUP((E359+F359)*C359/E345,0)</f>
        <v>0</v>
      </c>
    </row>
    <row r="360" spans="1:9" x14ac:dyDescent="0.25">
      <c r="A360" s="50" t="s">
        <v>50</v>
      </c>
      <c r="B360" s="68" t="str">
        <f>VLOOKUP(A360,'Componentes APUs'!$H$1:$L$25,2,0)</f>
        <v>Profesional en SST</v>
      </c>
      <c r="C360" s="93">
        <v>0.25</v>
      </c>
      <c r="D360" s="50">
        <f>VLOOKUP(A360,'Componentes APUs'!$H$1:$L$25,3,0)</f>
        <v>2.5</v>
      </c>
      <c r="E360" s="51">
        <f>VLOOKUP(A360,'Componentes APUs'!$H$1:$L$25,4,0)</f>
        <v>169464.28571428571</v>
      </c>
      <c r="F360" s="51">
        <f>VLOOKUP(A360,'Componentes APUs'!$H$1:$L$25,5,0)</f>
        <v>101678.57142857142</v>
      </c>
      <c r="G360" s="51">
        <f>ROUNDUP((E360+F360)*C360/E345,0)</f>
        <v>969</v>
      </c>
    </row>
    <row r="361" spans="1:9" x14ac:dyDescent="0.25">
      <c r="A361" s="50" t="s">
        <v>1109</v>
      </c>
      <c r="B361" s="68" t="str">
        <f>VLOOKUP(A361,'Componentes APUs'!$H$1:$L$25,2,0)</f>
        <v>Ayudante de Obra Civil</v>
      </c>
      <c r="C361" s="93">
        <v>1</v>
      </c>
      <c r="D361" s="50">
        <f>VLOOKUP(A361,'Componentes APUs'!$H$1:$L$25,3,0)</f>
        <v>1</v>
      </c>
      <c r="E361" s="51">
        <f>VLOOKUP(A361,'Componentes APUs'!$H$1:$L$25,4,0)</f>
        <v>77309.523809523816</v>
      </c>
      <c r="F361" s="51">
        <f>VLOOKUP(A361,'Componentes APUs'!$H$1:$L$25,5,0)</f>
        <v>46385.71428571429</v>
      </c>
      <c r="G361" s="51">
        <f>ROUNDUP((E361+F361)*C361/E345,0)</f>
        <v>1768</v>
      </c>
    </row>
    <row r="362" spans="1:9" x14ac:dyDescent="0.25">
      <c r="A362" s="219" t="s">
        <v>56</v>
      </c>
      <c r="B362" s="219"/>
      <c r="C362" s="219"/>
      <c r="D362" s="219"/>
      <c r="E362" s="219"/>
      <c r="F362" s="219"/>
      <c r="G362" s="52">
        <f>SUM(G356:G361)</f>
        <v>2737</v>
      </c>
    </row>
    <row r="363" spans="1:9" x14ac:dyDescent="0.25">
      <c r="A363" s="56"/>
      <c r="B363" s="57"/>
      <c r="C363" s="57"/>
      <c r="D363" s="57"/>
      <c r="E363" s="57"/>
      <c r="F363" s="57"/>
      <c r="G363" s="58"/>
    </row>
    <row r="364" spans="1:9" x14ac:dyDescent="0.25">
      <c r="A364" s="219" t="s">
        <v>57</v>
      </c>
      <c r="B364" s="219"/>
      <c r="C364" s="219"/>
      <c r="D364" s="219"/>
      <c r="E364" s="219"/>
      <c r="F364" s="219"/>
      <c r="G364" s="219"/>
    </row>
    <row r="365" spans="1:9" x14ac:dyDescent="0.25">
      <c r="A365" s="49" t="s">
        <v>35</v>
      </c>
      <c r="B365" s="219" t="s">
        <v>36</v>
      </c>
      <c r="C365" s="219"/>
      <c r="D365" s="49" t="s">
        <v>37</v>
      </c>
      <c r="E365" s="49" t="s">
        <v>38</v>
      </c>
      <c r="F365" s="49" t="s">
        <v>39</v>
      </c>
      <c r="G365" s="49" t="s">
        <v>40</v>
      </c>
    </row>
    <row r="366" spans="1:9" x14ac:dyDescent="0.25">
      <c r="A366" s="50" t="s">
        <v>326</v>
      </c>
      <c r="B366" s="220" t="str">
        <f>VLOOKUP(A366,'Componentes APUs'!$S$1:$V$10,2,0)</f>
        <v>Juego Llaves</v>
      </c>
      <c r="C366" s="220"/>
      <c r="D366" s="50" t="s">
        <v>18</v>
      </c>
      <c r="E366" s="50">
        <v>0</v>
      </c>
      <c r="F366" s="51">
        <f>VLOOKUP(A366,'Componentes APUs'!$S$1:$V$10,4,0)</f>
        <v>9167</v>
      </c>
      <c r="G366" s="51">
        <f>ROUNDUP(F366*((E366/21)/E345),0)</f>
        <v>0</v>
      </c>
      <c r="I366" s="91"/>
    </row>
    <row r="367" spans="1:9" x14ac:dyDescent="0.25">
      <c r="A367" s="50" t="s">
        <v>58</v>
      </c>
      <c r="B367" s="220" t="str">
        <f>VLOOKUP(A367,'Componentes APUs'!$S$1:$V$10,2,0)</f>
        <v>Manila de servicio</v>
      </c>
      <c r="C367" s="220"/>
      <c r="D367" s="50" t="s">
        <v>18</v>
      </c>
      <c r="E367" s="50">
        <v>0</v>
      </c>
      <c r="F367" s="51">
        <f>VLOOKUP(A367,'Componentes APUs'!$S$1:$V$10,4,0)</f>
        <v>2333</v>
      </c>
      <c r="G367" s="51">
        <f>ROUNDUP(F367*((E367/21)/E345),0)</f>
        <v>0</v>
      </c>
    </row>
    <row r="368" spans="1:9" x14ac:dyDescent="0.25">
      <c r="A368" s="50" t="s">
        <v>327</v>
      </c>
      <c r="B368" s="220" t="str">
        <f>VLOOKUP(A368,'Componentes APUs'!$S$1:$V$10,2,0)</f>
        <v>Tula portaherramientas</v>
      </c>
      <c r="C368" s="220"/>
      <c r="D368" s="50" t="s">
        <v>18</v>
      </c>
      <c r="E368" s="50">
        <v>0</v>
      </c>
      <c r="F368" s="51">
        <f>VLOOKUP(A368,'Componentes APUs'!$S$1:$V$10,4,0)</f>
        <v>1250</v>
      </c>
      <c r="G368" s="51">
        <f>ROUNDUP(F368*((E368/21)/E345),0)</f>
        <v>0</v>
      </c>
    </row>
    <row r="369" spans="1:9" x14ac:dyDescent="0.25">
      <c r="A369" s="50" t="s">
        <v>60</v>
      </c>
      <c r="B369" s="220" t="str">
        <f>VLOOKUP(A369,'Componentes APUs'!$S$1:$V$10,2,0)</f>
        <v>Agarradoras</v>
      </c>
      <c r="C369" s="220"/>
      <c r="D369" s="50" t="s">
        <v>18</v>
      </c>
      <c r="E369" s="50">
        <v>0</v>
      </c>
      <c r="F369" s="51">
        <f>VLOOKUP(A369,'Componentes APUs'!$S$1:$V$10,4,0)</f>
        <v>125000</v>
      </c>
      <c r="G369" s="51">
        <f>ROUNDUP(F369*((E369/21)/E345),0)</f>
        <v>0</v>
      </c>
    </row>
    <row r="370" spans="1:9" x14ac:dyDescent="0.25">
      <c r="A370" s="50" t="s">
        <v>62</v>
      </c>
      <c r="B370" s="220" t="str">
        <f>VLOOKUP(A370,'Componentes APUs'!$S$1:$V$10,2,0)</f>
        <v>Templadoras</v>
      </c>
      <c r="C370" s="220"/>
      <c r="D370" s="50" t="s">
        <v>18</v>
      </c>
      <c r="E370" s="50">
        <v>0</v>
      </c>
      <c r="F370" s="51">
        <f>VLOOKUP(A370,'Componentes APUs'!$S$1:$V$10,4,0)</f>
        <v>250000</v>
      </c>
      <c r="G370" s="51">
        <f>ROUNDUP(F370*((E370/21)/E345),0)</f>
        <v>0</v>
      </c>
    </row>
    <row r="371" spans="1:9" x14ac:dyDescent="0.25">
      <c r="A371" s="50" t="s">
        <v>328</v>
      </c>
      <c r="B371" s="220" t="str">
        <f>VLOOKUP(A371,'Componentes APUs'!$S$1:$V$10,2,0)</f>
        <v>Herramienta Menor</v>
      </c>
      <c r="C371" s="220"/>
      <c r="D371" s="50" t="s">
        <v>18</v>
      </c>
      <c r="E371" s="50">
        <v>1</v>
      </c>
      <c r="F371" s="51">
        <f>VLOOKUP(A371,'Componentes APUs'!$S$1:$V$10,4,0)</f>
        <v>75758</v>
      </c>
      <c r="G371" s="51">
        <f>ROUNDUP(F371*((E371/21)/E345),0)</f>
        <v>52</v>
      </c>
    </row>
    <row r="372" spans="1:9" x14ac:dyDescent="0.25">
      <c r="A372" s="219" t="s">
        <v>69</v>
      </c>
      <c r="B372" s="219"/>
      <c r="C372" s="219"/>
      <c r="D372" s="219"/>
      <c r="E372" s="219"/>
      <c r="F372" s="219"/>
      <c r="G372" s="52">
        <f>SUM(G366:G371)</f>
        <v>52</v>
      </c>
    </row>
    <row r="373" spans="1:9" x14ac:dyDescent="0.25">
      <c r="A373" s="56"/>
      <c r="B373" s="57"/>
      <c r="C373" s="57"/>
      <c r="D373" s="57"/>
      <c r="E373" s="57"/>
      <c r="F373" s="57"/>
      <c r="G373" s="58"/>
    </row>
    <row r="374" spans="1:9" x14ac:dyDescent="0.25">
      <c r="A374" s="219" t="s">
        <v>70</v>
      </c>
      <c r="B374" s="219"/>
      <c r="C374" s="219"/>
      <c r="D374" s="219"/>
      <c r="E374" s="219"/>
      <c r="F374" s="219"/>
      <c r="G374" s="219"/>
    </row>
    <row r="375" spans="1:9" x14ac:dyDescent="0.25">
      <c r="A375" s="49" t="s">
        <v>35</v>
      </c>
      <c r="B375" s="219" t="s">
        <v>36</v>
      </c>
      <c r="C375" s="219"/>
      <c r="D375" s="49" t="s">
        <v>37</v>
      </c>
      <c r="E375" s="49" t="s">
        <v>38</v>
      </c>
      <c r="F375" s="49" t="s">
        <v>39</v>
      </c>
      <c r="G375" s="49" t="s">
        <v>40</v>
      </c>
    </row>
    <row r="376" spans="1:9" x14ac:dyDescent="0.25">
      <c r="A376" s="50" t="s">
        <v>71</v>
      </c>
      <c r="B376" s="71" t="str">
        <f>VLOOKUP(A376,'Componentes APUs'!$A$1:$D$14,2,0)</f>
        <v>Camisa indigo sin partes metalicas</v>
      </c>
      <c r="C376" s="71"/>
      <c r="D376" s="50" t="str">
        <f>VLOOKUP(A376,'Componentes APUs'!$A$1:$D$14,3,0)</f>
        <v>U</v>
      </c>
      <c r="E376" s="50">
        <f>SUM(C356:C361)</f>
        <v>1.25</v>
      </c>
      <c r="F376" s="51">
        <f>VLOOKUP(A376,'Componentes APUs'!$A$1:$D$14,4,0)</f>
        <v>8585.8585858585866</v>
      </c>
      <c r="G376" s="51">
        <f>ROUNDUP(F376*(E376/21)/E345,0)</f>
        <v>8</v>
      </c>
      <c r="I376" s="91"/>
    </row>
    <row r="377" spans="1:9" x14ac:dyDescent="0.25">
      <c r="A377" s="69" t="s">
        <v>73</v>
      </c>
      <c r="B377" s="72" t="str">
        <f>VLOOKUP(A377,'Componentes APUs'!$A$1:$D$14,2,0)</f>
        <v>Bota de seguridad dielectrica</v>
      </c>
      <c r="C377" s="73"/>
      <c r="D377" s="70" t="str">
        <f>VLOOKUP(A377,'Componentes APUs'!$A$1:$D$14,3,0)</f>
        <v>Par</v>
      </c>
      <c r="E377" s="50">
        <f>SUM(C356:C361)</f>
        <v>1.25</v>
      </c>
      <c r="F377" s="51">
        <f>VLOOKUP(A377,'Componentes APUs'!$A$1:$D$14,4,0)</f>
        <v>7500</v>
      </c>
      <c r="G377" s="51">
        <f>ROUNDUP(F377*(E377/21)/E345,0)</f>
        <v>7</v>
      </c>
    </row>
    <row r="378" spans="1:9" x14ac:dyDescent="0.25">
      <c r="A378" s="50" t="s">
        <v>76</v>
      </c>
      <c r="B378" s="72" t="str">
        <f>VLOOKUP(A378,'Componentes APUs'!$A$1:$D$14,2,0)</f>
        <v>Casco dielectrico Tipo 1 Clase E con barbuquejo</v>
      </c>
      <c r="C378" s="73"/>
      <c r="D378" s="50" t="str">
        <f>VLOOKUP(A378,'Componentes APUs'!$A$1:$D$14,3,0)</f>
        <v>U</v>
      </c>
      <c r="E378" s="50">
        <f>C356+C357+C359+C360+C361+IF(A358&lt;&gt;"MO-3",C358,0)</f>
        <v>1.25</v>
      </c>
      <c r="F378" s="51">
        <f>VLOOKUP(A378,'Componentes APUs'!$A$1:$D$14,4,0)</f>
        <v>10101.010101010101</v>
      </c>
      <c r="G378" s="51">
        <f>ROUNDUP(F378*(E378/21)/E345,0)</f>
        <v>9</v>
      </c>
    </row>
    <row r="379" spans="1:9" x14ac:dyDescent="0.25">
      <c r="A379" s="69" t="s">
        <v>77</v>
      </c>
      <c r="B379" s="72" t="str">
        <f>VLOOKUP(A379,'Componentes APUs'!$A$1:$D$14,2,0)</f>
        <v>Correa plastica y antiflama</v>
      </c>
      <c r="C379" s="73"/>
      <c r="D379" s="50" t="str">
        <f>VLOOKUP(A379,'Componentes APUs'!$A$1:$D$14,3,0)</f>
        <v>U</v>
      </c>
      <c r="E379" s="50">
        <f>SUM(C356:C361)</f>
        <v>1.25</v>
      </c>
      <c r="F379" s="51">
        <f>VLOOKUP(A379,'Componentes APUs'!$A$1:$D$14,4,0)</f>
        <v>3787.878787878788</v>
      </c>
      <c r="G379" s="51">
        <f>ROUNDUP(F379*(E379/21)/E345,0)</f>
        <v>4</v>
      </c>
    </row>
    <row r="380" spans="1:9" x14ac:dyDescent="0.25">
      <c r="A380" s="50" t="s">
        <v>79</v>
      </c>
      <c r="B380" s="72" t="str">
        <f>VLOOKUP(A380,'Componentes APUs'!$A$1:$D$14,2,0)</f>
        <v>Gafas protectoras filtro UV</v>
      </c>
      <c r="C380" s="73"/>
      <c r="D380" s="50" t="str">
        <f>VLOOKUP(A380,'Componentes APUs'!$A$1:$D$14,3,0)</f>
        <v>U</v>
      </c>
      <c r="E380" s="50">
        <f>SUM(C356:C361)</f>
        <v>1.25</v>
      </c>
      <c r="F380" s="51">
        <f>VLOOKUP(A380,'Componentes APUs'!$A$1:$D$14,4,0)</f>
        <v>2777.7777777777778</v>
      </c>
      <c r="G380" s="51">
        <f>ROUNDUP(F380*(E380/21)/E345,0)</f>
        <v>3</v>
      </c>
    </row>
    <row r="381" spans="1:9" x14ac:dyDescent="0.25">
      <c r="A381" s="69" t="s">
        <v>402</v>
      </c>
      <c r="B381" s="72" t="str">
        <f>VLOOKUP(A381,'Componentes APUs'!$A$1:$D$14,2,0)</f>
        <v>Bota de seguridad PVC dielectrica</v>
      </c>
      <c r="C381" s="73"/>
      <c r="D381" s="50" t="str">
        <f>VLOOKUP(A381,'Componentes APUs'!$A$1:$D$14,3,0)</f>
        <v>Par</v>
      </c>
      <c r="E381" s="50">
        <f>SUM(C356:C361)</f>
        <v>1.25</v>
      </c>
      <c r="F381" s="51">
        <f>VLOOKUP(A381,'Componentes APUs'!$A$1:$D$14,4,0)</f>
        <v>2916.6666666666665</v>
      </c>
      <c r="G381" s="51">
        <f>ROUNDUP(F381*(E381/21)/E345,0)</f>
        <v>3</v>
      </c>
    </row>
    <row r="382" spans="1:9" x14ac:dyDescent="0.25">
      <c r="A382" s="50" t="s">
        <v>403</v>
      </c>
      <c r="B382" s="72" t="str">
        <f>VLOOKUP(A382,'Componentes APUs'!$A$1:$D$14,2,0)</f>
        <v>Capuchon</v>
      </c>
      <c r="C382" s="73"/>
      <c r="D382" s="50" t="str">
        <f>VLOOKUP(A382,'Componentes APUs'!$A$1:$D$14,3,0)</f>
        <v>U</v>
      </c>
      <c r="E382" s="50">
        <f>SUM(C356:C361)</f>
        <v>1.25</v>
      </c>
      <c r="F382" s="51">
        <f>VLOOKUP(A382,'Componentes APUs'!$A$1:$D$14,4,0)</f>
        <v>2525.2525252525252</v>
      </c>
      <c r="G382" s="51">
        <f>ROUNDUP(F382*(E382/21)/E345,0)</f>
        <v>3</v>
      </c>
    </row>
    <row r="383" spans="1:9" x14ac:dyDescent="0.25">
      <c r="A383" s="69" t="s">
        <v>81</v>
      </c>
      <c r="B383" s="72" t="str">
        <f>VLOOKUP(A383,'Componentes APUs'!$A$1:$D$14,2,0)</f>
        <v>Guantes Protectores  - ingeniero reforzados</v>
      </c>
      <c r="C383" s="73"/>
      <c r="D383" s="50" t="str">
        <f>VLOOKUP(A383,'Componentes APUs'!$A$1:$D$14,3,0)</f>
        <v>Par</v>
      </c>
      <c r="E383" s="50">
        <f>C358+C359+C361</f>
        <v>1</v>
      </c>
      <c r="F383" s="51">
        <f>VLOOKUP(A383,'Componentes APUs'!$A$1:$D$14,4,0)</f>
        <v>2525.2525252525252</v>
      </c>
      <c r="G383" s="51">
        <f>ROUNDUP(F383*(E383/21)/E345,0)</f>
        <v>2</v>
      </c>
    </row>
    <row r="384" spans="1:9" x14ac:dyDescent="0.25">
      <c r="A384" s="50" t="s">
        <v>83</v>
      </c>
      <c r="B384" s="72" t="str">
        <f>VLOOKUP(A384,'Componentes APUs'!$A$1:$D$14,2,0)</f>
        <v>Impermeable (pantalon camisa)</v>
      </c>
      <c r="C384" s="73"/>
      <c r="D384" s="50" t="str">
        <f>VLOOKUP(A384,'Componentes APUs'!$A$1:$D$14,3,0)</f>
        <v>U</v>
      </c>
      <c r="E384" s="50">
        <f>SUM(C356:C361)</f>
        <v>1.25</v>
      </c>
      <c r="F384" s="51">
        <f>VLOOKUP(A384,'Componentes APUs'!$A$1:$D$14,4,0)</f>
        <v>3750</v>
      </c>
      <c r="G384" s="51">
        <f>ROUNDUP(F384*(E384/21)/E345,0)</f>
        <v>4</v>
      </c>
    </row>
    <row r="385" spans="1:7" x14ac:dyDescent="0.25">
      <c r="A385" s="69" t="s">
        <v>85</v>
      </c>
      <c r="B385" s="72" t="str">
        <f>VLOOKUP(A385,'Componentes APUs'!$A$1:$D$14,2,0)</f>
        <v>Jean Dielectrico</v>
      </c>
      <c r="C385" s="73"/>
      <c r="D385" s="50" t="str">
        <f>VLOOKUP(A385,'Componentes APUs'!$A$1:$D$14,3,0)</f>
        <v>U</v>
      </c>
      <c r="E385" s="50">
        <f>SUM(C356:C361)</f>
        <v>1.25</v>
      </c>
      <c r="F385" s="51">
        <f>VLOOKUP(A385,'Componentes APUs'!$A$1:$D$14,4,0)</f>
        <v>7575.757575757576</v>
      </c>
      <c r="G385" s="51">
        <f>ROUNDUP(F385*(E385/21)/E345,0)</f>
        <v>7</v>
      </c>
    </row>
    <row r="386" spans="1:7" x14ac:dyDescent="0.25">
      <c r="A386" s="50" t="s">
        <v>87</v>
      </c>
      <c r="B386" s="72" t="str">
        <f>VLOOKUP(A386,'Componentes APUs'!$A$1:$D$14,2,0)</f>
        <v>Casco dielectrico Tipo 2 Clase E con barboquejo</v>
      </c>
      <c r="C386" s="73"/>
      <c r="D386" s="50" t="str">
        <f>VLOOKUP(A386,'Componentes APUs'!$A$1:$D$14,3,0)</f>
        <v>U</v>
      </c>
      <c r="E386" s="53">
        <f>IF(A358="MO-3",C358,0)</f>
        <v>0</v>
      </c>
      <c r="F386" s="51">
        <f>VLOOKUP(A386,'Componentes APUs'!$A$1:$D$14,4,0)</f>
        <v>7500</v>
      </c>
      <c r="G386" s="51">
        <f>ROUNDUP(F386*(E386/21)/E345,0)</f>
        <v>0</v>
      </c>
    </row>
    <row r="387" spans="1:7" x14ac:dyDescent="0.25">
      <c r="A387" s="69" t="s">
        <v>89</v>
      </c>
      <c r="B387" s="72" t="str">
        <f>VLOOKUP(A387,'Componentes APUs'!$A$1:$D$14,2,0)</f>
        <v>Kit de rescate para trabajo en alturas</v>
      </c>
      <c r="C387" s="73"/>
      <c r="D387" s="50" t="str">
        <f>VLOOKUP(A387,'Componentes APUs'!$A$1:$D$14,3,0)</f>
        <v>U</v>
      </c>
      <c r="E387" s="50">
        <f>IF(AND(A358="MO-3",C358=2),1,0)</f>
        <v>0</v>
      </c>
      <c r="F387" s="51">
        <f>VLOOKUP(A387,'Componentes APUs'!$A$1:$D$14,4,0)</f>
        <v>37500</v>
      </c>
      <c r="G387" s="51">
        <f>ROUNDUP(F387*(E387/21)/E345,0)</f>
        <v>0</v>
      </c>
    </row>
    <row r="388" spans="1:7" x14ac:dyDescent="0.25">
      <c r="A388" s="50" t="s">
        <v>91</v>
      </c>
      <c r="B388" s="72" t="str">
        <f>VLOOKUP(A388,'Componentes APUs'!$A$1:$D$14,2,0)</f>
        <v>Equipo completo para trabajo en alturas con pretales (Arnes dielectrico, 1 mosqueton de seguridad, tie off dielectrico, eslinga de posicionamiento, juego de pretales)</v>
      </c>
      <c r="C388" s="73"/>
      <c r="D388" s="50" t="str">
        <f>VLOOKUP(A388,'Componentes APUs'!$A$1:$D$14,3,0)</f>
        <v>U</v>
      </c>
      <c r="E388" s="50">
        <f>IF(A358="MO-3",C358,0)</f>
        <v>0</v>
      </c>
      <c r="F388" s="51">
        <f>VLOOKUP(A388,'Componentes APUs'!$A$1:$D$14,4,0)</f>
        <v>26041.666666666668</v>
      </c>
      <c r="G388" s="51">
        <f>ROUNDUP(F388*(E388/21)/E345,0)</f>
        <v>0</v>
      </c>
    </row>
    <row r="389" spans="1:7" x14ac:dyDescent="0.25">
      <c r="A389" s="219" t="s">
        <v>95</v>
      </c>
      <c r="B389" s="219"/>
      <c r="C389" s="219"/>
      <c r="D389" s="219"/>
      <c r="E389" s="219"/>
      <c r="F389" s="219"/>
      <c r="G389" s="52">
        <f>SUM(G376:G388)</f>
        <v>50</v>
      </c>
    </row>
    <row r="390" spans="1:7" x14ac:dyDescent="0.25">
      <c r="A390" s="56"/>
      <c r="B390" s="57"/>
      <c r="C390" s="57"/>
      <c r="D390" s="57"/>
      <c r="E390" s="57"/>
      <c r="F390" s="57"/>
      <c r="G390" s="58"/>
    </row>
    <row r="391" spans="1:7" x14ac:dyDescent="0.25">
      <c r="A391" s="219" t="s">
        <v>96</v>
      </c>
      <c r="B391" s="219"/>
      <c r="C391" s="219"/>
      <c r="D391" s="219"/>
      <c r="E391" s="219"/>
      <c r="F391" s="219"/>
      <c r="G391" s="219"/>
    </row>
    <row r="392" spans="1:7" x14ac:dyDescent="0.25">
      <c r="A392" s="49" t="s">
        <v>35</v>
      </c>
      <c r="B392" s="225" t="s">
        <v>36</v>
      </c>
      <c r="C392" s="225"/>
      <c r="D392" s="49" t="s">
        <v>37</v>
      </c>
      <c r="E392" s="49" t="s">
        <v>38</v>
      </c>
      <c r="F392" s="49" t="s">
        <v>39</v>
      </c>
      <c r="G392" s="49" t="s">
        <v>40</v>
      </c>
    </row>
    <row r="393" spans="1:7" x14ac:dyDescent="0.25">
      <c r="A393" s="69" t="s">
        <v>97</v>
      </c>
      <c r="B393" s="72" t="str">
        <f>VLOOKUP(A393,'Componentes APUs'!$N$1:$Q$30,2,0)</f>
        <v>Camioneta</v>
      </c>
      <c r="C393" s="73"/>
      <c r="D393" s="70" t="str">
        <f>VLOOKUP(A393,'Componentes APUs'!$N$1:$Q$30,3,0)</f>
        <v>U</v>
      </c>
      <c r="E393" s="50">
        <v>0</v>
      </c>
      <c r="F393" s="51">
        <f>VLOOKUP(A393,'Componentes APUs'!$N$1:$Q$30,4,0)</f>
        <v>5500000</v>
      </c>
      <c r="G393" s="51">
        <f>IFERROR(ROUNDUP(F393*(E393/21)/E345,0),"-")</f>
        <v>0</v>
      </c>
    </row>
    <row r="394" spans="1:7" x14ac:dyDescent="0.25">
      <c r="A394" s="50" t="s">
        <v>321</v>
      </c>
      <c r="B394" s="72" t="str">
        <f>VLOOKUP(A394,'Componentes APUs'!$N$1:$Q$30,2,0)</f>
        <v>Grúa Hidráulica</v>
      </c>
      <c r="C394" s="73"/>
      <c r="D394" s="70" t="str">
        <f>VLOOKUP(A394,'Componentes APUs'!$N$1:$Q$30,3,0)</f>
        <v>U</v>
      </c>
      <c r="E394" s="50">
        <v>0</v>
      </c>
      <c r="F394" s="51">
        <f>VLOOKUP(A394,'Componentes APUs'!$N$1:$Q$30,4,0)</f>
        <v>21000000</v>
      </c>
      <c r="G394" s="51">
        <f>IFERROR(ROUNDUP(F394*(E394/21)/E345,0),"-")</f>
        <v>0</v>
      </c>
    </row>
    <row r="395" spans="1:7" x14ac:dyDescent="0.25">
      <c r="A395" s="69" t="s">
        <v>1379</v>
      </c>
      <c r="B395" s="72" t="str">
        <f>VLOOKUP(A395,'Componentes APUs'!$N$1:$Q$30,2,0)</f>
        <v>Dumper de descarga Frontal 2T</v>
      </c>
      <c r="C395" s="73"/>
      <c r="D395" s="70" t="str">
        <f>VLOOKUP(A395,'Componentes APUs'!$N$1:$Q$30,3,0)</f>
        <v>U</v>
      </c>
      <c r="E395" s="50">
        <v>0</v>
      </c>
      <c r="F395" s="51">
        <f>VLOOKUP(A395,'Componentes APUs'!$N$1:$Q$30,4,0)</f>
        <v>4438716.24</v>
      </c>
      <c r="G395" s="51">
        <f>IFERROR(ROUNDUP(F395*(E395/21)/E345,0),"-")</f>
        <v>0</v>
      </c>
    </row>
    <row r="396" spans="1:7" x14ac:dyDescent="0.25">
      <c r="A396" s="50" t="s">
        <v>323</v>
      </c>
      <c r="B396" s="72" t="str">
        <f>VLOOKUP(A396,'Componentes APUs'!$N$1:$Q$30,2,0)</f>
        <v>Volqueta</v>
      </c>
      <c r="C396" s="73"/>
      <c r="D396" s="70" t="str">
        <f>VLOOKUP(A396,'Componentes APUs'!$N$1:$Q$30,3,0)</f>
        <v>U</v>
      </c>
      <c r="E396" s="50">
        <v>0</v>
      </c>
      <c r="F396" s="51">
        <f>VLOOKUP(A396,'Componentes APUs'!$N$1:$Q$30,4,0)</f>
        <v>14828184</v>
      </c>
      <c r="G396" s="51">
        <f>IFERROR(ROUNDUP(F396*(E396/21)/E345,0),"-")</f>
        <v>0</v>
      </c>
    </row>
    <row r="397" spans="1:7" x14ac:dyDescent="0.25">
      <c r="A397" s="69" t="s">
        <v>324</v>
      </c>
      <c r="B397" s="72" t="str">
        <f>VLOOKUP(A397,'Componentes APUs'!$N$1:$Q$30,2,0)</f>
        <v>Retroexcavadora</v>
      </c>
      <c r="C397" s="73"/>
      <c r="D397" s="70" t="str">
        <f>VLOOKUP(A397,'Componentes APUs'!$N$1:$Q$30,3,0)</f>
        <v>U</v>
      </c>
      <c r="E397" s="50">
        <v>0</v>
      </c>
      <c r="F397" s="51">
        <f>VLOOKUP(A397,'Componentes APUs'!$N$1:$Q$30,4,0)</f>
        <v>46030656</v>
      </c>
      <c r="G397" s="51">
        <f>IFERROR(ROUNDUP(F397*(E397/21)/E345,0),"-")</f>
        <v>0</v>
      </c>
    </row>
    <row r="398" spans="1:7" x14ac:dyDescent="0.25">
      <c r="A398" s="219" t="s">
        <v>99</v>
      </c>
      <c r="B398" s="219"/>
      <c r="C398" s="219"/>
      <c r="D398" s="219"/>
      <c r="E398" s="219"/>
      <c r="F398" s="219"/>
      <c r="G398" s="52">
        <f>SUM(G393:G397)</f>
        <v>0</v>
      </c>
    </row>
    <row r="399" spans="1:7" x14ac:dyDescent="0.25">
      <c r="A399" s="56"/>
      <c r="B399" s="57"/>
      <c r="C399" s="57"/>
      <c r="D399" s="57"/>
      <c r="E399" s="57"/>
      <c r="F399" s="57"/>
      <c r="G399" s="58"/>
    </row>
    <row r="400" spans="1:7" x14ac:dyDescent="0.25">
      <c r="A400" s="219" t="s">
        <v>1516</v>
      </c>
      <c r="B400" s="219"/>
      <c r="C400" s="219"/>
      <c r="D400" s="219"/>
      <c r="E400" s="219"/>
      <c r="F400" s="219"/>
      <c r="G400" s="52">
        <f>G398+G389+G372+G362+G352</f>
        <v>15839</v>
      </c>
    </row>
    <row r="401" spans="1:8" x14ac:dyDescent="0.25">
      <c r="A401" s="59"/>
      <c r="B401" s="60"/>
      <c r="C401" s="60"/>
      <c r="D401" s="60"/>
      <c r="E401" s="57"/>
      <c r="F401" s="57"/>
      <c r="G401" s="58"/>
    </row>
    <row r="402" spans="1:8" x14ac:dyDescent="0.25">
      <c r="A402" s="64"/>
      <c r="D402" s="55"/>
      <c r="E402" s="49" t="s">
        <v>25</v>
      </c>
      <c r="F402" s="54">
        <v>0.15</v>
      </c>
      <c r="G402" s="51">
        <f>G400*F402</f>
        <v>2375.85</v>
      </c>
    </row>
    <row r="403" spans="1:8" x14ac:dyDescent="0.25">
      <c r="A403" s="64"/>
      <c r="D403" s="55"/>
      <c r="E403" s="49" t="s">
        <v>26</v>
      </c>
      <c r="F403" s="54">
        <v>0.05</v>
      </c>
      <c r="G403" s="51">
        <f>G400*F403</f>
        <v>791.95</v>
      </c>
    </row>
    <row r="404" spans="1:8" x14ac:dyDescent="0.25">
      <c r="A404" s="61"/>
      <c r="B404" s="65"/>
      <c r="C404" s="65"/>
      <c r="D404" s="62"/>
      <c r="E404" s="49" t="s">
        <v>27</v>
      </c>
      <c r="F404" s="54">
        <v>0.05</v>
      </c>
      <c r="G404" s="51">
        <f>G400*F404</f>
        <v>791.95</v>
      </c>
    </row>
    <row r="405" spans="1:8" x14ac:dyDescent="0.25">
      <c r="A405" s="61"/>
      <c r="B405" s="62"/>
      <c r="C405" s="62"/>
      <c r="D405" s="62"/>
      <c r="E405" s="62"/>
      <c r="F405" s="62"/>
      <c r="G405" s="63"/>
    </row>
    <row r="406" spans="1:8" x14ac:dyDescent="0.25">
      <c r="A406" s="219" t="s">
        <v>1517</v>
      </c>
      <c r="B406" s="219"/>
      <c r="C406" s="219"/>
      <c r="D406" s="219"/>
      <c r="E406" s="219"/>
      <c r="F406" s="219"/>
      <c r="G406" s="52">
        <f>G400+G402+G403+G404</f>
        <v>19798.75</v>
      </c>
    </row>
    <row r="407" spans="1:8" x14ac:dyDescent="0.25">
      <c r="A407" s="59"/>
      <c r="B407" s="60"/>
      <c r="C407" s="60"/>
      <c r="D407" s="60"/>
      <c r="E407" s="57"/>
      <c r="F407" s="57"/>
      <c r="G407" s="58"/>
    </row>
    <row r="408" spans="1:8" x14ac:dyDescent="0.25">
      <c r="A408" s="64"/>
      <c r="D408" s="55"/>
      <c r="E408" s="49" t="s">
        <v>102</v>
      </c>
      <c r="F408" s="49" t="s">
        <v>103</v>
      </c>
      <c r="G408" s="51">
        <f>G404*19%</f>
        <v>150.47050000000002</v>
      </c>
    </row>
    <row r="409" spans="1:8" x14ac:dyDescent="0.25">
      <c r="A409" s="61"/>
      <c r="B409" s="62"/>
      <c r="C409" s="62"/>
      <c r="D409" s="62"/>
      <c r="E409" s="57"/>
      <c r="F409" s="57"/>
      <c r="G409" s="58"/>
    </row>
    <row r="410" spans="1:8" x14ac:dyDescent="0.25">
      <c r="A410" s="219" t="s">
        <v>104</v>
      </c>
      <c r="B410" s="219"/>
      <c r="C410" s="219"/>
      <c r="D410" s="219"/>
      <c r="E410" s="219"/>
      <c r="F410" s="219"/>
      <c r="G410" s="52">
        <f>G408+G406</f>
        <v>19949.220499999999</v>
      </c>
    </row>
    <row r="412" spans="1:8" x14ac:dyDescent="0.25">
      <c r="A412" s="74" t="s">
        <v>29</v>
      </c>
      <c r="B412" s="226" t="s">
        <v>30</v>
      </c>
      <c r="C412" s="226"/>
      <c r="D412" s="74" t="s">
        <v>31</v>
      </c>
      <c r="E412" s="74" t="s">
        <v>32</v>
      </c>
      <c r="F412" s="74" t="s">
        <v>189</v>
      </c>
      <c r="G412" s="74" t="s">
        <v>33</v>
      </c>
      <c r="H412" s="103"/>
    </row>
    <row r="413" spans="1:8" ht="26.25" customHeight="1" x14ac:dyDescent="0.25">
      <c r="A413" s="50" t="str">
        <f>Presupuesto!B12</f>
        <v>007_OC</v>
      </c>
      <c r="B413" s="229" t="str">
        <f>Presupuesto!C12</f>
        <v>CAMPAMENTO E INSTALACIONES PROVISIONALES, INCLUYE CERRAMIENTO EN MALLA VERDE</v>
      </c>
      <c r="C413" s="230"/>
      <c r="D413" s="50" t="s">
        <v>113</v>
      </c>
      <c r="E413" s="102">
        <v>4</v>
      </c>
      <c r="F413" s="50"/>
      <c r="G413" s="51">
        <f>G485</f>
        <v>366816.78</v>
      </c>
      <c r="H413" s="45"/>
    </row>
    <row r="414" spans="1:8" x14ac:dyDescent="0.25">
      <c r="A414" s="219" t="s">
        <v>34</v>
      </c>
      <c r="B414" s="219"/>
      <c r="C414" s="219"/>
      <c r="D414" s="219"/>
      <c r="E414" s="219"/>
      <c r="F414" s="219"/>
      <c r="G414" s="219"/>
    </row>
    <row r="415" spans="1:8" x14ac:dyDescent="0.25">
      <c r="A415" s="49" t="s">
        <v>35</v>
      </c>
      <c r="B415" s="219" t="s">
        <v>36</v>
      </c>
      <c r="C415" s="219"/>
      <c r="D415" s="49" t="s">
        <v>37</v>
      </c>
      <c r="E415" s="49" t="s">
        <v>38</v>
      </c>
      <c r="F415" s="49" t="s">
        <v>39</v>
      </c>
      <c r="G415" s="49" t="s">
        <v>40</v>
      </c>
    </row>
    <row r="416" spans="1:8" x14ac:dyDescent="0.25">
      <c r="A416" s="50" t="str">
        <f>Material!A284</f>
        <v>MA-283</v>
      </c>
      <c r="B416" s="72" t="str">
        <f>IFERROR(VLOOKUP(A416,Material!$A:$H,2,0),"-")</f>
        <v>TEJA DE ZINC DE 3,05 M X 0,8 M CAL 35</v>
      </c>
      <c r="C416" s="76"/>
      <c r="D416" s="50" t="str">
        <f>IFERROR(VLOOKUP(A416,Material!$A:$H,4,0),"-")</f>
        <v>UN</v>
      </c>
      <c r="E416" s="50">
        <v>0.48</v>
      </c>
      <c r="F416" s="51">
        <f>IFERROR(VLOOKUP(A416,Material!$A:$H,3,0),"-")</f>
        <v>39520</v>
      </c>
      <c r="G416" s="51">
        <f t="shared" ref="G416:G426" si="0">IFERROR(ROUNDUP(F416*E416,0),"-")</f>
        <v>18970</v>
      </c>
    </row>
    <row r="417" spans="1:9" x14ac:dyDescent="0.25">
      <c r="A417" s="50" t="str">
        <f>Material!A285</f>
        <v>MA-284</v>
      </c>
      <c r="B417" s="72" t="str">
        <f>IFERROR(VLOOKUP(A417,Material!$A:$H,2,0),"-")</f>
        <v>CLAVO COMÚN DE 2"</v>
      </c>
      <c r="C417" s="76"/>
      <c r="D417" s="50" t="str">
        <f>IFERROR(VLOOKUP(A417,Material!$A:$H,4,0),"-")</f>
        <v>LB</v>
      </c>
      <c r="E417" s="50">
        <v>0.16</v>
      </c>
      <c r="F417" s="51">
        <f>IFERROR(VLOOKUP(A417,Material!$A:$H,3,0),"-")</f>
        <v>12870</v>
      </c>
      <c r="G417" s="51">
        <f t="shared" si="0"/>
        <v>2060</v>
      </c>
    </row>
    <row r="418" spans="1:9" x14ac:dyDescent="0.25">
      <c r="A418" s="50" t="str">
        <f>Material!A286</f>
        <v>MA-285</v>
      </c>
      <c r="B418" s="72" t="str">
        <f>IFERROR(VLOOKUP(A418,Material!$A:$H,2,0),"-")</f>
        <v>TABLA MADERA COMÚN DE 1,7 CM X 18 CM 3/4"</v>
      </c>
      <c r="C418" s="76"/>
      <c r="D418" s="50" t="str">
        <f>IFERROR(VLOOKUP(A418,Material!$A:$H,4,0),"-")</f>
        <v>UN</v>
      </c>
      <c r="E418" s="50">
        <v>0.53</v>
      </c>
      <c r="F418" s="51">
        <f>IFERROR(VLOOKUP(A418,Material!$A:$H,3,0),"-")</f>
        <v>16900</v>
      </c>
      <c r="G418" s="51">
        <f t="shared" si="0"/>
        <v>8957</v>
      </c>
      <c r="I418" s="104"/>
    </row>
    <row r="419" spans="1:9" x14ac:dyDescent="0.25">
      <c r="A419" s="50" t="str">
        <f>Material!A287</f>
        <v>MA-286</v>
      </c>
      <c r="B419" s="72" t="str">
        <f>IFERROR(VLOOKUP(A419,Material!$A:$H,2,0),"-")</f>
        <v>BISAGRA</v>
      </c>
      <c r="C419" s="76"/>
      <c r="D419" s="50" t="str">
        <f>IFERROR(VLOOKUP(A419,Material!$A:$H,4,0),"-")</f>
        <v>UN</v>
      </c>
      <c r="E419" s="50">
        <v>0.21</v>
      </c>
      <c r="F419" s="51">
        <f>IFERROR(VLOOKUP(A419,Material!$A:$H,3,0),"-")</f>
        <v>23270</v>
      </c>
      <c r="G419" s="51">
        <f t="shared" si="0"/>
        <v>4887</v>
      </c>
    </row>
    <row r="420" spans="1:9" x14ac:dyDescent="0.25">
      <c r="A420" s="50" t="str">
        <f>Material!A288</f>
        <v>MA-287</v>
      </c>
      <c r="B420" s="72" t="str">
        <f>IFERROR(VLOOKUP(A420,Material!$A:$H,2,0),"-")</f>
        <v>CONCRETO DE 11 MPA PREPARADA EN OBRA (PARALES)</v>
      </c>
      <c r="C420" s="76"/>
      <c r="D420" s="50" t="str">
        <f>IFERROR(VLOOKUP(A420,Material!$A:$H,4,0),"-")</f>
        <v>M3</v>
      </c>
      <c r="E420" s="50">
        <v>0.01</v>
      </c>
      <c r="F420" s="51">
        <f>IFERROR(VLOOKUP(A420,Material!$A:$H,3,0),"-")</f>
        <v>595561.20000000007</v>
      </c>
      <c r="G420" s="51">
        <f t="shared" si="0"/>
        <v>5956</v>
      </c>
    </row>
    <row r="421" spans="1:9" x14ac:dyDescent="0.25">
      <c r="A421" s="50" t="str">
        <f>Material!A289</f>
        <v>MA-288</v>
      </c>
      <c r="B421" s="72" t="str">
        <f>IFERROR(VLOOKUP(A421,Material!$A:$H,2,0),"-")</f>
        <v>TELERA DE MADERA DE 1,35M X 0,9M</v>
      </c>
      <c r="C421" s="76"/>
      <c r="D421" s="50" t="str">
        <f>IFERROR(VLOOKUP(A421,Material!$A:$H,4,0),"-")</f>
        <v>UN</v>
      </c>
      <c r="E421" s="50">
        <v>2.0099999999999998</v>
      </c>
      <c r="F421" s="51">
        <f>IFERROR(VLOOKUP(A421,Material!$A:$H,3,0),"-")</f>
        <v>38675</v>
      </c>
      <c r="G421" s="51">
        <f t="shared" si="0"/>
        <v>77737</v>
      </c>
    </row>
    <row r="422" spans="1:9" x14ac:dyDescent="0.25">
      <c r="A422" s="50" t="str">
        <f>Material!A290</f>
        <v>MA-289</v>
      </c>
      <c r="B422" s="72" t="str">
        <f>IFERROR(VLOOKUP(A422,Material!$A:$H,2,0),"-")</f>
        <v>TRITURADO 3/4"</v>
      </c>
      <c r="C422" s="76"/>
      <c r="D422" s="50" t="str">
        <f>IFERROR(VLOOKUP(A422,Material!$A:$H,4,0),"-")</f>
        <v>M3</v>
      </c>
      <c r="E422" s="50">
        <v>0.04</v>
      </c>
      <c r="F422" s="51">
        <f>IFERROR(VLOOKUP(A422,Material!$A:$H,3,0),"-")</f>
        <v>147085.9</v>
      </c>
      <c r="G422" s="51">
        <f t="shared" si="0"/>
        <v>5884</v>
      </c>
    </row>
    <row r="423" spans="1:9" x14ac:dyDescent="0.25">
      <c r="A423" s="50" t="str">
        <f>Material!A291</f>
        <v>MA-290</v>
      </c>
      <c r="B423" s="72" t="str">
        <f>IFERROR(VLOOKUP(A423,Material!$A:$H,2,0),"-")</f>
        <v>ARENA FINA PARA CONCRETOS</v>
      </c>
      <c r="C423" s="76"/>
      <c r="D423" s="50" t="str">
        <f>IFERROR(VLOOKUP(A423,Material!$A:$H,4,0),"-")</f>
        <v>M3</v>
      </c>
      <c r="E423" s="50">
        <v>0.03</v>
      </c>
      <c r="F423" s="51">
        <f>IFERROR(VLOOKUP(A423,Material!$A:$H,3,0),"-")</f>
        <v>138450</v>
      </c>
      <c r="G423" s="51">
        <f t="shared" si="0"/>
        <v>4154</v>
      </c>
    </row>
    <row r="424" spans="1:9" x14ac:dyDescent="0.25">
      <c r="A424" s="50" t="str">
        <f>Material!A292</f>
        <v>MA-291</v>
      </c>
      <c r="B424" s="72" t="str">
        <f>IFERROR(VLOOKUP(A424,Material!$A:$H,2,0),"-")</f>
        <v>LARGUERO MADERA COMÚN 4CM X 8CM X2,8M</v>
      </c>
      <c r="C424" s="76"/>
      <c r="D424" s="50" t="str">
        <f>IFERROR(VLOOKUP(A424,Material!$A:$H,4,0),"-")</f>
        <v>UN</v>
      </c>
      <c r="E424" s="50">
        <v>1.38</v>
      </c>
      <c r="F424" s="51">
        <f>IFERROR(VLOOKUP(A424,Material!$A:$H,3,0),"-")</f>
        <v>16900</v>
      </c>
      <c r="G424" s="51">
        <f t="shared" si="0"/>
        <v>23322</v>
      </c>
    </row>
    <row r="425" spans="1:9" x14ac:dyDescent="0.25">
      <c r="A425" s="50" t="str">
        <f>Material!A293</f>
        <v>MA-292</v>
      </c>
      <c r="B425" s="72" t="str">
        <f>IFERROR(VLOOKUP(A425,Material!$A:$H,2,0),"-")</f>
        <v>PLASTICO NEGRO 20X3 M ANCHO CAL 3,5</v>
      </c>
      <c r="C425" s="76"/>
      <c r="D425" s="50" t="str">
        <f>IFERROR(VLOOKUP(A425,Material!$A:$H,4,0),"-")</f>
        <v>UN</v>
      </c>
      <c r="E425" s="50">
        <v>0.05</v>
      </c>
      <c r="F425" s="51">
        <f>IFERROR(VLOOKUP(A425,Material!$A:$H,3,0),"-")</f>
        <v>161070</v>
      </c>
      <c r="G425" s="51">
        <f t="shared" si="0"/>
        <v>8054</v>
      </c>
    </row>
    <row r="426" spans="1:9" x14ac:dyDescent="0.25">
      <c r="A426" s="50" t="str">
        <f>Material!A294</f>
        <v>MA-293</v>
      </c>
      <c r="B426" s="72" t="str">
        <f>IFERROR(VLOOKUP(A426,Material!$A:$H,2,0),"-")</f>
        <v>TELA CONSTRUCCIÓN VERDE 2.10 MT ANCHO</v>
      </c>
      <c r="C426" s="76"/>
      <c r="D426" s="50" t="str">
        <f>IFERROR(VLOOKUP(A426,Material!$A:$H,4,0),"-")</f>
        <v>ML</v>
      </c>
      <c r="E426" s="50">
        <v>1.5</v>
      </c>
      <c r="F426" s="51">
        <f>IFERROR(VLOOKUP(A426,Material!$A:$H,3,0),"-")</f>
        <v>2990</v>
      </c>
      <c r="G426" s="51">
        <f t="shared" si="0"/>
        <v>4485</v>
      </c>
    </row>
    <row r="427" spans="1:9" x14ac:dyDescent="0.25">
      <c r="A427" s="219" t="s">
        <v>41</v>
      </c>
      <c r="B427" s="219"/>
      <c r="C427" s="219"/>
      <c r="D427" s="219"/>
      <c r="E427" s="219"/>
      <c r="F427" s="219"/>
      <c r="G427" s="52">
        <f>SUM(G416:G426)</f>
        <v>164466</v>
      </c>
      <c r="I427" s="104"/>
    </row>
    <row r="428" spans="1:9" x14ac:dyDescent="0.25">
      <c r="A428" s="56"/>
      <c r="B428" s="57"/>
      <c r="C428" s="57"/>
      <c r="D428" s="57"/>
      <c r="E428" s="57"/>
      <c r="F428" s="57"/>
      <c r="G428" s="58"/>
    </row>
    <row r="429" spans="1:9" x14ac:dyDescent="0.25">
      <c r="A429" s="219" t="s">
        <v>42</v>
      </c>
      <c r="B429" s="219"/>
      <c r="C429" s="219"/>
      <c r="D429" s="219"/>
      <c r="E429" s="219"/>
      <c r="F429" s="219"/>
      <c r="G429" s="219"/>
    </row>
    <row r="430" spans="1:9" x14ac:dyDescent="0.25">
      <c r="A430" s="49" t="s">
        <v>35</v>
      </c>
      <c r="B430" s="49" t="s">
        <v>36</v>
      </c>
      <c r="C430" s="49" t="s">
        <v>38</v>
      </c>
      <c r="D430" s="49" t="s">
        <v>43</v>
      </c>
      <c r="E430" s="49" t="s">
        <v>44</v>
      </c>
      <c r="F430" s="49" t="s">
        <v>45</v>
      </c>
      <c r="G430" s="49" t="s">
        <v>40</v>
      </c>
    </row>
    <row r="431" spans="1:9" x14ac:dyDescent="0.25">
      <c r="A431" s="50" t="s">
        <v>319</v>
      </c>
      <c r="B431" s="68" t="str">
        <f>VLOOKUP(A431,'Componentes APUs'!$H$1:$L$25,2,0)</f>
        <v>Ingeniero Residente de Obra</v>
      </c>
      <c r="C431" s="93">
        <v>0</v>
      </c>
      <c r="D431" s="50">
        <f>VLOOKUP(A431,'Componentes APUs'!$H$1:$L$25,3,0)</f>
        <v>4</v>
      </c>
      <c r="E431" s="51">
        <f>VLOOKUP(A431,'Componentes APUs'!$H$1:$L$25,4,0)</f>
        <v>271142.85714285716</v>
      </c>
      <c r="F431" s="51">
        <f>VLOOKUP(A431,'Componentes APUs'!$H$1:$L$25,5,0)</f>
        <v>162685.71428571429</v>
      </c>
      <c r="G431" s="51">
        <f>ROUNDUP((E431+F431)*C431/E413,0)</f>
        <v>0</v>
      </c>
      <c r="H431" s="66"/>
    </row>
    <row r="432" spans="1:9" x14ac:dyDescent="0.25">
      <c r="A432" s="50" t="s">
        <v>320</v>
      </c>
      <c r="B432" s="68" t="str">
        <f>VLOOKUP(A432,'Componentes APUs'!$H$1:$L$25,2,0)</f>
        <v>Tecnico Supervisor</v>
      </c>
      <c r="C432" s="93">
        <v>0</v>
      </c>
      <c r="D432" s="50">
        <f>VLOOKUP(A432,'Componentes APUs'!$H$1:$L$25,3,0)</f>
        <v>2.2999999999999998</v>
      </c>
      <c r="E432" s="51">
        <f>VLOOKUP(A432,'Componentes APUs'!$H$1:$L$25,4,0)</f>
        <v>155907.14285714284</v>
      </c>
      <c r="F432" s="51">
        <f>VLOOKUP(A432,'Componentes APUs'!$H$1:$L$25,5,0)</f>
        <v>93544.285714285696</v>
      </c>
      <c r="G432" s="51">
        <f>ROUNDUP((E432+F432)*C432/E413,0)</f>
        <v>0</v>
      </c>
    </row>
    <row r="433" spans="1:9" x14ac:dyDescent="0.25">
      <c r="A433" s="50" t="s">
        <v>54</v>
      </c>
      <c r="B433" s="68" t="str">
        <f>VLOOKUP(A433,'Componentes APUs'!$H$1:$L$25,2,0)</f>
        <v>Maestro de obra civil</v>
      </c>
      <c r="C433" s="93">
        <v>0</v>
      </c>
      <c r="D433" s="50">
        <f>VLOOKUP(A433,'Componentes APUs'!$H$1:$L$25,3,0)</f>
        <v>2.5</v>
      </c>
      <c r="E433" s="51">
        <f>VLOOKUP(A433,'Componentes APUs'!$H$1:$L$25,4,0)</f>
        <v>169464.28571428571</v>
      </c>
      <c r="F433" s="51">
        <f>VLOOKUP(A433,'Componentes APUs'!$H$1:$L$25,5,0)</f>
        <v>101678.57142857142</v>
      </c>
      <c r="G433" s="51">
        <f>ROUNDUP((E433+F433)*C433/E413,0)</f>
        <v>0</v>
      </c>
    </row>
    <row r="434" spans="1:9" x14ac:dyDescent="0.25">
      <c r="A434" s="50" t="s">
        <v>1110</v>
      </c>
      <c r="B434" s="68" t="str">
        <f>VLOOKUP(A434,'Componentes APUs'!$H$1:$L$25,2,0)</f>
        <v>Oficial de Obra Civil</v>
      </c>
      <c r="C434" s="93">
        <v>0.25</v>
      </c>
      <c r="D434" s="50">
        <f>VLOOKUP(A434,'Componentes APUs'!$H$1:$L$25,3,0)</f>
        <v>1.5</v>
      </c>
      <c r="E434" s="51">
        <f>VLOOKUP(A434,'Componentes APUs'!$H$1:$L$25,4,0)</f>
        <v>115964.28571428571</v>
      </c>
      <c r="F434" s="51">
        <f>VLOOKUP(A434,'Componentes APUs'!$H$1:$L$25,5,0)</f>
        <v>69578.57142857142</v>
      </c>
      <c r="G434" s="51">
        <f>ROUNDUP((E434+F434)*C434/E413,0)</f>
        <v>11597</v>
      </c>
    </row>
    <row r="435" spans="1:9" x14ac:dyDescent="0.25">
      <c r="A435" s="50" t="s">
        <v>50</v>
      </c>
      <c r="B435" s="68" t="str">
        <f>VLOOKUP(A435,'Componentes APUs'!$H$1:$L$25,2,0)</f>
        <v>Profesional en SST</v>
      </c>
      <c r="C435" s="93">
        <v>0.25</v>
      </c>
      <c r="D435" s="50">
        <f>VLOOKUP(A435,'Componentes APUs'!$H$1:$L$25,3,0)</f>
        <v>2.5</v>
      </c>
      <c r="E435" s="51">
        <f>VLOOKUP(A435,'Componentes APUs'!$H$1:$L$25,4,0)</f>
        <v>169464.28571428571</v>
      </c>
      <c r="F435" s="51">
        <f>VLOOKUP(A435,'Componentes APUs'!$H$1:$L$25,5,0)</f>
        <v>101678.57142857142</v>
      </c>
      <c r="G435" s="51">
        <f>ROUNDUP((E435+F435)*C435/E413,0)</f>
        <v>16947</v>
      </c>
    </row>
    <row r="436" spans="1:9" x14ac:dyDescent="0.25">
      <c r="A436" s="50" t="s">
        <v>1109</v>
      </c>
      <c r="B436" s="68" t="str">
        <f>VLOOKUP(A436,'Componentes APUs'!$H$1:$L$25,2,0)</f>
        <v>Ayudante de Obra Civil</v>
      </c>
      <c r="C436" s="93">
        <v>1</v>
      </c>
      <c r="D436" s="50">
        <f>VLOOKUP(A436,'Componentes APUs'!$H$1:$L$25,3,0)</f>
        <v>1</v>
      </c>
      <c r="E436" s="51">
        <f>VLOOKUP(A436,'Componentes APUs'!$H$1:$L$25,4,0)</f>
        <v>77309.523809523816</v>
      </c>
      <c r="F436" s="51">
        <f>VLOOKUP(A436,'Componentes APUs'!$H$1:$L$25,5,0)</f>
        <v>46385.71428571429</v>
      </c>
      <c r="G436" s="51">
        <f>ROUNDUP((E436+F436)*C436/E413,0)</f>
        <v>30924</v>
      </c>
    </row>
    <row r="437" spans="1:9" x14ac:dyDescent="0.25">
      <c r="A437" s="219" t="s">
        <v>56</v>
      </c>
      <c r="B437" s="219"/>
      <c r="C437" s="219"/>
      <c r="D437" s="219"/>
      <c r="E437" s="219"/>
      <c r="F437" s="219"/>
      <c r="G437" s="52">
        <f>SUM(G431:G436)</f>
        <v>59468</v>
      </c>
    </row>
    <row r="438" spans="1:9" x14ac:dyDescent="0.25">
      <c r="A438" s="56"/>
      <c r="B438" s="57"/>
      <c r="C438" s="57"/>
      <c r="D438" s="57"/>
      <c r="E438" s="57"/>
      <c r="F438" s="57"/>
      <c r="G438" s="58"/>
    </row>
    <row r="439" spans="1:9" x14ac:dyDescent="0.25">
      <c r="A439" s="219" t="s">
        <v>57</v>
      </c>
      <c r="B439" s="219"/>
      <c r="C439" s="219"/>
      <c r="D439" s="219"/>
      <c r="E439" s="219"/>
      <c r="F439" s="219"/>
      <c r="G439" s="219"/>
    </row>
    <row r="440" spans="1:9" x14ac:dyDescent="0.25">
      <c r="A440" s="49" t="s">
        <v>35</v>
      </c>
      <c r="B440" s="219" t="s">
        <v>36</v>
      </c>
      <c r="C440" s="219"/>
      <c r="D440" s="49" t="s">
        <v>37</v>
      </c>
      <c r="E440" s="49" t="s">
        <v>38</v>
      </c>
      <c r="F440" s="49" t="s">
        <v>39</v>
      </c>
      <c r="G440" s="49" t="s">
        <v>40</v>
      </c>
    </row>
    <row r="441" spans="1:9" x14ac:dyDescent="0.25">
      <c r="A441" s="50" t="s">
        <v>326</v>
      </c>
      <c r="B441" s="220" t="str">
        <f>VLOOKUP(A441,'Componentes APUs'!$S$1:$V$10,2,0)</f>
        <v>Juego Llaves</v>
      </c>
      <c r="C441" s="220"/>
      <c r="D441" s="50" t="s">
        <v>18</v>
      </c>
      <c r="E441" s="50">
        <v>0</v>
      </c>
      <c r="F441" s="51">
        <f>VLOOKUP(A441,'Componentes APUs'!$S$1:$V$10,4,0)</f>
        <v>9167</v>
      </c>
      <c r="G441" s="51">
        <f>ROUNDUP(F441*((E441/21)/E413),0)</f>
        <v>0</v>
      </c>
      <c r="I441" s="91"/>
    </row>
    <row r="442" spans="1:9" x14ac:dyDescent="0.25">
      <c r="A442" s="50" t="s">
        <v>58</v>
      </c>
      <c r="B442" s="220" t="str">
        <f>VLOOKUP(A442,'Componentes APUs'!$S$1:$V$10,2,0)</f>
        <v>Manila de servicio</v>
      </c>
      <c r="C442" s="220"/>
      <c r="D442" s="50" t="s">
        <v>18</v>
      </c>
      <c r="E442" s="50">
        <v>0</v>
      </c>
      <c r="F442" s="51">
        <f>VLOOKUP(A442,'Componentes APUs'!$S$1:$V$10,4,0)</f>
        <v>2333</v>
      </c>
      <c r="G442" s="51">
        <f>ROUNDUP(F442*((E442/21)/E413),0)</f>
        <v>0</v>
      </c>
    </row>
    <row r="443" spans="1:9" x14ac:dyDescent="0.25">
      <c r="A443" s="50" t="s">
        <v>327</v>
      </c>
      <c r="B443" s="220" t="str">
        <f>VLOOKUP(A443,'Componentes APUs'!$S$1:$V$10,2,0)</f>
        <v>Tula portaherramientas</v>
      </c>
      <c r="C443" s="220"/>
      <c r="D443" s="50" t="s">
        <v>18</v>
      </c>
      <c r="E443" s="50">
        <v>0</v>
      </c>
      <c r="F443" s="51">
        <f>VLOOKUP(A443,'Componentes APUs'!$S$1:$V$10,4,0)</f>
        <v>1250</v>
      </c>
      <c r="G443" s="51">
        <f>ROUNDUP(F443*((E443/21)/E413),0)</f>
        <v>0</v>
      </c>
    </row>
    <row r="444" spans="1:9" x14ac:dyDescent="0.25">
      <c r="A444" s="50" t="s">
        <v>60</v>
      </c>
      <c r="B444" s="220" t="str">
        <f>VLOOKUP(A444,'Componentes APUs'!$S$1:$V$10,2,0)</f>
        <v>Agarradoras</v>
      </c>
      <c r="C444" s="220"/>
      <c r="D444" s="50" t="s">
        <v>18</v>
      </c>
      <c r="E444" s="50">
        <v>0</v>
      </c>
      <c r="F444" s="51">
        <f>VLOOKUP(A444,'Componentes APUs'!$S$1:$V$10,4,0)</f>
        <v>125000</v>
      </c>
      <c r="G444" s="51">
        <f>ROUNDUP(F444*((E444/21)/E413),0)</f>
        <v>0</v>
      </c>
    </row>
    <row r="445" spans="1:9" x14ac:dyDescent="0.25">
      <c r="A445" s="50" t="s">
        <v>62</v>
      </c>
      <c r="B445" s="220" t="str">
        <f>VLOOKUP(A445,'Componentes APUs'!$S$1:$V$10,2,0)</f>
        <v>Templadoras</v>
      </c>
      <c r="C445" s="220"/>
      <c r="D445" s="50" t="s">
        <v>18</v>
      </c>
      <c r="E445" s="50">
        <v>0</v>
      </c>
      <c r="F445" s="51">
        <f>VLOOKUP(A445,'Componentes APUs'!$S$1:$V$10,4,0)</f>
        <v>250000</v>
      </c>
      <c r="G445" s="51">
        <f>ROUNDUP(F445*((E445/21)/E413),0)</f>
        <v>0</v>
      </c>
    </row>
    <row r="446" spans="1:9" x14ac:dyDescent="0.25">
      <c r="A446" s="50" t="s">
        <v>328</v>
      </c>
      <c r="B446" s="220" t="str">
        <f>VLOOKUP(A446,'Componentes APUs'!$S$1:$V$10,2,0)</f>
        <v>Herramienta Menor</v>
      </c>
      <c r="C446" s="220"/>
      <c r="D446" s="50" t="s">
        <v>18</v>
      </c>
      <c r="E446" s="50">
        <v>1</v>
      </c>
      <c r="F446" s="51">
        <f>VLOOKUP(A446,'Componentes APUs'!$S$1:$V$10,4,0)</f>
        <v>75758</v>
      </c>
      <c r="G446" s="51">
        <f>ROUNDUP(F446*((E446/21)/E413),0)</f>
        <v>902</v>
      </c>
    </row>
    <row r="447" spans="1:9" x14ac:dyDescent="0.25">
      <c r="A447" s="219" t="s">
        <v>69</v>
      </c>
      <c r="B447" s="219"/>
      <c r="C447" s="219"/>
      <c r="D447" s="219"/>
      <c r="E447" s="219"/>
      <c r="F447" s="219"/>
      <c r="G447" s="52">
        <f>SUM(G441:G446)</f>
        <v>902</v>
      </c>
    </row>
    <row r="448" spans="1:9" x14ac:dyDescent="0.25">
      <c r="A448" s="56"/>
      <c r="B448" s="57"/>
      <c r="C448" s="57"/>
      <c r="D448" s="57"/>
      <c r="E448" s="57"/>
      <c r="F448" s="57"/>
      <c r="G448" s="58"/>
    </row>
    <row r="449" spans="1:9" x14ac:dyDescent="0.25">
      <c r="A449" s="219" t="s">
        <v>70</v>
      </c>
      <c r="B449" s="219"/>
      <c r="C449" s="219"/>
      <c r="D449" s="219"/>
      <c r="E449" s="219"/>
      <c r="F449" s="219"/>
      <c r="G449" s="219"/>
    </row>
    <row r="450" spans="1:9" x14ac:dyDescent="0.25">
      <c r="A450" s="49" t="s">
        <v>35</v>
      </c>
      <c r="B450" s="219" t="s">
        <v>36</v>
      </c>
      <c r="C450" s="219"/>
      <c r="D450" s="49" t="s">
        <v>37</v>
      </c>
      <c r="E450" s="49" t="s">
        <v>38</v>
      </c>
      <c r="F450" s="49" t="s">
        <v>39</v>
      </c>
      <c r="G450" s="49" t="s">
        <v>40</v>
      </c>
    </row>
    <row r="451" spans="1:9" ht="15" customHeight="1" x14ac:dyDescent="0.25">
      <c r="A451" s="50" t="s">
        <v>71</v>
      </c>
      <c r="B451" s="71" t="str">
        <f>VLOOKUP(A451,'Componentes APUs'!$A$1:$D$14,2,0)</f>
        <v>Camisa indigo sin partes metalicas</v>
      </c>
      <c r="C451" s="71"/>
      <c r="D451" s="50" t="str">
        <f>VLOOKUP(A451,'Componentes APUs'!$A$1:$D$14,3,0)</f>
        <v>U</v>
      </c>
      <c r="E451" s="50">
        <f>SUM(C431:C436)</f>
        <v>1.5</v>
      </c>
      <c r="F451" s="51">
        <f>VLOOKUP(A451,'Componentes APUs'!$A$1:$D$14,4,0)</f>
        <v>8585.8585858585866</v>
      </c>
      <c r="G451" s="51">
        <f>ROUNDUP(F451*(E451/21)/E413,0)</f>
        <v>154</v>
      </c>
      <c r="I451" s="91"/>
    </row>
    <row r="452" spans="1:9" x14ac:dyDescent="0.25">
      <c r="A452" s="69" t="s">
        <v>73</v>
      </c>
      <c r="B452" s="72" t="str">
        <f>VLOOKUP(A452,'Componentes APUs'!$A$1:$D$14,2,0)</f>
        <v>Bota de seguridad dielectrica</v>
      </c>
      <c r="C452" s="73"/>
      <c r="D452" s="70" t="str">
        <f>VLOOKUP(A452,'Componentes APUs'!$A$1:$D$14,3,0)</f>
        <v>Par</v>
      </c>
      <c r="E452" s="50">
        <f>SUM(C431:C436)</f>
        <v>1.5</v>
      </c>
      <c r="F452" s="51">
        <f>VLOOKUP(A452,'Componentes APUs'!$A$1:$D$14,4,0)</f>
        <v>7500</v>
      </c>
      <c r="G452" s="51">
        <f>ROUNDUP(F452*(E452/21)/E413,0)</f>
        <v>134</v>
      </c>
    </row>
    <row r="453" spans="1:9" ht="15" customHeight="1" x14ac:dyDescent="0.25">
      <c r="A453" s="50" t="s">
        <v>76</v>
      </c>
      <c r="B453" s="72" t="str">
        <f>VLOOKUP(A453,'Componentes APUs'!$A$1:$D$14,2,0)</f>
        <v>Casco dielectrico Tipo 1 Clase E con barbuquejo</v>
      </c>
      <c r="C453" s="73"/>
      <c r="D453" s="50" t="str">
        <f>VLOOKUP(A453,'Componentes APUs'!$A$1:$D$14,3,0)</f>
        <v>U</v>
      </c>
      <c r="E453" s="50">
        <f>C431+C432+C434+C435+C436+IF(A433&lt;&gt;"MO-3",C433,0)</f>
        <v>1.5</v>
      </c>
      <c r="F453" s="51">
        <f>VLOOKUP(A453,'Componentes APUs'!$A$1:$D$14,4,0)</f>
        <v>10101.010101010101</v>
      </c>
      <c r="G453" s="51">
        <f>ROUNDUP(F453*(E453/21)/E413,0)</f>
        <v>181</v>
      </c>
    </row>
    <row r="454" spans="1:9" x14ac:dyDescent="0.25">
      <c r="A454" s="69" t="s">
        <v>77</v>
      </c>
      <c r="B454" s="72" t="str">
        <f>VLOOKUP(A454,'Componentes APUs'!$A$1:$D$14,2,0)</f>
        <v>Correa plastica y antiflama</v>
      </c>
      <c r="C454" s="73"/>
      <c r="D454" s="50" t="str">
        <f>VLOOKUP(A454,'Componentes APUs'!$A$1:$D$14,3,0)</f>
        <v>U</v>
      </c>
      <c r="E454" s="50">
        <f>SUM(C431:C436)</f>
        <v>1.5</v>
      </c>
      <c r="F454" s="51">
        <f>VLOOKUP(A454,'Componentes APUs'!$A$1:$D$14,4,0)</f>
        <v>3787.878787878788</v>
      </c>
      <c r="G454" s="51">
        <f>ROUNDUP(F454*(E454/21)/E413,0)</f>
        <v>68</v>
      </c>
    </row>
    <row r="455" spans="1:9" x14ac:dyDescent="0.25">
      <c r="A455" s="50" t="s">
        <v>79</v>
      </c>
      <c r="B455" s="72" t="str">
        <f>VLOOKUP(A455,'Componentes APUs'!$A$1:$D$14,2,0)</f>
        <v>Gafas protectoras filtro UV</v>
      </c>
      <c r="C455" s="73"/>
      <c r="D455" s="50" t="str">
        <f>VLOOKUP(A455,'Componentes APUs'!$A$1:$D$14,3,0)</f>
        <v>U</v>
      </c>
      <c r="E455" s="50">
        <f>SUM(C431:C436)</f>
        <v>1.5</v>
      </c>
      <c r="F455" s="51">
        <f>VLOOKUP(A455,'Componentes APUs'!$A$1:$D$14,4,0)</f>
        <v>2777.7777777777778</v>
      </c>
      <c r="G455" s="51">
        <f>ROUNDUP(F455*(E455/21)/E413,0)</f>
        <v>50</v>
      </c>
    </row>
    <row r="456" spans="1:9" ht="15" customHeight="1" x14ac:dyDescent="0.25">
      <c r="A456" s="69" t="s">
        <v>402</v>
      </c>
      <c r="B456" s="72" t="str">
        <f>VLOOKUP(A456,'Componentes APUs'!$A$1:$D$14,2,0)</f>
        <v>Bota de seguridad PVC dielectrica</v>
      </c>
      <c r="C456" s="73"/>
      <c r="D456" s="50" t="str">
        <f>VLOOKUP(A456,'Componentes APUs'!$A$1:$D$14,3,0)</f>
        <v>Par</v>
      </c>
      <c r="E456" s="50">
        <f>SUM(C431:C436)</f>
        <v>1.5</v>
      </c>
      <c r="F456" s="51">
        <f>VLOOKUP(A456,'Componentes APUs'!$A$1:$D$14,4,0)</f>
        <v>2916.6666666666665</v>
      </c>
      <c r="G456" s="51">
        <f>ROUNDUP(F456*(E456/21)/E413,0)</f>
        <v>53</v>
      </c>
    </row>
    <row r="457" spans="1:9" x14ac:dyDescent="0.25">
      <c r="A457" s="50" t="s">
        <v>403</v>
      </c>
      <c r="B457" s="72" t="str">
        <f>VLOOKUP(A457,'Componentes APUs'!$A$1:$D$14,2,0)</f>
        <v>Capuchon</v>
      </c>
      <c r="C457" s="73"/>
      <c r="D457" s="50" t="str">
        <f>VLOOKUP(A457,'Componentes APUs'!$A$1:$D$14,3,0)</f>
        <v>U</v>
      </c>
      <c r="E457" s="50">
        <f>SUM(C431:C436)</f>
        <v>1.5</v>
      </c>
      <c r="F457" s="51">
        <f>VLOOKUP(A457,'Componentes APUs'!$A$1:$D$14,4,0)</f>
        <v>2525.2525252525252</v>
      </c>
      <c r="G457" s="51">
        <f>ROUNDUP(F457*(E457/21)/E413,0)</f>
        <v>46</v>
      </c>
    </row>
    <row r="458" spans="1:9" ht="15" customHeight="1" x14ac:dyDescent="0.25">
      <c r="A458" s="69" t="s">
        <v>81</v>
      </c>
      <c r="B458" s="72" t="str">
        <f>VLOOKUP(A458,'Componentes APUs'!$A$1:$D$14,2,0)</f>
        <v>Guantes Protectores  - ingeniero reforzados</v>
      </c>
      <c r="C458" s="73"/>
      <c r="D458" s="50" t="str">
        <f>VLOOKUP(A458,'Componentes APUs'!$A$1:$D$14,3,0)</f>
        <v>Par</v>
      </c>
      <c r="E458" s="50">
        <f>C433+C434+C436</f>
        <v>1.25</v>
      </c>
      <c r="F458" s="51">
        <f>VLOOKUP(A458,'Componentes APUs'!$A$1:$D$14,4,0)</f>
        <v>2525.2525252525252</v>
      </c>
      <c r="G458" s="51">
        <f>ROUNDUP(F458*(E458/21)/E413,0)</f>
        <v>38</v>
      </c>
    </row>
    <row r="459" spans="1:9" x14ac:dyDescent="0.25">
      <c r="A459" s="50" t="s">
        <v>83</v>
      </c>
      <c r="B459" s="72" t="str">
        <f>VLOOKUP(A459,'Componentes APUs'!$A$1:$D$14,2,0)</f>
        <v>Impermeable (pantalon camisa)</v>
      </c>
      <c r="C459" s="73"/>
      <c r="D459" s="50" t="str">
        <f>VLOOKUP(A459,'Componentes APUs'!$A$1:$D$14,3,0)</f>
        <v>U</v>
      </c>
      <c r="E459" s="50">
        <f>SUM(C431:C436)</f>
        <v>1.5</v>
      </c>
      <c r="F459" s="51">
        <f>VLOOKUP(A459,'Componentes APUs'!$A$1:$D$14,4,0)</f>
        <v>3750</v>
      </c>
      <c r="G459" s="51">
        <f>ROUNDUP(F459*(E459/21)/E413,0)</f>
        <v>67</v>
      </c>
    </row>
    <row r="460" spans="1:9" x14ac:dyDescent="0.25">
      <c r="A460" s="69" t="s">
        <v>85</v>
      </c>
      <c r="B460" s="72" t="str">
        <f>VLOOKUP(A460,'Componentes APUs'!$A$1:$D$14,2,0)</f>
        <v>Jean Dielectrico</v>
      </c>
      <c r="C460" s="73"/>
      <c r="D460" s="50" t="str">
        <f>VLOOKUP(A460,'Componentes APUs'!$A$1:$D$14,3,0)</f>
        <v>U</v>
      </c>
      <c r="E460" s="50">
        <f>SUM(C431:C436)</f>
        <v>1.5</v>
      </c>
      <c r="F460" s="51">
        <f>VLOOKUP(A460,'Componentes APUs'!$A$1:$D$14,4,0)</f>
        <v>7575.757575757576</v>
      </c>
      <c r="G460" s="51">
        <f>ROUNDUP(F460*(E460/21)/E413,0)</f>
        <v>136</v>
      </c>
    </row>
    <row r="461" spans="1:9" ht="15" customHeight="1" x14ac:dyDescent="0.25">
      <c r="A461" s="50" t="s">
        <v>87</v>
      </c>
      <c r="B461" s="72" t="str">
        <f>VLOOKUP(A461,'Componentes APUs'!$A$1:$D$14,2,0)</f>
        <v>Casco dielectrico Tipo 2 Clase E con barboquejo</v>
      </c>
      <c r="C461" s="73"/>
      <c r="D461" s="50" t="str">
        <f>VLOOKUP(A461,'Componentes APUs'!$A$1:$D$14,3,0)</f>
        <v>U</v>
      </c>
      <c r="E461" s="53">
        <f>IF(A433="MO-3",C433,0)</f>
        <v>0</v>
      </c>
      <c r="F461" s="51">
        <f>VLOOKUP(A461,'Componentes APUs'!$A$1:$D$14,4,0)</f>
        <v>7500</v>
      </c>
      <c r="G461" s="51">
        <f>ROUNDUP(F461*(E461/21)/E413,0)</f>
        <v>0</v>
      </c>
    </row>
    <row r="462" spans="1:9" ht="15" customHeight="1" x14ac:dyDescent="0.25">
      <c r="A462" s="69" t="s">
        <v>89</v>
      </c>
      <c r="B462" s="72" t="str">
        <f>VLOOKUP(A462,'Componentes APUs'!$A$1:$D$14,2,0)</f>
        <v>Kit de rescate para trabajo en alturas</v>
      </c>
      <c r="C462" s="73"/>
      <c r="D462" s="50" t="str">
        <f>VLOOKUP(A462,'Componentes APUs'!$A$1:$D$14,3,0)</f>
        <v>U</v>
      </c>
      <c r="E462" s="50">
        <f>IF(AND(A433="MO-3",C433=2),1,0)</f>
        <v>0</v>
      </c>
      <c r="F462" s="51">
        <f>VLOOKUP(A462,'Componentes APUs'!$A$1:$D$14,4,0)</f>
        <v>37500</v>
      </c>
      <c r="G462" s="51">
        <f>ROUNDUP(F462*(E462/21)/E413,0)</f>
        <v>0</v>
      </c>
    </row>
    <row r="463" spans="1:9" x14ac:dyDescent="0.25">
      <c r="A463" s="50" t="s">
        <v>91</v>
      </c>
      <c r="B463" s="72" t="str">
        <f>VLOOKUP(A463,'Componentes APUs'!$A$1:$D$14,2,0)</f>
        <v>Equipo completo para trabajo en alturas con pretales (Arnes dielectrico, 1 mosqueton de seguridad, tie off dielectrico, eslinga de posicionamiento, juego de pretales)</v>
      </c>
      <c r="C463" s="73"/>
      <c r="D463" s="50" t="str">
        <f>VLOOKUP(A463,'Componentes APUs'!$A$1:$D$14,3,0)</f>
        <v>U</v>
      </c>
      <c r="E463" s="50">
        <f>IF(A433="MO-3",C433,0)</f>
        <v>0</v>
      </c>
      <c r="F463" s="51">
        <f>VLOOKUP(A463,'Componentes APUs'!$A$1:$D$14,4,0)</f>
        <v>26041.666666666668</v>
      </c>
      <c r="G463" s="51">
        <f>ROUNDUP(F463*(E463/21)/E413,0)</f>
        <v>0</v>
      </c>
    </row>
    <row r="464" spans="1:9" x14ac:dyDescent="0.25">
      <c r="A464" s="219" t="s">
        <v>95</v>
      </c>
      <c r="B464" s="219"/>
      <c r="C464" s="219"/>
      <c r="D464" s="219"/>
      <c r="E464" s="219"/>
      <c r="F464" s="219"/>
      <c r="G464" s="52">
        <f>SUM(G451:G463)</f>
        <v>927</v>
      </c>
    </row>
    <row r="465" spans="1:7" x14ac:dyDescent="0.25">
      <c r="A465" s="56"/>
      <c r="B465" s="57"/>
      <c r="C465" s="57"/>
      <c r="D465" s="57"/>
      <c r="E465" s="57"/>
      <c r="F465" s="57"/>
      <c r="G465" s="58"/>
    </row>
    <row r="466" spans="1:7" x14ac:dyDescent="0.25">
      <c r="A466" s="219" t="s">
        <v>96</v>
      </c>
      <c r="B466" s="219"/>
      <c r="C466" s="219"/>
      <c r="D466" s="219"/>
      <c r="E466" s="219"/>
      <c r="F466" s="219"/>
      <c r="G466" s="219"/>
    </row>
    <row r="467" spans="1:7" x14ac:dyDescent="0.25">
      <c r="A467" s="49" t="s">
        <v>35</v>
      </c>
      <c r="B467" s="225" t="s">
        <v>36</v>
      </c>
      <c r="C467" s="225"/>
      <c r="D467" s="49" t="s">
        <v>37</v>
      </c>
      <c r="E467" s="49" t="s">
        <v>38</v>
      </c>
      <c r="F467" s="49" t="s">
        <v>39</v>
      </c>
      <c r="G467" s="49" t="s">
        <v>40</v>
      </c>
    </row>
    <row r="468" spans="1:7" x14ac:dyDescent="0.25">
      <c r="A468" s="69" t="s">
        <v>97</v>
      </c>
      <c r="B468" s="72" t="str">
        <f>VLOOKUP(A468,'Componentes APUs'!$N$1:$Q$30,2,0)</f>
        <v>Camioneta</v>
      </c>
      <c r="C468" s="73"/>
      <c r="D468" s="70" t="str">
        <f>VLOOKUP(A468,'Componentes APUs'!$N$1:$Q$30,3,0)</f>
        <v>U</v>
      </c>
      <c r="E468" s="50">
        <v>1</v>
      </c>
      <c r="F468" s="51">
        <f>VLOOKUP(A468,'Componentes APUs'!$N$1:$Q$30,4,0)</f>
        <v>5500000</v>
      </c>
      <c r="G468" s="51">
        <f>IFERROR(ROUNDUP(F468*(E468/21)/E413,0),"-")</f>
        <v>65477</v>
      </c>
    </row>
    <row r="469" spans="1:7" x14ac:dyDescent="0.25">
      <c r="A469" s="50" t="s">
        <v>321</v>
      </c>
      <c r="B469" s="72" t="str">
        <f>VLOOKUP(A469,'Componentes APUs'!$N$1:$Q$30,2,0)</f>
        <v>Grúa Hidráulica</v>
      </c>
      <c r="C469" s="73"/>
      <c r="D469" s="70" t="str">
        <f>VLOOKUP(A469,'Componentes APUs'!$N$1:$Q$30,3,0)</f>
        <v>U</v>
      </c>
      <c r="E469" s="50">
        <v>0</v>
      </c>
      <c r="F469" s="51">
        <f>VLOOKUP(A469,'Componentes APUs'!$N$1:$Q$30,4,0)</f>
        <v>21000000</v>
      </c>
      <c r="G469" s="51">
        <f>IFERROR(ROUNDUP(F469*(E469/21)/E413,0),"-")</f>
        <v>0</v>
      </c>
    </row>
    <row r="470" spans="1:7" x14ac:dyDescent="0.25">
      <c r="A470" s="69" t="s">
        <v>1379</v>
      </c>
      <c r="B470" s="72" t="str">
        <f>VLOOKUP(A470,'Componentes APUs'!$N$1:$Q$30,2,0)</f>
        <v>Dumper de descarga Frontal 2T</v>
      </c>
      <c r="C470" s="73"/>
      <c r="D470" s="70" t="str">
        <f>VLOOKUP(A470,'Componentes APUs'!$N$1:$Q$30,3,0)</f>
        <v>U</v>
      </c>
      <c r="E470" s="50">
        <v>0</v>
      </c>
      <c r="F470" s="51">
        <f>VLOOKUP(A470,'Componentes APUs'!$N$1:$Q$30,4,0)</f>
        <v>4438716.24</v>
      </c>
      <c r="G470" s="51">
        <f>IFERROR(ROUNDUP(F470*(E470/21)/E413,0),"-")</f>
        <v>0</v>
      </c>
    </row>
    <row r="471" spans="1:7" x14ac:dyDescent="0.25">
      <c r="A471" s="50" t="s">
        <v>323</v>
      </c>
      <c r="B471" s="72" t="str">
        <f>VLOOKUP(A471,'Componentes APUs'!$N$1:$Q$30,2,0)</f>
        <v>Volqueta</v>
      </c>
      <c r="C471" s="73"/>
      <c r="D471" s="70" t="str">
        <f>VLOOKUP(A471,'Componentes APUs'!$N$1:$Q$30,3,0)</f>
        <v>U</v>
      </c>
      <c r="E471" s="50">
        <v>0</v>
      </c>
      <c r="F471" s="51">
        <f>VLOOKUP(A471,'Componentes APUs'!$N$1:$Q$30,4,0)</f>
        <v>14828184</v>
      </c>
      <c r="G471" s="51">
        <f>IFERROR(ROUNDUP(F471*(E471/21)/E413,0),"-")</f>
        <v>0</v>
      </c>
    </row>
    <row r="472" spans="1:7" x14ac:dyDescent="0.25">
      <c r="A472" s="69" t="s">
        <v>324</v>
      </c>
      <c r="B472" s="72" t="str">
        <f>VLOOKUP(A472,'Componentes APUs'!$N$1:$Q$30,2,0)</f>
        <v>Retroexcavadora</v>
      </c>
      <c r="C472" s="73"/>
      <c r="D472" s="70" t="str">
        <f>VLOOKUP(A472,'Componentes APUs'!$N$1:$Q$30,3,0)</f>
        <v>U</v>
      </c>
      <c r="E472" s="50">
        <v>0</v>
      </c>
      <c r="F472" s="51">
        <f>VLOOKUP(A472,'Componentes APUs'!$N$1:$Q$30,4,0)</f>
        <v>46030656</v>
      </c>
      <c r="G472" s="51">
        <f>IFERROR(ROUNDUP(F472*(E472/21)/E413,0),"-")</f>
        <v>0</v>
      </c>
    </row>
    <row r="473" spans="1:7" x14ac:dyDescent="0.25">
      <c r="A473" s="219" t="s">
        <v>99</v>
      </c>
      <c r="B473" s="219"/>
      <c r="C473" s="219"/>
      <c r="D473" s="219"/>
      <c r="E473" s="219"/>
      <c r="F473" s="219"/>
      <c r="G473" s="52">
        <f>SUM(G468:G472)</f>
        <v>65477</v>
      </c>
    </row>
    <row r="474" spans="1:7" x14ac:dyDescent="0.25">
      <c r="A474" s="56"/>
      <c r="B474" s="57"/>
      <c r="C474" s="57"/>
      <c r="D474" s="57"/>
      <c r="E474" s="57"/>
      <c r="F474" s="57"/>
      <c r="G474" s="58"/>
    </row>
    <row r="475" spans="1:7" x14ac:dyDescent="0.25">
      <c r="A475" s="219" t="s">
        <v>1516</v>
      </c>
      <c r="B475" s="219"/>
      <c r="C475" s="219"/>
      <c r="D475" s="219"/>
      <c r="E475" s="219"/>
      <c r="F475" s="219"/>
      <c r="G475" s="52">
        <f>G473+G464+G447+G437+G427</f>
        <v>291240</v>
      </c>
    </row>
    <row r="476" spans="1:7" x14ac:dyDescent="0.25">
      <c r="A476" s="59"/>
      <c r="B476" s="60"/>
      <c r="C476" s="60"/>
      <c r="D476" s="60"/>
      <c r="E476" s="57"/>
      <c r="F476" s="57"/>
      <c r="G476" s="58"/>
    </row>
    <row r="477" spans="1:7" x14ac:dyDescent="0.25">
      <c r="A477" s="64"/>
      <c r="D477" s="55"/>
      <c r="E477" s="49" t="s">
        <v>25</v>
      </c>
      <c r="F477" s="54">
        <v>0.15</v>
      </c>
      <c r="G477" s="51">
        <f>G475*F477</f>
        <v>43686</v>
      </c>
    </row>
    <row r="478" spans="1:7" x14ac:dyDescent="0.25">
      <c r="A478" s="64"/>
      <c r="D478" s="55"/>
      <c r="E478" s="49" t="s">
        <v>26</v>
      </c>
      <c r="F478" s="54">
        <v>0.05</v>
      </c>
      <c r="G478" s="51">
        <f>G475*F478</f>
        <v>14562</v>
      </c>
    </row>
    <row r="479" spans="1:7" x14ac:dyDescent="0.25">
      <c r="A479" s="61"/>
      <c r="B479" s="65"/>
      <c r="C479" s="65"/>
      <c r="D479" s="62"/>
      <c r="E479" s="49" t="s">
        <v>27</v>
      </c>
      <c r="F479" s="54">
        <v>0.05</v>
      </c>
      <c r="G479" s="51">
        <f>G475*F479</f>
        <v>14562</v>
      </c>
    </row>
    <row r="480" spans="1:7" x14ac:dyDescent="0.25">
      <c r="A480" s="61"/>
      <c r="B480" s="62"/>
      <c r="C480" s="62"/>
      <c r="D480" s="62"/>
      <c r="E480" s="62"/>
      <c r="F480" s="62"/>
      <c r="G480" s="63"/>
    </row>
    <row r="481" spans="1:7" x14ac:dyDescent="0.25">
      <c r="A481" s="219" t="s">
        <v>1517</v>
      </c>
      <c r="B481" s="219"/>
      <c r="C481" s="219"/>
      <c r="D481" s="219"/>
      <c r="E481" s="219"/>
      <c r="F481" s="219"/>
      <c r="G481" s="52">
        <f>G475+G477+G478+G479</f>
        <v>364050</v>
      </c>
    </row>
    <row r="482" spans="1:7" x14ac:dyDescent="0.25">
      <c r="A482" s="59"/>
      <c r="B482" s="60"/>
      <c r="C482" s="60"/>
      <c r="D482" s="60"/>
      <c r="E482" s="57"/>
      <c r="F482" s="57"/>
      <c r="G482" s="58"/>
    </row>
    <row r="483" spans="1:7" x14ac:dyDescent="0.25">
      <c r="A483" s="64"/>
      <c r="D483" s="55"/>
      <c r="E483" s="49" t="s">
        <v>102</v>
      </c>
      <c r="F483" s="49" t="s">
        <v>103</v>
      </c>
      <c r="G483" s="51">
        <f>G479*19%</f>
        <v>2766.78</v>
      </c>
    </row>
    <row r="484" spans="1:7" x14ac:dyDescent="0.25">
      <c r="A484" s="61"/>
      <c r="B484" s="62"/>
      <c r="C484" s="62"/>
      <c r="D484" s="62"/>
      <c r="E484" s="57"/>
      <c r="F484" s="57"/>
      <c r="G484" s="58"/>
    </row>
    <row r="485" spans="1:7" x14ac:dyDescent="0.25">
      <c r="A485" s="219" t="s">
        <v>104</v>
      </c>
      <c r="B485" s="219"/>
      <c r="C485" s="219"/>
      <c r="D485" s="219"/>
      <c r="E485" s="219"/>
      <c r="F485" s="219"/>
      <c r="G485" s="52">
        <f>G483+G481</f>
        <v>366816.78</v>
      </c>
    </row>
    <row r="487" spans="1:7" x14ac:dyDescent="0.25">
      <c r="A487" s="74" t="s">
        <v>29</v>
      </c>
      <c r="B487" s="226" t="s">
        <v>30</v>
      </c>
      <c r="C487" s="226"/>
      <c r="D487" s="74" t="s">
        <v>31</v>
      </c>
      <c r="E487" s="74" t="s">
        <v>32</v>
      </c>
      <c r="F487" s="74" t="s">
        <v>189</v>
      </c>
      <c r="G487" s="74" t="s">
        <v>33</v>
      </c>
    </row>
    <row r="488" spans="1:7" x14ac:dyDescent="0.25">
      <c r="A488" s="50" t="str">
        <f>Presupuesto!B13</f>
        <v>008_OC</v>
      </c>
      <c r="B488" s="220" t="str">
        <f>Presupuesto!C13</f>
        <v>PROVISIONAL DE ENERGÍA</v>
      </c>
      <c r="C488" s="220"/>
      <c r="D488" s="50" t="s">
        <v>8</v>
      </c>
      <c r="E488" s="50">
        <v>1.5</v>
      </c>
      <c r="F488" s="50"/>
      <c r="G488" s="51">
        <f>G565</f>
        <v>34549975.509499997</v>
      </c>
    </row>
    <row r="489" spans="1:7" x14ac:dyDescent="0.25">
      <c r="A489" s="219" t="s">
        <v>34</v>
      </c>
      <c r="B489" s="219"/>
      <c r="C489" s="219"/>
      <c r="D489" s="219"/>
      <c r="E489" s="219"/>
      <c r="F489" s="219"/>
      <c r="G489" s="219"/>
    </row>
    <row r="490" spans="1:7" x14ac:dyDescent="0.25">
      <c r="A490" s="49" t="s">
        <v>35</v>
      </c>
      <c r="B490" s="219" t="s">
        <v>36</v>
      </c>
      <c r="C490" s="219"/>
      <c r="D490" s="49" t="s">
        <v>37</v>
      </c>
      <c r="E490" s="49" t="s">
        <v>38</v>
      </c>
      <c r="F490" s="49" t="s">
        <v>39</v>
      </c>
      <c r="G490" s="49" t="s">
        <v>40</v>
      </c>
    </row>
    <row r="491" spans="1:7" ht="25.5" customHeight="1" x14ac:dyDescent="0.25">
      <c r="A491" s="17" t="str">
        <f>Material!A97</f>
        <v>MA-96</v>
      </c>
      <c r="B491" s="221" t="str">
        <f>IFERROR(VLOOKUP(A491,Material!$A:$J,2,0),"-")</f>
        <v>TRANSFORMADOR TRIFASICO EN ACEITE DE 30 KVA - 13.200 V - 208</v>
      </c>
      <c r="C491" s="222"/>
      <c r="D491" s="50" t="str">
        <f>IFERROR(VLOOKUP(A491,Material!$A:$J,4,0),"-")</f>
        <v>UN</v>
      </c>
      <c r="E491" s="50">
        <v>1</v>
      </c>
      <c r="F491" s="51">
        <f>IFERROR(VLOOKUP(A491,Material!$A:$J,3,0),"-")</f>
        <v>12621300</v>
      </c>
      <c r="G491" s="51">
        <f t="shared" ref="G491:G501" si="1">IFERROR(ROUNDUP(F491*E491,0),"-")</f>
        <v>12621300</v>
      </c>
    </row>
    <row r="492" spans="1:7" ht="38.25" customHeight="1" x14ac:dyDescent="0.25">
      <c r="A492" s="17" t="str">
        <f>Material!A10</f>
        <v>MA-09</v>
      </c>
      <c r="B492" s="221" t="str">
        <f>IFERROR(VLOOKUP(A492,Material!$A:$J,2,0),"-")</f>
        <v>ESPARRAGO DE HIERRO GALVANIZADO ROSCADO EN TODA SU LONGITUD, 4 TUERCAS. DIAMETRO 16 MM LONGITUD 458  MM</v>
      </c>
      <c r="C492" s="222"/>
      <c r="D492" s="50" t="str">
        <f>IFERROR(VLOOKUP(A492,Material!$A:$J,4,0),"-")</f>
        <v>UN</v>
      </c>
      <c r="E492" s="50">
        <f>5*2</f>
        <v>10</v>
      </c>
      <c r="F492" s="51">
        <f>IFERROR(VLOOKUP(A492,Material!$A:$J,3,0),"-")</f>
        <v>10920</v>
      </c>
      <c r="G492" s="51">
        <f t="shared" si="1"/>
        <v>109200</v>
      </c>
    </row>
    <row r="493" spans="1:7" ht="25.5" customHeight="1" x14ac:dyDescent="0.25">
      <c r="A493" s="17" t="str">
        <f>Material!A101</f>
        <v>MA-100</v>
      </c>
      <c r="B493" s="221" t="str">
        <f>IFERROR(VLOOKUP(A493,Material!$A:$J,2,0),"-")</f>
        <v>CABLE DE COBRE DESNUDO NO. 4 AWG, 7 HILOS (REF. EH = 803)</v>
      </c>
      <c r="C493" s="222"/>
      <c r="D493" s="50" t="str">
        <f>IFERROR(VLOOKUP(A493,Material!$A:$J,4,0),"-")</f>
        <v>ML</v>
      </c>
      <c r="E493" s="50">
        <v>9</v>
      </c>
      <c r="F493" s="51">
        <f>IFERROR(VLOOKUP(A493,Material!$A:$J,3,0),"-")</f>
        <v>26104</v>
      </c>
      <c r="G493" s="51">
        <f t="shared" si="1"/>
        <v>234936</v>
      </c>
    </row>
    <row r="494" spans="1:7" ht="25.5" customHeight="1" x14ac:dyDescent="0.25">
      <c r="A494" s="17" t="str">
        <f>Material!A102</f>
        <v>MA-101</v>
      </c>
      <c r="B494" s="221" t="str">
        <f>IFERROR(VLOOKUP(A494,Material!$A:$J,2,0),"-")</f>
        <v>CINTA DE ACERO INOXIDABLE. DIMENSIONES 15.87 MM (REF. EH = 1282)</v>
      </c>
      <c r="C494" s="222"/>
      <c r="D494" s="50" t="str">
        <f>IFERROR(VLOOKUP(A494,Material!$A:$J,4,0),"-")</f>
        <v>ML</v>
      </c>
      <c r="E494" s="50">
        <v>3</v>
      </c>
      <c r="F494" s="51">
        <f>IFERROR(VLOOKUP(A494,Material!$A:$J,3,0),"-")</f>
        <v>6474</v>
      </c>
      <c r="G494" s="51">
        <f t="shared" si="1"/>
        <v>19422</v>
      </c>
    </row>
    <row r="495" spans="1:7" ht="25.5" customHeight="1" x14ac:dyDescent="0.25">
      <c r="A495" s="17" t="str">
        <f>Material!A103</f>
        <v>MA-102</v>
      </c>
      <c r="B495" s="221" t="str">
        <f>IFERROR(VLOOKUP(A495,Material!$A:$J,2,0),"-")</f>
        <v>CONECTOR DE RANURAS PARALELAS DE DOS PERNOS. DIMENSIONES 70*45*45 MM (REF. EH = 1031)</v>
      </c>
      <c r="C495" s="222"/>
      <c r="D495" s="50" t="str">
        <f>IFERROR(VLOOKUP(A495,Material!$A:$J,4,0),"-")</f>
        <v>UN</v>
      </c>
      <c r="E495" s="50">
        <v>2</v>
      </c>
      <c r="F495" s="51">
        <f>IFERROR(VLOOKUP(A495,Material!$A:$J,3,0),"-")</f>
        <v>23078.9</v>
      </c>
      <c r="G495" s="51">
        <f t="shared" si="1"/>
        <v>46158</v>
      </c>
    </row>
    <row r="496" spans="1:7" x14ac:dyDescent="0.25">
      <c r="A496" s="17" t="str">
        <f>Material!A104</f>
        <v>MA-103</v>
      </c>
      <c r="B496" s="221" t="str">
        <f>IFERROR(VLOOKUP(A496,Material!$A:$J,2,0),"-")</f>
        <v>CORTACIRCUITOS 15 KV MONOPOLAR (REF. EH = 3402)</v>
      </c>
      <c r="C496" s="222"/>
      <c r="D496" s="50" t="str">
        <f>IFERROR(VLOOKUP(A496,Material!$A:$J,4,0),"-")</f>
        <v>UN</v>
      </c>
      <c r="E496" s="50">
        <v>3</v>
      </c>
      <c r="F496" s="51">
        <f>IFERROR(VLOOKUP(A496,Material!$A:$J,3,0),"-")</f>
        <v>390266.5</v>
      </c>
      <c r="G496" s="51">
        <f t="shared" si="1"/>
        <v>1170800</v>
      </c>
    </row>
    <row r="497" spans="1:7" x14ac:dyDescent="0.25">
      <c r="A497" s="17" t="str">
        <f>Material!A49</f>
        <v>MA-48</v>
      </c>
      <c r="B497" s="221" t="str">
        <f>IFERROR(VLOOKUP(A497,Material!$A:$J,2,0),"-")</f>
        <v>DPS VNOM: 15KV. ISC 12.5 KA</v>
      </c>
      <c r="C497" s="222"/>
      <c r="D497" s="50" t="str">
        <f>IFERROR(VLOOKUP(A497,Material!$A:$J,4,0),"-")</f>
        <v>UN</v>
      </c>
      <c r="E497" s="50">
        <v>3</v>
      </c>
      <c r="F497" s="51">
        <f>IFERROR(VLOOKUP(A497,Material!$A:$J,3,0),"-")</f>
        <v>154960</v>
      </c>
      <c r="G497" s="51">
        <f t="shared" si="1"/>
        <v>464880</v>
      </c>
    </row>
    <row r="498" spans="1:7" x14ac:dyDescent="0.25">
      <c r="A498" s="17" t="str">
        <f>Material!A106</f>
        <v>MA-105</v>
      </c>
      <c r="B498" s="221" t="str">
        <f>IFERROR(VLOOKUP(A498,Material!$A:$J,2,0),"-")</f>
        <v>ESTRIBOS PARA NIVEL II (REF. EH = 2902)</v>
      </c>
      <c r="C498" s="222"/>
      <c r="D498" s="50" t="str">
        <f>IFERROR(VLOOKUP(A498,Material!$A:$J,4,0),"-")</f>
        <v>UN</v>
      </c>
      <c r="E498" s="50">
        <v>3</v>
      </c>
      <c r="F498" s="51">
        <f>IFERROR(VLOOKUP(A498,Material!$A:$J,3,0),"-")</f>
        <v>53995.5</v>
      </c>
      <c r="G498" s="51">
        <f t="shared" si="1"/>
        <v>161987</v>
      </c>
    </row>
    <row r="499" spans="1:7" ht="25.5" customHeight="1" x14ac:dyDescent="0.25">
      <c r="A499" s="17" t="str">
        <f>Material!A107</f>
        <v>MA-106</v>
      </c>
      <c r="B499" s="221" t="str">
        <f>IFERROR(VLOOKUP(A499,Material!$A:$J,2,0),"-")</f>
        <v>GRAPA OPERAR EN CALIENTE CONDUCTOR AWG-MCM 6 - 400. DIAMETRO 4 - 13.5 MM. (REF. EH = 795)</v>
      </c>
      <c r="C499" s="222"/>
      <c r="D499" s="50" t="str">
        <f>IFERROR(VLOOKUP(A499,Material!$A:$J,4,0),"-")</f>
        <v>UN</v>
      </c>
      <c r="E499" s="50">
        <v>3</v>
      </c>
      <c r="F499" s="51">
        <f>IFERROR(VLOOKUP(A499,Material!$A:$J,3,0),"-")</f>
        <v>52942.5</v>
      </c>
      <c r="G499" s="51">
        <f t="shared" si="1"/>
        <v>158828</v>
      </c>
    </row>
    <row r="500" spans="1:7" ht="25.5" customHeight="1" x14ac:dyDescent="0.25">
      <c r="A500" s="17" t="str">
        <f>Material!A108</f>
        <v>MA-107</v>
      </c>
      <c r="B500" s="221" t="str">
        <f>IFERROR(VLOOKUP(A500,Material!$A:$J,2,0),"-")</f>
        <v>TUBO CONDUIT METALICO GALVANIZADO IMC DIAMETRO 1/2 PULG. (REF. EH = 43440)</v>
      </c>
      <c r="C500" s="222"/>
      <c r="D500" s="50" t="str">
        <f>IFERROR(VLOOKUP(A500,Material!$A:$J,4,0),"-")</f>
        <v>ML</v>
      </c>
      <c r="E500" s="50">
        <v>3</v>
      </c>
      <c r="F500" s="51">
        <f>IFERROR(VLOOKUP(A500,Material!$A:$J,3,0),"-")</f>
        <v>19760</v>
      </c>
      <c r="G500" s="51">
        <f t="shared" si="1"/>
        <v>59280</v>
      </c>
    </row>
    <row r="501" spans="1:7" ht="25.5" customHeight="1" x14ac:dyDescent="0.25">
      <c r="A501" s="17" t="str">
        <f>Material!A69</f>
        <v>MA-68</v>
      </c>
      <c r="B501" s="221" t="str">
        <f>IFERROR(VLOOKUP(A501,Material!$A:$J,2,0),"-")</f>
        <v>HEBILLA DE ACERO INOXIDABLE. DIMENSIONES 15.87 MM (REF. EH = 1292)</v>
      </c>
      <c r="C501" s="222"/>
      <c r="D501" s="50" t="str">
        <f>IFERROR(VLOOKUP(A501,Material!$A:$J,4,0),"-")</f>
        <v>UN</v>
      </c>
      <c r="E501" s="50">
        <v>3</v>
      </c>
      <c r="F501" s="51">
        <f>IFERROR(VLOOKUP(A501,Material!$A:$J,3,0),"-")</f>
        <v>780</v>
      </c>
      <c r="G501" s="51">
        <f t="shared" si="1"/>
        <v>2340</v>
      </c>
    </row>
    <row r="502" spans="1:7" x14ac:dyDescent="0.25">
      <c r="A502" s="17" t="str">
        <f>Material!A111</f>
        <v>MA-110</v>
      </c>
      <c r="B502" s="221" t="str">
        <f>IFERROR(VLOOKUP(A502,Material!$A:$J,2,0),"-")</f>
        <v>CABLE AAAC 3 X 1/0+1/0.</v>
      </c>
      <c r="C502" s="222"/>
      <c r="D502" s="50" t="str">
        <f>IFERROR(VLOOKUP(A502,Material!$A:$J,4,0),"-")</f>
        <v>ML</v>
      </c>
      <c r="E502" s="50">
        <v>134</v>
      </c>
      <c r="F502" s="51">
        <f>IFERROR(VLOOKUP(A502,Material!$A:$J,3,0),"-")</f>
        <v>35230</v>
      </c>
      <c r="G502" s="51">
        <f t="shared" ref="G502" si="2">IFERROR(ROUNDUP(F502*E502,0),"-")</f>
        <v>4720820</v>
      </c>
    </row>
    <row r="503" spans="1:7" x14ac:dyDescent="0.25">
      <c r="A503" s="17" t="str">
        <f>Material!A13</f>
        <v>MA-12</v>
      </c>
      <c r="B503" s="221" t="str">
        <f>IFERROR(VLOOKUP(A503,Material!$A:$J,2,0),"-")</f>
        <v>POSTE DE CONCRETO 14 m 1050 KG</v>
      </c>
      <c r="C503" s="222"/>
      <c r="D503" s="50" t="str">
        <f>IFERROR(VLOOKUP(A503,Material!$A:$J,4,0),"-")</f>
        <v>UN</v>
      </c>
      <c r="E503" s="50">
        <v>1</v>
      </c>
      <c r="F503" s="51">
        <f>IFERROR(VLOOKUP(A503,Material!$A:$J,3,0),"-")</f>
        <v>2782325</v>
      </c>
      <c r="G503" s="51">
        <f t="shared" ref="G503" si="3">IFERROR(ROUNDUP(F503*E503,0),"-")</f>
        <v>2782325</v>
      </c>
    </row>
    <row r="504" spans="1:7" ht="25.5" customHeight="1" x14ac:dyDescent="0.25">
      <c r="A504" s="17" t="str">
        <f>Material!A189</f>
        <v>MA-188</v>
      </c>
      <c r="B504" s="221" t="str">
        <f>IFERROR(VLOOKUP(A504,Material!$A:$J,2,0),"-")</f>
        <v xml:space="preserve">TABLERO DE SOBREPONER DE 30 CIRCUITOS CON PUERTA Y ESPACIO PARA TOTALIZADOR </v>
      </c>
      <c r="C504" s="222"/>
      <c r="D504" s="50" t="str">
        <f>IFERROR(VLOOKUP(A504,Material!$A:$J,4,0),"-")</f>
        <v>UN</v>
      </c>
      <c r="E504" s="50">
        <v>2</v>
      </c>
      <c r="F504" s="51">
        <f>IFERROR(VLOOKUP(A504,Material!$A:$J,3,0),"-")</f>
        <v>827190</v>
      </c>
      <c r="G504" s="51">
        <f t="shared" ref="G504" si="4">IFERROR(ROUNDUP(F504*E504,0),"-")</f>
        <v>1654380</v>
      </c>
    </row>
    <row r="505" spans="1:7" ht="25.5" customHeight="1" x14ac:dyDescent="0.25">
      <c r="A505" s="17" t="str">
        <f>Material!A114</f>
        <v>MA-113</v>
      </c>
      <c r="B505" s="221" t="str">
        <f>IFERROR(VLOOKUP(A505,Material!$A:$J,2,0),"-")</f>
        <v>MEDIDOR DE ENERGÍA KWH-KVARH  CLASE 1 POTENCIA ACTIVA, CLASE 2 POTENCIA REACTIVA, DE CONEXIÓN INDIRECTA, MULTIFUNCIONAL CON INSTRUMENTACIÓN Y CURVA DE CARGA, PUERTO ETERNET Y DOS PUERTOS SERIALES, CUATRO CUADRANTES.</v>
      </c>
      <c r="C505" s="222"/>
      <c r="D505" s="50" t="str">
        <f>IFERROR(VLOOKUP(A505,Material!$A:$J,4,0),"-")</f>
        <v>UN</v>
      </c>
      <c r="E505" s="50">
        <v>1</v>
      </c>
      <c r="F505" s="51">
        <f>IFERROR(VLOOKUP(A505,Material!$A:$J,3,0),"-")</f>
        <v>1611716.7742050621</v>
      </c>
      <c r="G505" s="51">
        <f t="shared" ref="G505" si="5">IFERROR(ROUNDUP(F505*E505,0),"-")</f>
        <v>1611717</v>
      </c>
    </row>
    <row r="506" spans="1:7" x14ac:dyDescent="0.25">
      <c r="A506" s="219" t="s">
        <v>41</v>
      </c>
      <c r="B506" s="219"/>
      <c r="C506" s="219"/>
      <c r="D506" s="219"/>
      <c r="E506" s="219"/>
      <c r="F506" s="219"/>
      <c r="G506" s="52">
        <f>SUM(G491:G505)</f>
        <v>25818373</v>
      </c>
    </row>
    <row r="507" spans="1:7" x14ac:dyDescent="0.25">
      <c r="A507" s="56"/>
      <c r="B507" s="57"/>
      <c r="C507" s="57"/>
      <c r="D507" s="57"/>
      <c r="E507" s="57"/>
      <c r="F507" s="57"/>
      <c r="G507" s="58"/>
    </row>
    <row r="508" spans="1:7" x14ac:dyDescent="0.25">
      <c r="A508" s="219" t="s">
        <v>42</v>
      </c>
      <c r="B508" s="219"/>
      <c r="C508" s="219"/>
      <c r="D508" s="219"/>
      <c r="E508" s="219"/>
      <c r="F508" s="219"/>
      <c r="G508" s="219"/>
    </row>
    <row r="509" spans="1:7" x14ac:dyDescent="0.25">
      <c r="A509" s="49" t="s">
        <v>35</v>
      </c>
      <c r="B509" s="49" t="s">
        <v>36</v>
      </c>
      <c r="C509" s="49" t="s">
        <v>38</v>
      </c>
      <c r="D509" s="49" t="s">
        <v>43</v>
      </c>
      <c r="E509" s="49" t="s">
        <v>44</v>
      </c>
      <c r="F509" s="49" t="s">
        <v>45</v>
      </c>
      <c r="G509" s="49" t="s">
        <v>40</v>
      </c>
    </row>
    <row r="510" spans="1:7" x14ac:dyDescent="0.25">
      <c r="A510" s="50" t="s">
        <v>319</v>
      </c>
      <c r="B510" s="68" t="str">
        <f>VLOOKUP(A510,'[1]Componentes APUs'!$H$1:$L$25,2,0)</f>
        <v>Ingeniero Residente de Obra</v>
      </c>
      <c r="C510" s="93">
        <v>0.25</v>
      </c>
      <c r="D510" s="50">
        <f>VLOOKUP(A510,'[1]Componentes APUs'!$H$1:$L$25,3,0)</f>
        <v>4</v>
      </c>
      <c r="E510" s="51">
        <f>VLOOKUP(A510,'[1]Componentes APUs'!$H$1:$L$25,4,0)</f>
        <v>271142.85714285716</v>
      </c>
      <c r="F510" s="51">
        <f>VLOOKUP(A510,'[1]Componentes APUs'!$H$1:$L$25,5,0)</f>
        <v>162685.71428571429</v>
      </c>
      <c r="G510" s="51">
        <f>ROUNDUP((E510+F510)*C510/E488,0)</f>
        <v>72305</v>
      </c>
    </row>
    <row r="511" spans="1:7" x14ac:dyDescent="0.25">
      <c r="A511" s="50" t="s">
        <v>320</v>
      </c>
      <c r="B511" s="68" t="str">
        <f>VLOOKUP(A511,'[1]Componentes APUs'!$H$1:$L$25,2,0)</f>
        <v>Tecnico Supervisor</v>
      </c>
      <c r="C511" s="93">
        <v>0.25</v>
      </c>
      <c r="D511" s="50">
        <f>VLOOKUP(A511,'[1]Componentes APUs'!$H$1:$L$25,3,0)</f>
        <v>2.2999999999999998</v>
      </c>
      <c r="E511" s="51">
        <f>VLOOKUP(A511,'[1]Componentes APUs'!$H$1:$L$25,4,0)</f>
        <v>155907.14285714284</v>
      </c>
      <c r="F511" s="51">
        <f>VLOOKUP(A511,'[1]Componentes APUs'!$H$1:$L$25,5,0)</f>
        <v>93544.285714285696</v>
      </c>
      <c r="G511" s="51">
        <f>ROUNDUP((E511+F511)*C511/E488,0)</f>
        <v>41576</v>
      </c>
    </row>
    <row r="512" spans="1:7" x14ac:dyDescent="0.25">
      <c r="A512" s="50" t="s">
        <v>46</v>
      </c>
      <c r="B512" s="68" t="str">
        <f>VLOOKUP(A512,'[1]Componentes APUs'!$H$1:$L$25,2,0)</f>
        <v>Tecnico Liniero</v>
      </c>
      <c r="C512" s="93">
        <v>2</v>
      </c>
      <c r="D512" s="50">
        <f>VLOOKUP(A512,'[1]Componentes APUs'!$H$1:$L$25,3,0)</f>
        <v>2</v>
      </c>
      <c r="E512" s="51">
        <f>VLOOKUP(A512,'[1]Componentes APUs'!$H$1:$L$25,4,0)</f>
        <v>154619.04761904763</v>
      </c>
      <c r="F512" s="51">
        <f>VLOOKUP(A512,'[1]Componentes APUs'!$H$1:$L$25,5,0)</f>
        <v>92771.42857142858</v>
      </c>
      <c r="G512" s="51">
        <f>ROUNDUP((E512+F512)*C512/E488,0)</f>
        <v>329854</v>
      </c>
    </row>
    <row r="513" spans="1:7" x14ac:dyDescent="0.25">
      <c r="A513" s="50" t="s">
        <v>48</v>
      </c>
      <c r="B513" s="68" t="str">
        <f>VLOOKUP(A513,'[1]Componentes APUs'!$H$1:$L$25,2,0)</f>
        <v>Ayudante Calificado</v>
      </c>
      <c r="C513" s="93">
        <v>2</v>
      </c>
      <c r="D513" s="50">
        <f>VLOOKUP(A513,'[1]Componentes APUs'!$H$1:$L$25,3,0)</f>
        <v>1.5</v>
      </c>
      <c r="E513" s="51">
        <f>VLOOKUP(A513,'[1]Componentes APUs'!$H$1:$L$25,4,0)</f>
        <v>115964.28571428571</v>
      </c>
      <c r="F513" s="51">
        <f>VLOOKUP(A513,'[1]Componentes APUs'!$H$1:$L$25,5,0)</f>
        <v>69578.57142857142</v>
      </c>
      <c r="G513" s="51">
        <f>ROUNDUP((E513+F513)*C513/E488,0)</f>
        <v>247391</v>
      </c>
    </row>
    <row r="514" spans="1:7" x14ac:dyDescent="0.25">
      <c r="A514" s="50" t="s">
        <v>50</v>
      </c>
      <c r="B514" s="68" t="str">
        <f>VLOOKUP(A514,'[1]Componentes APUs'!$H$1:$L$25,2,0)</f>
        <v>Profesional en SST</v>
      </c>
      <c r="C514" s="93">
        <v>0.25</v>
      </c>
      <c r="D514" s="50">
        <f>VLOOKUP(A514,'[1]Componentes APUs'!$H$1:$L$25,3,0)</f>
        <v>2.5</v>
      </c>
      <c r="E514" s="51">
        <f>VLOOKUP(A514,'[1]Componentes APUs'!$H$1:$L$25,4,0)</f>
        <v>169464.28571428571</v>
      </c>
      <c r="F514" s="51">
        <f>VLOOKUP(A514,'[1]Componentes APUs'!$H$1:$L$25,5,0)</f>
        <v>101678.57142857142</v>
      </c>
      <c r="G514" s="51">
        <f>ROUNDUP((E514+F514)*C514/E488,0)</f>
        <v>45191</v>
      </c>
    </row>
    <row r="515" spans="1:7" x14ac:dyDescent="0.25">
      <c r="A515" s="50" t="s">
        <v>52</v>
      </c>
      <c r="B515" s="68" t="str">
        <f>VLOOKUP(A515,'[1]Componentes APUs'!$H$1:$L$25,2,0)</f>
        <v>Ayudante No Calificado</v>
      </c>
      <c r="C515" s="93">
        <v>0</v>
      </c>
      <c r="D515" s="50">
        <f>VLOOKUP(A515,'[1]Componentes APUs'!$H$1:$L$25,3,0)</f>
        <v>1</v>
      </c>
      <c r="E515" s="51">
        <f>VLOOKUP(A515,'[1]Componentes APUs'!$H$1:$L$25,4,0)</f>
        <v>77309.523809523816</v>
      </c>
      <c r="F515" s="51">
        <f>VLOOKUP(A515,'[1]Componentes APUs'!$H$1:$L$25,5,0)</f>
        <v>46385.71428571429</v>
      </c>
      <c r="G515" s="51">
        <f>ROUNDUP((E515+F515)*C515/E488,0)</f>
        <v>0</v>
      </c>
    </row>
    <row r="516" spans="1:7" x14ac:dyDescent="0.25">
      <c r="A516" s="219" t="s">
        <v>56</v>
      </c>
      <c r="B516" s="219"/>
      <c r="C516" s="219"/>
      <c r="D516" s="219"/>
      <c r="E516" s="219"/>
      <c r="F516" s="219"/>
      <c r="G516" s="52">
        <f>SUM(G510:G515)</f>
        <v>736317</v>
      </c>
    </row>
    <row r="517" spans="1:7" x14ac:dyDescent="0.25">
      <c r="A517" s="56"/>
      <c r="B517" s="57"/>
      <c r="C517" s="57"/>
      <c r="D517" s="57"/>
      <c r="E517" s="57"/>
      <c r="F517" s="57"/>
      <c r="G517" s="58"/>
    </row>
    <row r="518" spans="1:7" x14ac:dyDescent="0.25">
      <c r="A518" s="219" t="s">
        <v>57</v>
      </c>
      <c r="B518" s="219"/>
      <c r="C518" s="219"/>
      <c r="D518" s="219"/>
      <c r="E518" s="219"/>
      <c r="F518" s="219"/>
      <c r="G518" s="219"/>
    </row>
    <row r="519" spans="1:7" x14ac:dyDescent="0.25">
      <c r="A519" s="49" t="s">
        <v>35</v>
      </c>
      <c r="B519" s="219" t="s">
        <v>36</v>
      </c>
      <c r="C519" s="219"/>
      <c r="D519" s="49" t="s">
        <v>37</v>
      </c>
      <c r="E519" s="49" t="s">
        <v>38</v>
      </c>
      <c r="F519" s="49" t="s">
        <v>39</v>
      </c>
      <c r="G519" s="49" t="s">
        <v>40</v>
      </c>
    </row>
    <row r="520" spans="1:7" x14ac:dyDescent="0.25">
      <c r="A520" s="50" t="s">
        <v>326</v>
      </c>
      <c r="B520" s="220" t="str">
        <f>VLOOKUP(A520,'[1]Componentes APUs'!$S$1:$V$10,2,0)</f>
        <v>Juego Llaves</v>
      </c>
      <c r="C520" s="220"/>
      <c r="D520" s="50" t="s">
        <v>18</v>
      </c>
      <c r="E520" s="50">
        <v>2</v>
      </c>
      <c r="F520" s="51">
        <f>VLOOKUP(A520,'[1]Componentes APUs'!$S$1:$V$10,4,0)</f>
        <v>9167</v>
      </c>
      <c r="G520" s="51">
        <f>ROUNDUP(F520*((E520/21)/E488),0)</f>
        <v>583</v>
      </c>
    </row>
    <row r="521" spans="1:7" x14ac:dyDescent="0.25">
      <c r="A521" s="50" t="s">
        <v>58</v>
      </c>
      <c r="B521" s="220" t="str">
        <f>VLOOKUP(A521,'[1]Componentes APUs'!$S$1:$V$10,2,0)</f>
        <v>Manila de servicio</v>
      </c>
      <c r="C521" s="220"/>
      <c r="D521" s="50" t="s">
        <v>18</v>
      </c>
      <c r="E521" s="50">
        <v>2</v>
      </c>
      <c r="F521" s="51">
        <f>VLOOKUP(A521,'[1]Componentes APUs'!$S$1:$V$10,4,0)</f>
        <v>2333</v>
      </c>
      <c r="G521" s="51">
        <f>ROUNDUP(F521*((E521/21)/E488),0)</f>
        <v>149</v>
      </c>
    </row>
    <row r="522" spans="1:7" x14ac:dyDescent="0.25">
      <c r="A522" s="50" t="s">
        <v>327</v>
      </c>
      <c r="B522" s="220" t="str">
        <f>VLOOKUP(A522,'[1]Componentes APUs'!$S$1:$V$10,2,0)</f>
        <v>Tula portaherramientas</v>
      </c>
      <c r="C522" s="220"/>
      <c r="D522" s="50" t="s">
        <v>18</v>
      </c>
      <c r="E522" s="50">
        <v>2</v>
      </c>
      <c r="F522" s="51">
        <f>VLOOKUP(A522,'[1]Componentes APUs'!$S$1:$V$10,4,0)</f>
        <v>1250</v>
      </c>
      <c r="G522" s="51">
        <f>ROUNDUP(F522*((E522/21)/E488),0)</f>
        <v>80</v>
      </c>
    </row>
    <row r="523" spans="1:7" x14ac:dyDescent="0.25">
      <c r="A523" s="50" t="s">
        <v>60</v>
      </c>
      <c r="B523" s="220" t="str">
        <f>VLOOKUP(A523,'[1]Componentes APUs'!$S$1:$V$10,2,0)</f>
        <v>Agarradoras</v>
      </c>
      <c r="C523" s="220"/>
      <c r="D523" s="50" t="s">
        <v>18</v>
      </c>
      <c r="E523" s="50">
        <v>1</v>
      </c>
      <c r="F523" s="51">
        <f>VLOOKUP(A523,'[1]Componentes APUs'!$S$1:$V$10,4,0)</f>
        <v>125000</v>
      </c>
      <c r="G523" s="51">
        <f>ROUNDUP(F523*((E523/21)/E488),0)</f>
        <v>3969</v>
      </c>
    </row>
    <row r="524" spans="1:7" x14ac:dyDescent="0.25">
      <c r="A524" s="50" t="s">
        <v>62</v>
      </c>
      <c r="B524" s="220" t="str">
        <f>VLOOKUP(A524,'[1]Componentes APUs'!$S$1:$V$10,2,0)</f>
        <v>Templadoras</v>
      </c>
      <c r="C524" s="220"/>
      <c r="D524" s="50" t="s">
        <v>18</v>
      </c>
      <c r="E524" s="50">
        <v>1</v>
      </c>
      <c r="F524" s="51">
        <f>VLOOKUP(A524,'[1]Componentes APUs'!$S$1:$V$10,4,0)</f>
        <v>250000</v>
      </c>
      <c r="G524" s="51">
        <f>ROUNDUP(F524*((E524/21)/E488),0)</f>
        <v>7937</v>
      </c>
    </row>
    <row r="525" spans="1:7" x14ac:dyDescent="0.25">
      <c r="A525" s="50" t="s">
        <v>328</v>
      </c>
      <c r="B525" s="220" t="str">
        <f>VLOOKUP(A525,'[1]Componentes APUs'!$S$1:$V$10,2,0)</f>
        <v>Herramienta Menor</v>
      </c>
      <c r="C525" s="220"/>
      <c r="D525" s="50" t="s">
        <v>18</v>
      </c>
      <c r="E525" s="50">
        <v>2</v>
      </c>
      <c r="F525" s="51">
        <f>VLOOKUP(A525,'[1]Componentes APUs'!$S$1:$V$10,4,0)</f>
        <v>75758</v>
      </c>
      <c r="G525" s="51">
        <f>ROUNDUP(F525*((E525/21)/E488),0)</f>
        <v>4811</v>
      </c>
    </row>
    <row r="526" spans="1:7" x14ac:dyDescent="0.25">
      <c r="A526" s="50" t="s">
        <v>66</v>
      </c>
      <c r="B526" s="220" t="str">
        <f>VLOOKUP(A526,'[1]Componentes APUs'!$S$1:$V$10,2,0)</f>
        <v>Diferencial 2 Toneladas</v>
      </c>
      <c r="C526" s="220"/>
      <c r="D526" s="50" t="s">
        <v>18</v>
      </c>
      <c r="E526" s="50">
        <v>1</v>
      </c>
      <c r="F526" s="51">
        <f>VLOOKUP(A526,'[1]Componentes APUs'!$S$1:$V$10,4,0)</f>
        <v>474905</v>
      </c>
      <c r="G526" s="51">
        <f>ROUNDUP(F526*((E526/21)/E494),0)</f>
        <v>7539</v>
      </c>
    </row>
    <row r="527" spans="1:7" x14ac:dyDescent="0.25">
      <c r="A527" s="219" t="s">
        <v>69</v>
      </c>
      <c r="B527" s="219"/>
      <c r="C527" s="219"/>
      <c r="D527" s="219"/>
      <c r="E527" s="219"/>
      <c r="F527" s="219"/>
      <c r="G527" s="52">
        <f>SUM(G520:G526)</f>
        <v>25068</v>
      </c>
    </row>
    <row r="528" spans="1:7" x14ac:dyDescent="0.25">
      <c r="A528" s="56"/>
      <c r="B528" s="57"/>
      <c r="C528" s="57"/>
      <c r="D528" s="57"/>
      <c r="E528" s="57"/>
      <c r="F528" s="57"/>
      <c r="G528" s="58"/>
    </row>
    <row r="529" spans="1:7" x14ac:dyDescent="0.25">
      <c r="A529" s="219" t="s">
        <v>70</v>
      </c>
      <c r="B529" s="219"/>
      <c r="C529" s="219"/>
      <c r="D529" s="219"/>
      <c r="E529" s="219"/>
      <c r="F529" s="219"/>
      <c r="G529" s="219"/>
    </row>
    <row r="530" spans="1:7" x14ac:dyDescent="0.25">
      <c r="A530" s="49" t="s">
        <v>35</v>
      </c>
      <c r="B530" s="219" t="s">
        <v>36</v>
      </c>
      <c r="C530" s="219"/>
      <c r="D530" s="49" t="s">
        <v>37</v>
      </c>
      <c r="E530" s="49" t="s">
        <v>38</v>
      </c>
      <c r="F530" s="49" t="s">
        <v>39</v>
      </c>
      <c r="G530" s="49" t="s">
        <v>40</v>
      </c>
    </row>
    <row r="531" spans="1:7" x14ac:dyDescent="0.25">
      <c r="A531" s="50" t="s">
        <v>71</v>
      </c>
      <c r="B531" s="71" t="str">
        <f>VLOOKUP(A531,'[1]Componentes APUs'!$A$1:$D$14,2,0)</f>
        <v>Camisa indigo sin partes metalicas</v>
      </c>
      <c r="C531" s="71"/>
      <c r="D531" s="50" t="str">
        <f>VLOOKUP(A531,'[1]Componentes APUs'!$A$1:$D$14,3,0)</f>
        <v>U</v>
      </c>
      <c r="E531" s="50">
        <f>SUM(C510:C515)</f>
        <v>4.75</v>
      </c>
      <c r="F531" s="51">
        <f>VLOOKUP(A531,'[1]Componentes APUs'!$A$1:$D$14,4,0)</f>
        <v>8585.8585858585866</v>
      </c>
      <c r="G531" s="51">
        <f>ROUNDUP(F531*(E531/21)/E488,0)</f>
        <v>1295</v>
      </c>
    </row>
    <row r="532" spans="1:7" x14ac:dyDescent="0.25">
      <c r="A532" s="69" t="s">
        <v>73</v>
      </c>
      <c r="B532" s="72" t="str">
        <f>VLOOKUP(A532,'[1]Componentes APUs'!$A$1:$D$14,2,0)</f>
        <v>Bota de seguridad dielectrica</v>
      </c>
      <c r="C532" s="73"/>
      <c r="D532" s="70" t="str">
        <f>VLOOKUP(A532,'[1]Componentes APUs'!$A$1:$D$14,3,0)</f>
        <v>Par</v>
      </c>
      <c r="E532" s="50">
        <f>SUM(C510:C515)</f>
        <v>4.75</v>
      </c>
      <c r="F532" s="51">
        <f>VLOOKUP(A532,'[1]Componentes APUs'!$A$1:$D$14,4,0)</f>
        <v>7500</v>
      </c>
      <c r="G532" s="51">
        <f>ROUNDUP(F532*(E532/21)/E488,0)</f>
        <v>1131</v>
      </c>
    </row>
    <row r="533" spans="1:7" x14ac:dyDescent="0.25">
      <c r="A533" s="50" t="s">
        <v>76</v>
      </c>
      <c r="B533" s="72" t="str">
        <f>VLOOKUP(A533,'[1]Componentes APUs'!$A$1:$D$14,2,0)</f>
        <v>Casco dielectrico Tipo 1 Clase E con barbuquejo</v>
      </c>
      <c r="C533" s="73"/>
      <c r="D533" s="50" t="str">
        <f>VLOOKUP(A533,'[1]Componentes APUs'!$A$1:$D$14,3,0)</f>
        <v>U</v>
      </c>
      <c r="E533" s="50">
        <f>C510+C511+C514+C515+C513+IF(A512&lt;&gt;"MO-3",C512,0)</f>
        <v>2.75</v>
      </c>
      <c r="F533" s="51">
        <f>VLOOKUP(A533,'[1]Componentes APUs'!$A$1:$D$14,4,0)</f>
        <v>10101.010101010101</v>
      </c>
      <c r="G533" s="51">
        <f>ROUNDUP(F533*(E533/21)/E488,0)</f>
        <v>882</v>
      </c>
    </row>
    <row r="534" spans="1:7" x14ac:dyDescent="0.25">
      <c r="A534" s="69" t="s">
        <v>77</v>
      </c>
      <c r="B534" s="72" t="str">
        <f>VLOOKUP(A534,'[1]Componentes APUs'!$A$1:$D$14,2,0)</f>
        <v>Correa plastica y antiflama</v>
      </c>
      <c r="C534" s="73"/>
      <c r="D534" s="50" t="str">
        <f>VLOOKUP(A534,'[1]Componentes APUs'!$A$1:$D$14,3,0)</f>
        <v>U</v>
      </c>
      <c r="E534" s="50">
        <f>SUM(C510:C515)</f>
        <v>4.75</v>
      </c>
      <c r="F534" s="51">
        <f>VLOOKUP(A534,'[1]Componentes APUs'!$A$1:$D$14,4,0)</f>
        <v>3787.878787878788</v>
      </c>
      <c r="G534" s="51">
        <f>ROUNDUP(F534*(E534/21)/E488,0)</f>
        <v>572</v>
      </c>
    </row>
    <row r="535" spans="1:7" x14ac:dyDescent="0.25">
      <c r="A535" s="50" t="s">
        <v>79</v>
      </c>
      <c r="B535" s="72" t="str">
        <f>VLOOKUP(A535,'[1]Componentes APUs'!$A$1:$D$14,2,0)</f>
        <v>Gafas protectoras filtro UV</v>
      </c>
      <c r="C535" s="73"/>
      <c r="D535" s="50" t="str">
        <f>VLOOKUP(A535,'[1]Componentes APUs'!$A$1:$D$14,3,0)</f>
        <v>U</v>
      </c>
      <c r="E535" s="50">
        <f>SUM(C510:C515)</f>
        <v>4.75</v>
      </c>
      <c r="F535" s="51">
        <f>VLOOKUP(A535,'[1]Componentes APUs'!$A$1:$D$14,4,0)</f>
        <v>2777.7777777777778</v>
      </c>
      <c r="G535" s="51">
        <f>ROUNDUP(F535*(E535/21)/E488,0)</f>
        <v>419</v>
      </c>
    </row>
    <row r="536" spans="1:7" x14ac:dyDescent="0.25">
      <c r="A536" s="69" t="s">
        <v>402</v>
      </c>
      <c r="B536" s="72" t="str">
        <f>VLOOKUP(A536,'[1]Componentes APUs'!$A$1:$D$14,2,0)</f>
        <v>Bota de seguridad PVC dielectrica</v>
      </c>
      <c r="C536" s="73"/>
      <c r="D536" s="50" t="str">
        <f>VLOOKUP(A536,'[1]Componentes APUs'!$A$1:$D$14,3,0)</f>
        <v>Par</v>
      </c>
      <c r="E536" s="50">
        <f>SUM(C510:C515)</f>
        <v>4.75</v>
      </c>
      <c r="F536" s="51">
        <f>VLOOKUP(A536,'[1]Componentes APUs'!$A$1:$D$14,4,0)</f>
        <v>2916.6666666666665</v>
      </c>
      <c r="G536" s="51">
        <f>ROUNDUP(F536*(E536/21)/E488,0)</f>
        <v>440</v>
      </c>
    </row>
    <row r="537" spans="1:7" x14ac:dyDescent="0.25">
      <c r="A537" s="50" t="s">
        <v>403</v>
      </c>
      <c r="B537" s="72" t="str">
        <f>VLOOKUP(A537,'[1]Componentes APUs'!$A$1:$D$14,2,0)</f>
        <v>Capuchon</v>
      </c>
      <c r="C537" s="73"/>
      <c r="D537" s="50" t="str">
        <f>VLOOKUP(A537,'[1]Componentes APUs'!$A$1:$D$14,3,0)</f>
        <v>U</v>
      </c>
      <c r="E537" s="50">
        <f>SUM(C510:C515)</f>
        <v>4.75</v>
      </c>
      <c r="F537" s="51">
        <f>VLOOKUP(A537,'[1]Componentes APUs'!$A$1:$D$14,4,0)</f>
        <v>2525.2525252525252</v>
      </c>
      <c r="G537" s="51">
        <f>ROUNDUP(F537*(E537/21)/E488,0)</f>
        <v>381</v>
      </c>
    </row>
    <row r="538" spans="1:7" x14ac:dyDescent="0.25">
      <c r="A538" s="69" t="s">
        <v>81</v>
      </c>
      <c r="B538" s="72" t="str">
        <f>VLOOKUP(A538,'[1]Componentes APUs'!$A$1:$D$14,2,0)</f>
        <v>Guantes Protectores  - ingeniero reforzados</v>
      </c>
      <c r="C538" s="73"/>
      <c r="D538" s="50" t="str">
        <f>VLOOKUP(A538,'[1]Componentes APUs'!$A$1:$D$14,3,0)</f>
        <v>Par</v>
      </c>
      <c r="E538" s="50">
        <f>C512+C513+C515</f>
        <v>4</v>
      </c>
      <c r="F538" s="51">
        <f>VLOOKUP(A538,'[1]Componentes APUs'!$A$1:$D$14,4,0)</f>
        <v>2525.2525252525252</v>
      </c>
      <c r="G538" s="51">
        <f>ROUNDUP(F538*(E538/21)/E488,0)</f>
        <v>321</v>
      </c>
    </row>
    <row r="539" spans="1:7" x14ac:dyDescent="0.25">
      <c r="A539" s="50" t="s">
        <v>83</v>
      </c>
      <c r="B539" s="72" t="str">
        <f>VLOOKUP(A539,'[1]Componentes APUs'!$A$1:$D$14,2,0)</f>
        <v>Impermeable (pantalon camisa)</v>
      </c>
      <c r="C539" s="73"/>
      <c r="D539" s="50" t="str">
        <f>VLOOKUP(A539,'[1]Componentes APUs'!$A$1:$D$14,3,0)</f>
        <v>U</v>
      </c>
      <c r="E539" s="50">
        <f>SUM(C510:C515)</f>
        <v>4.75</v>
      </c>
      <c r="F539" s="51">
        <f>VLOOKUP(A539,'[1]Componentes APUs'!$A$1:$D$14,4,0)</f>
        <v>3750</v>
      </c>
      <c r="G539" s="51">
        <f>ROUNDUP(F539*(E539/21)/E488,0)</f>
        <v>566</v>
      </c>
    </row>
    <row r="540" spans="1:7" x14ac:dyDescent="0.25">
      <c r="A540" s="69" t="s">
        <v>85</v>
      </c>
      <c r="B540" s="72" t="str">
        <f>VLOOKUP(A540,'[1]Componentes APUs'!$A$1:$D$14,2,0)</f>
        <v>Jean Dielectrico</v>
      </c>
      <c r="C540" s="73"/>
      <c r="D540" s="50" t="str">
        <f>VLOOKUP(A540,'[1]Componentes APUs'!$A$1:$D$14,3,0)</f>
        <v>U</v>
      </c>
      <c r="E540" s="50">
        <f>SUM(C510:C515)</f>
        <v>4.75</v>
      </c>
      <c r="F540" s="51">
        <f>VLOOKUP(A540,'[1]Componentes APUs'!$A$1:$D$14,4,0)</f>
        <v>7575.757575757576</v>
      </c>
      <c r="G540" s="51">
        <f>ROUNDUP(F540*(E540/21)/E488,0)</f>
        <v>1143</v>
      </c>
    </row>
    <row r="541" spans="1:7" x14ac:dyDescent="0.25">
      <c r="A541" s="50" t="s">
        <v>87</v>
      </c>
      <c r="B541" s="72" t="str">
        <f>VLOOKUP(A541,'[1]Componentes APUs'!$A$1:$D$14,2,0)</f>
        <v>Casco dielectrico Tipo 2 Clase E con barboquejo</v>
      </c>
      <c r="C541" s="73"/>
      <c r="D541" s="50" t="str">
        <f>VLOOKUP(A541,'[1]Componentes APUs'!$A$1:$D$14,3,0)</f>
        <v>U</v>
      </c>
      <c r="E541" s="53">
        <f>IF(A512="MO-3",C512,0)</f>
        <v>2</v>
      </c>
      <c r="F541" s="51">
        <f>VLOOKUP(A541,'[1]Componentes APUs'!$A$1:$D$14,4,0)</f>
        <v>7500</v>
      </c>
      <c r="G541" s="51">
        <f>ROUNDUP(F541*(E541/21)/E488,0)</f>
        <v>477</v>
      </c>
    </row>
    <row r="542" spans="1:7" x14ac:dyDescent="0.25">
      <c r="A542" s="69" t="s">
        <v>89</v>
      </c>
      <c r="B542" s="72" t="str">
        <f>VLOOKUP(A542,'[1]Componentes APUs'!$A$1:$D$14,2,0)</f>
        <v>Kit de rescate para trabajo en alturas</v>
      </c>
      <c r="C542" s="73"/>
      <c r="D542" s="50" t="str">
        <f>VLOOKUP(A542,'[1]Componentes APUs'!$A$1:$D$14,3,0)</f>
        <v>U</v>
      </c>
      <c r="E542" s="50">
        <f>IF(AND(A512="MO-3",C512=2),1,0)</f>
        <v>1</v>
      </c>
      <c r="F542" s="51">
        <f>VLOOKUP(A542,'[1]Componentes APUs'!$A$1:$D$14,4,0)</f>
        <v>37500</v>
      </c>
      <c r="G542" s="51">
        <f>ROUNDUP(F542*(E542/21)/E488,0)</f>
        <v>1191</v>
      </c>
    </row>
    <row r="543" spans="1:7" x14ac:dyDescent="0.25">
      <c r="A543" s="50" t="s">
        <v>91</v>
      </c>
      <c r="B543" s="72" t="str">
        <f>VLOOKUP(A543,'[1]Componentes APUs'!$A$1:$D$14,2,0)</f>
        <v>Equipo completo para trabajo en alturas con pretales (Arnes dielectrico, 1 mosqueton de seguridad, tie off dielectrico, eslinga de posicionamiento, juego de pretales)</v>
      </c>
      <c r="C543" s="73"/>
      <c r="D543" s="50" t="str">
        <f>VLOOKUP(A543,'[1]Componentes APUs'!$A$1:$D$14,3,0)</f>
        <v>U</v>
      </c>
      <c r="E543" s="50">
        <f>IF(A512="MO-3",C512,0)</f>
        <v>2</v>
      </c>
      <c r="F543" s="51">
        <f>VLOOKUP(A543,'[1]Componentes APUs'!$A$1:$D$14,4,0)</f>
        <v>26041.666666666668</v>
      </c>
      <c r="G543" s="51">
        <f>ROUNDUP(F543*(E543/21)/E488,0)</f>
        <v>1654</v>
      </c>
    </row>
    <row r="544" spans="1:7" x14ac:dyDescent="0.25">
      <c r="A544" s="219" t="s">
        <v>95</v>
      </c>
      <c r="B544" s="219"/>
      <c r="C544" s="219"/>
      <c r="D544" s="219"/>
      <c r="E544" s="219"/>
      <c r="F544" s="219"/>
      <c r="G544" s="52">
        <f>SUM(G531:G543)</f>
        <v>10472</v>
      </c>
    </row>
    <row r="545" spans="1:7" x14ac:dyDescent="0.25">
      <c r="A545" s="56"/>
      <c r="B545" s="57"/>
      <c r="C545" s="57"/>
      <c r="D545" s="57"/>
      <c r="E545" s="57"/>
      <c r="F545" s="57"/>
      <c r="G545" s="58"/>
    </row>
    <row r="546" spans="1:7" x14ac:dyDescent="0.25">
      <c r="A546" s="219" t="s">
        <v>96</v>
      </c>
      <c r="B546" s="219"/>
      <c r="C546" s="219"/>
      <c r="D546" s="219"/>
      <c r="E546" s="219"/>
      <c r="F546" s="219"/>
      <c r="G546" s="219"/>
    </row>
    <row r="547" spans="1:7" x14ac:dyDescent="0.25">
      <c r="A547" s="49" t="s">
        <v>35</v>
      </c>
      <c r="B547" s="225" t="s">
        <v>36</v>
      </c>
      <c r="C547" s="225"/>
      <c r="D547" s="49" t="s">
        <v>37</v>
      </c>
      <c r="E547" s="49" t="s">
        <v>38</v>
      </c>
      <c r="F547" s="49" t="s">
        <v>39</v>
      </c>
      <c r="G547" s="49" t="s">
        <v>40</v>
      </c>
    </row>
    <row r="548" spans="1:7" x14ac:dyDescent="0.25">
      <c r="A548" s="69" t="s">
        <v>97</v>
      </c>
      <c r="B548" s="72" t="str">
        <f>VLOOKUP(A548,'[1]Componentes APUs'!$N$1:$Q$30,2,0)</f>
        <v>Camioneta</v>
      </c>
      <c r="C548" s="73"/>
      <c r="D548" s="70" t="str">
        <f>VLOOKUP(A548,'[1]Componentes APUs'!$N$1:$Q$30,3,0)</f>
        <v>U</v>
      </c>
      <c r="E548" s="50">
        <v>1</v>
      </c>
      <c r="F548" s="51">
        <f>VLOOKUP(A548,'[1]Componentes APUs'!$N$1:$Q$30,4,0)</f>
        <v>5500000</v>
      </c>
      <c r="G548" s="51">
        <f>IFERROR(ROUNDUP(F548*(E548/21)/E488,0),0)</f>
        <v>174604</v>
      </c>
    </row>
    <row r="549" spans="1:7" x14ac:dyDescent="0.25">
      <c r="A549" s="50" t="s">
        <v>321</v>
      </c>
      <c r="B549" s="72" t="str">
        <f>VLOOKUP(A549,'[1]Componentes APUs'!$N$1:$Q$30,2,0)</f>
        <v>Grúa Hidráulica</v>
      </c>
      <c r="C549" s="73"/>
      <c r="D549" s="70" t="str">
        <f>VLOOKUP(A549,'[1]Componentes APUs'!$N$1:$Q$30,3,0)</f>
        <v>U</v>
      </c>
      <c r="E549" s="50">
        <v>1</v>
      </c>
      <c r="F549" s="51">
        <f>VLOOKUP(A549,'[1]Componentes APUs'!$N$1:$Q$30,4,0)</f>
        <v>21000000</v>
      </c>
      <c r="G549" s="51">
        <f>IFERROR(ROUNDUP(F549*(E549/21)/E488,0),0)</f>
        <v>666667</v>
      </c>
    </row>
    <row r="550" spans="1:7" x14ac:dyDescent="0.25">
      <c r="A550" s="69" t="s">
        <v>322</v>
      </c>
      <c r="B550" s="72" t="str">
        <f>VLOOKUP(A550,'[1]Componentes APUs'!$N$1:$Q$30,2,0)</f>
        <v>Camabaja</v>
      </c>
      <c r="C550" s="73"/>
      <c r="D550" s="70" t="str">
        <f>VLOOKUP(A550,'[1]Componentes APUs'!$N$1:$Q$30,3,0)</f>
        <v>TON/KM</v>
      </c>
      <c r="E550" s="50">
        <v>0</v>
      </c>
      <c r="F550" s="51">
        <f>VLOOKUP(A550,'[1]Componentes APUs'!$N$1:$Q$30,4,0)</f>
        <v>611</v>
      </c>
      <c r="G550" s="51">
        <f>IFERROR(ROUNDUP(F550*(E550/21)/E488,0),0)</f>
        <v>0</v>
      </c>
    </row>
    <row r="551" spans="1:7" x14ac:dyDescent="0.25">
      <c r="A551" s="50" t="s">
        <v>323</v>
      </c>
      <c r="B551" s="72" t="str">
        <f>VLOOKUP(A551,'[1]Componentes APUs'!$N$1:$Q$30,2,0)</f>
        <v>Volqueta</v>
      </c>
      <c r="C551" s="73"/>
      <c r="D551" s="70" t="str">
        <f>VLOOKUP(A551,'[1]Componentes APUs'!$N$1:$Q$30,3,0)</f>
        <v>U</v>
      </c>
      <c r="E551" s="50">
        <v>0</v>
      </c>
      <c r="F551" s="51">
        <f>VLOOKUP(A551,'[1]Componentes APUs'!$N$1:$Q$30,4,0)</f>
        <v>18900000</v>
      </c>
      <c r="G551" s="51">
        <f>IFERROR(ROUNDUP(F551*(E551/21)/E488,0),0)</f>
        <v>0</v>
      </c>
    </row>
    <row r="552" spans="1:7" x14ac:dyDescent="0.25">
      <c r="A552" s="69" t="s">
        <v>324</v>
      </c>
      <c r="B552" s="72" t="str">
        <f>VLOOKUP(A552,'[1]Componentes APUs'!$N$1:$Q$30,2,0)</f>
        <v>Retroexcavadora</v>
      </c>
      <c r="C552" s="73"/>
      <c r="D552" s="70" t="str">
        <f>VLOOKUP(A552,'[1]Componentes APUs'!$N$1:$Q$30,3,0)</f>
        <v>U</v>
      </c>
      <c r="E552" s="50">
        <v>0</v>
      </c>
      <c r="F552" s="51">
        <f>VLOOKUP(A552,'[1]Componentes APUs'!$N$1:$Q$30,4,0)</f>
        <v>1494459.54</v>
      </c>
      <c r="G552" s="51">
        <f>IFERROR(ROUNDUP(F552*(E552/21)/E488,0),0)</f>
        <v>0</v>
      </c>
    </row>
    <row r="553" spans="1:7" x14ac:dyDescent="0.25">
      <c r="A553" s="219" t="s">
        <v>99</v>
      </c>
      <c r="B553" s="219"/>
      <c r="C553" s="219"/>
      <c r="D553" s="219"/>
      <c r="E553" s="219"/>
      <c r="F553" s="219"/>
      <c r="G553" s="52">
        <f>SUM(G548:G552)</f>
        <v>841271</v>
      </c>
    </row>
    <row r="554" spans="1:7" x14ac:dyDescent="0.25">
      <c r="A554" s="56"/>
      <c r="B554" s="57"/>
      <c r="C554" s="57"/>
      <c r="D554" s="57"/>
      <c r="E554" s="57"/>
      <c r="F554" s="57"/>
      <c r="G554" s="58"/>
    </row>
    <row r="555" spans="1:7" x14ac:dyDescent="0.25">
      <c r="A555" s="219" t="s">
        <v>1516</v>
      </c>
      <c r="B555" s="219"/>
      <c r="C555" s="219"/>
      <c r="D555" s="219"/>
      <c r="E555" s="219"/>
      <c r="F555" s="219"/>
      <c r="G555" s="52">
        <f>G553+G544+G527+G516+G506</f>
        <v>27431501</v>
      </c>
    </row>
    <row r="556" spans="1:7" x14ac:dyDescent="0.25">
      <c r="A556" s="59"/>
      <c r="B556" s="60"/>
      <c r="C556" s="60"/>
      <c r="D556" s="60"/>
      <c r="E556" s="57"/>
      <c r="F556" s="57"/>
      <c r="G556" s="58"/>
    </row>
    <row r="557" spans="1:7" x14ac:dyDescent="0.25">
      <c r="A557" s="64"/>
      <c r="D557" s="55"/>
      <c r="E557" s="49" t="s">
        <v>25</v>
      </c>
      <c r="F557" s="54">
        <v>0.15</v>
      </c>
      <c r="G557" s="51">
        <f>G555*F557</f>
        <v>4114725.15</v>
      </c>
    </row>
    <row r="558" spans="1:7" x14ac:dyDescent="0.25">
      <c r="A558" s="64"/>
      <c r="D558" s="55"/>
      <c r="E558" s="49" t="s">
        <v>26</v>
      </c>
      <c r="F558" s="54">
        <v>0.05</v>
      </c>
      <c r="G558" s="51">
        <f>G555*F558</f>
        <v>1371575.05</v>
      </c>
    </row>
    <row r="559" spans="1:7" x14ac:dyDescent="0.25">
      <c r="A559" s="61"/>
      <c r="B559" s="65"/>
      <c r="C559" s="65"/>
      <c r="D559" s="62"/>
      <c r="E559" s="49" t="s">
        <v>27</v>
      </c>
      <c r="F559" s="54">
        <v>0.05</v>
      </c>
      <c r="G559" s="51">
        <f>G555*F559</f>
        <v>1371575.05</v>
      </c>
    </row>
    <row r="560" spans="1:7" x14ac:dyDescent="0.25">
      <c r="A560" s="61"/>
      <c r="B560" s="62"/>
      <c r="C560" s="62"/>
      <c r="D560" s="62"/>
      <c r="E560" s="62"/>
      <c r="F560" s="62"/>
      <c r="G560" s="63"/>
    </row>
    <row r="561" spans="1:7" x14ac:dyDescent="0.25">
      <c r="A561" s="219" t="s">
        <v>1517</v>
      </c>
      <c r="B561" s="219"/>
      <c r="C561" s="219"/>
      <c r="D561" s="219"/>
      <c r="E561" s="219"/>
      <c r="F561" s="219"/>
      <c r="G561" s="52">
        <f>G555+G557+G558+G559</f>
        <v>34289376.25</v>
      </c>
    </row>
    <row r="562" spans="1:7" x14ac:dyDescent="0.25">
      <c r="A562" s="59"/>
      <c r="B562" s="60"/>
      <c r="C562" s="60"/>
      <c r="D562" s="60"/>
      <c r="E562" s="57"/>
      <c r="F562" s="57"/>
      <c r="G562" s="58"/>
    </row>
    <row r="563" spans="1:7" x14ac:dyDescent="0.25">
      <c r="A563" s="64"/>
      <c r="D563" s="55"/>
      <c r="E563" s="49" t="s">
        <v>102</v>
      </c>
      <c r="F563" s="49" t="s">
        <v>103</v>
      </c>
      <c r="G563" s="51">
        <f>G559*19%</f>
        <v>260599.25950000001</v>
      </c>
    </row>
    <row r="564" spans="1:7" x14ac:dyDescent="0.25">
      <c r="A564" s="61"/>
      <c r="B564" s="62"/>
      <c r="C564" s="62"/>
      <c r="D564" s="62"/>
      <c r="E564" s="57"/>
      <c r="F564" s="57"/>
      <c r="G564" s="58"/>
    </row>
    <row r="565" spans="1:7" x14ac:dyDescent="0.25">
      <c r="A565" s="219" t="s">
        <v>104</v>
      </c>
      <c r="B565" s="219"/>
      <c r="C565" s="219"/>
      <c r="D565" s="219"/>
      <c r="E565" s="219"/>
      <c r="F565" s="219"/>
      <c r="G565" s="52">
        <f>G563+G561</f>
        <v>34549975.509499997</v>
      </c>
    </row>
    <row r="567" spans="1:7" x14ac:dyDescent="0.25">
      <c r="A567" s="74" t="s">
        <v>29</v>
      </c>
      <c r="B567" s="226" t="s">
        <v>30</v>
      </c>
      <c r="C567" s="226"/>
      <c r="D567" s="74" t="s">
        <v>31</v>
      </c>
      <c r="E567" s="74" t="s">
        <v>32</v>
      </c>
      <c r="F567" s="74" t="s">
        <v>189</v>
      </c>
      <c r="G567" s="74" t="s">
        <v>33</v>
      </c>
    </row>
    <row r="568" spans="1:7" x14ac:dyDescent="0.25">
      <c r="A568" s="50" t="str">
        <f>Presupuesto!B14</f>
        <v>009_OC</v>
      </c>
      <c r="B568" s="220" t="str">
        <f>Presupuesto!C14</f>
        <v>PROVISIONAL DE AGUA</v>
      </c>
      <c r="C568" s="220"/>
      <c r="D568" s="50" t="s">
        <v>8</v>
      </c>
      <c r="E568" s="50">
        <v>1</v>
      </c>
      <c r="F568" s="50"/>
      <c r="G568" s="51">
        <f>G637</f>
        <v>2997861.9</v>
      </c>
    </row>
    <row r="569" spans="1:7" x14ac:dyDescent="0.25">
      <c r="A569" s="219" t="s">
        <v>34</v>
      </c>
      <c r="B569" s="219"/>
      <c r="C569" s="219"/>
      <c r="D569" s="219"/>
      <c r="E569" s="219"/>
      <c r="F569" s="219"/>
      <c r="G569" s="219"/>
    </row>
    <row r="570" spans="1:7" x14ac:dyDescent="0.25">
      <c r="A570" s="49" t="s">
        <v>35</v>
      </c>
      <c r="B570" s="219" t="s">
        <v>36</v>
      </c>
      <c r="C570" s="219"/>
      <c r="D570" s="49" t="s">
        <v>37</v>
      </c>
      <c r="E570" s="49" t="s">
        <v>38</v>
      </c>
      <c r="F570" s="49" t="s">
        <v>39</v>
      </c>
      <c r="G570" s="49" t="s">
        <v>40</v>
      </c>
    </row>
    <row r="571" spans="1:7" x14ac:dyDescent="0.25">
      <c r="A571" s="17" t="str">
        <f>Material!A510</f>
        <v>MA-509</v>
      </c>
      <c r="B571" s="72" t="str">
        <f>IFERROR(VLOOKUP(A571,Material!$A:$J,2,0),"-")</f>
        <v>MEDIDOR DE AGUA 1/2"</v>
      </c>
      <c r="C571" s="73"/>
      <c r="D571" s="50" t="str">
        <f>IFERROR(VLOOKUP(A571,Material!$A:$J,4,0),"-")</f>
        <v>ML</v>
      </c>
      <c r="E571" s="50">
        <v>1</v>
      </c>
      <c r="F571" s="51">
        <f>IFERROR(VLOOKUP(A571,Material!$A:$J,3,0),"-")</f>
        <v>287896.7</v>
      </c>
      <c r="G571" s="51">
        <f t="shared" ref="G571:G577" si="6">IFERROR(ROUNDUP(F571*E571,0),"-")</f>
        <v>287897</v>
      </c>
    </row>
    <row r="572" spans="1:7" x14ac:dyDescent="0.25">
      <c r="A572" s="17" t="str">
        <f>Material!A585</f>
        <v>MA-584</v>
      </c>
      <c r="B572" s="72" t="str">
        <f>IFERROR(VLOOKUP(A572,Material!$A:$J,2,0),"-")</f>
        <v>COLLAR DE DERIVACIÓN UNIÓN PLATINO 2" x 1/2"</v>
      </c>
      <c r="C572" s="73"/>
      <c r="D572" s="50" t="str">
        <f>IFERROR(VLOOKUP(A572,Material!$A:$J,4,0),"-")</f>
        <v>UN</v>
      </c>
      <c r="E572" s="50">
        <v>1</v>
      </c>
      <c r="F572" s="51">
        <f>IFERROR(VLOOKUP(A572,Material!$A:$J,3,0),"-")</f>
        <v>25155</v>
      </c>
      <c r="G572" s="51">
        <f t="shared" si="6"/>
        <v>25155</v>
      </c>
    </row>
    <row r="573" spans="1:7" x14ac:dyDescent="0.25">
      <c r="A573" s="17" t="str">
        <f>Material!A505</f>
        <v>MA-504</v>
      </c>
      <c r="B573" s="72" t="str">
        <f>IFERROR(VLOOKUP(A573,Material!$A:$J,2,0),"-")</f>
        <v>TUBO PRESION 1"</v>
      </c>
      <c r="C573" s="76"/>
      <c r="D573" s="50" t="str">
        <f>IFERROR(VLOOKUP(A573,Material!$A:$J,4,0),"-")</f>
        <v>ML</v>
      </c>
      <c r="E573" s="50">
        <v>60</v>
      </c>
      <c r="F573" s="51">
        <f>IFERROR(VLOOKUP(A573,Material!$A:$J,3,0),"-")</f>
        <v>7127.9000000000005</v>
      </c>
      <c r="G573" s="51">
        <f t="shared" si="6"/>
        <v>427674</v>
      </c>
    </row>
    <row r="574" spans="1:7" x14ac:dyDescent="0.25">
      <c r="A574" s="17" t="str">
        <f>Material!A507</f>
        <v>MA-506</v>
      </c>
      <c r="B574" s="72" t="str">
        <f>IFERROR(VLOOKUP(A574,Material!$A:$J,2,0),"-")</f>
        <v>UNION PRESIÓN 1"</v>
      </c>
      <c r="C574" s="76"/>
      <c r="D574" s="50" t="str">
        <f>IFERROR(VLOOKUP(A574,Material!$A:$J,4,0),"-")</f>
        <v>ML</v>
      </c>
      <c r="E574" s="50">
        <v>3</v>
      </c>
      <c r="F574" s="51">
        <f>IFERROR(VLOOKUP(A574,Material!$A:$J,3,0),"-")</f>
        <v>1560</v>
      </c>
      <c r="G574" s="51">
        <f t="shared" si="6"/>
        <v>4680</v>
      </c>
    </row>
    <row r="575" spans="1:7" x14ac:dyDescent="0.25">
      <c r="A575" s="17" t="str">
        <f>Material!A506</f>
        <v>MA-505</v>
      </c>
      <c r="B575" s="72" t="str">
        <f>IFERROR(VLOOKUP(A575,Material!$A:$J,2,0),"-")</f>
        <v>CODO 90 PRESIÓN 1"</v>
      </c>
      <c r="C575" s="76"/>
      <c r="D575" s="50" t="str">
        <f>IFERROR(VLOOKUP(A575,Material!$A:$J,4,0),"-")</f>
        <v>ML</v>
      </c>
      <c r="E575" s="50">
        <v>2</v>
      </c>
      <c r="F575" s="51">
        <f>IFERROR(VLOOKUP(A575,Material!$A:$J,3,0),"-")</f>
        <v>3770</v>
      </c>
      <c r="G575" s="51">
        <f t="shared" si="6"/>
        <v>7540</v>
      </c>
    </row>
    <row r="576" spans="1:7" x14ac:dyDescent="0.25">
      <c r="A576" s="17" t="str">
        <f>Material!A201</f>
        <v>MA-200</v>
      </c>
      <c r="B576" s="72" t="str">
        <f>IFERROR(VLOOKUP(A576,Material!$A:$J,2,0),"-")</f>
        <v>SOLDADURA PVC 1/4 GL</v>
      </c>
      <c r="C576" s="76"/>
      <c r="D576" s="50" t="str">
        <f>IFERROR(VLOOKUP(A576,Material!$A:$J,4,0),"-")</f>
        <v>GALÓN</v>
      </c>
      <c r="E576" s="50">
        <v>3</v>
      </c>
      <c r="F576" s="51">
        <f>IFERROR(VLOOKUP(A576,Material!$A:$J,3,0),"-")</f>
        <v>88270</v>
      </c>
      <c r="G576" s="51">
        <f t="shared" si="6"/>
        <v>264810</v>
      </c>
    </row>
    <row r="577" spans="1:7" x14ac:dyDescent="0.25">
      <c r="A577" s="17" t="str">
        <f>Material!A253</f>
        <v>MA-252</v>
      </c>
      <c r="B577" s="72" t="str">
        <f>IFERROR(VLOOKUP(A577,Material!$A:$J,2,0),"-")</f>
        <v>LIMPIADOR DE TUBERÍA PVC 1/4 GL</v>
      </c>
      <c r="C577" s="76"/>
      <c r="D577" s="50" t="str">
        <f>IFERROR(VLOOKUP(A577,Material!$A:$J,4,0),"-")</f>
        <v>GALÓN</v>
      </c>
      <c r="E577" s="50">
        <v>3</v>
      </c>
      <c r="F577" s="51">
        <f>IFERROR(VLOOKUP(A577,Material!$A:$J,3,0),"-")</f>
        <v>60970</v>
      </c>
      <c r="G577" s="51">
        <f t="shared" si="6"/>
        <v>182910</v>
      </c>
    </row>
    <row r="578" spans="1:7" x14ac:dyDescent="0.25">
      <c r="A578" s="219" t="s">
        <v>41</v>
      </c>
      <c r="B578" s="219"/>
      <c r="C578" s="219"/>
      <c r="D578" s="219"/>
      <c r="E578" s="219"/>
      <c r="F578" s="219"/>
      <c r="G578" s="52">
        <f>SUM(G571:G577)</f>
        <v>1200666</v>
      </c>
    </row>
    <row r="579" spans="1:7" x14ac:dyDescent="0.25">
      <c r="A579" s="56"/>
      <c r="B579" s="57"/>
      <c r="C579" s="57"/>
      <c r="D579" s="57"/>
      <c r="E579" s="57"/>
      <c r="F579" s="57"/>
      <c r="G579" s="58"/>
    </row>
    <row r="580" spans="1:7" x14ac:dyDescent="0.25">
      <c r="A580" s="219" t="s">
        <v>42</v>
      </c>
      <c r="B580" s="219"/>
      <c r="C580" s="219"/>
      <c r="D580" s="219"/>
      <c r="E580" s="219"/>
      <c r="F580" s="219"/>
      <c r="G580" s="219"/>
    </row>
    <row r="581" spans="1:7" x14ac:dyDescent="0.25">
      <c r="A581" s="49" t="s">
        <v>35</v>
      </c>
      <c r="B581" s="49" t="s">
        <v>36</v>
      </c>
      <c r="C581" s="49" t="s">
        <v>38</v>
      </c>
      <c r="D581" s="49" t="s">
        <v>43</v>
      </c>
      <c r="E581" s="49" t="s">
        <v>44</v>
      </c>
      <c r="F581" s="49" t="s">
        <v>45</v>
      </c>
      <c r="G581" s="49" t="s">
        <v>40</v>
      </c>
    </row>
    <row r="582" spans="1:7" x14ac:dyDescent="0.25">
      <c r="A582" s="50" t="s">
        <v>319</v>
      </c>
      <c r="B582" s="68" t="str">
        <f>VLOOKUP(A582,'[1]Componentes APUs'!$H$1:$L$25,2,0)</f>
        <v>Ingeniero Residente de Obra</v>
      </c>
      <c r="C582" s="93">
        <v>0.25</v>
      </c>
      <c r="D582" s="50">
        <f>VLOOKUP(A582,'[1]Componentes APUs'!$H$1:$L$25,3,0)</f>
        <v>4</v>
      </c>
      <c r="E582" s="51">
        <f>VLOOKUP(A582,'[1]Componentes APUs'!$H$1:$L$25,4,0)</f>
        <v>271142.85714285716</v>
      </c>
      <c r="F582" s="51">
        <f>VLOOKUP(A582,'[1]Componentes APUs'!$H$1:$L$25,5,0)</f>
        <v>162685.71428571429</v>
      </c>
      <c r="G582" s="51">
        <f>ROUNDUP((E582+F582)*C582/E568,0)</f>
        <v>108458</v>
      </c>
    </row>
    <row r="583" spans="1:7" x14ac:dyDescent="0.25">
      <c r="A583" s="50" t="s">
        <v>320</v>
      </c>
      <c r="B583" s="68" t="str">
        <f>VLOOKUP(A583,'[1]Componentes APUs'!$H$1:$L$25,2,0)</f>
        <v>Tecnico Supervisor</v>
      </c>
      <c r="C583" s="93">
        <v>0.25</v>
      </c>
      <c r="D583" s="50">
        <f>VLOOKUP(A583,'[1]Componentes APUs'!$H$1:$L$25,3,0)</f>
        <v>2.2999999999999998</v>
      </c>
      <c r="E583" s="51">
        <f>VLOOKUP(A583,'[1]Componentes APUs'!$H$1:$L$25,4,0)</f>
        <v>155907.14285714284</v>
      </c>
      <c r="F583" s="51">
        <f>VLOOKUP(A583,'[1]Componentes APUs'!$H$1:$L$25,5,0)</f>
        <v>93544.285714285696</v>
      </c>
      <c r="G583" s="51">
        <f>ROUNDUP((E583+F583)*C583/E568,0)</f>
        <v>62363</v>
      </c>
    </row>
    <row r="584" spans="1:7" x14ac:dyDescent="0.25">
      <c r="A584" s="50" t="s">
        <v>46</v>
      </c>
      <c r="B584" s="68" t="str">
        <f>VLOOKUP(A584,'[1]Componentes APUs'!$H$1:$L$25,2,0)</f>
        <v>Tecnico Liniero</v>
      </c>
      <c r="C584" s="93">
        <v>2</v>
      </c>
      <c r="D584" s="50">
        <f>VLOOKUP(A584,'[1]Componentes APUs'!$H$1:$L$25,3,0)</f>
        <v>2</v>
      </c>
      <c r="E584" s="51">
        <f>VLOOKUP(A584,'[1]Componentes APUs'!$H$1:$L$25,4,0)</f>
        <v>154619.04761904763</v>
      </c>
      <c r="F584" s="51">
        <f>VLOOKUP(A584,'[1]Componentes APUs'!$H$1:$L$25,5,0)</f>
        <v>92771.42857142858</v>
      </c>
      <c r="G584" s="51">
        <f>ROUNDUP((E584+F584)*C584/E568,0)</f>
        <v>494781</v>
      </c>
    </row>
    <row r="585" spans="1:7" x14ac:dyDescent="0.25">
      <c r="A585" s="50" t="s">
        <v>48</v>
      </c>
      <c r="B585" s="68" t="str">
        <f>VLOOKUP(A585,'[1]Componentes APUs'!$H$1:$L$25,2,0)</f>
        <v>Ayudante Calificado</v>
      </c>
      <c r="C585" s="93">
        <v>2</v>
      </c>
      <c r="D585" s="50">
        <f>VLOOKUP(A585,'[1]Componentes APUs'!$H$1:$L$25,3,0)</f>
        <v>1.5</v>
      </c>
      <c r="E585" s="51">
        <f>VLOOKUP(A585,'[1]Componentes APUs'!$H$1:$L$25,4,0)</f>
        <v>115964.28571428571</v>
      </c>
      <c r="F585" s="51">
        <f>VLOOKUP(A585,'[1]Componentes APUs'!$H$1:$L$25,5,0)</f>
        <v>69578.57142857142</v>
      </c>
      <c r="G585" s="51">
        <f>ROUNDUP((E585+F585)*C585/E568,0)</f>
        <v>371086</v>
      </c>
    </row>
    <row r="586" spans="1:7" x14ac:dyDescent="0.25">
      <c r="A586" s="50" t="s">
        <v>50</v>
      </c>
      <c r="B586" s="68" t="str">
        <f>VLOOKUP(A586,'[1]Componentes APUs'!$H$1:$L$25,2,0)</f>
        <v>Profesional en SST</v>
      </c>
      <c r="C586" s="93">
        <v>0.25</v>
      </c>
      <c r="D586" s="50">
        <f>VLOOKUP(A586,'[1]Componentes APUs'!$H$1:$L$25,3,0)</f>
        <v>2.5</v>
      </c>
      <c r="E586" s="51">
        <f>VLOOKUP(A586,'[1]Componentes APUs'!$H$1:$L$25,4,0)</f>
        <v>169464.28571428571</v>
      </c>
      <c r="F586" s="51">
        <f>VLOOKUP(A586,'[1]Componentes APUs'!$H$1:$L$25,5,0)</f>
        <v>101678.57142857142</v>
      </c>
      <c r="G586" s="51">
        <f>ROUNDUP((E586+F586)*C586/E568,0)</f>
        <v>67786</v>
      </c>
    </row>
    <row r="587" spans="1:7" x14ac:dyDescent="0.25">
      <c r="A587" s="50" t="s">
        <v>52</v>
      </c>
      <c r="B587" s="68" t="str">
        <f>VLOOKUP(A587,'[1]Componentes APUs'!$H$1:$L$25,2,0)</f>
        <v>Ayudante No Calificado</v>
      </c>
      <c r="C587" s="93">
        <v>0</v>
      </c>
      <c r="D587" s="50">
        <f>VLOOKUP(A587,'[1]Componentes APUs'!$H$1:$L$25,3,0)</f>
        <v>1</v>
      </c>
      <c r="E587" s="51">
        <f>VLOOKUP(A587,'[1]Componentes APUs'!$H$1:$L$25,4,0)</f>
        <v>77309.523809523816</v>
      </c>
      <c r="F587" s="51">
        <f>VLOOKUP(A587,'[1]Componentes APUs'!$H$1:$L$25,5,0)</f>
        <v>46385.71428571429</v>
      </c>
      <c r="G587" s="51">
        <f>ROUNDUP((E587+F587)*C587/E568,0)</f>
        <v>0</v>
      </c>
    </row>
    <row r="588" spans="1:7" x14ac:dyDescent="0.25">
      <c r="A588" s="219" t="s">
        <v>56</v>
      </c>
      <c r="B588" s="219"/>
      <c r="C588" s="219"/>
      <c r="D588" s="219"/>
      <c r="E588" s="219"/>
      <c r="F588" s="219"/>
      <c r="G588" s="52">
        <f>SUM(G582:G587)</f>
        <v>1104474</v>
      </c>
    </row>
    <row r="589" spans="1:7" x14ac:dyDescent="0.25">
      <c r="A589" s="56"/>
      <c r="B589" s="57"/>
      <c r="C589" s="57"/>
      <c r="D589" s="57"/>
      <c r="E589" s="57"/>
      <c r="F589" s="57"/>
      <c r="G589" s="58"/>
    </row>
    <row r="590" spans="1:7" x14ac:dyDescent="0.25">
      <c r="A590" s="219" t="s">
        <v>57</v>
      </c>
      <c r="B590" s="219"/>
      <c r="C590" s="219"/>
      <c r="D590" s="219"/>
      <c r="E590" s="219"/>
      <c r="F590" s="219"/>
      <c r="G590" s="219"/>
    </row>
    <row r="591" spans="1:7" x14ac:dyDescent="0.25">
      <c r="A591" s="49" t="s">
        <v>35</v>
      </c>
      <c r="B591" s="219" t="s">
        <v>36</v>
      </c>
      <c r="C591" s="219"/>
      <c r="D591" s="49" t="s">
        <v>37</v>
      </c>
      <c r="E591" s="49" t="s">
        <v>38</v>
      </c>
      <c r="F591" s="49" t="s">
        <v>39</v>
      </c>
      <c r="G591" s="49" t="s">
        <v>40</v>
      </c>
    </row>
    <row r="592" spans="1:7" x14ac:dyDescent="0.25">
      <c r="A592" s="50" t="s">
        <v>326</v>
      </c>
      <c r="B592" s="220" t="str">
        <f>VLOOKUP(A592,'[1]Componentes APUs'!$S$1:$V$10,2,0)</f>
        <v>Juego Llaves</v>
      </c>
      <c r="C592" s="220"/>
      <c r="D592" s="50" t="s">
        <v>18</v>
      </c>
      <c r="E592" s="50">
        <v>0</v>
      </c>
      <c r="F592" s="51">
        <f>VLOOKUP(A592,'[1]Componentes APUs'!$S$1:$V$10,4,0)</f>
        <v>9167</v>
      </c>
      <c r="G592" s="51">
        <f>ROUNDUP(F592*((E592/21)/E568),0)</f>
        <v>0</v>
      </c>
    </row>
    <row r="593" spans="1:7" x14ac:dyDescent="0.25">
      <c r="A593" s="50" t="s">
        <v>58</v>
      </c>
      <c r="B593" s="220" t="str">
        <f>VLOOKUP(A593,'[1]Componentes APUs'!$S$1:$V$10,2,0)</f>
        <v>Manila de servicio</v>
      </c>
      <c r="C593" s="220"/>
      <c r="D593" s="50" t="s">
        <v>18</v>
      </c>
      <c r="E593" s="50">
        <v>0</v>
      </c>
      <c r="F593" s="51">
        <f>VLOOKUP(A593,'[1]Componentes APUs'!$S$1:$V$10,4,0)</f>
        <v>2333</v>
      </c>
      <c r="G593" s="51">
        <f>ROUNDUP(F593*((E593/21)/E568),0)</f>
        <v>0</v>
      </c>
    </row>
    <row r="594" spans="1:7" x14ac:dyDescent="0.25">
      <c r="A594" s="50" t="s">
        <v>327</v>
      </c>
      <c r="B594" s="220" t="str">
        <f>VLOOKUP(A594,'[1]Componentes APUs'!$S$1:$V$10,2,0)</f>
        <v>Tula portaherramientas</v>
      </c>
      <c r="C594" s="220"/>
      <c r="D594" s="50" t="s">
        <v>18</v>
      </c>
      <c r="E594" s="50">
        <v>0</v>
      </c>
      <c r="F594" s="51">
        <f>VLOOKUP(A594,'[1]Componentes APUs'!$S$1:$V$10,4,0)</f>
        <v>1250</v>
      </c>
      <c r="G594" s="51">
        <f>ROUNDUP(F594*((E594/21)/E568),0)</f>
        <v>0</v>
      </c>
    </row>
    <row r="595" spans="1:7" x14ac:dyDescent="0.25">
      <c r="A595" s="50" t="s">
        <v>60</v>
      </c>
      <c r="B595" s="220" t="str">
        <f>VLOOKUP(A595,'[1]Componentes APUs'!$S$1:$V$10,2,0)</f>
        <v>Agarradoras</v>
      </c>
      <c r="C595" s="220"/>
      <c r="D595" s="50" t="s">
        <v>18</v>
      </c>
      <c r="E595" s="50">
        <v>0</v>
      </c>
      <c r="F595" s="51">
        <f>VLOOKUP(A595,'[1]Componentes APUs'!$S$1:$V$10,4,0)</f>
        <v>125000</v>
      </c>
      <c r="G595" s="51">
        <f>ROUNDUP(F595*((E595/21)/E568),0)</f>
        <v>0</v>
      </c>
    </row>
    <row r="596" spans="1:7" x14ac:dyDescent="0.25">
      <c r="A596" s="50" t="s">
        <v>62</v>
      </c>
      <c r="B596" s="220" t="str">
        <f>VLOOKUP(A596,'[1]Componentes APUs'!$S$1:$V$10,2,0)</f>
        <v>Templadoras</v>
      </c>
      <c r="C596" s="220"/>
      <c r="D596" s="50" t="s">
        <v>18</v>
      </c>
      <c r="E596" s="50">
        <v>0</v>
      </c>
      <c r="F596" s="51">
        <f>VLOOKUP(A596,'[1]Componentes APUs'!$S$1:$V$10,4,0)</f>
        <v>250000</v>
      </c>
      <c r="G596" s="51">
        <f>ROUNDUP(F596*((E596/21)/E568),0)</f>
        <v>0</v>
      </c>
    </row>
    <row r="597" spans="1:7" x14ac:dyDescent="0.25">
      <c r="A597" s="50" t="s">
        <v>328</v>
      </c>
      <c r="B597" s="220" t="str">
        <f>VLOOKUP(A597,'[1]Componentes APUs'!$S$1:$V$10,2,0)</f>
        <v>Herramienta Menor</v>
      </c>
      <c r="C597" s="220"/>
      <c r="D597" s="50" t="s">
        <v>18</v>
      </c>
      <c r="E597" s="50">
        <v>15</v>
      </c>
      <c r="F597" s="51">
        <f>VLOOKUP(A597,'[1]Componentes APUs'!$S$1:$V$10,4,0)</f>
        <v>75758</v>
      </c>
      <c r="G597" s="51">
        <f>ROUNDUP(F597*((E597/21)/E568),0)</f>
        <v>54113</v>
      </c>
    </row>
    <row r="598" spans="1:7" x14ac:dyDescent="0.25">
      <c r="A598" s="50" t="s">
        <v>66</v>
      </c>
      <c r="B598" s="220" t="str">
        <f>VLOOKUP(A598,'[1]Componentes APUs'!$S$1:$V$10,2,0)</f>
        <v>Diferencial 2 Toneladas</v>
      </c>
      <c r="C598" s="220"/>
      <c r="D598" s="50" t="s">
        <v>18</v>
      </c>
      <c r="E598" s="50">
        <v>0</v>
      </c>
      <c r="F598" s="51">
        <f>VLOOKUP(A598,'[1]Componentes APUs'!$S$1:$V$10,4,0)</f>
        <v>474905</v>
      </c>
      <c r="G598" s="51">
        <f>ROUNDUP(F598*((E598/21)/E574),0)</f>
        <v>0</v>
      </c>
    </row>
    <row r="599" spans="1:7" x14ac:dyDescent="0.25">
      <c r="A599" s="219" t="s">
        <v>69</v>
      </c>
      <c r="B599" s="219"/>
      <c r="C599" s="219"/>
      <c r="D599" s="219"/>
      <c r="E599" s="219"/>
      <c r="F599" s="219"/>
      <c r="G599" s="52">
        <f>SUM(G592:G598)</f>
        <v>54113</v>
      </c>
    </row>
    <row r="600" spans="1:7" x14ac:dyDescent="0.25">
      <c r="A600" s="56"/>
      <c r="B600" s="57"/>
      <c r="C600" s="57"/>
      <c r="D600" s="57"/>
      <c r="E600" s="57"/>
      <c r="F600" s="57"/>
      <c r="G600" s="58"/>
    </row>
    <row r="601" spans="1:7" x14ac:dyDescent="0.25">
      <c r="A601" s="219" t="s">
        <v>70</v>
      </c>
      <c r="B601" s="219"/>
      <c r="C601" s="219"/>
      <c r="D601" s="219"/>
      <c r="E601" s="219"/>
      <c r="F601" s="219"/>
      <c r="G601" s="219"/>
    </row>
    <row r="602" spans="1:7" x14ac:dyDescent="0.25">
      <c r="A602" s="49" t="s">
        <v>35</v>
      </c>
      <c r="B602" s="219" t="s">
        <v>36</v>
      </c>
      <c r="C602" s="219"/>
      <c r="D602" s="49" t="s">
        <v>37</v>
      </c>
      <c r="E602" s="49" t="s">
        <v>38</v>
      </c>
      <c r="F602" s="49" t="s">
        <v>39</v>
      </c>
      <c r="G602" s="49" t="s">
        <v>40</v>
      </c>
    </row>
    <row r="603" spans="1:7" x14ac:dyDescent="0.25">
      <c r="A603" s="50" t="s">
        <v>71</v>
      </c>
      <c r="B603" s="71" t="str">
        <f>VLOOKUP(A603,'[1]Componentes APUs'!$A$1:$D$14,2,0)</f>
        <v>Camisa indigo sin partes metalicas</v>
      </c>
      <c r="C603" s="71"/>
      <c r="D603" s="50" t="str">
        <f>VLOOKUP(A603,'[1]Componentes APUs'!$A$1:$D$14,3,0)</f>
        <v>U</v>
      </c>
      <c r="E603" s="50">
        <f>SUM(C582:C587)</f>
        <v>4.75</v>
      </c>
      <c r="F603" s="51">
        <f>VLOOKUP(A603,'[1]Componentes APUs'!$A$1:$D$14,4,0)</f>
        <v>8585.8585858585866</v>
      </c>
      <c r="G603" s="51">
        <f>ROUNDUP(F603*(E603/21)/E568,0)</f>
        <v>1943</v>
      </c>
    </row>
    <row r="604" spans="1:7" x14ac:dyDescent="0.25">
      <c r="A604" s="69" t="s">
        <v>73</v>
      </c>
      <c r="B604" s="72" t="str">
        <f>VLOOKUP(A604,'[1]Componentes APUs'!$A$1:$D$14,2,0)</f>
        <v>Bota de seguridad dielectrica</v>
      </c>
      <c r="C604" s="73"/>
      <c r="D604" s="70" t="str">
        <f>VLOOKUP(A604,'[1]Componentes APUs'!$A$1:$D$14,3,0)</f>
        <v>Par</v>
      </c>
      <c r="E604" s="50">
        <f>SUM(C582:C587)</f>
        <v>4.75</v>
      </c>
      <c r="F604" s="51">
        <f>VLOOKUP(A604,'[1]Componentes APUs'!$A$1:$D$14,4,0)</f>
        <v>7500</v>
      </c>
      <c r="G604" s="51">
        <f>ROUNDUP(F604*(E604/21)/E568,0)</f>
        <v>1697</v>
      </c>
    </row>
    <row r="605" spans="1:7" x14ac:dyDescent="0.25">
      <c r="A605" s="50" t="s">
        <v>76</v>
      </c>
      <c r="B605" s="72" t="str">
        <f>VLOOKUP(A605,'[1]Componentes APUs'!$A$1:$D$14,2,0)</f>
        <v>Casco dielectrico Tipo 1 Clase E con barbuquejo</v>
      </c>
      <c r="C605" s="73"/>
      <c r="D605" s="50" t="str">
        <f>VLOOKUP(A605,'[1]Componentes APUs'!$A$1:$D$14,3,0)</f>
        <v>U</v>
      </c>
      <c r="E605" s="50">
        <f>C582+C583+C586+C587+C585+IF(A584&lt;&gt;"MO-3",C584,0)</f>
        <v>2.75</v>
      </c>
      <c r="F605" s="51">
        <f>VLOOKUP(A605,'[1]Componentes APUs'!$A$1:$D$14,4,0)</f>
        <v>10101.010101010101</v>
      </c>
      <c r="G605" s="51">
        <f>ROUNDUP(F605*(E605/21)/E568,0)</f>
        <v>1323</v>
      </c>
    </row>
    <row r="606" spans="1:7" x14ac:dyDescent="0.25">
      <c r="A606" s="69" t="s">
        <v>77</v>
      </c>
      <c r="B606" s="72" t="str">
        <f>VLOOKUP(A606,'[1]Componentes APUs'!$A$1:$D$14,2,0)</f>
        <v>Correa plastica y antiflama</v>
      </c>
      <c r="C606" s="73"/>
      <c r="D606" s="50" t="str">
        <f>VLOOKUP(A606,'[1]Componentes APUs'!$A$1:$D$14,3,0)</f>
        <v>U</v>
      </c>
      <c r="E606" s="50">
        <f>SUM(C582:C587)</f>
        <v>4.75</v>
      </c>
      <c r="F606" s="51">
        <f>VLOOKUP(A606,'[1]Componentes APUs'!$A$1:$D$14,4,0)</f>
        <v>3787.878787878788</v>
      </c>
      <c r="G606" s="51">
        <f>ROUNDUP(F606*(E606/21)/E568,0)</f>
        <v>857</v>
      </c>
    </row>
    <row r="607" spans="1:7" x14ac:dyDescent="0.25">
      <c r="A607" s="50" t="s">
        <v>79</v>
      </c>
      <c r="B607" s="72" t="str">
        <f>VLOOKUP(A607,'[1]Componentes APUs'!$A$1:$D$14,2,0)</f>
        <v>Gafas protectoras filtro UV</v>
      </c>
      <c r="C607" s="73"/>
      <c r="D607" s="50" t="str">
        <f>VLOOKUP(A607,'[1]Componentes APUs'!$A$1:$D$14,3,0)</f>
        <v>U</v>
      </c>
      <c r="E607" s="50">
        <f>SUM(C582:C587)</f>
        <v>4.75</v>
      </c>
      <c r="F607" s="51">
        <f>VLOOKUP(A607,'[1]Componentes APUs'!$A$1:$D$14,4,0)</f>
        <v>2777.7777777777778</v>
      </c>
      <c r="G607" s="51">
        <f>ROUNDUP(F607*(E607/21)/E568,0)</f>
        <v>629</v>
      </c>
    </row>
    <row r="608" spans="1:7" x14ac:dyDescent="0.25">
      <c r="A608" s="69" t="s">
        <v>402</v>
      </c>
      <c r="B608" s="72" t="str">
        <f>VLOOKUP(A608,'[1]Componentes APUs'!$A$1:$D$14,2,0)</f>
        <v>Bota de seguridad PVC dielectrica</v>
      </c>
      <c r="C608" s="73"/>
      <c r="D608" s="50" t="str">
        <f>VLOOKUP(A608,'[1]Componentes APUs'!$A$1:$D$14,3,0)</f>
        <v>Par</v>
      </c>
      <c r="E608" s="50">
        <f>SUM(C582:C587)</f>
        <v>4.75</v>
      </c>
      <c r="F608" s="51">
        <f>VLOOKUP(A608,'[1]Componentes APUs'!$A$1:$D$14,4,0)</f>
        <v>2916.6666666666665</v>
      </c>
      <c r="G608" s="51">
        <f>ROUNDUP(F608*(E608/21)/E568,0)</f>
        <v>660</v>
      </c>
    </row>
    <row r="609" spans="1:7" x14ac:dyDescent="0.25">
      <c r="A609" s="50" t="s">
        <v>403</v>
      </c>
      <c r="B609" s="72" t="str">
        <f>VLOOKUP(A609,'[1]Componentes APUs'!$A$1:$D$14,2,0)</f>
        <v>Capuchon</v>
      </c>
      <c r="C609" s="73"/>
      <c r="D609" s="50" t="str">
        <f>VLOOKUP(A609,'[1]Componentes APUs'!$A$1:$D$14,3,0)</f>
        <v>U</v>
      </c>
      <c r="E609" s="50">
        <f>SUM(C582:C587)</f>
        <v>4.75</v>
      </c>
      <c r="F609" s="51">
        <f>VLOOKUP(A609,'[1]Componentes APUs'!$A$1:$D$14,4,0)</f>
        <v>2525.2525252525252</v>
      </c>
      <c r="G609" s="51">
        <f>ROUNDUP(F609*(E609/21)/E568,0)</f>
        <v>572</v>
      </c>
    </row>
    <row r="610" spans="1:7" x14ac:dyDescent="0.25">
      <c r="A610" s="69" t="s">
        <v>81</v>
      </c>
      <c r="B610" s="72" t="str">
        <f>VLOOKUP(A610,'[1]Componentes APUs'!$A$1:$D$14,2,0)</f>
        <v>Guantes Protectores  - ingeniero reforzados</v>
      </c>
      <c r="C610" s="73"/>
      <c r="D610" s="50" t="str">
        <f>VLOOKUP(A610,'[1]Componentes APUs'!$A$1:$D$14,3,0)</f>
        <v>Par</v>
      </c>
      <c r="E610" s="50">
        <f>C584+C585+C587</f>
        <v>4</v>
      </c>
      <c r="F610" s="51">
        <f>VLOOKUP(A610,'[1]Componentes APUs'!$A$1:$D$14,4,0)</f>
        <v>2525.2525252525252</v>
      </c>
      <c r="G610" s="51">
        <f>ROUNDUP(F610*(E610/21)/E568,0)</f>
        <v>482</v>
      </c>
    </row>
    <row r="611" spans="1:7" x14ac:dyDescent="0.25">
      <c r="A611" s="50" t="s">
        <v>83</v>
      </c>
      <c r="B611" s="72" t="str">
        <f>VLOOKUP(A611,'[1]Componentes APUs'!$A$1:$D$14,2,0)</f>
        <v>Impermeable (pantalon camisa)</v>
      </c>
      <c r="C611" s="73"/>
      <c r="D611" s="50" t="str">
        <f>VLOOKUP(A611,'[1]Componentes APUs'!$A$1:$D$14,3,0)</f>
        <v>U</v>
      </c>
      <c r="E611" s="50">
        <f>SUM(C582:C587)</f>
        <v>4.75</v>
      </c>
      <c r="F611" s="51">
        <f>VLOOKUP(A611,'[1]Componentes APUs'!$A$1:$D$14,4,0)</f>
        <v>3750</v>
      </c>
      <c r="G611" s="51">
        <f>ROUNDUP(F611*(E611/21)/E568,0)</f>
        <v>849</v>
      </c>
    </row>
    <row r="612" spans="1:7" x14ac:dyDescent="0.25">
      <c r="A612" s="69" t="s">
        <v>85</v>
      </c>
      <c r="B612" s="72" t="str">
        <f>VLOOKUP(A612,'[1]Componentes APUs'!$A$1:$D$14,2,0)</f>
        <v>Jean Dielectrico</v>
      </c>
      <c r="C612" s="73"/>
      <c r="D612" s="50" t="str">
        <f>VLOOKUP(A612,'[1]Componentes APUs'!$A$1:$D$14,3,0)</f>
        <v>U</v>
      </c>
      <c r="E612" s="50">
        <f>SUM(C582:C587)</f>
        <v>4.75</v>
      </c>
      <c r="F612" s="51">
        <f>VLOOKUP(A612,'[1]Componentes APUs'!$A$1:$D$14,4,0)</f>
        <v>7575.757575757576</v>
      </c>
      <c r="G612" s="51">
        <f>ROUNDUP(F612*(E612/21)/E568,0)</f>
        <v>1714</v>
      </c>
    </row>
    <row r="613" spans="1:7" x14ac:dyDescent="0.25">
      <c r="A613" s="50" t="s">
        <v>87</v>
      </c>
      <c r="B613" s="72" t="str">
        <f>VLOOKUP(A613,'[1]Componentes APUs'!$A$1:$D$14,2,0)</f>
        <v>Casco dielectrico Tipo 2 Clase E con barboquejo</v>
      </c>
      <c r="C613" s="73"/>
      <c r="D613" s="50" t="str">
        <f>VLOOKUP(A613,'[1]Componentes APUs'!$A$1:$D$14,3,0)</f>
        <v>U</v>
      </c>
      <c r="E613" s="53">
        <f>IF(A584="MO-3",C584,0)</f>
        <v>2</v>
      </c>
      <c r="F613" s="51">
        <f>VLOOKUP(A613,'[1]Componentes APUs'!$A$1:$D$14,4,0)</f>
        <v>7500</v>
      </c>
      <c r="G613" s="51">
        <f>ROUNDUP(F613*(E613/21)/E568,0)</f>
        <v>715</v>
      </c>
    </row>
    <row r="614" spans="1:7" x14ac:dyDescent="0.25">
      <c r="A614" s="69" t="s">
        <v>89</v>
      </c>
      <c r="B614" s="72" t="str">
        <f>VLOOKUP(A614,'[1]Componentes APUs'!$A$1:$D$14,2,0)</f>
        <v>Kit de rescate para trabajo en alturas</v>
      </c>
      <c r="C614" s="73"/>
      <c r="D614" s="50" t="str">
        <f>VLOOKUP(A614,'[1]Componentes APUs'!$A$1:$D$14,3,0)</f>
        <v>U</v>
      </c>
      <c r="E614" s="50">
        <f>IF(AND(A584="MO-3",C584=2),1,0)</f>
        <v>1</v>
      </c>
      <c r="F614" s="51">
        <f>VLOOKUP(A614,'[1]Componentes APUs'!$A$1:$D$14,4,0)</f>
        <v>37500</v>
      </c>
      <c r="G614" s="51">
        <f>ROUNDUP(F614*(E614/21)/E568,0)</f>
        <v>1786</v>
      </c>
    </row>
    <row r="615" spans="1:7" x14ac:dyDescent="0.25">
      <c r="A615" s="50" t="s">
        <v>91</v>
      </c>
      <c r="B615" s="72" t="str">
        <f>VLOOKUP(A615,'[1]Componentes APUs'!$A$1:$D$14,2,0)</f>
        <v>Equipo completo para trabajo en alturas con pretales (Arnes dielectrico, 1 mosqueton de seguridad, tie off dielectrico, eslinga de posicionamiento, juego de pretales)</v>
      </c>
      <c r="C615" s="73"/>
      <c r="D615" s="50" t="str">
        <f>VLOOKUP(A615,'[1]Componentes APUs'!$A$1:$D$14,3,0)</f>
        <v>U</v>
      </c>
      <c r="E615" s="50">
        <f>IF(A584="MO-3",C584,0)</f>
        <v>2</v>
      </c>
      <c r="F615" s="51">
        <f>VLOOKUP(A615,'[1]Componentes APUs'!$A$1:$D$14,4,0)</f>
        <v>26041.666666666668</v>
      </c>
      <c r="G615" s="51">
        <f>ROUNDUP(F615*(E615/21)/E568,0)</f>
        <v>2481</v>
      </c>
    </row>
    <row r="616" spans="1:7" x14ac:dyDescent="0.25">
      <c r="A616" s="219" t="s">
        <v>95</v>
      </c>
      <c r="B616" s="219"/>
      <c r="C616" s="219"/>
      <c r="D616" s="219"/>
      <c r="E616" s="219"/>
      <c r="F616" s="219"/>
      <c r="G616" s="52">
        <f>SUM(G603:G615)</f>
        <v>15708</v>
      </c>
    </row>
    <row r="617" spans="1:7" x14ac:dyDescent="0.25">
      <c r="A617" s="56"/>
      <c r="B617" s="57"/>
      <c r="C617" s="57"/>
      <c r="D617" s="57"/>
      <c r="E617" s="57"/>
      <c r="F617" s="57"/>
      <c r="G617" s="58"/>
    </row>
    <row r="618" spans="1:7" x14ac:dyDescent="0.25">
      <c r="A618" s="219" t="s">
        <v>96</v>
      </c>
      <c r="B618" s="219"/>
      <c r="C618" s="219"/>
      <c r="D618" s="219"/>
      <c r="E618" s="219"/>
      <c r="F618" s="219"/>
      <c r="G618" s="219"/>
    </row>
    <row r="619" spans="1:7" x14ac:dyDescent="0.25">
      <c r="A619" s="49" t="s">
        <v>35</v>
      </c>
      <c r="B619" s="225" t="s">
        <v>36</v>
      </c>
      <c r="C619" s="225"/>
      <c r="D619" s="49" t="s">
        <v>37</v>
      </c>
      <c r="E619" s="49" t="s">
        <v>38</v>
      </c>
      <c r="F619" s="49" t="s">
        <v>39</v>
      </c>
      <c r="G619" s="49" t="s">
        <v>40</v>
      </c>
    </row>
    <row r="620" spans="1:7" x14ac:dyDescent="0.25">
      <c r="A620" s="69" t="s">
        <v>97</v>
      </c>
      <c r="B620" s="72" t="str">
        <f>VLOOKUP(A620,'[1]Componentes APUs'!$N$1:$Q$30,2,0)</f>
        <v>Camioneta</v>
      </c>
      <c r="C620" s="73"/>
      <c r="D620" s="70" t="str">
        <f>VLOOKUP(A620,'[1]Componentes APUs'!$N$1:$Q$30,3,0)</f>
        <v>U</v>
      </c>
      <c r="E620" s="50">
        <v>0.02</v>
      </c>
      <c r="F620" s="51">
        <f>VLOOKUP(A620,'[1]Componentes APUs'!$N$1:$Q$30,4,0)</f>
        <v>5500000</v>
      </c>
      <c r="G620" s="51">
        <f>IFERROR(ROUNDUP(F620*(E620/21)/E568,0),0)</f>
        <v>5239</v>
      </c>
    </row>
    <row r="621" spans="1:7" x14ac:dyDescent="0.25">
      <c r="A621" s="50" t="s">
        <v>321</v>
      </c>
      <c r="B621" s="72" t="str">
        <f>VLOOKUP(A621,'[1]Componentes APUs'!$N$1:$Q$30,2,0)</f>
        <v>Grúa Hidráulica</v>
      </c>
      <c r="C621" s="73"/>
      <c r="D621" s="70" t="str">
        <f>VLOOKUP(A621,'[1]Componentes APUs'!$N$1:$Q$30,3,0)</f>
        <v>U</v>
      </c>
      <c r="E621" s="50">
        <v>0</v>
      </c>
      <c r="F621" s="51">
        <f>VLOOKUP(A621,'[1]Componentes APUs'!$N$1:$Q$30,4,0)</f>
        <v>21000000</v>
      </c>
      <c r="G621" s="51">
        <f>IFERROR(ROUNDUP(F621*(E621/21)/E568,0),0)</f>
        <v>0</v>
      </c>
    </row>
    <row r="622" spans="1:7" x14ac:dyDescent="0.25">
      <c r="A622" s="69" t="s">
        <v>322</v>
      </c>
      <c r="B622" s="72" t="str">
        <f>VLOOKUP(A622,'[1]Componentes APUs'!$N$1:$Q$30,2,0)</f>
        <v>Camabaja</v>
      </c>
      <c r="C622" s="73"/>
      <c r="D622" s="70" t="str">
        <f>VLOOKUP(A622,'[1]Componentes APUs'!$N$1:$Q$30,3,0)</f>
        <v>TON/KM</v>
      </c>
      <c r="E622" s="50">
        <v>0</v>
      </c>
      <c r="F622" s="51">
        <f>VLOOKUP(A622,'[1]Componentes APUs'!$N$1:$Q$30,4,0)</f>
        <v>611</v>
      </c>
      <c r="G622" s="51">
        <f>IFERROR(ROUNDUP(F622*(E622/21)/E568,0),0)</f>
        <v>0</v>
      </c>
    </row>
    <row r="623" spans="1:7" x14ac:dyDescent="0.25">
      <c r="A623" s="50" t="s">
        <v>323</v>
      </c>
      <c r="B623" s="72" t="str">
        <f>VLOOKUP(A623,'[1]Componentes APUs'!$N$1:$Q$30,2,0)</f>
        <v>Volqueta</v>
      </c>
      <c r="C623" s="73"/>
      <c r="D623" s="70" t="str">
        <f>VLOOKUP(A623,'[1]Componentes APUs'!$N$1:$Q$30,3,0)</f>
        <v>U</v>
      </c>
      <c r="E623" s="50">
        <v>0</v>
      </c>
      <c r="F623" s="51">
        <f>VLOOKUP(A623,'[1]Componentes APUs'!$N$1:$Q$30,4,0)</f>
        <v>18900000</v>
      </c>
      <c r="G623" s="51">
        <f>IFERROR(ROUNDUP(F623*(E623/21)/E568,0),0)</f>
        <v>0</v>
      </c>
    </row>
    <row r="624" spans="1:7" x14ac:dyDescent="0.25">
      <c r="A624" s="69" t="s">
        <v>324</v>
      </c>
      <c r="B624" s="72" t="str">
        <f>VLOOKUP(A624,'[1]Componentes APUs'!$N$1:$Q$30,2,0)</f>
        <v>Retroexcavadora</v>
      </c>
      <c r="C624" s="73"/>
      <c r="D624" s="70" t="str">
        <f>VLOOKUP(A624,'[1]Componentes APUs'!$N$1:$Q$30,3,0)</f>
        <v>U</v>
      </c>
      <c r="E624" s="50">
        <v>0</v>
      </c>
      <c r="F624" s="51">
        <f>VLOOKUP(A624,'[1]Componentes APUs'!$N$1:$Q$30,4,0)</f>
        <v>1494459.54</v>
      </c>
      <c r="G624" s="51">
        <f>IFERROR(ROUNDUP(F624*(E624/21)/E568,0),0)</f>
        <v>0</v>
      </c>
    </row>
    <row r="625" spans="1:8" x14ac:dyDescent="0.25">
      <c r="A625" s="219" t="s">
        <v>99</v>
      </c>
      <c r="B625" s="219"/>
      <c r="C625" s="219"/>
      <c r="D625" s="219"/>
      <c r="E625" s="219"/>
      <c r="F625" s="219"/>
      <c r="G625" s="52">
        <f>SUM(G620:G624)</f>
        <v>5239</v>
      </c>
    </row>
    <row r="626" spans="1:8" x14ac:dyDescent="0.25">
      <c r="A626" s="56"/>
      <c r="B626" s="57"/>
      <c r="C626" s="57"/>
      <c r="D626" s="57"/>
      <c r="E626" s="57"/>
      <c r="F626" s="57"/>
      <c r="G626" s="58"/>
    </row>
    <row r="627" spans="1:8" x14ac:dyDescent="0.25">
      <c r="A627" s="219" t="s">
        <v>1516</v>
      </c>
      <c r="B627" s="219"/>
      <c r="C627" s="219"/>
      <c r="D627" s="219"/>
      <c r="E627" s="219"/>
      <c r="F627" s="219"/>
      <c r="G627" s="52">
        <f>G625+G616+G599+G588+G578</f>
        <v>2380200</v>
      </c>
    </row>
    <row r="628" spans="1:8" x14ac:dyDescent="0.25">
      <c r="A628" s="59"/>
      <c r="B628" s="60"/>
      <c r="C628" s="60"/>
      <c r="D628" s="60"/>
      <c r="E628" s="57"/>
      <c r="F628" s="57"/>
      <c r="G628" s="58"/>
    </row>
    <row r="629" spans="1:8" x14ac:dyDescent="0.25">
      <c r="A629" s="64"/>
      <c r="D629" s="55"/>
      <c r="E629" s="49" t="s">
        <v>25</v>
      </c>
      <c r="F629" s="54">
        <v>0.15</v>
      </c>
      <c r="G629" s="51">
        <f>G627*F629</f>
        <v>357030</v>
      </c>
    </row>
    <row r="630" spans="1:8" x14ac:dyDescent="0.25">
      <c r="A630" s="64"/>
      <c r="D630" s="55"/>
      <c r="E630" s="49" t="s">
        <v>26</v>
      </c>
      <c r="F630" s="54">
        <v>0.05</v>
      </c>
      <c r="G630" s="51">
        <f>G627*F630</f>
        <v>119010</v>
      </c>
    </row>
    <row r="631" spans="1:8" x14ac:dyDescent="0.25">
      <c r="A631" s="61"/>
      <c r="B631" s="65"/>
      <c r="C631" s="65"/>
      <c r="D631" s="62"/>
      <c r="E631" s="49" t="s">
        <v>27</v>
      </c>
      <c r="F631" s="54">
        <v>0.05</v>
      </c>
      <c r="G631" s="51">
        <f>G627*F631</f>
        <v>119010</v>
      </c>
    </row>
    <row r="632" spans="1:8" x14ac:dyDescent="0.25">
      <c r="A632" s="61"/>
      <c r="B632" s="62"/>
      <c r="C632" s="62"/>
      <c r="D632" s="62"/>
      <c r="E632" s="62"/>
      <c r="F632" s="62"/>
      <c r="G632" s="63"/>
    </row>
    <row r="633" spans="1:8" x14ac:dyDescent="0.25">
      <c r="A633" s="219" t="s">
        <v>1517</v>
      </c>
      <c r="B633" s="219"/>
      <c r="C633" s="219"/>
      <c r="D633" s="219"/>
      <c r="E633" s="219"/>
      <c r="F633" s="219"/>
      <c r="G633" s="52">
        <f>G627+G629+G630+G631</f>
        <v>2975250</v>
      </c>
    </row>
    <row r="634" spans="1:8" x14ac:dyDescent="0.25">
      <c r="A634" s="59"/>
      <c r="B634" s="60"/>
      <c r="C634" s="60"/>
      <c r="D634" s="60"/>
      <c r="E634" s="57"/>
      <c r="F634" s="57"/>
      <c r="G634" s="58"/>
    </row>
    <row r="635" spans="1:8" x14ac:dyDescent="0.25">
      <c r="A635" s="64"/>
      <c r="D635" s="55"/>
      <c r="E635" s="49" t="s">
        <v>102</v>
      </c>
      <c r="F635" s="49" t="s">
        <v>103</v>
      </c>
      <c r="G635" s="51">
        <f>G631*19%</f>
        <v>22611.9</v>
      </c>
    </row>
    <row r="636" spans="1:8" x14ac:dyDescent="0.25">
      <c r="A636" s="61"/>
      <c r="B636" s="62"/>
      <c r="C636" s="62"/>
      <c r="D636" s="62"/>
      <c r="E636" s="57"/>
      <c r="F636" s="57"/>
      <c r="G636" s="58"/>
    </row>
    <row r="637" spans="1:8" x14ac:dyDescent="0.25">
      <c r="A637" s="219" t="s">
        <v>104</v>
      </c>
      <c r="B637" s="219"/>
      <c r="C637" s="219"/>
      <c r="D637" s="219"/>
      <c r="E637" s="219"/>
      <c r="F637" s="219"/>
      <c r="G637" s="52">
        <f>G635+G633</f>
        <v>2997861.9</v>
      </c>
    </row>
    <row r="639" spans="1:8" x14ac:dyDescent="0.25">
      <c r="A639" s="74" t="s">
        <v>29</v>
      </c>
      <c r="B639" s="226" t="s">
        <v>30</v>
      </c>
      <c r="C639" s="226"/>
      <c r="D639" s="74" t="s">
        <v>31</v>
      </c>
      <c r="E639" s="74" t="s">
        <v>32</v>
      </c>
      <c r="F639" s="74" t="s">
        <v>189</v>
      </c>
      <c r="G639" s="74" t="s">
        <v>33</v>
      </c>
    </row>
    <row r="640" spans="1:8" x14ac:dyDescent="0.25">
      <c r="A640" s="50" t="str">
        <f>Presupuesto!B16</f>
        <v>010_OC</v>
      </c>
      <c r="B640" s="247" t="str">
        <f>Presupuesto!C16</f>
        <v>LOCALIZACIÓN Y REPLANTEO</v>
      </c>
      <c r="C640" s="248"/>
      <c r="D640" s="50" t="s">
        <v>113</v>
      </c>
      <c r="E640" s="102">
        <v>200</v>
      </c>
      <c r="F640" s="50"/>
      <c r="G640" s="51">
        <f>G702</f>
        <v>5322.6469999999999</v>
      </c>
      <c r="H640" s="45"/>
    </row>
    <row r="641" spans="1:8" x14ac:dyDescent="0.25">
      <c r="A641" s="219" t="s">
        <v>34</v>
      </c>
      <c r="B641" s="219"/>
      <c r="C641" s="219"/>
      <c r="D641" s="219"/>
      <c r="E641" s="219"/>
      <c r="F641" s="219"/>
      <c r="G641" s="219"/>
    </row>
    <row r="642" spans="1:8" x14ac:dyDescent="0.25">
      <c r="A642" s="49" t="s">
        <v>35</v>
      </c>
      <c r="B642" s="219" t="s">
        <v>36</v>
      </c>
      <c r="C642" s="219"/>
      <c r="D642" s="49" t="s">
        <v>37</v>
      </c>
      <c r="E642" s="49" t="s">
        <v>38</v>
      </c>
      <c r="F642" s="49" t="s">
        <v>39</v>
      </c>
      <c r="G642" s="49" t="s">
        <v>40</v>
      </c>
    </row>
    <row r="643" spans="1:8" x14ac:dyDescent="0.25">
      <c r="A643" s="50"/>
      <c r="B643" s="72" t="str">
        <f>IFERROR(VLOOKUP(A643,Material!$A:$H,2,0),"-")</f>
        <v>-</v>
      </c>
      <c r="C643" s="76"/>
      <c r="D643" s="50" t="str">
        <f>IFERROR(VLOOKUP(A643,Material!$A:$H,4,0),"-")</f>
        <v>-</v>
      </c>
      <c r="E643" s="50"/>
      <c r="F643" s="51" t="str">
        <f>IFERROR(VLOOKUP(A643,Material!$A:$H,3,0),"-")</f>
        <v>-</v>
      </c>
      <c r="G643" s="51" t="str">
        <f>IFERROR(ROUNDUP(F643*E643,0),"-")</f>
        <v>-</v>
      </c>
    </row>
    <row r="644" spans="1:8" x14ac:dyDescent="0.25">
      <c r="A644" s="219" t="s">
        <v>41</v>
      </c>
      <c r="B644" s="219"/>
      <c r="C644" s="219"/>
      <c r="D644" s="219"/>
      <c r="E644" s="219"/>
      <c r="F644" s="219"/>
      <c r="G644" s="52">
        <f>SUM(G643:G643)</f>
        <v>0</v>
      </c>
    </row>
    <row r="645" spans="1:8" x14ac:dyDescent="0.25">
      <c r="A645" s="56"/>
      <c r="B645" s="57"/>
      <c r="C645" s="57"/>
      <c r="D645" s="57"/>
      <c r="E645" s="57"/>
      <c r="F645" s="57"/>
      <c r="G645" s="58"/>
    </row>
    <row r="646" spans="1:8" x14ac:dyDescent="0.25">
      <c r="A646" s="219" t="s">
        <v>42</v>
      </c>
      <c r="B646" s="219"/>
      <c r="C646" s="219"/>
      <c r="D646" s="219"/>
      <c r="E646" s="219"/>
      <c r="F646" s="219"/>
      <c r="G646" s="219"/>
    </row>
    <row r="647" spans="1:8" x14ac:dyDescent="0.25">
      <c r="A647" s="49" t="s">
        <v>35</v>
      </c>
      <c r="B647" s="49" t="s">
        <v>36</v>
      </c>
      <c r="C647" s="49" t="s">
        <v>38</v>
      </c>
      <c r="D647" s="49" t="s">
        <v>43</v>
      </c>
      <c r="E647" s="49" t="s">
        <v>44</v>
      </c>
      <c r="F647" s="49" t="s">
        <v>45</v>
      </c>
      <c r="G647" s="49" t="s">
        <v>40</v>
      </c>
    </row>
    <row r="648" spans="1:8" x14ac:dyDescent="0.25">
      <c r="A648" s="50" t="s">
        <v>319</v>
      </c>
      <c r="B648" s="68" t="str">
        <f>VLOOKUP(A648,'Componentes APUs'!$H$1:$L$25,2,0)</f>
        <v>Ingeniero Residente de Obra</v>
      </c>
      <c r="C648" s="93">
        <v>0</v>
      </c>
      <c r="D648" s="50">
        <f>VLOOKUP(A648,'Componentes APUs'!$H$1:$L$25,3,0)</f>
        <v>4</v>
      </c>
      <c r="E648" s="51">
        <f>VLOOKUP(A648,'Componentes APUs'!$H$1:$L$25,4,0)</f>
        <v>271142.85714285716</v>
      </c>
      <c r="F648" s="51">
        <f>VLOOKUP(A648,'Componentes APUs'!$H$1:$L$25,5,0)</f>
        <v>162685.71428571429</v>
      </c>
      <c r="G648" s="51">
        <f>ROUNDUP((E648+F648)*C648/E640,0)</f>
        <v>0</v>
      </c>
      <c r="H648" s="66"/>
    </row>
    <row r="649" spans="1:8" x14ac:dyDescent="0.25">
      <c r="A649" s="50" t="s">
        <v>320</v>
      </c>
      <c r="B649" s="68" t="str">
        <f>VLOOKUP(A649,'Componentes APUs'!$H$1:$L$25,2,0)</f>
        <v>Tecnico Supervisor</v>
      </c>
      <c r="C649" s="93">
        <v>0</v>
      </c>
      <c r="D649" s="50">
        <f>VLOOKUP(A649,'Componentes APUs'!$H$1:$L$25,3,0)</f>
        <v>2.2999999999999998</v>
      </c>
      <c r="E649" s="51">
        <f>VLOOKUP(A649,'Componentes APUs'!$H$1:$L$25,4,0)</f>
        <v>155907.14285714284</v>
      </c>
      <c r="F649" s="51">
        <f>VLOOKUP(A649,'Componentes APUs'!$H$1:$L$25,5,0)</f>
        <v>93544.285714285696</v>
      </c>
      <c r="G649" s="51">
        <f>ROUNDUP((E649+F649)*C649/E640,0)</f>
        <v>0</v>
      </c>
    </row>
    <row r="650" spans="1:8" x14ac:dyDescent="0.25">
      <c r="A650" s="50" t="s">
        <v>46</v>
      </c>
      <c r="B650" s="68" t="str">
        <f>VLOOKUP(A650,'Componentes APUs'!$H$1:$L$25,2,0)</f>
        <v>Tecnico Liniero</v>
      </c>
      <c r="C650" s="93">
        <v>0</v>
      </c>
      <c r="D650" s="50">
        <f>VLOOKUP(A650,'Componentes APUs'!$H$1:$L$25,3,0)</f>
        <v>2</v>
      </c>
      <c r="E650" s="51">
        <f>VLOOKUP(A650,'Componentes APUs'!$H$1:$L$25,4,0)</f>
        <v>154619.04761904763</v>
      </c>
      <c r="F650" s="51">
        <f>VLOOKUP(A650,'Componentes APUs'!$H$1:$L$25,5,0)</f>
        <v>92771.42857142858</v>
      </c>
      <c r="G650" s="51">
        <f>ROUNDUP((E650+F650)*C650/E640,0)</f>
        <v>0</v>
      </c>
    </row>
    <row r="651" spans="1:8" x14ac:dyDescent="0.25">
      <c r="A651" s="50" t="s">
        <v>1376</v>
      </c>
      <c r="B651" s="68" t="str">
        <f>VLOOKUP(A651,'Componentes APUs'!$H$1:$L$25,2,0)</f>
        <v>Topografo</v>
      </c>
      <c r="C651" s="93">
        <v>1</v>
      </c>
      <c r="D651" s="50">
        <f>VLOOKUP(A651,'Componentes APUs'!$H$1:$L$25,3,0)</f>
        <v>2</v>
      </c>
      <c r="E651" s="51">
        <f>VLOOKUP(A651,'Componentes APUs'!$H$1:$L$25,4,0)</f>
        <v>154619.04761904763</v>
      </c>
      <c r="F651" s="51">
        <f>VLOOKUP(A651,'Componentes APUs'!$H$1:$L$25,5,0)</f>
        <v>92771.42857142858</v>
      </c>
      <c r="G651" s="51">
        <f>ROUNDUP((E651+F651)*C651/E640,0)</f>
        <v>1237</v>
      </c>
    </row>
    <row r="652" spans="1:8" x14ac:dyDescent="0.25">
      <c r="A652" s="50" t="s">
        <v>50</v>
      </c>
      <c r="B652" s="68" t="str">
        <f>VLOOKUP(A652,'Componentes APUs'!$H$1:$L$25,2,0)</f>
        <v>Profesional en SST</v>
      </c>
      <c r="C652" s="93">
        <v>0.25</v>
      </c>
      <c r="D652" s="50">
        <f>VLOOKUP(A652,'Componentes APUs'!$H$1:$L$25,3,0)</f>
        <v>2.5</v>
      </c>
      <c r="E652" s="51">
        <f>VLOOKUP(A652,'Componentes APUs'!$H$1:$L$25,4,0)</f>
        <v>169464.28571428571</v>
      </c>
      <c r="F652" s="51">
        <f>VLOOKUP(A652,'Componentes APUs'!$H$1:$L$25,5,0)</f>
        <v>101678.57142857142</v>
      </c>
      <c r="G652" s="51">
        <f>ROUNDUP((E652+F652)*C652/E640,0)</f>
        <v>339</v>
      </c>
    </row>
    <row r="653" spans="1:8" x14ac:dyDescent="0.25">
      <c r="A653" s="50" t="s">
        <v>52</v>
      </c>
      <c r="B653" s="68" t="str">
        <f>VLOOKUP(A653,'Componentes APUs'!$H$1:$L$25,2,0)</f>
        <v>Ayudante No Calificado</v>
      </c>
      <c r="C653" s="93">
        <v>2</v>
      </c>
      <c r="D653" s="50">
        <f>VLOOKUP(A653,'Componentes APUs'!$H$1:$L$25,3,0)</f>
        <v>1</v>
      </c>
      <c r="E653" s="51">
        <f>VLOOKUP(A653,'Componentes APUs'!$H$1:$L$25,4,0)</f>
        <v>77309.523809523816</v>
      </c>
      <c r="F653" s="51">
        <f>VLOOKUP(A653,'Componentes APUs'!$H$1:$L$25,5,0)</f>
        <v>46385.71428571429</v>
      </c>
      <c r="G653" s="51">
        <f>ROUNDUP((E653+F653)*C653/E640,0)</f>
        <v>1237</v>
      </c>
    </row>
    <row r="654" spans="1:8" x14ac:dyDescent="0.25">
      <c r="A654" s="219" t="s">
        <v>56</v>
      </c>
      <c r="B654" s="219"/>
      <c r="C654" s="219"/>
      <c r="D654" s="219"/>
      <c r="E654" s="219"/>
      <c r="F654" s="219"/>
      <c r="G654" s="52">
        <f>SUM(G648:G653)</f>
        <v>2813</v>
      </c>
    </row>
    <row r="655" spans="1:8" x14ac:dyDescent="0.25">
      <c r="A655" s="56"/>
      <c r="B655" s="57"/>
      <c r="C655" s="57"/>
      <c r="D655" s="57"/>
      <c r="E655" s="57"/>
      <c r="F655" s="57"/>
      <c r="G655" s="58"/>
    </row>
    <row r="656" spans="1:8" x14ac:dyDescent="0.25">
      <c r="A656" s="219" t="s">
        <v>57</v>
      </c>
      <c r="B656" s="219"/>
      <c r="C656" s="219"/>
      <c r="D656" s="219"/>
      <c r="E656" s="219"/>
      <c r="F656" s="219"/>
      <c r="G656" s="219"/>
    </row>
    <row r="657" spans="1:9" x14ac:dyDescent="0.25">
      <c r="A657" s="49" t="s">
        <v>35</v>
      </c>
      <c r="B657" s="219" t="s">
        <v>36</v>
      </c>
      <c r="C657" s="219"/>
      <c r="D657" s="49" t="s">
        <v>37</v>
      </c>
      <c r="E657" s="49" t="s">
        <v>38</v>
      </c>
      <c r="F657" s="49" t="s">
        <v>39</v>
      </c>
      <c r="G657" s="49" t="s">
        <v>40</v>
      </c>
    </row>
    <row r="658" spans="1:9" x14ac:dyDescent="0.25">
      <c r="A658" s="50" t="s">
        <v>326</v>
      </c>
      <c r="B658" s="220" t="str">
        <f>VLOOKUP(A658,'Componentes APUs'!$S$1:$V$10,2,0)</f>
        <v>Juego Llaves</v>
      </c>
      <c r="C658" s="220"/>
      <c r="D658" s="50" t="s">
        <v>18</v>
      </c>
      <c r="E658" s="50">
        <v>2</v>
      </c>
      <c r="F658" s="51">
        <f>VLOOKUP(A658,'Componentes APUs'!$S$1:$V$10,4,0)</f>
        <v>9167</v>
      </c>
      <c r="G658" s="51">
        <f>ROUNDUP(F658*((E658/21)/E640),0)</f>
        <v>5</v>
      </c>
      <c r="I658" s="91"/>
    </row>
    <row r="659" spans="1:9" x14ac:dyDescent="0.25">
      <c r="A659" s="50" t="s">
        <v>58</v>
      </c>
      <c r="B659" s="220" t="str">
        <f>VLOOKUP(A659,'Componentes APUs'!$S$1:$V$10,2,0)</f>
        <v>Manila de servicio</v>
      </c>
      <c r="C659" s="220"/>
      <c r="D659" s="50" t="s">
        <v>18</v>
      </c>
      <c r="E659" s="50">
        <v>0</v>
      </c>
      <c r="F659" s="51">
        <f>VLOOKUP(A659,'Componentes APUs'!$S$1:$V$10,4,0)</f>
        <v>2333</v>
      </c>
      <c r="G659" s="51">
        <f>ROUNDUP(F659*((E659/21)/E640),0)</f>
        <v>0</v>
      </c>
    </row>
    <row r="660" spans="1:9" x14ac:dyDescent="0.25">
      <c r="A660" s="50" t="s">
        <v>327</v>
      </c>
      <c r="B660" s="220" t="str">
        <f>VLOOKUP(A660,'Componentes APUs'!$S$1:$V$10,2,0)</f>
        <v>Tula portaherramientas</v>
      </c>
      <c r="C660" s="220"/>
      <c r="D660" s="50" t="s">
        <v>18</v>
      </c>
      <c r="E660" s="50">
        <v>0</v>
      </c>
      <c r="F660" s="51">
        <f>VLOOKUP(A660,'Componentes APUs'!$S$1:$V$10,4,0)</f>
        <v>1250</v>
      </c>
      <c r="G660" s="51">
        <f>ROUNDUP(F660*((E660/21)/E640),0)</f>
        <v>0</v>
      </c>
    </row>
    <row r="661" spans="1:9" x14ac:dyDescent="0.25">
      <c r="A661" s="50" t="s">
        <v>60</v>
      </c>
      <c r="B661" s="220" t="str">
        <f>VLOOKUP(A661,'Componentes APUs'!$S$1:$V$10,2,0)</f>
        <v>Agarradoras</v>
      </c>
      <c r="C661" s="220"/>
      <c r="D661" s="50" t="s">
        <v>18</v>
      </c>
      <c r="E661" s="50">
        <v>0</v>
      </c>
      <c r="F661" s="51">
        <f>VLOOKUP(A661,'Componentes APUs'!$S$1:$V$10,4,0)</f>
        <v>125000</v>
      </c>
      <c r="G661" s="51">
        <f>ROUNDUP(F661*((E661/21)/E640),0)</f>
        <v>0</v>
      </c>
    </row>
    <row r="662" spans="1:9" x14ac:dyDescent="0.25">
      <c r="A662" s="50" t="s">
        <v>62</v>
      </c>
      <c r="B662" s="220" t="str">
        <f>VLOOKUP(A662,'Componentes APUs'!$S$1:$V$10,2,0)</f>
        <v>Templadoras</v>
      </c>
      <c r="C662" s="220"/>
      <c r="D662" s="50" t="s">
        <v>18</v>
      </c>
      <c r="E662" s="50">
        <v>0</v>
      </c>
      <c r="F662" s="51">
        <f>VLOOKUP(A662,'Componentes APUs'!$S$1:$V$10,4,0)</f>
        <v>250000</v>
      </c>
      <c r="G662" s="51">
        <f>ROUNDUP(F662*((E662/21)/E640),0)</f>
        <v>0</v>
      </c>
    </row>
    <row r="663" spans="1:9" x14ac:dyDescent="0.25">
      <c r="A663" s="50" t="s">
        <v>328</v>
      </c>
      <c r="B663" s="220" t="str">
        <f>VLOOKUP(A663,'Componentes APUs'!$S$1:$V$10,2,0)</f>
        <v>Herramienta Menor</v>
      </c>
      <c r="C663" s="220"/>
      <c r="D663" s="50" t="s">
        <v>18</v>
      </c>
      <c r="E663" s="50">
        <v>3</v>
      </c>
      <c r="F663" s="51">
        <f>VLOOKUP(A663,'Componentes APUs'!$S$1:$V$10,4,0)</f>
        <v>75758</v>
      </c>
      <c r="G663" s="51">
        <f>ROUNDUP(F663*((E663/21)/E640),0)</f>
        <v>55</v>
      </c>
    </row>
    <row r="664" spans="1:9" x14ac:dyDescent="0.25">
      <c r="A664" s="219" t="s">
        <v>69</v>
      </c>
      <c r="B664" s="219"/>
      <c r="C664" s="219"/>
      <c r="D664" s="219"/>
      <c r="E664" s="219"/>
      <c r="F664" s="219"/>
      <c r="G664" s="52">
        <f>SUM(G658:G663)</f>
        <v>60</v>
      </c>
    </row>
    <row r="665" spans="1:9" x14ac:dyDescent="0.25">
      <c r="A665" s="56"/>
      <c r="B665" s="57"/>
      <c r="C665" s="57"/>
      <c r="D665" s="57"/>
      <c r="E665" s="57"/>
      <c r="F665" s="57"/>
      <c r="G665" s="58"/>
    </row>
    <row r="666" spans="1:9" x14ac:dyDescent="0.25">
      <c r="A666" s="219" t="s">
        <v>70</v>
      </c>
      <c r="B666" s="219"/>
      <c r="C666" s="219"/>
      <c r="D666" s="219"/>
      <c r="E666" s="219"/>
      <c r="F666" s="219"/>
      <c r="G666" s="219"/>
    </row>
    <row r="667" spans="1:9" x14ac:dyDescent="0.25">
      <c r="A667" s="49" t="s">
        <v>35</v>
      </c>
      <c r="B667" s="219" t="s">
        <v>36</v>
      </c>
      <c r="C667" s="219"/>
      <c r="D667" s="49" t="s">
        <v>37</v>
      </c>
      <c r="E667" s="49" t="s">
        <v>38</v>
      </c>
      <c r="F667" s="49" t="s">
        <v>39</v>
      </c>
      <c r="G667" s="49" t="s">
        <v>40</v>
      </c>
    </row>
    <row r="668" spans="1:9" ht="15" customHeight="1" x14ac:dyDescent="0.25">
      <c r="A668" s="50" t="s">
        <v>71</v>
      </c>
      <c r="B668" s="71" t="str">
        <f>VLOOKUP(A668,'Componentes APUs'!$A$1:$D$14,2,0)</f>
        <v>Camisa indigo sin partes metalicas</v>
      </c>
      <c r="C668" s="71"/>
      <c r="D668" s="50" t="str">
        <f>VLOOKUP(A668,'Componentes APUs'!$A$1:$D$14,3,0)</f>
        <v>U</v>
      </c>
      <c r="E668" s="50">
        <f>SUM(C648:C653)</f>
        <v>3.25</v>
      </c>
      <c r="F668" s="51">
        <f>VLOOKUP(A668,'Componentes APUs'!$A$1:$D$14,4,0)</f>
        <v>8585.8585858585866</v>
      </c>
      <c r="G668" s="51">
        <f>ROUNDUP(F668*(E668/21)/E640,0)</f>
        <v>7</v>
      </c>
      <c r="I668" s="91"/>
    </row>
    <row r="669" spans="1:9" x14ac:dyDescent="0.25">
      <c r="A669" s="69" t="s">
        <v>73</v>
      </c>
      <c r="B669" s="72" t="str">
        <f>VLOOKUP(A669,'Componentes APUs'!$A$1:$D$14,2,0)</f>
        <v>Bota de seguridad dielectrica</v>
      </c>
      <c r="C669" s="73"/>
      <c r="D669" s="70" t="str">
        <f>VLOOKUP(A669,'Componentes APUs'!$A$1:$D$14,3,0)</f>
        <v>Par</v>
      </c>
      <c r="E669" s="50">
        <f>SUM(C648:C653)</f>
        <v>3.25</v>
      </c>
      <c r="F669" s="51">
        <f>VLOOKUP(A669,'Componentes APUs'!$A$1:$D$14,4,0)</f>
        <v>7500</v>
      </c>
      <c r="G669" s="51">
        <f>ROUNDUP(F669*(E669/21)/E640,0)</f>
        <v>6</v>
      </c>
    </row>
    <row r="670" spans="1:9" ht="15" customHeight="1" x14ac:dyDescent="0.25">
      <c r="A670" s="50" t="s">
        <v>76</v>
      </c>
      <c r="B670" s="72" t="str">
        <f>VLOOKUP(A670,'Componentes APUs'!$A$1:$D$14,2,0)</f>
        <v>Casco dielectrico Tipo 1 Clase E con barbuquejo</v>
      </c>
      <c r="C670" s="73"/>
      <c r="D670" s="50" t="str">
        <f>VLOOKUP(A670,'Componentes APUs'!$A$1:$D$14,3,0)</f>
        <v>U</v>
      </c>
      <c r="E670" s="50">
        <f>C648+C649+C651+C652+C653+IF(A650&lt;&gt;"MO-3",C650,0)</f>
        <v>3.25</v>
      </c>
      <c r="F670" s="51">
        <f>VLOOKUP(A670,'Componentes APUs'!$A$1:$D$14,4,0)</f>
        <v>10101.010101010101</v>
      </c>
      <c r="G670" s="51">
        <f>ROUNDUP(F670*(E670/21)/E640,0)</f>
        <v>8</v>
      </c>
    </row>
    <row r="671" spans="1:9" x14ac:dyDescent="0.25">
      <c r="A671" s="69" t="s">
        <v>77</v>
      </c>
      <c r="B671" s="72" t="str">
        <f>VLOOKUP(A671,'Componentes APUs'!$A$1:$D$14,2,0)</f>
        <v>Correa plastica y antiflama</v>
      </c>
      <c r="C671" s="73"/>
      <c r="D671" s="50" t="str">
        <f>VLOOKUP(A671,'Componentes APUs'!$A$1:$D$14,3,0)</f>
        <v>U</v>
      </c>
      <c r="E671" s="50">
        <f>SUM(C648:C653)</f>
        <v>3.25</v>
      </c>
      <c r="F671" s="51">
        <f>VLOOKUP(A671,'Componentes APUs'!$A$1:$D$14,4,0)</f>
        <v>3787.878787878788</v>
      </c>
      <c r="G671" s="51">
        <f>ROUNDUP(F671*(E671/21)/E640,0)</f>
        <v>3</v>
      </c>
    </row>
    <row r="672" spans="1:9" x14ac:dyDescent="0.25">
      <c r="A672" s="50" t="s">
        <v>79</v>
      </c>
      <c r="B672" s="72" t="str">
        <f>VLOOKUP(A672,'Componentes APUs'!$A$1:$D$14,2,0)</f>
        <v>Gafas protectoras filtro UV</v>
      </c>
      <c r="C672" s="73"/>
      <c r="D672" s="50" t="str">
        <f>VLOOKUP(A672,'Componentes APUs'!$A$1:$D$14,3,0)</f>
        <v>U</v>
      </c>
      <c r="E672" s="50">
        <f>SUM(C648:C653)</f>
        <v>3.25</v>
      </c>
      <c r="F672" s="51">
        <f>VLOOKUP(A672,'Componentes APUs'!$A$1:$D$14,4,0)</f>
        <v>2777.7777777777778</v>
      </c>
      <c r="G672" s="51">
        <f>ROUNDUP(F672*(E672/21)/E640,0)</f>
        <v>3</v>
      </c>
    </row>
    <row r="673" spans="1:7" ht="15" customHeight="1" x14ac:dyDescent="0.25">
      <c r="A673" s="69" t="s">
        <v>402</v>
      </c>
      <c r="B673" s="72" t="str">
        <f>VLOOKUP(A673,'Componentes APUs'!$A$1:$D$14,2,0)</f>
        <v>Bota de seguridad PVC dielectrica</v>
      </c>
      <c r="C673" s="73"/>
      <c r="D673" s="50" t="str">
        <f>VLOOKUP(A673,'Componentes APUs'!$A$1:$D$14,3,0)</f>
        <v>Par</v>
      </c>
      <c r="E673" s="50">
        <f>SUM(C648:C653)</f>
        <v>3.25</v>
      </c>
      <c r="F673" s="51">
        <f>VLOOKUP(A673,'Componentes APUs'!$A$1:$D$14,4,0)</f>
        <v>2916.6666666666665</v>
      </c>
      <c r="G673" s="51">
        <f>ROUNDUP(F673*(E673/21)/E640,0)</f>
        <v>3</v>
      </c>
    </row>
    <row r="674" spans="1:7" x14ac:dyDescent="0.25">
      <c r="A674" s="50" t="s">
        <v>403</v>
      </c>
      <c r="B674" s="72" t="str">
        <f>VLOOKUP(A674,'Componentes APUs'!$A$1:$D$14,2,0)</f>
        <v>Capuchon</v>
      </c>
      <c r="C674" s="73"/>
      <c r="D674" s="50" t="str">
        <f>VLOOKUP(A674,'Componentes APUs'!$A$1:$D$14,3,0)</f>
        <v>U</v>
      </c>
      <c r="E674" s="50">
        <f>SUM(C648:C653)</f>
        <v>3.25</v>
      </c>
      <c r="F674" s="51">
        <f>VLOOKUP(A674,'Componentes APUs'!$A$1:$D$14,4,0)</f>
        <v>2525.2525252525252</v>
      </c>
      <c r="G674" s="51">
        <f>ROUNDUP(F674*(E674/21)/E640,0)</f>
        <v>2</v>
      </c>
    </row>
    <row r="675" spans="1:7" ht="15" customHeight="1" x14ac:dyDescent="0.25">
      <c r="A675" s="69" t="s">
        <v>81</v>
      </c>
      <c r="B675" s="72" t="str">
        <f>VLOOKUP(A675,'Componentes APUs'!$A$1:$D$14,2,0)</f>
        <v>Guantes Protectores  - ingeniero reforzados</v>
      </c>
      <c r="C675" s="73"/>
      <c r="D675" s="50" t="str">
        <f>VLOOKUP(A675,'Componentes APUs'!$A$1:$D$14,3,0)</f>
        <v>Par</v>
      </c>
      <c r="E675" s="50">
        <f>C650+C651+C653</f>
        <v>3</v>
      </c>
      <c r="F675" s="51">
        <f>VLOOKUP(A675,'Componentes APUs'!$A$1:$D$14,4,0)</f>
        <v>2525.2525252525252</v>
      </c>
      <c r="G675" s="51">
        <f>ROUNDUP(F675*(E675/21)/E640,0)</f>
        <v>2</v>
      </c>
    </row>
    <row r="676" spans="1:7" x14ac:dyDescent="0.25">
      <c r="A676" s="50" t="s">
        <v>83</v>
      </c>
      <c r="B676" s="72" t="str">
        <f>VLOOKUP(A676,'Componentes APUs'!$A$1:$D$14,2,0)</f>
        <v>Impermeable (pantalon camisa)</v>
      </c>
      <c r="C676" s="73"/>
      <c r="D676" s="50" t="str">
        <f>VLOOKUP(A676,'Componentes APUs'!$A$1:$D$14,3,0)</f>
        <v>U</v>
      </c>
      <c r="E676" s="50">
        <f>SUM(C648:C653)</f>
        <v>3.25</v>
      </c>
      <c r="F676" s="51">
        <f>VLOOKUP(A676,'Componentes APUs'!$A$1:$D$14,4,0)</f>
        <v>3750</v>
      </c>
      <c r="G676" s="51">
        <f>ROUNDUP(F676*(E676/21)/E640,0)</f>
        <v>3</v>
      </c>
    </row>
    <row r="677" spans="1:7" x14ac:dyDescent="0.25">
      <c r="A677" s="69" t="s">
        <v>85</v>
      </c>
      <c r="B677" s="72" t="str">
        <f>VLOOKUP(A677,'Componentes APUs'!$A$1:$D$14,2,0)</f>
        <v>Jean Dielectrico</v>
      </c>
      <c r="C677" s="73"/>
      <c r="D677" s="50" t="str">
        <f>VLOOKUP(A677,'Componentes APUs'!$A$1:$D$14,3,0)</f>
        <v>U</v>
      </c>
      <c r="E677" s="50">
        <f>SUM(C648:C653)</f>
        <v>3.25</v>
      </c>
      <c r="F677" s="51">
        <f>VLOOKUP(A677,'Componentes APUs'!$A$1:$D$14,4,0)</f>
        <v>7575.757575757576</v>
      </c>
      <c r="G677" s="51">
        <f>ROUNDUP(F677*(E677/21)/E640,0)</f>
        <v>6</v>
      </c>
    </row>
    <row r="678" spans="1:7" ht="15" customHeight="1" x14ac:dyDescent="0.25">
      <c r="A678" s="50" t="s">
        <v>87</v>
      </c>
      <c r="B678" s="72" t="str">
        <f>VLOOKUP(A678,'Componentes APUs'!$A$1:$D$14,2,0)</f>
        <v>Casco dielectrico Tipo 2 Clase E con barboquejo</v>
      </c>
      <c r="C678" s="73"/>
      <c r="D678" s="50" t="str">
        <f>VLOOKUP(A678,'Componentes APUs'!$A$1:$D$14,3,0)</f>
        <v>U</v>
      </c>
      <c r="E678" s="53">
        <f>IF(A650="MO-3",C650,0)</f>
        <v>0</v>
      </c>
      <c r="F678" s="51">
        <f>VLOOKUP(A678,'Componentes APUs'!$A$1:$D$14,4,0)</f>
        <v>7500</v>
      </c>
      <c r="G678" s="51">
        <f>ROUNDUP(F678*(E678/21)/E640,0)</f>
        <v>0</v>
      </c>
    </row>
    <row r="679" spans="1:7" ht="15" customHeight="1" x14ac:dyDescent="0.25">
      <c r="A679" s="69" t="s">
        <v>89</v>
      </c>
      <c r="B679" s="72" t="str">
        <f>VLOOKUP(A679,'Componentes APUs'!$A$1:$D$14,2,0)</f>
        <v>Kit de rescate para trabajo en alturas</v>
      </c>
      <c r="C679" s="73"/>
      <c r="D679" s="50" t="str">
        <f>VLOOKUP(A679,'Componentes APUs'!$A$1:$D$14,3,0)</f>
        <v>U</v>
      </c>
      <c r="E679" s="50">
        <f>IF(AND(A650="MO-3",C650=2),1,0)</f>
        <v>0</v>
      </c>
      <c r="F679" s="51">
        <f>VLOOKUP(A679,'Componentes APUs'!$A$1:$D$14,4,0)</f>
        <v>37500</v>
      </c>
      <c r="G679" s="51">
        <f>ROUNDUP(F679*(E679/21)/E640,0)</f>
        <v>0</v>
      </c>
    </row>
    <row r="680" spans="1:7" x14ac:dyDescent="0.25">
      <c r="A680" s="50" t="s">
        <v>91</v>
      </c>
      <c r="B680" s="72" t="str">
        <f>VLOOKUP(A680,'Componentes APUs'!$A$1:$D$14,2,0)</f>
        <v>Equipo completo para trabajo en alturas con pretales (Arnes dielectrico, 1 mosqueton de seguridad, tie off dielectrico, eslinga de posicionamiento, juego de pretales)</v>
      </c>
      <c r="C680" s="73"/>
      <c r="D680" s="50" t="str">
        <f>VLOOKUP(A680,'Componentes APUs'!$A$1:$D$14,3,0)</f>
        <v>U</v>
      </c>
      <c r="E680" s="50">
        <f>IF(A650="MO-3",C650,0)</f>
        <v>0</v>
      </c>
      <c r="F680" s="51">
        <f>VLOOKUP(A680,'Componentes APUs'!$A$1:$D$14,4,0)</f>
        <v>26041.666666666668</v>
      </c>
      <c r="G680" s="51">
        <f>ROUNDUP(F680*(E680/21)/E640,0)</f>
        <v>0</v>
      </c>
    </row>
    <row r="681" spans="1:7" x14ac:dyDescent="0.25">
      <c r="A681" s="219" t="s">
        <v>95</v>
      </c>
      <c r="B681" s="219"/>
      <c r="C681" s="219"/>
      <c r="D681" s="219"/>
      <c r="E681" s="219"/>
      <c r="F681" s="219"/>
      <c r="G681" s="52">
        <f>SUM(G668:G680)</f>
        <v>43</v>
      </c>
    </row>
    <row r="682" spans="1:7" x14ac:dyDescent="0.25">
      <c r="A682" s="56"/>
      <c r="B682" s="57"/>
      <c r="C682" s="57"/>
      <c r="D682" s="57"/>
      <c r="E682" s="57"/>
      <c r="F682" s="57"/>
      <c r="G682" s="58"/>
    </row>
    <row r="683" spans="1:7" x14ac:dyDescent="0.25">
      <c r="A683" s="219" t="s">
        <v>96</v>
      </c>
      <c r="B683" s="219"/>
      <c r="C683" s="219"/>
      <c r="D683" s="219"/>
      <c r="E683" s="219"/>
      <c r="F683" s="219"/>
      <c r="G683" s="219"/>
    </row>
    <row r="684" spans="1:7" x14ac:dyDescent="0.25">
      <c r="A684" s="49" t="s">
        <v>35</v>
      </c>
      <c r="B684" s="225" t="s">
        <v>36</v>
      </c>
      <c r="C684" s="225"/>
      <c r="D684" s="49" t="s">
        <v>37</v>
      </c>
      <c r="E684" s="49" t="s">
        <v>38</v>
      </c>
      <c r="F684" s="49" t="s">
        <v>39</v>
      </c>
      <c r="G684" s="49" t="s">
        <v>40</v>
      </c>
    </row>
    <row r="685" spans="1:7" x14ac:dyDescent="0.25">
      <c r="A685" s="69" t="s">
        <v>97</v>
      </c>
      <c r="B685" s="72" t="str">
        <f>VLOOKUP(A685,'Componentes APUs'!$N$1:$Q$30,2,0)</f>
        <v>Camioneta</v>
      </c>
      <c r="C685" s="73"/>
      <c r="D685" s="70" t="str">
        <f>VLOOKUP(A685,'Componentes APUs'!$N$1:$Q$30,3,0)</f>
        <v>U</v>
      </c>
      <c r="E685" s="50">
        <v>1</v>
      </c>
      <c r="F685" s="51">
        <f>VLOOKUP(A685,'Componentes APUs'!$N$1:$Q$30,4,0)</f>
        <v>5500000</v>
      </c>
      <c r="G685" s="51">
        <f>IFERROR(ROUNDUP(F685*(E685/21)/E640,0),"-")</f>
        <v>1310</v>
      </c>
    </row>
    <row r="686" spans="1:7" x14ac:dyDescent="0.25">
      <c r="A686" s="50" t="s">
        <v>321</v>
      </c>
      <c r="B686" s="72" t="str">
        <f>VLOOKUP(A686,'Componentes APUs'!$N$1:$Q$30,2,0)</f>
        <v>Grúa Hidráulica</v>
      </c>
      <c r="C686" s="73"/>
      <c r="D686" s="70" t="str">
        <f>VLOOKUP(A686,'Componentes APUs'!$N$1:$Q$30,3,0)</f>
        <v>U</v>
      </c>
      <c r="E686" s="50">
        <v>0</v>
      </c>
      <c r="F686" s="51">
        <f>VLOOKUP(A686,'Componentes APUs'!$N$1:$Q$30,4,0)</f>
        <v>21000000</v>
      </c>
      <c r="G686" s="51">
        <f>IFERROR(ROUNDUP(F686*(E686/21)/E640,0),"-")</f>
        <v>0</v>
      </c>
    </row>
    <row r="687" spans="1:7" x14ac:dyDescent="0.25">
      <c r="A687" s="69" t="s">
        <v>322</v>
      </c>
      <c r="B687" s="72" t="str">
        <f>VLOOKUP(A687,'Componentes APUs'!$N$1:$Q$30,2,0)</f>
        <v>Camabaja</v>
      </c>
      <c r="C687" s="73"/>
      <c r="D687" s="70" t="str">
        <f>VLOOKUP(A687,'Componentes APUs'!$N$1:$Q$30,3,0)</f>
        <v>TON/KM</v>
      </c>
      <c r="E687" s="50">
        <v>0</v>
      </c>
      <c r="F687" s="51">
        <f>VLOOKUP(A687,'Componentes APUs'!$N$1:$Q$30,4,0)</f>
        <v>611</v>
      </c>
      <c r="G687" s="51">
        <f>IFERROR(ROUNDUP(F687*(E687/21)/E640,0),"-")</f>
        <v>0</v>
      </c>
    </row>
    <row r="688" spans="1:7" x14ac:dyDescent="0.25">
      <c r="A688" s="50" t="s">
        <v>323</v>
      </c>
      <c r="B688" s="72" t="str">
        <f>VLOOKUP(A688,'Componentes APUs'!$N$1:$Q$30,2,0)</f>
        <v>Volqueta</v>
      </c>
      <c r="C688" s="73"/>
      <c r="D688" s="70" t="str">
        <f>VLOOKUP(A688,'Componentes APUs'!$N$1:$Q$30,3,0)</f>
        <v>U</v>
      </c>
      <c r="E688" s="50">
        <v>0</v>
      </c>
      <c r="F688" s="51">
        <f>VLOOKUP(A688,'Componentes APUs'!$N$1:$Q$30,4,0)</f>
        <v>14828184</v>
      </c>
      <c r="G688" s="51">
        <f>IFERROR(ROUNDUP(F688*(E688/21)/E640,0),"-")</f>
        <v>0</v>
      </c>
    </row>
    <row r="689" spans="1:8" x14ac:dyDescent="0.25">
      <c r="A689" s="69" t="s">
        <v>324</v>
      </c>
      <c r="B689" s="72" t="str">
        <f>VLOOKUP(A689,'Componentes APUs'!$N$1:$Q$30,2,0)</f>
        <v>Retroexcavadora</v>
      </c>
      <c r="C689" s="73"/>
      <c r="D689" s="70" t="str">
        <f>VLOOKUP(A689,'Componentes APUs'!$N$1:$Q$30,3,0)</f>
        <v>U</v>
      </c>
      <c r="E689" s="50">
        <v>0</v>
      </c>
      <c r="F689" s="51">
        <f>VLOOKUP(A689,'Componentes APUs'!$N$1:$Q$30,4,0)</f>
        <v>46030656</v>
      </c>
      <c r="G689" s="51">
        <f>IFERROR(ROUNDUP(F689*(E689/21)/E640,0),"-")</f>
        <v>0</v>
      </c>
    </row>
    <row r="690" spans="1:8" x14ac:dyDescent="0.25">
      <c r="A690" s="219" t="s">
        <v>99</v>
      </c>
      <c r="B690" s="219"/>
      <c r="C690" s="219"/>
      <c r="D690" s="219"/>
      <c r="E690" s="219"/>
      <c r="F690" s="219"/>
      <c r="G690" s="52">
        <f>SUM(G685:G689)</f>
        <v>1310</v>
      </c>
    </row>
    <row r="691" spans="1:8" x14ac:dyDescent="0.25">
      <c r="A691" s="56"/>
      <c r="B691" s="57"/>
      <c r="C691" s="57"/>
      <c r="D691" s="57"/>
      <c r="E691" s="57"/>
      <c r="F691" s="57"/>
      <c r="G691" s="58"/>
    </row>
    <row r="692" spans="1:8" x14ac:dyDescent="0.25">
      <c r="A692" s="219" t="s">
        <v>1516</v>
      </c>
      <c r="B692" s="219"/>
      <c r="C692" s="219"/>
      <c r="D692" s="219"/>
      <c r="E692" s="219"/>
      <c r="F692" s="219"/>
      <c r="G692" s="52">
        <f>G690+G681+G664+G654+G644</f>
        <v>4226</v>
      </c>
    </row>
    <row r="693" spans="1:8" x14ac:dyDescent="0.25">
      <c r="A693" s="59"/>
      <c r="B693" s="60"/>
      <c r="C693" s="60"/>
      <c r="D693" s="60"/>
      <c r="E693" s="57"/>
      <c r="F693" s="57"/>
      <c r="G693" s="58"/>
    </row>
    <row r="694" spans="1:8" x14ac:dyDescent="0.25">
      <c r="A694" s="64"/>
      <c r="D694" s="55"/>
      <c r="E694" s="49" t="s">
        <v>25</v>
      </c>
      <c r="F694" s="54">
        <v>0.15</v>
      </c>
      <c r="G694" s="51">
        <f>G692*F694</f>
        <v>633.9</v>
      </c>
    </row>
    <row r="695" spans="1:8" x14ac:dyDescent="0.25">
      <c r="A695" s="64"/>
      <c r="D695" s="55"/>
      <c r="E695" s="49" t="s">
        <v>26</v>
      </c>
      <c r="F695" s="54">
        <v>0.05</v>
      </c>
      <c r="G695" s="51">
        <f>G692*F695</f>
        <v>211.3</v>
      </c>
    </row>
    <row r="696" spans="1:8" x14ac:dyDescent="0.25">
      <c r="A696" s="61"/>
      <c r="B696" s="65"/>
      <c r="C696" s="65"/>
      <c r="D696" s="62"/>
      <c r="E696" s="49" t="s">
        <v>27</v>
      </c>
      <c r="F696" s="54">
        <v>0.05</v>
      </c>
      <c r="G696" s="51">
        <f>G692*F696</f>
        <v>211.3</v>
      </c>
    </row>
    <row r="697" spans="1:8" x14ac:dyDescent="0.25">
      <c r="A697" s="61"/>
      <c r="B697" s="62"/>
      <c r="C697" s="62"/>
      <c r="D697" s="62"/>
      <c r="E697" s="62"/>
      <c r="F697" s="62"/>
      <c r="G697" s="63"/>
    </row>
    <row r="698" spans="1:8" x14ac:dyDescent="0.25">
      <c r="A698" s="219" t="s">
        <v>1517</v>
      </c>
      <c r="B698" s="219"/>
      <c r="C698" s="219"/>
      <c r="D698" s="219"/>
      <c r="E698" s="219"/>
      <c r="F698" s="219"/>
      <c r="G698" s="52">
        <f>G692+G694+G695+G696</f>
        <v>5282.5</v>
      </c>
    </row>
    <row r="699" spans="1:8" x14ac:dyDescent="0.25">
      <c r="A699" s="59"/>
      <c r="B699" s="60"/>
      <c r="C699" s="60"/>
      <c r="D699" s="60"/>
      <c r="E699" s="57"/>
      <c r="F699" s="57"/>
      <c r="G699" s="58"/>
    </row>
    <row r="700" spans="1:8" x14ac:dyDescent="0.25">
      <c r="A700" s="64"/>
      <c r="D700" s="55"/>
      <c r="E700" s="49" t="s">
        <v>102</v>
      </c>
      <c r="F700" s="49" t="s">
        <v>103</v>
      </c>
      <c r="G700" s="51">
        <f>G696*19%</f>
        <v>40.147000000000006</v>
      </c>
    </row>
    <row r="701" spans="1:8" x14ac:dyDescent="0.25">
      <c r="A701" s="61"/>
      <c r="B701" s="62"/>
      <c r="C701" s="62"/>
      <c r="D701" s="62"/>
      <c r="E701" s="57"/>
      <c r="F701" s="57"/>
      <c r="G701" s="58"/>
    </row>
    <row r="702" spans="1:8" x14ac:dyDescent="0.25">
      <c r="A702" s="219" t="s">
        <v>104</v>
      </c>
      <c r="B702" s="219"/>
      <c r="C702" s="219"/>
      <c r="D702" s="219"/>
      <c r="E702" s="219"/>
      <c r="F702" s="219"/>
      <c r="G702" s="52">
        <f>G700+G698</f>
        <v>5322.6469999999999</v>
      </c>
    </row>
    <row r="704" spans="1:8" x14ac:dyDescent="0.25">
      <c r="A704" s="74" t="s">
        <v>29</v>
      </c>
      <c r="B704" s="226" t="s">
        <v>30</v>
      </c>
      <c r="C704" s="226"/>
      <c r="D704" s="74" t="s">
        <v>31</v>
      </c>
      <c r="E704" s="74" t="s">
        <v>32</v>
      </c>
      <c r="F704" s="74" t="s">
        <v>189</v>
      </c>
      <c r="G704" s="74" t="s">
        <v>33</v>
      </c>
      <c r="H704" s="105"/>
    </row>
    <row r="705" spans="1:9" ht="29.25" customHeight="1" x14ac:dyDescent="0.25">
      <c r="A705" s="50" t="str">
        <f>Presupuesto!B17</f>
        <v>011_OC</v>
      </c>
      <c r="B705" s="229" t="str">
        <f>Presupuesto!C17</f>
        <v>EXCAVACIÓN MECANICA EN MATERIAL COMUN (INCLUYE CORTE Y CARGUE)</v>
      </c>
      <c r="C705" s="230"/>
      <c r="D705" s="50" t="s">
        <v>114</v>
      </c>
      <c r="E705" s="102">
        <v>75</v>
      </c>
      <c r="F705" s="50"/>
      <c r="G705" s="51">
        <f>G770</f>
        <v>52006.014500000005</v>
      </c>
      <c r="H705" s="45"/>
    </row>
    <row r="706" spans="1:9" x14ac:dyDescent="0.25">
      <c r="A706" s="219" t="s">
        <v>34</v>
      </c>
      <c r="B706" s="219"/>
      <c r="C706" s="219"/>
      <c r="D706" s="219"/>
      <c r="E706" s="219"/>
      <c r="F706" s="219"/>
      <c r="G706" s="219"/>
    </row>
    <row r="707" spans="1:9" x14ac:dyDescent="0.25">
      <c r="A707" s="49" t="s">
        <v>35</v>
      </c>
      <c r="B707" s="219" t="s">
        <v>36</v>
      </c>
      <c r="C707" s="219"/>
      <c r="D707" s="49" t="s">
        <v>37</v>
      </c>
      <c r="E707" s="49" t="s">
        <v>38</v>
      </c>
      <c r="F707" s="49" t="s">
        <v>39</v>
      </c>
      <c r="G707" s="49" t="s">
        <v>40</v>
      </c>
    </row>
    <row r="708" spans="1:9" x14ac:dyDescent="0.25">
      <c r="A708" s="50"/>
      <c r="B708" s="72" t="str">
        <f>IFERROR(VLOOKUP(A708,Material!$A:$H,2,0),"-")</f>
        <v>-</v>
      </c>
      <c r="C708" s="76"/>
      <c r="D708" s="50" t="str">
        <f>IFERROR(VLOOKUP(A708,Material!$A:$H,4,0),"-")</f>
        <v>-</v>
      </c>
      <c r="E708" s="50"/>
      <c r="F708" s="51" t="str">
        <f>IFERROR(VLOOKUP(A708,Material!$A:$H,3,0),"-")</f>
        <v>-</v>
      </c>
      <c r="G708" s="51" t="str">
        <f>IFERROR(ROUNDUP(F708*E708,0),"-")</f>
        <v>-</v>
      </c>
    </row>
    <row r="709" spans="1:9" x14ac:dyDescent="0.25">
      <c r="A709" s="50"/>
      <c r="B709" s="72" t="str">
        <f>IFERROR(VLOOKUP(A709,Material!$A:$H,2,0),"-")</f>
        <v>-</v>
      </c>
      <c r="C709" s="76"/>
      <c r="D709" s="50" t="str">
        <f>IFERROR(VLOOKUP(A709,Material!$A:$H,4,0),"-")</f>
        <v>-</v>
      </c>
      <c r="E709" s="50"/>
      <c r="F709" s="51" t="str">
        <f>IFERROR(VLOOKUP(A709,Material!$A:$H,3,0),"-")</f>
        <v>-</v>
      </c>
      <c r="G709" s="51" t="str">
        <f>IFERROR(ROUNDUP(F709*E709,0),"-")</f>
        <v>-</v>
      </c>
    </row>
    <row r="710" spans="1:9" x14ac:dyDescent="0.25">
      <c r="A710" s="50"/>
      <c r="B710" s="72"/>
      <c r="C710" s="76"/>
      <c r="D710" s="50"/>
      <c r="E710" s="50"/>
      <c r="F710" s="51"/>
      <c r="G710" s="51"/>
    </row>
    <row r="711" spans="1:9" x14ac:dyDescent="0.25">
      <c r="A711" s="50"/>
      <c r="B711" s="72"/>
      <c r="C711" s="76"/>
      <c r="D711" s="50"/>
      <c r="E711" s="50"/>
      <c r="F711" s="51"/>
      <c r="G711" s="51"/>
      <c r="H711" s="92"/>
    </row>
    <row r="712" spans="1:9" x14ac:dyDescent="0.25">
      <c r="A712" s="219" t="s">
        <v>41</v>
      </c>
      <c r="B712" s="219"/>
      <c r="C712" s="219"/>
      <c r="D712" s="219"/>
      <c r="E712" s="219"/>
      <c r="F712" s="219"/>
      <c r="G712" s="52">
        <f>SUM(G708:G711)</f>
        <v>0</v>
      </c>
      <c r="I712" s="104"/>
    </row>
    <row r="713" spans="1:9" x14ac:dyDescent="0.25">
      <c r="A713" s="56"/>
      <c r="B713" s="57"/>
      <c r="C713" s="57"/>
      <c r="D713" s="57"/>
      <c r="E713" s="57"/>
      <c r="F713" s="57"/>
      <c r="G713" s="58"/>
    </row>
    <row r="714" spans="1:9" x14ac:dyDescent="0.25">
      <c r="A714" s="219" t="s">
        <v>42</v>
      </c>
      <c r="B714" s="219"/>
      <c r="C714" s="219"/>
      <c r="D714" s="219"/>
      <c r="E714" s="219"/>
      <c r="F714" s="219"/>
      <c r="G714" s="219"/>
    </row>
    <row r="715" spans="1:9" x14ac:dyDescent="0.25">
      <c r="A715" s="49" t="s">
        <v>35</v>
      </c>
      <c r="B715" s="49" t="s">
        <v>36</v>
      </c>
      <c r="C715" s="49" t="s">
        <v>38</v>
      </c>
      <c r="D715" s="49" t="s">
        <v>43</v>
      </c>
      <c r="E715" s="49" t="s">
        <v>44</v>
      </c>
      <c r="F715" s="49" t="s">
        <v>45</v>
      </c>
      <c r="G715" s="49" t="s">
        <v>40</v>
      </c>
    </row>
    <row r="716" spans="1:9" x14ac:dyDescent="0.25">
      <c r="A716" s="50" t="s">
        <v>319</v>
      </c>
      <c r="B716" s="68" t="str">
        <f>VLOOKUP(A716,'Componentes APUs'!$H$1:$L$25,2,0)</f>
        <v>Ingeniero Residente de Obra</v>
      </c>
      <c r="C716" s="93">
        <v>0</v>
      </c>
      <c r="D716" s="50">
        <f>VLOOKUP(A716,'Componentes APUs'!$H$1:$L$25,3,0)</f>
        <v>4</v>
      </c>
      <c r="E716" s="51">
        <f>VLOOKUP(A716,'Componentes APUs'!$H$1:$L$25,4,0)</f>
        <v>271142.85714285716</v>
      </c>
      <c r="F716" s="51">
        <f>VLOOKUP(A716,'Componentes APUs'!$H$1:$L$25,5,0)</f>
        <v>162685.71428571429</v>
      </c>
      <c r="G716" s="51">
        <f>ROUNDUP((E716+F716)*C716/E705,0)</f>
        <v>0</v>
      </c>
      <c r="H716" s="66"/>
    </row>
    <row r="717" spans="1:9" x14ac:dyDescent="0.25">
      <c r="A717" s="50" t="s">
        <v>320</v>
      </c>
      <c r="B717" s="68" t="str">
        <f>VLOOKUP(A717,'Componentes APUs'!$H$1:$L$25,2,0)</f>
        <v>Tecnico Supervisor</v>
      </c>
      <c r="C717" s="93">
        <v>0</v>
      </c>
      <c r="D717" s="50">
        <f>VLOOKUP(A717,'Componentes APUs'!$H$1:$L$25,3,0)</f>
        <v>2.2999999999999998</v>
      </c>
      <c r="E717" s="51">
        <f>VLOOKUP(A717,'Componentes APUs'!$H$1:$L$25,4,0)</f>
        <v>155907.14285714284</v>
      </c>
      <c r="F717" s="51">
        <f>VLOOKUP(A717,'Componentes APUs'!$H$1:$L$25,5,0)</f>
        <v>93544.285714285696</v>
      </c>
      <c r="G717" s="51">
        <f>ROUNDUP((E717+F717)*C717/E705,0)</f>
        <v>0</v>
      </c>
    </row>
    <row r="718" spans="1:9" x14ac:dyDescent="0.25">
      <c r="A718" s="50" t="s">
        <v>54</v>
      </c>
      <c r="B718" s="68" t="str">
        <f>VLOOKUP(A718,'Componentes APUs'!$H$1:$L$25,2,0)</f>
        <v>Maestro de obra civil</v>
      </c>
      <c r="C718" s="93">
        <v>0</v>
      </c>
      <c r="D718" s="50">
        <f>VLOOKUP(A718,'Componentes APUs'!$H$1:$L$25,3,0)</f>
        <v>2.5</v>
      </c>
      <c r="E718" s="51">
        <f>VLOOKUP(A718,'Componentes APUs'!$H$1:$L$25,4,0)</f>
        <v>169464.28571428571</v>
      </c>
      <c r="F718" s="51">
        <f>VLOOKUP(A718,'Componentes APUs'!$H$1:$L$25,5,0)</f>
        <v>101678.57142857142</v>
      </c>
      <c r="G718" s="51">
        <f>ROUNDUP((E718+F718)*C718/E705,0)</f>
        <v>0</v>
      </c>
    </row>
    <row r="719" spans="1:9" x14ac:dyDescent="0.25">
      <c r="A719" s="50" t="s">
        <v>1110</v>
      </c>
      <c r="B719" s="68" t="str">
        <f>VLOOKUP(A719,'Componentes APUs'!$H$1:$L$25,2,0)</f>
        <v>Oficial de Obra Civil</v>
      </c>
      <c r="C719" s="93">
        <v>0</v>
      </c>
      <c r="D719" s="50">
        <f>VLOOKUP(A719,'Componentes APUs'!$H$1:$L$25,3,0)</f>
        <v>1.5</v>
      </c>
      <c r="E719" s="51">
        <f>VLOOKUP(A719,'Componentes APUs'!$H$1:$L$25,4,0)</f>
        <v>115964.28571428571</v>
      </c>
      <c r="F719" s="51">
        <f>VLOOKUP(A719,'Componentes APUs'!$H$1:$L$25,5,0)</f>
        <v>69578.57142857142</v>
      </c>
      <c r="G719" s="51">
        <f>ROUNDUP((E719+F719)*C719/E705,0)</f>
        <v>0</v>
      </c>
    </row>
    <row r="720" spans="1:9" x14ac:dyDescent="0.25">
      <c r="A720" s="50" t="s">
        <v>50</v>
      </c>
      <c r="B720" s="68" t="str">
        <f>VLOOKUP(A720,'Componentes APUs'!$H$1:$L$25,2,0)</f>
        <v>Profesional en SST</v>
      </c>
      <c r="C720" s="93">
        <v>0.25</v>
      </c>
      <c r="D720" s="50">
        <f>VLOOKUP(A720,'Componentes APUs'!$H$1:$L$25,3,0)</f>
        <v>2.5</v>
      </c>
      <c r="E720" s="51">
        <f>VLOOKUP(A720,'Componentes APUs'!$H$1:$L$25,4,0)</f>
        <v>169464.28571428571</v>
      </c>
      <c r="F720" s="51">
        <f>VLOOKUP(A720,'Componentes APUs'!$H$1:$L$25,5,0)</f>
        <v>101678.57142857142</v>
      </c>
      <c r="G720" s="51">
        <f>ROUNDUP((E720+F720)*C720/E705,0)</f>
        <v>904</v>
      </c>
    </row>
    <row r="721" spans="1:9" x14ac:dyDescent="0.25">
      <c r="A721" s="50" t="s">
        <v>1109</v>
      </c>
      <c r="B721" s="68" t="str">
        <f>VLOOKUP(A721,'Componentes APUs'!$H$1:$L$25,2,0)</f>
        <v>Ayudante de Obra Civil</v>
      </c>
      <c r="C721" s="93">
        <v>1</v>
      </c>
      <c r="D721" s="50">
        <f>VLOOKUP(A721,'Componentes APUs'!$H$1:$L$25,3,0)</f>
        <v>1</v>
      </c>
      <c r="E721" s="51">
        <f>VLOOKUP(A721,'Componentes APUs'!$H$1:$L$25,4,0)</f>
        <v>77309.523809523816</v>
      </c>
      <c r="F721" s="51">
        <f>VLOOKUP(A721,'Componentes APUs'!$H$1:$L$25,5,0)</f>
        <v>46385.71428571429</v>
      </c>
      <c r="G721" s="51">
        <f>ROUNDUP((E721+F721)*C721/E705,0)</f>
        <v>1650</v>
      </c>
    </row>
    <row r="722" spans="1:9" x14ac:dyDescent="0.25">
      <c r="A722" s="219" t="s">
        <v>56</v>
      </c>
      <c r="B722" s="219"/>
      <c r="C722" s="219"/>
      <c r="D722" s="219"/>
      <c r="E722" s="219"/>
      <c r="F722" s="219"/>
      <c r="G722" s="52">
        <f>SUM(G716:G721)</f>
        <v>2554</v>
      </c>
    </row>
    <row r="723" spans="1:9" x14ac:dyDescent="0.25">
      <c r="A723" s="56"/>
      <c r="B723" s="57"/>
      <c r="C723" s="57"/>
      <c r="D723" s="57"/>
      <c r="E723" s="57"/>
      <c r="F723" s="57"/>
      <c r="G723" s="58"/>
    </row>
    <row r="724" spans="1:9" x14ac:dyDescent="0.25">
      <c r="A724" s="219" t="s">
        <v>57</v>
      </c>
      <c r="B724" s="219"/>
      <c r="C724" s="219"/>
      <c r="D724" s="219"/>
      <c r="E724" s="219"/>
      <c r="F724" s="219"/>
      <c r="G724" s="219"/>
    </row>
    <row r="725" spans="1:9" x14ac:dyDescent="0.25">
      <c r="A725" s="49" t="s">
        <v>35</v>
      </c>
      <c r="B725" s="219" t="s">
        <v>36</v>
      </c>
      <c r="C725" s="219"/>
      <c r="D725" s="49" t="s">
        <v>37</v>
      </c>
      <c r="E725" s="49" t="s">
        <v>38</v>
      </c>
      <c r="F725" s="49" t="s">
        <v>39</v>
      </c>
      <c r="G725" s="49" t="s">
        <v>40</v>
      </c>
    </row>
    <row r="726" spans="1:9" x14ac:dyDescent="0.25">
      <c r="A726" s="50" t="s">
        <v>326</v>
      </c>
      <c r="B726" s="220" t="str">
        <f>VLOOKUP(A726,'Componentes APUs'!$S$1:$V$10,2,0)</f>
        <v>Juego Llaves</v>
      </c>
      <c r="C726" s="220"/>
      <c r="D726" s="50" t="s">
        <v>18</v>
      </c>
      <c r="E726" s="50">
        <v>0</v>
      </c>
      <c r="F726" s="51">
        <f>VLOOKUP(A726,'Componentes APUs'!$S$1:$V$10,4,0)</f>
        <v>9167</v>
      </c>
      <c r="G726" s="51">
        <f>ROUNDUP(F726*((E726/21)/E705),0)</f>
        <v>0</v>
      </c>
      <c r="I726" s="91"/>
    </row>
    <row r="727" spans="1:9" x14ac:dyDescent="0.25">
      <c r="A727" s="50" t="s">
        <v>58</v>
      </c>
      <c r="B727" s="220" t="str">
        <f>VLOOKUP(A727,'Componentes APUs'!$S$1:$V$10,2,0)</f>
        <v>Manila de servicio</v>
      </c>
      <c r="C727" s="220"/>
      <c r="D727" s="50" t="s">
        <v>18</v>
      </c>
      <c r="E727" s="50">
        <v>0</v>
      </c>
      <c r="F727" s="51">
        <f>VLOOKUP(A727,'Componentes APUs'!$S$1:$V$10,4,0)</f>
        <v>2333</v>
      </c>
      <c r="G727" s="51">
        <f>ROUNDUP(F727*((E727/21)/E705),0)</f>
        <v>0</v>
      </c>
    </row>
    <row r="728" spans="1:9" x14ac:dyDescent="0.25">
      <c r="A728" s="50" t="s">
        <v>327</v>
      </c>
      <c r="B728" s="220" t="str">
        <f>VLOOKUP(A728,'Componentes APUs'!$S$1:$V$10,2,0)</f>
        <v>Tula portaherramientas</v>
      </c>
      <c r="C728" s="220"/>
      <c r="D728" s="50" t="s">
        <v>18</v>
      </c>
      <c r="E728" s="50">
        <v>0</v>
      </c>
      <c r="F728" s="51">
        <f>VLOOKUP(A728,'Componentes APUs'!$S$1:$V$10,4,0)</f>
        <v>1250</v>
      </c>
      <c r="G728" s="51">
        <f>ROUNDUP(F728*((E728/21)/E705),0)</f>
        <v>0</v>
      </c>
    </row>
    <row r="729" spans="1:9" x14ac:dyDescent="0.25">
      <c r="A729" s="50" t="s">
        <v>60</v>
      </c>
      <c r="B729" s="220" t="str">
        <f>VLOOKUP(A729,'Componentes APUs'!$S$1:$V$10,2,0)</f>
        <v>Agarradoras</v>
      </c>
      <c r="C729" s="220"/>
      <c r="D729" s="50" t="s">
        <v>18</v>
      </c>
      <c r="E729" s="50">
        <v>0</v>
      </c>
      <c r="F729" s="51">
        <f>VLOOKUP(A729,'Componentes APUs'!$S$1:$V$10,4,0)</f>
        <v>125000</v>
      </c>
      <c r="G729" s="51">
        <f>ROUNDUP(F729*((E729/21)/E705),0)</f>
        <v>0</v>
      </c>
    </row>
    <row r="730" spans="1:9" x14ac:dyDescent="0.25">
      <c r="A730" s="50" t="s">
        <v>62</v>
      </c>
      <c r="B730" s="220" t="str">
        <f>VLOOKUP(A730,'Componentes APUs'!$S$1:$V$10,2,0)</f>
        <v>Templadoras</v>
      </c>
      <c r="C730" s="220"/>
      <c r="D730" s="50" t="s">
        <v>18</v>
      </c>
      <c r="E730" s="50">
        <v>0</v>
      </c>
      <c r="F730" s="51">
        <f>VLOOKUP(A730,'Componentes APUs'!$S$1:$V$10,4,0)</f>
        <v>250000</v>
      </c>
      <c r="G730" s="51">
        <f>ROUNDUP(F730*((E730/21)/E705),0)</f>
        <v>0</v>
      </c>
    </row>
    <row r="731" spans="1:9" x14ac:dyDescent="0.25">
      <c r="A731" s="50" t="s">
        <v>328</v>
      </c>
      <c r="B731" s="220" t="str">
        <f>VLOOKUP(A731,'Componentes APUs'!$S$1:$V$10,2,0)</f>
        <v>Herramienta Menor</v>
      </c>
      <c r="C731" s="220"/>
      <c r="D731" s="50" t="s">
        <v>18</v>
      </c>
      <c r="E731" s="50">
        <v>1</v>
      </c>
      <c r="F731" s="51">
        <f>VLOOKUP(A731,'Componentes APUs'!$S$1:$V$10,4,0)</f>
        <v>75758</v>
      </c>
      <c r="G731" s="51">
        <f>ROUNDUP(F731*((E731/21)/E705),0)</f>
        <v>49</v>
      </c>
    </row>
    <row r="732" spans="1:9" x14ac:dyDescent="0.25">
      <c r="A732" s="219" t="s">
        <v>69</v>
      </c>
      <c r="B732" s="219"/>
      <c r="C732" s="219"/>
      <c r="D732" s="219"/>
      <c r="E732" s="219"/>
      <c r="F732" s="219"/>
      <c r="G732" s="52">
        <f>SUM(G726:G731)</f>
        <v>49</v>
      </c>
    </row>
    <row r="733" spans="1:9" x14ac:dyDescent="0.25">
      <c r="A733" s="56"/>
      <c r="B733" s="57"/>
      <c r="C733" s="57"/>
      <c r="D733" s="57"/>
      <c r="E733" s="57"/>
      <c r="F733" s="57"/>
      <c r="G733" s="58"/>
    </row>
    <row r="734" spans="1:9" x14ac:dyDescent="0.25">
      <c r="A734" s="219" t="s">
        <v>70</v>
      </c>
      <c r="B734" s="219"/>
      <c r="C734" s="219"/>
      <c r="D734" s="219"/>
      <c r="E734" s="219"/>
      <c r="F734" s="219"/>
      <c r="G734" s="219"/>
    </row>
    <row r="735" spans="1:9" x14ac:dyDescent="0.25">
      <c r="A735" s="49" t="s">
        <v>35</v>
      </c>
      <c r="B735" s="219" t="s">
        <v>36</v>
      </c>
      <c r="C735" s="219"/>
      <c r="D735" s="49" t="s">
        <v>37</v>
      </c>
      <c r="E735" s="49" t="s">
        <v>38</v>
      </c>
      <c r="F735" s="49" t="s">
        <v>39</v>
      </c>
      <c r="G735" s="49" t="s">
        <v>40</v>
      </c>
    </row>
    <row r="736" spans="1:9" x14ac:dyDescent="0.25">
      <c r="A736" s="50" t="s">
        <v>71</v>
      </c>
      <c r="B736" s="71" t="str">
        <f>VLOOKUP(A736,'Componentes APUs'!$A$1:$D$14,2,0)</f>
        <v>Camisa indigo sin partes metalicas</v>
      </c>
      <c r="C736" s="71"/>
      <c r="D736" s="50" t="str">
        <f>VLOOKUP(A736,'Componentes APUs'!$A$1:$D$14,3,0)</f>
        <v>U</v>
      </c>
      <c r="E736" s="50">
        <f>SUM(C716:C721)</f>
        <v>1.25</v>
      </c>
      <c r="F736" s="51">
        <f>VLOOKUP(A736,'Componentes APUs'!$A$1:$D$14,4,0)</f>
        <v>8585.8585858585866</v>
      </c>
      <c r="G736" s="51">
        <f>ROUNDUP(F736*(E736/21)/E705,0)</f>
        <v>7</v>
      </c>
      <c r="I736" s="91"/>
    </row>
    <row r="737" spans="1:7" x14ac:dyDescent="0.25">
      <c r="A737" s="69" t="s">
        <v>73</v>
      </c>
      <c r="B737" s="72" t="str">
        <f>VLOOKUP(A737,'Componentes APUs'!$A$1:$D$14,2,0)</f>
        <v>Bota de seguridad dielectrica</v>
      </c>
      <c r="C737" s="73"/>
      <c r="D737" s="70" t="str">
        <f>VLOOKUP(A737,'Componentes APUs'!$A$1:$D$14,3,0)</f>
        <v>Par</v>
      </c>
      <c r="E737" s="50">
        <f>SUM(C716:C721)</f>
        <v>1.25</v>
      </c>
      <c r="F737" s="51">
        <f>VLOOKUP(A737,'Componentes APUs'!$A$1:$D$14,4,0)</f>
        <v>7500</v>
      </c>
      <c r="G737" s="51">
        <f>ROUNDUP(F737*(E737/21)/E705,0)</f>
        <v>6</v>
      </c>
    </row>
    <row r="738" spans="1:7" x14ac:dyDescent="0.25">
      <c r="A738" s="50" t="s">
        <v>76</v>
      </c>
      <c r="B738" s="72" t="str">
        <f>VLOOKUP(A738,'Componentes APUs'!$A$1:$D$14,2,0)</f>
        <v>Casco dielectrico Tipo 1 Clase E con barbuquejo</v>
      </c>
      <c r="C738" s="73"/>
      <c r="D738" s="50" t="str">
        <f>VLOOKUP(A738,'Componentes APUs'!$A$1:$D$14,3,0)</f>
        <v>U</v>
      </c>
      <c r="E738" s="50">
        <f>C716+C717+C719+C720+C721+IF(A718&lt;&gt;"MO-3",C718,0)</f>
        <v>1.25</v>
      </c>
      <c r="F738" s="51">
        <f>VLOOKUP(A738,'Componentes APUs'!$A$1:$D$14,4,0)</f>
        <v>10101.010101010101</v>
      </c>
      <c r="G738" s="51">
        <f>ROUNDUP(F738*(E738/21)/E705,0)</f>
        <v>9</v>
      </c>
    </row>
    <row r="739" spans="1:7" x14ac:dyDescent="0.25">
      <c r="A739" s="69" t="s">
        <v>77</v>
      </c>
      <c r="B739" s="72" t="str">
        <f>VLOOKUP(A739,'Componentes APUs'!$A$1:$D$14,2,0)</f>
        <v>Correa plastica y antiflama</v>
      </c>
      <c r="C739" s="73"/>
      <c r="D739" s="50" t="str">
        <f>VLOOKUP(A739,'Componentes APUs'!$A$1:$D$14,3,0)</f>
        <v>U</v>
      </c>
      <c r="E739" s="50">
        <f>SUM(C716:C721)</f>
        <v>1.25</v>
      </c>
      <c r="F739" s="51">
        <f>VLOOKUP(A739,'Componentes APUs'!$A$1:$D$14,4,0)</f>
        <v>3787.878787878788</v>
      </c>
      <c r="G739" s="51">
        <f>ROUNDUP(F739*(E739/21)/E705,0)</f>
        <v>4</v>
      </c>
    </row>
    <row r="740" spans="1:7" x14ac:dyDescent="0.25">
      <c r="A740" s="50" t="s">
        <v>79</v>
      </c>
      <c r="B740" s="72" t="str">
        <f>VLOOKUP(A740,'Componentes APUs'!$A$1:$D$14,2,0)</f>
        <v>Gafas protectoras filtro UV</v>
      </c>
      <c r="C740" s="73"/>
      <c r="D740" s="50" t="str">
        <f>VLOOKUP(A740,'Componentes APUs'!$A$1:$D$14,3,0)</f>
        <v>U</v>
      </c>
      <c r="E740" s="50">
        <f>SUM(C716:C721)</f>
        <v>1.25</v>
      </c>
      <c r="F740" s="51">
        <f>VLOOKUP(A740,'Componentes APUs'!$A$1:$D$14,4,0)</f>
        <v>2777.7777777777778</v>
      </c>
      <c r="G740" s="51">
        <f>ROUNDUP(F740*(E740/21)/E705,0)</f>
        <v>3</v>
      </c>
    </row>
    <row r="741" spans="1:7" x14ac:dyDescent="0.25">
      <c r="A741" s="69" t="s">
        <v>402</v>
      </c>
      <c r="B741" s="72" t="str">
        <f>VLOOKUP(A741,'Componentes APUs'!$A$1:$D$14,2,0)</f>
        <v>Bota de seguridad PVC dielectrica</v>
      </c>
      <c r="C741" s="73"/>
      <c r="D741" s="50" t="str">
        <f>VLOOKUP(A741,'Componentes APUs'!$A$1:$D$14,3,0)</f>
        <v>Par</v>
      </c>
      <c r="E741" s="50">
        <f>SUM(C716:C721)</f>
        <v>1.25</v>
      </c>
      <c r="F741" s="51">
        <f>VLOOKUP(A741,'Componentes APUs'!$A$1:$D$14,4,0)</f>
        <v>2916.6666666666665</v>
      </c>
      <c r="G741" s="51">
        <f>ROUNDUP(F741*(E741/21)/E705,0)</f>
        <v>3</v>
      </c>
    </row>
    <row r="742" spans="1:7" x14ac:dyDescent="0.25">
      <c r="A742" s="50" t="s">
        <v>403</v>
      </c>
      <c r="B742" s="72" t="str">
        <f>VLOOKUP(A742,'Componentes APUs'!$A$1:$D$14,2,0)</f>
        <v>Capuchon</v>
      </c>
      <c r="C742" s="73"/>
      <c r="D742" s="50" t="str">
        <f>VLOOKUP(A742,'Componentes APUs'!$A$1:$D$14,3,0)</f>
        <v>U</v>
      </c>
      <c r="E742" s="50">
        <f>SUM(C716:C721)</f>
        <v>1.25</v>
      </c>
      <c r="F742" s="51">
        <f>VLOOKUP(A742,'Componentes APUs'!$A$1:$D$14,4,0)</f>
        <v>2525.2525252525252</v>
      </c>
      <c r="G742" s="51">
        <f>ROUNDUP(F742*(E742/21)/E705,0)</f>
        <v>3</v>
      </c>
    </row>
    <row r="743" spans="1:7" x14ac:dyDescent="0.25">
      <c r="A743" s="69" t="s">
        <v>81</v>
      </c>
      <c r="B743" s="72" t="str">
        <f>VLOOKUP(A743,'Componentes APUs'!$A$1:$D$14,2,0)</f>
        <v>Guantes Protectores  - ingeniero reforzados</v>
      </c>
      <c r="C743" s="73"/>
      <c r="D743" s="50" t="str">
        <f>VLOOKUP(A743,'Componentes APUs'!$A$1:$D$14,3,0)</f>
        <v>Par</v>
      </c>
      <c r="E743" s="50">
        <f>C718+C719+C721</f>
        <v>1</v>
      </c>
      <c r="F743" s="51">
        <f>VLOOKUP(A743,'Componentes APUs'!$A$1:$D$14,4,0)</f>
        <v>2525.2525252525252</v>
      </c>
      <c r="G743" s="51">
        <f>ROUNDUP(F743*(E743/21)/E705,0)</f>
        <v>2</v>
      </c>
    </row>
    <row r="744" spans="1:7" x14ac:dyDescent="0.25">
      <c r="A744" s="50" t="s">
        <v>83</v>
      </c>
      <c r="B744" s="72" t="str">
        <f>VLOOKUP(A744,'Componentes APUs'!$A$1:$D$14,2,0)</f>
        <v>Impermeable (pantalon camisa)</v>
      </c>
      <c r="C744" s="73"/>
      <c r="D744" s="50" t="str">
        <f>VLOOKUP(A744,'Componentes APUs'!$A$1:$D$14,3,0)</f>
        <v>U</v>
      </c>
      <c r="E744" s="50">
        <f>SUM(C716:C721)</f>
        <v>1.25</v>
      </c>
      <c r="F744" s="51">
        <f>VLOOKUP(A744,'Componentes APUs'!$A$1:$D$14,4,0)</f>
        <v>3750</v>
      </c>
      <c r="G744" s="51">
        <f>ROUNDUP(F744*(E744/21)/E705,0)</f>
        <v>3</v>
      </c>
    </row>
    <row r="745" spans="1:7" x14ac:dyDescent="0.25">
      <c r="A745" s="69" t="s">
        <v>85</v>
      </c>
      <c r="B745" s="72" t="str">
        <f>VLOOKUP(A745,'Componentes APUs'!$A$1:$D$14,2,0)</f>
        <v>Jean Dielectrico</v>
      </c>
      <c r="C745" s="73"/>
      <c r="D745" s="50" t="str">
        <f>VLOOKUP(A745,'Componentes APUs'!$A$1:$D$14,3,0)</f>
        <v>U</v>
      </c>
      <c r="E745" s="50">
        <f>SUM(C716:C721)</f>
        <v>1.25</v>
      </c>
      <c r="F745" s="51">
        <f>VLOOKUP(A745,'Componentes APUs'!$A$1:$D$14,4,0)</f>
        <v>7575.757575757576</v>
      </c>
      <c r="G745" s="51">
        <f>ROUNDUP(F745*(E745/21)/E705,0)</f>
        <v>7</v>
      </c>
    </row>
    <row r="746" spans="1:7" x14ac:dyDescent="0.25">
      <c r="A746" s="50" t="s">
        <v>87</v>
      </c>
      <c r="B746" s="72" t="str">
        <f>VLOOKUP(A746,'Componentes APUs'!$A$1:$D$14,2,0)</f>
        <v>Casco dielectrico Tipo 2 Clase E con barboquejo</v>
      </c>
      <c r="C746" s="73"/>
      <c r="D746" s="50" t="str">
        <f>VLOOKUP(A746,'Componentes APUs'!$A$1:$D$14,3,0)</f>
        <v>U</v>
      </c>
      <c r="E746" s="53">
        <f>IF(A718="MO-3",C718,0)</f>
        <v>0</v>
      </c>
      <c r="F746" s="51">
        <f>VLOOKUP(A746,'Componentes APUs'!$A$1:$D$14,4,0)</f>
        <v>7500</v>
      </c>
      <c r="G746" s="51">
        <f>ROUNDUP(F746*(E746/21)/E705,0)</f>
        <v>0</v>
      </c>
    </row>
    <row r="747" spans="1:7" x14ac:dyDescent="0.25">
      <c r="A747" s="69" t="s">
        <v>89</v>
      </c>
      <c r="B747" s="72" t="str">
        <f>VLOOKUP(A747,'Componentes APUs'!$A$1:$D$14,2,0)</f>
        <v>Kit de rescate para trabajo en alturas</v>
      </c>
      <c r="C747" s="73"/>
      <c r="D747" s="50" t="str">
        <f>VLOOKUP(A747,'Componentes APUs'!$A$1:$D$14,3,0)</f>
        <v>U</v>
      </c>
      <c r="E747" s="50">
        <f>IF(AND(A718="MO-3",C718=2),1,0)</f>
        <v>0</v>
      </c>
      <c r="F747" s="51">
        <f>VLOOKUP(A747,'Componentes APUs'!$A$1:$D$14,4,0)</f>
        <v>37500</v>
      </c>
      <c r="G747" s="51">
        <f>ROUNDUP(F747*(E747/21)/E705,0)</f>
        <v>0</v>
      </c>
    </row>
    <row r="748" spans="1:7" x14ac:dyDescent="0.25">
      <c r="A748" s="50" t="s">
        <v>91</v>
      </c>
      <c r="B748" s="72" t="str">
        <f>VLOOKUP(A748,'Componentes APUs'!$A$1:$D$14,2,0)</f>
        <v>Equipo completo para trabajo en alturas con pretales (Arnes dielectrico, 1 mosqueton de seguridad, tie off dielectrico, eslinga de posicionamiento, juego de pretales)</v>
      </c>
      <c r="C748" s="73"/>
      <c r="D748" s="50" t="str">
        <f>VLOOKUP(A748,'Componentes APUs'!$A$1:$D$14,3,0)</f>
        <v>U</v>
      </c>
      <c r="E748" s="50">
        <f>IF(A718="MO-3",C718,0)</f>
        <v>0</v>
      </c>
      <c r="F748" s="51">
        <f>VLOOKUP(A748,'Componentes APUs'!$A$1:$D$14,4,0)</f>
        <v>26041.666666666668</v>
      </c>
      <c r="G748" s="51">
        <f>ROUNDUP(F748*(E748/21)/E705,0)</f>
        <v>0</v>
      </c>
    </row>
    <row r="749" spans="1:7" x14ac:dyDescent="0.25">
      <c r="A749" s="219" t="s">
        <v>95</v>
      </c>
      <c r="B749" s="219"/>
      <c r="C749" s="219"/>
      <c r="D749" s="219"/>
      <c r="E749" s="219"/>
      <c r="F749" s="219"/>
      <c r="G749" s="52">
        <f>SUM(G736:G748)</f>
        <v>47</v>
      </c>
    </row>
    <row r="750" spans="1:7" x14ac:dyDescent="0.25">
      <c r="A750" s="56"/>
      <c r="B750" s="57"/>
      <c r="C750" s="57"/>
      <c r="D750" s="57"/>
      <c r="E750" s="57"/>
      <c r="F750" s="57"/>
      <c r="G750" s="58"/>
    </row>
    <row r="751" spans="1:7" x14ac:dyDescent="0.25">
      <c r="A751" s="219" t="s">
        <v>96</v>
      </c>
      <c r="B751" s="219"/>
      <c r="C751" s="219"/>
      <c r="D751" s="219"/>
      <c r="E751" s="219"/>
      <c r="F751" s="219"/>
      <c r="G751" s="219"/>
    </row>
    <row r="752" spans="1:7" x14ac:dyDescent="0.25">
      <c r="A752" s="49" t="s">
        <v>35</v>
      </c>
      <c r="B752" s="225" t="s">
        <v>36</v>
      </c>
      <c r="C752" s="225"/>
      <c r="D752" s="49" t="s">
        <v>37</v>
      </c>
      <c r="E752" s="49" t="s">
        <v>38</v>
      </c>
      <c r="F752" s="49" t="s">
        <v>39</v>
      </c>
      <c r="G752" s="49" t="s">
        <v>40</v>
      </c>
    </row>
    <row r="753" spans="1:7" x14ac:dyDescent="0.25">
      <c r="A753" s="69" t="s">
        <v>97</v>
      </c>
      <c r="B753" s="72" t="str">
        <f>VLOOKUP(A753,'Componentes APUs'!$N$1:$Q$30,2,0)</f>
        <v>Camioneta</v>
      </c>
      <c r="C753" s="73"/>
      <c r="D753" s="70" t="str">
        <f>VLOOKUP(A753,'Componentes APUs'!$N$1:$Q$30,3,0)</f>
        <v>U</v>
      </c>
      <c r="E753" s="50">
        <v>0</v>
      </c>
      <c r="F753" s="51">
        <f>VLOOKUP(A753,'Componentes APUs'!$N$1:$Q$30,4,0)</f>
        <v>5500000</v>
      </c>
      <c r="G753" s="51">
        <f>IFERROR(ROUNDUP(F753*(E753/21)/E705,0),"-")</f>
        <v>0</v>
      </c>
    </row>
    <row r="754" spans="1:7" x14ac:dyDescent="0.25">
      <c r="A754" s="50" t="s">
        <v>321</v>
      </c>
      <c r="B754" s="72" t="str">
        <f>VLOOKUP(A754,'Componentes APUs'!$N$1:$Q$30,2,0)</f>
        <v>Grúa Hidráulica</v>
      </c>
      <c r="C754" s="73"/>
      <c r="D754" s="70" t="str">
        <f>VLOOKUP(A754,'Componentes APUs'!$N$1:$Q$30,3,0)</f>
        <v>U</v>
      </c>
      <c r="E754" s="50">
        <v>0</v>
      </c>
      <c r="F754" s="51">
        <f>VLOOKUP(A754,'Componentes APUs'!$N$1:$Q$30,4,0)</f>
        <v>21000000</v>
      </c>
      <c r="G754" s="51">
        <f>IFERROR(ROUNDUP(F754*(E754/21)/E705,0),"-")</f>
        <v>0</v>
      </c>
    </row>
    <row r="755" spans="1:7" x14ac:dyDescent="0.25">
      <c r="A755" s="69" t="s">
        <v>1379</v>
      </c>
      <c r="B755" s="72" t="str">
        <f>VLOOKUP(A755,'Componentes APUs'!$N$1:$Q$30,2,0)</f>
        <v>Dumper de descarga Frontal 2T</v>
      </c>
      <c r="C755" s="73"/>
      <c r="D755" s="70" t="str">
        <f>VLOOKUP(A755,'Componentes APUs'!$N$1:$Q$30,3,0)</f>
        <v>U</v>
      </c>
      <c r="E755" s="50">
        <v>0</v>
      </c>
      <c r="F755" s="51">
        <f>VLOOKUP(A755,'Componentes APUs'!$N$1:$Q$30,4,0)</f>
        <v>4438716.24</v>
      </c>
      <c r="G755" s="51">
        <f>IFERROR(ROUNDUP(F755*(E755/21)/E705,0),"-")</f>
        <v>0</v>
      </c>
    </row>
    <row r="756" spans="1:7" x14ac:dyDescent="0.25">
      <c r="A756" s="50" t="s">
        <v>323</v>
      </c>
      <c r="B756" s="72" t="str">
        <f>VLOOKUP(A756,'Componentes APUs'!$N$1:$Q$30,2,0)</f>
        <v>Volqueta</v>
      </c>
      <c r="C756" s="73"/>
      <c r="D756" s="70" t="str">
        <f>VLOOKUP(A756,'Componentes APUs'!$N$1:$Q$30,3,0)</f>
        <v>U</v>
      </c>
      <c r="E756" s="50">
        <v>1</v>
      </c>
      <c r="F756" s="51">
        <f>VLOOKUP(A756,'Componentes APUs'!$N$1:$Q$30,4,0)</f>
        <v>14828184</v>
      </c>
      <c r="G756" s="51">
        <f>IFERROR(ROUNDUP(F756*(E756/21)/E705,0),"-")</f>
        <v>9415</v>
      </c>
    </row>
    <row r="757" spans="1:7" x14ac:dyDescent="0.25">
      <c r="A757" s="69" t="s">
        <v>324</v>
      </c>
      <c r="B757" s="72" t="str">
        <f>VLOOKUP(A757,'Componentes APUs'!$N$1:$Q$30,2,0)</f>
        <v>Retroexcavadora</v>
      </c>
      <c r="C757" s="73"/>
      <c r="D757" s="70" t="str">
        <f>VLOOKUP(A757,'Componentes APUs'!$N$1:$Q$30,3,0)</f>
        <v>U</v>
      </c>
      <c r="E757" s="50">
        <v>1</v>
      </c>
      <c r="F757" s="51">
        <f>VLOOKUP(A757,'Componentes APUs'!$N$1:$Q$30,4,0)</f>
        <v>46030656</v>
      </c>
      <c r="G757" s="51">
        <f>IFERROR(ROUNDUP(F757*(E757/21)/E705,0),"-")</f>
        <v>29226</v>
      </c>
    </row>
    <row r="758" spans="1:7" x14ac:dyDescent="0.25">
      <c r="A758" s="219" t="s">
        <v>99</v>
      </c>
      <c r="B758" s="219"/>
      <c r="C758" s="219"/>
      <c r="D758" s="219"/>
      <c r="E758" s="219"/>
      <c r="F758" s="219"/>
      <c r="G758" s="52">
        <f>SUM(G753:G757)</f>
        <v>38641</v>
      </c>
    </row>
    <row r="759" spans="1:7" x14ac:dyDescent="0.25">
      <c r="A759" s="56"/>
      <c r="B759" s="57"/>
      <c r="C759" s="57"/>
      <c r="D759" s="57"/>
      <c r="E759" s="57"/>
      <c r="F759" s="57"/>
      <c r="G759" s="58"/>
    </row>
    <row r="760" spans="1:7" x14ac:dyDescent="0.25">
      <c r="A760" s="219" t="s">
        <v>1516</v>
      </c>
      <c r="B760" s="219"/>
      <c r="C760" s="219"/>
      <c r="D760" s="219"/>
      <c r="E760" s="219"/>
      <c r="F760" s="219"/>
      <c r="G760" s="52">
        <f>G758+G749+G732+G722+G712</f>
        <v>41291</v>
      </c>
    </row>
    <row r="761" spans="1:7" x14ac:dyDescent="0.25">
      <c r="A761" s="59"/>
      <c r="B761" s="60"/>
      <c r="C761" s="60"/>
      <c r="D761" s="60"/>
      <c r="E761" s="57"/>
      <c r="F761" s="57"/>
      <c r="G761" s="58"/>
    </row>
    <row r="762" spans="1:7" x14ac:dyDescent="0.25">
      <c r="A762" s="64"/>
      <c r="D762" s="55"/>
      <c r="E762" s="49" t="s">
        <v>25</v>
      </c>
      <c r="F762" s="54">
        <v>0.15</v>
      </c>
      <c r="G762" s="51">
        <f>G760*F762</f>
        <v>6193.65</v>
      </c>
    </row>
    <row r="763" spans="1:7" x14ac:dyDescent="0.25">
      <c r="A763" s="64"/>
      <c r="D763" s="55"/>
      <c r="E763" s="49" t="s">
        <v>26</v>
      </c>
      <c r="F763" s="54">
        <v>0.05</v>
      </c>
      <c r="G763" s="51">
        <f>G760*F763</f>
        <v>2064.5500000000002</v>
      </c>
    </row>
    <row r="764" spans="1:7" x14ac:dyDescent="0.25">
      <c r="A764" s="61"/>
      <c r="B764" s="65"/>
      <c r="C764" s="65"/>
      <c r="D764" s="62"/>
      <c r="E764" s="49" t="s">
        <v>27</v>
      </c>
      <c r="F764" s="54">
        <v>0.05</v>
      </c>
      <c r="G764" s="51">
        <f>G760*F764</f>
        <v>2064.5500000000002</v>
      </c>
    </row>
    <row r="765" spans="1:7" x14ac:dyDescent="0.25">
      <c r="A765" s="61"/>
      <c r="B765" s="62"/>
      <c r="C765" s="62"/>
      <c r="D765" s="62"/>
      <c r="E765" s="62"/>
      <c r="F765" s="62"/>
      <c r="G765" s="63"/>
    </row>
    <row r="766" spans="1:7" x14ac:dyDescent="0.25">
      <c r="A766" s="219" t="s">
        <v>1517</v>
      </c>
      <c r="B766" s="219"/>
      <c r="C766" s="219"/>
      <c r="D766" s="219"/>
      <c r="E766" s="219"/>
      <c r="F766" s="219"/>
      <c r="G766" s="52">
        <f>G760+G762+G763+G764</f>
        <v>51613.750000000007</v>
      </c>
    </row>
    <row r="767" spans="1:7" x14ac:dyDescent="0.25">
      <c r="A767" s="59"/>
      <c r="B767" s="60"/>
      <c r="C767" s="60"/>
      <c r="D767" s="60"/>
      <c r="E767" s="57"/>
      <c r="F767" s="57"/>
      <c r="G767" s="58"/>
    </row>
    <row r="768" spans="1:7" x14ac:dyDescent="0.25">
      <c r="A768" s="64"/>
      <c r="D768" s="55"/>
      <c r="E768" s="49" t="s">
        <v>102</v>
      </c>
      <c r="F768" s="49" t="s">
        <v>103</v>
      </c>
      <c r="G768" s="51">
        <f>G764*19%</f>
        <v>392.26450000000006</v>
      </c>
    </row>
    <row r="769" spans="1:9" x14ac:dyDescent="0.25">
      <c r="A769" s="61"/>
      <c r="B769" s="62"/>
      <c r="C769" s="62"/>
      <c r="D769" s="62"/>
      <c r="E769" s="57"/>
      <c r="F769" s="57"/>
      <c r="G769" s="58"/>
    </row>
    <row r="770" spans="1:9" x14ac:dyDescent="0.25">
      <c r="A770" s="219" t="s">
        <v>104</v>
      </c>
      <c r="B770" s="219"/>
      <c r="C770" s="219"/>
      <c r="D770" s="219"/>
      <c r="E770" s="219"/>
      <c r="F770" s="219"/>
      <c r="G770" s="52">
        <f>G768+G766</f>
        <v>52006.014500000005</v>
      </c>
    </row>
    <row r="772" spans="1:9" x14ac:dyDescent="0.25">
      <c r="A772" s="74" t="s">
        <v>29</v>
      </c>
      <c r="B772" s="226" t="s">
        <v>30</v>
      </c>
      <c r="C772" s="226"/>
      <c r="D772" s="74" t="s">
        <v>31</v>
      </c>
      <c r="E772" s="74" t="s">
        <v>32</v>
      </c>
      <c r="F772" s="74" t="s">
        <v>189</v>
      </c>
      <c r="G772" s="74" t="s">
        <v>33</v>
      </c>
      <c r="H772" s="105"/>
    </row>
    <row r="773" spans="1:9" x14ac:dyDescent="0.25">
      <c r="A773" s="50" t="str">
        <f>Presupuesto!B19</f>
        <v>013_OC</v>
      </c>
      <c r="B773" s="229" t="str">
        <f>Presupuesto!C19</f>
        <v>RELLENO EN MATERIAL SELECCIONADO, COMPACTADO</v>
      </c>
      <c r="C773" s="230"/>
      <c r="D773" s="50" t="s">
        <v>114</v>
      </c>
      <c r="E773" s="102">
        <v>250</v>
      </c>
      <c r="F773" s="50"/>
      <c r="G773" s="51">
        <f>G839</f>
        <v>100731.03150000001</v>
      </c>
      <c r="H773" s="45"/>
    </row>
    <row r="774" spans="1:9" x14ac:dyDescent="0.25">
      <c r="A774" s="219" t="s">
        <v>34</v>
      </c>
      <c r="B774" s="219"/>
      <c r="C774" s="219"/>
      <c r="D774" s="219"/>
      <c r="E774" s="219"/>
      <c r="F774" s="219"/>
      <c r="G774" s="219"/>
    </row>
    <row r="775" spans="1:9" x14ac:dyDescent="0.25">
      <c r="A775" s="49" t="s">
        <v>35</v>
      </c>
      <c r="B775" s="219" t="s">
        <v>36</v>
      </c>
      <c r="C775" s="219"/>
      <c r="D775" s="49" t="s">
        <v>37</v>
      </c>
      <c r="E775" s="49" t="s">
        <v>38</v>
      </c>
      <c r="F775" s="49" t="s">
        <v>39</v>
      </c>
      <c r="G775" s="49" t="s">
        <v>40</v>
      </c>
    </row>
    <row r="776" spans="1:9" x14ac:dyDescent="0.25">
      <c r="A776" s="50" t="str">
        <f>Material!A583</f>
        <v>MA-582</v>
      </c>
      <c r="B776" s="72" t="str">
        <f>IFERROR(VLOOKUP(A776,Material!$A:$H,2,0),"-")</f>
        <v>RECEBO COMÚN</v>
      </c>
      <c r="C776" s="76"/>
      <c r="D776" s="50" t="str">
        <f>IFERROR(VLOOKUP(A776,Material!$A:$H,4,0),"-")</f>
        <v>M3</v>
      </c>
      <c r="E776" s="50">
        <v>1.25</v>
      </c>
      <c r="F776" s="51">
        <f>IFERROR(VLOOKUP(A776,Material!$A:$H,3,0),"-")</f>
        <v>58500</v>
      </c>
      <c r="G776" s="51">
        <f>IFERROR(ROUNDUP(F776*E776,0),"-")</f>
        <v>73125</v>
      </c>
    </row>
    <row r="777" spans="1:9" x14ac:dyDescent="0.25">
      <c r="A777" s="50" t="str">
        <f>Material!A282</f>
        <v>MA-281</v>
      </c>
      <c r="B777" s="72" t="str">
        <f>IFERROR(VLOOKUP(A777,Material!$A:$H,2,0),"-")</f>
        <v>AGUA</v>
      </c>
      <c r="C777" s="76"/>
      <c r="D777" s="50" t="str">
        <f>IFERROR(VLOOKUP(A777,Material!$A:$H,4,0),"-")</f>
        <v>M3</v>
      </c>
      <c r="E777" s="50">
        <v>10.199999999999999</v>
      </c>
      <c r="F777" s="51">
        <f>IFERROR(VLOOKUP(A777,Material!$A:$H,3,0),"-")</f>
        <v>94.9</v>
      </c>
      <c r="G777" s="51">
        <f>IFERROR(ROUNDUP(F777*E777,0),"-")</f>
        <v>968</v>
      </c>
    </row>
    <row r="778" spans="1:9" x14ac:dyDescent="0.25">
      <c r="A778" s="50"/>
      <c r="B778" s="72"/>
      <c r="C778" s="76"/>
      <c r="D778" s="50"/>
      <c r="E778" s="50"/>
      <c r="F778" s="51"/>
      <c r="G778" s="51"/>
    </row>
    <row r="779" spans="1:9" x14ac:dyDescent="0.25">
      <c r="A779" s="50"/>
      <c r="B779" s="72"/>
      <c r="C779" s="76"/>
      <c r="D779" s="50"/>
      <c r="E779" s="50"/>
      <c r="F779" s="51"/>
      <c r="G779" s="51"/>
      <c r="H779" s="92"/>
    </row>
    <row r="780" spans="1:9" x14ac:dyDescent="0.25">
      <c r="A780" s="219" t="s">
        <v>41</v>
      </c>
      <c r="B780" s="219"/>
      <c r="C780" s="219"/>
      <c r="D780" s="219"/>
      <c r="E780" s="219"/>
      <c r="F780" s="219"/>
      <c r="G780" s="52">
        <f>SUM(G776:G779)</f>
        <v>74093</v>
      </c>
      <c r="I780" s="104"/>
    </row>
    <row r="781" spans="1:9" x14ac:dyDescent="0.25">
      <c r="A781" s="56"/>
      <c r="B781" s="57"/>
      <c r="C781" s="57"/>
      <c r="D781" s="57"/>
      <c r="E781" s="57"/>
      <c r="F781" s="57"/>
      <c r="G781" s="58"/>
    </row>
    <row r="782" spans="1:9" x14ac:dyDescent="0.25">
      <c r="A782" s="219" t="s">
        <v>42</v>
      </c>
      <c r="B782" s="219"/>
      <c r="C782" s="219"/>
      <c r="D782" s="219"/>
      <c r="E782" s="219"/>
      <c r="F782" s="219"/>
      <c r="G782" s="219"/>
    </row>
    <row r="783" spans="1:9" x14ac:dyDescent="0.25">
      <c r="A783" s="49" t="s">
        <v>35</v>
      </c>
      <c r="B783" s="49" t="s">
        <v>36</v>
      </c>
      <c r="C783" s="49" t="s">
        <v>38</v>
      </c>
      <c r="D783" s="49" t="s">
        <v>43</v>
      </c>
      <c r="E783" s="49" t="s">
        <v>44</v>
      </c>
      <c r="F783" s="49" t="s">
        <v>45</v>
      </c>
      <c r="G783" s="49" t="s">
        <v>40</v>
      </c>
    </row>
    <row r="784" spans="1:9" x14ac:dyDescent="0.25">
      <c r="A784" s="50" t="s">
        <v>319</v>
      </c>
      <c r="B784" s="68" t="str">
        <f>VLOOKUP(A784,'Componentes APUs'!$H$1:$L$25,2,0)</f>
        <v>Ingeniero Residente de Obra</v>
      </c>
      <c r="C784" s="93">
        <v>0</v>
      </c>
      <c r="D784" s="50">
        <f>VLOOKUP(A784,'Componentes APUs'!$H$1:$L$25,3,0)</f>
        <v>4</v>
      </c>
      <c r="E784" s="51">
        <f>VLOOKUP(A784,'Componentes APUs'!$H$1:$L$25,4,0)</f>
        <v>271142.85714285716</v>
      </c>
      <c r="F784" s="51">
        <f>VLOOKUP(A784,'Componentes APUs'!$H$1:$L$25,5,0)</f>
        <v>162685.71428571429</v>
      </c>
      <c r="G784" s="51">
        <f>ROUNDUP((E784+F784)*C784/E773,0)</f>
        <v>0</v>
      </c>
      <c r="H784" s="66"/>
    </row>
    <row r="785" spans="1:9" x14ac:dyDescent="0.25">
      <c r="A785" s="50" t="s">
        <v>320</v>
      </c>
      <c r="B785" s="68" t="str">
        <f>VLOOKUP(A785,'Componentes APUs'!$H$1:$L$25,2,0)</f>
        <v>Tecnico Supervisor</v>
      </c>
      <c r="C785" s="93">
        <v>0</v>
      </c>
      <c r="D785" s="50">
        <f>VLOOKUP(A785,'Componentes APUs'!$H$1:$L$25,3,0)</f>
        <v>2.2999999999999998</v>
      </c>
      <c r="E785" s="51">
        <f>VLOOKUP(A785,'Componentes APUs'!$H$1:$L$25,4,0)</f>
        <v>155907.14285714284</v>
      </c>
      <c r="F785" s="51">
        <f>VLOOKUP(A785,'Componentes APUs'!$H$1:$L$25,5,0)</f>
        <v>93544.285714285696</v>
      </c>
      <c r="G785" s="51">
        <f>ROUNDUP((E785+F785)*C785/E773,0)</f>
        <v>0</v>
      </c>
    </row>
    <row r="786" spans="1:9" x14ac:dyDescent="0.25">
      <c r="A786" s="50" t="s">
        <v>54</v>
      </c>
      <c r="B786" s="68" t="str">
        <f>VLOOKUP(A786,'Componentes APUs'!$H$1:$L$25,2,0)</f>
        <v>Maestro de obra civil</v>
      </c>
      <c r="C786" s="93">
        <v>0</v>
      </c>
      <c r="D786" s="50">
        <f>VLOOKUP(A786,'Componentes APUs'!$H$1:$L$25,3,0)</f>
        <v>2.5</v>
      </c>
      <c r="E786" s="51">
        <f>VLOOKUP(A786,'Componentes APUs'!$H$1:$L$25,4,0)</f>
        <v>169464.28571428571</v>
      </c>
      <c r="F786" s="51">
        <f>VLOOKUP(A786,'Componentes APUs'!$H$1:$L$25,5,0)</f>
        <v>101678.57142857142</v>
      </c>
      <c r="G786" s="51">
        <f>ROUNDUP((E786+F786)*C786/E773,0)</f>
        <v>0</v>
      </c>
    </row>
    <row r="787" spans="1:9" x14ac:dyDescent="0.25">
      <c r="A787" s="50" t="s">
        <v>1110</v>
      </c>
      <c r="B787" s="68" t="str">
        <f>VLOOKUP(A787,'Componentes APUs'!$H$1:$L$25,2,0)</f>
        <v>Oficial de Obra Civil</v>
      </c>
      <c r="C787" s="93">
        <v>0</v>
      </c>
      <c r="D787" s="50">
        <f>VLOOKUP(A787,'Componentes APUs'!$H$1:$L$25,3,0)</f>
        <v>1.5</v>
      </c>
      <c r="E787" s="51">
        <f>VLOOKUP(A787,'Componentes APUs'!$H$1:$L$25,4,0)</f>
        <v>115964.28571428571</v>
      </c>
      <c r="F787" s="51">
        <f>VLOOKUP(A787,'Componentes APUs'!$H$1:$L$25,5,0)</f>
        <v>69578.57142857142</v>
      </c>
      <c r="G787" s="51">
        <f>ROUNDUP((E787+F787)*C787/E773,0)</f>
        <v>0</v>
      </c>
    </row>
    <row r="788" spans="1:9" x14ac:dyDescent="0.25">
      <c r="A788" s="50" t="s">
        <v>50</v>
      </c>
      <c r="B788" s="68" t="str">
        <f>VLOOKUP(A788,'Componentes APUs'!$H$1:$L$25,2,0)</f>
        <v>Profesional en SST</v>
      </c>
      <c r="C788" s="93">
        <v>0.25</v>
      </c>
      <c r="D788" s="50">
        <f>VLOOKUP(A788,'Componentes APUs'!$H$1:$L$25,3,0)</f>
        <v>2.5</v>
      </c>
      <c r="E788" s="51">
        <f>VLOOKUP(A788,'Componentes APUs'!$H$1:$L$25,4,0)</f>
        <v>169464.28571428571</v>
      </c>
      <c r="F788" s="51">
        <f>VLOOKUP(A788,'Componentes APUs'!$H$1:$L$25,5,0)</f>
        <v>101678.57142857142</v>
      </c>
      <c r="G788" s="51">
        <f>ROUNDUP((E788+F788)*C788/E773,0)</f>
        <v>272</v>
      </c>
    </row>
    <row r="789" spans="1:9" x14ac:dyDescent="0.25">
      <c r="A789" s="50" t="s">
        <v>1109</v>
      </c>
      <c r="B789" s="68" t="str">
        <f>VLOOKUP(A789,'Componentes APUs'!$H$1:$L$25,2,0)</f>
        <v>Ayudante de Obra Civil</v>
      </c>
      <c r="C789" s="93">
        <v>1</v>
      </c>
      <c r="D789" s="50">
        <f>VLOOKUP(A789,'Componentes APUs'!$H$1:$L$25,3,0)</f>
        <v>1</v>
      </c>
      <c r="E789" s="51">
        <f>VLOOKUP(A789,'Componentes APUs'!$H$1:$L$25,4,0)</f>
        <v>77309.523809523816</v>
      </c>
      <c r="F789" s="51">
        <f>VLOOKUP(A789,'Componentes APUs'!$H$1:$L$25,5,0)</f>
        <v>46385.71428571429</v>
      </c>
      <c r="G789" s="51">
        <f>ROUNDUP((E789+F789)*C789/E773,0)</f>
        <v>495</v>
      </c>
    </row>
    <row r="790" spans="1:9" x14ac:dyDescent="0.25">
      <c r="A790" s="219" t="s">
        <v>56</v>
      </c>
      <c r="B790" s="219"/>
      <c r="C790" s="219"/>
      <c r="D790" s="219"/>
      <c r="E790" s="219"/>
      <c r="F790" s="219"/>
      <c r="G790" s="52">
        <f>SUM(G784:G789)</f>
        <v>767</v>
      </c>
    </row>
    <row r="791" spans="1:9" x14ac:dyDescent="0.25">
      <c r="A791" s="56"/>
      <c r="B791" s="57"/>
      <c r="C791" s="57"/>
      <c r="D791" s="57"/>
      <c r="E791" s="57"/>
      <c r="F791" s="57"/>
      <c r="G791" s="58"/>
    </row>
    <row r="792" spans="1:9" x14ac:dyDescent="0.25">
      <c r="A792" s="219" t="s">
        <v>57</v>
      </c>
      <c r="B792" s="219"/>
      <c r="C792" s="219"/>
      <c r="D792" s="219"/>
      <c r="E792" s="219"/>
      <c r="F792" s="219"/>
      <c r="G792" s="219"/>
    </row>
    <row r="793" spans="1:9" x14ac:dyDescent="0.25">
      <c r="A793" s="49" t="s">
        <v>35</v>
      </c>
      <c r="B793" s="219" t="s">
        <v>36</v>
      </c>
      <c r="C793" s="219"/>
      <c r="D793" s="49" t="s">
        <v>37</v>
      </c>
      <c r="E793" s="49" t="s">
        <v>38</v>
      </c>
      <c r="F793" s="49" t="s">
        <v>39</v>
      </c>
      <c r="G793" s="49" t="s">
        <v>40</v>
      </c>
    </row>
    <row r="794" spans="1:9" x14ac:dyDescent="0.25">
      <c r="A794" s="50" t="s">
        <v>326</v>
      </c>
      <c r="B794" s="220" t="str">
        <f>VLOOKUP(A794,'Componentes APUs'!$S$1:$V$10,2,0)</f>
        <v>Juego Llaves</v>
      </c>
      <c r="C794" s="220"/>
      <c r="D794" s="50" t="s">
        <v>18</v>
      </c>
      <c r="E794" s="50">
        <v>0</v>
      </c>
      <c r="F794" s="51">
        <f>VLOOKUP(A794,'Componentes APUs'!$S$1:$V$10,4,0)</f>
        <v>9167</v>
      </c>
      <c r="G794" s="51">
        <f>ROUNDUP(F794*((E794/21)/E773),0)</f>
        <v>0</v>
      </c>
      <c r="I794" s="91"/>
    </row>
    <row r="795" spans="1:9" x14ac:dyDescent="0.25">
      <c r="A795" s="50" t="s">
        <v>58</v>
      </c>
      <c r="B795" s="220" t="str">
        <f>VLOOKUP(A795,'Componentes APUs'!$S$1:$V$10,2,0)</f>
        <v>Manila de servicio</v>
      </c>
      <c r="C795" s="220"/>
      <c r="D795" s="50" t="s">
        <v>18</v>
      </c>
      <c r="E795" s="50">
        <v>0</v>
      </c>
      <c r="F795" s="51">
        <f>VLOOKUP(A795,'Componentes APUs'!$S$1:$V$10,4,0)</f>
        <v>2333</v>
      </c>
      <c r="G795" s="51">
        <f>ROUNDUP(F795*((E795/21)/E773),0)</f>
        <v>0</v>
      </c>
    </row>
    <row r="796" spans="1:9" x14ac:dyDescent="0.25">
      <c r="A796" s="50" t="s">
        <v>327</v>
      </c>
      <c r="B796" s="220" t="str">
        <f>VLOOKUP(A796,'Componentes APUs'!$S$1:$V$10,2,0)</f>
        <v>Tula portaherramientas</v>
      </c>
      <c r="C796" s="220"/>
      <c r="D796" s="50" t="s">
        <v>18</v>
      </c>
      <c r="E796" s="50">
        <v>0</v>
      </c>
      <c r="F796" s="51">
        <f>VLOOKUP(A796,'Componentes APUs'!$S$1:$V$10,4,0)</f>
        <v>1250</v>
      </c>
      <c r="G796" s="51">
        <f>ROUNDUP(F796*((E796/21)/E773),0)</f>
        <v>0</v>
      </c>
    </row>
    <row r="797" spans="1:9" x14ac:dyDescent="0.25">
      <c r="A797" s="50" t="s">
        <v>60</v>
      </c>
      <c r="B797" s="220" t="str">
        <f>VLOOKUP(A797,'Componentes APUs'!$S$1:$V$10,2,0)</f>
        <v>Agarradoras</v>
      </c>
      <c r="C797" s="220"/>
      <c r="D797" s="50" t="s">
        <v>18</v>
      </c>
      <c r="E797" s="50">
        <v>0</v>
      </c>
      <c r="F797" s="51">
        <f>VLOOKUP(A797,'Componentes APUs'!$S$1:$V$10,4,0)</f>
        <v>125000</v>
      </c>
      <c r="G797" s="51">
        <f>ROUNDUP(F797*((E797/21)/E773),0)</f>
        <v>0</v>
      </c>
    </row>
    <row r="798" spans="1:9" x14ac:dyDescent="0.25">
      <c r="A798" s="50" t="s">
        <v>62</v>
      </c>
      <c r="B798" s="220" t="str">
        <f>VLOOKUP(A798,'Componentes APUs'!$S$1:$V$10,2,0)</f>
        <v>Templadoras</v>
      </c>
      <c r="C798" s="220"/>
      <c r="D798" s="50" t="s">
        <v>18</v>
      </c>
      <c r="E798" s="50">
        <v>0</v>
      </c>
      <c r="F798" s="51">
        <f>VLOOKUP(A798,'Componentes APUs'!$S$1:$V$10,4,0)</f>
        <v>250000</v>
      </c>
      <c r="G798" s="51">
        <f>ROUNDUP(F798*((E798/21)/E773),0)</f>
        <v>0</v>
      </c>
    </row>
    <row r="799" spans="1:9" x14ac:dyDescent="0.25">
      <c r="A799" s="50" t="s">
        <v>328</v>
      </c>
      <c r="B799" s="220" t="str">
        <f>VLOOKUP(A799,'Componentes APUs'!$S$1:$V$10,2,0)</f>
        <v>Herramienta Menor</v>
      </c>
      <c r="C799" s="220"/>
      <c r="D799" s="50" t="s">
        <v>18</v>
      </c>
      <c r="E799" s="50">
        <v>1</v>
      </c>
      <c r="F799" s="51">
        <f>VLOOKUP(A799,'Componentes APUs'!$S$1:$V$10,4,0)</f>
        <v>75758</v>
      </c>
      <c r="G799" s="51">
        <f>ROUNDUP(F799*((E799/21)/E773),0)</f>
        <v>15</v>
      </c>
    </row>
    <row r="800" spans="1:9" x14ac:dyDescent="0.25">
      <c r="A800" s="219" t="s">
        <v>69</v>
      </c>
      <c r="B800" s="219"/>
      <c r="C800" s="219"/>
      <c r="D800" s="219"/>
      <c r="E800" s="219"/>
      <c r="F800" s="219"/>
      <c r="G800" s="52">
        <f>SUM(G794:G799)</f>
        <v>15</v>
      </c>
    </row>
    <row r="801" spans="1:9" x14ac:dyDescent="0.25">
      <c r="A801" s="56"/>
      <c r="B801" s="57"/>
      <c r="C801" s="57"/>
      <c r="D801" s="57"/>
      <c r="E801" s="57"/>
      <c r="F801" s="57"/>
      <c r="G801" s="58"/>
    </row>
    <row r="802" spans="1:9" x14ac:dyDescent="0.25">
      <c r="A802" s="219" t="s">
        <v>70</v>
      </c>
      <c r="B802" s="219"/>
      <c r="C802" s="219"/>
      <c r="D802" s="219"/>
      <c r="E802" s="219"/>
      <c r="F802" s="219"/>
      <c r="G802" s="219"/>
    </row>
    <row r="803" spans="1:9" x14ac:dyDescent="0.25">
      <c r="A803" s="49" t="s">
        <v>35</v>
      </c>
      <c r="B803" s="219" t="s">
        <v>36</v>
      </c>
      <c r="C803" s="219"/>
      <c r="D803" s="49" t="s">
        <v>37</v>
      </c>
      <c r="E803" s="49" t="s">
        <v>38</v>
      </c>
      <c r="F803" s="49" t="s">
        <v>39</v>
      </c>
      <c r="G803" s="49" t="s">
        <v>40</v>
      </c>
    </row>
    <row r="804" spans="1:9" x14ac:dyDescent="0.25">
      <c r="A804" s="50" t="s">
        <v>71</v>
      </c>
      <c r="B804" s="71" t="str">
        <f>VLOOKUP(A804,'Componentes APUs'!$A$1:$D$14,2,0)</f>
        <v>Camisa indigo sin partes metalicas</v>
      </c>
      <c r="C804" s="71"/>
      <c r="D804" s="50" t="str">
        <f>VLOOKUP(A804,'Componentes APUs'!$A$1:$D$14,3,0)</f>
        <v>U</v>
      </c>
      <c r="E804" s="50">
        <f>SUM(C784:C789)</f>
        <v>1.25</v>
      </c>
      <c r="F804" s="51">
        <f>VLOOKUP(A804,'Componentes APUs'!$A$1:$D$14,4,0)</f>
        <v>8585.8585858585866</v>
      </c>
      <c r="G804" s="51">
        <f>ROUNDUP(F804*(E804/21)/E773,0)</f>
        <v>3</v>
      </c>
      <c r="I804" s="91"/>
    </row>
    <row r="805" spans="1:9" x14ac:dyDescent="0.25">
      <c r="A805" s="69" t="s">
        <v>73</v>
      </c>
      <c r="B805" s="72" t="str">
        <f>VLOOKUP(A805,'Componentes APUs'!$A$1:$D$14,2,0)</f>
        <v>Bota de seguridad dielectrica</v>
      </c>
      <c r="C805" s="73"/>
      <c r="D805" s="70" t="str">
        <f>VLOOKUP(A805,'Componentes APUs'!$A$1:$D$14,3,0)</f>
        <v>Par</v>
      </c>
      <c r="E805" s="50">
        <f>SUM(C784:C789)</f>
        <v>1.25</v>
      </c>
      <c r="F805" s="51">
        <f>VLOOKUP(A805,'Componentes APUs'!$A$1:$D$14,4,0)</f>
        <v>7500</v>
      </c>
      <c r="G805" s="51">
        <f>ROUNDUP(F805*(E805/21)/E773,0)</f>
        <v>2</v>
      </c>
    </row>
    <row r="806" spans="1:9" x14ac:dyDescent="0.25">
      <c r="A806" s="50" t="s">
        <v>76</v>
      </c>
      <c r="B806" s="72" t="str">
        <f>VLOOKUP(A806,'Componentes APUs'!$A$1:$D$14,2,0)</f>
        <v>Casco dielectrico Tipo 1 Clase E con barbuquejo</v>
      </c>
      <c r="C806" s="73"/>
      <c r="D806" s="50" t="str">
        <f>VLOOKUP(A806,'Componentes APUs'!$A$1:$D$14,3,0)</f>
        <v>U</v>
      </c>
      <c r="E806" s="50">
        <f>C784+C785+C787+C788+C789+IF(A786&lt;&gt;"MO-3",C786,0)</f>
        <v>1.25</v>
      </c>
      <c r="F806" s="51">
        <f>VLOOKUP(A806,'Componentes APUs'!$A$1:$D$14,4,0)</f>
        <v>10101.010101010101</v>
      </c>
      <c r="G806" s="51">
        <f>ROUNDUP(F806*(E806/21)/E773,0)</f>
        <v>3</v>
      </c>
    </row>
    <row r="807" spans="1:9" x14ac:dyDescent="0.25">
      <c r="A807" s="69" t="s">
        <v>77</v>
      </c>
      <c r="B807" s="72" t="str">
        <f>VLOOKUP(A807,'Componentes APUs'!$A$1:$D$14,2,0)</f>
        <v>Correa plastica y antiflama</v>
      </c>
      <c r="C807" s="73"/>
      <c r="D807" s="50" t="str">
        <f>VLOOKUP(A807,'Componentes APUs'!$A$1:$D$14,3,0)</f>
        <v>U</v>
      </c>
      <c r="E807" s="50">
        <f>SUM(C784:C789)</f>
        <v>1.25</v>
      </c>
      <c r="F807" s="51">
        <f>VLOOKUP(A807,'Componentes APUs'!$A$1:$D$14,4,0)</f>
        <v>3787.878787878788</v>
      </c>
      <c r="G807" s="51">
        <f>ROUNDUP(F807*(E807/21)/E773,0)</f>
        <v>1</v>
      </c>
    </row>
    <row r="808" spans="1:9" x14ac:dyDescent="0.25">
      <c r="A808" s="50" t="s">
        <v>79</v>
      </c>
      <c r="B808" s="72" t="str">
        <f>VLOOKUP(A808,'Componentes APUs'!$A$1:$D$14,2,0)</f>
        <v>Gafas protectoras filtro UV</v>
      </c>
      <c r="C808" s="73"/>
      <c r="D808" s="50" t="str">
        <f>VLOOKUP(A808,'Componentes APUs'!$A$1:$D$14,3,0)</f>
        <v>U</v>
      </c>
      <c r="E808" s="50">
        <f>SUM(C784:C789)</f>
        <v>1.25</v>
      </c>
      <c r="F808" s="51">
        <f>VLOOKUP(A808,'Componentes APUs'!$A$1:$D$14,4,0)</f>
        <v>2777.7777777777778</v>
      </c>
      <c r="G808" s="51">
        <f>ROUNDUP(F808*(E808/21)/E773,0)</f>
        <v>1</v>
      </c>
    </row>
    <row r="809" spans="1:9" x14ac:dyDescent="0.25">
      <c r="A809" s="69" t="s">
        <v>402</v>
      </c>
      <c r="B809" s="72" t="str">
        <f>VLOOKUP(A809,'Componentes APUs'!$A$1:$D$14,2,0)</f>
        <v>Bota de seguridad PVC dielectrica</v>
      </c>
      <c r="C809" s="73"/>
      <c r="D809" s="50" t="str">
        <f>VLOOKUP(A809,'Componentes APUs'!$A$1:$D$14,3,0)</f>
        <v>Par</v>
      </c>
      <c r="E809" s="50">
        <f>SUM(C784:C789)</f>
        <v>1.25</v>
      </c>
      <c r="F809" s="51">
        <f>VLOOKUP(A809,'Componentes APUs'!$A$1:$D$14,4,0)</f>
        <v>2916.6666666666665</v>
      </c>
      <c r="G809" s="51">
        <f>ROUNDUP(F809*(E809/21)/E773,0)</f>
        <v>1</v>
      </c>
    </row>
    <row r="810" spans="1:9" x14ac:dyDescent="0.25">
      <c r="A810" s="50" t="s">
        <v>403</v>
      </c>
      <c r="B810" s="72" t="str">
        <f>VLOOKUP(A810,'Componentes APUs'!$A$1:$D$14,2,0)</f>
        <v>Capuchon</v>
      </c>
      <c r="C810" s="73"/>
      <c r="D810" s="50" t="str">
        <f>VLOOKUP(A810,'Componentes APUs'!$A$1:$D$14,3,0)</f>
        <v>U</v>
      </c>
      <c r="E810" s="50">
        <f>SUM(C784:C789)</f>
        <v>1.25</v>
      </c>
      <c r="F810" s="51">
        <f>VLOOKUP(A810,'Componentes APUs'!$A$1:$D$14,4,0)</f>
        <v>2525.2525252525252</v>
      </c>
      <c r="G810" s="51">
        <f>ROUNDUP(F810*(E810/21)/E773,0)</f>
        <v>1</v>
      </c>
    </row>
    <row r="811" spans="1:9" x14ac:dyDescent="0.25">
      <c r="A811" s="69" t="s">
        <v>81</v>
      </c>
      <c r="B811" s="72" t="str">
        <f>VLOOKUP(A811,'Componentes APUs'!$A$1:$D$14,2,0)</f>
        <v>Guantes Protectores  - ingeniero reforzados</v>
      </c>
      <c r="C811" s="73"/>
      <c r="D811" s="50" t="str">
        <f>VLOOKUP(A811,'Componentes APUs'!$A$1:$D$14,3,0)</f>
        <v>Par</v>
      </c>
      <c r="E811" s="50">
        <f>C786+C787+C789</f>
        <v>1</v>
      </c>
      <c r="F811" s="51">
        <f>VLOOKUP(A811,'Componentes APUs'!$A$1:$D$14,4,0)</f>
        <v>2525.2525252525252</v>
      </c>
      <c r="G811" s="51">
        <f>ROUNDUP(F811*(E811/21)/E773,0)</f>
        <v>1</v>
      </c>
    </row>
    <row r="812" spans="1:9" x14ac:dyDescent="0.25">
      <c r="A812" s="50" t="s">
        <v>83</v>
      </c>
      <c r="B812" s="72" t="str">
        <f>VLOOKUP(A812,'Componentes APUs'!$A$1:$D$14,2,0)</f>
        <v>Impermeable (pantalon camisa)</v>
      </c>
      <c r="C812" s="73"/>
      <c r="D812" s="50" t="str">
        <f>VLOOKUP(A812,'Componentes APUs'!$A$1:$D$14,3,0)</f>
        <v>U</v>
      </c>
      <c r="E812" s="50">
        <f>SUM(C784:C789)</f>
        <v>1.25</v>
      </c>
      <c r="F812" s="51">
        <f>VLOOKUP(A812,'Componentes APUs'!$A$1:$D$14,4,0)</f>
        <v>3750</v>
      </c>
      <c r="G812" s="51">
        <f>ROUNDUP(F812*(E812/21)/E773,0)</f>
        <v>1</v>
      </c>
    </row>
    <row r="813" spans="1:9" x14ac:dyDescent="0.25">
      <c r="A813" s="69" t="s">
        <v>85</v>
      </c>
      <c r="B813" s="72" t="str">
        <f>VLOOKUP(A813,'Componentes APUs'!$A$1:$D$14,2,0)</f>
        <v>Jean Dielectrico</v>
      </c>
      <c r="C813" s="73"/>
      <c r="D813" s="50" t="str">
        <f>VLOOKUP(A813,'Componentes APUs'!$A$1:$D$14,3,0)</f>
        <v>U</v>
      </c>
      <c r="E813" s="50">
        <f>SUM(C784:C789)</f>
        <v>1.25</v>
      </c>
      <c r="F813" s="51">
        <f>VLOOKUP(A813,'Componentes APUs'!$A$1:$D$14,4,0)</f>
        <v>7575.757575757576</v>
      </c>
      <c r="G813" s="51">
        <f>ROUNDUP(F813*(E813/21)/E773,0)</f>
        <v>2</v>
      </c>
    </row>
    <row r="814" spans="1:9" x14ac:dyDescent="0.25">
      <c r="A814" s="50" t="s">
        <v>87</v>
      </c>
      <c r="B814" s="72" t="str">
        <f>VLOOKUP(A814,'Componentes APUs'!$A$1:$D$14,2,0)</f>
        <v>Casco dielectrico Tipo 2 Clase E con barboquejo</v>
      </c>
      <c r="C814" s="73"/>
      <c r="D814" s="50" t="str">
        <f>VLOOKUP(A814,'Componentes APUs'!$A$1:$D$14,3,0)</f>
        <v>U</v>
      </c>
      <c r="E814" s="53">
        <f>IF(A786="MO-3",C786,0)</f>
        <v>0</v>
      </c>
      <c r="F814" s="51">
        <f>VLOOKUP(A814,'Componentes APUs'!$A$1:$D$14,4,0)</f>
        <v>7500</v>
      </c>
      <c r="G814" s="51">
        <f>ROUNDUP(F814*(E814/21)/E773,0)</f>
        <v>0</v>
      </c>
    </row>
    <row r="815" spans="1:9" x14ac:dyDescent="0.25">
      <c r="A815" s="69" t="s">
        <v>89</v>
      </c>
      <c r="B815" s="72" t="str">
        <f>VLOOKUP(A815,'Componentes APUs'!$A$1:$D$14,2,0)</f>
        <v>Kit de rescate para trabajo en alturas</v>
      </c>
      <c r="C815" s="73"/>
      <c r="D815" s="50" t="str">
        <f>VLOOKUP(A815,'Componentes APUs'!$A$1:$D$14,3,0)</f>
        <v>U</v>
      </c>
      <c r="E815" s="50">
        <f>IF(AND(A786="MO-3",C786=2),1,0)</f>
        <v>0</v>
      </c>
      <c r="F815" s="51">
        <f>VLOOKUP(A815,'Componentes APUs'!$A$1:$D$14,4,0)</f>
        <v>37500</v>
      </c>
      <c r="G815" s="51">
        <f>ROUNDUP(F815*(E815/21)/E773,0)</f>
        <v>0</v>
      </c>
    </row>
    <row r="816" spans="1:9" x14ac:dyDescent="0.25">
      <c r="A816" s="50" t="s">
        <v>91</v>
      </c>
      <c r="B816" s="72" t="str">
        <f>VLOOKUP(A816,'Componentes APUs'!$A$1:$D$14,2,0)</f>
        <v>Equipo completo para trabajo en alturas con pretales (Arnes dielectrico, 1 mosqueton de seguridad, tie off dielectrico, eslinga de posicionamiento, juego de pretales)</v>
      </c>
      <c r="C816" s="73"/>
      <c r="D816" s="50" t="str">
        <f>VLOOKUP(A816,'Componentes APUs'!$A$1:$D$14,3,0)</f>
        <v>U</v>
      </c>
      <c r="E816" s="50">
        <f>IF(A786="MO-3",C786,0)</f>
        <v>0</v>
      </c>
      <c r="F816" s="51">
        <f>VLOOKUP(A816,'Componentes APUs'!$A$1:$D$14,4,0)</f>
        <v>26041.666666666668</v>
      </c>
      <c r="G816" s="51">
        <f>ROUNDUP(F816*(E816/21)/E773,0)</f>
        <v>0</v>
      </c>
    </row>
    <row r="817" spans="1:7" x14ac:dyDescent="0.25">
      <c r="A817" s="219" t="s">
        <v>95</v>
      </c>
      <c r="B817" s="219"/>
      <c r="C817" s="219"/>
      <c r="D817" s="219"/>
      <c r="E817" s="219"/>
      <c r="F817" s="219"/>
      <c r="G817" s="52">
        <f>SUM(G804:G816)</f>
        <v>16</v>
      </c>
    </row>
    <row r="818" spans="1:7" x14ac:dyDescent="0.25">
      <c r="A818" s="56"/>
      <c r="B818" s="57"/>
      <c r="C818" s="57"/>
      <c r="D818" s="57"/>
      <c r="E818" s="57"/>
      <c r="F818" s="57"/>
      <c r="G818" s="58"/>
    </row>
    <row r="819" spans="1:7" x14ac:dyDescent="0.25">
      <c r="A819" s="219" t="s">
        <v>96</v>
      </c>
      <c r="B819" s="219"/>
      <c r="C819" s="219"/>
      <c r="D819" s="219"/>
      <c r="E819" s="219"/>
      <c r="F819" s="219"/>
      <c r="G819" s="219"/>
    </row>
    <row r="820" spans="1:7" x14ac:dyDescent="0.25">
      <c r="A820" s="49" t="s">
        <v>35</v>
      </c>
      <c r="B820" s="225" t="s">
        <v>36</v>
      </c>
      <c r="C820" s="225"/>
      <c r="D820" s="49" t="s">
        <v>37</v>
      </c>
      <c r="E820" s="49" t="s">
        <v>38</v>
      </c>
      <c r="F820" s="49" t="s">
        <v>39</v>
      </c>
      <c r="G820" s="49" t="s">
        <v>40</v>
      </c>
    </row>
    <row r="821" spans="1:7" x14ac:dyDescent="0.25">
      <c r="A821" s="69" t="s">
        <v>97</v>
      </c>
      <c r="B821" s="72" t="str">
        <f>VLOOKUP(A821,'Componentes APUs'!$N$1:$Q$30,2,0)</f>
        <v>Camioneta</v>
      </c>
      <c r="C821" s="73"/>
      <c r="D821" s="70" t="str">
        <f>VLOOKUP(A821,'Componentes APUs'!$N$1:$Q$30,3,0)</f>
        <v>U</v>
      </c>
      <c r="E821" s="50">
        <v>0</v>
      </c>
      <c r="F821" s="51">
        <f>VLOOKUP(A821,'Componentes APUs'!$N$1:$Q$30,4,0)</f>
        <v>5500000</v>
      </c>
      <c r="G821" s="51">
        <f>IFERROR(ROUNDUP(F821*(E821/21)/E773,0),"-")</f>
        <v>0</v>
      </c>
    </row>
    <row r="822" spans="1:7" x14ac:dyDescent="0.25">
      <c r="A822" s="50" t="s">
        <v>2567</v>
      </c>
      <c r="B822" s="72" t="str">
        <f>VLOOKUP(A822,'Componentes APUs'!$N$1:$Q$30,2,0)</f>
        <v>CARRETA BUGGIE, PALA, ZAPAPICO</v>
      </c>
      <c r="C822" s="73"/>
      <c r="D822" s="70" t="str">
        <f>VLOOKUP(A822,'Componentes APUs'!$N$1:$Q$30,3,0)</f>
        <v>U</v>
      </c>
      <c r="E822" s="50">
        <v>0.13</v>
      </c>
      <c r="F822" s="51">
        <f>VLOOKUP(A822,'Componentes APUs'!$N$1:$Q$30,4,0)</f>
        <v>72077040</v>
      </c>
      <c r="G822" s="51">
        <f>IFERROR(ROUNDUP(F822*(E822/21)/E773,0),"-")</f>
        <v>1785</v>
      </c>
    </row>
    <row r="823" spans="1:7" x14ac:dyDescent="0.25">
      <c r="A823" s="69" t="s">
        <v>2563</v>
      </c>
      <c r="B823" s="72" t="str">
        <f>VLOOKUP(A823,'Componentes APUs'!$N$1:$Q$30,2,0)</f>
        <v>CILINDRO COMPACTADOR BENITÍN DE 300 Kg</v>
      </c>
      <c r="C823" s="73"/>
      <c r="D823" s="70" t="str">
        <f>VLOOKUP(A823,'Componentes APUs'!$N$1:$Q$30,3,0)</f>
        <v>U</v>
      </c>
      <c r="E823" s="50">
        <v>1</v>
      </c>
      <c r="F823" s="51">
        <f>VLOOKUP(A823,'Componentes APUs'!$N$1:$Q$30,4,0)</f>
        <v>17329872</v>
      </c>
      <c r="G823" s="51">
        <f>IFERROR(ROUNDUP(F823*(E823/21)/E773,0),"-")</f>
        <v>3301</v>
      </c>
    </row>
    <row r="824" spans="1:7" x14ac:dyDescent="0.25">
      <c r="A824" s="50" t="s">
        <v>323</v>
      </c>
      <c r="B824" s="72" t="str">
        <f>VLOOKUP(A824,'Componentes APUs'!$N$1:$Q$30,2,0)</f>
        <v>Volqueta</v>
      </c>
      <c r="C824" s="73"/>
      <c r="D824" s="70" t="str">
        <f>VLOOKUP(A824,'Componentes APUs'!$N$1:$Q$30,3,0)</f>
        <v>U</v>
      </c>
      <c r="E824" s="50">
        <v>0</v>
      </c>
      <c r="F824" s="51">
        <f>VLOOKUP(A824,'Componentes APUs'!$N$1:$Q$30,4,0)</f>
        <v>14828184</v>
      </c>
      <c r="G824" s="51">
        <f>IFERROR(ROUNDUP(F824*(E824/21)/E773,0),"-")</f>
        <v>0</v>
      </c>
    </row>
    <row r="825" spans="1:7" x14ac:dyDescent="0.25">
      <c r="A825" s="69" t="s">
        <v>324</v>
      </c>
      <c r="B825" s="72" t="str">
        <f>VLOOKUP(A825,'Componentes APUs'!$N$1:$Q$30,2,0)</f>
        <v>Retroexcavadora</v>
      </c>
      <c r="C825" s="73"/>
      <c r="D825" s="70" t="str">
        <f>VLOOKUP(A825,'Componentes APUs'!$N$1:$Q$30,3,0)</f>
        <v>U</v>
      </c>
      <c r="E825" s="50">
        <v>0</v>
      </c>
      <c r="F825" s="51">
        <f>VLOOKUP(A825,'Componentes APUs'!$N$1:$Q$30,4,0)</f>
        <v>46030656</v>
      </c>
      <c r="G825" s="51">
        <f>IFERROR(ROUNDUP(F825*(E825/21)/E773,0),"-")</f>
        <v>0</v>
      </c>
    </row>
    <row r="826" spans="1:7" x14ac:dyDescent="0.25">
      <c r="A826" s="69" t="s">
        <v>2569</v>
      </c>
      <c r="B826" s="72" t="str">
        <f>VLOOKUP(A826,'Componentes APUs'!$N$1:$Q$30,2,0)</f>
        <v>MINICARGADOR CON OPERARIO</v>
      </c>
      <c r="C826" s="73"/>
      <c r="D826" s="70" t="str">
        <f>VLOOKUP(A826,'Componentes APUs'!$N$1:$Q$30,3,0)</f>
        <v>U</v>
      </c>
      <c r="E826" s="50">
        <v>1</v>
      </c>
      <c r="F826" s="51">
        <f>VLOOKUP(A826,'Componentes APUs'!$N$1:$Q$30,4,0)</f>
        <v>19711776</v>
      </c>
      <c r="G826" s="51">
        <f>IFERROR(ROUNDUP(F826*(E826/21)/E773,0),"-")</f>
        <v>3755</v>
      </c>
    </row>
    <row r="827" spans="1:7" x14ac:dyDescent="0.25">
      <c r="A827" s="219" t="s">
        <v>99</v>
      </c>
      <c r="B827" s="219"/>
      <c r="C827" s="219"/>
      <c r="D827" s="219"/>
      <c r="E827" s="219"/>
      <c r="F827" s="219"/>
      <c r="G827" s="52">
        <f>SUM(G821:G825)</f>
        <v>5086</v>
      </c>
    </row>
    <row r="828" spans="1:7" x14ac:dyDescent="0.25">
      <c r="A828" s="56"/>
      <c r="B828" s="57"/>
      <c r="C828" s="57"/>
      <c r="D828" s="57"/>
      <c r="E828" s="57"/>
      <c r="F828" s="57"/>
      <c r="G828" s="58"/>
    </row>
    <row r="829" spans="1:7" x14ac:dyDescent="0.25">
      <c r="A829" s="219" t="s">
        <v>1516</v>
      </c>
      <c r="B829" s="219"/>
      <c r="C829" s="219"/>
      <c r="D829" s="219"/>
      <c r="E829" s="219"/>
      <c r="F829" s="219"/>
      <c r="G829" s="52">
        <f>G827+G817+G800+G790+G780</f>
        <v>79977</v>
      </c>
    </row>
    <row r="830" spans="1:7" x14ac:dyDescent="0.25">
      <c r="A830" s="59"/>
      <c r="B830" s="60"/>
      <c r="C830" s="60"/>
      <c r="D830" s="60"/>
      <c r="E830" s="57"/>
      <c r="F830" s="57"/>
      <c r="G830" s="58"/>
    </row>
    <row r="831" spans="1:7" x14ac:dyDescent="0.25">
      <c r="A831" s="64"/>
      <c r="D831" s="55"/>
      <c r="E831" s="49" t="s">
        <v>25</v>
      </c>
      <c r="F831" s="54">
        <v>0.15</v>
      </c>
      <c r="G831" s="51">
        <f>G829*F831</f>
        <v>11996.55</v>
      </c>
    </row>
    <row r="832" spans="1:7" x14ac:dyDescent="0.25">
      <c r="A832" s="64"/>
      <c r="D832" s="55"/>
      <c r="E832" s="49" t="s">
        <v>26</v>
      </c>
      <c r="F832" s="54">
        <v>0.05</v>
      </c>
      <c r="G832" s="51">
        <f>G829*F832</f>
        <v>3998.8500000000004</v>
      </c>
    </row>
    <row r="833" spans="1:8" x14ac:dyDescent="0.25">
      <c r="A833" s="61"/>
      <c r="B833" s="65"/>
      <c r="C833" s="65"/>
      <c r="D833" s="62"/>
      <c r="E833" s="49" t="s">
        <v>27</v>
      </c>
      <c r="F833" s="54">
        <v>0.05</v>
      </c>
      <c r="G833" s="51">
        <f>G829*F833</f>
        <v>3998.8500000000004</v>
      </c>
    </row>
    <row r="834" spans="1:8" x14ac:dyDescent="0.25">
      <c r="A834" s="61"/>
      <c r="B834" s="62"/>
      <c r="C834" s="62"/>
      <c r="D834" s="62"/>
      <c r="E834" s="62"/>
      <c r="F834" s="62"/>
      <c r="G834" s="63"/>
    </row>
    <row r="835" spans="1:8" x14ac:dyDescent="0.25">
      <c r="A835" s="219" t="s">
        <v>1517</v>
      </c>
      <c r="B835" s="219"/>
      <c r="C835" s="219"/>
      <c r="D835" s="219"/>
      <c r="E835" s="219"/>
      <c r="F835" s="219"/>
      <c r="G835" s="52">
        <f>G829+G831+G832+G833</f>
        <v>99971.250000000015</v>
      </c>
    </row>
    <row r="836" spans="1:8" x14ac:dyDescent="0.25">
      <c r="A836" s="59"/>
      <c r="B836" s="60"/>
      <c r="C836" s="60"/>
      <c r="D836" s="60"/>
      <c r="E836" s="57"/>
      <c r="F836" s="57"/>
      <c r="G836" s="58"/>
    </row>
    <row r="837" spans="1:8" x14ac:dyDescent="0.25">
      <c r="A837" s="64"/>
      <c r="D837" s="55"/>
      <c r="E837" s="49" t="s">
        <v>102</v>
      </c>
      <c r="F837" s="49" t="s">
        <v>103</v>
      </c>
      <c r="G837" s="51">
        <f>G833*19%</f>
        <v>759.78150000000005</v>
      </c>
    </row>
    <row r="838" spans="1:8" x14ac:dyDescent="0.25">
      <c r="A838" s="61"/>
      <c r="B838" s="62"/>
      <c r="C838" s="62"/>
      <c r="D838" s="62"/>
      <c r="E838" s="57"/>
      <c r="F838" s="57"/>
      <c r="G838" s="58"/>
    </row>
    <row r="839" spans="1:8" x14ac:dyDescent="0.25">
      <c r="A839" s="219" t="s">
        <v>104</v>
      </c>
      <c r="B839" s="219"/>
      <c r="C839" s="219"/>
      <c r="D839" s="219"/>
      <c r="E839" s="219"/>
      <c r="F839" s="219"/>
      <c r="G839" s="52">
        <f>G837+G835</f>
        <v>100731.03150000001</v>
      </c>
    </row>
    <row r="841" spans="1:8" x14ac:dyDescent="0.25">
      <c r="A841" s="74" t="s">
        <v>29</v>
      </c>
      <c r="B841" s="226" t="s">
        <v>30</v>
      </c>
      <c r="C841" s="226"/>
      <c r="D841" s="74" t="s">
        <v>31</v>
      </c>
      <c r="E841" s="74" t="s">
        <v>32</v>
      </c>
      <c r="F841" s="74" t="s">
        <v>189</v>
      </c>
      <c r="G841" s="74" t="s">
        <v>33</v>
      </c>
    </row>
    <row r="842" spans="1:8" x14ac:dyDescent="0.25">
      <c r="A842" s="50" t="str">
        <f>Presupuesto!B20</f>
        <v>014_OC</v>
      </c>
      <c r="B842" s="247" t="str">
        <f>Presupuesto!C20</f>
        <v>RELLENO CON GRAVILLA</v>
      </c>
      <c r="C842" s="248"/>
      <c r="D842" s="50" t="s">
        <v>114</v>
      </c>
      <c r="E842" s="102">
        <v>400</v>
      </c>
      <c r="F842" s="50"/>
      <c r="G842" s="51">
        <f>G906</f>
        <v>116016.32349999998</v>
      </c>
      <c r="H842" s="45"/>
    </row>
    <row r="843" spans="1:8" x14ac:dyDescent="0.25">
      <c r="A843" s="219" t="s">
        <v>34</v>
      </c>
      <c r="B843" s="219"/>
      <c r="C843" s="219"/>
      <c r="D843" s="219"/>
      <c r="E843" s="219"/>
      <c r="F843" s="219"/>
      <c r="G843" s="219"/>
    </row>
    <row r="844" spans="1:8" x14ac:dyDescent="0.25">
      <c r="A844" s="49" t="s">
        <v>35</v>
      </c>
      <c r="B844" s="219" t="s">
        <v>36</v>
      </c>
      <c r="C844" s="219"/>
      <c r="D844" s="49" t="s">
        <v>37</v>
      </c>
      <c r="E844" s="49" t="s">
        <v>38</v>
      </c>
      <c r="F844" s="49" t="s">
        <v>39</v>
      </c>
      <c r="G844" s="49" t="s">
        <v>40</v>
      </c>
    </row>
    <row r="845" spans="1:8" x14ac:dyDescent="0.25">
      <c r="A845" s="50" t="str">
        <f>Material!A277</f>
        <v>MA-276</v>
      </c>
      <c r="B845" s="72" t="str">
        <f>IFERROR(VLOOKUP(A845,Material!$A:$H,2,0),"-")</f>
        <v>GRAVA CANTERA 20 MM diámetro</v>
      </c>
      <c r="C845" s="76"/>
      <c r="D845" s="50" t="str">
        <f>IFERROR(VLOOKUP(A845,Material!$A:$H,4,0),"-")</f>
        <v>M3</v>
      </c>
      <c r="E845" s="50">
        <v>1</v>
      </c>
      <c r="F845" s="51">
        <f>IFERROR(VLOOKUP(A845,Material!$A:$H,3,0),"-")</f>
        <v>88270</v>
      </c>
      <c r="G845" s="51">
        <f>IFERROR(ROUNDUP(F845*E845,0),"-")</f>
        <v>88270</v>
      </c>
    </row>
    <row r="846" spans="1:8" x14ac:dyDescent="0.25">
      <c r="A846" s="50"/>
      <c r="B846" s="72" t="str">
        <f>IFERROR(VLOOKUP(A846,Material!$A:$H,2,0),"-")</f>
        <v>-</v>
      </c>
      <c r="C846" s="76"/>
      <c r="D846" s="50" t="str">
        <f>IFERROR(VLOOKUP(A846,Material!$A:$H,4,0),"-")</f>
        <v>-</v>
      </c>
      <c r="E846" s="50"/>
      <c r="F846" s="51" t="str">
        <f>IFERROR(VLOOKUP(A846,Material!$A:$H,3,0),"-")</f>
        <v>-</v>
      </c>
      <c r="G846" s="51" t="str">
        <f>IFERROR(ROUNDUP(F846*E846,0),"-")</f>
        <v>-</v>
      </c>
    </row>
    <row r="847" spans="1:8" x14ac:dyDescent="0.25">
      <c r="A847" s="50"/>
      <c r="B847" s="72"/>
      <c r="C847" s="76"/>
      <c r="D847" s="50"/>
      <c r="E847" s="50"/>
      <c r="F847" s="51"/>
      <c r="G847" s="51"/>
      <c r="H847" s="92"/>
    </row>
    <row r="848" spans="1:8" x14ac:dyDescent="0.25">
      <c r="A848" s="219" t="s">
        <v>41</v>
      </c>
      <c r="B848" s="219"/>
      <c r="C848" s="219"/>
      <c r="D848" s="219"/>
      <c r="E848" s="219"/>
      <c r="F848" s="219"/>
      <c r="G848" s="52">
        <f>SUM(G845:G847)</f>
        <v>88270</v>
      </c>
    </row>
    <row r="849" spans="1:9" x14ac:dyDescent="0.25">
      <c r="A849" s="56"/>
      <c r="B849" s="57"/>
      <c r="C849" s="57"/>
      <c r="D849" s="57"/>
      <c r="E849" s="57"/>
      <c r="F849" s="57"/>
      <c r="G849" s="58"/>
    </row>
    <row r="850" spans="1:9" x14ac:dyDescent="0.25">
      <c r="A850" s="219" t="s">
        <v>42</v>
      </c>
      <c r="B850" s="219"/>
      <c r="C850" s="219"/>
      <c r="D850" s="219"/>
      <c r="E850" s="219"/>
      <c r="F850" s="219"/>
      <c r="G850" s="219"/>
    </row>
    <row r="851" spans="1:9" x14ac:dyDescent="0.25">
      <c r="A851" s="49" t="s">
        <v>35</v>
      </c>
      <c r="B851" s="49" t="s">
        <v>36</v>
      </c>
      <c r="C851" s="49" t="s">
        <v>38</v>
      </c>
      <c r="D851" s="49" t="s">
        <v>43</v>
      </c>
      <c r="E851" s="49" t="s">
        <v>44</v>
      </c>
      <c r="F851" s="49" t="s">
        <v>45</v>
      </c>
      <c r="G851" s="49" t="s">
        <v>40</v>
      </c>
    </row>
    <row r="852" spans="1:9" x14ac:dyDescent="0.25">
      <c r="A852" s="50" t="s">
        <v>319</v>
      </c>
      <c r="B852" s="68" t="str">
        <f>VLOOKUP(A852,'Componentes APUs'!$H$1:$L$25,2,0)</f>
        <v>Ingeniero Residente de Obra</v>
      </c>
      <c r="C852" s="93">
        <v>0.25</v>
      </c>
      <c r="D852" s="50">
        <f>VLOOKUP(A852,'Componentes APUs'!$H$1:$L$25,3,0)</f>
        <v>4</v>
      </c>
      <c r="E852" s="51">
        <f>VLOOKUP(A852,'Componentes APUs'!$H$1:$L$25,4,0)</f>
        <v>271142.85714285716</v>
      </c>
      <c r="F852" s="51">
        <f>VLOOKUP(A852,'Componentes APUs'!$H$1:$L$25,5,0)</f>
        <v>162685.71428571429</v>
      </c>
      <c r="G852" s="51">
        <f>ROUNDUP((E852+F852)*C852/E842,0)</f>
        <v>272</v>
      </c>
      <c r="H852" s="66"/>
    </row>
    <row r="853" spans="1:9" x14ac:dyDescent="0.25">
      <c r="A853" s="50" t="s">
        <v>320</v>
      </c>
      <c r="B853" s="68" t="str">
        <f>VLOOKUP(A853,'Componentes APUs'!$H$1:$L$25,2,0)</f>
        <v>Tecnico Supervisor</v>
      </c>
      <c r="C853" s="93">
        <v>0</v>
      </c>
      <c r="D853" s="50">
        <f>VLOOKUP(A853,'Componentes APUs'!$H$1:$L$25,3,0)</f>
        <v>2.2999999999999998</v>
      </c>
      <c r="E853" s="51">
        <f>VLOOKUP(A853,'Componentes APUs'!$H$1:$L$25,4,0)</f>
        <v>155907.14285714284</v>
      </c>
      <c r="F853" s="51">
        <f>VLOOKUP(A853,'Componentes APUs'!$H$1:$L$25,5,0)</f>
        <v>93544.285714285696</v>
      </c>
      <c r="G853" s="51">
        <f>ROUNDUP((E853+F853)*C853/E842,0)</f>
        <v>0</v>
      </c>
    </row>
    <row r="854" spans="1:9" x14ac:dyDescent="0.25">
      <c r="A854" s="50" t="s">
        <v>54</v>
      </c>
      <c r="B854" s="68" t="str">
        <f>VLOOKUP(A854,'Componentes APUs'!$H$1:$L$25,2,0)</f>
        <v>Maestro de obra civil</v>
      </c>
      <c r="C854" s="93">
        <v>0</v>
      </c>
      <c r="D854" s="50">
        <f>VLOOKUP(A854,'Componentes APUs'!$H$1:$L$25,3,0)</f>
        <v>2.5</v>
      </c>
      <c r="E854" s="51">
        <f>VLOOKUP(A854,'Componentes APUs'!$H$1:$L$25,4,0)</f>
        <v>169464.28571428571</v>
      </c>
      <c r="F854" s="51">
        <f>VLOOKUP(A854,'Componentes APUs'!$H$1:$L$25,5,0)</f>
        <v>101678.57142857142</v>
      </c>
      <c r="G854" s="51">
        <f>ROUNDUP((E854+F854)*C854/E842,0)</f>
        <v>0</v>
      </c>
    </row>
    <row r="855" spans="1:9" x14ac:dyDescent="0.25">
      <c r="A855" s="50" t="s">
        <v>1110</v>
      </c>
      <c r="B855" s="68" t="str">
        <f>VLOOKUP(A855,'Componentes APUs'!$H$1:$L$25,2,0)</f>
        <v>Oficial de Obra Civil</v>
      </c>
      <c r="C855" s="93">
        <v>0.25</v>
      </c>
      <c r="D855" s="50">
        <f>VLOOKUP(A855,'Componentes APUs'!$H$1:$L$25,3,0)</f>
        <v>1.5</v>
      </c>
      <c r="E855" s="51">
        <f>VLOOKUP(A855,'Componentes APUs'!$H$1:$L$25,4,0)</f>
        <v>115964.28571428571</v>
      </c>
      <c r="F855" s="51">
        <f>VLOOKUP(A855,'Componentes APUs'!$H$1:$L$25,5,0)</f>
        <v>69578.57142857142</v>
      </c>
      <c r="G855" s="51">
        <f>ROUNDUP((E855+F855)*C855/E842,0)</f>
        <v>116</v>
      </c>
    </row>
    <row r="856" spans="1:9" x14ac:dyDescent="0.25">
      <c r="A856" s="50" t="s">
        <v>50</v>
      </c>
      <c r="B856" s="68" t="str">
        <f>VLOOKUP(A856,'Componentes APUs'!$H$1:$L$25,2,0)</f>
        <v>Profesional en SST</v>
      </c>
      <c r="C856" s="93">
        <v>0.25</v>
      </c>
      <c r="D856" s="50">
        <f>VLOOKUP(A856,'Componentes APUs'!$H$1:$L$25,3,0)</f>
        <v>2.5</v>
      </c>
      <c r="E856" s="51">
        <f>VLOOKUP(A856,'Componentes APUs'!$H$1:$L$25,4,0)</f>
        <v>169464.28571428571</v>
      </c>
      <c r="F856" s="51">
        <f>VLOOKUP(A856,'Componentes APUs'!$H$1:$L$25,5,0)</f>
        <v>101678.57142857142</v>
      </c>
      <c r="G856" s="51">
        <f>ROUNDUP((E856+F856)*C856/E842,0)</f>
        <v>170</v>
      </c>
    </row>
    <row r="857" spans="1:9" x14ac:dyDescent="0.25">
      <c r="A857" s="50" t="s">
        <v>1109</v>
      </c>
      <c r="B857" s="68" t="str">
        <f>VLOOKUP(A857,'Componentes APUs'!$H$1:$L$25,2,0)</f>
        <v>Ayudante de Obra Civil</v>
      </c>
      <c r="C857" s="93">
        <v>1</v>
      </c>
      <c r="D857" s="50">
        <f>VLOOKUP(A857,'Componentes APUs'!$H$1:$L$25,3,0)</f>
        <v>1</v>
      </c>
      <c r="E857" s="51">
        <f>VLOOKUP(A857,'Componentes APUs'!$H$1:$L$25,4,0)</f>
        <v>77309.523809523816</v>
      </c>
      <c r="F857" s="51">
        <f>VLOOKUP(A857,'Componentes APUs'!$H$1:$L$25,5,0)</f>
        <v>46385.71428571429</v>
      </c>
      <c r="G857" s="51">
        <f>ROUNDUP((E857+F857)*C857/E842,0)</f>
        <v>310</v>
      </c>
    </row>
    <row r="858" spans="1:9" x14ac:dyDescent="0.25">
      <c r="A858" s="219" t="s">
        <v>56</v>
      </c>
      <c r="B858" s="219"/>
      <c r="C858" s="219"/>
      <c r="D858" s="219"/>
      <c r="E858" s="219"/>
      <c r="F858" s="219"/>
      <c r="G858" s="52">
        <f>SUM(G852:G857)</f>
        <v>868</v>
      </c>
    </row>
    <row r="859" spans="1:9" x14ac:dyDescent="0.25">
      <c r="A859" s="56"/>
      <c r="B859" s="57"/>
      <c r="C859" s="57"/>
      <c r="D859" s="57"/>
      <c r="E859" s="57"/>
      <c r="F859" s="57"/>
      <c r="G859" s="58"/>
    </row>
    <row r="860" spans="1:9" x14ac:dyDescent="0.25">
      <c r="A860" s="219" t="s">
        <v>57</v>
      </c>
      <c r="B860" s="219"/>
      <c r="C860" s="219"/>
      <c r="D860" s="219"/>
      <c r="E860" s="219"/>
      <c r="F860" s="219"/>
      <c r="G860" s="219"/>
    </row>
    <row r="861" spans="1:9" x14ac:dyDescent="0.25">
      <c r="A861" s="49" t="s">
        <v>35</v>
      </c>
      <c r="B861" s="219" t="s">
        <v>36</v>
      </c>
      <c r="C861" s="219"/>
      <c r="D861" s="49" t="s">
        <v>37</v>
      </c>
      <c r="E861" s="49" t="s">
        <v>38</v>
      </c>
      <c r="F861" s="49" t="s">
        <v>39</v>
      </c>
      <c r="G861" s="49" t="s">
        <v>40</v>
      </c>
    </row>
    <row r="862" spans="1:9" x14ac:dyDescent="0.25">
      <c r="A862" s="50" t="s">
        <v>326</v>
      </c>
      <c r="B862" s="220" t="str">
        <f>VLOOKUP(A862,'Componentes APUs'!$S$1:$V$10,2,0)</f>
        <v>Juego Llaves</v>
      </c>
      <c r="C862" s="220"/>
      <c r="D862" s="50" t="s">
        <v>18</v>
      </c>
      <c r="E862" s="50">
        <v>0</v>
      </c>
      <c r="F862" s="51">
        <f>VLOOKUP(A862,'Componentes APUs'!$S$1:$V$10,4,0)</f>
        <v>9167</v>
      </c>
      <c r="G862" s="51">
        <f>ROUNDUP(F862*((E862/21)/E842),0)</f>
        <v>0</v>
      </c>
      <c r="I862" s="91"/>
    </row>
    <row r="863" spans="1:9" x14ac:dyDescent="0.25">
      <c r="A863" s="50" t="s">
        <v>58</v>
      </c>
      <c r="B863" s="220" t="str">
        <f>VLOOKUP(A863,'Componentes APUs'!$S$1:$V$10,2,0)</f>
        <v>Manila de servicio</v>
      </c>
      <c r="C863" s="220"/>
      <c r="D863" s="50" t="s">
        <v>18</v>
      </c>
      <c r="E863" s="50">
        <v>0</v>
      </c>
      <c r="F863" s="51">
        <f>VLOOKUP(A863,'Componentes APUs'!$S$1:$V$10,4,0)</f>
        <v>2333</v>
      </c>
      <c r="G863" s="51">
        <f>ROUNDUP(F863*((E863/21)/E842),0)</f>
        <v>0</v>
      </c>
    </row>
    <row r="864" spans="1:9" x14ac:dyDescent="0.25">
      <c r="A864" s="50" t="s">
        <v>327</v>
      </c>
      <c r="B864" s="220" t="str">
        <f>VLOOKUP(A864,'Componentes APUs'!$S$1:$V$10,2,0)</f>
        <v>Tula portaherramientas</v>
      </c>
      <c r="C864" s="220"/>
      <c r="D864" s="50" t="s">
        <v>18</v>
      </c>
      <c r="E864" s="50">
        <v>0</v>
      </c>
      <c r="F864" s="51">
        <f>VLOOKUP(A864,'Componentes APUs'!$S$1:$V$10,4,0)</f>
        <v>1250</v>
      </c>
      <c r="G864" s="51">
        <f>ROUNDUP(F864*((E864/21)/E842),0)</f>
        <v>0</v>
      </c>
    </row>
    <row r="865" spans="1:9" x14ac:dyDescent="0.25">
      <c r="A865" s="50" t="s">
        <v>60</v>
      </c>
      <c r="B865" s="220" t="str">
        <f>VLOOKUP(A865,'Componentes APUs'!$S$1:$V$10,2,0)</f>
        <v>Agarradoras</v>
      </c>
      <c r="C865" s="220"/>
      <c r="D865" s="50" t="s">
        <v>18</v>
      </c>
      <c r="E865" s="50">
        <v>0</v>
      </c>
      <c r="F865" s="51">
        <f>VLOOKUP(A865,'Componentes APUs'!$S$1:$V$10,4,0)</f>
        <v>125000</v>
      </c>
      <c r="G865" s="51">
        <f>ROUNDUP(F865*((E865/21)/E842),0)</f>
        <v>0</v>
      </c>
    </row>
    <row r="866" spans="1:9" x14ac:dyDescent="0.25">
      <c r="A866" s="50" t="s">
        <v>62</v>
      </c>
      <c r="B866" s="220" t="str">
        <f>VLOOKUP(A866,'Componentes APUs'!$S$1:$V$10,2,0)</f>
        <v>Templadoras</v>
      </c>
      <c r="C866" s="220"/>
      <c r="D866" s="50" t="s">
        <v>18</v>
      </c>
      <c r="E866" s="50">
        <v>0</v>
      </c>
      <c r="F866" s="51">
        <f>VLOOKUP(A866,'Componentes APUs'!$S$1:$V$10,4,0)</f>
        <v>250000</v>
      </c>
      <c r="G866" s="51">
        <f>ROUNDUP(F866*((E866/21)/E842),0)</f>
        <v>0</v>
      </c>
    </row>
    <row r="867" spans="1:9" x14ac:dyDescent="0.25">
      <c r="A867" s="50" t="s">
        <v>328</v>
      </c>
      <c r="B867" s="220" t="str">
        <f>VLOOKUP(A867,'Componentes APUs'!$S$1:$V$10,2,0)</f>
        <v>Herramienta Menor</v>
      </c>
      <c r="C867" s="220"/>
      <c r="D867" s="50" t="s">
        <v>18</v>
      </c>
      <c r="E867" s="50">
        <v>1</v>
      </c>
      <c r="F867" s="51">
        <f>VLOOKUP(A867,'Componentes APUs'!$S$1:$V$10,4,0)</f>
        <v>75758</v>
      </c>
      <c r="G867" s="51">
        <f>ROUNDUP(F867*((E867/21)/E842),0)</f>
        <v>10</v>
      </c>
    </row>
    <row r="868" spans="1:9" x14ac:dyDescent="0.25">
      <c r="A868" s="219" t="s">
        <v>69</v>
      </c>
      <c r="B868" s="219"/>
      <c r="C868" s="219"/>
      <c r="D868" s="219"/>
      <c r="E868" s="219"/>
      <c r="F868" s="219"/>
      <c r="G868" s="52">
        <f>SUM(G862:G867)</f>
        <v>10</v>
      </c>
    </row>
    <row r="869" spans="1:9" x14ac:dyDescent="0.25">
      <c r="A869" s="56"/>
      <c r="B869" s="57"/>
      <c r="C869" s="57"/>
      <c r="D869" s="57"/>
      <c r="E869" s="57"/>
      <c r="F869" s="57"/>
      <c r="G869" s="58"/>
    </row>
    <row r="870" spans="1:9" x14ac:dyDescent="0.25">
      <c r="A870" s="219" t="s">
        <v>70</v>
      </c>
      <c r="B870" s="219"/>
      <c r="C870" s="219"/>
      <c r="D870" s="219"/>
      <c r="E870" s="219"/>
      <c r="F870" s="219"/>
      <c r="G870" s="219"/>
    </row>
    <row r="871" spans="1:9" x14ac:dyDescent="0.25">
      <c r="A871" s="49" t="s">
        <v>35</v>
      </c>
      <c r="B871" s="219" t="s">
        <v>36</v>
      </c>
      <c r="C871" s="219"/>
      <c r="D871" s="49" t="s">
        <v>37</v>
      </c>
      <c r="E871" s="49" t="s">
        <v>38</v>
      </c>
      <c r="F871" s="49" t="s">
        <v>39</v>
      </c>
      <c r="G871" s="49" t="s">
        <v>40</v>
      </c>
    </row>
    <row r="872" spans="1:9" ht="15" customHeight="1" x14ac:dyDescent="0.25">
      <c r="A872" s="50" t="s">
        <v>71</v>
      </c>
      <c r="B872" s="71" t="str">
        <f>VLOOKUP(A872,'Componentes APUs'!$A$1:$D$14,2,0)</f>
        <v>Camisa indigo sin partes metalicas</v>
      </c>
      <c r="C872" s="71"/>
      <c r="D872" s="50" t="str">
        <f>VLOOKUP(A872,'Componentes APUs'!$A$1:$D$14,3,0)</f>
        <v>U</v>
      </c>
      <c r="E872" s="50">
        <f>SUM(C852:C857)</f>
        <v>1.75</v>
      </c>
      <c r="F872" s="51">
        <f>VLOOKUP(A872,'Componentes APUs'!$A$1:$D$14,4,0)</f>
        <v>8585.8585858585866</v>
      </c>
      <c r="G872" s="51">
        <f>ROUNDUP(F872*(E872/21)/E842,0)</f>
        <v>2</v>
      </c>
      <c r="I872" s="91"/>
    </row>
    <row r="873" spans="1:9" x14ac:dyDescent="0.25">
      <c r="A873" s="69" t="s">
        <v>73</v>
      </c>
      <c r="B873" s="72" t="str">
        <f>VLOOKUP(A873,'Componentes APUs'!$A$1:$D$14,2,0)</f>
        <v>Bota de seguridad dielectrica</v>
      </c>
      <c r="C873" s="73"/>
      <c r="D873" s="70" t="str">
        <f>VLOOKUP(A873,'Componentes APUs'!$A$1:$D$14,3,0)</f>
        <v>Par</v>
      </c>
      <c r="E873" s="50">
        <f>SUM(C852:C857)</f>
        <v>1.75</v>
      </c>
      <c r="F873" s="51">
        <f>VLOOKUP(A873,'Componentes APUs'!$A$1:$D$14,4,0)</f>
        <v>7500</v>
      </c>
      <c r="G873" s="51">
        <f>ROUNDUP(F873*(E873/21)/E842,0)</f>
        <v>2</v>
      </c>
    </row>
    <row r="874" spans="1:9" ht="15" customHeight="1" x14ac:dyDescent="0.25">
      <c r="A874" s="50" t="s">
        <v>76</v>
      </c>
      <c r="B874" s="72" t="str">
        <f>VLOOKUP(A874,'Componentes APUs'!$A$1:$D$14,2,0)</f>
        <v>Casco dielectrico Tipo 1 Clase E con barbuquejo</v>
      </c>
      <c r="C874" s="73"/>
      <c r="D874" s="50" t="str">
        <f>VLOOKUP(A874,'Componentes APUs'!$A$1:$D$14,3,0)</f>
        <v>U</v>
      </c>
      <c r="E874" s="50">
        <f>C852+C853+C855+C856+C857+IF(A854&lt;&gt;"MO-3",C854,0)</f>
        <v>1.75</v>
      </c>
      <c r="F874" s="51">
        <f>VLOOKUP(A874,'Componentes APUs'!$A$1:$D$14,4,0)</f>
        <v>10101.010101010101</v>
      </c>
      <c r="G874" s="51">
        <f>ROUNDUP(F874*(E874/21)/E842,0)</f>
        <v>3</v>
      </c>
    </row>
    <row r="875" spans="1:9" x14ac:dyDescent="0.25">
      <c r="A875" s="69" t="s">
        <v>77</v>
      </c>
      <c r="B875" s="72" t="str">
        <f>VLOOKUP(A875,'Componentes APUs'!$A$1:$D$14,2,0)</f>
        <v>Correa plastica y antiflama</v>
      </c>
      <c r="C875" s="73"/>
      <c r="D875" s="50" t="str">
        <f>VLOOKUP(A875,'Componentes APUs'!$A$1:$D$14,3,0)</f>
        <v>U</v>
      </c>
      <c r="E875" s="50">
        <f>SUM(C852:C857)</f>
        <v>1.75</v>
      </c>
      <c r="F875" s="51">
        <f>VLOOKUP(A875,'Componentes APUs'!$A$1:$D$14,4,0)</f>
        <v>3787.878787878788</v>
      </c>
      <c r="G875" s="51">
        <f>ROUNDUP(F875*(E875/21)/E842,0)</f>
        <v>1</v>
      </c>
    </row>
    <row r="876" spans="1:9" x14ac:dyDescent="0.25">
      <c r="A876" s="50" t="s">
        <v>79</v>
      </c>
      <c r="B876" s="72" t="str">
        <f>VLOOKUP(A876,'Componentes APUs'!$A$1:$D$14,2,0)</f>
        <v>Gafas protectoras filtro UV</v>
      </c>
      <c r="C876" s="73"/>
      <c r="D876" s="50" t="str">
        <f>VLOOKUP(A876,'Componentes APUs'!$A$1:$D$14,3,0)</f>
        <v>U</v>
      </c>
      <c r="E876" s="50">
        <f>SUM(C852:C857)</f>
        <v>1.75</v>
      </c>
      <c r="F876" s="51">
        <f>VLOOKUP(A876,'Componentes APUs'!$A$1:$D$14,4,0)</f>
        <v>2777.7777777777778</v>
      </c>
      <c r="G876" s="51">
        <f>ROUNDUP(F876*(E876/21)/E842,0)</f>
        <v>1</v>
      </c>
    </row>
    <row r="877" spans="1:9" ht="15" customHeight="1" x14ac:dyDescent="0.25">
      <c r="A877" s="69" t="s">
        <v>402</v>
      </c>
      <c r="B877" s="72" t="str">
        <f>VLOOKUP(A877,'Componentes APUs'!$A$1:$D$14,2,0)</f>
        <v>Bota de seguridad PVC dielectrica</v>
      </c>
      <c r="C877" s="73"/>
      <c r="D877" s="50" t="str">
        <f>VLOOKUP(A877,'Componentes APUs'!$A$1:$D$14,3,0)</f>
        <v>Par</v>
      </c>
      <c r="E877" s="50">
        <f>SUM(C852:C857)</f>
        <v>1.75</v>
      </c>
      <c r="F877" s="51">
        <f>VLOOKUP(A877,'Componentes APUs'!$A$1:$D$14,4,0)</f>
        <v>2916.6666666666665</v>
      </c>
      <c r="G877" s="51">
        <f>ROUNDUP(F877*(E877/21)/E842,0)</f>
        <v>1</v>
      </c>
    </row>
    <row r="878" spans="1:9" x14ac:dyDescent="0.25">
      <c r="A878" s="50" t="s">
        <v>403</v>
      </c>
      <c r="B878" s="72" t="str">
        <f>VLOOKUP(A878,'Componentes APUs'!$A$1:$D$14,2,0)</f>
        <v>Capuchon</v>
      </c>
      <c r="C878" s="73"/>
      <c r="D878" s="50" t="str">
        <f>VLOOKUP(A878,'Componentes APUs'!$A$1:$D$14,3,0)</f>
        <v>U</v>
      </c>
      <c r="E878" s="50">
        <f>SUM(C852:C857)</f>
        <v>1.75</v>
      </c>
      <c r="F878" s="51">
        <f>VLOOKUP(A878,'Componentes APUs'!$A$1:$D$14,4,0)</f>
        <v>2525.2525252525252</v>
      </c>
      <c r="G878" s="51">
        <f>ROUNDUP(F878*(E878/21)/E842,0)</f>
        <v>1</v>
      </c>
    </row>
    <row r="879" spans="1:9" ht="15" customHeight="1" x14ac:dyDescent="0.25">
      <c r="A879" s="69" t="s">
        <v>81</v>
      </c>
      <c r="B879" s="72" t="str">
        <f>VLOOKUP(A879,'Componentes APUs'!$A$1:$D$14,2,0)</f>
        <v>Guantes Protectores  - ingeniero reforzados</v>
      </c>
      <c r="C879" s="73"/>
      <c r="D879" s="50" t="str">
        <f>VLOOKUP(A879,'Componentes APUs'!$A$1:$D$14,3,0)</f>
        <v>Par</v>
      </c>
      <c r="E879" s="50">
        <f>C854+C855+C857</f>
        <v>1.25</v>
      </c>
      <c r="F879" s="51">
        <f>VLOOKUP(A879,'Componentes APUs'!$A$1:$D$14,4,0)</f>
        <v>2525.2525252525252</v>
      </c>
      <c r="G879" s="51">
        <f>ROUNDUP(F879*(E879/21)/E842,0)</f>
        <v>1</v>
      </c>
    </row>
    <row r="880" spans="1:9" x14ac:dyDescent="0.25">
      <c r="A880" s="50" t="s">
        <v>83</v>
      </c>
      <c r="B880" s="72" t="str">
        <f>VLOOKUP(A880,'Componentes APUs'!$A$1:$D$14,2,0)</f>
        <v>Impermeable (pantalon camisa)</v>
      </c>
      <c r="C880" s="73"/>
      <c r="D880" s="50" t="str">
        <f>VLOOKUP(A880,'Componentes APUs'!$A$1:$D$14,3,0)</f>
        <v>U</v>
      </c>
      <c r="E880" s="50">
        <f>SUM(C852:C857)</f>
        <v>1.75</v>
      </c>
      <c r="F880" s="51">
        <f>VLOOKUP(A880,'Componentes APUs'!$A$1:$D$14,4,0)</f>
        <v>3750</v>
      </c>
      <c r="G880" s="51">
        <f>ROUNDUP(F880*(E880/21)/E842,0)</f>
        <v>1</v>
      </c>
    </row>
    <row r="881" spans="1:7" x14ac:dyDescent="0.25">
      <c r="A881" s="69" t="s">
        <v>85</v>
      </c>
      <c r="B881" s="72" t="str">
        <f>VLOOKUP(A881,'Componentes APUs'!$A$1:$D$14,2,0)</f>
        <v>Jean Dielectrico</v>
      </c>
      <c r="C881" s="73"/>
      <c r="D881" s="50" t="str">
        <f>VLOOKUP(A881,'Componentes APUs'!$A$1:$D$14,3,0)</f>
        <v>U</v>
      </c>
      <c r="E881" s="50">
        <f>SUM(C852:C857)</f>
        <v>1.75</v>
      </c>
      <c r="F881" s="51">
        <f>VLOOKUP(A881,'Componentes APUs'!$A$1:$D$14,4,0)</f>
        <v>7575.757575757576</v>
      </c>
      <c r="G881" s="51">
        <f>ROUNDUP(F881*(E881/21)/E842,0)</f>
        <v>2</v>
      </c>
    </row>
    <row r="882" spans="1:7" ht="15" customHeight="1" x14ac:dyDescent="0.25">
      <c r="A882" s="50" t="s">
        <v>87</v>
      </c>
      <c r="B882" s="72" t="str">
        <f>VLOOKUP(A882,'Componentes APUs'!$A$1:$D$14,2,0)</f>
        <v>Casco dielectrico Tipo 2 Clase E con barboquejo</v>
      </c>
      <c r="C882" s="73"/>
      <c r="D882" s="50" t="str">
        <f>VLOOKUP(A882,'Componentes APUs'!$A$1:$D$14,3,0)</f>
        <v>U</v>
      </c>
      <c r="E882" s="53">
        <f>IF(A854="MO-3",C854,0)</f>
        <v>0</v>
      </c>
      <c r="F882" s="51">
        <f>VLOOKUP(A882,'Componentes APUs'!$A$1:$D$14,4,0)</f>
        <v>7500</v>
      </c>
      <c r="G882" s="51">
        <f>ROUNDUP(F882*(E882/21)/E842,0)</f>
        <v>0</v>
      </c>
    </row>
    <row r="883" spans="1:7" ht="15" customHeight="1" x14ac:dyDescent="0.25">
      <c r="A883" s="69" t="s">
        <v>89</v>
      </c>
      <c r="B883" s="72" t="str">
        <f>VLOOKUP(A883,'Componentes APUs'!$A$1:$D$14,2,0)</f>
        <v>Kit de rescate para trabajo en alturas</v>
      </c>
      <c r="C883" s="73"/>
      <c r="D883" s="50" t="str">
        <f>VLOOKUP(A883,'Componentes APUs'!$A$1:$D$14,3,0)</f>
        <v>U</v>
      </c>
      <c r="E883" s="50">
        <f>IF(AND(A854="MO-3",C854=2),1,0)</f>
        <v>0</v>
      </c>
      <c r="F883" s="51">
        <f>VLOOKUP(A883,'Componentes APUs'!$A$1:$D$14,4,0)</f>
        <v>37500</v>
      </c>
      <c r="G883" s="51">
        <f>ROUNDUP(F883*(E883/21)/E842,0)</f>
        <v>0</v>
      </c>
    </row>
    <row r="884" spans="1:7" x14ac:dyDescent="0.25">
      <c r="A884" s="50" t="s">
        <v>91</v>
      </c>
      <c r="B884" s="72" t="str">
        <f>VLOOKUP(A884,'Componentes APUs'!$A$1:$D$14,2,0)</f>
        <v>Equipo completo para trabajo en alturas con pretales (Arnes dielectrico, 1 mosqueton de seguridad, tie off dielectrico, eslinga de posicionamiento, juego de pretales)</v>
      </c>
      <c r="C884" s="73"/>
      <c r="D884" s="50" t="str">
        <f>VLOOKUP(A884,'Componentes APUs'!$A$1:$D$14,3,0)</f>
        <v>U</v>
      </c>
      <c r="E884" s="50">
        <f>IF(A854="MO-3",C854,0)</f>
        <v>0</v>
      </c>
      <c r="F884" s="51">
        <f>VLOOKUP(A884,'Componentes APUs'!$A$1:$D$14,4,0)</f>
        <v>26041.666666666668</v>
      </c>
      <c r="G884" s="51">
        <f>ROUNDUP(F884*(E884/21)/E842,0)</f>
        <v>0</v>
      </c>
    </row>
    <row r="885" spans="1:7" x14ac:dyDescent="0.25">
      <c r="A885" s="219" t="s">
        <v>95</v>
      </c>
      <c r="B885" s="219"/>
      <c r="C885" s="219"/>
      <c r="D885" s="219"/>
      <c r="E885" s="219"/>
      <c r="F885" s="219"/>
      <c r="G885" s="52">
        <f>SUM(G872:G884)</f>
        <v>15</v>
      </c>
    </row>
    <row r="886" spans="1:7" x14ac:dyDescent="0.25">
      <c r="A886" s="56"/>
      <c r="B886" s="57"/>
      <c r="C886" s="57"/>
      <c r="D886" s="57"/>
      <c r="E886" s="57"/>
      <c r="F886" s="57"/>
      <c r="G886" s="58"/>
    </row>
    <row r="887" spans="1:7" x14ac:dyDescent="0.25">
      <c r="A887" s="219" t="s">
        <v>96</v>
      </c>
      <c r="B887" s="219"/>
      <c r="C887" s="219"/>
      <c r="D887" s="219"/>
      <c r="E887" s="219"/>
      <c r="F887" s="219"/>
      <c r="G887" s="219"/>
    </row>
    <row r="888" spans="1:7" x14ac:dyDescent="0.25">
      <c r="A888" s="49" t="s">
        <v>35</v>
      </c>
      <c r="B888" s="225" t="s">
        <v>36</v>
      </c>
      <c r="C888" s="225"/>
      <c r="D888" s="49" t="s">
        <v>37</v>
      </c>
      <c r="E888" s="49" t="s">
        <v>38</v>
      </c>
      <c r="F888" s="49" t="s">
        <v>39</v>
      </c>
      <c r="G888" s="49" t="s">
        <v>40</v>
      </c>
    </row>
    <row r="889" spans="1:7" x14ac:dyDescent="0.25">
      <c r="A889" s="69" t="s">
        <v>97</v>
      </c>
      <c r="B889" s="72" t="str">
        <f>VLOOKUP(A889,'Componentes APUs'!$N$1:$Q$30,2,0)</f>
        <v>Camioneta</v>
      </c>
      <c r="C889" s="73"/>
      <c r="D889" s="70" t="str">
        <f>VLOOKUP(A889,'Componentes APUs'!$N$1:$Q$30,3,0)</f>
        <v>U</v>
      </c>
      <c r="E889" s="50">
        <v>1</v>
      </c>
      <c r="F889" s="51">
        <f>VLOOKUP(A889,'Componentes APUs'!$N$1:$Q$30,4,0)</f>
        <v>5500000</v>
      </c>
      <c r="G889" s="51">
        <f>IFERROR(ROUNDUP(F889*(E889/21)/E842,0),"-")</f>
        <v>655</v>
      </c>
    </row>
    <row r="890" spans="1:7" x14ac:dyDescent="0.25">
      <c r="A890" s="50" t="s">
        <v>321</v>
      </c>
      <c r="B890" s="72" t="str">
        <f>VLOOKUP(A890,'Componentes APUs'!$N$1:$Q$30,2,0)</f>
        <v>Grúa Hidráulica</v>
      </c>
      <c r="C890" s="73"/>
      <c r="D890" s="70" t="str">
        <f>VLOOKUP(A890,'Componentes APUs'!$N$1:$Q$30,3,0)</f>
        <v>U</v>
      </c>
      <c r="E890" s="50">
        <v>0</v>
      </c>
      <c r="F890" s="51">
        <f>VLOOKUP(A890,'Componentes APUs'!$N$1:$Q$30,4,0)</f>
        <v>21000000</v>
      </c>
      <c r="G890" s="51">
        <f>IFERROR(ROUNDUP(F890*(E890/21)/E842,0),"-")</f>
        <v>0</v>
      </c>
    </row>
    <row r="891" spans="1:7" x14ac:dyDescent="0.25">
      <c r="A891" s="69" t="s">
        <v>1379</v>
      </c>
      <c r="B891" s="72" t="str">
        <f>VLOOKUP(A891,'Componentes APUs'!$N$1:$Q$30,2,0)</f>
        <v>Dumper de descarga Frontal 2T</v>
      </c>
      <c r="C891" s="73"/>
      <c r="D891" s="70" t="str">
        <f>VLOOKUP(A891,'Componentes APUs'!$N$1:$Q$30,3,0)</f>
        <v>U</v>
      </c>
      <c r="E891" s="50">
        <v>1</v>
      </c>
      <c r="F891" s="51">
        <f>VLOOKUP(A891,'Componentes APUs'!$N$1:$Q$30,4,0)</f>
        <v>4438716.24</v>
      </c>
      <c r="G891" s="51">
        <f>IFERROR(ROUNDUP(F891*(E891/21)/E842,0),"-")</f>
        <v>529</v>
      </c>
    </row>
    <row r="892" spans="1:7" x14ac:dyDescent="0.25">
      <c r="A892" s="50" t="s">
        <v>323</v>
      </c>
      <c r="B892" s="72" t="str">
        <f>VLOOKUP(A892,'Componentes APUs'!$N$1:$Q$30,2,0)</f>
        <v>Volqueta</v>
      </c>
      <c r="C892" s="73"/>
      <c r="D892" s="70" t="str">
        <f>VLOOKUP(A892,'Componentes APUs'!$N$1:$Q$30,3,0)</f>
        <v>U</v>
      </c>
      <c r="E892" s="50">
        <v>1</v>
      </c>
      <c r="F892" s="51">
        <f>VLOOKUP(A892,'Componentes APUs'!$N$1:$Q$30,4,0)</f>
        <v>14828184</v>
      </c>
      <c r="G892" s="51">
        <f>IFERROR(ROUNDUP(F892*(E892/21)/E842,0),"-")</f>
        <v>1766</v>
      </c>
    </row>
    <row r="893" spans="1:7" x14ac:dyDescent="0.25">
      <c r="A893" s="69" t="s">
        <v>324</v>
      </c>
      <c r="B893" s="72" t="str">
        <f>VLOOKUP(A893,'Componentes APUs'!$N$1:$Q$30,2,0)</f>
        <v>Retroexcavadora</v>
      </c>
      <c r="C893" s="73"/>
      <c r="D893" s="70" t="str">
        <f>VLOOKUP(A893,'Componentes APUs'!$N$1:$Q$30,3,0)</f>
        <v>U</v>
      </c>
      <c r="E893" s="50">
        <v>0</v>
      </c>
      <c r="F893" s="51">
        <f>VLOOKUP(A893,'Componentes APUs'!$N$1:$Q$30,4,0)</f>
        <v>46030656</v>
      </c>
      <c r="G893" s="51">
        <f>IFERROR(ROUNDUP(F893*(E893/21)/E842,0),"-")</f>
        <v>0</v>
      </c>
    </row>
    <row r="894" spans="1:7" x14ac:dyDescent="0.25">
      <c r="A894" s="219" t="s">
        <v>99</v>
      </c>
      <c r="B894" s="219"/>
      <c r="C894" s="219"/>
      <c r="D894" s="219"/>
      <c r="E894" s="219"/>
      <c r="F894" s="219"/>
      <c r="G894" s="52">
        <f>SUM(G889:G893)</f>
        <v>2950</v>
      </c>
    </row>
    <row r="895" spans="1:7" x14ac:dyDescent="0.25">
      <c r="A895" s="56"/>
      <c r="B895" s="57"/>
      <c r="C895" s="57"/>
      <c r="D895" s="57"/>
      <c r="E895" s="57"/>
      <c r="F895" s="57"/>
      <c r="G895" s="58"/>
    </row>
    <row r="896" spans="1:7" x14ac:dyDescent="0.25">
      <c r="A896" s="219" t="s">
        <v>1516</v>
      </c>
      <c r="B896" s="219"/>
      <c r="C896" s="219"/>
      <c r="D896" s="219"/>
      <c r="E896" s="219"/>
      <c r="F896" s="219"/>
      <c r="G896" s="52">
        <f>G894+G885+G868+G858+G848</f>
        <v>92113</v>
      </c>
    </row>
    <row r="897" spans="1:8" x14ac:dyDescent="0.25">
      <c r="A897" s="59"/>
      <c r="B897" s="60"/>
      <c r="C897" s="60"/>
      <c r="D897" s="60"/>
      <c r="E897" s="57"/>
      <c r="F897" s="57"/>
      <c r="G897" s="58"/>
    </row>
    <row r="898" spans="1:8" x14ac:dyDescent="0.25">
      <c r="A898" s="64"/>
      <c r="D898" s="55"/>
      <c r="E898" s="49" t="s">
        <v>25</v>
      </c>
      <c r="F898" s="54">
        <v>0.15</v>
      </c>
      <c r="G898" s="51">
        <f>G896*F898</f>
        <v>13816.949999999999</v>
      </c>
    </row>
    <row r="899" spans="1:8" x14ac:dyDescent="0.25">
      <c r="A899" s="64"/>
      <c r="D899" s="55"/>
      <c r="E899" s="49" t="s">
        <v>26</v>
      </c>
      <c r="F899" s="54">
        <v>0.05</v>
      </c>
      <c r="G899" s="51">
        <f>G896*F899</f>
        <v>4605.6500000000005</v>
      </c>
    </row>
    <row r="900" spans="1:8" x14ac:dyDescent="0.25">
      <c r="A900" s="61"/>
      <c r="B900" s="65"/>
      <c r="C900" s="65"/>
      <c r="D900" s="62"/>
      <c r="E900" s="49" t="s">
        <v>27</v>
      </c>
      <c r="F900" s="54">
        <v>0.05</v>
      </c>
      <c r="G900" s="51">
        <f>G896*F900</f>
        <v>4605.6500000000005</v>
      </c>
    </row>
    <row r="901" spans="1:8" x14ac:dyDescent="0.25">
      <c r="A901" s="61"/>
      <c r="B901" s="62"/>
      <c r="C901" s="62"/>
      <c r="D901" s="62"/>
      <c r="E901" s="62"/>
      <c r="F901" s="62"/>
      <c r="G901" s="63"/>
    </row>
    <row r="902" spans="1:8" x14ac:dyDescent="0.25">
      <c r="A902" s="219" t="s">
        <v>1517</v>
      </c>
      <c r="B902" s="219"/>
      <c r="C902" s="219"/>
      <c r="D902" s="219"/>
      <c r="E902" s="219"/>
      <c r="F902" s="219"/>
      <c r="G902" s="52">
        <f>G896+G898+G899+G900</f>
        <v>115141.24999999999</v>
      </c>
    </row>
    <row r="903" spans="1:8" x14ac:dyDescent="0.25">
      <c r="A903" s="59"/>
      <c r="B903" s="60"/>
      <c r="C903" s="60"/>
      <c r="D903" s="60"/>
      <c r="E903" s="57"/>
      <c r="F903" s="57"/>
      <c r="G903" s="58"/>
    </row>
    <row r="904" spans="1:8" x14ac:dyDescent="0.25">
      <c r="A904" s="64"/>
      <c r="D904" s="55"/>
      <c r="E904" s="49" t="s">
        <v>102</v>
      </c>
      <c r="F904" s="49" t="s">
        <v>103</v>
      </c>
      <c r="G904" s="51">
        <f>G900*19%</f>
        <v>875.07350000000008</v>
      </c>
    </row>
    <row r="905" spans="1:8" x14ac:dyDescent="0.25">
      <c r="A905" s="61"/>
      <c r="B905" s="62"/>
      <c r="C905" s="62"/>
      <c r="D905" s="62"/>
      <c r="E905" s="57"/>
      <c r="F905" s="57"/>
      <c r="G905" s="58"/>
    </row>
    <row r="906" spans="1:8" x14ac:dyDescent="0.25">
      <c r="A906" s="219" t="s">
        <v>104</v>
      </c>
      <c r="B906" s="219"/>
      <c r="C906" s="219"/>
      <c r="D906" s="219"/>
      <c r="E906" s="219"/>
      <c r="F906" s="219"/>
      <c r="G906" s="52">
        <f>G904+G902</f>
        <v>116016.32349999998</v>
      </c>
    </row>
    <row r="908" spans="1:8" x14ac:dyDescent="0.25">
      <c r="A908" s="74" t="s">
        <v>29</v>
      </c>
      <c r="B908" s="226" t="s">
        <v>30</v>
      </c>
      <c r="C908" s="226"/>
      <c r="D908" s="74" t="s">
        <v>31</v>
      </c>
      <c r="E908" s="74" t="s">
        <v>32</v>
      </c>
      <c r="F908" s="74" t="s">
        <v>189</v>
      </c>
      <c r="G908" s="74" t="s">
        <v>33</v>
      </c>
    </row>
    <row r="909" spans="1:8" x14ac:dyDescent="0.25">
      <c r="A909" s="50" t="str">
        <f>Presupuesto!B21</f>
        <v>015_OC</v>
      </c>
      <c r="B909" s="247" t="str">
        <f>Presupuesto!C21</f>
        <v>REVEGETACIÓN Y EMPRADIZADO</v>
      </c>
      <c r="C909" s="248"/>
      <c r="D909" s="50" t="s">
        <v>113</v>
      </c>
      <c r="E909" s="102">
        <v>2</v>
      </c>
      <c r="F909" s="50"/>
      <c r="G909" s="51">
        <f>G975</f>
        <v>433315.86100000003</v>
      </c>
      <c r="H909" s="45"/>
    </row>
    <row r="910" spans="1:8" x14ac:dyDescent="0.25">
      <c r="A910" s="219" t="s">
        <v>34</v>
      </c>
      <c r="B910" s="219"/>
      <c r="C910" s="219"/>
      <c r="D910" s="219"/>
      <c r="E910" s="219"/>
      <c r="F910" s="219"/>
      <c r="G910" s="219"/>
    </row>
    <row r="911" spans="1:8" x14ac:dyDescent="0.25">
      <c r="A911" s="49" t="s">
        <v>35</v>
      </c>
      <c r="B911" s="219" t="s">
        <v>36</v>
      </c>
      <c r="C911" s="219"/>
      <c r="D911" s="49" t="s">
        <v>37</v>
      </c>
      <c r="E911" s="49" t="s">
        <v>38</v>
      </c>
      <c r="F911" s="49" t="s">
        <v>39</v>
      </c>
      <c r="G911" s="49" t="s">
        <v>40</v>
      </c>
    </row>
    <row r="912" spans="1:8" x14ac:dyDescent="0.25">
      <c r="A912" s="50" t="str">
        <f>Material!A278</f>
        <v>MA-277</v>
      </c>
      <c r="B912" s="72" t="str">
        <f>IFERROR(VLOOKUP(A912,Material!$A:$H,2,0),"-")</f>
        <v>TEPE</v>
      </c>
      <c r="C912" s="76"/>
      <c r="D912" s="50" t="str">
        <f>IFERROR(VLOOKUP(A912,Material!$A:$H,4,0),"-")</f>
        <v>M2</v>
      </c>
      <c r="E912" s="50">
        <v>1.05</v>
      </c>
      <c r="F912" s="51">
        <f>IFERROR(VLOOKUP(A912,Material!$A:$H,3,0),"-")</f>
        <v>14539.2</v>
      </c>
      <c r="G912" s="51">
        <f>IFERROR(ROUNDUP(F912*E912,0),"-")</f>
        <v>15267</v>
      </c>
    </row>
    <row r="913" spans="1:8" x14ac:dyDescent="0.25">
      <c r="A913" s="50" t="str">
        <f>Material!A279</f>
        <v>MA-278</v>
      </c>
      <c r="B913" s="72" t="str">
        <f>IFERROR(VLOOKUP(A913,Material!$A:$H,2,0),"-")</f>
        <v>TIERRA VEGETAL CRIBADA, SUMINISTRADA A GRANEL</v>
      </c>
      <c r="C913" s="76"/>
      <c r="D913" s="50" t="str">
        <f>IFERROR(VLOOKUP(A913,Material!$A:$H,4,0),"-")</f>
        <v>M3</v>
      </c>
      <c r="E913" s="50">
        <v>0.1</v>
      </c>
      <c r="F913" s="51">
        <f>IFERROR(VLOOKUP(A913,Material!$A:$H,3,0),"-")</f>
        <v>39000</v>
      </c>
      <c r="G913" s="51">
        <f>IFERROR(ROUNDUP(F913*E913,0),"-")</f>
        <v>3900</v>
      </c>
    </row>
    <row r="914" spans="1:8" x14ac:dyDescent="0.25">
      <c r="A914" s="50" t="str">
        <f>Material!A280</f>
        <v>MA-279</v>
      </c>
      <c r="B914" s="72" t="str">
        <f>IFERROR(VLOOKUP(A914,Material!$A:$H,2,0),"-")</f>
        <v xml:space="preserve">	
MANTILLO LIMPIO CRIBADO</v>
      </c>
      <c r="C914" s="76"/>
      <c r="D914" s="50" t="str">
        <f>IFERROR(VLOOKUP(A914,Material!$A:$H,4,0),"-")</f>
        <v>KG</v>
      </c>
      <c r="E914" s="50">
        <v>4</v>
      </c>
      <c r="F914" s="51">
        <f>IFERROR(VLOOKUP(A914,Material!$A:$H,3,0),"-")</f>
        <v>98.358000000000004</v>
      </c>
      <c r="G914" s="51">
        <f>IFERROR(ROUNDUP(F914*E914,0),"-")</f>
        <v>394</v>
      </c>
    </row>
    <row r="915" spans="1:8" x14ac:dyDescent="0.25">
      <c r="A915" s="50" t="str">
        <f>Material!A281</f>
        <v>MA-280</v>
      </c>
      <c r="B915" s="72" t="str">
        <f>IFERROR(VLOOKUP(A915,Material!$A:$H,2,0),"-")</f>
        <v>ABONO PARA PRESIEMBRA DE GRAMA</v>
      </c>
      <c r="C915" s="76"/>
      <c r="D915" s="50" t="str">
        <f>IFERROR(VLOOKUP(A915,Material!$A:$H,4,0),"-")</f>
        <v>KG</v>
      </c>
      <c r="E915" s="50">
        <v>0.1</v>
      </c>
      <c r="F915" s="51">
        <f>IFERROR(VLOOKUP(A915,Material!$A:$H,3,0),"-")</f>
        <v>4105.491</v>
      </c>
      <c r="G915" s="51">
        <f>IFERROR(ROUNDUP(F915*E915,0),"-")</f>
        <v>411</v>
      </c>
    </row>
    <row r="916" spans="1:8" x14ac:dyDescent="0.25">
      <c r="A916" s="50" t="str">
        <f>Material!A282</f>
        <v>MA-281</v>
      </c>
      <c r="B916" s="72" t="str">
        <f>IFERROR(VLOOKUP(A916,Material!$A:$H,2,0),"-")</f>
        <v>AGUA</v>
      </c>
      <c r="C916" s="76"/>
      <c r="D916" s="50"/>
      <c r="E916" s="50">
        <v>0.2</v>
      </c>
      <c r="F916" s="51">
        <f>IFERROR(VLOOKUP(A916,Material!$A:$H,3,0),"-")</f>
        <v>94.9</v>
      </c>
      <c r="G916" s="51">
        <f>IFERROR(ROUNDUP(F916*E916,0),"-")</f>
        <v>19</v>
      </c>
      <c r="H916" s="92"/>
    </row>
    <row r="917" spans="1:8" x14ac:dyDescent="0.25">
      <c r="A917" s="219" t="s">
        <v>41</v>
      </c>
      <c r="B917" s="219"/>
      <c r="C917" s="219"/>
      <c r="D917" s="219"/>
      <c r="E917" s="219"/>
      <c r="F917" s="219"/>
      <c r="G917" s="52">
        <f>SUM(G912:G916)</f>
        <v>19991</v>
      </c>
    </row>
    <row r="918" spans="1:8" x14ac:dyDescent="0.25">
      <c r="A918" s="56"/>
      <c r="B918" s="57"/>
      <c r="C918" s="57"/>
      <c r="D918" s="57"/>
      <c r="E918" s="57"/>
      <c r="F918" s="57"/>
      <c r="G918" s="58"/>
    </row>
    <row r="919" spans="1:8" x14ac:dyDescent="0.25">
      <c r="A919" s="219" t="s">
        <v>42</v>
      </c>
      <c r="B919" s="219"/>
      <c r="C919" s="219"/>
      <c r="D919" s="219"/>
      <c r="E919" s="219"/>
      <c r="F919" s="219"/>
      <c r="G919" s="219"/>
    </row>
    <row r="920" spans="1:8" x14ac:dyDescent="0.25">
      <c r="A920" s="49" t="s">
        <v>35</v>
      </c>
      <c r="B920" s="49" t="s">
        <v>36</v>
      </c>
      <c r="C920" s="49" t="s">
        <v>38</v>
      </c>
      <c r="D920" s="49" t="s">
        <v>43</v>
      </c>
      <c r="E920" s="49" t="s">
        <v>44</v>
      </c>
      <c r="F920" s="49" t="s">
        <v>45</v>
      </c>
      <c r="G920" s="49" t="s">
        <v>40</v>
      </c>
    </row>
    <row r="921" spans="1:8" x14ac:dyDescent="0.25">
      <c r="A921" s="50" t="s">
        <v>319</v>
      </c>
      <c r="B921" s="68" t="str">
        <f>VLOOKUP(A921,'Componentes APUs'!$H$1:$L$25,2,0)</f>
        <v>Ingeniero Residente de Obra</v>
      </c>
      <c r="C921" s="93">
        <v>0</v>
      </c>
      <c r="D921" s="50">
        <f>VLOOKUP(A921,'Componentes APUs'!$H$1:$L$25,3,0)</f>
        <v>4</v>
      </c>
      <c r="E921" s="51">
        <f>VLOOKUP(A921,'Componentes APUs'!$H$1:$L$25,4,0)</f>
        <v>271142.85714285716</v>
      </c>
      <c r="F921" s="51">
        <f>VLOOKUP(A921,'Componentes APUs'!$H$1:$L$25,5,0)</f>
        <v>162685.71428571429</v>
      </c>
      <c r="G921" s="51">
        <f>ROUNDUP((E921+F921)*C921/E909,0)</f>
        <v>0</v>
      </c>
      <c r="H921" s="66"/>
    </row>
    <row r="922" spans="1:8" x14ac:dyDescent="0.25">
      <c r="A922" s="50" t="s">
        <v>46</v>
      </c>
      <c r="B922" s="68" t="str">
        <f>VLOOKUP(A922,'Componentes APUs'!$H$1:$L$25,2,0)</f>
        <v>Tecnico Liniero</v>
      </c>
      <c r="C922" s="93">
        <v>0</v>
      </c>
      <c r="D922" s="107">
        <f>VLOOKUP(A922,'Componentes APUs'!$H$1:$L$25,3,0)</f>
        <v>2</v>
      </c>
      <c r="E922" s="51">
        <f>VLOOKUP(A922,'Componentes APUs'!$H$1:$L$25,4,0)</f>
        <v>154619.04761904763</v>
      </c>
      <c r="F922" s="51">
        <f>VLOOKUP(A922,'Componentes APUs'!$H$1:$L$25,5,0)</f>
        <v>92771.42857142858</v>
      </c>
      <c r="G922" s="51">
        <f>ROUNDUP((E922+F922)*C922/E909,0)</f>
        <v>0</v>
      </c>
    </row>
    <row r="923" spans="1:8" x14ac:dyDescent="0.25">
      <c r="A923" s="50" t="s">
        <v>54</v>
      </c>
      <c r="B923" s="68" t="str">
        <f>VLOOKUP(A923,'Componentes APUs'!$H$1:$L$25,2,0)</f>
        <v>Maestro de obra civil</v>
      </c>
      <c r="C923" s="93">
        <v>0</v>
      </c>
      <c r="D923" s="50">
        <f>VLOOKUP(A923,'Componentes APUs'!$H$1:$L$25,3,0)</f>
        <v>2.5</v>
      </c>
      <c r="E923" s="51">
        <f>VLOOKUP(A923,'Componentes APUs'!$H$1:$L$25,4,0)</f>
        <v>169464.28571428571</v>
      </c>
      <c r="F923" s="51">
        <f>VLOOKUP(A923,'Componentes APUs'!$H$1:$L$25,5,0)</f>
        <v>101678.57142857142</v>
      </c>
      <c r="G923" s="51">
        <f>ROUNDUP((E923+F923)*C923/E909,0)</f>
        <v>0</v>
      </c>
    </row>
    <row r="924" spans="1:8" x14ac:dyDescent="0.25">
      <c r="A924" s="50" t="s">
        <v>1110</v>
      </c>
      <c r="B924" s="68" t="str">
        <f>VLOOKUP(A924,'Componentes APUs'!$H$1:$L$25,2,0)</f>
        <v>Oficial de Obra Civil</v>
      </c>
      <c r="C924" s="93">
        <v>1</v>
      </c>
      <c r="D924" s="50">
        <f>VLOOKUP(A924,'Componentes APUs'!$H$1:$L$25,3,0)</f>
        <v>1.5</v>
      </c>
      <c r="E924" s="51">
        <f>VLOOKUP(A924,'Componentes APUs'!$H$1:$L$25,4,0)</f>
        <v>115964.28571428571</v>
      </c>
      <c r="F924" s="51">
        <f>VLOOKUP(A924,'Componentes APUs'!$H$1:$L$25,5,0)</f>
        <v>69578.57142857142</v>
      </c>
      <c r="G924" s="51">
        <f>ROUNDUP((E924+F924)*C924/E909,0)</f>
        <v>92772</v>
      </c>
    </row>
    <row r="925" spans="1:8" x14ac:dyDescent="0.25">
      <c r="A925" s="50" t="s">
        <v>50</v>
      </c>
      <c r="B925" s="68" t="str">
        <f>VLOOKUP(A925,'Componentes APUs'!$H$1:$L$25,2,0)</f>
        <v>Profesional en SST</v>
      </c>
      <c r="C925" s="93">
        <v>0.25</v>
      </c>
      <c r="D925" s="50">
        <f>VLOOKUP(A925,'Componentes APUs'!$H$1:$L$25,3,0)</f>
        <v>2.5</v>
      </c>
      <c r="E925" s="51">
        <f>VLOOKUP(A925,'Componentes APUs'!$H$1:$L$25,4,0)</f>
        <v>169464.28571428571</v>
      </c>
      <c r="F925" s="51">
        <f>VLOOKUP(A925,'Componentes APUs'!$H$1:$L$25,5,0)</f>
        <v>101678.57142857142</v>
      </c>
      <c r="G925" s="51">
        <f>ROUNDUP((E925+F925)*C925/E909,0)</f>
        <v>33893</v>
      </c>
    </row>
    <row r="926" spans="1:8" x14ac:dyDescent="0.25">
      <c r="A926" s="50" t="s">
        <v>52</v>
      </c>
      <c r="B926" s="68" t="str">
        <f>VLOOKUP(A926,'Componentes APUs'!$H$1:$L$25,2,0)</f>
        <v>Ayudante No Calificado</v>
      </c>
      <c r="C926" s="93">
        <v>1</v>
      </c>
      <c r="D926" s="50">
        <f>VLOOKUP(A926,'Componentes APUs'!$H$1:$L$25,3,0)</f>
        <v>1</v>
      </c>
      <c r="E926" s="51">
        <f>VLOOKUP(A926,'Componentes APUs'!$H$1:$L$25,4,0)</f>
        <v>77309.523809523816</v>
      </c>
      <c r="F926" s="51">
        <f>VLOOKUP(A926,'Componentes APUs'!$H$1:$L$25,5,0)</f>
        <v>46385.71428571429</v>
      </c>
      <c r="G926" s="51">
        <f>ROUNDUP((E926+F926)*C926/E909,0)</f>
        <v>61848</v>
      </c>
    </row>
    <row r="927" spans="1:8" x14ac:dyDescent="0.25">
      <c r="A927" s="219" t="s">
        <v>56</v>
      </c>
      <c r="B927" s="219"/>
      <c r="C927" s="219"/>
      <c r="D927" s="219"/>
      <c r="E927" s="219"/>
      <c r="F927" s="219"/>
      <c r="G927" s="52">
        <f>SUM(G921:G926)</f>
        <v>188513</v>
      </c>
    </row>
    <row r="928" spans="1:8" x14ac:dyDescent="0.25">
      <c r="A928" s="56"/>
      <c r="B928" s="57"/>
      <c r="C928" s="57"/>
      <c r="D928" s="57"/>
      <c r="E928" s="57"/>
      <c r="F928" s="57"/>
      <c r="G928" s="58"/>
    </row>
    <row r="929" spans="1:9" x14ac:dyDescent="0.25">
      <c r="A929" s="219" t="s">
        <v>57</v>
      </c>
      <c r="B929" s="219"/>
      <c r="C929" s="219"/>
      <c r="D929" s="219"/>
      <c r="E929" s="219"/>
      <c r="F929" s="219"/>
      <c r="G929" s="219"/>
    </row>
    <row r="930" spans="1:9" x14ac:dyDescent="0.25">
      <c r="A930" s="49" t="s">
        <v>35</v>
      </c>
      <c r="B930" s="219" t="s">
        <v>36</v>
      </c>
      <c r="C930" s="219"/>
      <c r="D930" s="49" t="s">
        <v>37</v>
      </c>
      <c r="E930" s="49" t="s">
        <v>38</v>
      </c>
      <c r="F930" s="49" t="s">
        <v>39</v>
      </c>
      <c r="G930" s="49" t="s">
        <v>40</v>
      </c>
    </row>
    <row r="931" spans="1:9" x14ac:dyDescent="0.25">
      <c r="A931" s="50" t="s">
        <v>326</v>
      </c>
      <c r="B931" s="220" t="str">
        <f>VLOOKUP(A931,'Componentes APUs'!$S$1:$V$10,2,0)</f>
        <v>Juego Llaves</v>
      </c>
      <c r="C931" s="220"/>
      <c r="D931" s="50" t="s">
        <v>18</v>
      </c>
      <c r="E931" s="50">
        <v>0</v>
      </c>
      <c r="F931" s="51">
        <f>VLOOKUP(A931,'Componentes APUs'!$S$1:$V$10,4,0)</f>
        <v>9167</v>
      </c>
      <c r="G931" s="51">
        <f>ROUNDUP(F931*((E931/21)/E909),0)</f>
        <v>0</v>
      </c>
      <c r="I931" s="91"/>
    </row>
    <row r="932" spans="1:9" x14ac:dyDescent="0.25">
      <c r="A932" s="50" t="s">
        <v>58</v>
      </c>
      <c r="B932" s="220" t="str">
        <f>VLOOKUP(A932,'Componentes APUs'!$S$1:$V$10,2,0)</f>
        <v>Manila de servicio</v>
      </c>
      <c r="C932" s="220"/>
      <c r="D932" s="50" t="s">
        <v>18</v>
      </c>
      <c r="E932" s="50">
        <v>0</v>
      </c>
      <c r="F932" s="51">
        <f>VLOOKUP(A932,'Componentes APUs'!$S$1:$V$10,4,0)</f>
        <v>2333</v>
      </c>
      <c r="G932" s="51">
        <f>ROUNDUP(F932*((E932/21)/E909),0)</f>
        <v>0</v>
      </c>
    </row>
    <row r="933" spans="1:9" x14ac:dyDescent="0.25">
      <c r="A933" s="50" t="s">
        <v>327</v>
      </c>
      <c r="B933" s="220" t="str">
        <f>VLOOKUP(A933,'Componentes APUs'!$S$1:$V$10,2,0)</f>
        <v>Tula portaherramientas</v>
      </c>
      <c r="C933" s="220"/>
      <c r="D933" s="50" t="s">
        <v>18</v>
      </c>
      <c r="E933" s="50">
        <v>0</v>
      </c>
      <c r="F933" s="51">
        <f>VLOOKUP(A933,'Componentes APUs'!$S$1:$V$10,4,0)</f>
        <v>1250</v>
      </c>
      <c r="G933" s="51">
        <f>ROUNDUP(F933*((E933/21)/E909),0)</f>
        <v>0</v>
      </c>
    </row>
    <row r="934" spans="1:9" x14ac:dyDescent="0.25">
      <c r="A934" s="50" t="s">
        <v>60</v>
      </c>
      <c r="B934" s="220" t="str">
        <f>VLOOKUP(A934,'Componentes APUs'!$S$1:$V$10,2,0)</f>
        <v>Agarradoras</v>
      </c>
      <c r="C934" s="220"/>
      <c r="D934" s="50" t="s">
        <v>18</v>
      </c>
      <c r="E934" s="50">
        <v>0</v>
      </c>
      <c r="F934" s="51">
        <f>VLOOKUP(A934,'Componentes APUs'!$S$1:$V$10,4,0)</f>
        <v>125000</v>
      </c>
      <c r="G934" s="51">
        <f>ROUNDUP(F934*((E934/21)/E909),0)</f>
        <v>0</v>
      </c>
    </row>
    <row r="935" spans="1:9" x14ac:dyDescent="0.25">
      <c r="A935" s="50" t="s">
        <v>62</v>
      </c>
      <c r="B935" s="220" t="str">
        <f>VLOOKUP(A935,'Componentes APUs'!$S$1:$V$10,2,0)</f>
        <v>Templadoras</v>
      </c>
      <c r="C935" s="220"/>
      <c r="D935" s="50" t="s">
        <v>18</v>
      </c>
      <c r="E935" s="50">
        <v>0</v>
      </c>
      <c r="F935" s="51">
        <f>VLOOKUP(A935,'Componentes APUs'!$S$1:$V$10,4,0)</f>
        <v>250000</v>
      </c>
      <c r="G935" s="51">
        <f>ROUNDUP(F935*((E935/21)/E909),0)</f>
        <v>0</v>
      </c>
    </row>
    <row r="936" spans="1:9" x14ac:dyDescent="0.25">
      <c r="A936" s="50" t="s">
        <v>328</v>
      </c>
      <c r="B936" s="220" t="str">
        <f>VLOOKUP(A936,'Componentes APUs'!$S$1:$V$10,2,0)</f>
        <v>Herramienta Menor</v>
      </c>
      <c r="C936" s="220"/>
      <c r="D936" s="50" t="s">
        <v>18</v>
      </c>
      <c r="E936" s="50">
        <v>1</v>
      </c>
      <c r="F936" s="51">
        <f>VLOOKUP(A936,'Componentes APUs'!$S$1:$V$10,4,0)</f>
        <v>75758</v>
      </c>
      <c r="G936" s="51">
        <f>ROUNDUP(F936*((E936/21)/E909),0)</f>
        <v>1804</v>
      </c>
    </row>
    <row r="937" spans="1:9" x14ac:dyDescent="0.25">
      <c r="A937" s="219" t="s">
        <v>69</v>
      </c>
      <c r="B937" s="219"/>
      <c r="C937" s="219"/>
      <c r="D937" s="219"/>
      <c r="E937" s="219"/>
      <c r="F937" s="219"/>
      <c r="G937" s="52">
        <f>SUM(G931:G936)</f>
        <v>1804</v>
      </c>
    </row>
    <row r="938" spans="1:9" x14ac:dyDescent="0.25">
      <c r="A938" s="56"/>
      <c r="B938" s="57"/>
      <c r="C938" s="57"/>
      <c r="D938" s="57"/>
      <c r="E938" s="57"/>
      <c r="F938" s="57"/>
      <c r="G938" s="58"/>
    </row>
    <row r="939" spans="1:9" x14ac:dyDescent="0.25">
      <c r="A939" s="219" t="s">
        <v>70</v>
      </c>
      <c r="B939" s="219"/>
      <c r="C939" s="219"/>
      <c r="D939" s="219"/>
      <c r="E939" s="219"/>
      <c r="F939" s="219"/>
      <c r="G939" s="219"/>
    </row>
    <row r="940" spans="1:9" x14ac:dyDescent="0.25">
      <c r="A940" s="49" t="s">
        <v>35</v>
      </c>
      <c r="B940" s="219" t="s">
        <v>36</v>
      </c>
      <c r="C940" s="219"/>
      <c r="D940" s="49" t="s">
        <v>37</v>
      </c>
      <c r="E940" s="49" t="s">
        <v>38</v>
      </c>
      <c r="F940" s="49" t="s">
        <v>39</v>
      </c>
      <c r="G940" s="49" t="s">
        <v>40</v>
      </c>
    </row>
    <row r="941" spans="1:9" ht="15" customHeight="1" x14ac:dyDescent="0.25">
      <c r="A941" s="50" t="s">
        <v>71</v>
      </c>
      <c r="B941" s="71" t="str">
        <f>VLOOKUP(A941,'Componentes APUs'!$A$1:$D$14,2,0)</f>
        <v>Camisa indigo sin partes metalicas</v>
      </c>
      <c r="C941" s="71"/>
      <c r="D941" s="50" t="str">
        <f>VLOOKUP(A941,'Componentes APUs'!$A$1:$D$14,3,0)</f>
        <v>U</v>
      </c>
      <c r="E941" s="50">
        <f>SUM(C921:C926)</f>
        <v>2.25</v>
      </c>
      <c r="F941" s="51">
        <f>VLOOKUP(A941,'Componentes APUs'!$A$1:$D$14,4,0)</f>
        <v>8585.8585858585866</v>
      </c>
      <c r="G941" s="51">
        <f>ROUNDUP(F941*(E941/21)/E909,0)</f>
        <v>460</v>
      </c>
      <c r="I941" s="91"/>
    </row>
    <row r="942" spans="1:9" x14ac:dyDescent="0.25">
      <c r="A942" s="69" t="s">
        <v>73</v>
      </c>
      <c r="B942" s="72" t="str">
        <f>VLOOKUP(A942,'Componentes APUs'!$A$1:$D$14,2,0)</f>
        <v>Bota de seguridad dielectrica</v>
      </c>
      <c r="C942" s="73"/>
      <c r="D942" s="70" t="str">
        <f>VLOOKUP(A942,'Componentes APUs'!$A$1:$D$14,3,0)</f>
        <v>Par</v>
      </c>
      <c r="E942" s="50">
        <f>SUM(C921:C926)</f>
        <v>2.25</v>
      </c>
      <c r="F942" s="51">
        <f>VLOOKUP(A942,'Componentes APUs'!$A$1:$D$14,4,0)</f>
        <v>7500</v>
      </c>
      <c r="G942" s="51">
        <f>ROUNDUP(F942*(E942/21)/E909,0)</f>
        <v>402</v>
      </c>
    </row>
    <row r="943" spans="1:9" ht="15" customHeight="1" x14ac:dyDescent="0.25">
      <c r="A943" s="50" t="s">
        <v>76</v>
      </c>
      <c r="B943" s="72" t="str">
        <f>VLOOKUP(A943,'Componentes APUs'!$A$1:$D$14,2,0)</f>
        <v>Casco dielectrico Tipo 1 Clase E con barbuquejo</v>
      </c>
      <c r="C943" s="73"/>
      <c r="D943" s="50" t="str">
        <f>VLOOKUP(A943,'Componentes APUs'!$A$1:$D$14,3,0)</f>
        <v>U</v>
      </c>
      <c r="E943" s="50">
        <f>C921+C922+C924+C925+C926+IF(A923&lt;&gt;"MO-3",C923,0)</f>
        <v>2.25</v>
      </c>
      <c r="F943" s="51">
        <f>VLOOKUP(A943,'Componentes APUs'!$A$1:$D$14,4,0)</f>
        <v>10101.010101010101</v>
      </c>
      <c r="G943" s="51">
        <f>ROUNDUP(F943*(E943/21)/E909,0)</f>
        <v>542</v>
      </c>
    </row>
    <row r="944" spans="1:9" x14ac:dyDescent="0.25">
      <c r="A944" s="69" t="s">
        <v>77</v>
      </c>
      <c r="B944" s="72" t="str">
        <f>VLOOKUP(A944,'Componentes APUs'!$A$1:$D$14,2,0)</f>
        <v>Correa plastica y antiflama</v>
      </c>
      <c r="C944" s="73"/>
      <c r="D944" s="50" t="str">
        <f>VLOOKUP(A944,'Componentes APUs'!$A$1:$D$14,3,0)</f>
        <v>U</v>
      </c>
      <c r="E944" s="50">
        <f>SUM(C921:C926)</f>
        <v>2.25</v>
      </c>
      <c r="F944" s="51">
        <f>VLOOKUP(A944,'Componentes APUs'!$A$1:$D$14,4,0)</f>
        <v>3787.878787878788</v>
      </c>
      <c r="G944" s="51">
        <f>ROUNDUP(F944*(E944/21)/E909,0)</f>
        <v>203</v>
      </c>
    </row>
    <row r="945" spans="1:7" x14ac:dyDescent="0.25">
      <c r="A945" s="50" t="s">
        <v>79</v>
      </c>
      <c r="B945" s="72" t="str">
        <f>VLOOKUP(A945,'Componentes APUs'!$A$1:$D$14,2,0)</f>
        <v>Gafas protectoras filtro UV</v>
      </c>
      <c r="C945" s="73"/>
      <c r="D945" s="50" t="str">
        <f>VLOOKUP(A945,'Componentes APUs'!$A$1:$D$14,3,0)</f>
        <v>U</v>
      </c>
      <c r="E945" s="50">
        <f>SUM(C921:C926)</f>
        <v>2.25</v>
      </c>
      <c r="F945" s="51">
        <f>VLOOKUP(A945,'Componentes APUs'!$A$1:$D$14,4,0)</f>
        <v>2777.7777777777778</v>
      </c>
      <c r="G945" s="51">
        <f>ROUNDUP(F945*(E945/21)/E909,0)</f>
        <v>149</v>
      </c>
    </row>
    <row r="946" spans="1:7" ht="15" customHeight="1" x14ac:dyDescent="0.25">
      <c r="A946" s="69" t="s">
        <v>402</v>
      </c>
      <c r="B946" s="72" t="str">
        <f>VLOOKUP(A946,'Componentes APUs'!$A$1:$D$14,2,0)</f>
        <v>Bota de seguridad PVC dielectrica</v>
      </c>
      <c r="C946" s="73"/>
      <c r="D946" s="50" t="str">
        <f>VLOOKUP(A946,'Componentes APUs'!$A$1:$D$14,3,0)</f>
        <v>Par</v>
      </c>
      <c r="E946" s="50">
        <f>SUM(C921:C926)</f>
        <v>2.25</v>
      </c>
      <c r="F946" s="51">
        <f>VLOOKUP(A946,'Componentes APUs'!$A$1:$D$14,4,0)</f>
        <v>2916.6666666666665</v>
      </c>
      <c r="G946" s="51">
        <f>ROUNDUP(F946*(E946/21)/E909,0)</f>
        <v>157</v>
      </c>
    </row>
    <row r="947" spans="1:7" x14ac:dyDescent="0.25">
      <c r="A947" s="50" t="s">
        <v>403</v>
      </c>
      <c r="B947" s="72" t="str">
        <f>VLOOKUP(A947,'Componentes APUs'!$A$1:$D$14,2,0)</f>
        <v>Capuchon</v>
      </c>
      <c r="C947" s="73"/>
      <c r="D947" s="50" t="str">
        <f>VLOOKUP(A947,'Componentes APUs'!$A$1:$D$14,3,0)</f>
        <v>U</v>
      </c>
      <c r="E947" s="50">
        <f>SUM(C921:C926)</f>
        <v>2.25</v>
      </c>
      <c r="F947" s="51">
        <f>VLOOKUP(A947,'Componentes APUs'!$A$1:$D$14,4,0)</f>
        <v>2525.2525252525252</v>
      </c>
      <c r="G947" s="51">
        <f>ROUNDUP(F947*(E947/21)/E909,0)</f>
        <v>136</v>
      </c>
    </row>
    <row r="948" spans="1:7" ht="15" customHeight="1" x14ac:dyDescent="0.25">
      <c r="A948" s="69" t="s">
        <v>81</v>
      </c>
      <c r="B948" s="72" t="str">
        <f>VLOOKUP(A948,'Componentes APUs'!$A$1:$D$14,2,0)</f>
        <v>Guantes Protectores  - ingeniero reforzados</v>
      </c>
      <c r="C948" s="73"/>
      <c r="D948" s="50" t="str">
        <f>VLOOKUP(A948,'Componentes APUs'!$A$1:$D$14,3,0)</f>
        <v>Par</v>
      </c>
      <c r="E948" s="50">
        <f>C923+C924+C926</f>
        <v>2</v>
      </c>
      <c r="F948" s="51">
        <f>VLOOKUP(A948,'Componentes APUs'!$A$1:$D$14,4,0)</f>
        <v>2525.2525252525252</v>
      </c>
      <c r="G948" s="51">
        <f>ROUNDUP(F948*(E948/21)/E909,0)</f>
        <v>121</v>
      </c>
    </row>
    <row r="949" spans="1:7" x14ac:dyDescent="0.25">
      <c r="A949" s="50" t="s">
        <v>83</v>
      </c>
      <c r="B949" s="72" t="str">
        <f>VLOOKUP(A949,'Componentes APUs'!$A$1:$D$14,2,0)</f>
        <v>Impermeable (pantalon camisa)</v>
      </c>
      <c r="C949" s="73"/>
      <c r="D949" s="50" t="str">
        <f>VLOOKUP(A949,'Componentes APUs'!$A$1:$D$14,3,0)</f>
        <v>U</v>
      </c>
      <c r="E949" s="50">
        <f>SUM(C921:C926)</f>
        <v>2.25</v>
      </c>
      <c r="F949" s="51">
        <f>VLOOKUP(A949,'Componentes APUs'!$A$1:$D$14,4,0)</f>
        <v>3750</v>
      </c>
      <c r="G949" s="51">
        <f>ROUNDUP(F949*(E949/21)/E909,0)</f>
        <v>201</v>
      </c>
    </row>
    <row r="950" spans="1:7" x14ac:dyDescent="0.25">
      <c r="A950" s="69" t="s">
        <v>85</v>
      </c>
      <c r="B950" s="72" t="str">
        <f>VLOOKUP(A950,'Componentes APUs'!$A$1:$D$14,2,0)</f>
        <v>Jean Dielectrico</v>
      </c>
      <c r="C950" s="73"/>
      <c r="D950" s="50" t="str">
        <f>VLOOKUP(A950,'Componentes APUs'!$A$1:$D$14,3,0)</f>
        <v>U</v>
      </c>
      <c r="E950" s="50">
        <f>SUM(C921:C926)</f>
        <v>2.25</v>
      </c>
      <c r="F950" s="51">
        <f>VLOOKUP(A950,'Componentes APUs'!$A$1:$D$14,4,0)</f>
        <v>7575.757575757576</v>
      </c>
      <c r="G950" s="51">
        <f>ROUNDUP(F950*(E950/21)/E909,0)</f>
        <v>406</v>
      </c>
    </row>
    <row r="951" spans="1:7" ht="15" customHeight="1" x14ac:dyDescent="0.25">
      <c r="A951" s="50" t="s">
        <v>87</v>
      </c>
      <c r="B951" s="72" t="str">
        <f>VLOOKUP(A951,'Componentes APUs'!$A$1:$D$14,2,0)</f>
        <v>Casco dielectrico Tipo 2 Clase E con barboquejo</v>
      </c>
      <c r="C951" s="73"/>
      <c r="D951" s="50" t="str">
        <f>VLOOKUP(A951,'Componentes APUs'!$A$1:$D$14,3,0)</f>
        <v>U</v>
      </c>
      <c r="E951" s="53">
        <f>IF(A923="MO-3",C923,0)</f>
        <v>0</v>
      </c>
      <c r="F951" s="51">
        <f>VLOOKUP(A951,'Componentes APUs'!$A$1:$D$14,4,0)</f>
        <v>7500</v>
      </c>
      <c r="G951" s="51">
        <f>ROUNDUP(F951*(E951/21)/E909,0)</f>
        <v>0</v>
      </c>
    </row>
    <row r="952" spans="1:7" ht="15" customHeight="1" x14ac:dyDescent="0.25">
      <c r="A952" s="69" t="s">
        <v>89</v>
      </c>
      <c r="B952" s="72" t="str">
        <f>VLOOKUP(A952,'Componentes APUs'!$A$1:$D$14,2,0)</f>
        <v>Kit de rescate para trabajo en alturas</v>
      </c>
      <c r="C952" s="73"/>
      <c r="D952" s="50" t="str">
        <f>VLOOKUP(A952,'Componentes APUs'!$A$1:$D$14,3,0)</f>
        <v>U</v>
      </c>
      <c r="E952" s="50">
        <f>IF(AND(A923="MO-3",C923=2),1,0)</f>
        <v>0</v>
      </c>
      <c r="F952" s="51">
        <f>VLOOKUP(A952,'Componentes APUs'!$A$1:$D$14,4,0)</f>
        <v>37500</v>
      </c>
      <c r="G952" s="51">
        <f>ROUNDUP(F952*(E952/21)/E909,0)</f>
        <v>0</v>
      </c>
    </row>
    <row r="953" spans="1:7" x14ac:dyDescent="0.25">
      <c r="A953" s="50" t="s">
        <v>91</v>
      </c>
      <c r="B953" s="72" t="str">
        <f>VLOOKUP(A953,'Componentes APUs'!$A$1:$D$14,2,0)</f>
        <v>Equipo completo para trabajo en alturas con pretales (Arnes dielectrico, 1 mosqueton de seguridad, tie off dielectrico, eslinga de posicionamiento, juego de pretales)</v>
      </c>
      <c r="C953" s="73"/>
      <c r="D953" s="50" t="str">
        <f>VLOOKUP(A953,'Componentes APUs'!$A$1:$D$14,3,0)</f>
        <v>U</v>
      </c>
      <c r="E953" s="50">
        <f>IF(A923="MO-3",C923,0)</f>
        <v>0</v>
      </c>
      <c r="F953" s="51">
        <f>VLOOKUP(A953,'Componentes APUs'!$A$1:$D$14,4,0)</f>
        <v>26041.666666666668</v>
      </c>
      <c r="G953" s="51">
        <f>ROUNDUP(F953*(E953/21)/E909,0)</f>
        <v>0</v>
      </c>
    </row>
    <row r="954" spans="1:7" x14ac:dyDescent="0.25">
      <c r="A954" s="219" t="s">
        <v>95</v>
      </c>
      <c r="B954" s="219"/>
      <c r="C954" s="219"/>
      <c r="D954" s="219"/>
      <c r="E954" s="219"/>
      <c r="F954" s="219"/>
      <c r="G954" s="52">
        <f>SUM(G941:G953)</f>
        <v>2777</v>
      </c>
    </row>
    <row r="955" spans="1:7" x14ac:dyDescent="0.25">
      <c r="A955" s="56"/>
      <c r="B955" s="57"/>
      <c r="C955" s="57"/>
      <c r="D955" s="57"/>
      <c r="E955" s="57"/>
      <c r="F955" s="57"/>
      <c r="G955" s="58"/>
    </row>
    <row r="956" spans="1:7" x14ac:dyDescent="0.25">
      <c r="A956" s="219" t="s">
        <v>96</v>
      </c>
      <c r="B956" s="219"/>
      <c r="C956" s="219"/>
      <c r="D956" s="219"/>
      <c r="E956" s="219"/>
      <c r="F956" s="219"/>
      <c r="G956" s="219"/>
    </row>
    <row r="957" spans="1:7" x14ac:dyDescent="0.25">
      <c r="A957" s="49" t="s">
        <v>35</v>
      </c>
      <c r="B957" s="225" t="s">
        <v>36</v>
      </c>
      <c r="C957" s="225"/>
      <c r="D957" s="49" t="s">
        <v>37</v>
      </c>
      <c r="E957" s="49" t="s">
        <v>38</v>
      </c>
      <c r="F957" s="49" t="s">
        <v>39</v>
      </c>
      <c r="G957" s="49" t="s">
        <v>40</v>
      </c>
    </row>
    <row r="958" spans="1:7" x14ac:dyDescent="0.25">
      <c r="A958" s="69" t="s">
        <v>97</v>
      </c>
      <c r="B958" s="72" t="str">
        <f>VLOOKUP(A958,'Componentes APUs'!$N$1:$Q$30,2,0)</f>
        <v>Camioneta</v>
      </c>
      <c r="C958" s="73"/>
      <c r="D958" s="70" t="str">
        <f>VLOOKUP(A958,'Componentes APUs'!$N$1:$Q$30,3,0)</f>
        <v>U</v>
      </c>
      <c r="E958" s="50">
        <v>1</v>
      </c>
      <c r="F958" s="51">
        <f>VLOOKUP(A958,'Componentes APUs'!$N$1:$Q$30,4,0)</f>
        <v>5500000</v>
      </c>
      <c r="G958" s="51">
        <f>IFERROR(ROUNDUP(F958*(E958/21)/E909,0),"-")</f>
        <v>130953</v>
      </c>
    </row>
    <row r="959" spans="1:7" x14ac:dyDescent="0.25">
      <c r="A959" s="50" t="s">
        <v>1391</v>
      </c>
      <c r="B959" s="72" t="str">
        <f>VLOOKUP(A959,'Componentes APUs'!$N$1:$Q$30,2,0)</f>
        <v>Rodillo Ligero</v>
      </c>
      <c r="C959" s="73"/>
      <c r="D959" s="70" t="str">
        <f>VLOOKUP(A959,'Componentes APUs'!$N$1:$Q$30,3,0)</f>
        <v>U</v>
      </c>
      <c r="E959" s="50">
        <v>0</v>
      </c>
      <c r="F959" s="51">
        <f>VLOOKUP(A959,'Componentes APUs'!$N$1:$Q$30,4,0)</f>
        <v>1675800</v>
      </c>
      <c r="G959" s="51">
        <f>IFERROR(ROUNDUP(F959*(E959/21)/E909,0),"-")</f>
        <v>0</v>
      </c>
    </row>
    <row r="960" spans="1:7" x14ac:dyDescent="0.25">
      <c r="A960" s="50" t="s">
        <v>1392</v>
      </c>
      <c r="B960" s="72" t="str">
        <f>VLOOKUP(A960,'Componentes APUs'!$N$1:$Q$30,2,0)</f>
        <v>Motocultor</v>
      </c>
      <c r="C960" s="73"/>
      <c r="D960" s="70" t="str">
        <f>VLOOKUP(A960,'Componentes APUs'!$N$1:$Q$30,3,0)</f>
        <v>U</v>
      </c>
      <c r="E960" s="50">
        <v>0</v>
      </c>
      <c r="F960" s="51">
        <f>VLOOKUP(A960,'Componentes APUs'!$N$1:$Q$30,4,0)</f>
        <v>1292760</v>
      </c>
      <c r="G960" s="51">
        <f>IFERROR(ROUNDUP(F960*(E960/21)/E909,0),"-")</f>
        <v>0</v>
      </c>
    </row>
    <row r="961" spans="1:7" x14ac:dyDescent="0.25">
      <c r="A961" s="50" t="s">
        <v>323</v>
      </c>
      <c r="B961" s="72" t="str">
        <f>VLOOKUP(A961,'Componentes APUs'!$N$1:$Q$30,2,0)</f>
        <v>Volqueta</v>
      </c>
      <c r="C961" s="73"/>
      <c r="D961" s="70" t="str">
        <f>VLOOKUP(A961,'Componentes APUs'!$N$1:$Q$30,3,0)</f>
        <v>U</v>
      </c>
      <c r="E961" s="50">
        <v>0</v>
      </c>
      <c r="F961" s="51">
        <f>VLOOKUP(A961,'Componentes APUs'!$N$1:$Q$30,4,0)</f>
        <v>14828184</v>
      </c>
      <c r="G961" s="51">
        <f>IFERROR(ROUNDUP(F961*(E961/21)/E909,0),"-")</f>
        <v>0</v>
      </c>
    </row>
    <row r="962" spans="1:7" x14ac:dyDescent="0.25">
      <c r="A962" s="69" t="s">
        <v>324</v>
      </c>
      <c r="B962" s="72" t="str">
        <f>VLOOKUP(A962,'Componentes APUs'!$N$1:$Q$30,2,0)</f>
        <v>Retroexcavadora</v>
      </c>
      <c r="C962" s="73"/>
      <c r="D962" s="70" t="str">
        <f>VLOOKUP(A962,'Componentes APUs'!$N$1:$Q$30,3,0)</f>
        <v>U</v>
      </c>
      <c r="E962" s="50">
        <v>0</v>
      </c>
      <c r="F962" s="51">
        <f>VLOOKUP(A962,'Componentes APUs'!$N$1:$Q$30,4,0)</f>
        <v>46030656</v>
      </c>
      <c r="G962" s="51">
        <f>IFERROR(ROUNDUP(F962*(E962/21)/E909,0),"-")</f>
        <v>0</v>
      </c>
    </row>
    <row r="963" spans="1:7" x14ac:dyDescent="0.25">
      <c r="A963" s="219" t="s">
        <v>99</v>
      </c>
      <c r="B963" s="219"/>
      <c r="C963" s="219"/>
      <c r="D963" s="219"/>
      <c r="E963" s="219"/>
      <c r="F963" s="219"/>
      <c r="G963" s="52">
        <f>SUM(G958:G962)</f>
        <v>130953</v>
      </c>
    </row>
    <row r="964" spans="1:7" x14ac:dyDescent="0.25">
      <c r="A964" s="56"/>
      <c r="B964" s="57"/>
      <c r="C964" s="57"/>
      <c r="D964" s="57"/>
      <c r="E964" s="57"/>
      <c r="F964" s="57"/>
      <c r="G964" s="58"/>
    </row>
    <row r="965" spans="1:7" x14ac:dyDescent="0.25">
      <c r="A965" s="219" t="s">
        <v>1516</v>
      </c>
      <c r="B965" s="219"/>
      <c r="C965" s="219"/>
      <c r="D965" s="219"/>
      <c r="E965" s="219"/>
      <c r="F965" s="219"/>
      <c r="G965" s="52">
        <f>G963+G954+G937+G927+G917</f>
        <v>344038</v>
      </c>
    </row>
    <row r="966" spans="1:7" x14ac:dyDescent="0.25">
      <c r="A966" s="59"/>
      <c r="B966" s="60"/>
      <c r="C966" s="60"/>
      <c r="D966" s="60"/>
      <c r="E966" s="57"/>
      <c r="F966" s="57"/>
      <c r="G966" s="58"/>
    </row>
    <row r="967" spans="1:7" x14ac:dyDescent="0.25">
      <c r="A967" s="64"/>
      <c r="D967" s="55"/>
      <c r="E967" s="49" t="s">
        <v>25</v>
      </c>
      <c r="F967" s="54">
        <v>0.15</v>
      </c>
      <c r="G967" s="51">
        <f>G965*F967</f>
        <v>51605.7</v>
      </c>
    </row>
    <row r="968" spans="1:7" x14ac:dyDescent="0.25">
      <c r="A968" s="64"/>
      <c r="D968" s="55"/>
      <c r="E968" s="49" t="s">
        <v>26</v>
      </c>
      <c r="F968" s="54">
        <v>0.05</v>
      </c>
      <c r="G968" s="51">
        <f>G965*F968</f>
        <v>17201.900000000001</v>
      </c>
    </row>
    <row r="969" spans="1:7" x14ac:dyDescent="0.25">
      <c r="A969" s="61"/>
      <c r="B969" s="65"/>
      <c r="C969" s="65"/>
      <c r="D969" s="62"/>
      <c r="E969" s="49" t="s">
        <v>27</v>
      </c>
      <c r="F969" s="54">
        <v>0.05</v>
      </c>
      <c r="G969" s="51">
        <f>G965*F969</f>
        <v>17201.900000000001</v>
      </c>
    </row>
    <row r="970" spans="1:7" x14ac:dyDescent="0.25">
      <c r="A970" s="61"/>
      <c r="B970" s="62"/>
      <c r="C970" s="62"/>
      <c r="D970" s="62"/>
      <c r="E970" s="62"/>
      <c r="F970" s="62"/>
      <c r="G970" s="63"/>
    </row>
    <row r="971" spans="1:7" x14ac:dyDescent="0.25">
      <c r="A971" s="219" t="s">
        <v>1517</v>
      </c>
      <c r="B971" s="219"/>
      <c r="C971" s="219"/>
      <c r="D971" s="219"/>
      <c r="E971" s="219"/>
      <c r="F971" s="219"/>
      <c r="G971" s="52">
        <f>G965+G967+G968+G969</f>
        <v>430047.50000000006</v>
      </c>
    </row>
    <row r="972" spans="1:7" x14ac:dyDescent="0.25">
      <c r="A972" s="59"/>
      <c r="B972" s="60"/>
      <c r="C972" s="60"/>
      <c r="D972" s="60"/>
      <c r="E972" s="57"/>
      <c r="F972" s="57"/>
      <c r="G972" s="58"/>
    </row>
    <row r="973" spans="1:7" x14ac:dyDescent="0.25">
      <c r="A973" s="64"/>
      <c r="D973" s="55"/>
      <c r="E973" s="49" t="s">
        <v>102</v>
      </c>
      <c r="F973" s="49" t="s">
        <v>103</v>
      </c>
      <c r="G973" s="51">
        <f>G969*19%</f>
        <v>3268.3610000000003</v>
      </c>
    </row>
    <row r="974" spans="1:7" x14ac:dyDescent="0.25">
      <c r="A974" s="61"/>
      <c r="B974" s="62"/>
      <c r="C974" s="62"/>
      <c r="D974" s="62"/>
      <c r="E974" s="57"/>
      <c r="F974" s="57"/>
      <c r="G974" s="58"/>
    </row>
    <row r="975" spans="1:7" x14ac:dyDescent="0.25">
      <c r="A975" s="219" t="s">
        <v>104</v>
      </c>
      <c r="B975" s="219"/>
      <c r="C975" s="219"/>
      <c r="D975" s="219"/>
      <c r="E975" s="219"/>
      <c r="F975" s="219"/>
      <c r="G975" s="52">
        <f>G973+G971</f>
        <v>433315.86100000003</v>
      </c>
    </row>
    <row r="977" spans="1:9" x14ac:dyDescent="0.25">
      <c r="A977" s="74" t="s">
        <v>29</v>
      </c>
      <c r="B977" s="226" t="s">
        <v>30</v>
      </c>
      <c r="C977" s="226"/>
      <c r="D977" s="74" t="s">
        <v>31</v>
      </c>
      <c r="E977" s="74" t="s">
        <v>32</v>
      </c>
      <c r="F977" s="74" t="s">
        <v>189</v>
      </c>
      <c r="G977" s="74" t="s">
        <v>33</v>
      </c>
      <c r="H977" s="105"/>
    </row>
    <row r="978" spans="1:9" ht="23.25" customHeight="1" x14ac:dyDescent="0.25">
      <c r="A978" s="50" t="str">
        <f>Presupuesto!B24</f>
        <v>016_OC</v>
      </c>
      <c r="B978" s="229" t="str">
        <f>Presupuesto!C24</f>
        <v>CARCAMO DE 40X60 CM. SEGÚN ESPECIFICACIONES EN PLANO. INCLUYE EXCAVACIÓN</v>
      </c>
      <c r="C978" s="230"/>
      <c r="D978" s="50" t="s">
        <v>108</v>
      </c>
      <c r="E978" s="107">
        <v>12</v>
      </c>
      <c r="F978" s="50"/>
      <c r="G978" s="51">
        <f>G1044</f>
        <v>665118.01950000017</v>
      </c>
      <c r="H978" s="45"/>
    </row>
    <row r="979" spans="1:9" x14ac:dyDescent="0.25">
      <c r="A979" s="219" t="s">
        <v>34</v>
      </c>
      <c r="B979" s="219"/>
      <c r="C979" s="219"/>
      <c r="D979" s="219"/>
      <c r="E979" s="219"/>
      <c r="F979" s="219"/>
      <c r="G979" s="219"/>
    </row>
    <row r="980" spans="1:9" x14ac:dyDescent="0.25">
      <c r="A980" s="49" t="s">
        <v>35</v>
      </c>
      <c r="B980" s="219" t="s">
        <v>36</v>
      </c>
      <c r="C980" s="219"/>
      <c r="D980" s="49" t="s">
        <v>37</v>
      </c>
      <c r="E980" s="49" t="s">
        <v>38</v>
      </c>
      <c r="F980" s="49" t="s">
        <v>39</v>
      </c>
      <c r="G980" s="49" t="s">
        <v>40</v>
      </c>
    </row>
    <row r="981" spans="1:9" x14ac:dyDescent="0.25">
      <c r="A981" s="50" t="str">
        <f>Material!A15</f>
        <v>MA-14</v>
      </c>
      <c r="B981" s="72" t="str">
        <f>IFERROR(VLOOKUP(A981,Material!$A:$H,2,0),"-")</f>
        <v>CONCRETO DE 3000 PSI</v>
      </c>
      <c r="C981" s="76"/>
      <c r="D981" s="50" t="str">
        <f>IFERROR(VLOOKUP(A981,Material!$A:$H,4,0),"-")</f>
        <v>M3</v>
      </c>
      <c r="E981" s="107">
        <f>0.22*1</f>
        <v>0.22</v>
      </c>
      <c r="F981" s="51">
        <f>IFERROR(VLOOKUP(A981,Material!$A:$H,3,0),"-")</f>
        <v>620227.23330691375</v>
      </c>
      <c r="G981" s="51">
        <f t="shared" ref="G981:G984" si="7">IFERROR(ROUNDUP(F981*E981,0),"-")</f>
        <v>136450</v>
      </c>
      <c r="H981" s="106"/>
    </row>
    <row r="982" spans="1:9" x14ac:dyDescent="0.25">
      <c r="A982" s="50" t="str">
        <f>Material!A191</f>
        <v>MA-190</v>
      </c>
      <c r="B982" s="72" t="str">
        <f>IFERROR(VLOOKUP(A982,Material!$A:$H,2,0),"-")</f>
        <v>CONCRETO PARA SOLADO 2500 PSI</v>
      </c>
      <c r="C982" s="76"/>
      <c r="D982" s="50" t="str">
        <f>IFERROR(VLOOKUP(A982,Material!$A:$H,4,0),"-")</f>
        <v>M3</v>
      </c>
      <c r="E982" s="107">
        <f>0.9*0.05</f>
        <v>4.5000000000000005E-2</v>
      </c>
      <c r="F982" s="51">
        <f>IFERROR(VLOOKUP(A982,Material!$A:$H,3,0),"-")</f>
        <v>760500</v>
      </c>
      <c r="G982" s="51">
        <f t="shared" ref="G982" si="8">IFERROR(ROUNDUP(F982*E982,0),"-")</f>
        <v>34223</v>
      </c>
      <c r="H982" s="106"/>
    </row>
    <row r="983" spans="1:9" x14ac:dyDescent="0.25">
      <c r="A983" s="50" t="str">
        <f>Material!A597</f>
        <v>MA-596</v>
      </c>
      <c r="B983" s="72" t="str">
        <f>IFERROR(VLOOKUP(A983,Material!$A:$H,2,0),"-")</f>
        <v>ACERO DE REFUERZO FIGURADO</v>
      </c>
      <c r="C983" s="76"/>
      <c r="D983" s="50" t="str">
        <f>IFERROR(VLOOKUP(A983,Material!$A:$H,4,0),"-")</f>
        <v>kG</v>
      </c>
      <c r="E983" s="107">
        <f>200*E981</f>
        <v>44</v>
      </c>
      <c r="F983" s="51">
        <f>IFERROR(VLOOKUP(A983,Material!$A:$H,3,0),"-")</f>
        <v>5106.4000000000005</v>
      </c>
      <c r="G983" s="51">
        <f t="shared" si="7"/>
        <v>224682</v>
      </c>
      <c r="H983" s="106"/>
    </row>
    <row r="984" spans="1:9" x14ac:dyDescent="0.25">
      <c r="A984" s="50" t="str">
        <f>Material!A218</f>
        <v>MA-217</v>
      </c>
      <c r="B984" s="72" t="str">
        <f>IFERROR(VLOOKUP(A984,Material!$A:$H,2,0),"-")</f>
        <v>FORMALETA EN MADERA CON TABLA DE 1"</v>
      </c>
      <c r="C984" s="76"/>
      <c r="D984" s="50" t="str">
        <f>IFERROR(VLOOKUP(A984,Material!$A:$H,4,0),"-")</f>
        <v>M2</v>
      </c>
      <c r="E984" s="107">
        <f>0.5*2+0.4*2</f>
        <v>1.8</v>
      </c>
      <c r="F984" s="51">
        <f>IFERROR(VLOOKUP(A984,Material!$A:$H,3,0),"-")</f>
        <v>24691.116165303549</v>
      </c>
      <c r="G984" s="51">
        <f t="shared" si="7"/>
        <v>44445</v>
      </c>
      <c r="H984" s="66"/>
    </row>
    <row r="985" spans="1:9" ht="24.75" customHeight="1" x14ac:dyDescent="0.25">
      <c r="A985" s="50" t="str">
        <f>Material!A18</f>
        <v>MA-17</v>
      </c>
      <c r="B985" s="232" t="str">
        <f>IFERROR(VLOOKUP(A985,Material!$A:$H,2,0),"-")</f>
        <v>EXCAVACIÓN EN MATERIAL COMÚN BAJO AGUA DE 0 - 2 M MANUAL</v>
      </c>
      <c r="C985" s="233"/>
      <c r="D985" s="50" t="str">
        <f>IFERROR(VLOOKUP(A985,Material!$A:$H,4,0),"-")</f>
        <v>M3</v>
      </c>
      <c r="E985" s="107">
        <f>0.6*0.7</f>
        <v>0.42</v>
      </c>
      <c r="F985" s="51">
        <f>IFERROR(VLOOKUP(A985,Material!$A:$H,3,0),"-")</f>
        <v>45663.8</v>
      </c>
      <c r="G985" s="51">
        <f t="shared" ref="G985" si="9">IFERROR(ROUNDUP(F985*E985,0),"-")</f>
        <v>19179</v>
      </c>
      <c r="H985" s="66"/>
    </row>
    <row r="986" spans="1:9" x14ac:dyDescent="0.25">
      <c r="A986" s="219" t="s">
        <v>41</v>
      </c>
      <c r="B986" s="219"/>
      <c r="C986" s="219"/>
      <c r="D986" s="219"/>
      <c r="E986" s="219"/>
      <c r="F986" s="219"/>
      <c r="G986" s="52">
        <f>SUM(G981:G985)</f>
        <v>458979</v>
      </c>
      <c r="I986" s="104"/>
    </row>
    <row r="987" spans="1:9" x14ac:dyDescent="0.25">
      <c r="A987" s="56"/>
      <c r="B987" s="57"/>
      <c r="C987" s="57"/>
      <c r="D987" s="57"/>
      <c r="E987" s="57"/>
      <c r="F987" s="57"/>
      <c r="G987" s="58"/>
    </row>
    <row r="988" spans="1:9" x14ac:dyDescent="0.25">
      <c r="A988" s="219" t="s">
        <v>42</v>
      </c>
      <c r="B988" s="219"/>
      <c r="C988" s="219"/>
      <c r="D988" s="219"/>
      <c r="E988" s="219"/>
      <c r="F988" s="219"/>
      <c r="G988" s="219"/>
    </row>
    <row r="989" spans="1:9" x14ac:dyDescent="0.25">
      <c r="A989" s="49" t="s">
        <v>35</v>
      </c>
      <c r="B989" s="49" t="s">
        <v>36</v>
      </c>
      <c r="C989" s="49" t="s">
        <v>38</v>
      </c>
      <c r="D989" s="49" t="s">
        <v>43</v>
      </c>
      <c r="E989" s="49" t="s">
        <v>44</v>
      </c>
      <c r="F989" s="49" t="s">
        <v>45</v>
      </c>
      <c r="G989" s="49" t="s">
        <v>40</v>
      </c>
    </row>
    <row r="990" spans="1:9" x14ac:dyDescent="0.25">
      <c r="A990" s="50" t="s">
        <v>319</v>
      </c>
      <c r="B990" s="68" t="str">
        <f>VLOOKUP(A990,'Componentes APUs'!$H$1:$L$25,2,0)</f>
        <v>Ingeniero Residente de Obra</v>
      </c>
      <c r="C990" s="93">
        <v>0.25</v>
      </c>
      <c r="D990" s="50">
        <f>VLOOKUP(A990,'Componentes APUs'!$H$1:$L$25,3,0)</f>
        <v>4</v>
      </c>
      <c r="E990" s="51">
        <f>VLOOKUP(A990,'Componentes APUs'!$H$1:$L$25,4,0)</f>
        <v>271142.85714285716</v>
      </c>
      <c r="F990" s="51">
        <f>VLOOKUP(A990,'Componentes APUs'!$H$1:$L$25,5,0)</f>
        <v>162685.71428571429</v>
      </c>
      <c r="G990" s="51">
        <f>ROUNDUP((E990+F990)*C990/E978,0)</f>
        <v>9039</v>
      </c>
      <c r="H990" s="66"/>
    </row>
    <row r="991" spans="1:9" x14ac:dyDescent="0.25">
      <c r="A991" s="50" t="s">
        <v>320</v>
      </c>
      <c r="B991" s="68" t="str">
        <f>VLOOKUP(A991,'Componentes APUs'!$H$1:$L$25,2,0)</f>
        <v>Tecnico Supervisor</v>
      </c>
      <c r="C991" s="93">
        <v>0</v>
      </c>
      <c r="D991" s="50">
        <f>VLOOKUP(A991,'Componentes APUs'!$H$1:$L$25,3,0)</f>
        <v>2.2999999999999998</v>
      </c>
      <c r="E991" s="51">
        <f>VLOOKUP(A991,'Componentes APUs'!$H$1:$L$25,4,0)</f>
        <v>155907.14285714284</v>
      </c>
      <c r="F991" s="51">
        <f>VLOOKUP(A991,'Componentes APUs'!$H$1:$L$25,5,0)</f>
        <v>93544.285714285696</v>
      </c>
      <c r="G991" s="51">
        <f>ROUNDUP((E991+F991)*C991/E978,0)</f>
        <v>0</v>
      </c>
    </row>
    <row r="992" spans="1:9" x14ac:dyDescent="0.25">
      <c r="A992" s="50" t="s">
        <v>54</v>
      </c>
      <c r="B992" s="68" t="str">
        <f>VLOOKUP(A992,'Componentes APUs'!$H$1:$L$25,2,0)</f>
        <v>Maestro de obra civil</v>
      </c>
      <c r="C992" s="93">
        <v>0.25</v>
      </c>
      <c r="D992" s="50">
        <f>VLOOKUP(A992,'Componentes APUs'!$H$1:$L$25,3,0)</f>
        <v>2.5</v>
      </c>
      <c r="E992" s="51">
        <f>VLOOKUP(A992,'Componentes APUs'!$H$1:$L$25,4,0)</f>
        <v>169464.28571428571</v>
      </c>
      <c r="F992" s="51">
        <f>VLOOKUP(A992,'Componentes APUs'!$H$1:$L$25,5,0)</f>
        <v>101678.57142857142</v>
      </c>
      <c r="G992" s="51">
        <f>ROUNDUP((E992+F992)*C992/E978,0)</f>
        <v>5649</v>
      </c>
    </row>
    <row r="993" spans="1:9" x14ac:dyDescent="0.25">
      <c r="A993" s="50" t="s">
        <v>1110</v>
      </c>
      <c r="B993" s="68" t="str">
        <f>VLOOKUP(A993,'Componentes APUs'!$H$1:$L$25,2,0)</f>
        <v>Oficial de Obra Civil</v>
      </c>
      <c r="C993" s="93">
        <v>1</v>
      </c>
      <c r="D993" s="50">
        <f>VLOOKUP(A993,'Componentes APUs'!$H$1:$L$25,3,0)</f>
        <v>1.5</v>
      </c>
      <c r="E993" s="51">
        <f>VLOOKUP(A993,'Componentes APUs'!$H$1:$L$25,4,0)</f>
        <v>115964.28571428571</v>
      </c>
      <c r="F993" s="51">
        <f>VLOOKUP(A993,'Componentes APUs'!$H$1:$L$25,5,0)</f>
        <v>69578.57142857142</v>
      </c>
      <c r="G993" s="51">
        <f>ROUNDUP((E993+F993)*C993/E978,0)</f>
        <v>15462</v>
      </c>
    </row>
    <row r="994" spans="1:9" x14ac:dyDescent="0.25">
      <c r="A994" s="50" t="s">
        <v>50</v>
      </c>
      <c r="B994" s="68" t="str">
        <f>VLOOKUP(A994,'Componentes APUs'!$H$1:$L$25,2,0)</f>
        <v>Profesional en SST</v>
      </c>
      <c r="C994" s="93">
        <v>0.25</v>
      </c>
      <c r="D994" s="50">
        <f>VLOOKUP(A994,'Componentes APUs'!$H$1:$L$25,3,0)</f>
        <v>2.5</v>
      </c>
      <c r="E994" s="51">
        <f>VLOOKUP(A994,'Componentes APUs'!$H$1:$L$25,4,0)</f>
        <v>169464.28571428571</v>
      </c>
      <c r="F994" s="51">
        <f>VLOOKUP(A994,'Componentes APUs'!$H$1:$L$25,5,0)</f>
        <v>101678.57142857142</v>
      </c>
      <c r="G994" s="51">
        <f>ROUNDUP((E994+F994)*C994/E978,0)</f>
        <v>5649</v>
      </c>
    </row>
    <row r="995" spans="1:9" x14ac:dyDescent="0.25">
      <c r="A995" s="50" t="s">
        <v>1109</v>
      </c>
      <c r="B995" s="68" t="str">
        <f>VLOOKUP(A995,'Componentes APUs'!$H$1:$L$25,2,0)</f>
        <v>Ayudante de Obra Civil</v>
      </c>
      <c r="C995" s="93">
        <v>1</v>
      </c>
      <c r="D995" s="50">
        <f>VLOOKUP(A995,'Componentes APUs'!$H$1:$L$25,3,0)</f>
        <v>1</v>
      </c>
      <c r="E995" s="51">
        <f>VLOOKUP(A995,'Componentes APUs'!$H$1:$L$25,4,0)</f>
        <v>77309.523809523816</v>
      </c>
      <c r="F995" s="51">
        <f>VLOOKUP(A995,'Componentes APUs'!$H$1:$L$25,5,0)</f>
        <v>46385.71428571429</v>
      </c>
      <c r="G995" s="51">
        <f>ROUNDUP((E995+F995)*C995/E978,0)</f>
        <v>10308</v>
      </c>
    </row>
    <row r="996" spans="1:9" x14ac:dyDescent="0.25">
      <c r="A996" s="219" t="s">
        <v>56</v>
      </c>
      <c r="B996" s="219"/>
      <c r="C996" s="219"/>
      <c r="D996" s="219"/>
      <c r="E996" s="219"/>
      <c r="F996" s="219"/>
      <c r="G996" s="52">
        <f>SUM(G990:G995)</f>
        <v>46107</v>
      </c>
    </row>
    <row r="997" spans="1:9" x14ac:dyDescent="0.25">
      <c r="A997" s="56"/>
      <c r="B997" s="57"/>
      <c r="C997" s="57"/>
      <c r="D997" s="57"/>
      <c r="E997" s="57"/>
      <c r="F997" s="57"/>
      <c r="G997" s="58"/>
    </row>
    <row r="998" spans="1:9" x14ac:dyDescent="0.25">
      <c r="A998" s="219" t="s">
        <v>57</v>
      </c>
      <c r="B998" s="219"/>
      <c r="C998" s="219"/>
      <c r="D998" s="219"/>
      <c r="E998" s="219"/>
      <c r="F998" s="219"/>
      <c r="G998" s="219"/>
    </row>
    <row r="999" spans="1:9" x14ac:dyDescent="0.25">
      <c r="A999" s="49" t="s">
        <v>35</v>
      </c>
      <c r="B999" s="219" t="s">
        <v>36</v>
      </c>
      <c r="C999" s="219"/>
      <c r="D999" s="49" t="s">
        <v>37</v>
      </c>
      <c r="E999" s="49" t="s">
        <v>38</v>
      </c>
      <c r="F999" s="49" t="s">
        <v>39</v>
      </c>
      <c r="G999" s="49" t="s">
        <v>40</v>
      </c>
    </row>
    <row r="1000" spans="1:9" x14ac:dyDescent="0.25">
      <c r="A1000" s="50" t="s">
        <v>326</v>
      </c>
      <c r="B1000" s="220" t="str">
        <f>VLOOKUP(A1000,'Componentes APUs'!$S$1:$V$10,2,0)</f>
        <v>Juego Llaves</v>
      </c>
      <c r="C1000" s="220"/>
      <c r="D1000" s="50" t="s">
        <v>18</v>
      </c>
      <c r="E1000" s="50">
        <v>0</v>
      </c>
      <c r="F1000" s="51">
        <f>VLOOKUP(A1000,'Componentes APUs'!$S$1:$V$10,4,0)</f>
        <v>9167</v>
      </c>
      <c r="G1000" s="51">
        <f>ROUNDUP(F1000*((E1000/21)/E978),0)</f>
        <v>0</v>
      </c>
      <c r="I1000" s="91"/>
    </row>
    <row r="1001" spans="1:9" x14ac:dyDescent="0.25">
      <c r="A1001" s="50" t="s">
        <v>58</v>
      </c>
      <c r="B1001" s="220" t="str">
        <f>VLOOKUP(A1001,'Componentes APUs'!$S$1:$V$10,2,0)</f>
        <v>Manila de servicio</v>
      </c>
      <c r="C1001" s="220"/>
      <c r="D1001" s="50" t="s">
        <v>18</v>
      </c>
      <c r="E1001" s="50">
        <v>0</v>
      </c>
      <c r="F1001" s="51">
        <f>VLOOKUP(A1001,'Componentes APUs'!$S$1:$V$10,4,0)</f>
        <v>2333</v>
      </c>
      <c r="G1001" s="51">
        <f>ROUNDUP(F1001*((E1001/21)/E978),0)</f>
        <v>0</v>
      </c>
    </row>
    <row r="1002" spans="1:9" x14ac:dyDescent="0.25">
      <c r="A1002" s="50" t="s">
        <v>327</v>
      </c>
      <c r="B1002" s="220" t="str">
        <f>VLOOKUP(A1002,'Componentes APUs'!$S$1:$V$10,2,0)</f>
        <v>Tula portaherramientas</v>
      </c>
      <c r="C1002" s="220"/>
      <c r="D1002" s="50" t="s">
        <v>18</v>
      </c>
      <c r="E1002" s="50">
        <v>0</v>
      </c>
      <c r="F1002" s="51">
        <f>VLOOKUP(A1002,'Componentes APUs'!$S$1:$V$10,4,0)</f>
        <v>1250</v>
      </c>
      <c r="G1002" s="51">
        <f>ROUNDUP(F1002*((E1002/21)/E978),0)</f>
        <v>0</v>
      </c>
    </row>
    <row r="1003" spans="1:9" x14ac:dyDescent="0.25">
      <c r="A1003" s="50" t="s">
        <v>60</v>
      </c>
      <c r="B1003" s="220" t="str">
        <f>VLOOKUP(A1003,'Componentes APUs'!$S$1:$V$10,2,0)</f>
        <v>Agarradoras</v>
      </c>
      <c r="C1003" s="220"/>
      <c r="D1003" s="50" t="s">
        <v>18</v>
      </c>
      <c r="E1003" s="50">
        <v>0</v>
      </c>
      <c r="F1003" s="51">
        <f>VLOOKUP(A1003,'Componentes APUs'!$S$1:$V$10,4,0)</f>
        <v>125000</v>
      </c>
      <c r="G1003" s="51">
        <f>ROUNDUP(F1003*((E1003/21)/E978),0)</f>
        <v>0</v>
      </c>
    </row>
    <row r="1004" spans="1:9" x14ac:dyDescent="0.25">
      <c r="A1004" s="50" t="s">
        <v>62</v>
      </c>
      <c r="B1004" s="220" t="str">
        <f>VLOOKUP(A1004,'Componentes APUs'!$S$1:$V$10,2,0)</f>
        <v>Templadoras</v>
      </c>
      <c r="C1004" s="220"/>
      <c r="D1004" s="50" t="s">
        <v>18</v>
      </c>
      <c r="E1004" s="50">
        <v>0</v>
      </c>
      <c r="F1004" s="51">
        <f>VLOOKUP(A1004,'Componentes APUs'!$S$1:$V$10,4,0)</f>
        <v>250000</v>
      </c>
      <c r="G1004" s="51">
        <f>ROUNDUP(F1004*((E1004/21)/E978),0)</f>
        <v>0</v>
      </c>
    </row>
    <row r="1005" spans="1:9" x14ac:dyDescent="0.25">
      <c r="A1005" s="50" t="s">
        <v>328</v>
      </c>
      <c r="B1005" s="220" t="str">
        <f>VLOOKUP(A1005,'Componentes APUs'!$S$1:$V$10,2,0)</f>
        <v>Herramienta Menor</v>
      </c>
      <c r="C1005" s="220"/>
      <c r="D1005" s="50" t="s">
        <v>18</v>
      </c>
      <c r="E1005" s="50">
        <v>2</v>
      </c>
      <c r="F1005" s="51">
        <f>VLOOKUP(A1005,'Componentes APUs'!$S$1:$V$10,4,0)</f>
        <v>75758</v>
      </c>
      <c r="G1005" s="51">
        <f>ROUNDUP(F1005*((E1005/21)/E978),0)</f>
        <v>602</v>
      </c>
    </row>
    <row r="1006" spans="1:9" x14ac:dyDescent="0.25">
      <c r="A1006" s="219" t="s">
        <v>69</v>
      </c>
      <c r="B1006" s="219"/>
      <c r="C1006" s="219"/>
      <c r="D1006" s="219"/>
      <c r="E1006" s="219"/>
      <c r="F1006" s="219"/>
      <c r="G1006" s="52">
        <f>SUM(G1000:G1005)</f>
        <v>602</v>
      </c>
    </row>
    <row r="1007" spans="1:9" x14ac:dyDescent="0.25">
      <c r="A1007" s="56"/>
      <c r="B1007" s="57"/>
      <c r="C1007" s="57"/>
      <c r="D1007" s="57"/>
      <c r="E1007" s="57"/>
      <c r="F1007" s="57"/>
      <c r="G1007" s="58"/>
    </row>
    <row r="1008" spans="1:9" x14ac:dyDescent="0.25">
      <c r="A1008" s="219" t="s">
        <v>70</v>
      </c>
      <c r="B1008" s="219"/>
      <c r="C1008" s="219"/>
      <c r="D1008" s="219"/>
      <c r="E1008" s="219"/>
      <c r="F1008" s="219"/>
      <c r="G1008" s="219"/>
    </row>
    <row r="1009" spans="1:9" x14ac:dyDescent="0.25">
      <c r="A1009" s="49" t="s">
        <v>35</v>
      </c>
      <c r="B1009" s="219" t="s">
        <v>36</v>
      </c>
      <c r="C1009" s="219"/>
      <c r="D1009" s="49" t="s">
        <v>37</v>
      </c>
      <c r="E1009" s="49" t="s">
        <v>38</v>
      </c>
      <c r="F1009" s="49" t="s">
        <v>39</v>
      </c>
      <c r="G1009" s="49" t="s">
        <v>40</v>
      </c>
    </row>
    <row r="1010" spans="1:9" x14ac:dyDescent="0.25">
      <c r="A1010" s="50" t="s">
        <v>71</v>
      </c>
      <c r="B1010" s="71" t="str">
        <f>VLOOKUP(A1010,'Componentes APUs'!$A$1:$D$14,2,0)</f>
        <v>Camisa indigo sin partes metalicas</v>
      </c>
      <c r="C1010" s="71"/>
      <c r="D1010" s="50" t="str">
        <f>VLOOKUP(A1010,'Componentes APUs'!$A$1:$D$14,3,0)</f>
        <v>U</v>
      </c>
      <c r="E1010" s="50">
        <f>SUM(C990:C995)</f>
        <v>2.75</v>
      </c>
      <c r="F1010" s="51">
        <f>VLOOKUP(A1010,'Componentes APUs'!$A$1:$D$14,4,0)</f>
        <v>8585.8585858585866</v>
      </c>
      <c r="G1010" s="51">
        <f>ROUNDUP(F1010*(E1010/21)/E978,0)</f>
        <v>94</v>
      </c>
      <c r="I1010" s="91"/>
    </row>
    <row r="1011" spans="1:9" x14ac:dyDescent="0.25">
      <c r="A1011" s="69" t="s">
        <v>73</v>
      </c>
      <c r="B1011" s="72" t="str">
        <f>VLOOKUP(A1011,'Componentes APUs'!$A$1:$D$14,2,0)</f>
        <v>Bota de seguridad dielectrica</v>
      </c>
      <c r="C1011" s="73"/>
      <c r="D1011" s="70" t="str">
        <f>VLOOKUP(A1011,'Componentes APUs'!$A$1:$D$14,3,0)</f>
        <v>Par</v>
      </c>
      <c r="E1011" s="50">
        <f>SUM(C990:C995)</f>
        <v>2.75</v>
      </c>
      <c r="F1011" s="51">
        <f>VLOOKUP(A1011,'Componentes APUs'!$A$1:$D$14,4,0)</f>
        <v>7500</v>
      </c>
      <c r="G1011" s="51">
        <f>ROUNDUP(F1011*(E1011/21)/E978,0)</f>
        <v>82</v>
      </c>
    </row>
    <row r="1012" spans="1:9" x14ac:dyDescent="0.25">
      <c r="A1012" s="50" t="s">
        <v>76</v>
      </c>
      <c r="B1012" s="72" t="str">
        <f>VLOOKUP(A1012,'Componentes APUs'!$A$1:$D$14,2,0)</f>
        <v>Casco dielectrico Tipo 1 Clase E con barbuquejo</v>
      </c>
      <c r="C1012" s="73"/>
      <c r="D1012" s="50" t="str">
        <f>VLOOKUP(A1012,'Componentes APUs'!$A$1:$D$14,3,0)</f>
        <v>U</v>
      </c>
      <c r="E1012" s="50">
        <f>C990+C991+C993+C994+C995+IF(A992&lt;&gt;"MO-3",C992,0)</f>
        <v>2.75</v>
      </c>
      <c r="F1012" s="51">
        <f>VLOOKUP(A1012,'Componentes APUs'!$A$1:$D$14,4,0)</f>
        <v>10101.010101010101</v>
      </c>
      <c r="G1012" s="51">
        <f>ROUNDUP(F1012*(E1012/21)/E978,0)</f>
        <v>111</v>
      </c>
    </row>
    <row r="1013" spans="1:9" x14ac:dyDescent="0.25">
      <c r="A1013" s="69" t="s">
        <v>77</v>
      </c>
      <c r="B1013" s="72" t="str">
        <f>VLOOKUP(A1013,'Componentes APUs'!$A$1:$D$14,2,0)</f>
        <v>Correa plastica y antiflama</v>
      </c>
      <c r="C1013" s="73"/>
      <c r="D1013" s="50" t="str">
        <f>VLOOKUP(A1013,'Componentes APUs'!$A$1:$D$14,3,0)</f>
        <v>U</v>
      </c>
      <c r="E1013" s="50">
        <f>SUM(C990:C995)</f>
        <v>2.75</v>
      </c>
      <c r="F1013" s="51">
        <f>VLOOKUP(A1013,'Componentes APUs'!$A$1:$D$14,4,0)</f>
        <v>3787.878787878788</v>
      </c>
      <c r="G1013" s="51">
        <f>ROUNDUP(F1013*(E1013/21)/E978,0)</f>
        <v>42</v>
      </c>
    </row>
    <row r="1014" spans="1:9" x14ac:dyDescent="0.25">
      <c r="A1014" s="50" t="s">
        <v>79</v>
      </c>
      <c r="B1014" s="72" t="str">
        <f>VLOOKUP(A1014,'Componentes APUs'!$A$1:$D$14,2,0)</f>
        <v>Gafas protectoras filtro UV</v>
      </c>
      <c r="C1014" s="73"/>
      <c r="D1014" s="50" t="str">
        <f>VLOOKUP(A1014,'Componentes APUs'!$A$1:$D$14,3,0)</f>
        <v>U</v>
      </c>
      <c r="E1014" s="50">
        <f>SUM(C990:C995)</f>
        <v>2.75</v>
      </c>
      <c r="F1014" s="51">
        <f>VLOOKUP(A1014,'Componentes APUs'!$A$1:$D$14,4,0)</f>
        <v>2777.7777777777778</v>
      </c>
      <c r="G1014" s="51">
        <f>ROUNDUP(F1014*(E1014/21)/E978,0)</f>
        <v>31</v>
      </c>
    </row>
    <row r="1015" spans="1:9" x14ac:dyDescent="0.25">
      <c r="A1015" s="69" t="s">
        <v>402</v>
      </c>
      <c r="B1015" s="72" t="str">
        <f>VLOOKUP(A1015,'Componentes APUs'!$A$1:$D$14,2,0)</f>
        <v>Bota de seguridad PVC dielectrica</v>
      </c>
      <c r="C1015" s="73"/>
      <c r="D1015" s="50" t="str">
        <f>VLOOKUP(A1015,'Componentes APUs'!$A$1:$D$14,3,0)</f>
        <v>Par</v>
      </c>
      <c r="E1015" s="50">
        <f>SUM(C990:C995)</f>
        <v>2.75</v>
      </c>
      <c r="F1015" s="51">
        <f>VLOOKUP(A1015,'Componentes APUs'!$A$1:$D$14,4,0)</f>
        <v>2916.6666666666665</v>
      </c>
      <c r="G1015" s="51">
        <f>ROUNDUP(F1015*(E1015/21)/E978,0)</f>
        <v>32</v>
      </c>
    </row>
    <row r="1016" spans="1:9" x14ac:dyDescent="0.25">
      <c r="A1016" s="50" t="s">
        <v>403</v>
      </c>
      <c r="B1016" s="72" t="str">
        <f>VLOOKUP(A1016,'Componentes APUs'!$A$1:$D$14,2,0)</f>
        <v>Capuchon</v>
      </c>
      <c r="C1016" s="73"/>
      <c r="D1016" s="50" t="str">
        <f>VLOOKUP(A1016,'Componentes APUs'!$A$1:$D$14,3,0)</f>
        <v>U</v>
      </c>
      <c r="E1016" s="50">
        <f>SUM(C990:C995)</f>
        <v>2.75</v>
      </c>
      <c r="F1016" s="51">
        <f>VLOOKUP(A1016,'Componentes APUs'!$A$1:$D$14,4,0)</f>
        <v>2525.2525252525252</v>
      </c>
      <c r="G1016" s="51">
        <f>ROUNDUP(F1016*(E1016/21)/E978,0)</f>
        <v>28</v>
      </c>
    </row>
    <row r="1017" spans="1:9" x14ac:dyDescent="0.25">
      <c r="A1017" s="69" t="s">
        <v>81</v>
      </c>
      <c r="B1017" s="72" t="str">
        <f>VLOOKUP(A1017,'Componentes APUs'!$A$1:$D$14,2,0)</f>
        <v>Guantes Protectores  - ingeniero reforzados</v>
      </c>
      <c r="C1017" s="73"/>
      <c r="D1017" s="50" t="str">
        <f>VLOOKUP(A1017,'Componentes APUs'!$A$1:$D$14,3,0)</f>
        <v>Par</v>
      </c>
      <c r="E1017" s="50">
        <f>C992+C993+C995</f>
        <v>2.25</v>
      </c>
      <c r="F1017" s="51">
        <f>VLOOKUP(A1017,'Componentes APUs'!$A$1:$D$14,4,0)</f>
        <v>2525.2525252525252</v>
      </c>
      <c r="G1017" s="51">
        <f>ROUNDUP(F1017*(E1017/21)/E978,0)</f>
        <v>23</v>
      </c>
    </row>
    <row r="1018" spans="1:9" x14ac:dyDescent="0.25">
      <c r="A1018" s="50" t="s">
        <v>83</v>
      </c>
      <c r="B1018" s="72" t="str">
        <f>VLOOKUP(A1018,'Componentes APUs'!$A$1:$D$14,2,0)</f>
        <v>Impermeable (pantalon camisa)</v>
      </c>
      <c r="C1018" s="73"/>
      <c r="D1018" s="50" t="str">
        <f>VLOOKUP(A1018,'Componentes APUs'!$A$1:$D$14,3,0)</f>
        <v>U</v>
      </c>
      <c r="E1018" s="50">
        <f>SUM(C990:C995)</f>
        <v>2.75</v>
      </c>
      <c r="F1018" s="51">
        <f>VLOOKUP(A1018,'Componentes APUs'!$A$1:$D$14,4,0)</f>
        <v>3750</v>
      </c>
      <c r="G1018" s="51">
        <f>ROUNDUP(F1018*(E1018/21)/E978,0)</f>
        <v>41</v>
      </c>
    </row>
    <row r="1019" spans="1:9" x14ac:dyDescent="0.25">
      <c r="A1019" s="69" t="s">
        <v>85</v>
      </c>
      <c r="B1019" s="72" t="str">
        <f>VLOOKUP(A1019,'Componentes APUs'!$A$1:$D$14,2,0)</f>
        <v>Jean Dielectrico</v>
      </c>
      <c r="C1019" s="73"/>
      <c r="D1019" s="50" t="str">
        <f>VLOOKUP(A1019,'Componentes APUs'!$A$1:$D$14,3,0)</f>
        <v>U</v>
      </c>
      <c r="E1019" s="50">
        <f>SUM(C990:C995)</f>
        <v>2.75</v>
      </c>
      <c r="F1019" s="51">
        <f>VLOOKUP(A1019,'Componentes APUs'!$A$1:$D$14,4,0)</f>
        <v>7575.757575757576</v>
      </c>
      <c r="G1019" s="51">
        <f>ROUNDUP(F1019*(E1019/21)/E978,0)</f>
        <v>83</v>
      </c>
    </row>
    <row r="1020" spans="1:9" x14ac:dyDescent="0.25">
      <c r="A1020" s="50" t="s">
        <v>87</v>
      </c>
      <c r="B1020" s="72" t="str">
        <f>VLOOKUP(A1020,'Componentes APUs'!$A$1:$D$14,2,0)</f>
        <v>Casco dielectrico Tipo 2 Clase E con barboquejo</v>
      </c>
      <c r="C1020" s="73"/>
      <c r="D1020" s="50" t="str">
        <f>VLOOKUP(A1020,'Componentes APUs'!$A$1:$D$14,3,0)</f>
        <v>U</v>
      </c>
      <c r="E1020" s="53">
        <f>IF(A992="MO-3",C992,0)</f>
        <v>0</v>
      </c>
      <c r="F1020" s="51">
        <f>VLOOKUP(A1020,'Componentes APUs'!$A$1:$D$14,4,0)</f>
        <v>7500</v>
      </c>
      <c r="G1020" s="51">
        <f>ROUNDUP(F1020*(E1020/21)/E978,0)</f>
        <v>0</v>
      </c>
    </row>
    <row r="1021" spans="1:9" x14ac:dyDescent="0.25">
      <c r="A1021" s="69" t="s">
        <v>89</v>
      </c>
      <c r="B1021" s="72" t="str">
        <f>VLOOKUP(A1021,'Componentes APUs'!$A$1:$D$14,2,0)</f>
        <v>Kit de rescate para trabajo en alturas</v>
      </c>
      <c r="C1021" s="73"/>
      <c r="D1021" s="50" t="str">
        <f>VLOOKUP(A1021,'Componentes APUs'!$A$1:$D$14,3,0)</f>
        <v>U</v>
      </c>
      <c r="E1021" s="50">
        <f>IF(AND(A992="MO-3",C992=2),1,0)</f>
        <v>0</v>
      </c>
      <c r="F1021" s="51">
        <f>VLOOKUP(A1021,'Componentes APUs'!$A$1:$D$14,4,0)</f>
        <v>37500</v>
      </c>
      <c r="G1021" s="51">
        <f>ROUNDUP(F1021*(E1021/21)/E978,0)</f>
        <v>0</v>
      </c>
    </row>
    <row r="1022" spans="1:9" x14ac:dyDescent="0.25">
      <c r="A1022" s="50" t="s">
        <v>91</v>
      </c>
      <c r="B1022" s="72" t="str">
        <f>VLOOKUP(A1022,'Componentes APUs'!$A$1:$D$14,2,0)</f>
        <v>Equipo completo para trabajo en alturas con pretales (Arnes dielectrico, 1 mosqueton de seguridad, tie off dielectrico, eslinga de posicionamiento, juego de pretales)</v>
      </c>
      <c r="C1022" s="73"/>
      <c r="D1022" s="50" t="str">
        <f>VLOOKUP(A1022,'Componentes APUs'!$A$1:$D$14,3,0)</f>
        <v>U</v>
      </c>
      <c r="E1022" s="50">
        <f>IF(A992="MO-3",C992,0)</f>
        <v>0</v>
      </c>
      <c r="F1022" s="51">
        <f>VLOOKUP(A1022,'Componentes APUs'!$A$1:$D$14,4,0)</f>
        <v>26041.666666666668</v>
      </c>
      <c r="G1022" s="51">
        <f>ROUNDUP(F1022*(E1022/21)/E978,0)</f>
        <v>0</v>
      </c>
    </row>
    <row r="1023" spans="1:9" x14ac:dyDescent="0.25">
      <c r="A1023" s="219" t="s">
        <v>95</v>
      </c>
      <c r="B1023" s="219"/>
      <c r="C1023" s="219"/>
      <c r="D1023" s="219"/>
      <c r="E1023" s="219"/>
      <c r="F1023" s="219"/>
      <c r="G1023" s="52">
        <f>SUM(G1010:G1022)</f>
        <v>567</v>
      </c>
    </row>
    <row r="1024" spans="1:9" x14ac:dyDescent="0.25">
      <c r="A1024" s="56"/>
      <c r="B1024" s="57"/>
      <c r="C1024" s="57"/>
      <c r="D1024" s="57"/>
      <c r="E1024" s="57"/>
      <c r="F1024" s="57"/>
      <c r="G1024" s="58"/>
    </row>
    <row r="1025" spans="1:7" x14ac:dyDescent="0.25">
      <c r="A1025" s="219" t="s">
        <v>96</v>
      </c>
      <c r="B1025" s="219"/>
      <c r="C1025" s="219"/>
      <c r="D1025" s="219"/>
      <c r="E1025" s="219"/>
      <c r="F1025" s="219"/>
      <c r="G1025" s="219"/>
    </row>
    <row r="1026" spans="1:7" x14ac:dyDescent="0.25">
      <c r="A1026" s="49" t="s">
        <v>35</v>
      </c>
      <c r="B1026" s="225" t="s">
        <v>36</v>
      </c>
      <c r="C1026" s="225"/>
      <c r="D1026" s="49" t="s">
        <v>37</v>
      </c>
      <c r="E1026" s="49" t="s">
        <v>38</v>
      </c>
      <c r="F1026" s="49" t="s">
        <v>39</v>
      </c>
      <c r="G1026" s="49" t="s">
        <v>40</v>
      </c>
    </row>
    <row r="1027" spans="1:7" x14ac:dyDescent="0.25">
      <c r="A1027" s="69" t="s">
        <v>97</v>
      </c>
      <c r="B1027" s="72" t="str">
        <f>VLOOKUP(A1027,'Componentes APUs'!$N$1:$Q$30,2,0)</f>
        <v>Camioneta</v>
      </c>
      <c r="C1027" s="73"/>
      <c r="D1027" s="70" t="str">
        <f>VLOOKUP(A1027,'Componentes APUs'!$N$1:$Q$30,3,0)</f>
        <v>U</v>
      </c>
      <c r="E1027" s="50">
        <v>1</v>
      </c>
      <c r="F1027" s="51">
        <f>VLOOKUP(A1027,'Componentes APUs'!$N$1:$Q$30,4,0)</f>
        <v>5500000</v>
      </c>
      <c r="G1027" s="51">
        <f>IFERROR(ROUNDUP(F1027*(E1027/21)/E978,0),"-")</f>
        <v>21826</v>
      </c>
    </row>
    <row r="1028" spans="1:7" x14ac:dyDescent="0.25">
      <c r="A1028" s="50" t="s">
        <v>321</v>
      </c>
      <c r="B1028" s="72" t="str">
        <f>VLOOKUP(A1028,'Componentes APUs'!$N$1:$Q$30,2,0)</f>
        <v>Grúa Hidráulica</v>
      </c>
      <c r="C1028" s="73"/>
      <c r="D1028" s="70" t="str">
        <f>VLOOKUP(A1028,'Componentes APUs'!$N$1:$Q$30,3,0)</f>
        <v>U</v>
      </c>
      <c r="E1028" s="50">
        <v>0</v>
      </c>
      <c r="F1028" s="51">
        <f>VLOOKUP(A1028,'Componentes APUs'!$N$1:$Q$30,4,0)</f>
        <v>21000000</v>
      </c>
      <c r="G1028" s="51">
        <f>IFERROR(ROUNDUP(F1028*(E1028/21)/E978,0),"-")</f>
        <v>0</v>
      </c>
    </row>
    <row r="1029" spans="1:7" x14ac:dyDescent="0.25">
      <c r="A1029" s="69" t="s">
        <v>1379</v>
      </c>
      <c r="B1029" s="72" t="str">
        <f>VLOOKUP(A1029,'Componentes APUs'!$N$1:$Q$30,2,0)</f>
        <v>Dumper de descarga Frontal 2T</v>
      </c>
      <c r="C1029" s="73"/>
      <c r="D1029" s="70" t="str">
        <f>VLOOKUP(A1029,'Componentes APUs'!$N$1:$Q$30,3,0)</f>
        <v>U</v>
      </c>
      <c r="E1029" s="50">
        <v>0</v>
      </c>
      <c r="F1029" s="51">
        <f>VLOOKUP(A1029,'Componentes APUs'!$N$1:$Q$30,4,0)</f>
        <v>4438716.24</v>
      </c>
      <c r="G1029" s="51">
        <f>IFERROR(ROUNDUP(F1029*(E1029/21)/E978,0),"-")</f>
        <v>0</v>
      </c>
    </row>
    <row r="1030" spans="1:7" x14ac:dyDescent="0.25">
      <c r="A1030" s="50" t="s">
        <v>323</v>
      </c>
      <c r="B1030" s="72" t="str">
        <f>VLOOKUP(A1030,'Componentes APUs'!$N$1:$Q$30,2,0)</f>
        <v>Volqueta</v>
      </c>
      <c r="C1030" s="73"/>
      <c r="D1030" s="70" t="str">
        <f>VLOOKUP(A1030,'Componentes APUs'!$N$1:$Q$30,3,0)</f>
        <v>U</v>
      </c>
      <c r="E1030" s="50">
        <v>0</v>
      </c>
      <c r="F1030" s="51">
        <f>VLOOKUP(A1030,'Componentes APUs'!$N$1:$Q$30,4,0)</f>
        <v>14828184</v>
      </c>
      <c r="G1030" s="51">
        <f>IFERROR(ROUNDUP(F1030*(E1030/21)/E978,0),"-")</f>
        <v>0</v>
      </c>
    </row>
    <row r="1031" spans="1:7" x14ac:dyDescent="0.25">
      <c r="A1031" s="69" t="s">
        <v>324</v>
      </c>
      <c r="B1031" s="72" t="str">
        <f>VLOOKUP(A1031,'Componentes APUs'!$N$1:$Q$30,2,0)</f>
        <v>Retroexcavadora</v>
      </c>
      <c r="C1031" s="73"/>
      <c r="D1031" s="70" t="str">
        <f>VLOOKUP(A1031,'Componentes APUs'!$N$1:$Q$30,3,0)</f>
        <v>U</v>
      </c>
      <c r="E1031" s="50">
        <v>0</v>
      </c>
      <c r="F1031" s="51">
        <f>VLOOKUP(A1031,'Componentes APUs'!$N$1:$Q$30,4,0)</f>
        <v>46030656</v>
      </c>
      <c r="G1031" s="51">
        <f>IFERROR(ROUNDUP(F1031*(E1031/21)/E978,0),"-")</f>
        <v>0</v>
      </c>
    </row>
    <row r="1032" spans="1:7" x14ac:dyDescent="0.25">
      <c r="A1032" s="219" t="s">
        <v>99</v>
      </c>
      <c r="B1032" s="219"/>
      <c r="C1032" s="219"/>
      <c r="D1032" s="219"/>
      <c r="E1032" s="219"/>
      <c r="F1032" s="219"/>
      <c r="G1032" s="52">
        <f>SUM(G1027:G1031)</f>
        <v>21826</v>
      </c>
    </row>
    <row r="1033" spans="1:7" x14ac:dyDescent="0.25">
      <c r="A1033" s="56"/>
      <c r="B1033" s="57"/>
      <c r="C1033" s="57"/>
      <c r="D1033" s="57"/>
      <c r="E1033" s="57"/>
      <c r="F1033" s="57"/>
      <c r="G1033" s="58"/>
    </row>
    <row r="1034" spans="1:7" x14ac:dyDescent="0.25">
      <c r="A1034" s="219" t="s">
        <v>1516</v>
      </c>
      <c r="B1034" s="219"/>
      <c r="C1034" s="219"/>
      <c r="D1034" s="219"/>
      <c r="E1034" s="219"/>
      <c r="F1034" s="219"/>
      <c r="G1034" s="52">
        <f>G1032+G1023+G1006+G996+G986</f>
        <v>528081</v>
      </c>
    </row>
    <row r="1035" spans="1:7" x14ac:dyDescent="0.25">
      <c r="A1035" s="59"/>
      <c r="B1035" s="60"/>
      <c r="C1035" s="60"/>
      <c r="D1035" s="60"/>
      <c r="E1035" s="57"/>
      <c r="F1035" s="57"/>
      <c r="G1035" s="58"/>
    </row>
    <row r="1036" spans="1:7" x14ac:dyDescent="0.25">
      <c r="A1036" s="64"/>
      <c r="D1036" s="55"/>
      <c r="E1036" s="49" t="s">
        <v>25</v>
      </c>
      <c r="F1036" s="54">
        <v>0.15</v>
      </c>
      <c r="G1036" s="51">
        <f>G1034*F1036</f>
        <v>79212.149999999994</v>
      </c>
    </row>
    <row r="1037" spans="1:7" x14ac:dyDescent="0.25">
      <c r="A1037" s="64"/>
      <c r="D1037" s="55"/>
      <c r="E1037" s="49" t="s">
        <v>26</v>
      </c>
      <c r="F1037" s="54">
        <v>0.05</v>
      </c>
      <c r="G1037" s="51">
        <f>G1034*F1037</f>
        <v>26404.050000000003</v>
      </c>
    </row>
    <row r="1038" spans="1:7" x14ac:dyDescent="0.25">
      <c r="A1038" s="61"/>
      <c r="B1038" s="65"/>
      <c r="C1038" s="65"/>
      <c r="D1038" s="62"/>
      <c r="E1038" s="49" t="s">
        <v>27</v>
      </c>
      <c r="F1038" s="54">
        <v>0.05</v>
      </c>
      <c r="G1038" s="51">
        <f>G1034*F1038</f>
        <v>26404.050000000003</v>
      </c>
    </row>
    <row r="1039" spans="1:7" x14ac:dyDescent="0.25">
      <c r="A1039" s="61"/>
      <c r="B1039" s="62"/>
      <c r="C1039" s="62"/>
      <c r="D1039" s="62"/>
      <c r="E1039" s="62"/>
      <c r="F1039" s="62"/>
      <c r="G1039" s="63"/>
    </row>
    <row r="1040" spans="1:7" x14ac:dyDescent="0.25">
      <c r="A1040" s="219" t="s">
        <v>1517</v>
      </c>
      <c r="B1040" s="219"/>
      <c r="C1040" s="219"/>
      <c r="D1040" s="219"/>
      <c r="E1040" s="219"/>
      <c r="F1040" s="219"/>
      <c r="G1040" s="52">
        <f>G1034+G1036+G1037+G1038</f>
        <v>660101.25000000012</v>
      </c>
    </row>
    <row r="1041" spans="1:9" x14ac:dyDescent="0.25">
      <c r="A1041" s="59"/>
      <c r="B1041" s="60"/>
      <c r="C1041" s="60"/>
      <c r="D1041" s="60"/>
      <c r="E1041" s="57"/>
      <c r="F1041" s="57"/>
      <c r="G1041" s="58"/>
    </row>
    <row r="1042" spans="1:9" x14ac:dyDescent="0.25">
      <c r="A1042" s="64"/>
      <c r="D1042" s="55"/>
      <c r="E1042" s="49" t="s">
        <v>102</v>
      </c>
      <c r="F1042" s="49" t="s">
        <v>103</v>
      </c>
      <c r="G1042" s="51">
        <f>G1038*19%</f>
        <v>5016.7695000000003</v>
      </c>
    </row>
    <row r="1043" spans="1:9" x14ac:dyDescent="0.25">
      <c r="A1043" s="61"/>
      <c r="B1043" s="62"/>
      <c r="C1043" s="62"/>
      <c r="D1043" s="62"/>
      <c r="E1043" s="57"/>
      <c r="F1043" s="57"/>
      <c r="G1043" s="58"/>
    </row>
    <row r="1044" spans="1:9" x14ac:dyDescent="0.25">
      <c r="A1044" s="219" t="s">
        <v>104</v>
      </c>
      <c r="B1044" s="219"/>
      <c r="C1044" s="219"/>
      <c r="D1044" s="219"/>
      <c r="E1044" s="219"/>
      <c r="F1044" s="219"/>
      <c r="G1044" s="52">
        <f>G1042+G1040</f>
        <v>665118.01950000017</v>
      </c>
    </row>
    <row r="1046" spans="1:9" x14ac:dyDescent="0.25">
      <c r="A1046" s="74" t="s">
        <v>29</v>
      </c>
      <c r="B1046" s="226" t="s">
        <v>30</v>
      </c>
      <c r="C1046" s="226"/>
      <c r="D1046" s="74" t="s">
        <v>31</v>
      </c>
      <c r="E1046" s="74" t="s">
        <v>32</v>
      </c>
      <c r="F1046" s="74" t="s">
        <v>189</v>
      </c>
      <c r="G1046" s="74" t="s">
        <v>33</v>
      </c>
      <c r="H1046" s="105"/>
    </row>
    <row r="1047" spans="1:9" ht="39" customHeight="1" x14ac:dyDescent="0.25">
      <c r="A1047" s="50" t="str">
        <f>Presupuesto!B25</f>
        <v>017_OC</v>
      </c>
      <c r="B1047" s="229" t="str">
        <f>Presupuesto!C25</f>
        <v>CARCAMO DE 2,3 X 1,51 X 14,5 m. SEGÚN ESPECIFICACIONES EN PLANO. INCLUYE VIGAS DE SOPORTE DE CELDAS Y EXCAVACIÓN</v>
      </c>
      <c r="C1047" s="230"/>
      <c r="D1047" s="50" t="s">
        <v>108</v>
      </c>
      <c r="E1047" s="107">
        <f>1/10</f>
        <v>0.1</v>
      </c>
      <c r="F1047" s="50"/>
      <c r="G1047" s="51">
        <f>G1112</f>
        <v>50665347.28199999</v>
      </c>
      <c r="H1047" s="45"/>
    </row>
    <row r="1048" spans="1:9" x14ac:dyDescent="0.25">
      <c r="A1048" s="219" t="s">
        <v>34</v>
      </c>
      <c r="B1048" s="219"/>
      <c r="C1048" s="219"/>
      <c r="D1048" s="219"/>
      <c r="E1048" s="219"/>
      <c r="F1048" s="219"/>
      <c r="G1048" s="219"/>
    </row>
    <row r="1049" spans="1:9" x14ac:dyDescent="0.25">
      <c r="A1049" s="49" t="s">
        <v>35</v>
      </c>
      <c r="B1049" s="219" t="s">
        <v>36</v>
      </c>
      <c r="C1049" s="219"/>
      <c r="D1049" s="49" t="s">
        <v>37</v>
      </c>
      <c r="E1049" s="49" t="s">
        <v>38</v>
      </c>
      <c r="F1049" s="49" t="s">
        <v>39</v>
      </c>
      <c r="G1049" s="49" t="s">
        <v>40</v>
      </c>
    </row>
    <row r="1050" spans="1:9" x14ac:dyDescent="0.25">
      <c r="A1050" s="50" t="str">
        <f>Material!A15</f>
        <v>MA-14</v>
      </c>
      <c r="B1050" s="72" t="str">
        <f>IFERROR(VLOOKUP(A1050,Material!$A:$H,2,0),"-")</f>
        <v>CONCRETO DE 3000 PSI</v>
      </c>
      <c r="C1050" s="76"/>
      <c r="D1050" s="50" t="str">
        <f>IFERROR(VLOOKUP(A1050,Material!$A:$H,4,0),"-")</f>
        <v>M3</v>
      </c>
      <c r="E1050" s="107">
        <f>(0.85+0.1)*14.5+0.35*1.66*2+0.1*4</f>
        <v>15.336999999999998</v>
      </c>
      <c r="F1050" s="51">
        <f>IFERROR(VLOOKUP(A1050,Material!$A:$H,3,0),"-")</f>
        <v>620227.23330691375</v>
      </c>
      <c r="G1050" s="51">
        <f t="shared" ref="G1050:G1052" si="10">IFERROR(ROUNDUP(F1050*E1050,0),"-")</f>
        <v>9512426</v>
      </c>
      <c r="H1050" s="106"/>
    </row>
    <row r="1051" spans="1:9" x14ac:dyDescent="0.25">
      <c r="A1051" s="50" t="str">
        <f>Material!A597</f>
        <v>MA-596</v>
      </c>
      <c r="B1051" s="72" t="str">
        <f>IFERROR(VLOOKUP(A1051,Material!$A:$H,2,0),"-")</f>
        <v>ACERO DE REFUERZO FIGURADO</v>
      </c>
      <c r="C1051" s="76"/>
      <c r="D1051" s="50" t="str">
        <f>IFERROR(VLOOKUP(A1051,Material!$A:$H,4,0),"-")</f>
        <v>kG</v>
      </c>
      <c r="E1051" s="53">
        <f>200*E1050</f>
        <v>3067.3999999999996</v>
      </c>
      <c r="F1051" s="51">
        <f>IFERROR(VLOOKUP(A1051,Material!$A:$H,3,0),"-")</f>
        <v>5106.4000000000005</v>
      </c>
      <c r="G1051" s="51">
        <f t="shared" si="10"/>
        <v>15663372</v>
      </c>
      <c r="H1051" s="106"/>
    </row>
    <row r="1052" spans="1:9" x14ac:dyDescent="0.25">
      <c r="A1052" s="50" t="str">
        <f>Material!A218</f>
        <v>MA-217</v>
      </c>
      <c r="B1052" s="72" t="str">
        <f>IFERROR(VLOOKUP(A1052,Material!$A:$H,2,0),"-")</f>
        <v>FORMALETA EN MADERA CON TABLA DE 1"</v>
      </c>
      <c r="C1052" s="76"/>
      <c r="D1052" s="50" t="str">
        <f>IFERROR(VLOOKUP(A1052,Material!$A:$H,4,0),"-")</f>
        <v>M2</v>
      </c>
      <c r="E1052" s="107">
        <f>(6+1.5)*14.5</f>
        <v>108.75</v>
      </c>
      <c r="F1052" s="51">
        <f>IFERROR(VLOOKUP(A1052,Material!$A:$H,3,0),"-")</f>
        <v>24691.116165303549</v>
      </c>
      <c r="G1052" s="51">
        <f t="shared" si="10"/>
        <v>2685159</v>
      </c>
      <c r="H1052" s="106"/>
    </row>
    <row r="1053" spans="1:9" ht="27" customHeight="1" x14ac:dyDescent="0.25">
      <c r="A1053" s="50" t="str">
        <f>Material!A18</f>
        <v>MA-17</v>
      </c>
      <c r="B1053" s="232" t="str">
        <f>IFERROR(VLOOKUP(A1053,Material!$A:$H,2,0),"-")</f>
        <v>EXCAVACIÓN EN MATERIAL COMÚN BAJO AGUA DE 0 - 2 M MANUAL</v>
      </c>
      <c r="C1053" s="233"/>
      <c r="D1053" s="50" t="str">
        <f>IFERROR(VLOOKUP(A1053,Material!$A:$H,4,0),"-")</f>
        <v>M3</v>
      </c>
      <c r="E1053" s="108">
        <f>38*1.6</f>
        <v>60.800000000000004</v>
      </c>
      <c r="F1053" s="51">
        <f>IFERROR(VLOOKUP(A1053,Material!$A:$H,3,0),"-")</f>
        <v>45663.8</v>
      </c>
      <c r="G1053" s="51">
        <f t="shared" ref="G1053" si="11">IFERROR(ROUNDUP(F1053*E1053,0),"-")</f>
        <v>2776360</v>
      </c>
      <c r="H1053" s="106"/>
    </row>
    <row r="1054" spans="1:9" x14ac:dyDescent="0.25">
      <c r="A1054" s="219" t="s">
        <v>41</v>
      </c>
      <c r="B1054" s="219"/>
      <c r="C1054" s="219"/>
      <c r="D1054" s="219"/>
      <c r="E1054" s="219"/>
      <c r="F1054" s="219"/>
      <c r="G1054" s="52">
        <f>SUM(G1050:G1053)</f>
        <v>30637317</v>
      </c>
      <c r="I1054" s="104"/>
    </row>
    <row r="1055" spans="1:9" x14ac:dyDescent="0.25">
      <c r="A1055" s="56"/>
      <c r="B1055" s="57"/>
      <c r="C1055" s="57"/>
      <c r="D1055" s="57"/>
      <c r="E1055" s="57"/>
      <c r="F1055" s="57"/>
      <c r="G1055" s="58"/>
    </row>
    <row r="1056" spans="1:9" x14ac:dyDescent="0.25">
      <c r="A1056" s="219" t="s">
        <v>42</v>
      </c>
      <c r="B1056" s="219"/>
      <c r="C1056" s="219"/>
      <c r="D1056" s="219"/>
      <c r="E1056" s="219"/>
      <c r="F1056" s="219"/>
      <c r="G1056" s="219"/>
    </row>
    <row r="1057" spans="1:9" x14ac:dyDescent="0.25">
      <c r="A1057" s="49" t="s">
        <v>35</v>
      </c>
      <c r="B1057" s="49" t="s">
        <v>36</v>
      </c>
      <c r="C1057" s="49" t="s">
        <v>38</v>
      </c>
      <c r="D1057" s="49" t="s">
        <v>43</v>
      </c>
      <c r="E1057" s="49" t="s">
        <v>44</v>
      </c>
      <c r="F1057" s="49" t="s">
        <v>45</v>
      </c>
      <c r="G1057" s="49" t="s">
        <v>40</v>
      </c>
    </row>
    <row r="1058" spans="1:9" x14ac:dyDescent="0.25">
      <c r="A1058" s="50" t="s">
        <v>319</v>
      </c>
      <c r="B1058" s="68" t="str">
        <f>VLOOKUP(A1058,'Componentes APUs'!$H$1:$L$25,2,0)</f>
        <v>Ingeniero Residente de Obra</v>
      </c>
      <c r="C1058" s="93">
        <v>0.25</v>
      </c>
      <c r="D1058" s="50">
        <f>VLOOKUP(A1058,'Componentes APUs'!$H$1:$L$25,3,0)</f>
        <v>4</v>
      </c>
      <c r="E1058" s="51">
        <f>VLOOKUP(A1058,'Componentes APUs'!$H$1:$L$25,4,0)</f>
        <v>271142.85714285716</v>
      </c>
      <c r="F1058" s="51">
        <f>VLOOKUP(A1058,'Componentes APUs'!$H$1:$L$25,5,0)</f>
        <v>162685.71428571429</v>
      </c>
      <c r="G1058" s="51">
        <f>ROUNDUP((E1058+F1058)*C1058/E1047,0)</f>
        <v>1084572</v>
      </c>
      <c r="H1058" s="66"/>
    </row>
    <row r="1059" spans="1:9" x14ac:dyDescent="0.25">
      <c r="A1059" s="50" t="s">
        <v>320</v>
      </c>
      <c r="B1059" s="68" t="str">
        <f>VLOOKUP(A1059,'Componentes APUs'!$H$1:$L$25,2,0)</f>
        <v>Tecnico Supervisor</v>
      </c>
      <c r="C1059" s="93">
        <v>0</v>
      </c>
      <c r="D1059" s="50">
        <f>VLOOKUP(A1059,'Componentes APUs'!$H$1:$L$25,3,0)</f>
        <v>2.2999999999999998</v>
      </c>
      <c r="E1059" s="51">
        <f>VLOOKUP(A1059,'Componentes APUs'!$H$1:$L$25,4,0)</f>
        <v>155907.14285714284</v>
      </c>
      <c r="F1059" s="51">
        <f>VLOOKUP(A1059,'Componentes APUs'!$H$1:$L$25,5,0)</f>
        <v>93544.285714285696</v>
      </c>
      <c r="G1059" s="51">
        <f>ROUNDUP((E1059+F1059)*C1059/E1047,0)</f>
        <v>0</v>
      </c>
    </row>
    <row r="1060" spans="1:9" x14ac:dyDescent="0.25">
      <c r="A1060" s="50" t="s">
        <v>54</v>
      </c>
      <c r="B1060" s="68" t="str">
        <f>VLOOKUP(A1060,'Componentes APUs'!$H$1:$L$25,2,0)</f>
        <v>Maestro de obra civil</v>
      </c>
      <c r="C1060" s="93">
        <v>0.25</v>
      </c>
      <c r="D1060" s="50">
        <f>VLOOKUP(A1060,'Componentes APUs'!$H$1:$L$25,3,0)</f>
        <v>2.5</v>
      </c>
      <c r="E1060" s="51">
        <f>VLOOKUP(A1060,'Componentes APUs'!$H$1:$L$25,4,0)</f>
        <v>169464.28571428571</v>
      </c>
      <c r="F1060" s="51">
        <f>VLOOKUP(A1060,'Componentes APUs'!$H$1:$L$25,5,0)</f>
        <v>101678.57142857142</v>
      </c>
      <c r="G1060" s="51">
        <f>ROUNDUP((E1060+F1060)*C1060/E1047,0)</f>
        <v>677858</v>
      </c>
    </row>
    <row r="1061" spans="1:9" x14ac:dyDescent="0.25">
      <c r="A1061" s="50" t="s">
        <v>1110</v>
      </c>
      <c r="B1061" s="68" t="str">
        <f>VLOOKUP(A1061,'Componentes APUs'!$H$1:$L$25,2,0)</f>
        <v>Oficial de Obra Civil</v>
      </c>
      <c r="C1061" s="93">
        <v>1</v>
      </c>
      <c r="D1061" s="50">
        <f>VLOOKUP(A1061,'Componentes APUs'!$H$1:$L$25,3,0)</f>
        <v>1.5</v>
      </c>
      <c r="E1061" s="51">
        <f>VLOOKUP(A1061,'Componentes APUs'!$H$1:$L$25,4,0)</f>
        <v>115964.28571428571</v>
      </c>
      <c r="F1061" s="51">
        <f>VLOOKUP(A1061,'Componentes APUs'!$H$1:$L$25,5,0)</f>
        <v>69578.57142857142</v>
      </c>
      <c r="G1061" s="51">
        <f>ROUNDUP((E1061+F1061)*C1061/E1047,0)</f>
        <v>1855429</v>
      </c>
    </row>
    <row r="1062" spans="1:9" x14ac:dyDescent="0.25">
      <c r="A1062" s="50" t="s">
        <v>50</v>
      </c>
      <c r="B1062" s="68" t="str">
        <f>VLOOKUP(A1062,'Componentes APUs'!$H$1:$L$25,2,0)</f>
        <v>Profesional en SST</v>
      </c>
      <c r="C1062" s="93">
        <v>0.25</v>
      </c>
      <c r="D1062" s="50">
        <f>VLOOKUP(A1062,'Componentes APUs'!$H$1:$L$25,3,0)</f>
        <v>2.5</v>
      </c>
      <c r="E1062" s="51">
        <f>VLOOKUP(A1062,'Componentes APUs'!$H$1:$L$25,4,0)</f>
        <v>169464.28571428571</v>
      </c>
      <c r="F1062" s="51">
        <f>VLOOKUP(A1062,'Componentes APUs'!$H$1:$L$25,5,0)</f>
        <v>101678.57142857142</v>
      </c>
      <c r="G1062" s="51">
        <f>ROUNDUP((E1062+F1062)*C1062/E1047,0)</f>
        <v>677858</v>
      </c>
    </row>
    <row r="1063" spans="1:9" x14ac:dyDescent="0.25">
      <c r="A1063" s="50" t="s">
        <v>1109</v>
      </c>
      <c r="B1063" s="68" t="str">
        <f>VLOOKUP(A1063,'Componentes APUs'!$H$1:$L$25,2,0)</f>
        <v>Ayudante de Obra Civil</v>
      </c>
      <c r="C1063" s="93">
        <v>2</v>
      </c>
      <c r="D1063" s="50">
        <f>VLOOKUP(A1063,'Componentes APUs'!$H$1:$L$25,3,0)</f>
        <v>1</v>
      </c>
      <c r="E1063" s="51">
        <f>VLOOKUP(A1063,'Componentes APUs'!$H$1:$L$25,4,0)</f>
        <v>77309.523809523816</v>
      </c>
      <c r="F1063" s="51">
        <f>VLOOKUP(A1063,'Componentes APUs'!$H$1:$L$25,5,0)</f>
        <v>46385.71428571429</v>
      </c>
      <c r="G1063" s="51">
        <f>ROUNDUP((E1063+F1063)*C1063/E1047,0)</f>
        <v>2473905</v>
      </c>
    </row>
    <row r="1064" spans="1:9" x14ac:dyDescent="0.25">
      <c r="A1064" s="219" t="s">
        <v>56</v>
      </c>
      <c r="B1064" s="219"/>
      <c r="C1064" s="219"/>
      <c r="D1064" s="219"/>
      <c r="E1064" s="219"/>
      <c r="F1064" s="219"/>
      <c r="G1064" s="52">
        <f>SUM(G1058:G1063)</f>
        <v>6769622</v>
      </c>
    </row>
    <row r="1065" spans="1:9" x14ac:dyDescent="0.25">
      <c r="A1065" s="56"/>
      <c r="B1065" s="57"/>
      <c r="C1065" s="57"/>
      <c r="D1065" s="57"/>
      <c r="E1065" s="57"/>
      <c r="F1065" s="57"/>
      <c r="G1065" s="58"/>
    </row>
    <row r="1066" spans="1:9" x14ac:dyDescent="0.25">
      <c r="A1066" s="219" t="s">
        <v>57</v>
      </c>
      <c r="B1066" s="219"/>
      <c r="C1066" s="219"/>
      <c r="D1066" s="219"/>
      <c r="E1066" s="219"/>
      <c r="F1066" s="219"/>
      <c r="G1066" s="219"/>
    </row>
    <row r="1067" spans="1:9" x14ac:dyDescent="0.25">
      <c r="A1067" s="49" t="s">
        <v>35</v>
      </c>
      <c r="B1067" s="219" t="s">
        <v>36</v>
      </c>
      <c r="C1067" s="219"/>
      <c r="D1067" s="49" t="s">
        <v>37</v>
      </c>
      <c r="E1067" s="49" t="s">
        <v>38</v>
      </c>
      <c r="F1067" s="49" t="s">
        <v>39</v>
      </c>
      <c r="G1067" s="49" t="s">
        <v>40</v>
      </c>
    </row>
    <row r="1068" spans="1:9" x14ac:dyDescent="0.25">
      <c r="A1068" s="50" t="s">
        <v>326</v>
      </c>
      <c r="B1068" s="220" t="str">
        <f>VLOOKUP(A1068,'Componentes APUs'!$S$1:$V$10,2,0)</f>
        <v>Juego Llaves</v>
      </c>
      <c r="C1068" s="220"/>
      <c r="D1068" s="50" t="s">
        <v>18</v>
      </c>
      <c r="E1068" s="50">
        <v>0</v>
      </c>
      <c r="F1068" s="51">
        <f>VLOOKUP(A1068,'Componentes APUs'!$S$1:$V$10,4,0)</f>
        <v>9167</v>
      </c>
      <c r="G1068" s="51">
        <f>ROUNDUP(F1068*((E1068/21)/E1047),0)</f>
        <v>0</v>
      </c>
      <c r="I1068" s="91"/>
    </row>
    <row r="1069" spans="1:9" x14ac:dyDescent="0.25">
      <c r="A1069" s="50" t="s">
        <v>58</v>
      </c>
      <c r="B1069" s="220" t="str">
        <f>VLOOKUP(A1069,'Componentes APUs'!$S$1:$V$10,2,0)</f>
        <v>Manila de servicio</v>
      </c>
      <c r="C1069" s="220"/>
      <c r="D1069" s="50" t="s">
        <v>18</v>
      </c>
      <c r="E1069" s="50">
        <v>0</v>
      </c>
      <c r="F1069" s="51">
        <f>VLOOKUP(A1069,'Componentes APUs'!$S$1:$V$10,4,0)</f>
        <v>2333</v>
      </c>
      <c r="G1069" s="51">
        <f>ROUNDUP(F1069*((E1069/21)/E1047),0)</f>
        <v>0</v>
      </c>
    </row>
    <row r="1070" spans="1:9" x14ac:dyDescent="0.25">
      <c r="A1070" s="50" t="s">
        <v>327</v>
      </c>
      <c r="B1070" s="220" t="str">
        <f>VLOOKUP(A1070,'Componentes APUs'!$S$1:$V$10,2,0)</f>
        <v>Tula portaherramientas</v>
      </c>
      <c r="C1070" s="220"/>
      <c r="D1070" s="50" t="s">
        <v>18</v>
      </c>
      <c r="E1070" s="50">
        <v>0</v>
      </c>
      <c r="F1070" s="51">
        <f>VLOOKUP(A1070,'Componentes APUs'!$S$1:$V$10,4,0)</f>
        <v>1250</v>
      </c>
      <c r="G1070" s="51">
        <f>ROUNDUP(F1070*((E1070/21)/E1047),0)</f>
        <v>0</v>
      </c>
    </row>
    <row r="1071" spans="1:9" x14ac:dyDescent="0.25">
      <c r="A1071" s="50" t="s">
        <v>60</v>
      </c>
      <c r="B1071" s="220" t="str">
        <f>VLOOKUP(A1071,'Componentes APUs'!$S$1:$V$10,2,0)</f>
        <v>Agarradoras</v>
      </c>
      <c r="C1071" s="220"/>
      <c r="D1071" s="50" t="s">
        <v>18</v>
      </c>
      <c r="E1071" s="50">
        <v>0</v>
      </c>
      <c r="F1071" s="51">
        <f>VLOOKUP(A1071,'Componentes APUs'!$S$1:$V$10,4,0)</f>
        <v>125000</v>
      </c>
      <c r="G1071" s="51">
        <f>ROUNDUP(F1071*((E1071/21)/E1047),0)</f>
        <v>0</v>
      </c>
    </row>
    <row r="1072" spans="1:9" x14ac:dyDescent="0.25">
      <c r="A1072" s="50" t="s">
        <v>62</v>
      </c>
      <c r="B1072" s="220" t="str">
        <f>VLOOKUP(A1072,'Componentes APUs'!$S$1:$V$10,2,0)</f>
        <v>Templadoras</v>
      </c>
      <c r="C1072" s="220"/>
      <c r="D1072" s="50" t="s">
        <v>18</v>
      </c>
      <c r="E1072" s="50">
        <v>0</v>
      </c>
      <c r="F1072" s="51">
        <f>VLOOKUP(A1072,'Componentes APUs'!$S$1:$V$10,4,0)</f>
        <v>250000</v>
      </c>
      <c r="G1072" s="51">
        <f>ROUNDUP(F1072*((E1072/21)/E1047),0)</f>
        <v>0</v>
      </c>
    </row>
    <row r="1073" spans="1:9" x14ac:dyDescent="0.25">
      <c r="A1073" s="50" t="s">
        <v>328</v>
      </c>
      <c r="B1073" s="220" t="str">
        <f>VLOOKUP(A1073,'Componentes APUs'!$S$1:$V$10,2,0)</f>
        <v>Herramienta Menor</v>
      </c>
      <c r="C1073" s="220"/>
      <c r="D1073" s="50" t="s">
        <v>18</v>
      </c>
      <c r="E1073" s="50">
        <v>3</v>
      </c>
      <c r="F1073" s="51">
        <f>VLOOKUP(A1073,'Componentes APUs'!$S$1:$V$10,4,0)</f>
        <v>75758</v>
      </c>
      <c r="G1073" s="51">
        <f>ROUNDUP(F1073*((E1073/21)/E1047),0)</f>
        <v>108226</v>
      </c>
    </row>
    <row r="1074" spans="1:9" x14ac:dyDescent="0.25">
      <c r="A1074" s="219" t="s">
        <v>69</v>
      </c>
      <c r="B1074" s="219"/>
      <c r="C1074" s="219"/>
      <c r="D1074" s="219"/>
      <c r="E1074" s="219"/>
      <c r="F1074" s="219"/>
      <c r="G1074" s="52">
        <f>SUM(G1068:G1073)</f>
        <v>108226</v>
      </c>
    </row>
    <row r="1075" spans="1:9" x14ac:dyDescent="0.25">
      <c r="A1075" s="56"/>
      <c r="B1075" s="57"/>
      <c r="C1075" s="57"/>
      <c r="D1075" s="57"/>
      <c r="E1075" s="57"/>
      <c r="F1075" s="57"/>
      <c r="G1075" s="58"/>
    </row>
    <row r="1076" spans="1:9" x14ac:dyDescent="0.25">
      <c r="A1076" s="219" t="s">
        <v>70</v>
      </c>
      <c r="B1076" s="219"/>
      <c r="C1076" s="219"/>
      <c r="D1076" s="219"/>
      <c r="E1076" s="219"/>
      <c r="F1076" s="219"/>
      <c r="G1076" s="219"/>
    </row>
    <row r="1077" spans="1:9" x14ac:dyDescent="0.25">
      <c r="A1077" s="49" t="s">
        <v>35</v>
      </c>
      <c r="B1077" s="219" t="s">
        <v>36</v>
      </c>
      <c r="C1077" s="219"/>
      <c r="D1077" s="49" t="s">
        <v>37</v>
      </c>
      <c r="E1077" s="49" t="s">
        <v>38</v>
      </c>
      <c r="F1077" s="49" t="s">
        <v>39</v>
      </c>
      <c r="G1077" s="49" t="s">
        <v>40</v>
      </c>
    </row>
    <row r="1078" spans="1:9" x14ac:dyDescent="0.25">
      <c r="A1078" s="50" t="s">
        <v>71</v>
      </c>
      <c r="B1078" s="71" t="str">
        <f>VLOOKUP(A1078,'Componentes APUs'!$A$1:$D$14,2,0)</f>
        <v>Camisa indigo sin partes metalicas</v>
      </c>
      <c r="C1078" s="71"/>
      <c r="D1078" s="50" t="str">
        <f>VLOOKUP(A1078,'Componentes APUs'!$A$1:$D$14,3,0)</f>
        <v>U</v>
      </c>
      <c r="E1078" s="50">
        <f>SUM(C1058:C1063)</f>
        <v>3.75</v>
      </c>
      <c r="F1078" s="51">
        <f>VLOOKUP(A1078,'Componentes APUs'!$A$1:$D$14,4,0)</f>
        <v>8585.8585858585866</v>
      </c>
      <c r="G1078" s="51">
        <f>ROUNDUP(F1078*(E1078/21)/E1047,0)</f>
        <v>15332</v>
      </c>
      <c r="I1078" s="91"/>
    </row>
    <row r="1079" spans="1:9" x14ac:dyDescent="0.25">
      <c r="A1079" s="69" t="s">
        <v>73</v>
      </c>
      <c r="B1079" s="72" t="str">
        <f>VLOOKUP(A1079,'Componentes APUs'!$A$1:$D$14,2,0)</f>
        <v>Bota de seguridad dielectrica</v>
      </c>
      <c r="C1079" s="73"/>
      <c r="D1079" s="70" t="str">
        <f>VLOOKUP(A1079,'Componentes APUs'!$A$1:$D$14,3,0)</f>
        <v>Par</v>
      </c>
      <c r="E1079" s="50">
        <f>SUM(C1058:C1063)</f>
        <v>3.75</v>
      </c>
      <c r="F1079" s="51">
        <f>VLOOKUP(A1079,'Componentes APUs'!$A$1:$D$14,4,0)</f>
        <v>7500</v>
      </c>
      <c r="G1079" s="51">
        <f>ROUNDUP(F1079*(E1079/21)/E1047,0)</f>
        <v>13393</v>
      </c>
    </row>
    <row r="1080" spans="1:9" x14ac:dyDescent="0.25">
      <c r="A1080" s="50" t="s">
        <v>76</v>
      </c>
      <c r="B1080" s="72" t="str">
        <f>VLOOKUP(A1080,'Componentes APUs'!$A$1:$D$14,2,0)</f>
        <v>Casco dielectrico Tipo 1 Clase E con barbuquejo</v>
      </c>
      <c r="C1080" s="73"/>
      <c r="D1080" s="50" t="str">
        <f>VLOOKUP(A1080,'Componentes APUs'!$A$1:$D$14,3,0)</f>
        <v>U</v>
      </c>
      <c r="E1080" s="50">
        <f>C1058+C1059+C1061+C1062+C1063+IF(A1060&lt;&gt;"MO-3",C1060,0)</f>
        <v>3.75</v>
      </c>
      <c r="F1080" s="51">
        <f>VLOOKUP(A1080,'Componentes APUs'!$A$1:$D$14,4,0)</f>
        <v>10101.010101010101</v>
      </c>
      <c r="G1080" s="51">
        <f>ROUNDUP(F1080*(E1080/21)/E1047,0)</f>
        <v>18038</v>
      </c>
    </row>
    <row r="1081" spans="1:9" x14ac:dyDescent="0.25">
      <c r="A1081" s="69" t="s">
        <v>77</v>
      </c>
      <c r="B1081" s="72" t="str">
        <f>VLOOKUP(A1081,'Componentes APUs'!$A$1:$D$14,2,0)</f>
        <v>Correa plastica y antiflama</v>
      </c>
      <c r="C1081" s="73"/>
      <c r="D1081" s="50" t="str">
        <f>VLOOKUP(A1081,'Componentes APUs'!$A$1:$D$14,3,0)</f>
        <v>U</v>
      </c>
      <c r="E1081" s="50">
        <f>SUM(C1058:C1063)</f>
        <v>3.75</v>
      </c>
      <c r="F1081" s="51">
        <f>VLOOKUP(A1081,'Componentes APUs'!$A$1:$D$14,4,0)</f>
        <v>3787.878787878788</v>
      </c>
      <c r="G1081" s="51">
        <f>ROUNDUP(F1081*(E1081/21)/E1047,0)</f>
        <v>6765</v>
      </c>
    </row>
    <row r="1082" spans="1:9" x14ac:dyDescent="0.25">
      <c r="A1082" s="50" t="s">
        <v>79</v>
      </c>
      <c r="B1082" s="72" t="str">
        <f>VLOOKUP(A1082,'Componentes APUs'!$A$1:$D$14,2,0)</f>
        <v>Gafas protectoras filtro UV</v>
      </c>
      <c r="C1082" s="73"/>
      <c r="D1082" s="50" t="str">
        <f>VLOOKUP(A1082,'Componentes APUs'!$A$1:$D$14,3,0)</f>
        <v>U</v>
      </c>
      <c r="E1082" s="50">
        <f>SUM(C1058:C1063)</f>
        <v>3.75</v>
      </c>
      <c r="F1082" s="51">
        <f>VLOOKUP(A1082,'Componentes APUs'!$A$1:$D$14,4,0)</f>
        <v>2777.7777777777778</v>
      </c>
      <c r="G1082" s="51">
        <f>ROUNDUP(F1082*(E1082/21)/E1047,0)</f>
        <v>4961</v>
      </c>
    </row>
    <row r="1083" spans="1:9" x14ac:dyDescent="0.25">
      <c r="A1083" s="69" t="s">
        <v>402</v>
      </c>
      <c r="B1083" s="72" t="str">
        <f>VLOOKUP(A1083,'Componentes APUs'!$A$1:$D$14,2,0)</f>
        <v>Bota de seguridad PVC dielectrica</v>
      </c>
      <c r="C1083" s="73"/>
      <c r="D1083" s="50" t="str">
        <f>VLOOKUP(A1083,'Componentes APUs'!$A$1:$D$14,3,0)</f>
        <v>Par</v>
      </c>
      <c r="E1083" s="50">
        <f>SUM(C1058:C1063)</f>
        <v>3.75</v>
      </c>
      <c r="F1083" s="51">
        <f>VLOOKUP(A1083,'Componentes APUs'!$A$1:$D$14,4,0)</f>
        <v>2916.6666666666665</v>
      </c>
      <c r="G1083" s="51">
        <f>ROUNDUP(F1083*(E1083/21)/E1047,0)</f>
        <v>5209</v>
      </c>
    </row>
    <row r="1084" spans="1:9" x14ac:dyDescent="0.25">
      <c r="A1084" s="50" t="s">
        <v>403</v>
      </c>
      <c r="B1084" s="72" t="str">
        <f>VLOOKUP(A1084,'Componentes APUs'!$A$1:$D$14,2,0)</f>
        <v>Capuchon</v>
      </c>
      <c r="C1084" s="73"/>
      <c r="D1084" s="50" t="str">
        <f>VLOOKUP(A1084,'Componentes APUs'!$A$1:$D$14,3,0)</f>
        <v>U</v>
      </c>
      <c r="E1084" s="50">
        <f>SUM(C1058:C1063)</f>
        <v>3.75</v>
      </c>
      <c r="F1084" s="51">
        <f>VLOOKUP(A1084,'Componentes APUs'!$A$1:$D$14,4,0)</f>
        <v>2525.2525252525252</v>
      </c>
      <c r="G1084" s="51">
        <f>ROUNDUP(F1084*(E1084/21)/E1047,0)</f>
        <v>4510</v>
      </c>
    </row>
    <row r="1085" spans="1:9" x14ac:dyDescent="0.25">
      <c r="A1085" s="69" t="s">
        <v>81</v>
      </c>
      <c r="B1085" s="72" t="str">
        <f>VLOOKUP(A1085,'Componentes APUs'!$A$1:$D$14,2,0)</f>
        <v>Guantes Protectores  - ingeniero reforzados</v>
      </c>
      <c r="C1085" s="73"/>
      <c r="D1085" s="50" t="str">
        <f>VLOOKUP(A1085,'Componentes APUs'!$A$1:$D$14,3,0)</f>
        <v>Par</v>
      </c>
      <c r="E1085" s="50">
        <f>C1060+C1061+C1063</f>
        <v>3.25</v>
      </c>
      <c r="F1085" s="51">
        <f>VLOOKUP(A1085,'Componentes APUs'!$A$1:$D$14,4,0)</f>
        <v>2525.2525252525252</v>
      </c>
      <c r="G1085" s="51">
        <f>ROUNDUP(F1085*(E1085/21)/E1047,0)</f>
        <v>3909</v>
      </c>
    </row>
    <row r="1086" spans="1:9" x14ac:dyDescent="0.25">
      <c r="A1086" s="50" t="s">
        <v>83</v>
      </c>
      <c r="B1086" s="72" t="str">
        <f>VLOOKUP(A1086,'Componentes APUs'!$A$1:$D$14,2,0)</f>
        <v>Impermeable (pantalon camisa)</v>
      </c>
      <c r="C1086" s="73"/>
      <c r="D1086" s="50" t="str">
        <f>VLOOKUP(A1086,'Componentes APUs'!$A$1:$D$14,3,0)</f>
        <v>U</v>
      </c>
      <c r="E1086" s="50">
        <f>SUM(C1058:C1063)</f>
        <v>3.75</v>
      </c>
      <c r="F1086" s="51">
        <f>VLOOKUP(A1086,'Componentes APUs'!$A$1:$D$14,4,0)</f>
        <v>3750</v>
      </c>
      <c r="G1086" s="51">
        <f>ROUNDUP(F1086*(E1086/21)/E1047,0)</f>
        <v>6697</v>
      </c>
    </row>
    <row r="1087" spans="1:9" x14ac:dyDescent="0.25">
      <c r="A1087" s="69" t="s">
        <v>85</v>
      </c>
      <c r="B1087" s="72" t="str">
        <f>VLOOKUP(A1087,'Componentes APUs'!$A$1:$D$14,2,0)</f>
        <v>Jean Dielectrico</v>
      </c>
      <c r="C1087" s="73"/>
      <c r="D1087" s="50" t="str">
        <f>VLOOKUP(A1087,'Componentes APUs'!$A$1:$D$14,3,0)</f>
        <v>U</v>
      </c>
      <c r="E1087" s="50">
        <f>SUM(C1058:C1063)</f>
        <v>3.75</v>
      </c>
      <c r="F1087" s="51">
        <f>VLOOKUP(A1087,'Componentes APUs'!$A$1:$D$14,4,0)</f>
        <v>7575.757575757576</v>
      </c>
      <c r="G1087" s="51">
        <f>ROUNDUP(F1087*(E1087/21)/E1047,0)</f>
        <v>13529</v>
      </c>
    </row>
    <row r="1088" spans="1:9" x14ac:dyDescent="0.25">
      <c r="A1088" s="50" t="s">
        <v>87</v>
      </c>
      <c r="B1088" s="72" t="str">
        <f>VLOOKUP(A1088,'Componentes APUs'!$A$1:$D$14,2,0)</f>
        <v>Casco dielectrico Tipo 2 Clase E con barboquejo</v>
      </c>
      <c r="C1088" s="73"/>
      <c r="D1088" s="50" t="str">
        <f>VLOOKUP(A1088,'Componentes APUs'!$A$1:$D$14,3,0)</f>
        <v>U</v>
      </c>
      <c r="E1088" s="53">
        <f>IF(A1060="MO-3",C1060,0)</f>
        <v>0</v>
      </c>
      <c r="F1088" s="51">
        <f>VLOOKUP(A1088,'Componentes APUs'!$A$1:$D$14,4,0)</f>
        <v>7500</v>
      </c>
      <c r="G1088" s="51">
        <f>ROUNDUP(F1088*(E1088/21)/E1047,0)</f>
        <v>0</v>
      </c>
    </row>
    <row r="1089" spans="1:7" x14ac:dyDescent="0.25">
      <c r="A1089" s="69" t="s">
        <v>89</v>
      </c>
      <c r="B1089" s="72" t="str">
        <f>VLOOKUP(A1089,'Componentes APUs'!$A$1:$D$14,2,0)</f>
        <v>Kit de rescate para trabajo en alturas</v>
      </c>
      <c r="C1089" s="73"/>
      <c r="D1089" s="50" t="str">
        <f>VLOOKUP(A1089,'Componentes APUs'!$A$1:$D$14,3,0)</f>
        <v>U</v>
      </c>
      <c r="E1089" s="50">
        <f>IF(AND(A1060="MO-3",C1060=2),1,0)</f>
        <v>0</v>
      </c>
      <c r="F1089" s="51">
        <f>VLOOKUP(A1089,'Componentes APUs'!$A$1:$D$14,4,0)</f>
        <v>37500</v>
      </c>
      <c r="G1089" s="51">
        <f>ROUNDUP(F1089*(E1089/21)/E1047,0)</f>
        <v>0</v>
      </c>
    </row>
    <row r="1090" spans="1:7" x14ac:dyDescent="0.25">
      <c r="A1090" s="50" t="s">
        <v>91</v>
      </c>
      <c r="B1090" s="72" t="str">
        <f>VLOOKUP(A1090,'Componentes APUs'!$A$1:$D$14,2,0)</f>
        <v>Equipo completo para trabajo en alturas con pretales (Arnes dielectrico, 1 mosqueton de seguridad, tie off dielectrico, eslinga de posicionamiento, juego de pretales)</v>
      </c>
      <c r="C1090" s="73"/>
      <c r="D1090" s="50" t="str">
        <f>VLOOKUP(A1090,'Componentes APUs'!$A$1:$D$14,3,0)</f>
        <v>U</v>
      </c>
      <c r="E1090" s="50">
        <f>IF(A1060="MO-3",C1060,0)</f>
        <v>0</v>
      </c>
      <c r="F1090" s="51">
        <f>VLOOKUP(A1090,'Componentes APUs'!$A$1:$D$14,4,0)</f>
        <v>26041.666666666668</v>
      </c>
      <c r="G1090" s="51">
        <f>ROUNDUP(F1090*(E1090/21)/E1047,0)</f>
        <v>0</v>
      </c>
    </row>
    <row r="1091" spans="1:7" x14ac:dyDescent="0.25">
      <c r="A1091" s="219" t="s">
        <v>95</v>
      </c>
      <c r="B1091" s="219"/>
      <c r="C1091" s="219"/>
      <c r="D1091" s="219"/>
      <c r="E1091" s="219"/>
      <c r="F1091" s="219"/>
      <c r="G1091" s="52">
        <f>SUM(G1078:G1090)</f>
        <v>92343</v>
      </c>
    </row>
    <row r="1092" spans="1:7" x14ac:dyDescent="0.25">
      <c r="A1092" s="56"/>
      <c r="B1092" s="57"/>
      <c r="C1092" s="57"/>
      <c r="D1092" s="57"/>
      <c r="E1092" s="57"/>
      <c r="F1092" s="57"/>
      <c r="G1092" s="58"/>
    </row>
    <row r="1093" spans="1:7" x14ac:dyDescent="0.25">
      <c r="A1093" s="219" t="s">
        <v>96</v>
      </c>
      <c r="B1093" s="219"/>
      <c r="C1093" s="219"/>
      <c r="D1093" s="219"/>
      <c r="E1093" s="219"/>
      <c r="F1093" s="219"/>
      <c r="G1093" s="219"/>
    </row>
    <row r="1094" spans="1:7" x14ac:dyDescent="0.25">
      <c r="A1094" s="49" t="s">
        <v>35</v>
      </c>
      <c r="B1094" s="225" t="s">
        <v>36</v>
      </c>
      <c r="C1094" s="225"/>
      <c r="D1094" s="49" t="s">
        <v>37</v>
      </c>
      <c r="E1094" s="49" t="s">
        <v>38</v>
      </c>
      <c r="F1094" s="49" t="s">
        <v>39</v>
      </c>
      <c r="G1094" s="49" t="s">
        <v>40</v>
      </c>
    </row>
    <row r="1095" spans="1:7" x14ac:dyDescent="0.25">
      <c r="A1095" s="69" t="s">
        <v>97</v>
      </c>
      <c r="B1095" s="72" t="str">
        <f>VLOOKUP(A1095,'Componentes APUs'!$N$1:$Q$30,2,0)</f>
        <v>Camioneta</v>
      </c>
      <c r="C1095" s="73"/>
      <c r="D1095" s="70" t="str">
        <f>VLOOKUP(A1095,'Componentes APUs'!$N$1:$Q$30,3,0)</f>
        <v>U</v>
      </c>
      <c r="E1095" s="50">
        <v>1</v>
      </c>
      <c r="F1095" s="51">
        <f>VLOOKUP(A1095,'Componentes APUs'!$N$1:$Q$30,4,0)</f>
        <v>5500000</v>
      </c>
      <c r="G1095" s="51">
        <f>IFERROR(ROUNDUP(F1095*(E1095/21)/E1047,0),"-")</f>
        <v>2619048</v>
      </c>
    </row>
    <row r="1096" spans="1:7" x14ac:dyDescent="0.25">
      <c r="A1096" s="50" t="s">
        <v>321</v>
      </c>
      <c r="B1096" s="72" t="str">
        <f>VLOOKUP(A1096,'Componentes APUs'!$N$1:$Q$30,2,0)</f>
        <v>Grúa Hidráulica</v>
      </c>
      <c r="C1096" s="73"/>
      <c r="D1096" s="70" t="str">
        <f>VLOOKUP(A1096,'Componentes APUs'!$N$1:$Q$30,3,0)</f>
        <v>U</v>
      </c>
      <c r="E1096" s="50">
        <v>0</v>
      </c>
      <c r="F1096" s="51">
        <f>VLOOKUP(A1096,'Componentes APUs'!$N$1:$Q$30,4,0)</f>
        <v>21000000</v>
      </c>
      <c r="G1096" s="51">
        <f>IFERROR(ROUNDUP(F1096*(E1096/21)/E1047,0),"-")</f>
        <v>0</v>
      </c>
    </row>
    <row r="1097" spans="1:7" x14ac:dyDescent="0.25">
      <c r="A1097" s="69" t="s">
        <v>1379</v>
      </c>
      <c r="B1097" s="72" t="str">
        <f>VLOOKUP(A1097,'Componentes APUs'!$N$1:$Q$30,2,0)</f>
        <v>Dumper de descarga Frontal 2T</v>
      </c>
      <c r="C1097" s="73"/>
      <c r="D1097" s="70" t="str">
        <f>VLOOKUP(A1097,'Componentes APUs'!$N$1:$Q$30,3,0)</f>
        <v>U</v>
      </c>
      <c r="E1097" s="50">
        <v>0</v>
      </c>
      <c r="F1097" s="51">
        <f>VLOOKUP(A1097,'Componentes APUs'!$N$1:$Q$30,4,0)</f>
        <v>4438716.24</v>
      </c>
      <c r="G1097" s="51">
        <f>IFERROR(ROUNDUP(F1097*(E1097/21)/E1047,0),"-")</f>
        <v>0</v>
      </c>
    </row>
    <row r="1098" spans="1:7" x14ac:dyDescent="0.25">
      <c r="A1098" s="50" t="s">
        <v>323</v>
      </c>
      <c r="B1098" s="72" t="str">
        <f>VLOOKUP(A1098,'Componentes APUs'!$N$1:$Q$30,2,0)</f>
        <v>Volqueta</v>
      </c>
      <c r="C1098" s="73"/>
      <c r="D1098" s="70" t="str">
        <f>VLOOKUP(A1098,'Componentes APUs'!$N$1:$Q$30,3,0)</f>
        <v>U</v>
      </c>
      <c r="E1098" s="50">
        <v>0</v>
      </c>
      <c r="F1098" s="51">
        <f>VLOOKUP(A1098,'Componentes APUs'!$N$1:$Q$30,4,0)</f>
        <v>14828184</v>
      </c>
      <c r="G1098" s="51">
        <f>IFERROR(ROUNDUP(F1098*(E1098/21)/E1047,0),"-")</f>
        <v>0</v>
      </c>
    </row>
    <row r="1099" spans="1:7" x14ac:dyDescent="0.25">
      <c r="A1099" s="69" t="s">
        <v>324</v>
      </c>
      <c r="B1099" s="72" t="str">
        <f>VLOOKUP(A1099,'Componentes APUs'!$N$1:$Q$30,2,0)</f>
        <v>Retroexcavadora</v>
      </c>
      <c r="C1099" s="73"/>
      <c r="D1099" s="70" t="str">
        <f>VLOOKUP(A1099,'Componentes APUs'!$N$1:$Q$30,3,0)</f>
        <v>U</v>
      </c>
      <c r="E1099" s="50">
        <v>0</v>
      </c>
      <c r="F1099" s="51">
        <f>VLOOKUP(A1099,'Componentes APUs'!$N$1:$Q$30,4,0)</f>
        <v>46030656</v>
      </c>
      <c r="G1099" s="51">
        <f>IFERROR(ROUNDUP(F1099*(E1099/21)/E1047,0),"-")</f>
        <v>0</v>
      </c>
    </row>
    <row r="1100" spans="1:7" x14ac:dyDescent="0.25">
      <c r="A1100" s="219" t="s">
        <v>99</v>
      </c>
      <c r="B1100" s="219"/>
      <c r="C1100" s="219"/>
      <c r="D1100" s="219"/>
      <c r="E1100" s="219"/>
      <c r="F1100" s="219"/>
      <c r="G1100" s="52">
        <f>SUM(G1095:G1099)</f>
        <v>2619048</v>
      </c>
    </row>
    <row r="1101" spans="1:7" x14ac:dyDescent="0.25">
      <c r="A1101" s="56"/>
      <c r="B1101" s="57"/>
      <c r="C1101" s="57"/>
      <c r="D1101" s="57"/>
      <c r="E1101" s="57"/>
      <c r="F1101" s="57"/>
      <c r="G1101" s="58"/>
    </row>
    <row r="1102" spans="1:7" x14ac:dyDescent="0.25">
      <c r="A1102" s="219" t="s">
        <v>1516</v>
      </c>
      <c r="B1102" s="219"/>
      <c r="C1102" s="219"/>
      <c r="D1102" s="219"/>
      <c r="E1102" s="219"/>
      <c r="F1102" s="219"/>
      <c r="G1102" s="52">
        <f>G1100+G1091+G1074+G1064+G1054</f>
        <v>40226556</v>
      </c>
    </row>
    <row r="1103" spans="1:7" x14ac:dyDescent="0.25">
      <c r="A1103" s="59"/>
      <c r="B1103" s="60"/>
      <c r="C1103" s="60"/>
      <c r="D1103" s="60"/>
      <c r="E1103" s="57"/>
      <c r="F1103" s="57"/>
      <c r="G1103" s="58"/>
    </row>
    <row r="1104" spans="1:7" x14ac:dyDescent="0.25">
      <c r="A1104" s="64"/>
      <c r="D1104" s="55"/>
      <c r="E1104" s="49" t="s">
        <v>25</v>
      </c>
      <c r="F1104" s="54">
        <v>0.15</v>
      </c>
      <c r="G1104" s="51">
        <f>G1102*F1104</f>
        <v>6033983.3999999994</v>
      </c>
    </row>
    <row r="1105" spans="1:8" x14ac:dyDescent="0.25">
      <c r="A1105" s="64"/>
      <c r="D1105" s="55"/>
      <c r="E1105" s="49" t="s">
        <v>26</v>
      </c>
      <c r="F1105" s="54">
        <v>0.05</v>
      </c>
      <c r="G1105" s="51">
        <f>G1102*F1105</f>
        <v>2011327.8</v>
      </c>
    </row>
    <row r="1106" spans="1:8" x14ac:dyDescent="0.25">
      <c r="A1106" s="61"/>
      <c r="B1106" s="65"/>
      <c r="C1106" s="65"/>
      <c r="D1106" s="62"/>
      <c r="E1106" s="49" t="s">
        <v>27</v>
      </c>
      <c r="F1106" s="54">
        <v>0.05</v>
      </c>
      <c r="G1106" s="51">
        <f>G1102*F1106</f>
        <v>2011327.8</v>
      </c>
    </row>
    <row r="1107" spans="1:8" x14ac:dyDescent="0.25">
      <c r="A1107" s="61"/>
      <c r="B1107" s="62"/>
      <c r="C1107" s="62"/>
      <c r="D1107" s="62"/>
      <c r="E1107" s="62"/>
      <c r="F1107" s="62"/>
      <c r="G1107" s="63"/>
    </row>
    <row r="1108" spans="1:8" x14ac:dyDescent="0.25">
      <c r="A1108" s="219" t="s">
        <v>1517</v>
      </c>
      <c r="B1108" s="219"/>
      <c r="C1108" s="219"/>
      <c r="D1108" s="219"/>
      <c r="E1108" s="219"/>
      <c r="F1108" s="219"/>
      <c r="G1108" s="52">
        <f>G1102+G1104+G1105+G1106</f>
        <v>50283194.999999993</v>
      </c>
    </row>
    <row r="1109" spans="1:8" x14ac:dyDescent="0.25">
      <c r="A1109" s="59"/>
      <c r="B1109" s="60"/>
      <c r="C1109" s="60"/>
      <c r="D1109" s="60"/>
      <c r="E1109" s="57"/>
      <c r="F1109" s="57"/>
      <c r="G1109" s="58"/>
    </row>
    <row r="1110" spans="1:8" x14ac:dyDescent="0.25">
      <c r="A1110" s="64"/>
      <c r="D1110" s="55"/>
      <c r="E1110" s="49" t="s">
        <v>102</v>
      </c>
      <c r="F1110" s="49" t="s">
        <v>103</v>
      </c>
      <c r="G1110" s="51">
        <f>G1106*19%</f>
        <v>382152.28200000001</v>
      </c>
    </row>
    <row r="1111" spans="1:8" x14ac:dyDescent="0.25">
      <c r="A1111" s="61"/>
      <c r="B1111" s="62"/>
      <c r="C1111" s="62"/>
      <c r="D1111" s="62"/>
      <c r="E1111" s="57"/>
      <c r="F1111" s="57"/>
      <c r="G1111" s="58"/>
    </row>
    <row r="1112" spans="1:8" x14ac:dyDescent="0.25">
      <c r="A1112" s="219" t="s">
        <v>104</v>
      </c>
      <c r="B1112" s="219"/>
      <c r="C1112" s="219"/>
      <c r="D1112" s="219"/>
      <c r="E1112" s="219"/>
      <c r="F1112" s="219"/>
      <c r="G1112" s="52">
        <f>G1110+G1108</f>
        <v>50665347.28199999</v>
      </c>
    </row>
    <row r="1114" spans="1:8" x14ac:dyDescent="0.25">
      <c r="A1114" s="74" t="s">
        <v>29</v>
      </c>
      <c r="B1114" s="226" t="s">
        <v>30</v>
      </c>
      <c r="C1114" s="226"/>
      <c r="D1114" s="74" t="s">
        <v>31</v>
      </c>
      <c r="E1114" s="74" t="s">
        <v>32</v>
      </c>
      <c r="F1114" s="74" t="s">
        <v>189</v>
      </c>
      <c r="G1114" s="74" t="s">
        <v>33</v>
      </c>
      <c r="H1114" s="105"/>
    </row>
    <row r="1115" spans="1:8" ht="43.5" customHeight="1" x14ac:dyDescent="0.25">
      <c r="A1115" s="50" t="str">
        <f>Presupuesto!B26</f>
        <v>018_OC</v>
      </c>
      <c r="B1115" s="229" t="str">
        <f>Presupuesto!C26</f>
        <v>CARCAMO DE 2,7 X 1,4 X 9 m. SEGÚN ESPECIFICACIONES EN PLANO.  INCLUYE VIGAS DE SOPORTE DE CELDAS Y EXCAVACIÓN</v>
      </c>
      <c r="C1115" s="230"/>
      <c r="D1115" s="50" t="s">
        <v>108</v>
      </c>
      <c r="E1115" s="107">
        <f>1/7</f>
        <v>0.14285714285714285</v>
      </c>
      <c r="F1115" s="50"/>
      <c r="G1115" s="51">
        <f>G1180</f>
        <v>31258375.538499996</v>
      </c>
      <c r="H1115" s="45"/>
    </row>
    <row r="1116" spans="1:8" x14ac:dyDescent="0.25">
      <c r="A1116" s="219" t="s">
        <v>34</v>
      </c>
      <c r="B1116" s="219"/>
      <c r="C1116" s="219"/>
      <c r="D1116" s="219"/>
      <c r="E1116" s="219"/>
      <c r="F1116" s="219"/>
      <c r="G1116" s="219"/>
    </row>
    <row r="1117" spans="1:8" x14ac:dyDescent="0.25">
      <c r="A1117" s="49" t="s">
        <v>35</v>
      </c>
      <c r="B1117" s="219" t="s">
        <v>36</v>
      </c>
      <c r="C1117" s="219"/>
      <c r="D1117" s="49" t="s">
        <v>37</v>
      </c>
      <c r="E1117" s="49" t="s">
        <v>38</v>
      </c>
      <c r="F1117" s="49" t="s">
        <v>39</v>
      </c>
      <c r="G1117" s="49" t="s">
        <v>40</v>
      </c>
    </row>
    <row r="1118" spans="1:8" x14ac:dyDescent="0.25">
      <c r="A1118" s="50" t="str">
        <f>Material!A15</f>
        <v>MA-14</v>
      </c>
      <c r="B1118" s="72" t="str">
        <f>IFERROR(VLOOKUP(A1118,Material!$A:$H,2,0),"-")</f>
        <v>CONCRETO DE 3000 PSI</v>
      </c>
      <c r="C1118" s="76"/>
      <c r="D1118" s="50" t="str">
        <f>IFERROR(VLOOKUP(A1118,Material!$A:$H,4,0),"-")</f>
        <v>M3</v>
      </c>
      <c r="E1118" s="107">
        <f>(0.78+0.1)*9+0.1*2+0.29*1.65*2</f>
        <v>9.0769999999999982</v>
      </c>
      <c r="F1118" s="51">
        <f>IFERROR(VLOOKUP(A1118,Material!$A:$H,3,0),"-")</f>
        <v>620227.23330691375</v>
      </c>
      <c r="G1118" s="51">
        <f t="shared" ref="G1118:G1121" si="12">IFERROR(ROUNDUP(F1118*E1118,0),"-")</f>
        <v>5629803</v>
      </c>
      <c r="H1118" s="106"/>
    </row>
    <row r="1119" spans="1:8" x14ac:dyDescent="0.25">
      <c r="A1119" s="50" t="str">
        <f>Material!A597</f>
        <v>MA-596</v>
      </c>
      <c r="B1119" s="72" t="str">
        <f>IFERROR(VLOOKUP(A1119,Material!$A:$H,2,0),"-")</f>
        <v>ACERO DE REFUERZO FIGURADO</v>
      </c>
      <c r="C1119" s="76"/>
      <c r="D1119" s="50" t="str">
        <f>IFERROR(VLOOKUP(A1119,Material!$A:$H,4,0),"-")</f>
        <v>kG</v>
      </c>
      <c r="E1119" s="108">
        <f>E1118*200</f>
        <v>1815.3999999999996</v>
      </c>
      <c r="F1119" s="51">
        <f>IFERROR(VLOOKUP(A1119,Material!$A:$H,3,0),"-")</f>
        <v>5106.4000000000005</v>
      </c>
      <c r="G1119" s="51">
        <f t="shared" si="12"/>
        <v>9270159</v>
      </c>
      <c r="H1119" s="106"/>
    </row>
    <row r="1120" spans="1:8" x14ac:dyDescent="0.25">
      <c r="A1120" s="50" t="str">
        <f>Material!A218</f>
        <v>MA-217</v>
      </c>
      <c r="B1120" s="72" t="str">
        <f>IFERROR(VLOOKUP(A1120,Material!$A:$H,2,0),"-")</f>
        <v>FORMALETA EN MADERA CON TABLA DE 1"</v>
      </c>
      <c r="C1120" s="76"/>
      <c r="D1120" s="50" t="str">
        <f>IFERROR(VLOOKUP(A1120,Material!$A:$H,4,0),"-")</f>
        <v>M2</v>
      </c>
      <c r="E1120" s="108">
        <f>(5.2+1.4)*9+1.4*2+2*1.65*2</f>
        <v>68.8</v>
      </c>
      <c r="F1120" s="51">
        <f>IFERROR(VLOOKUP(A1120,Material!$A:$H,3,0),"-")</f>
        <v>24691.116165303549</v>
      </c>
      <c r="G1120" s="51">
        <f t="shared" si="12"/>
        <v>1698749</v>
      </c>
      <c r="H1120" s="106"/>
    </row>
    <row r="1121" spans="1:9" ht="27" customHeight="1" x14ac:dyDescent="0.25">
      <c r="A1121" s="50" t="str">
        <f>Material!A18</f>
        <v>MA-17</v>
      </c>
      <c r="B1121" s="232" t="str">
        <f>IFERROR(VLOOKUP(A1121,Material!$A:$H,2,0),"-")</f>
        <v>EXCAVACIÓN EN MATERIAL COMÚN BAJO AGUA DE 0 - 2 M MANUAL</v>
      </c>
      <c r="C1121" s="233"/>
      <c r="D1121" s="50" t="str">
        <f>IFERROR(VLOOKUP(A1121,Material!$A:$H,4,0),"-")</f>
        <v>M3</v>
      </c>
      <c r="E1121" s="107">
        <f>20*1.65</f>
        <v>33</v>
      </c>
      <c r="F1121" s="51">
        <f>IFERROR(VLOOKUP(A1121,Material!$A:$H,3,0),"-")</f>
        <v>45663.8</v>
      </c>
      <c r="G1121" s="51">
        <f t="shared" si="12"/>
        <v>1506906</v>
      </c>
      <c r="H1121" s="106"/>
    </row>
    <row r="1122" spans="1:9" x14ac:dyDescent="0.25">
      <c r="A1122" s="219" t="s">
        <v>41</v>
      </c>
      <c r="B1122" s="219"/>
      <c r="C1122" s="219"/>
      <c r="D1122" s="219"/>
      <c r="E1122" s="219"/>
      <c r="F1122" s="219"/>
      <c r="G1122" s="52">
        <f>SUM(G1118:G1121)</f>
        <v>18105617</v>
      </c>
      <c r="I1122" s="104"/>
    </row>
    <row r="1123" spans="1:9" x14ac:dyDescent="0.25">
      <c r="A1123" s="56"/>
      <c r="B1123" s="57"/>
      <c r="C1123" s="57"/>
      <c r="D1123" s="57"/>
      <c r="E1123" s="57"/>
      <c r="F1123" s="57"/>
      <c r="G1123" s="58"/>
    </row>
    <row r="1124" spans="1:9" x14ac:dyDescent="0.25">
      <c r="A1124" s="219" t="s">
        <v>42</v>
      </c>
      <c r="B1124" s="219"/>
      <c r="C1124" s="219"/>
      <c r="D1124" s="219"/>
      <c r="E1124" s="219"/>
      <c r="F1124" s="219"/>
      <c r="G1124" s="219"/>
    </row>
    <row r="1125" spans="1:9" x14ac:dyDescent="0.25">
      <c r="A1125" s="49" t="s">
        <v>35</v>
      </c>
      <c r="B1125" s="49" t="s">
        <v>36</v>
      </c>
      <c r="C1125" s="49" t="s">
        <v>38</v>
      </c>
      <c r="D1125" s="49" t="s">
        <v>43</v>
      </c>
      <c r="E1125" s="49" t="s">
        <v>44</v>
      </c>
      <c r="F1125" s="49" t="s">
        <v>45</v>
      </c>
      <c r="G1125" s="49" t="s">
        <v>40</v>
      </c>
    </row>
    <row r="1126" spans="1:9" x14ac:dyDescent="0.25">
      <c r="A1126" s="50" t="s">
        <v>319</v>
      </c>
      <c r="B1126" s="68" t="str">
        <f>VLOOKUP(A1126,'Componentes APUs'!$H$1:$L$25,2,0)</f>
        <v>Ingeniero Residente de Obra</v>
      </c>
      <c r="C1126" s="93">
        <v>0.25</v>
      </c>
      <c r="D1126" s="50">
        <f>VLOOKUP(A1126,'Componentes APUs'!$H$1:$L$25,3,0)</f>
        <v>4</v>
      </c>
      <c r="E1126" s="51">
        <f>VLOOKUP(A1126,'Componentes APUs'!$H$1:$L$25,4,0)</f>
        <v>271142.85714285716</v>
      </c>
      <c r="F1126" s="51">
        <f>VLOOKUP(A1126,'Componentes APUs'!$H$1:$L$25,5,0)</f>
        <v>162685.71428571429</v>
      </c>
      <c r="G1126" s="51">
        <f>ROUNDUP((E1126+F1126)*C1126/E1115,0)</f>
        <v>759200</v>
      </c>
      <c r="H1126" s="66"/>
    </row>
    <row r="1127" spans="1:9" x14ac:dyDescent="0.25">
      <c r="A1127" s="50" t="s">
        <v>320</v>
      </c>
      <c r="B1127" s="68" t="str">
        <f>VLOOKUP(A1127,'Componentes APUs'!$H$1:$L$25,2,0)</f>
        <v>Tecnico Supervisor</v>
      </c>
      <c r="C1127" s="93">
        <v>0</v>
      </c>
      <c r="D1127" s="50">
        <f>VLOOKUP(A1127,'Componentes APUs'!$H$1:$L$25,3,0)</f>
        <v>2.2999999999999998</v>
      </c>
      <c r="E1127" s="51">
        <f>VLOOKUP(A1127,'Componentes APUs'!$H$1:$L$25,4,0)</f>
        <v>155907.14285714284</v>
      </c>
      <c r="F1127" s="51">
        <f>VLOOKUP(A1127,'Componentes APUs'!$H$1:$L$25,5,0)</f>
        <v>93544.285714285696</v>
      </c>
      <c r="G1127" s="51">
        <f>ROUNDUP((E1127+F1127)*C1127/E1115,0)</f>
        <v>0</v>
      </c>
    </row>
    <row r="1128" spans="1:9" x14ac:dyDescent="0.25">
      <c r="A1128" s="50" t="s">
        <v>54</v>
      </c>
      <c r="B1128" s="68" t="str">
        <f>VLOOKUP(A1128,'Componentes APUs'!$H$1:$L$25,2,0)</f>
        <v>Maestro de obra civil</v>
      </c>
      <c r="C1128" s="93">
        <v>0.25</v>
      </c>
      <c r="D1128" s="50">
        <f>VLOOKUP(A1128,'Componentes APUs'!$H$1:$L$25,3,0)</f>
        <v>2.5</v>
      </c>
      <c r="E1128" s="51">
        <f>VLOOKUP(A1128,'Componentes APUs'!$H$1:$L$25,4,0)</f>
        <v>169464.28571428571</v>
      </c>
      <c r="F1128" s="51">
        <f>VLOOKUP(A1128,'Componentes APUs'!$H$1:$L$25,5,0)</f>
        <v>101678.57142857142</v>
      </c>
      <c r="G1128" s="51">
        <f>ROUNDUP((E1128+F1128)*C1128/E1115,0)</f>
        <v>474500</v>
      </c>
    </row>
    <row r="1129" spans="1:9" x14ac:dyDescent="0.25">
      <c r="A1129" s="50" t="s">
        <v>1110</v>
      </c>
      <c r="B1129" s="68" t="str">
        <f>VLOOKUP(A1129,'Componentes APUs'!$H$1:$L$25,2,0)</f>
        <v>Oficial de Obra Civil</v>
      </c>
      <c r="C1129" s="93">
        <v>1</v>
      </c>
      <c r="D1129" s="50">
        <f>VLOOKUP(A1129,'Componentes APUs'!$H$1:$L$25,3,0)</f>
        <v>1.5</v>
      </c>
      <c r="E1129" s="51">
        <f>VLOOKUP(A1129,'Componentes APUs'!$H$1:$L$25,4,0)</f>
        <v>115964.28571428571</v>
      </c>
      <c r="F1129" s="51">
        <f>VLOOKUP(A1129,'Componentes APUs'!$H$1:$L$25,5,0)</f>
        <v>69578.57142857142</v>
      </c>
      <c r="G1129" s="51">
        <f>ROUNDUP((E1129+F1129)*C1129/E1115,0)</f>
        <v>1298800</v>
      </c>
    </row>
    <row r="1130" spans="1:9" x14ac:dyDescent="0.25">
      <c r="A1130" s="50" t="s">
        <v>50</v>
      </c>
      <c r="B1130" s="68" t="str">
        <f>VLOOKUP(A1130,'Componentes APUs'!$H$1:$L$25,2,0)</f>
        <v>Profesional en SST</v>
      </c>
      <c r="C1130" s="93">
        <v>0.25</v>
      </c>
      <c r="D1130" s="50">
        <f>VLOOKUP(A1130,'Componentes APUs'!$H$1:$L$25,3,0)</f>
        <v>2.5</v>
      </c>
      <c r="E1130" s="51">
        <f>VLOOKUP(A1130,'Componentes APUs'!$H$1:$L$25,4,0)</f>
        <v>169464.28571428571</v>
      </c>
      <c r="F1130" s="51">
        <f>VLOOKUP(A1130,'Componentes APUs'!$H$1:$L$25,5,0)</f>
        <v>101678.57142857142</v>
      </c>
      <c r="G1130" s="51">
        <f>ROUNDUP((E1130+F1130)*C1130/E1115,0)</f>
        <v>474500</v>
      </c>
    </row>
    <row r="1131" spans="1:9" x14ac:dyDescent="0.25">
      <c r="A1131" s="50" t="s">
        <v>1109</v>
      </c>
      <c r="B1131" s="68" t="str">
        <f>VLOOKUP(A1131,'Componentes APUs'!$H$1:$L$25,2,0)</f>
        <v>Ayudante de Obra Civil</v>
      </c>
      <c r="C1131" s="93">
        <v>2</v>
      </c>
      <c r="D1131" s="50">
        <f>VLOOKUP(A1131,'Componentes APUs'!$H$1:$L$25,3,0)</f>
        <v>1</v>
      </c>
      <c r="E1131" s="51">
        <f>VLOOKUP(A1131,'Componentes APUs'!$H$1:$L$25,4,0)</f>
        <v>77309.523809523816</v>
      </c>
      <c r="F1131" s="51">
        <f>VLOOKUP(A1131,'Componentes APUs'!$H$1:$L$25,5,0)</f>
        <v>46385.71428571429</v>
      </c>
      <c r="G1131" s="51">
        <f>ROUNDUP((E1131+F1131)*C1131/E1115,0)</f>
        <v>1731734</v>
      </c>
    </row>
    <row r="1132" spans="1:9" x14ac:dyDescent="0.25">
      <c r="A1132" s="219" t="s">
        <v>56</v>
      </c>
      <c r="B1132" s="219"/>
      <c r="C1132" s="219"/>
      <c r="D1132" s="219"/>
      <c r="E1132" s="219"/>
      <c r="F1132" s="219"/>
      <c r="G1132" s="52">
        <f>SUM(G1126:G1131)</f>
        <v>4738734</v>
      </c>
    </row>
    <row r="1133" spans="1:9" x14ac:dyDescent="0.25">
      <c r="A1133" s="56"/>
      <c r="B1133" s="57"/>
      <c r="C1133" s="57"/>
      <c r="D1133" s="57"/>
      <c r="E1133" s="57"/>
      <c r="F1133" s="57"/>
      <c r="G1133" s="58"/>
    </row>
    <row r="1134" spans="1:9" x14ac:dyDescent="0.25">
      <c r="A1134" s="219" t="s">
        <v>57</v>
      </c>
      <c r="B1134" s="219"/>
      <c r="C1134" s="219"/>
      <c r="D1134" s="219"/>
      <c r="E1134" s="219"/>
      <c r="F1134" s="219"/>
      <c r="G1134" s="219"/>
    </row>
    <row r="1135" spans="1:9" x14ac:dyDescent="0.25">
      <c r="A1135" s="49" t="s">
        <v>35</v>
      </c>
      <c r="B1135" s="219" t="s">
        <v>36</v>
      </c>
      <c r="C1135" s="219"/>
      <c r="D1135" s="49" t="s">
        <v>37</v>
      </c>
      <c r="E1135" s="49" t="s">
        <v>38</v>
      </c>
      <c r="F1135" s="49" t="s">
        <v>39</v>
      </c>
      <c r="G1135" s="49" t="s">
        <v>40</v>
      </c>
    </row>
    <row r="1136" spans="1:9" x14ac:dyDescent="0.25">
      <c r="A1136" s="50" t="s">
        <v>326</v>
      </c>
      <c r="B1136" s="220" t="str">
        <f>VLOOKUP(A1136,'Componentes APUs'!$S$1:$V$10,2,0)</f>
        <v>Juego Llaves</v>
      </c>
      <c r="C1136" s="220"/>
      <c r="D1136" s="50" t="s">
        <v>18</v>
      </c>
      <c r="E1136" s="50">
        <v>0</v>
      </c>
      <c r="F1136" s="51">
        <f>VLOOKUP(A1136,'Componentes APUs'!$S$1:$V$10,4,0)</f>
        <v>9167</v>
      </c>
      <c r="G1136" s="51">
        <f>ROUNDUP(F1136*((E1136/21)/E1115),0)</f>
        <v>0</v>
      </c>
      <c r="I1136" s="91"/>
    </row>
    <row r="1137" spans="1:9" x14ac:dyDescent="0.25">
      <c r="A1137" s="50" t="s">
        <v>58</v>
      </c>
      <c r="B1137" s="220" t="str">
        <f>VLOOKUP(A1137,'Componentes APUs'!$S$1:$V$10,2,0)</f>
        <v>Manila de servicio</v>
      </c>
      <c r="C1137" s="220"/>
      <c r="D1137" s="50" t="s">
        <v>18</v>
      </c>
      <c r="E1137" s="50">
        <v>0</v>
      </c>
      <c r="F1137" s="51">
        <f>VLOOKUP(A1137,'Componentes APUs'!$S$1:$V$10,4,0)</f>
        <v>2333</v>
      </c>
      <c r="G1137" s="51">
        <f>ROUNDUP(F1137*((E1137/21)/E1115),0)</f>
        <v>0</v>
      </c>
    </row>
    <row r="1138" spans="1:9" x14ac:dyDescent="0.25">
      <c r="A1138" s="50" t="s">
        <v>327</v>
      </c>
      <c r="B1138" s="220" t="str">
        <f>VLOOKUP(A1138,'Componentes APUs'!$S$1:$V$10,2,0)</f>
        <v>Tula portaherramientas</v>
      </c>
      <c r="C1138" s="220"/>
      <c r="D1138" s="50" t="s">
        <v>18</v>
      </c>
      <c r="E1138" s="50">
        <v>0</v>
      </c>
      <c r="F1138" s="51">
        <f>VLOOKUP(A1138,'Componentes APUs'!$S$1:$V$10,4,0)</f>
        <v>1250</v>
      </c>
      <c r="G1138" s="51">
        <f>ROUNDUP(F1138*((E1138/21)/E1115),0)</f>
        <v>0</v>
      </c>
    </row>
    <row r="1139" spans="1:9" x14ac:dyDescent="0.25">
      <c r="A1139" s="50" t="s">
        <v>60</v>
      </c>
      <c r="B1139" s="220" t="str">
        <f>VLOOKUP(A1139,'Componentes APUs'!$S$1:$V$10,2,0)</f>
        <v>Agarradoras</v>
      </c>
      <c r="C1139" s="220"/>
      <c r="D1139" s="50" t="s">
        <v>18</v>
      </c>
      <c r="E1139" s="50">
        <v>0</v>
      </c>
      <c r="F1139" s="51">
        <f>VLOOKUP(A1139,'Componentes APUs'!$S$1:$V$10,4,0)</f>
        <v>125000</v>
      </c>
      <c r="G1139" s="51">
        <f>ROUNDUP(F1139*((E1139/21)/E1115),0)</f>
        <v>0</v>
      </c>
    </row>
    <row r="1140" spans="1:9" x14ac:dyDescent="0.25">
      <c r="A1140" s="50" t="s">
        <v>62</v>
      </c>
      <c r="B1140" s="220" t="str">
        <f>VLOOKUP(A1140,'Componentes APUs'!$S$1:$V$10,2,0)</f>
        <v>Templadoras</v>
      </c>
      <c r="C1140" s="220"/>
      <c r="D1140" s="50" t="s">
        <v>18</v>
      </c>
      <c r="E1140" s="50">
        <v>0</v>
      </c>
      <c r="F1140" s="51">
        <f>VLOOKUP(A1140,'Componentes APUs'!$S$1:$V$10,4,0)</f>
        <v>250000</v>
      </c>
      <c r="G1140" s="51">
        <f>ROUNDUP(F1140*((E1140/21)/E1115),0)</f>
        <v>0</v>
      </c>
    </row>
    <row r="1141" spans="1:9" x14ac:dyDescent="0.25">
      <c r="A1141" s="50" t="s">
        <v>328</v>
      </c>
      <c r="B1141" s="220" t="str">
        <f>VLOOKUP(A1141,'Componentes APUs'!$S$1:$V$10,2,0)</f>
        <v>Herramienta Menor</v>
      </c>
      <c r="C1141" s="220"/>
      <c r="D1141" s="50" t="s">
        <v>18</v>
      </c>
      <c r="E1141" s="50">
        <v>3</v>
      </c>
      <c r="F1141" s="51">
        <f>VLOOKUP(A1141,'Componentes APUs'!$S$1:$V$10,4,0)</f>
        <v>75758</v>
      </c>
      <c r="G1141" s="51">
        <f>ROUNDUP(F1141*((E1141/21)/E1115),0)</f>
        <v>75758</v>
      </c>
    </row>
    <row r="1142" spans="1:9" x14ac:dyDescent="0.25">
      <c r="A1142" s="219" t="s">
        <v>69</v>
      </c>
      <c r="B1142" s="219"/>
      <c r="C1142" s="219"/>
      <c r="D1142" s="219"/>
      <c r="E1142" s="219"/>
      <c r="F1142" s="219"/>
      <c r="G1142" s="52">
        <f>SUM(G1136:G1141)</f>
        <v>75758</v>
      </c>
    </row>
    <row r="1143" spans="1:9" x14ac:dyDescent="0.25">
      <c r="A1143" s="56"/>
      <c r="B1143" s="57"/>
      <c r="C1143" s="57"/>
      <c r="D1143" s="57"/>
      <c r="E1143" s="57"/>
      <c r="F1143" s="57"/>
      <c r="G1143" s="58"/>
    </row>
    <row r="1144" spans="1:9" x14ac:dyDescent="0.25">
      <c r="A1144" s="219" t="s">
        <v>70</v>
      </c>
      <c r="B1144" s="219"/>
      <c r="C1144" s="219"/>
      <c r="D1144" s="219"/>
      <c r="E1144" s="219"/>
      <c r="F1144" s="219"/>
      <c r="G1144" s="219"/>
    </row>
    <row r="1145" spans="1:9" x14ac:dyDescent="0.25">
      <c r="A1145" s="49" t="s">
        <v>35</v>
      </c>
      <c r="B1145" s="219" t="s">
        <v>36</v>
      </c>
      <c r="C1145" s="219"/>
      <c r="D1145" s="49" t="s">
        <v>37</v>
      </c>
      <c r="E1145" s="49" t="s">
        <v>38</v>
      </c>
      <c r="F1145" s="49" t="s">
        <v>39</v>
      </c>
      <c r="G1145" s="49" t="s">
        <v>40</v>
      </c>
    </row>
    <row r="1146" spans="1:9" x14ac:dyDescent="0.25">
      <c r="A1146" s="50" t="s">
        <v>71</v>
      </c>
      <c r="B1146" s="71" t="str">
        <f>VLOOKUP(A1146,'Componentes APUs'!$A$1:$D$14,2,0)</f>
        <v>Camisa indigo sin partes metalicas</v>
      </c>
      <c r="C1146" s="71"/>
      <c r="D1146" s="50" t="str">
        <f>VLOOKUP(A1146,'Componentes APUs'!$A$1:$D$14,3,0)</f>
        <v>U</v>
      </c>
      <c r="E1146" s="50">
        <f>SUM(C1126:C1131)</f>
        <v>3.75</v>
      </c>
      <c r="F1146" s="51">
        <f>VLOOKUP(A1146,'Componentes APUs'!$A$1:$D$14,4,0)</f>
        <v>8585.8585858585866</v>
      </c>
      <c r="G1146" s="51">
        <f>ROUNDUP(F1146*(E1146/21)/E1115,0)</f>
        <v>10733</v>
      </c>
      <c r="I1146" s="91"/>
    </row>
    <row r="1147" spans="1:9" x14ac:dyDescent="0.25">
      <c r="A1147" s="69" t="s">
        <v>73</v>
      </c>
      <c r="B1147" s="72" t="str">
        <f>VLOOKUP(A1147,'Componentes APUs'!$A$1:$D$14,2,0)</f>
        <v>Bota de seguridad dielectrica</v>
      </c>
      <c r="C1147" s="73"/>
      <c r="D1147" s="70" t="str">
        <f>VLOOKUP(A1147,'Componentes APUs'!$A$1:$D$14,3,0)</f>
        <v>Par</v>
      </c>
      <c r="E1147" s="50">
        <f>SUM(C1126:C1131)</f>
        <v>3.75</v>
      </c>
      <c r="F1147" s="51">
        <f>VLOOKUP(A1147,'Componentes APUs'!$A$1:$D$14,4,0)</f>
        <v>7500</v>
      </c>
      <c r="G1147" s="51">
        <f>ROUNDUP(F1147*(E1147/21)/E1115,0)</f>
        <v>9375</v>
      </c>
    </row>
    <row r="1148" spans="1:9" x14ac:dyDescent="0.25">
      <c r="A1148" s="50" t="s">
        <v>76</v>
      </c>
      <c r="B1148" s="72" t="str">
        <f>VLOOKUP(A1148,'Componentes APUs'!$A$1:$D$14,2,0)</f>
        <v>Casco dielectrico Tipo 1 Clase E con barbuquejo</v>
      </c>
      <c r="C1148" s="73"/>
      <c r="D1148" s="50" t="str">
        <f>VLOOKUP(A1148,'Componentes APUs'!$A$1:$D$14,3,0)</f>
        <v>U</v>
      </c>
      <c r="E1148" s="50">
        <f>C1126+C1127+C1129+C1130+C1131+IF(A1128&lt;&gt;"MO-3",C1128,0)</f>
        <v>3.75</v>
      </c>
      <c r="F1148" s="51">
        <f>VLOOKUP(A1148,'Componentes APUs'!$A$1:$D$14,4,0)</f>
        <v>10101.010101010101</v>
      </c>
      <c r="G1148" s="51">
        <f>ROUNDUP(F1148*(E1148/21)/E1115,0)</f>
        <v>12627</v>
      </c>
    </row>
    <row r="1149" spans="1:9" x14ac:dyDescent="0.25">
      <c r="A1149" s="69" t="s">
        <v>77</v>
      </c>
      <c r="B1149" s="72" t="str">
        <f>VLOOKUP(A1149,'Componentes APUs'!$A$1:$D$14,2,0)</f>
        <v>Correa plastica y antiflama</v>
      </c>
      <c r="C1149" s="73"/>
      <c r="D1149" s="50" t="str">
        <f>VLOOKUP(A1149,'Componentes APUs'!$A$1:$D$14,3,0)</f>
        <v>U</v>
      </c>
      <c r="E1149" s="50">
        <f>SUM(C1126:C1131)</f>
        <v>3.75</v>
      </c>
      <c r="F1149" s="51">
        <f>VLOOKUP(A1149,'Componentes APUs'!$A$1:$D$14,4,0)</f>
        <v>3787.878787878788</v>
      </c>
      <c r="G1149" s="51">
        <f>ROUNDUP(F1149*(E1149/21)/E1115,0)</f>
        <v>4735</v>
      </c>
    </row>
    <row r="1150" spans="1:9" x14ac:dyDescent="0.25">
      <c r="A1150" s="50" t="s">
        <v>79</v>
      </c>
      <c r="B1150" s="72" t="str">
        <f>VLOOKUP(A1150,'Componentes APUs'!$A$1:$D$14,2,0)</f>
        <v>Gafas protectoras filtro UV</v>
      </c>
      <c r="C1150" s="73"/>
      <c r="D1150" s="50" t="str">
        <f>VLOOKUP(A1150,'Componentes APUs'!$A$1:$D$14,3,0)</f>
        <v>U</v>
      </c>
      <c r="E1150" s="50">
        <f>SUM(C1126:C1131)</f>
        <v>3.75</v>
      </c>
      <c r="F1150" s="51">
        <f>VLOOKUP(A1150,'Componentes APUs'!$A$1:$D$14,4,0)</f>
        <v>2777.7777777777778</v>
      </c>
      <c r="G1150" s="51">
        <f>ROUNDUP(F1150*(E1150/21)/E1115,0)</f>
        <v>3473</v>
      </c>
    </row>
    <row r="1151" spans="1:9" x14ac:dyDescent="0.25">
      <c r="A1151" s="69" t="s">
        <v>402</v>
      </c>
      <c r="B1151" s="72" t="str">
        <f>VLOOKUP(A1151,'Componentes APUs'!$A$1:$D$14,2,0)</f>
        <v>Bota de seguridad PVC dielectrica</v>
      </c>
      <c r="C1151" s="73"/>
      <c r="D1151" s="50" t="str">
        <f>VLOOKUP(A1151,'Componentes APUs'!$A$1:$D$14,3,0)</f>
        <v>Par</v>
      </c>
      <c r="E1151" s="50">
        <f>SUM(C1126:C1131)</f>
        <v>3.75</v>
      </c>
      <c r="F1151" s="51">
        <f>VLOOKUP(A1151,'Componentes APUs'!$A$1:$D$14,4,0)</f>
        <v>2916.6666666666665</v>
      </c>
      <c r="G1151" s="51">
        <f>ROUNDUP(F1151*(E1151/21)/E1115,0)</f>
        <v>3646</v>
      </c>
    </row>
    <row r="1152" spans="1:9" x14ac:dyDescent="0.25">
      <c r="A1152" s="50" t="s">
        <v>403</v>
      </c>
      <c r="B1152" s="72" t="str">
        <f>VLOOKUP(A1152,'Componentes APUs'!$A$1:$D$14,2,0)</f>
        <v>Capuchon</v>
      </c>
      <c r="C1152" s="73"/>
      <c r="D1152" s="50" t="str">
        <f>VLOOKUP(A1152,'Componentes APUs'!$A$1:$D$14,3,0)</f>
        <v>U</v>
      </c>
      <c r="E1152" s="50">
        <f>SUM(C1126:C1131)</f>
        <v>3.75</v>
      </c>
      <c r="F1152" s="51">
        <f>VLOOKUP(A1152,'Componentes APUs'!$A$1:$D$14,4,0)</f>
        <v>2525.2525252525252</v>
      </c>
      <c r="G1152" s="51">
        <f>ROUNDUP(F1152*(E1152/21)/E1115,0)</f>
        <v>3157</v>
      </c>
    </row>
    <row r="1153" spans="1:7" x14ac:dyDescent="0.25">
      <c r="A1153" s="69" t="s">
        <v>81</v>
      </c>
      <c r="B1153" s="72" t="str">
        <f>VLOOKUP(A1153,'Componentes APUs'!$A$1:$D$14,2,0)</f>
        <v>Guantes Protectores  - ingeniero reforzados</v>
      </c>
      <c r="C1153" s="73"/>
      <c r="D1153" s="50" t="str">
        <f>VLOOKUP(A1153,'Componentes APUs'!$A$1:$D$14,3,0)</f>
        <v>Par</v>
      </c>
      <c r="E1153" s="50">
        <f>C1128+C1129+C1131</f>
        <v>3.25</v>
      </c>
      <c r="F1153" s="51">
        <f>VLOOKUP(A1153,'Componentes APUs'!$A$1:$D$14,4,0)</f>
        <v>2525.2525252525252</v>
      </c>
      <c r="G1153" s="51">
        <f>ROUNDUP(F1153*(E1153/21)/E1115,0)</f>
        <v>2736</v>
      </c>
    </row>
    <row r="1154" spans="1:7" x14ac:dyDescent="0.25">
      <c r="A1154" s="50" t="s">
        <v>83</v>
      </c>
      <c r="B1154" s="72" t="str">
        <f>VLOOKUP(A1154,'Componentes APUs'!$A$1:$D$14,2,0)</f>
        <v>Impermeable (pantalon camisa)</v>
      </c>
      <c r="C1154" s="73"/>
      <c r="D1154" s="50" t="str">
        <f>VLOOKUP(A1154,'Componentes APUs'!$A$1:$D$14,3,0)</f>
        <v>U</v>
      </c>
      <c r="E1154" s="50">
        <f>SUM(C1126:C1131)</f>
        <v>3.75</v>
      </c>
      <c r="F1154" s="51">
        <f>VLOOKUP(A1154,'Componentes APUs'!$A$1:$D$14,4,0)</f>
        <v>3750</v>
      </c>
      <c r="G1154" s="51">
        <f>ROUNDUP(F1154*(E1154/21)/E1115,0)</f>
        <v>4688</v>
      </c>
    </row>
    <row r="1155" spans="1:7" x14ac:dyDescent="0.25">
      <c r="A1155" s="69" t="s">
        <v>85</v>
      </c>
      <c r="B1155" s="72" t="str">
        <f>VLOOKUP(A1155,'Componentes APUs'!$A$1:$D$14,2,0)</f>
        <v>Jean Dielectrico</v>
      </c>
      <c r="C1155" s="73"/>
      <c r="D1155" s="50" t="str">
        <f>VLOOKUP(A1155,'Componentes APUs'!$A$1:$D$14,3,0)</f>
        <v>U</v>
      </c>
      <c r="E1155" s="50">
        <f>SUM(C1126:C1131)</f>
        <v>3.75</v>
      </c>
      <c r="F1155" s="51">
        <f>VLOOKUP(A1155,'Componentes APUs'!$A$1:$D$14,4,0)</f>
        <v>7575.757575757576</v>
      </c>
      <c r="G1155" s="51">
        <f>ROUNDUP(F1155*(E1155/21)/E1115,0)</f>
        <v>9470</v>
      </c>
    </row>
    <row r="1156" spans="1:7" x14ac:dyDescent="0.25">
      <c r="A1156" s="50" t="s">
        <v>87</v>
      </c>
      <c r="B1156" s="72" t="str">
        <f>VLOOKUP(A1156,'Componentes APUs'!$A$1:$D$14,2,0)</f>
        <v>Casco dielectrico Tipo 2 Clase E con barboquejo</v>
      </c>
      <c r="C1156" s="73"/>
      <c r="D1156" s="50" t="str">
        <f>VLOOKUP(A1156,'Componentes APUs'!$A$1:$D$14,3,0)</f>
        <v>U</v>
      </c>
      <c r="E1156" s="53">
        <f>IF(A1128="MO-3",C1128,0)</f>
        <v>0</v>
      </c>
      <c r="F1156" s="51">
        <f>VLOOKUP(A1156,'Componentes APUs'!$A$1:$D$14,4,0)</f>
        <v>7500</v>
      </c>
      <c r="G1156" s="51">
        <f>ROUNDUP(F1156*(E1156/21)/E1115,0)</f>
        <v>0</v>
      </c>
    </row>
    <row r="1157" spans="1:7" x14ac:dyDescent="0.25">
      <c r="A1157" s="69" t="s">
        <v>89</v>
      </c>
      <c r="B1157" s="72" t="str">
        <f>VLOOKUP(A1157,'Componentes APUs'!$A$1:$D$14,2,0)</f>
        <v>Kit de rescate para trabajo en alturas</v>
      </c>
      <c r="C1157" s="73"/>
      <c r="D1157" s="50" t="str">
        <f>VLOOKUP(A1157,'Componentes APUs'!$A$1:$D$14,3,0)</f>
        <v>U</v>
      </c>
      <c r="E1157" s="50">
        <f>IF(AND(A1128="MO-3",C1128=2),1,0)</f>
        <v>0</v>
      </c>
      <c r="F1157" s="51">
        <f>VLOOKUP(A1157,'Componentes APUs'!$A$1:$D$14,4,0)</f>
        <v>37500</v>
      </c>
      <c r="G1157" s="51">
        <f>ROUNDUP(F1157*(E1157/21)/E1115,0)</f>
        <v>0</v>
      </c>
    </row>
    <row r="1158" spans="1:7" x14ac:dyDescent="0.25">
      <c r="A1158" s="50" t="s">
        <v>91</v>
      </c>
      <c r="B1158" s="72" t="str">
        <f>VLOOKUP(A1158,'Componentes APUs'!$A$1:$D$14,2,0)</f>
        <v>Equipo completo para trabajo en alturas con pretales (Arnes dielectrico, 1 mosqueton de seguridad, tie off dielectrico, eslinga de posicionamiento, juego de pretales)</v>
      </c>
      <c r="C1158" s="73"/>
      <c r="D1158" s="50" t="str">
        <f>VLOOKUP(A1158,'Componentes APUs'!$A$1:$D$14,3,0)</f>
        <v>U</v>
      </c>
      <c r="E1158" s="50">
        <f>IF(A1128="MO-3",C1128,0)</f>
        <v>0</v>
      </c>
      <c r="F1158" s="51">
        <f>VLOOKUP(A1158,'Componentes APUs'!$A$1:$D$14,4,0)</f>
        <v>26041.666666666668</v>
      </c>
      <c r="G1158" s="51">
        <f>ROUNDUP(F1158*(E1158/21)/E1115,0)</f>
        <v>0</v>
      </c>
    </row>
    <row r="1159" spans="1:7" x14ac:dyDescent="0.25">
      <c r="A1159" s="219" t="s">
        <v>95</v>
      </c>
      <c r="B1159" s="219"/>
      <c r="C1159" s="219"/>
      <c r="D1159" s="219"/>
      <c r="E1159" s="219"/>
      <c r="F1159" s="219"/>
      <c r="G1159" s="52">
        <f>SUM(G1146:G1158)</f>
        <v>64640</v>
      </c>
    </row>
    <row r="1160" spans="1:7" x14ac:dyDescent="0.25">
      <c r="A1160" s="56"/>
      <c r="B1160" s="57"/>
      <c r="C1160" s="57"/>
      <c r="D1160" s="57"/>
      <c r="E1160" s="57"/>
      <c r="F1160" s="57"/>
      <c r="G1160" s="58"/>
    </row>
    <row r="1161" spans="1:7" x14ac:dyDescent="0.25">
      <c r="A1161" s="219" t="s">
        <v>96</v>
      </c>
      <c r="B1161" s="219"/>
      <c r="C1161" s="219"/>
      <c r="D1161" s="219"/>
      <c r="E1161" s="219"/>
      <c r="F1161" s="219"/>
      <c r="G1161" s="219"/>
    </row>
    <row r="1162" spans="1:7" x14ac:dyDescent="0.25">
      <c r="A1162" s="49" t="s">
        <v>35</v>
      </c>
      <c r="B1162" s="225" t="s">
        <v>36</v>
      </c>
      <c r="C1162" s="225"/>
      <c r="D1162" s="49" t="s">
        <v>37</v>
      </c>
      <c r="E1162" s="49" t="s">
        <v>38</v>
      </c>
      <c r="F1162" s="49" t="s">
        <v>39</v>
      </c>
      <c r="G1162" s="49" t="s">
        <v>40</v>
      </c>
    </row>
    <row r="1163" spans="1:7" x14ac:dyDescent="0.25">
      <c r="A1163" s="69" t="s">
        <v>97</v>
      </c>
      <c r="B1163" s="72" t="str">
        <f>VLOOKUP(A1163,'Componentes APUs'!$N$1:$Q$30,2,0)</f>
        <v>Camioneta</v>
      </c>
      <c r="C1163" s="73"/>
      <c r="D1163" s="70" t="str">
        <f>VLOOKUP(A1163,'Componentes APUs'!$N$1:$Q$30,3,0)</f>
        <v>U</v>
      </c>
      <c r="E1163" s="50">
        <v>1</v>
      </c>
      <c r="F1163" s="51">
        <f>VLOOKUP(A1163,'Componentes APUs'!$N$1:$Q$30,4,0)</f>
        <v>5500000</v>
      </c>
      <c r="G1163" s="51">
        <f>IFERROR(ROUNDUP(F1163*(E1163/21)/E1115,0),"-")</f>
        <v>1833334</v>
      </c>
    </row>
    <row r="1164" spans="1:7" x14ac:dyDescent="0.25">
      <c r="A1164" s="50" t="s">
        <v>321</v>
      </c>
      <c r="B1164" s="72" t="str">
        <f>VLOOKUP(A1164,'Componentes APUs'!$N$1:$Q$30,2,0)</f>
        <v>Grúa Hidráulica</v>
      </c>
      <c r="C1164" s="73"/>
      <c r="D1164" s="70" t="str">
        <f>VLOOKUP(A1164,'Componentes APUs'!$N$1:$Q$30,3,0)</f>
        <v>U</v>
      </c>
      <c r="E1164" s="50">
        <v>0</v>
      </c>
      <c r="F1164" s="51">
        <f>VLOOKUP(A1164,'Componentes APUs'!$N$1:$Q$30,4,0)</f>
        <v>21000000</v>
      </c>
      <c r="G1164" s="51">
        <f>IFERROR(ROUNDUP(F1164*(E1164/21)/E1115,0),"-")</f>
        <v>0</v>
      </c>
    </row>
    <row r="1165" spans="1:7" x14ac:dyDescent="0.25">
      <c r="A1165" s="69" t="s">
        <v>1379</v>
      </c>
      <c r="B1165" s="72" t="str">
        <f>VLOOKUP(A1165,'Componentes APUs'!$N$1:$Q$30,2,0)</f>
        <v>Dumper de descarga Frontal 2T</v>
      </c>
      <c r="C1165" s="73"/>
      <c r="D1165" s="70" t="str">
        <f>VLOOKUP(A1165,'Componentes APUs'!$N$1:$Q$30,3,0)</f>
        <v>U</v>
      </c>
      <c r="E1165" s="50">
        <v>0</v>
      </c>
      <c r="F1165" s="51">
        <f>VLOOKUP(A1165,'Componentes APUs'!$N$1:$Q$30,4,0)</f>
        <v>4438716.24</v>
      </c>
      <c r="G1165" s="51">
        <f>IFERROR(ROUNDUP(F1165*(E1165/21)/E1115,0),"-")</f>
        <v>0</v>
      </c>
    </row>
    <row r="1166" spans="1:7" x14ac:dyDescent="0.25">
      <c r="A1166" s="50" t="s">
        <v>323</v>
      </c>
      <c r="B1166" s="72" t="str">
        <f>VLOOKUP(A1166,'Componentes APUs'!$N$1:$Q$30,2,0)</f>
        <v>Volqueta</v>
      </c>
      <c r="C1166" s="73"/>
      <c r="D1166" s="70" t="str">
        <f>VLOOKUP(A1166,'Componentes APUs'!$N$1:$Q$30,3,0)</f>
        <v>U</v>
      </c>
      <c r="E1166" s="50">
        <v>0</v>
      </c>
      <c r="F1166" s="51">
        <f>VLOOKUP(A1166,'Componentes APUs'!$N$1:$Q$30,4,0)</f>
        <v>14828184</v>
      </c>
      <c r="G1166" s="51">
        <f>IFERROR(ROUNDUP(F1166*(E1166/21)/E1115,0),"-")</f>
        <v>0</v>
      </c>
    </row>
    <row r="1167" spans="1:7" x14ac:dyDescent="0.25">
      <c r="A1167" s="69" t="s">
        <v>324</v>
      </c>
      <c r="B1167" s="72" t="str">
        <f>VLOOKUP(A1167,'Componentes APUs'!$N$1:$Q$30,2,0)</f>
        <v>Retroexcavadora</v>
      </c>
      <c r="C1167" s="73"/>
      <c r="D1167" s="70" t="str">
        <f>VLOOKUP(A1167,'Componentes APUs'!$N$1:$Q$30,3,0)</f>
        <v>U</v>
      </c>
      <c r="E1167" s="50">
        <v>0</v>
      </c>
      <c r="F1167" s="51">
        <f>VLOOKUP(A1167,'Componentes APUs'!$N$1:$Q$30,4,0)</f>
        <v>46030656</v>
      </c>
      <c r="G1167" s="51">
        <f>IFERROR(ROUNDUP(F1167*(E1167/21)/E1115,0),"-")</f>
        <v>0</v>
      </c>
    </row>
    <row r="1168" spans="1:7" x14ac:dyDescent="0.25">
      <c r="A1168" s="219" t="s">
        <v>99</v>
      </c>
      <c r="B1168" s="219"/>
      <c r="C1168" s="219"/>
      <c r="D1168" s="219"/>
      <c r="E1168" s="219"/>
      <c r="F1168" s="219"/>
      <c r="G1168" s="52">
        <f>SUM(G1163:G1167)</f>
        <v>1833334</v>
      </c>
    </row>
    <row r="1169" spans="1:8" x14ac:dyDescent="0.25">
      <c r="A1169" s="56"/>
      <c r="B1169" s="57"/>
      <c r="C1169" s="57"/>
      <c r="D1169" s="57"/>
      <c r="E1169" s="57"/>
      <c r="F1169" s="57"/>
      <c r="G1169" s="58"/>
    </row>
    <row r="1170" spans="1:8" x14ac:dyDescent="0.25">
      <c r="A1170" s="219" t="s">
        <v>1516</v>
      </c>
      <c r="B1170" s="219"/>
      <c r="C1170" s="219"/>
      <c r="D1170" s="219"/>
      <c r="E1170" s="219"/>
      <c r="F1170" s="219"/>
      <c r="G1170" s="52">
        <f>G1168+G1159+G1142+G1132+G1122</f>
        <v>24818083</v>
      </c>
    </row>
    <row r="1171" spans="1:8" x14ac:dyDescent="0.25">
      <c r="A1171" s="59"/>
      <c r="B1171" s="60"/>
      <c r="C1171" s="60"/>
      <c r="D1171" s="60"/>
      <c r="E1171" s="57"/>
      <c r="F1171" s="57"/>
      <c r="G1171" s="58"/>
    </row>
    <row r="1172" spans="1:8" x14ac:dyDescent="0.25">
      <c r="A1172" s="64"/>
      <c r="D1172" s="55"/>
      <c r="E1172" s="49" t="s">
        <v>25</v>
      </c>
      <c r="F1172" s="54">
        <v>0.15</v>
      </c>
      <c r="G1172" s="51">
        <f>G1170*F1172</f>
        <v>3722712.4499999997</v>
      </c>
    </row>
    <row r="1173" spans="1:8" x14ac:dyDescent="0.25">
      <c r="A1173" s="64"/>
      <c r="D1173" s="55"/>
      <c r="E1173" s="49" t="s">
        <v>26</v>
      </c>
      <c r="F1173" s="54">
        <v>0.05</v>
      </c>
      <c r="G1173" s="51">
        <f>G1170*F1173</f>
        <v>1240904.1500000001</v>
      </c>
    </row>
    <row r="1174" spans="1:8" x14ac:dyDescent="0.25">
      <c r="A1174" s="61"/>
      <c r="B1174" s="65"/>
      <c r="C1174" s="65"/>
      <c r="D1174" s="62"/>
      <c r="E1174" s="49" t="s">
        <v>27</v>
      </c>
      <c r="F1174" s="54">
        <v>0.05</v>
      </c>
      <c r="G1174" s="51">
        <f>G1170*F1174</f>
        <v>1240904.1500000001</v>
      </c>
    </row>
    <row r="1175" spans="1:8" x14ac:dyDescent="0.25">
      <c r="A1175" s="61"/>
      <c r="B1175" s="62"/>
      <c r="C1175" s="62"/>
      <c r="D1175" s="62"/>
      <c r="E1175" s="62"/>
      <c r="F1175" s="62"/>
      <c r="G1175" s="63"/>
    </row>
    <row r="1176" spans="1:8" x14ac:dyDescent="0.25">
      <c r="A1176" s="219" t="s">
        <v>1517</v>
      </c>
      <c r="B1176" s="219"/>
      <c r="C1176" s="219"/>
      <c r="D1176" s="219"/>
      <c r="E1176" s="219"/>
      <c r="F1176" s="219"/>
      <c r="G1176" s="52">
        <f>G1170+G1172+G1173+G1174</f>
        <v>31022603.749999996</v>
      </c>
    </row>
    <row r="1177" spans="1:8" x14ac:dyDescent="0.25">
      <c r="A1177" s="59"/>
      <c r="B1177" s="60"/>
      <c r="C1177" s="60"/>
      <c r="D1177" s="60"/>
      <c r="E1177" s="57"/>
      <c r="F1177" s="57"/>
      <c r="G1177" s="58"/>
    </row>
    <row r="1178" spans="1:8" x14ac:dyDescent="0.25">
      <c r="A1178" s="64"/>
      <c r="D1178" s="55"/>
      <c r="E1178" s="49" t="s">
        <v>102</v>
      </c>
      <c r="F1178" s="49" t="s">
        <v>103</v>
      </c>
      <c r="G1178" s="51">
        <f>G1174*19%</f>
        <v>235771.78850000002</v>
      </c>
    </row>
    <row r="1179" spans="1:8" x14ac:dyDescent="0.25">
      <c r="A1179" s="61"/>
      <c r="B1179" s="62"/>
      <c r="C1179" s="62"/>
      <c r="D1179" s="62"/>
      <c r="E1179" s="57"/>
      <c r="F1179" s="57"/>
      <c r="G1179" s="58"/>
    </row>
    <row r="1180" spans="1:8" x14ac:dyDescent="0.25">
      <c r="A1180" s="219" t="s">
        <v>104</v>
      </c>
      <c r="B1180" s="219"/>
      <c r="C1180" s="219"/>
      <c r="D1180" s="219"/>
      <c r="E1180" s="219"/>
      <c r="F1180" s="219"/>
      <c r="G1180" s="52">
        <f>G1178+G1176</f>
        <v>31258375.538499996</v>
      </c>
    </row>
    <row r="1182" spans="1:8" x14ac:dyDescent="0.25">
      <c r="A1182" s="74" t="s">
        <v>29</v>
      </c>
      <c r="B1182" s="226" t="s">
        <v>30</v>
      </c>
      <c r="C1182" s="226"/>
      <c r="D1182" s="74" t="s">
        <v>31</v>
      </c>
      <c r="E1182" s="74" t="s">
        <v>32</v>
      </c>
      <c r="F1182" s="74" t="s">
        <v>189</v>
      </c>
      <c r="G1182" s="74" t="s">
        <v>33</v>
      </c>
      <c r="H1182" s="105"/>
    </row>
    <row r="1183" spans="1:8" ht="29.25" customHeight="1" x14ac:dyDescent="0.25">
      <c r="A1183" s="50" t="str">
        <f>Presupuesto!B27</f>
        <v>019_OC</v>
      </c>
      <c r="B1183" s="229" t="str">
        <f>Presupuesto!C27</f>
        <v>TAPA EN ALFAJOR (1,10X 1 METROS) (CÁRCAMO 34,5 kV)</v>
      </c>
      <c r="C1183" s="230"/>
      <c r="D1183" s="50" t="s">
        <v>8</v>
      </c>
      <c r="E1183" s="102">
        <v>10</v>
      </c>
      <c r="F1183" s="50"/>
      <c r="G1183" s="51">
        <f>G1249</f>
        <v>715379.62650000001</v>
      </c>
      <c r="H1183" s="45"/>
    </row>
    <row r="1184" spans="1:8" x14ac:dyDescent="0.25">
      <c r="A1184" s="219" t="s">
        <v>34</v>
      </c>
      <c r="B1184" s="219"/>
      <c r="C1184" s="219"/>
      <c r="D1184" s="219"/>
      <c r="E1184" s="219"/>
      <c r="F1184" s="219"/>
      <c r="G1184" s="219"/>
    </row>
    <row r="1185" spans="1:9" x14ac:dyDescent="0.25">
      <c r="A1185" s="49" t="s">
        <v>35</v>
      </c>
      <c r="B1185" s="219" t="s">
        <v>36</v>
      </c>
      <c r="C1185" s="219"/>
      <c r="D1185" s="49" t="s">
        <v>37</v>
      </c>
      <c r="E1185" s="49" t="s">
        <v>38</v>
      </c>
      <c r="F1185" s="49" t="s">
        <v>39</v>
      </c>
      <c r="G1185" s="49" t="s">
        <v>40</v>
      </c>
    </row>
    <row r="1186" spans="1:9" x14ac:dyDescent="0.25">
      <c r="A1186" s="50" t="str">
        <f>Material!A462</f>
        <v>MA-461</v>
      </c>
      <c r="B1186" s="72" t="str">
        <f>IFERROR(VLOOKUP(A1186,Material!$A:$H,2,0),"-")</f>
        <v>LÁMINA DE ALFAJOR 4 MM X 1X1 M</v>
      </c>
      <c r="C1186" s="76"/>
      <c r="D1186" s="50" t="s">
        <v>113</v>
      </c>
      <c r="E1186" s="107">
        <f>1.1</f>
        <v>1.1000000000000001</v>
      </c>
      <c r="F1186" s="51">
        <f>IFERROR(VLOOKUP(A1186,Material!$A:$H,3,0),"-")</f>
        <v>255255</v>
      </c>
      <c r="G1186" s="51">
        <f t="shared" ref="G1186:G1190" si="13">IFERROR(ROUNDUP(F1186*E1186,0),"-")</f>
        <v>280781</v>
      </c>
      <c r="H1186" s="106"/>
    </row>
    <row r="1187" spans="1:9" x14ac:dyDescent="0.25">
      <c r="A1187" s="50" t="str">
        <f>Material!A463</f>
        <v>MA-462</v>
      </c>
      <c r="B1187" s="72" t="str">
        <f>IFERROR(VLOOKUP(A1187,Material!$A:$H,2,0),"-")</f>
        <v>ÁNGULO 2X1/4"</v>
      </c>
      <c r="C1187" s="76"/>
      <c r="D1187" s="50" t="str">
        <f>IFERROR(VLOOKUP(A1187,Material!$A:$H,4,0),"-")</f>
        <v>ML</v>
      </c>
      <c r="E1187" s="107">
        <f>1.1*3+1*2</f>
        <v>5.3000000000000007</v>
      </c>
      <c r="F1187" s="51">
        <f>IFERROR(VLOOKUP(A1187,Material!$A:$H,3,0),"-")</f>
        <v>36094.933333333334</v>
      </c>
      <c r="G1187" s="51">
        <f t="shared" si="13"/>
        <v>191304</v>
      </c>
      <c r="H1187" s="106"/>
    </row>
    <row r="1188" spans="1:9" x14ac:dyDescent="0.25">
      <c r="A1188" s="50"/>
      <c r="B1188" s="72" t="str">
        <f>IFERROR(VLOOKUP(A1188,Material!$A:$H,2,0),"-")</f>
        <v>-</v>
      </c>
      <c r="C1188" s="76"/>
      <c r="D1188" s="50" t="str">
        <f>IFERROR(VLOOKUP(A1188,Material!$A:$H,4,0),"-")</f>
        <v>-</v>
      </c>
      <c r="E1188" s="107"/>
      <c r="F1188" s="51" t="str">
        <f>IFERROR(VLOOKUP(A1188,Material!$A:$H,3,0),"-")</f>
        <v>-</v>
      </c>
      <c r="G1188" s="51" t="str">
        <f t="shared" si="13"/>
        <v>-</v>
      </c>
      <c r="H1188" s="106"/>
    </row>
    <row r="1189" spans="1:9" x14ac:dyDescent="0.25">
      <c r="A1189" s="50"/>
      <c r="B1189" s="72" t="str">
        <f>IFERROR(VLOOKUP(A1189,Material!$A:$H,2,0),"-")</f>
        <v>-</v>
      </c>
      <c r="C1189" s="76"/>
      <c r="D1189" s="50" t="str">
        <f>IFERROR(VLOOKUP(A1189,Material!$A:$H,4,0),"-")</f>
        <v>-</v>
      </c>
      <c r="E1189" s="107"/>
      <c r="F1189" s="51" t="str">
        <f>IFERROR(VLOOKUP(A1189,Material!$A:$H,3,0),"-")</f>
        <v>-</v>
      </c>
      <c r="G1189" s="51" t="str">
        <f t="shared" si="13"/>
        <v>-</v>
      </c>
      <c r="H1189" s="106"/>
    </row>
    <row r="1190" spans="1:9" x14ac:dyDescent="0.25">
      <c r="A1190" s="50"/>
      <c r="B1190" s="72" t="str">
        <f>IFERROR(VLOOKUP(A1190,Material!$A:$H,2,0),"-")</f>
        <v>-</v>
      </c>
      <c r="C1190" s="76"/>
      <c r="D1190" s="50" t="str">
        <f>IFERROR(VLOOKUP(A1190,Material!$A:$H,4,0),"-")</f>
        <v>-</v>
      </c>
      <c r="E1190" s="53"/>
      <c r="F1190" s="51" t="str">
        <f>IFERROR(VLOOKUP(A1190,Material!$A:$H,3,0),"-")</f>
        <v>-</v>
      </c>
      <c r="G1190" s="51" t="str">
        <f t="shared" si="13"/>
        <v>-</v>
      </c>
      <c r="H1190" s="106"/>
    </row>
    <row r="1191" spans="1:9" x14ac:dyDescent="0.25">
      <c r="A1191" s="219" t="s">
        <v>41</v>
      </c>
      <c r="B1191" s="219"/>
      <c r="C1191" s="219"/>
      <c r="D1191" s="219"/>
      <c r="E1191" s="219"/>
      <c r="F1191" s="219"/>
      <c r="G1191" s="52">
        <f>SUM(G1186:G1190)</f>
        <v>472085</v>
      </c>
      <c r="I1191" s="104"/>
    </row>
    <row r="1192" spans="1:9" x14ac:dyDescent="0.25">
      <c r="A1192" s="56"/>
      <c r="B1192" s="57"/>
      <c r="C1192" s="57"/>
      <c r="D1192" s="57"/>
      <c r="E1192" s="57"/>
      <c r="F1192" s="57"/>
      <c r="G1192" s="58"/>
    </row>
    <row r="1193" spans="1:9" x14ac:dyDescent="0.25">
      <c r="A1193" s="219" t="s">
        <v>42</v>
      </c>
      <c r="B1193" s="219"/>
      <c r="C1193" s="219"/>
      <c r="D1193" s="219"/>
      <c r="E1193" s="219"/>
      <c r="F1193" s="219"/>
      <c r="G1193" s="219"/>
    </row>
    <row r="1194" spans="1:9" x14ac:dyDescent="0.25">
      <c r="A1194" s="49" t="s">
        <v>35</v>
      </c>
      <c r="B1194" s="49" t="s">
        <v>36</v>
      </c>
      <c r="C1194" s="49" t="s">
        <v>38</v>
      </c>
      <c r="D1194" s="49" t="s">
        <v>43</v>
      </c>
      <c r="E1194" s="49" t="s">
        <v>44</v>
      </c>
      <c r="F1194" s="49" t="s">
        <v>45</v>
      </c>
      <c r="G1194" s="49" t="s">
        <v>40</v>
      </c>
    </row>
    <row r="1195" spans="1:9" x14ac:dyDescent="0.25">
      <c r="A1195" s="50" t="s">
        <v>319</v>
      </c>
      <c r="B1195" s="68" t="str">
        <f>VLOOKUP(A1195,'Componentes APUs'!$H$1:$L$25,2,0)</f>
        <v>Ingeniero Residente de Obra</v>
      </c>
      <c r="C1195" s="93">
        <v>0.25</v>
      </c>
      <c r="D1195" s="50">
        <f>VLOOKUP(A1195,'Componentes APUs'!$H$1:$L$25,3,0)</f>
        <v>4</v>
      </c>
      <c r="E1195" s="51">
        <f>VLOOKUP(A1195,'Componentes APUs'!$H$1:$L$25,4,0)</f>
        <v>271142.85714285716</v>
      </c>
      <c r="F1195" s="51">
        <f>VLOOKUP(A1195,'Componentes APUs'!$H$1:$L$25,5,0)</f>
        <v>162685.71428571429</v>
      </c>
      <c r="G1195" s="51">
        <f>ROUNDUP((E1195+F1195)*C1195/E1183,0)</f>
        <v>10846</v>
      </c>
      <c r="H1195" s="66"/>
    </row>
    <row r="1196" spans="1:9" x14ac:dyDescent="0.25">
      <c r="A1196" s="50" t="s">
        <v>320</v>
      </c>
      <c r="B1196" s="68" t="str">
        <f>VLOOKUP(A1196,'Componentes APUs'!$H$1:$L$25,2,0)</f>
        <v>Tecnico Supervisor</v>
      </c>
      <c r="C1196" s="93">
        <v>0</v>
      </c>
      <c r="D1196" s="50">
        <f>VLOOKUP(A1196,'Componentes APUs'!$H$1:$L$25,3,0)</f>
        <v>2.2999999999999998</v>
      </c>
      <c r="E1196" s="51">
        <f>VLOOKUP(A1196,'Componentes APUs'!$H$1:$L$25,4,0)</f>
        <v>155907.14285714284</v>
      </c>
      <c r="F1196" s="51">
        <f>VLOOKUP(A1196,'Componentes APUs'!$H$1:$L$25,5,0)</f>
        <v>93544.285714285696</v>
      </c>
      <c r="G1196" s="51">
        <f>ROUNDUP((E1196+F1196)*C1196/E1183,0)</f>
        <v>0</v>
      </c>
    </row>
    <row r="1197" spans="1:9" x14ac:dyDescent="0.25">
      <c r="A1197" s="50" t="s">
        <v>54</v>
      </c>
      <c r="B1197" s="68" t="str">
        <f>VLOOKUP(A1197,'Componentes APUs'!$H$1:$L$25,2,0)</f>
        <v>Maestro de obra civil</v>
      </c>
      <c r="C1197" s="93">
        <v>0.25</v>
      </c>
      <c r="D1197" s="50">
        <f>VLOOKUP(A1197,'Componentes APUs'!$H$1:$L$25,3,0)</f>
        <v>2.5</v>
      </c>
      <c r="E1197" s="51">
        <f>VLOOKUP(A1197,'Componentes APUs'!$H$1:$L$25,4,0)</f>
        <v>169464.28571428571</v>
      </c>
      <c r="F1197" s="51">
        <f>VLOOKUP(A1197,'Componentes APUs'!$H$1:$L$25,5,0)</f>
        <v>101678.57142857142</v>
      </c>
      <c r="G1197" s="51">
        <f>ROUNDUP((E1197+F1197)*C1197/E1183,0)</f>
        <v>6779</v>
      </c>
    </row>
    <row r="1198" spans="1:9" x14ac:dyDescent="0.25">
      <c r="A1198" s="50" t="s">
        <v>1110</v>
      </c>
      <c r="B1198" s="68" t="str">
        <f>VLOOKUP(A1198,'Componentes APUs'!$H$1:$L$25,2,0)</f>
        <v>Oficial de Obra Civil</v>
      </c>
      <c r="C1198" s="93">
        <v>1</v>
      </c>
      <c r="D1198" s="50">
        <f>VLOOKUP(A1198,'Componentes APUs'!$H$1:$L$25,3,0)</f>
        <v>1.5</v>
      </c>
      <c r="E1198" s="51">
        <f>VLOOKUP(A1198,'Componentes APUs'!$H$1:$L$25,4,0)</f>
        <v>115964.28571428571</v>
      </c>
      <c r="F1198" s="51">
        <f>VLOOKUP(A1198,'Componentes APUs'!$H$1:$L$25,5,0)</f>
        <v>69578.57142857142</v>
      </c>
      <c r="G1198" s="51">
        <f>ROUNDUP((E1198+F1198)*C1198/E1183,0)</f>
        <v>18555</v>
      </c>
    </row>
    <row r="1199" spans="1:9" x14ac:dyDescent="0.25">
      <c r="A1199" s="50" t="s">
        <v>50</v>
      </c>
      <c r="B1199" s="68" t="str">
        <f>VLOOKUP(A1199,'Componentes APUs'!$H$1:$L$25,2,0)</f>
        <v>Profesional en SST</v>
      </c>
      <c r="C1199" s="93">
        <v>0.25</v>
      </c>
      <c r="D1199" s="50">
        <f>VLOOKUP(A1199,'Componentes APUs'!$H$1:$L$25,3,0)</f>
        <v>2.5</v>
      </c>
      <c r="E1199" s="51">
        <f>VLOOKUP(A1199,'Componentes APUs'!$H$1:$L$25,4,0)</f>
        <v>169464.28571428571</v>
      </c>
      <c r="F1199" s="51">
        <f>VLOOKUP(A1199,'Componentes APUs'!$H$1:$L$25,5,0)</f>
        <v>101678.57142857142</v>
      </c>
      <c r="G1199" s="51">
        <f>ROUNDUP((E1199+F1199)*C1199/E1183,0)</f>
        <v>6779</v>
      </c>
    </row>
    <row r="1200" spans="1:9" x14ac:dyDescent="0.25">
      <c r="A1200" s="50" t="s">
        <v>1109</v>
      </c>
      <c r="B1200" s="68" t="str">
        <f>VLOOKUP(A1200,'Componentes APUs'!$H$1:$L$25,2,0)</f>
        <v>Ayudante de Obra Civil</v>
      </c>
      <c r="C1200" s="93">
        <v>2</v>
      </c>
      <c r="D1200" s="50">
        <f>VLOOKUP(A1200,'Componentes APUs'!$H$1:$L$25,3,0)</f>
        <v>1</v>
      </c>
      <c r="E1200" s="51">
        <f>VLOOKUP(A1200,'Componentes APUs'!$H$1:$L$25,4,0)</f>
        <v>77309.523809523816</v>
      </c>
      <c r="F1200" s="51">
        <f>VLOOKUP(A1200,'Componentes APUs'!$H$1:$L$25,5,0)</f>
        <v>46385.71428571429</v>
      </c>
      <c r="G1200" s="51">
        <f>ROUNDUP((E1200+F1200)*C1200/E1183,0)</f>
        <v>24740</v>
      </c>
    </row>
    <row r="1201" spans="1:9" x14ac:dyDescent="0.25">
      <c r="A1201" s="219" t="s">
        <v>56</v>
      </c>
      <c r="B1201" s="219"/>
      <c r="C1201" s="219"/>
      <c r="D1201" s="219"/>
      <c r="E1201" s="219"/>
      <c r="F1201" s="219"/>
      <c r="G1201" s="52">
        <f>SUM(G1195:G1200)</f>
        <v>67699</v>
      </c>
    </row>
    <row r="1202" spans="1:9" x14ac:dyDescent="0.25">
      <c r="A1202" s="56"/>
      <c r="B1202" s="57"/>
      <c r="C1202" s="57"/>
      <c r="D1202" s="57"/>
      <c r="E1202" s="57"/>
      <c r="F1202" s="57"/>
      <c r="G1202" s="58"/>
    </row>
    <row r="1203" spans="1:9" x14ac:dyDescent="0.25">
      <c r="A1203" s="219" t="s">
        <v>57</v>
      </c>
      <c r="B1203" s="219"/>
      <c r="C1203" s="219"/>
      <c r="D1203" s="219"/>
      <c r="E1203" s="219"/>
      <c r="F1203" s="219"/>
      <c r="G1203" s="219"/>
    </row>
    <row r="1204" spans="1:9" x14ac:dyDescent="0.25">
      <c r="A1204" s="49" t="s">
        <v>35</v>
      </c>
      <c r="B1204" s="219" t="s">
        <v>36</v>
      </c>
      <c r="C1204" s="219"/>
      <c r="D1204" s="49" t="s">
        <v>37</v>
      </c>
      <c r="E1204" s="49" t="s">
        <v>38</v>
      </c>
      <c r="F1204" s="49" t="s">
        <v>39</v>
      </c>
      <c r="G1204" s="49" t="s">
        <v>40</v>
      </c>
    </row>
    <row r="1205" spans="1:9" x14ac:dyDescent="0.25">
      <c r="A1205" s="50" t="s">
        <v>326</v>
      </c>
      <c r="B1205" s="220" t="str">
        <f>VLOOKUP(A1205,'Componentes APUs'!$S$1:$V$10,2,0)</f>
        <v>Juego Llaves</v>
      </c>
      <c r="C1205" s="220"/>
      <c r="D1205" s="50" t="s">
        <v>18</v>
      </c>
      <c r="E1205" s="50">
        <v>0</v>
      </c>
      <c r="F1205" s="51">
        <f>VLOOKUP(A1205,'Componentes APUs'!$S$1:$V$10,4,0)</f>
        <v>9167</v>
      </c>
      <c r="G1205" s="51">
        <f>ROUNDUP(F1205*((E1205/21)/E1183),0)</f>
        <v>0</v>
      </c>
      <c r="I1205" s="91"/>
    </row>
    <row r="1206" spans="1:9" x14ac:dyDescent="0.25">
      <c r="A1206" s="50" t="s">
        <v>58</v>
      </c>
      <c r="B1206" s="220" t="str">
        <f>VLOOKUP(A1206,'Componentes APUs'!$S$1:$V$10,2,0)</f>
        <v>Manila de servicio</v>
      </c>
      <c r="C1206" s="220"/>
      <c r="D1206" s="50" t="s">
        <v>18</v>
      </c>
      <c r="E1206" s="50">
        <v>0</v>
      </c>
      <c r="F1206" s="51">
        <f>VLOOKUP(A1206,'Componentes APUs'!$S$1:$V$10,4,0)</f>
        <v>2333</v>
      </c>
      <c r="G1206" s="51">
        <f>ROUNDUP(F1206*((E1206/21)/E1183),0)</f>
        <v>0</v>
      </c>
    </row>
    <row r="1207" spans="1:9" x14ac:dyDescent="0.25">
      <c r="A1207" s="50" t="s">
        <v>327</v>
      </c>
      <c r="B1207" s="220" t="str">
        <f>VLOOKUP(A1207,'Componentes APUs'!$S$1:$V$10,2,0)</f>
        <v>Tula portaherramientas</v>
      </c>
      <c r="C1207" s="220"/>
      <c r="D1207" s="50" t="s">
        <v>18</v>
      </c>
      <c r="E1207" s="50">
        <v>0</v>
      </c>
      <c r="F1207" s="51">
        <f>VLOOKUP(A1207,'Componentes APUs'!$S$1:$V$10,4,0)</f>
        <v>1250</v>
      </c>
      <c r="G1207" s="51">
        <f>ROUNDUP(F1207*((E1207/21)/E1183),0)</f>
        <v>0</v>
      </c>
    </row>
    <row r="1208" spans="1:9" x14ac:dyDescent="0.25">
      <c r="A1208" s="50" t="s">
        <v>60</v>
      </c>
      <c r="B1208" s="220" t="str">
        <f>VLOOKUP(A1208,'Componentes APUs'!$S$1:$V$10,2,0)</f>
        <v>Agarradoras</v>
      </c>
      <c r="C1208" s="220"/>
      <c r="D1208" s="50" t="s">
        <v>18</v>
      </c>
      <c r="E1208" s="50">
        <v>0</v>
      </c>
      <c r="F1208" s="51">
        <f>VLOOKUP(A1208,'Componentes APUs'!$S$1:$V$10,4,0)</f>
        <v>125000</v>
      </c>
      <c r="G1208" s="51">
        <f>ROUNDUP(F1208*((E1208/21)/E1183),0)</f>
        <v>0</v>
      </c>
    </row>
    <row r="1209" spans="1:9" x14ac:dyDescent="0.25">
      <c r="A1209" s="50" t="s">
        <v>62</v>
      </c>
      <c r="B1209" s="220" t="str">
        <f>VLOOKUP(A1209,'Componentes APUs'!$S$1:$V$10,2,0)</f>
        <v>Templadoras</v>
      </c>
      <c r="C1209" s="220"/>
      <c r="D1209" s="50" t="s">
        <v>18</v>
      </c>
      <c r="E1209" s="50">
        <v>0</v>
      </c>
      <c r="F1209" s="51">
        <f>VLOOKUP(A1209,'Componentes APUs'!$S$1:$V$10,4,0)</f>
        <v>250000</v>
      </c>
      <c r="G1209" s="51">
        <f>ROUNDUP(F1209*((E1209/21)/E1183),0)</f>
        <v>0</v>
      </c>
    </row>
    <row r="1210" spans="1:9" x14ac:dyDescent="0.25">
      <c r="A1210" s="50" t="s">
        <v>328</v>
      </c>
      <c r="B1210" s="220" t="str">
        <f>VLOOKUP(A1210,'Componentes APUs'!$S$1:$V$10,2,0)</f>
        <v>Herramienta Menor</v>
      </c>
      <c r="C1210" s="220"/>
      <c r="D1210" s="50" t="s">
        <v>18</v>
      </c>
      <c r="E1210" s="50">
        <v>3</v>
      </c>
      <c r="F1210" s="51">
        <f>VLOOKUP(A1210,'Componentes APUs'!$S$1:$V$10,4,0)</f>
        <v>75758</v>
      </c>
      <c r="G1210" s="51">
        <f>ROUNDUP(F1210*((E1210/21)/E1183),0)</f>
        <v>1083</v>
      </c>
    </row>
    <row r="1211" spans="1:9" x14ac:dyDescent="0.25">
      <c r="A1211" s="219" t="s">
        <v>69</v>
      </c>
      <c r="B1211" s="219"/>
      <c r="C1211" s="219"/>
      <c r="D1211" s="219"/>
      <c r="E1211" s="219"/>
      <c r="F1211" s="219"/>
      <c r="G1211" s="52">
        <f>SUM(G1205:G1210)</f>
        <v>1083</v>
      </c>
    </row>
    <row r="1212" spans="1:9" x14ac:dyDescent="0.25">
      <c r="A1212" s="56"/>
      <c r="B1212" s="57"/>
      <c r="C1212" s="57"/>
      <c r="D1212" s="57"/>
      <c r="E1212" s="57"/>
      <c r="F1212" s="57"/>
      <c r="G1212" s="58"/>
    </row>
    <row r="1213" spans="1:9" x14ac:dyDescent="0.25">
      <c r="A1213" s="219" t="s">
        <v>70</v>
      </c>
      <c r="B1213" s="219"/>
      <c r="C1213" s="219"/>
      <c r="D1213" s="219"/>
      <c r="E1213" s="219"/>
      <c r="F1213" s="219"/>
      <c r="G1213" s="219"/>
    </row>
    <row r="1214" spans="1:9" x14ac:dyDescent="0.25">
      <c r="A1214" s="49" t="s">
        <v>35</v>
      </c>
      <c r="B1214" s="219" t="s">
        <v>36</v>
      </c>
      <c r="C1214" s="219"/>
      <c r="D1214" s="49" t="s">
        <v>37</v>
      </c>
      <c r="E1214" s="49" t="s">
        <v>38</v>
      </c>
      <c r="F1214" s="49" t="s">
        <v>39</v>
      </c>
      <c r="G1214" s="49" t="s">
        <v>40</v>
      </c>
    </row>
    <row r="1215" spans="1:9" x14ac:dyDescent="0.25">
      <c r="A1215" s="50" t="s">
        <v>71</v>
      </c>
      <c r="B1215" s="71" t="str">
        <f>VLOOKUP(A1215,'Componentes APUs'!$A$1:$D$14,2,0)</f>
        <v>Camisa indigo sin partes metalicas</v>
      </c>
      <c r="C1215" s="71"/>
      <c r="D1215" s="50" t="str">
        <f>VLOOKUP(A1215,'Componentes APUs'!$A$1:$D$14,3,0)</f>
        <v>U</v>
      </c>
      <c r="E1215" s="50">
        <f>SUM(C1195:C1200)</f>
        <v>3.75</v>
      </c>
      <c r="F1215" s="51">
        <f>VLOOKUP(A1215,'Componentes APUs'!$A$1:$D$14,4,0)</f>
        <v>8585.8585858585866</v>
      </c>
      <c r="G1215" s="51">
        <f>ROUNDUP(F1215*(E1215/21)/E1183,0)</f>
        <v>154</v>
      </c>
      <c r="I1215" s="91"/>
    </row>
    <row r="1216" spans="1:9" x14ac:dyDescent="0.25">
      <c r="A1216" s="69" t="s">
        <v>73</v>
      </c>
      <c r="B1216" s="72" t="str">
        <f>VLOOKUP(A1216,'Componentes APUs'!$A$1:$D$14,2,0)</f>
        <v>Bota de seguridad dielectrica</v>
      </c>
      <c r="C1216" s="73"/>
      <c r="D1216" s="70" t="str">
        <f>VLOOKUP(A1216,'Componentes APUs'!$A$1:$D$14,3,0)</f>
        <v>Par</v>
      </c>
      <c r="E1216" s="50">
        <f>SUM(C1195:C1200)</f>
        <v>3.75</v>
      </c>
      <c r="F1216" s="51">
        <f>VLOOKUP(A1216,'Componentes APUs'!$A$1:$D$14,4,0)</f>
        <v>7500</v>
      </c>
      <c r="G1216" s="51">
        <f>ROUNDUP(F1216*(E1216/21)/E1183,0)</f>
        <v>134</v>
      </c>
    </row>
    <row r="1217" spans="1:7" x14ac:dyDescent="0.25">
      <c r="A1217" s="50" t="s">
        <v>76</v>
      </c>
      <c r="B1217" s="72" t="str">
        <f>VLOOKUP(A1217,'Componentes APUs'!$A$1:$D$14,2,0)</f>
        <v>Casco dielectrico Tipo 1 Clase E con barbuquejo</v>
      </c>
      <c r="C1217" s="73"/>
      <c r="D1217" s="50" t="str">
        <f>VLOOKUP(A1217,'Componentes APUs'!$A$1:$D$14,3,0)</f>
        <v>U</v>
      </c>
      <c r="E1217" s="50">
        <f>C1195+C1196+C1198+C1199+C1200+IF(A1197&lt;&gt;"MO-3",C1197,0)</f>
        <v>3.75</v>
      </c>
      <c r="F1217" s="51">
        <f>VLOOKUP(A1217,'Componentes APUs'!$A$1:$D$14,4,0)</f>
        <v>10101.010101010101</v>
      </c>
      <c r="G1217" s="51">
        <f>ROUNDUP(F1217*(E1217/21)/E1183,0)</f>
        <v>181</v>
      </c>
    </row>
    <row r="1218" spans="1:7" x14ac:dyDescent="0.25">
      <c r="A1218" s="69" t="s">
        <v>77</v>
      </c>
      <c r="B1218" s="72" t="str">
        <f>VLOOKUP(A1218,'Componentes APUs'!$A$1:$D$14,2,0)</f>
        <v>Correa plastica y antiflama</v>
      </c>
      <c r="C1218" s="73"/>
      <c r="D1218" s="50" t="str">
        <f>VLOOKUP(A1218,'Componentes APUs'!$A$1:$D$14,3,0)</f>
        <v>U</v>
      </c>
      <c r="E1218" s="50">
        <f>SUM(C1195:C1200)</f>
        <v>3.75</v>
      </c>
      <c r="F1218" s="51">
        <f>VLOOKUP(A1218,'Componentes APUs'!$A$1:$D$14,4,0)</f>
        <v>3787.878787878788</v>
      </c>
      <c r="G1218" s="51">
        <f>ROUNDUP(F1218*(E1218/21)/E1183,0)</f>
        <v>68</v>
      </c>
    </row>
    <row r="1219" spans="1:7" x14ac:dyDescent="0.25">
      <c r="A1219" s="50" t="s">
        <v>79</v>
      </c>
      <c r="B1219" s="72" t="str">
        <f>VLOOKUP(A1219,'Componentes APUs'!$A$1:$D$14,2,0)</f>
        <v>Gafas protectoras filtro UV</v>
      </c>
      <c r="C1219" s="73"/>
      <c r="D1219" s="50" t="str">
        <f>VLOOKUP(A1219,'Componentes APUs'!$A$1:$D$14,3,0)</f>
        <v>U</v>
      </c>
      <c r="E1219" s="50">
        <f>SUM(C1195:C1200)</f>
        <v>3.75</v>
      </c>
      <c r="F1219" s="51">
        <f>VLOOKUP(A1219,'Componentes APUs'!$A$1:$D$14,4,0)</f>
        <v>2777.7777777777778</v>
      </c>
      <c r="G1219" s="51">
        <f>ROUNDUP(F1219*(E1219/21)/E1183,0)</f>
        <v>50</v>
      </c>
    </row>
    <row r="1220" spans="1:7" x14ac:dyDescent="0.25">
      <c r="A1220" s="69" t="s">
        <v>402</v>
      </c>
      <c r="B1220" s="72" t="str">
        <f>VLOOKUP(A1220,'Componentes APUs'!$A$1:$D$14,2,0)</f>
        <v>Bota de seguridad PVC dielectrica</v>
      </c>
      <c r="C1220" s="73"/>
      <c r="D1220" s="50" t="str">
        <f>VLOOKUP(A1220,'Componentes APUs'!$A$1:$D$14,3,0)</f>
        <v>Par</v>
      </c>
      <c r="E1220" s="50">
        <f>SUM(C1195:C1200)</f>
        <v>3.75</v>
      </c>
      <c r="F1220" s="51">
        <f>VLOOKUP(A1220,'Componentes APUs'!$A$1:$D$14,4,0)</f>
        <v>2916.6666666666665</v>
      </c>
      <c r="G1220" s="51">
        <f>ROUNDUP(F1220*(E1220/21)/E1183,0)</f>
        <v>53</v>
      </c>
    </row>
    <row r="1221" spans="1:7" x14ac:dyDescent="0.25">
      <c r="A1221" s="50" t="s">
        <v>403</v>
      </c>
      <c r="B1221" s="72" t="str">
        <f>VLOOKUP(A1221,'Componentes APUs'!$A$1:$D$14,2,0)</f>
        <v>Capuchon</v>
      </c>
      <c r="C1221" s="73"/>
      <c r="D1221" s="50" t="str">
        <f>VLOOKUP(A1221,'Componentes APUs'!$A$1:$D$14,3,0)</f>
        <v>U</v>
      </c>
      <c r="E1221" s="50">
        <f>SUM(C1195:C1200)</f>
        <v>3.75</v>
      </c>
      <c r="F1221" s="51">
        <f>VLOOKUP(A1221,'Componentes APUs'!$A$1:$D$14,4,0)</f>
        <v>2525.2525252525252</v>
      </c>
      <c r="G1221" s="51">
        <f>ROUNDUP(F1221*(E1221/21)/E1183,0)</f>
        <v>46</v>
      </c>
    </row>
    <row r="1222" spans="1:7" x14ac:dyDescent="0.25">
      <c r="A1222" s="69" t="s">
        <v>81</v>
      </c>
      <c r="B1222" s="72" t="str">
        <f>VLOOKUP(A1222,'Componentes APUs'!$A$1:$D$14,2,0)</f>
        <v>Guantes Protectores  - ingeniero reforzados</v>
      </c>
      <c r="C1222" s="73"/>
      <c r="D1222" s="50" t="str">
        <f>VLOOKUP(A1222,'Componentes APUs'!$A$1:$D$14,3,0)</f>
        <v>Par</v>
      </c>
      <c r="E1222" s="50">
        <f>C1197+C1198+C1200</f>
        <v>3.25</v>
      </c>
      <c r="F1222" s="51">
        <f>VLOOKUP(A1222,'Componentes APUs'!$A$1:$D$14,4,0)</f>
        <v>2525.2525252525252</v>
      </c>
      <c r="G1222" s="51">
        <f>ROUNDUP(F1222*(E1222/21)/E1183,0)</f>
        <v>40</v>
      </c>
    </row>
    <row r="1223" spans="1:7" x14ac:dyDescent="0.25">
      <c r="A1223" s="50" t="s">
        <v>83</v>
      </c>
      <c r="B1223" s="72" t="str">
        <f>VLOOKUP(A1223,'Componentes APUs'!$A$1:$D$14,2,0)</f>
        <v>Impermeable (pantalon camisa)</v>
      </c>
      <c r="C1223" s="73"/>
      <c r="D1223" s="50" t="str">
        <f>VLOOKUP(A1223,'Componentes APUs'!$A$1:$D$14,3,0)</f>
        <v>U</v>
      </c>
      <c r="E1223" s="50">
        <f>SUM(C1195:C1200)</f>
        <v>3.75</v>
      </c>
      <c r="F1223" s="51">
        <f>VLOOKUP(A1223,'Componentes APUs'!$A$1:$D$14,4,0)</f>
        <v>3750</v>
      </c>
      <c r="G1223" s="51">
        <f>ROUNDUP(F1223*(E1223/21)/E1183,0)</f>
        <v>67</v>
      </c>
    </row>
    <row r="1224" spans="1:7" x14ac:dyDescent="0.25">
      <c r="A1224" s="69" t="s">
        <v>85</v>
      </c>
      <c r="B1224" s="72" t="str">
        <f>VLOOKUP(A1224,'Componentes APUs'!$A$1:$D$14,2,0)</f>
        <v>Jean Dielectrico</v>
      </c>
      <c r="C1224" s="73"/>
      <c r="D1224" s="50" t="str">
        <f>VLOOKUP(A1224,'Componentes APUs'!$A$1:$D$14,3,0)</f>
        <v>U</v>
      </c>
      <c r="E1224" s="50">
        <f>SUM(C1195:C1200)</f>
        <v>3.75</v>
      </c>
      <c r="F1224" s="51">
        <f>VLOOKUP(A1224,'Componentes APUs'!$A$1:$D$14,4,0)</f>
        <v>7575.757575757576</v>
      </c>
      <c r="G1224" s="51">
        <f>ROUNDUP(F1224*(E1224/21)/E1183,0)</f>
        <v>136</v>
      </c>
    </row>
    <row r="1225" spans="1:7" x14ac:dyDescent="0.25">
      <c r="A1225" s="50" t="s">
        <v>87</v>
      </c>
      <c r="B1225" s="72" t="str">
        <f>VLOOKUP(A1225,'Componentes APUs'!$A$1:$D$14,2,0)</f>
        <v>Casco dielectrico Tipo 2 Clase E con barboquejo</v>
      </c>
      <c r="C1225" s="73"/>
      <c r="D1225" s="50" t="str">
        <f>VLOOKUP(A1225,'Componentes APUs'!$A$1:$D$14,3,0)</f>
        <v>U</v>
      </c>
      <c r="E1225" s="53">
        <f>IF(A1197="MO-3",C1197,0)</f>
        <v>0</v>
      </c>
      <c r="F1225" s="51">
        <f>VLOOKUP(A1225,'Componentes APUs'!$A$1:$D$14,4,0)</f>
        <v>7500</v>
      </c>
      <c r="G1225" s="51">
        <f>ROUNDUP(F1225*(E1225/21)/E1183,0)</f>
        <v>0</v>
      </c>
    </row>
    <row r="1226" spans="1:7" x14ac:dyDescent="0.25">
      <c r="A1226" s="69" t="s">
        <v>89</v>
      </c>
      <c r="B1226" s="72" t="str">
        <f>VLOOKUP(A1226,'Componentes APUs'!$A$1:$D$14,2,0)</f>
        <v>Kit de rescate para trabajo en alturas</v>
      </c>
      <c r="C1226" s="73"/>
      <c r="D1226" s="50" t="str">
        <f>VLOOKUP(A1226,'Componentes APUs'!$A$1:$D$14,3,0)</f>
        <v>U</v>
      </c>
      <c r="E1226" s="50">
        <f>IF(AND(A1197="MO-3",C1197=2),1,0)</f>
        <v>0</v>
      </c>
      <c r="F1226" s="51">
        <f>VLOOKUP(A1226,'Componentes APUs'!$A$1:$D$14,4,0)</f>
        <v>37500</v>
      </c>
      <c r="G1226" s="51">
        <f>ROUNDUP(F1226*(E1226/21)/E1183,0)</f>
        <v>0</v>
      </c>
    </row>
    <row r="1227" spans="1:7" x14ac:dyDescent="0.25">
      <c r="A1227" s="50" t="s">
        <v>91</v>
      </c>
      <c r="B1227" s="72" t="str">
        <f>VLOOKUP(A1227,'Componentes APUs'!$A$1:$D$14,2,0)</f>
        <v>Equipo completo para trabajo en alturas con pretales (Arnes dielectrico, 1 mosqueton de seguridad, tie off dielectrico, eslinga de posicionamiento, juego de pretales)</v>
      </c>
      <c r="C1227" s="73"/>
      <c r="D1227" s="50" t="str">
        <f>VLOOKUP(A1227,'Componentes APUs'!$A$1:$D$14,3,0)</f>
        <v>U</v>
      </c>
      <c r="E1227" s="50">
        <f>IF(A1197="MO-3",C1197,0)</f>
        <v>0</v>
      </c>
      <c r="F1227" s="51">
        <f>VLOOKUP(A1227,'Componentes APUs'!$A$1:$D$14,4,0)</f>
        <v>26041.666666666668</v>
      </c>
      <c r="G1227" s="51">
        <f>ROUNDUP(F1227*(E1227/21)/E1183,0)</f>
        <v>0</v>
      </c>
    </row>
    <row r="1228" spans="1:7" x14ac:dyDescent="0.25">
      <c r="A1228" s="219" t="s">
        <v>95</v>
      </c>
      <c r="B1228" s="219"/>
      <c r="C1228" s="219"/>
      <c r="D1228" s="219"/>
      <c r="E1228" s="219"/>
      <c r="F1228" s="219"/>
      <c r="G1228" s="52">
        <f>SUM(G1215:G1227)</f>
        <v>929</v>
      </c>
    </row>
    <row r="1229" spans="1:7" x14ac:dyDescent="0.25">
      <c r="A1229" s="56"/>
      <c r="B1229" s="57"/>
      <c r="C1229" s="57"/>
      <c r="D1229" s="57"/>
      <c r="E1229" s="57"/>
      <c r="F1229" s="57"/>
      <c r="G1229" s="58"/>
    </row>
    <row r="1230" spans="1:7" x14ac:dyDescent="0.25">
      <c r="A1230" s="219" t="s">
        <v>96</v>
      </c>
      <c r="B1230" s="219"/>
      <c r="C1230" s="219"/>
      <c r="D1230" s="219"/>
      <c r="E1230" s="219"/>
      <c r="F1230" s="219"/>
      <c r="G1230" s="219"/>
    </row>
    <row r="1231" spans="1:7" x14ac:dyDescent="0.25">
      <c r="A1231" s="49" t="s">
        <v>35</v>
      </c>
      <c r="B1231" s="225" t="s">
        <v>36</v>
      </c>
      <c r="C1231" s="225"/>
      <c r="D1231" s="49" t="s">
        <v>37</v>
      </c>
      <c r="E1231" s="49" t="s">
        <v>38</v>
      </c>
      <c r="F1231" s="49" t="s">
        <v>39</v>
      </c>
      <c r="G1231" s="49" t="s">
        <v>40</v>
      </c>
    </row>
    <row r="1232" spans="1:7" x14ac:dyDescent="0.25">
      <c r="A1232" s="69" t="s">
        <v>97</v>
      </c>
      <c r="B1232" s="72" t="str">
        <f>VLOOKUP(A1232,'Componentes APUs'!$N$1:$Q$30,2,0)</f>
        <v>Camioneta</v>
      </c>
      <c r="C1232" s="73"/>
      <c r="D1232" s="70" t="str">
        <f>VLOOKUP(A1232,'Componentes APUs'!$N$1:$Q$30,3,0)</f>
        <v>U</v>
      </c>
      <c r="E1232" s="50">
        <v>1</v>
      </c>
      <c r="F1232" s="51">
        <f>VLOOKUP(A1232,'Componentes APUs'!$N$1:$Q$30,4,0)</f>
        <v>5500000</v>
      </c>
      <c r="G1232" s="51">
        <f>IFERROR(ROUNDUP(F1232*(E1232/21)/E1183,0),"-")</f>
        <v>26191</v>
      </c>
    </row>
    <row r="1233" spans="1:7" x14ac:dyDescent="0.25">
      <c r="A1233" s="50" t="s">
        <v>321</v>
      </c>
      <c r="B1233" s="72" t="str">
        <f>VLOOKUP(A1233,'Componentes APUs'!$N$1:$Q$30,2,0)</f>
        <v>Grúa Hidráulica</v>
      </c>
      <c r="C1233" s="73"/>
      <c r="D1233" s="70" t="str">
        <f>VLOOKUP(A1233,'Componentes APUs'!$N$1:$Q$30,3,0)</f>
        <v>U</v>
      </c>
      <c r="E1233" s="50">
        <v>0</v>
      </c>
      <c r="F1233" s="51">
        <f>VLOOKUP(A1233,'Componentes APUs'!$N$1:$Q$30,4,0)</f>
        <v>21000000</v>
      </c>
      <c r="G1233" s="51">
        <f>IFERROR(ROUNDUP(F1233*(E1233/21)/E1183,0),"-")</f>
        <v>0</v>
      </c>
    </row>
    <row r="1234" spans="1:7" x14ac:dyDescent="0.25">
      <c r="A1234" s="69" t="s">
        <v>1379</v>
      </c>
      <c r="B1234" s="72" t="str">
        <f>VLOOKUP(A1234,'Componentes APUs'!$N$1:$Q$30,2,0)</f>
        <v>Dumper de descarga Frontal 2T</v>
      </c>
      <c r="C1234" s="73"/>
      <c r="D1234" s="70" t="str">
        <f>VLOOKUP(A1234,'Componentes APUs'!$N$1:$Q$30,3,0)</f>
        <v>U</v>
      </c>
      <c r="E1234" s="50">
        <v>0</v>
      </c>
      <c r="F1234" s="51">
        <f>VLOOKUP(A1234,'Componentes APUs'!$N$1:$Q$30,4,0)</f>
        <v>4438716.24</v>
      </c>
      <c r="G1234" s="51">
        <f>IFERROR(ROUNDUP(F1234*(E1234/21)/E1183,0),"-")</f>
        <v>0</v>
      </c>
    </row>
    <row r="1235" spans="1:7" x14ac:dyDescent="0.25">
      <c r="A1235" s="50" t="s">
        <v>323</v>
      </c>
      <c r="B1235" s="72" t="str">
        <f>VLOOKUP(A1235,'Componentes APUs'!$N$1:$Q$30,2,0)</f>
        <v>Volqueta</v>
      </c>
      <c r="C1235" s="73"/>
      <c r="D1235" s="70" t="str">
        <f>VLOOKUP(A1235,'Componentes APUs'!$N$1:$Q$30,3,0)</f>
        <v>U</v>
      </c>
      <c r="E1235" s="50">
        <v>0</v>
      </c>
      <c r="F1235" s="51">
        <f>VLOOKUP(A1235,'Componentes APUs'!$N$1:$Q$30,4,0)</f>
        <v>14828184</v>
      </c>
      <c r="G1235" s="51">
        <f>IFERROR(ROUNDUP(F1235*(E1235/21)/E1183,0),"-")</f>
        <v>0</v>
      </c>
    </row>
    <row r="1236" spans="1:7" x14ac:dyDescent="0.25">
      <c r="A1236" s="69" t="s">
        <v>324</v>
      </c>
      <c r="B1236" s="72" t="str">
        <f>VLOOKUP(A1236,'Componentes APUs'!$N$1:$Q$30,2,0)</f>
        <v>Retroexcavadora</v>
      </c>
      <c r="C1236" s="73"/>
      <c r="D1236" s="70" t="str">
        <f>VLOOKUP(A1236,'Componentes APUs'!$N$1:$Q$30,3,0)</f>
        <v>U</v>
      </c>
      <c r="E1236" s="50">
        <v>0</v>
      </c>
      <c r="F1236" s="51">
        <f>VLOOKUP(A1236,'Componentes APUs'!$N$1:$Q$30,4,0)</f>
        <v>46030656</v>
      </c>
      <c r="G1236" s="51">
        <f>IFERROR(ROUNDUP(F1236*(E1236/21)/E1183,0),"-")</f>
        <v>0</v>
      </c>
    </row>
    <row r="1237" spans="1:7" x14ac:dyDescent="0.25">
      <c r="A1237" s="219" t="s">
        <v>99</v>
      </c>
      <c r="B1237" s="219"/>
      <c r="C1237" s="219"/>
      <c r="D1237" s="219"/>
      <c r="E1237" s="219"/>
      <c r="F1237" s="219"/>
      <c r="G1237" s="52">
        <f>SUM(G1232:G1236)</f>
        <v>26191</v>
      </c>
    </row>
    <row r="1238" spans="1:7" x14ac:dyDescent="0.25">
      <c r="A1238" s="56"/>
      <c r="B1238" s="57"/>
      <c r="C1238" s="57"/>
      <c r="D1238" s="57"/>
      <c r="E1238" s="57"/>
      <c r="F1238" s="57"/>
      <c r="G1238" s="58"/>
    </row>
    <row r="1239" spans="1:7" x14ac:dyDescent="0.25">
      <c r="A1239" s="219" t="s">
        <v>1516</v>
      </c>
      <c r="B1239" s="219"/>
      <c r="C1239" s="219"/>
      <c r="D1239" s="219"/>
      <c r="E1239" s="219"/>
      <c r="F1239" s="219"/>
      <c r="G1239" s="52">
        <f>G1237+G1228+G1211+G1201+G1191</f>
        <v>567987</v>
      </c>
    </row>
    <row r="1240" spans="1:7" x14ac:dyDescent="0.25">
      <c r="A1240" s="59"/>
      <c r="B1240" s="60"/>
      <c r="C1240" s="60"/>
      <c r="D1240" s="60"/>
      <c r="E1240" s="57"/>
      <c r="F1240" s="57"/>
      <c r="G1240" s="58"/>
    </row>
    <row r="1241" spans="1:7" x14ac:dyDescent="0.25">
      <c r="A1241" s="64"/>
      <c r="D1241" s="55"/>
      <c r="E1241" s="49" t="s">
        <v>25</v>
      </c>
      <c r="F1241" s="54">
        <v>0.15</v>
      </c>
      <c r="G1241" s="51">
        <f>G1239*F1241</f>
        <v>85198.05</v>
      </c>
    </row>
    <row r="1242" spans="1:7" x14ac:dyDescent="0.25">
      <c r="A1242" s="64"/>
      <c r="D1242" s="55"/>
      <c r="E1242" s="49" t="s">
        <v>26</v>
      </c>
      <c r="F1242" s="54">
        <v>0.05</v>
      </c>
      <c r="G1242" s="51">
        <f>G1239*F1242</f>
        <v>28399.350000000002</v>
      </c>
    </row>
    <row r="1243" spans="1:7" x14ac:dyDescent="0.25">
      <c r="A1243" s="61"/>
      <c r="B1243" s="65"/>
      <c r="C1243" s="65"/>
      <c r="D1243" s="62"/>
      <c r="E1243" s="49" t="s">
        <v>27</v>
      </c>
      <c r="F1243" s="54">
        <v>0.05</v>
      </c>
      <c r="G1243" s="51">
        <f>G1239*F1243</f>
        <v>28399.350000000002</v>
      </c>
    </row>
    <row r="1244" spans="1:7" x14ac:dyDescent="0.25">
      <c r="A1244" s="61"/>
      <c r="B1244" s="62"/>
      <c r="C1244" s="62"/>
      <c r="D1244" s="62"/>
      <c r="E1244" s="62"/>
      <c r="F1244" s="62"/>
      <c r="G1244" s="63"/>
    </row>
    <row r="1245" spans="1:7" x14ac:dyDescent="0.25">
      <c r="A1245" s="219" t="s">
        <v>1517</v>
      </c>
      <c r="B1245" s="219"/>
      <c r="C1245" s="219"/>
      <c r="D1245" s="219"/>
      <c r="E1245" s="219"/>
      <c r="F1245" s="219"/>
      <c r="G1245" s="52">
        <f>G1239+G1241+G1242+G1243</f>
        <v>709983.75</v>
      </c>
    </row>
    <row r="1246" spans="1:7" x14ac:dyDescent="0.25">
      <c r="A1246" s="59"/>
      <c r="B1246" s="60"/>
      <c r="C1246" s="60"/>
      <c r="D1246" s="60"/>
      <c r="E1246" s="57"/>
      <c r="F1246" s="57"/>
      <c r="G1246" s="58"/>
    </row>
    <row r="1247" spans="1:7" x14ac:dyDescent="0.25">
      <c r="A1247" s="64"/>
      <c r="D1247" s="55"/>
      <c r="E1247" s="49" t="s">
        <v>102</v>
      </c>
      <c r="F1247" s="49" t="s">
        <v>103</v>
      </c>
      <c r="G1247" s="51">
        <f>G1243*19%</f>
        <v>5395.8765000000003</v>
      </c>
    </row>
    <row r="1248" spans="1:7" x14ac:dyDescent="0.25">
      <c r="A1248" s="61"/>
      <c r="B1248" s="62"/>
      <c r="C1248" s="62"/>
      <c r="D1248" s="62"/>
      <c r="E1248" s="57"/>
      <c r="F1248" s="57"/>
      <c r="G1248" s="58"/>
    </row>
    <row r="1249" spans="1:9" x14ac:dyDescent="0.25">
      <c r="A1249" s="219" t="s">
        <v>104</v>
      </c>
      <c r="B1249" s="219"/>
      <c r="C1249" s="219"/>
      <c r="D1249" s="219"/>
      <c r="E1249" s="219"/>
      <c r="F1249" s="219"/>
      <c r="G1249" s="52">
        <f>G1247+G1245</f>
        <v>715379.62650000001</v>
      </c>
    </row>
    <row r="1251" spans="1:9" x14ac:dyDescent="0.25">
      <c r="A1251" s="74" t="s">
        <v>29</v>
      </c>
      <c r="B1251" s="226" t="s">
        <v>30</v>
      </c>
      <c r="C1251" s="226"/>
      <c r="D1251" s="74" t="s">
        <v>31</v>
      </c>
      <c r="E1251" s="74" t="s">
        <v>32</v>
      </c>
      <c r="F1251" s="74" t="s">
        <v>189</v>
      </c>
      <c r="G1251" s="74" t="s">
        <v>33</v>
      </c>
      <c r="H1251" s="105"/>
    </row>
    <row r="1252" spans="1:9" x14ac:dyDescent="0.25">
      <c r="A1252" s="50" t="str">
        <f>Presupuesto!B28</f>
        <v>020_OC</v>
      </c>
      <c r="B1252" s="229" t="str">
        <f>Presupuesto!C28</f>
        <v>TAPA EN ALFAJOR (1 X1 METROS) (CÁRCAMO 13,8 kV)</v>
      </c>
      <c r="C1252" s="230"/>
      <c r="D1252" s="50" t="s">
        <v>8</v>
      </c>
      <c r="E1252" s="102">
        <v>10</v>
      </c>
      <c r="F1252" s="50"/>
      <c r="G1252" s="51">
        <f>G1320</f>
        <v>669590.50399999996</v>
      </c>
      <c r="H1252" s="45"/>
    </row>
    <row r="1253" spans="1:9" x14ac:dyDescent="0.25">
      <c r="A1253" s="219" t="s">
        <v>34</v>
      </c>
      <c r="B1253" s="219"/>
      <c r="C1253" s="219"/>
      <c r="D1253" s="219"/>
      <c r="E1253" s="219"/>
      <c r="F1253" s="219"/>
      <c r="G1253" s="219"/>
    </row>
    <row r="1254" spans="1:9" x14ac:dyDescent="0.25">
      <c r="A1254" s="49" t="s">
        <v>35</v>
      </c>
      <c r="B1254" s="219" t="s">
        <v>36</v>
      </c>
      <c r="C1254" s="219"/>
      <c r="D1254" s="49" t="s">
        <v>37</v>
      </c>
      <c r="E1254" s="49" t="s">
        <v>38</v>
      </c>
      <c r="F1254" s="49" t="s">
        <v>39</v>
      </c>
      <c r="G1254" s="49" t="s">
        <v>40</v>
      </c>
    </row>
    <row r="1255" spans="1:9" x14ac:dyDescent="0.25">
      <c r="A1255" s="50" t="str">
        <f>Material!A462</f>
        <v>MA-461</v>
      </c>
      <c r="B1255" s="72" t="str">
        <f>IFERROR(VLOOKUP(A1255,Material!$A:$H,2,0),"-")</f>
        <v>LÁMINA DE ALFAJOR 4 MM X 1X1 M</v>
      </c>
      <c r="C1255" s="76"/>
      <c r="D1255" s="50" t="s">
        <v>113</v>
      </c>
      <c r="E1255" s="107">
        <f>1</f>
        <v>1</v>
      </c>
      <c r="F1255" s="51">
        <f>IFERROR(VLOOKUP(A1255,Material!$A:$H,3,0),"-")</f>
        <v>255255</v>
      </c>
      <c r="G1255" s="51">
        <f t="shared" ref="G1255:G1261" si="14">IFERROR(ROUNDUP(F1255*E1255,0),"-")</f>
        <v>255255</v>
      </c>
      <c r="H1255" s="106"/>
    </row>
    <row r="1256" spans="1:9" x14ac:dyDescent="0.25">
      <c r="A1256" s="50" t="str">
        <f>Material!A463</f>
        <v>MA-462</v>
      </c>
      <c r="B1256" s="72" t="str">
        <f>IFERROR(VLOOKUP(A1256,Material!$A:$H,2,0),"-")</f>
        <v>ÁNGULO 2X1/4"</v>
      </c>
      <c r="C1256" s="76"/>
      <c r="D1256" s="50" t="str">
        <f>IFERROR(VLOOKUP(A1256,Material!$A:$H,4,0),"-")</f>
        <v>ML</v>
      </c>
      <c r="E1256" s="107">
        <f>1*3+1*2</f>
        <v>5</v>
      </c>
      <c r="F1256" s="51">
        <f>IFERROR(VLOOKUP(A1256,Material!$A:$H,3,0),"-")</f>
        <v>36094.933333333334</v>
      </c>
      <c r="G1256" s="51">
        <f t="shared" si="14"/>
        <v>180475</v>
      </c>
      <c r="H1256" s="106"/>
    </row>
    <row r="1257" spans="1:9" x14ac:dyDescent="0.25">
      <c r="A1257" s="50"/>
      <c r="B1257" s="72" t="str">
        <f>IFERROR(VLOOKUP(A1257,Material!$A:$H,2,0),"-")</f>
        <v>-</v>
      </c>
      <c r="C1257" s="76"/>
      <c r="D1257" s="50" t="str">
        <f>IFERROR(VLOOKUP(A1257,Material!$A:$H,4,0),"-")</f>
        <v>-</v>
      </c>
      <c r="E1257" s="107"/>
      <c r="F1257" s="51" t="str">
        <f>IFERROR(VLOOKUP(A1257,Material!$A:$H,3,0),"-")</f>
        <v>-</v>
      </c>
      <c r="G1257" s="51" t="str">
        <f t="shared" si="14"/>
        <v>-</v>
      </c>
      <c r="H1257" s="106"/>
    </row>
    <row r="1258" spans="1:9" x14ac:dyDescent="0.25">
      <c r="A1258" s="50"/>
      <c r="B1258" s="72" t="str">
        <f>IFERROR(VLOOKUP(A1258,Material!$A:$H,2,0),"-")</f>
        <v>-</v>
      </c>
      <c r="C1258" s="76"/>
      <c r="D1258" s="50" t="str">
        <f>IFERROR(VLOOKUP(A1258,Material!$A:$H,4,0),"-")</f>
        <v>-</v>
      </c>
      <c r="E1258" s="107"/>
      <c r="F1258" s="51" t="str">
        <f>IFERROR(VLOOKUP(A1258,Material!$A:$H,3,0),"-")</f>
        <v>-</v>
      </c>
      <c r="G1258" s="51" t="str">
        <f t="shared" si="14"/>
        <v>-</v>
      </c>
      <c r="H1258" s="106"/>
    </row>
    <row r="1259" spans="1:9" x14ac:dyDescent="0.25">
      <c r="A1259" s="50"/>
      <c r="B1259" s="72" t="str">
        <f>IFERROR(VLOOKUP(A1259,Material!$A:$H,2,0),"-")</f>
        <v>-</v>
      </c>
      <c r="C1259" s="76"/>
      <c r="D1259" s="50" t="str">
        <f>IFERROR(VLOOKUP(A1259,Material!$A:$H,4,0),"-")</f>
        <v>-</v>
      </c>
      <c r="E1259" s="53"/>
      <c r="F1259" s="51" t="str">
        <f>IFERROR(VLOOKUP(A1259,Material!$A:$H,3,0),"-")</f>
        <v>-</v>
      </c>
      <c r="G1259" s="51" t="str">
        <f t="shared" si="14"/>
        <v>-</v>
      </c>
      <c r="H1259" s="106"/>
    </row>
    <row r="1260" spans="1:9" x14ac:dyDescent="0.25">
      <c r="A1260" s="50"/>
      <c r="B1260" s="72" t="str">
        <f>IFERROR(VLOOKUP(A1260,Material!$A:$H,2,0),"-")</f>
        <v>-</v>
      </c>
      <c r="C1260" s="76"/>
      <c r="D1260" s="50" t="str">
        <f>IFERROR(VLOOKUP(A1260,Material!$A:$H,4,0),"-")</f>
        <v>-</v>
      </c>
      <c r="E1260" s="107"/>
      <c r="F1260" s="51" t="str">
        <f>IFERROR(VLOOKUP(A1260,Material!$A:$H,3,0),"-")</f>
        <v>-</v>
      </c>
      <c r="G1260" s="51" t="str">
        <f t="shared" si="14"/>
        <v>-</v>
      </c>
      <c r="H1260" s="106"/>
    </row>
    <row r="1261" spans="1:9" x14ac:dyDescent="0.25">
      <c r="A1261" s="50"/>
      <c r="B1261" s="72" t="str">
        <f>IFERROR(VLOOKUP(A1261,Material!$A:$H,2,0),"-")</f>
        <v>-</v>
      </c>
      <c r="C1261" s="76"/>
      <c r="D1261" s="50" t="str">
        <f>IFERROR(VLOOKUP(A1261,Material!$A:$H,4,0),"-")</f>
        <v>-</v>
      </c>
      <c r="E1261" s="107"/>
      <c r="F1261" s="51" t="str">
        <f>IFERROR(VLOOKUP(A1261,Material!$A:$H,3,0),"-")</f>
        <v>-</v>
      </c>
      <c r="G1261" s="51" t="str">
        <f t="shared" si="14"/>
        <v>-</v>
      </c>
      <c r="H1261" s="106"/>
    </row>
    <row r="1262" spans="1:9" x14ac:dyDescent="0.25">
      <c r="A1262" s="219" t="s">
        <v>41</v>
      </c>
      <c r="B1262" s="219"/>
      <c r="C1262" s="219"/>
      <c r="D1262" s="219"/>
      <c r="E1262" s="219"/>
      <c r="F1262" s="219"/>
      <c r="G1262" s="52">
        <f>SUM(G1255:G1261)</f>
        <v>435730</v>
      </c>
      <c r="I1262" s="104"/>
    </row>
    <row r="1263" spans="1:9" x14ac:dyDescent="0.25">
      <c r="A1263" s="56"/>
      <c r="B1263" s="57"/>
      <c r="C1263" s="57"/>
      <c r="D1263" s="57"/>
      <c r="E1263" s="57"/>
      <c r="F1263" s="57"/>
      <c r="G1263" s="58"/>
    </row>
    <row r="1264" spans="1:9" x14ac:dyDescent="0.25">
      <c r="A1264" s="219" t="s">
        <v>42</v>
      </c>
      <c r="B1264" s="219"/>
      <c r="C1264" s="219"/>
      <c r="D1264" s="219"/>
      <c r="E1264" s="219"/>
      <c r="F1264" s="219"/>
      <c r="G1264" s="219"/>
    </row>
    <row r="1265" spans="1:9" x14ac:dyDescent="0.25">
      <c r="A1265" s="49" t="s">
        <v>35</v>
      </c>
      <c r="B1265" s="49" t="s">
        <v>36</v>
      </c>
      <c r="C1265" s="49" t="s">
        <v>38</v>
      </c>
      <c r="D1265" s="49" t="s">
        <v>43</v>
      </c>
      <c r="E1265" s="49" t="s">
        <v>44</v>
      </c>
      <c r="F1265" s="49" t="s">
        <v>45</v>
      </c>
      <c r="G1265" s="49" t="s">
        <v>40</v>
      </c>
    </row>
    <row r="1266" spans="1:9" x14ac:dyDescent="0.25">
      <c r="A1266" s="50" t="s">
        <v>319</v>
      </c>
      <c r="B1266" s="68" t="str">
        <f>VLOOKUP(A1266,'Componentes APUs'!$H$1:$L$25,2,0)</f>
        <v>Ingeniero Residente de Obra</v>
      </c>
      <c r="C1266" s="93">
        <v>0.25</v>
      </c>
      <c r="D1266" s="50">
        <f>VLOOKUP(A1266,'Componentes APUs'!$H$1:$L$25,3,0)</f>
        <v>4</v>
      </c>
      <c r="E1266" s="51">
        <f>VLOOKUP(A1266,'Componentes APUs'!$H$1:$L$25,4,0)</f>
        <v>271142.85714285716</v>
      </c>
      <c r="F1266" s="51">
        <f>VLOOKUP(A1266,'Componentes APUs'!$H$1:$L$25,5,0)</f>
        <v>162685.71428571429</v>
      </c>
      <c r="G1266" s="51">
        <f>ROUNDUP((E1266+F1266)*C1266/E1252,0)</f>
        <v>10846</v>
      </c>
      <c r="H1266" s="66"/>
    </row>
    <row r="1267" spans="1:9" x14ac:dyDescent="0.25">
      <c r="A1267" s="50" t="s">
        <v>320</v>
      </c>
      <c r="B1267" s="68" t="str">
        <f>VLOOKUP(A1267,'Componentes APUs'!$H$1:$L$25,2,0)</f>
        <v>Tecnico Supervisor</v>
      </c>
      <c r="C1267" s="93">
        <v>0</v>
      </c>
      <c r="D1267" s="50">
        <f>VLOOKUP(A1267,'Componentes APUs'!$H$1:$L$25,3,0)</f>
        <v>2.2999999999999998</v>
      </c>
      <c r="E1267" s="51">
        <f>VLOOKUP(A1267,'Componentes APUs'!$H$1:$L$25,4,0)</f>
        <v>155907.14285714284</v>
      </c>
      <c r="F1267" s="51">
        <f>VLOOKUP(A1267,'Componentes APUs'!$H$1:$L$25,5,0)</f>
        <v>93544.285714285696</v>
      </c>
      <c r="G1267" s="51">
        <f>ROUNDUP((E1267+F1267)*C1267/E1252,0)</f>
        <v>0</v>
      </c>
    </row>
    <row r="1268" spans="1:9" x14ac:dyDescent="0.25">
      <c r="A1268" s="50" t="s">
        <v>54</v>
      </c>
      <c r="B1268" s="68" t="str">
        <f>VLOOKUP(A1268,'Componentes APUs'!$H$1:$L$25,2,0)</f>
        <v>Maestro de obra civil</v>
      </c>
      <c r="C1268" s="93">
        <v>0.25</v>
      </c>
      <c r="D1268" s="50">
        <f>VLOOKUP(A1268,'Componentes APUs'!$H$1:$L$25,3,0)</f>
        <v>2.5</v>
      </c>
      <c r="E1268" s="51">
        <f>VLOOKUP(A1268,'Componentes APUs'!$H$1:$L$25,4,0)</f>
        <v>169464.28571428571</v>
      </c>
      <c r="F1268" s="51">
        <f>VLOOKUP(A1268,'Componentes APUs'!$H$1:$L$25,5,0)</f>
        <v>101678.57142857142</v>
      </c>
      <c r="G1268" s="51">
        <f>ROUNDUP((E1268+F1268)*C1268/E1252,0)</f>
        <v>6779</v>
      </c>
    </row>
    <row r="1269" spans="1:9" x14ac:dyDescent="0.25">
      <c r="A1269" s="50" t="s">
        <v>1110</v>
      </c>
      <c r="B1269" s="68" t="str">
        <f>VLOOKUP(A1269,'Componentes APUs'!$H$1:$L$25,2,0)</f>
        <v>Oficial de Obra Civil</v>
      </c>
      <c r="C1269" s="93">
        <v>1</v>
      </c>
      <c r="D1269" s="50">
        <f>VLOOKUP(A1269,'Componentes APUs'!$H$1:$L$25,3,0)</f>
        <v>1.5</v>
      </c>
      <c r="E1269" s="51">
        <f>VLOOKUP(A1269,'Componentes APUs'!$H$1:$L$25,4,0)</f>
        <v>115964.28571428571</v>
      </c>
      <c r="F1269" s="51">
        <f>VLOOKUP(A1269,'Componentes APUs'!$H$1:$L$25,5,0)</f>
        <v>69578.57142857142</v>
      </c>
      <c r="G1269" s="51">
        <f>ROUNDUP((E1269+F1269)*C1269/E1252,0)</f>
        <v>18555</v>
      </c>
    </row>
    <row r="1270" spans="1:9" x14ac:dyDescent="0.25">
      <c r="A1270" s="50" t="s">
        <v>50</v>
      </c>
      <c r="B1270" s="68" t="str">
        <f>VLOOKUP(A1270,'Componentes APUs'!$H$1:$L$25,2,0)</f>
        <v>Profesional en SST</v>
      </c>
      <c r="C1270" s="93">
        <v>0.25</v>
      </c>
      <c r="D1270" s="50">
        <f>VLOOKUP(A1270,'Componentes APUs'!$H$1:$L$25,3,0)</f>
        <v>2.5</v>
      </c>
      <c r="E1270" s="51">
        <f>VLOOKUP(A1270,'Componentes APUs'!$H$1:$L$25,4,0)</f>
        <v>169464.28571428571</v>
      </c>
      <c r="F1270" s="51">
        <f>VLOOKUP(A1270,'Componentes APUs'!$H$1:$L$25,5,0)</f>
        <v>101678.57142857142</v>
      </c>
      <c r="G1270" s="51">
        <f>ROUNDUP((E1270+F1270)*C1270/E1252,0)</f>
        <v>6779</v>
      </c>
    </row>
    <row r="1271" spans="1:9" x14ac:dyDescent="0.25">
      <c r="A1271" s="50" t="s">
        <v>1109</v>
      </c>
      <c r="B1271" s="68" t="str">
        <f>VLOOKUP(A1271,'Componentes APUs'!$H$1:$L$25,2,0)</f>
        <v>Ayudante de Obra Civil</v>
      </c>
      <c r="C1271" s="93">
        <v>2</v>
      </c>
      <c r="D1271" s="50">
        <f>VLOOKUP(A1271,'Componentes APUs'!$H$1:$L$25,3,0)</f>
        <v>1</v>
      </c>
      <c r="E1271" s="51">
        <f>VLOOKUP(A1271,'Componentes APUs'!$H$1:$L$25,4,0)</f>
        <v>77309.523809523816</v>
      </c>
      <c r="F1271" s="51">
        <f>VLOOKUP(A1271,'Componentes APUs'!$H$1:$L$25,5,0)</f>
        <v>46385.71428571429</v>
      </c>
      <c r="G1271" s="51">
        <f>ROUNDUP((E1271+F1271)*C1271/E1252,0)</f>
        <v>24740</v>
      </c>
    </row>
    <row r="1272" spans="1:9" x14ac:dyDescent="0.25">
      <c r="A1272" s="219" t="s">
        <v>56</v>
      </c>
      <c r="B1272" s="219"/>
      <c r="C1272" s="219"/>
      <c r="D1272" s="219"/>
      <c r="E1272" s="219"/>
      <c r="F1272" s="219"/>
      <c r="G1272" s="52">
        <f>SUM(G1266:G1271)</f>
        <v>67699</v>
      </c>
    </row>
    <row r="1273" spans="1:9" x14ac:dyDescent="0.25">
      <c r="A1273" s="56"/>
      <c r="B1273" s="57"/>
      <c r="C1273" s="57"/>
      <c r="D1273" s="57"/>
      <c r="E1273" s="57"/>
      <c r="F1273" s="57"/>
      <c r="G1273" s="58"/>
    </row>
    <row r="1274" spans="1:9" x14ac:dyDescent="0.25">
      <c r="A1274" s="219" t="s">
        <v>57</v>
      </c>
      <c r="B1274" s="219"/>
      <c r="C1274" s="219"/>
      <c r="D1274" s="219"/>
      <c r="E1274" s="219"/>
      <c r="F1274" s="219"/>
      <c r="G1274" s="219"/>
    </row>
    <row r="1275" spans="1:9" x14ac:dyDescent="0.25">
      <c r="A1275" s="49" t="s">
        <v>35</v>
      </c>
      <c r="B1275" s="219" t="s">
        <v>36</v>
      </c>
      <c r="C1275" s="219"/>
      <c r="D1275" s="49" t="s">
        <v>37</v>
      </c>
      <c r="E1275" s="49" t="s">
        <v>38</v>
      </c>
      <c r="F1275" s="49" t="s">
        <v>39</v>
      </c>
      <c r="G1275" s="49" t="s">
        <v>40</v>
      </c>
    </row>
    <row r="1276" spans="1:9" x14ac:dyDescent="0.25">
      <c r="A1276" s="50" t="s">
        <v>326</v>
      </c>
      <c r="B1276" s="220" t="str">
        <f>VLOOKUP(A1276,'Componentes APUs'!$S$1:$V$10,2,0)</f>
        <v>Juego Llaves</v>
      </c>
      <c r="C1276" s="220"/>
      <c r="D1276" s="50" t="s">
        <v>18</v>
      </c>
      <c r="E1276" s="50">
        <v>0</v>
      </c>
      <c r="F1276" s="51">
        <f>VLOOKUP(A1276,'Componentes APUs'!$S$1:$V$10,4,0)</f>
        <v>9167</v>
      </c>
      <c r="G1276" s="51">
        <f>ROUNDUP(F1276*((E1276/21)/E1252),0)</f>
        <v>0</v>
      </c>
      <c r="I1276" s="91"/>
    </row>
    <row r="1277" spans="1:9" x14ac:dyDescent="0.25">
      <c r="A1277" s="50" t="s">
        <v>58</v>
      </c>
      <c r="B1277" s="220" t="str">
        <f>VLOOKUP(A1277,'Componentes APUs'!$S$1:$V$10,2,0)</f>
        <v>Manila de servicio</v>
      </c>
      <c r="C1277" s="220"/>
      <c r="D1277" s="50" t="s">
        <v>18</v>
      </c>
      <c r="E1277" s="50">
        <v>0</v>
      </c>
      <c r="F1277" s="51">
        <f>VLOOKUP(A1277,'Componentes APUs'!$S$1:$V$10,4,0)</f>
        <v>2333</v>
      </c>
      <c r="G1277" s="51">
        <f>ROUNDUP(F1277*((E1277/21)/E1252),0)</f>
        <v>0</v>
      </c>
    </row>
    <row r="1278" spans="1:9" x14ac:dyDescent="0.25">
      <c r="A1278" s="50" t="s">
        <v>327</v>
      </c>
      <c r="B1278" s="220" t="str">
        <f>VLOOKUP(A1278,'Componentes APUs'!$S$1:$V$10,2,0)</f>
        <v>Tula portaherramientas</v>
      </c>
      <c r="C1278" s="220"/>
      <c r="D1278" s="50" t="s">
        <v>18</v>
      </c>
      <c r="E1278" s="50">
        <v>0</v>
      </c>
      <c r="F1278" s="51">
        <f>VLOOKUP(A1278,'Componentes APUs'!$S$1:$V$10,4,0)</f>
        <v>1250</v>
      </c>
      <c r="G1278" s="51">
        <f>ROUNDUP(F1278*((E1278/21)/E1252),0)</f>
        <v>0</v>
      </c>
    </row>
    <row r="1279" spans="1:9" x14ac:dyDescent="0.25">
      <c r="A1279" s="50" t="s">
        <v>60</v>
      </c>
      <c r="B1279" s="220" t="str">
        <f>VLOOKUP(A1279,'Componentes APUs'!$S$1:$V$10,2,0)</f>
        <v>Agarradoras</v>
      </c>
      <c r="C1279" s="220"/>
      <c r="D1279" s="50" t="s">
        <v>18</v>
      </c>
      <c r="E1279" s="50">
        <v>0</v>
      </c>
      <c r="F1279" s="51">
        <f>VLOOKUP(A1279,'Componentes APUs'!$S$1:$V$10,4,0)</f>
        <v>125000</v>
      </c>
      <c r="G1279" s="51">
        <f>ROUNDUP(F1279*((E1279/21)/E1252),0)</f>
        <v>0</v>
      </c>
    </row>
    <row r="1280" spans="1:9" x14ac:dyDescent="0.25">
      <c r="A1280" s="50" t="s">
        <v>62</v>
      </c>
      <c r="B1280" s="220" t="str">
        <f>VLOOKUP(A1280,'Componentes APUs'!$S$1:$V$10,2,0)</f>
        <v>Templadoras</v>
      </c>
      <c r="C1280" s="220"/>
      <c r="D1280" s="50" t="s">
        <v>18</v>
      </c>
      <c r="E1280" s="50">
        <v>0</v>
      </c>
      <c r="F1280" s="51">
        <f>VLOOKUP(A1280,'Componentes APUs'!$S$1:$V$10,4,0)</f>
        <v>250000</v>
      </c>
      <c r="G1280" s="51">
        <f>ROUNDUP(F1280*((E1280/21)/E1252),0)</f>
        <v>0</v>
      </c>
    </row>
    <row r="1281" spans="1:9" x14ac:dyDescent="0.25">
      <c r="A1281" s="50" t="s">
        <v>328</v>
      </c>
      <c r="B1281" s="220" t="str">
        <f>VLOOKUP(A1281,'Componentes APUs'!$S$1:$V$10,2,0)</f>
        <v>Herramienta Menor</v>
      </c>
      <c r="C1281" s="220"/>
      <c r="D1281" s="50" t="s">
        <v>18</v>
      </c>
      <c r="E1281" s="50">
        <v>3</v>
      </c>
      <c r="F1281" s="51">
        <f>VLOOKUP(A1281,'Componentes APUs'!$S$1:$V$10,4,0)</f>
        <v>75758</v>
      </c>
      <c r="G1281" s="51">
        <f>ROUNDUP(F1281*((E1281/21)/E1252),0)</f>
        <v>1083</v>
      </c>
    </row>
    <row r="1282" spans="1:9" x14ac:dyDescent="0.25">
      <c r="A1282" s="219" t="s">
        <v>69</v>
      </c>
      <c r="B1282" s="219"/>
      <c r="C1282" s="219"/>
      <c r="D1282" s="219"/>
      <c r="E1282" s="219"/>
      <c r="F1282" s="219"/>
      <c r="G1282" s="52">
        <f>SUM(G1276:G1281)</f>
        <v>1083</v>
      </c>
    </row>
    <row r="1283" spans="1:9" x14ac:dyDescent="0.25">
      <c r="A1283" s="56"/>
      <c r="B1283" s="57"/>
      <c r="C1283" s="57"/>
      <c r="D1283" s="57"/>
      <c r="E1283" s="57"/>
      <c r="F1283" s="57"/>
      <c r="G1283" s="58"/>
    </row>
    <row r="1284" spans="1:9" x14ac:dyDescent="0.25">
      <c r="A1284" s="219" t="s">
        <v>70</v>
      </c>
      <c r="B1284" s="219"/>
      <c r="C1284" s="219"/>
      <c r="D1284" s="219"/>
      <c r="E1284" s="219"/>
      <c r="F1284" s="219"/>
      <c r="G1284" s="219"/>
    </row>
    <row r="1285" spans="1:9" x14ac:dyDescent="0.25">
      <c r="A1285" s="49" t="s">
        <v>35</v>
      </c>
      <c r="B1285" s="219" t="s">
        <v>36</v>
      </c>
      <c r="C1285" s="219"/>
      <c r="D1285" s="49" t="s">
        <v>37</v>
      </c>
      <c r="E1285" s="49" t="s">
        <v>38</v>
      </c>
      <c r="F1285" s="49" t="s">
        <v>39</v>
      </c>
      <c r="G1285" s="49" t="s">
        <v>40</v>
      </c>
    </row>
    <row r="1286" spans="1:9" x14ac:dyDescent="0.25">
      <c r="A1286" s="50" t="s">
        <v>71</v>
      </c>
      <c r="B1286" s="71" t="str">
        <f>VLOOKUP(A1286,'Componentes APUs'!$A$1:$D$14,2,0)</f>
        <v>Camisa indigo sin partes metalicas</v>
      </c>
      <c r="C1286" s="71"/>
      <c r="D1286" s="50" t="str">
        <f>VLOOKUP(A1286,'Componentes APUs'!$A$1:$D$14,3,0)</f>
        <v>U</v>
      </c>
      <c r="E1286" s="50">
        <f>SUM(C1266:C1271)</f>
        <v>3.75</v>
      </c>
      <c r="F1286" s="51">
        <f>VLOOKUP(A1286,'Componentes APUs'!$A$1:$D$14,4,0)</f>
        <v>8585.8585858585866</v>
      </c>
      <c r="G1286" s="51">
        <f>ROUNDUP(F1286*(E1286/21)/E1252,0)</f>
        <v>154</v>
      </c>
      <c r="I1286" s="91"/>
    </row>
    <row r="1287" spans="1:9" x14ac:dyDescent="0.25">
      <c r="A1287" s="69" t="s">
        <v>73</v>
      </c>
      <c r="B1287" s="72" t="str">
        <f>VLOOKUP(A1287,'Componentes APUs'!$A$1:$D$14,2,0)</f>
        <v>Bota de seguridad dielectrica</v>
      </c>
      <c r="C1287" s="73"/>
      <c r="D1287" s="70" t="str">
        <f>VLOOKUP(A1287,'Componentes APUs'!$A$1:$D$14,3,0)</f>
        <v>Par</v>
      </c>
      <c r="E1287" s="50">
        <f>SUM(C1266:C1271)</f>
        <v>3.75</v>
      </c>
      <c r="F1287" s="51">
        <f>VLOOKUP(A1287,'Componentes APUs'!$A$1:$D$14,4,0)</f>
        <v>7500</v>
      </c>
      <c r="G1287" s="51">
        <f>ROUNDUP(F1287*(E1287/21)/E1252,0)</f>
        <v>134</v>
      </c>
    </row>
    <row r="1288" spans="1:9" x14ac:dyDescent="0.25">
      <c r="A1288" s="50" t="s">
        <v>76</v>
      </c>
      <c r="B1288" s="72" t="str">
        <f>VLOOKUP(A1288,'Componentes APUs'!$A$1:$D$14,2,0)</f>
        <v>Casco dielectrico Tipo 1 Clase E con barbuquejo</v>
      </c>
      <c r="C1288" s="73"/>
      <c r="D1288" s="50" t="str">
        <f>VLOOKUP(A1288,'Componentes APUs'!$A$1:$D$14,3,0)</f>
        <v>U</v>
      </c>
      <c r="E1288" s="50">
        <f>C1266+C1267+C1269+C1270+C1271+IF(A1268&lt;&gt;"MO-3",C1268,0)</f>
        <v>3.75</v>
      </c>
      <c r="F1288" s="51">
        <f>VLOOKUP(A1288,'Componentes APUs'!$A$1:$D$14,4,0)</f>
        <v>10101.010101010101</v>
      </c>
      <c r="G1288" s="51">
        <f>ROUNDUP(F1288*(E1288/21)/E1252,0)</f>
        <v>181</v>
      </c>
    </row>
    <row r="1289" spans="1:9" x14ac:dyDescent="0.25">
      <c r="A1289" s="69" t="s">
        <v>77</v>
      </c>
      <c r="B1289" s="72" t="str">
        <f>VLOOKUP(A1289,'Componentes APUs'!$A$1:$D$14,2,0)</f>
        <v>Correa plastica y antiflama</v>
      </c>
      <c r="C1289" s="73"/>
      <c r="D1289" s="50" t="str">
        <f>VLOOKUP(A1289,'Componentes APUs'!$A$1:$D$14,3,0)</f>
        <v>U</v>
      </c>
      <c r="E1289" s="50">
        <f>SUM(C1266:C1271)</f>
        <v>3.75</v>
      </c>
      <c r="F1289" s="51">
        <f>VLOOKUP(A1289,'Componentes APUs'!$A$1:$D$14,4,0)</f>
        <v>3787.878787878788</v>
      </c>
      <c r="G1289" s="51">
        <f>ROUNDUP(F1289*(E1289/21)/E1252,0)</f>
        <v>68</v>
      </c>
    </row>
    <row r="1290" spans="1:9" x14ac:dyDescent="0.25">
      <c r="A1290" s="50" t="s">
        <v>79</v>
      </c>
      <c r="B1290" s="72" t="str">
        <f>VLOOKUP(A1290,'Componentes APUs'!$A$1:$D$14,2,0)</f>
        <v>Gafas protectoras filtro UV</v>
      </c>
      <c r="C1290" s="73"/>
      <c r="D1290" s="50" t="str">
        <f>VLOOKUP(A1290,'Componentes APUs'!$A$1:$D$14,3,0)</f>
        <v>U</v>
      </c>
      <c r="E1290" s="50">
        <f>SUM(C1266:C1271)</f>
        <v>3.75</v>
      </c>
      <c r="F1290" s="51">
        <f>VLOOKUP(A1290,'Componentes APUs'!$A$1:$D$14,4,0)</f>
        <v>2777.7777777777778</v>
      </c>
      <c r="G1290" s="51">
        <f>ROUNDUP(F1290*(E1290/21)/E1252,0)</f>
        <v>50</v>
      </c>
    </row>
    <row r="1291" spans="1:9" x14ac:dyDescent="0.25">
      <c r="A1291" s="69" t="s">
        <v>402</v>
      </c>
      <c r="B1291" s="72" t="str">
        <f>VLOOKUP(A1291,'Componentes APUs'!$A$1:$D$14,2,0)</f>
        <v>Bota de seguridad PVC dielectrica</v>
      </c>
      <c r="C1291" s="73"/>
      <c r="D1291" s="50" t="str">
        <f>VLOOKUP(A1291,'Componentes APUs'!$A$1:$D$14,3,0)</f>
        <v>Par</v>
      </c>
      <c r="E1291" s="50">
        <f>SUM(C1266:C1271)</f>
        <v>3.75</v>
      </c>
      <c r="F1291" s="51">
        <f>VLOOKUP(A1291,'Componentes APUs'!$A$1:$D$14,4,0)</f>
        <v>2916.6666666666665</v>
      </c>
      <c r="G1291" s="51">
        <f>ROUNDUP(F1291*(E1291/21)/E1252,0)</f>
        <v>53</v>
      </c>
    </row>
    <row r="1292" spans="1:9" x14ac:dyDescent="0.25">
      <c r="A1292" s="50" t="s">
        <v>403</v>
      </c>
      <c r="B1292" s="72" t="str">
        <f>VLOOKUP(A1292,'Componentes APUs'!$A$1:$D$14,2,0)</f>
        <v>Capuchon</v>
      </c>
      <c r="C1292" s="73"/>
      <c r="D1292" s="50" t="str">
        <f>VLOOKUP(A1292,'Componentes APUs'!$A$1:$D$14,3,0)</f>
        <v>U</v>
      </c>
      <c r="E1292" s="50">
        <f>SUM(C1266:C1271)</f>
        <v>3.75</v>
      </c>
      <c r="F1292" s="51">
        <f>VLOOKUP(A1292,'Componentes APUs'!$A$1:$D$14,4,0)</f>
        <v>2525.2525252525252</v>
      </c>
      <c r="G1292" s="51">
        <f>ROUNDUP(F1292*(E1292/21)/E1252,0)</f>
        <v>46</v>
      </c>
    </row>
    <row r="1293" spans="1:9" x14ac:dyDescent="0.25">
      <c r="A1293" s="69" t="s">
        <v>81</v>
      </c>
      <c r="B1293" s="72" t="str">
        <f>VLOOKUP(A1293,'Componentes APUs'!$A$1:$D$14,2,0)</f>
        <v>Guantes Protectores  - ingeniero reforzados</v>
      </c>
      <c r="C1293" s="73"/>
      <c r="D1293" s="50" t="str">
        <f>VLOOKUP(A1293,'Componentes APUs'!$A$1:$D$14,3,0)</f>
        <v>Par</v>
      </c>
      <c r="E1293" s="50">
        <f>C1268+C1269+C1271</f>
        <v>3.25</v>
      </c>
      <c r="F1293" s="51">
        <f>VLOOKUP(A1293,'Componentes APUs'!$A$1:$D$14,4,0)</f>
        <v>2525.2525252525252</v>
      </c>
      <c r="G1293" s="51">
        <f>ROUNDUP(F1293*(E1293/21)/E1252,0)</f>
        <v>40</v>
      </c>
    </row>
    <row r="1294" spans="1:9" x14ac:dyDescent="0.25">
      <c r="A1294" s="50" t="s">
        <v>83</v>
      </c>
      <c r="B1294" s="72" t="str">
        <f>VLOOKUP(A1294,'Componentes APUs'!$A$1:$D$14,2,0)</f>
        <v>Impermeable (pantalon camisa)</v>
      </c>
      <c r="C1294" s="73"/>
      <c r="D1294" s="50" t="str">
        <f>VLOOKUP(A1294,'Componentes APUs'!$A$1:$D$14,3,0)</f>
        <v>U</v>
      </c>
      <c r="E1294" s="50">
        <f>SUM(C1266:C1271)</f>
        <v>3.75</v>
      </c>
      <c r="F1294" s="51">
        <f>VLOOKUP(A1294,'Componentes APUs'!$A$1:$D$14,4,0)</f>
        <v>3750</v>
      </c>
      <c r="G1294" s="51">
        <f>ROUNDUP(F1294*(E1294/21)/E1252,0)</f>
        <v>67</v>
      </c>
    </row>
    <row r="1295" spans="1:9" x14ac:dyDescent="0.25">
      <c r="A1295" s="69" t="s">
        <v>85</v>
      </c>
      <c r="B1295" s="72" t="str">
        <f>VLOOKUP(A1295,'Componentes APUs'!$A$1:$D$14,2,0)</f>
        <v>Jean Dielectrico</v>
      </c>
      <c r="C1295" s="73"/>
      <c r="D1295" s="50" t="str">
        <f>VLOOKUP(A1295,'Componentes APUs'!$A$1:$D$14,3,0)</f>
        <v>U</v>
      </c>
      <c r="E1295" s="50">
        <f>SUM(C1266:C1271)</f>
        <v>3.75</v>
      </c>
      <c r="F1295" s="51">
        <f>VLOOKUP(A1295,'Componentes APUs'!$A$1:$D$14,4,0)</f>
        <v>7575.757575757576</v>
      </c>
      <c r="G1295" s="51">
        <f>ROUNDUP(F1295*(E1295/21)/E1252,0)</f>
        <v>136</v>
      </c>
    </row>
    <row r="1296" spans="1:9" x14ac:dyDescent="0.25">
      <c r="A1296" s="50" t="s">
        <v>87</v>
      </c>
      <c r="B1296" s="72" t="str">
        <f>VLOOKUP(A1296,'Componentes APUs'!$A$1:$D$14,2,0)</f>
        <v>Casco dielectrico Tipo 2 Clase E con barboquejo</v>
      </c>
      <c r="C1296" s="73"/>
      <c r="D1296" s="50" t="str">
        <f>VLOOKUP(A1296,'Componentes APUs'!$A$1:$D$14,3,0)</f>
        <v>U</v>
      </c>
      <c r="E1296" s="53">
        <f>IF(A1268="MO-3",C1268,0)</f>
        <v>0</v>
      </c>
      <c r="F1296" s="51">
        <f>VLOOKUP(A1296,'Componentes APUs'!$A$1:$D$14,4,0)</f>
        <v>7500</v>
      </c>
      <c r="G1296" s="51">
        <f>ROUNDUP(F1296*(E1296/21)/E1252,0)</f>
        <v>0</v>
      </c>
    </row>
    <row r="1297" spans="1:7" x14ac:dyDescent="0.25">
      <c r="A1297" s="69" t="s">
        <v>89</v>
      </c>
      <c r="B1297" s="72" t="str">
        <f>VLOOKUP(A1297,'Componentes APUs'!$A$1:$D$14,2,0)</f>
        <v>Kit de rescate para trabajo en alturas</v>
      </c>
      <c r="C1297" s="73"/>
      <c r="D1297" s="50" t="str">
        <f>VLOOKUP(A1297,'Componentes APUs'!$A$1:$D$14,3,0)</f>
        <v>U</v>
      </c>
      <c r="E1297" s="50">
        <f>IF(AND(A1268="MO-3",C1268=2),1,0)</f>
        <v>0</v>
      </c>
      <c r="F1297" s="51">
        <f>VLOOKUP(A1297,'Componentes APUs'!$A$1:$D$14,4,0)</f>
        <v>37500</v>
      </c>
      <c r="G1297" s="51">
        <f>ROUNDUP(F1297*(E1297/21)/E1252,0)</f>
        <v>0</v>
      </c>
    </row>
    <row r="1298" spans="1:7" x14ac:dyDescent="0.25">
      <c r="A1298" s="50" t="s">
        <v>91</v>
      </c>
      <c r="B1298" s="72" t="str">
        <f>VLOOKUP(A1298,'Componentes APUs'!$A$1:$D$14,2,0)</f>
        <v>Equipo completo para trabajo en alturas con pretales (Arnes dielectrico, 1 mosqueton de seguridad, tie off dielectrico, eslinga de posicionamiento, juego de pretales)</v>
      </c>
      <c r="C1298" s="73"/>
      <c r="D1298" s="50" t="str">
        <f>VLOOKUP(A1298,'Componentes APUs'!$A$1:$D$14,3,0)</f>
        <v>U</v>
      </c>
      <c r="E1298" s="50">
        <f>IF(A1268="MO-3",C1268,0)</f>
        <v>0</v>
      </c>
      <c r="F1298" s="51">
        <f>VLOOKUP(A1298,'Componentes APUs'!$A$1:$D$14,4,0)</f>
        <v>26041.666666666668</v>
      </c>
      <c r="G1298" s="51">
        <f>ROUNDUP(F1298*(E1298/21)/E1252,0)</f>
        <v>0</v>
      </c>
    </row>
    <row r="1299" spans="1:7" x14ac:dyDescent="0.25">
      <c r="A1299" s="219" t="s">
        <v>95</v>
      </c>
      <c r="B1299" s="219"/>
      <c r="C1299" s="219"/>
      <c r="D1299" s="219"/>
      <c r="E1299" s="219"/>
      <c r="F1299" s="219"/>
      <c r="G1299" s="52">
        <f>SUM(G1286:G1298)</f>
        <v>929</v>
      </c>
    </row>
    <row r="1300" spans="1:7" x14ac:dyDescent="0.25">
      <c r="A1300" s="56"/>
      <c r="B1300" s="57"/>
      <c r="C1300" s="57"/>
      <c r="D1300" s="57"/>
      <c r="E1300" s="57"/>
      <c r="F1300" s="57"/>
      <c r="G1300" s="58"/>
    </row>
    <row r="1301" spans="1:7" x14ac:dyDescent="0.25">
      <c r="A1301" s="219" t="s">
        <v>96</v>
      </c>
      <c r="B1301" s="219"/>
      <c r="C1301" s="219"/>
      <c r="D1301" s="219"/>
      <c r="E1301" s="219"/>
      <c r="F1301" s="219"/>
      <c r="G1301" s="219"/>
    </row>
    <row r="1302" spans="1:7" x14ac:dyDescent="0.25">
      <c r="A1302" s="49" t="s">
        <v>35</v>
      </c>
      <c r="B1302" s="225" t="s">
        <v>36</v>
      </c>
      <c r="C1302" s="225"/>
      <c r="D1302" s="49" t="s">
        <v>37</v>
      </c>
      <c r="E1302" s="49" t="s">
        <v>38</v>
      </c>
      <c r="F1302" s="49" t="s">
        <v>39</v>
      </c>
      <c r="G1302" s="49" t="s">
        <v>40</v>
      </c>
    </row>
    <row r="1303" spans="1:7" x14ac:dyDescent="0.25">
      <c r="A1303" s="69" t="s">
        <v>97</v>
      </c>
      <c r="B1303" s="72" t="str">
        <f>VLOOKUP(A1303,'Componentes APUs'!$N$1:$Q$30,2,0)</f>
        <v>Camioneta</v>
      </c>
      <c r="C1303" s="73"/>
      <c r="D1303" s="70" t="str">
        <f>VLOOKUP(A1303,'Componentes APUs'!$N$1:$Q$30,3,0)</f>
        <v>U</v>
      </c>
      <c r="E1303" s="50">
        <v>1</v>
      </c>
      <c r="F1303" s="51">
        <f>VLOOKUP(A1303,'Componentes APUs'!$N$1:$Q$30,4,0)</f>
        <v>5500000</v>
      </c>
      <c r="G1303" s="51">
        <f>IFERROR(ROUNDUP(F1303*(E1303/21)/E1252,0),"-")</f>
        <v>26191</v>
      </c>
    </row>
    <row r="1304" spans="1:7" x14ac:dyDescent="0.25">
      <c r="A1304" s="50" t="s">
        <v>321</v>
      </c>
      <c r="B1304" s="72" t="str">
        <f>VLOOKUP(A1304,'Componentes APUs'!$N$1:$Q$30,2,0)</f>
        <v>Grúa Hidráulica</v>
      </c>
      <c r="C1304" s="73"/>
      <c r="D1304" s="70" t="str">
        <f>VLOOKUP(A1304,'Componentes APUs'!$N$1:$Q$30,3,0)</f>
        <v>U</v>
      </c>
      <c r="E1304" s="50">
        <v>0</v>
      </c>
      <c r="F1304" s="51">
        <f>VLOOKUP(A1304,'Componentes APUs'!$N$1:$Q$30,4,0)</f>
        <v>21000000</v>
      </c>
      <c r="G1304" s="51">
        <f>IFERROR(ROUNDUP(F1304*(E1304/21)/E1252,0),"-")</f>
        <v>0</v>
      </c>
    </row>
    <row r="1305" spans="1:7" x14ac:dyDescent="0.25">
      <c r="A1305" s="69" t="s">
        <v>1379</v>
      </c>
      <c r="B1305" s="72" t="str">
        <f>VLOOKUP(A1305,'Componentes APUs'!$N$1:$Q$30,2,0)</f>
        <v>Dumper de descarga Frontal 2T</v>
      </c>
      <c r="C1305" s="73"/>
      <c r="D1305" s="70" t="str">
        <f>VLOOKUP(A1305,'Componentes APUs'!$N$1:$Q$30,3,0)</f>
        <v>U</v>
      </c>
      <c r="E1305" s="50">
        <v>0</v>
      </c>
      <c r="F1305" s="51">
        <f>VLOOKUP(A1305,'Componentes APUs'!$N$1:$Q$30,4,0)</f>
        <v>4438716.24</v>
      </c>
      <c r="G1305" s="51">
        <f>IFERROR(ROUNDUP(F1305*(E1305/21)/E1252,0),"-")</f>
        <v>0</v>
      </c>
    </row>
    <row r="1306" spans="1:7" x14ac:dyDescent="0.25">
      <c r="A1306" s="50" t="s">
        <v>323</v>
      </c>
      <c r="B1306" s="72" t="str">
        <f>VLOOKUP(A1306,'Componentes APUs'!$N$1:$Q$30,2,0)</f>
        <v>Volqueta</v>
      </c>
      <c r="C1306" s="73"/>
      <c r="D1306" s="70" t="str">
        <f>VLOOKUP(A1306,'Componentes APUs'!$N$1:$Q$30,3,0)</f>
        <v>U</v>
      </c>
      <c r="E1306" s="50">
        <v>0</v>
      </c>
      <c r="F1306" s="51">
        <f>VLOOKUP(A1306,'Componentes APUs'!$N$1:$Q$30,4,0)</f>
        <v>14828184</v>
      </c>
      <c r="G1306" s="51">
        <f>IFERROR(ROUNDUP(F1306*(E1306/21)/E1252,0),"-")</f>
        <v>0</v>
      </c>
    </row>
    <row r="1307" spans="1:7" x14ac:dyDescent="0.25">
      <c r="A1307" s="69" t="s">
        <v>324</v>
      </c>
      <c r="B1307" s="72" t="str">
        <f>VLOOKUP(A1307,'Componentes APUs'!$N$1:$Q$30,2,0)</f>
        <v>Retroexcavadora</v>
      </c>
      <c r="C1307" s="73"/>
      <c r="D1307" s="70" t="str">
        <f>VLOOKUP(A1307,'Componentes APUs'!$N$1:$Q$30,3,0)</f>
        <v>U</v>
      </c>
      <c r="E1307" s="50">
        <v>0</v>
      </c>
      <c r="F1307" s="51">
        <f>VLOOKUP(A1307,'Componentes APUs'!$N$1:$Q$30,4,0)</f>
        <v>46030656</v>
      </c>
      <c r="G1307" s="51">
        <f>IFERROR(ROUNDUP(F1307*(E1307/21)/E1252,0),"-")</f>
        <v>0</v>
      </c>
    </row>
    <row r="1308" spans="1:7" x14ac:dyDescent="0.25">
      <c r="A1308" s="219" t="s">
        <v>99</v>
      </c>
      <c r="B1308" s="219"/>
      <c r="C1308" s="219"/>
      <c r="D1308" s="219"/>
      <c r="E1308" s="219"/>
      <c r="F1308" s="219"/>
      <c r="G1308" s="52">
        <f>SUM(G1303:G1307)</f>
        <v>26191</v>
      </c>
    </row>
    <row r="1309" spans="1:7" x14ac:dyDescent="0.25">
      <c r="A1309" s="56"/>
      <c r="B1309" s="57"/>
      <c r="C1309" s="57"/>
      <c r="D1309" s="57"/>
      <c r="E1309" s="57"/>
      <c r="F1309" s="57"/>
      <c r="G1309" s="58"/>
    </row>
    <row r="1310" spans="1:7" x14ac:dyDescent="0.25">
      <c r="A1310" s="219" t="s">
        <v>1516</v>
      </c>
      <c r="B1310" s="219"/>
      <c r="C1310" s="219"/>
      <c r="D1310" s="219"/>
      <c r="E1310" s="219"/>
      <c r="F1310" s="219"/>
      <c r="G1310" s="52">
        <f>G1308+G1299+G1282+G1272+G1262</f>
        <v>531632</v>
      </c>
    </row>
    <row r="1311" spans="1:7" x14ac:dyDescent="0.25">
      <c r="A1311" s="59"/>
      <c r="B1311" s="60"/>
      <c r="C1311" s="60"/>
      <c r="D1311" s="60"/>
      <c r="E1311" s="57"/>
      <c r="F1311" s="57"/>
      <c r="G1311" s="58"/>
    </row>
    <row r="1312" spans="1:7" x14ac:dyDescent="0.25">
      <c r="A1312" s="64"/>
      <c r="D1312" s="55"/>
      <c r="E1312" s="49" t="s">
        <v>25</v>
      </c>
      <c r="F1312" s="54">
        <v>0.15</v>
      </c>
      <c r="G1312" s="51">
        <f>G1310*F1312</f>
        <v>79744.800000000003</v>
      </c>
    </row>
    <row r="1313" spans="1:8" x14ac:dyDescent="0.25">
      <c r="A1313" s="64"/>
      <c r="D1313" s="55"/>
      <c r="E1313" s="49" t="s">
        <v>26</v>
      </c>
      <c r="F1313" s="54">
        <v>0.05</v>
      </c>
      <c r="G1313" s="51">
        <f>G1310*F1313</f>
        <v>26581.600000000002</v>
      </c>
    </row>
    <row r="1314" spans="1:8" x14ac:dyDescent="0.25">
      <c r="A1314" s="61"/>
      <c r="B1314" s="65"/>
      <c r="C1314" s="65"/>
      <c r="D1314" s="62"/>
      <c r="E1314" s="49" t="s">
        <v>27</v>
      </c>
      <c r="F1314" s="54">
        <v>0.05</v>
      </c>
      <c r="G1314" s="51">
        <f>G1310*F1314</f>
        <v>26581.600000000002</v>
      </c>
    </row>
    <row r="1315" spans="1:8" x14ac:dyDescent="0.25">
      <c r="A1315" s="61"/>
      <c r="B1315" s="62"/>
      <c r="C1315" s="62"/>
      <c r="D1315" s="62"/>
      <c r="E1315" s="62"/>
      <c r="F1315" s="62"/>
      <c r="G1315" s="63"/>
    </row>
    <row r="1316" spans="1:8" x14ac:dyDescent="0.25">
      <c r="A1316" s="219" t="s">
        <v>1517</v>
      </c>
      <c r="B1316" s="219"/>
      <c r="C1316" s="219"/>
      <c r="D1316" s="219"/>
      <c r="E1316" s="219"/>
      <c r="F1316" s="219"/>
      <c r="G1316" s="52">
        <f>G1310+G1312+G1313+G1314</f>
        <v>664540</v>
      </c>
    </row>
    <row r="1317" spans="1:8" x14ac:dyDescent="0.25">
      <c r="A1317" s="59"/>
      <c r="B1317" s="60"/>
      <c r="C1317" s="60"/>
      <c r="D1317" s="60"/>
      <c r="E1317" s="57"/>
      <c r="F1317" s="57"/>
      <c r="G1317" s="58"/>
    </row>
    <row r="1318" spans="1:8" x14ac:dyDescent="0.25">
      <c r="A1318" s="64"/>
      <c r="D1318" s="55"/>
      <c r="E1318" s="49" t="s">
        <v>102</v>
      </c>
      <c r="F1318" s="49" t="s">
        <v>103</v>
      </c>
      <c r="G1318" s="51">
        <f>G1314*19%</f>
        <v>5050.5040000000008</v>
      </c>
    </row>
    <row r="1319" spans="1:8" x14ac:dyDescent="0.25">
      <c r="A1319" s="61"/>
      <c r="B1319" s="62"/>
      <c r="C1319" s="62"/>
      <c r="D1319" s="62"/>
      <c r="E1319" s="57"/>
      <c r="F1319" s="57"/>
      <c r="G1319" s="58"/>
    </row>
    <row r="1320" spans="1:8" x14ac:dyDescent="0.25">
      <c r="A1320" s="219" t="s">
        <v>104</v>
      </c>
      <c r="B1320" s="219"/>
      <c r="C1320" s="219"/>
      <c r="D1320" s="219"/>
      <c r="E1320" s="219"/>
      <c r="F1320" s="219"/>
      <c r="G1320" s="52">
        <f>G1318+G1316</f>
        <v>669590.50399999996</v>
      </c>
    </row>
    <row r="1322" spans="1:8" x14ac:dyDescent="0.25">
      <c r="A1322" s="74" t="s">
        <v>29</v>
      </c>
      <c r="B1322" s="226" t="s">
        <v>30</v>
      </c>
      <c r="C1322" s="226"/>
      <c r="D1322" s="74" t="s">
        <v>31</v>
      </c>
      <c r="E1322" s="74" t="s">
        <v>32</v>
      </c>
      <c r="F1322" s="74" t="s">
        <v>189</v>
      </c>
      <c r="G1322" s="74" t="s">
        <v>33</v>
      </c>
      <c r="H1322" s="105"/>
    </row>
    <row r="1323" spans="1:8" ht="24" customHeight="1" x14ac:dyDescent="0.25">
      <c r="A1323" s="50" t="str">
        <f>Presupuesto!B29</f>
        <v>021_OC</v>
      </c>
      <c r="B1323" s="229" t="str">
        <f>Presupuesto!C29</f>
        <v>TAPA EN ALFAJOR (0,8X 1 METROS) (CÁRCAMO BAJA TENSIÓN)</v>
      </c>
      <c r="C1323" s="230"/>
      <c r="D1323" s="50" t="s">
        <v>8</v>
      </c>
      <c r="E1323" s="102">
        <v>10</v>
      </c>
      <c r="F1323" s="50"/>
      <c r="G1323" s="51">
        <f>G1391</f>
        <v>578014.77799999993</v>
      </c>
      <c r="H1323" s="45"/>
    </row>
    <row r="1324" spans="1:8" x14ac:dyDescent="0.25">
      <c r="A1324" s="219" t="s">
        <v>34</v>
      </c>
      <c r="B1324" s="219"/>
      <c r="C1324" s="219"/>
      <c r="D1324" s="219"/>
      <c r="E1324" s="219"/>
      <c r="F1324" s="219"/>
      <c r="G1324" s="219"/>
    </row>
    <row r="1325" spans="1:8" x14ac:dyDescent="0.25">
      <c r="A1325" s="49" t="s">
        <v>35</v>
      </c>
      <c r="B1325" s="219" t="s">
        <v>36</v>
      </c>
      <c r="C1325" s="219"/>
      <c r="D1325" s="49" t="s">
        <v>37</v>
      </c>
      <c r="E1325" s="49" t="s">
        <v>38</v>
      </c>
      <c r="F1325" s="49" t="s">
        <v>39</v>
      </c>
      <c r="G1325" s="49" t="s">
        <v>40</v>
      </c>
    </row>
    <row r="1326" spans="1:8" x14ac:dyDescent="0.25">
      <c r="A1326" s="50" t="str">
        <f>Material!A462</f>
        <v>MA-461</v>
      </c>
      <c r="B1326" s="72" t="str">
        <f>IFERROR(VLOOKUP(A1326,Material!$A:$H,2,0),"-")</f>
        <v>LÁMINA DE ALFAJOR 4 MM X 1X1 M</v>
      </c>
      <c r="C1326" s="76"/>
      <c r="D1326" s="50" t="s">
        <v>113</v>
      </c>
      <c r="E1326" s="107">
        <v>0.8</v>
      </c>
      <c r="F1326" s="51">
        <f>IFERROR(VLOOKUP(A1326,Material!$A:$H,3,0),"-")</f>
        <v>255255</v>
      </c>
      <c r="G1326" s="51">
        <f t="shared" ref="G1326:G1332" si="15">IFERROR(ROUNDUP(F1326*E1326,0),"-")</f>
        <v>204204</v>
      </c>
      <c r="H1326" s="106"/>
    </row>
    <row r="1327" spans="1:8" x14ac:dyDescent="0.25">
      <c r="A1327" s="50" t="str">
        <f>Material!A463</f>
        <v>MA-462</v>
      </c>
      <c r="B1327" s="72" t="str">
        <f>IFERROR(VLOOKUP(A1327,Material!$A:$H,2,0),"-")</f>
        <v>ÁNGULO 2X1/4"</v>
      </c>
      <c r="C1327" s="76"/>
      <c r="D1327" s="50" t="str">
        <f>IFERROR(VLOOKUP(A1327,Material!$A:$H,4,0),"-")</f>
        <v>ML</v>
      </c>
      <c r="E1327" s="107">
        <f>(0.9+1.1)*2*1.1</f>
        <v>4.4000000000000004</v>
      </c>
      <c r="F1327" s="51">
        <f>IFERROR(VLOOKUP(A1327,Material!$A:$H,3,0),"-")</f>
        <v>36094.933333333334</v>
      </c>
      <c r="G1327" s="51">
        <f t="shared" si="15"/>
        <v>158818</v>
      </c>
      <c r="H1327" s="106"/>
    </row>
    <row r="1328" spans="1:8" x14ac:dyDescent="0.25">
      <c r="A1328" s="50"/>
      <c r="B1328" s="72" t="str">
        <f>IFERROR(VLOOKUP(A1328,Material!$A:$H,2,0),"-")</f>
        <v>-</v>
      </c>
      <c r="C1328" s="76"/>
      <c r="D1328" s="50" t="str">
        <f>IFERROR(VLOOKUP(A1328,Material!$A:$H,4,0),"-")</f>
        <v>-</v>
      </c>
      <c r="E1328" s="107"/>
      <c r="F1328" s="51" t="str">
        <f>IFERROR(VLOOKUP(A1328,Material!$A:$H,3,0),"-")</f>
        <v>-</v>
      </c>
      <c r="G1328" s="51" t="str">
        <f t="shared" si="15"/>
        <v>-</v>
      </c>
      <c r="H1328" s="106"/>
    </row>
    <row r="1329" spans="1:9" x14ac:dyDescent="0.25">
      <c r="A1329" s="50"/>
      <c r="B1329" s="72" t="str">
        <f>IFERROR(VLOOKUP(A1329,Material!$A:$H,2,0),"-")</f>
        <v>-</v>
      </c>
      <c r="C1329" s="76"/>
      <c r="D1329" s="50" t="str">
        <f>IFERROR(VLOOKUP(A1329,Material!$A:$H,4,0),"-")</f>
        <v>-</v>
      </c>
      <c r="E1329" s="107"/>
      <c r="F1329" s="51" t="str">
        <f>IFERROR(VLOOKUP(A1329,Material!$A:$H,3,0),"-")</f>
        <v>-</v>
      </c>
      <c r="G1329" s="51" t="str">
        <f t="shared" si="15"/>
        <v>-</v>
      </c>
      <c r="H1329" s="106"/>
    </row>
    <row r="1330" spans="1:9" x14ac:dyDescent="0.25">
      <c r="A1330" s="50"/>
      <c r="B1330" s="72" t="str">
        <f>IFERROR(VLOOKUP(A1330,Material!$A:$H,2,0),"-")</f>
        <v>-</v>
      </c>
      <c r="C1330" s="76"/>
      <c r="D1330" s="50" t="str">
        <f>IFERROR(VLOOKUP(A1330,Material!$A:$H,4,0),"-")</f>
        <v>-</v>
      </c>
      <c r="E1330" s="53"/>
      <c r="F1330" s="51" t="str">
        <f>IFERROR(VLOOKUP(A1330,Material!$A:$H,3,0),"-")</f>
        <v>-</v>
      </c>
      <c r="G1330" s="51" t="str">
        <f t="shared" si="15"/>
        <v>-</v>
      </c>
      <c r="H1330" s="106"/>
    </row>
    <row r="1331" spans="1:9" x14ac:dyDescent="0.25">
      <c r="A1331" s="50"/>
      <c r="B1331" s="72" t="str">
        <f>IFERROR(VLOOKUP(A1331,Material!$A:$H,2,0),"-")</f>
        <v>-</v>
      </c>
      <c r="C1331" s="76"/>
      <c r="D1331" s="50" t="str">
        <f>IFERROR(VLOOKUP(A1331,Material!$A:$H,4,0),"-")</f>
        <v>-</v>
      </c>
      <c r="E1331" s="107"/>
      <c r="F1331" s="51" t="str">
        <f>IFERROR(VLOOKUP(A1331,Material!$A:$H,3,0),"-")</f>
        <v>-</v>
      </c>
      <c r="G1331" s="51" t="str">
        <f t="shared" si="15"/>
        <v>-</v>
      </c>
      <c r="H1331" s="106"/>
    </row>
    <row r="1332" spans="1:9" x14ac:dyDescent="0.25">
      <c r="A1332" s="50"/>
      <c r="B1332" s="72" t="str">
        <f>IFERROR(VLOOKUP(A1332,Material!$A:$H,2,0),"-")</f>
        <v>-</v>
      </c>
      <c r="C1332" s="76"/>
      <c r="D1332" s="50" t="str">
        <f>IFERROR(VLOOKUP(A1332,Material!$A:$H,4,0),"-")</f>
        <v>-</v>
      </c>
      <c r="E1332" s="107"/>
      <c r="F1332" s="51" t="str">
        <f>IFERROR(VLOOKUP(A1332,Material!$A:$H,3,0),"-")</f>
        <v>-</v>
      </c>
      <c r="G1332" s="51" t="str">
        <f t="shared" si="15"/>
        <v>-</v>
      </c>
      <c r="H1332" s="106"/>
    </row>
    <row r="1333" spans="1:9" x14ac:dyDescent="0.25">
      <c r="A1333" s="219" t="s">
        <v>41</v>
      </c>
      <c r="B1333" s="219"/>
      <c r="C1333" s="219"/>
      <c r="D1333" s="219"/>
      <c r="E1333" s="219"/>
      <c r="F1333" s="219"/>
      <c r="G1333" s="52">
        <f>SUM(G1326:G1332)</f>
        <v>363022</v>
      </c>
      <c r="I1333" s="104"/>
    </row>
    <row r="1334" spans="1:9" x14ac:dyDescent="0.25">
      <c r="A1334" s="56"/>
      <c r="B1334" s="57"/>
      <c r="C1334" s="57"/>
      <c r="D1334" s="57"/>
      <c r="E1334" s="57"/>
      <c r="F1334" s="57"/>
      <c r="G1334" s="58"/>
    </row>
    <row r="1335" spans="1:9" x14ac:dyDescent="0.25">
      <c r="A1335" s="219" t="s">
        <v>42</v>
      </c>
      <c r="B1335" s="219"/>
      <c r="C1335" s="219"/>
      <c r="D1335" s="219"/>
      <c r="E1335" s="219"/>
      <c r="F1335" s="219"/>
      <c r="G1335" s="219"/>
    </row>
    <row r="1336" spans="1:9" x14ac:dyDescent="0.25">
      <c r="A1336" s="49" t="s">
        <v>35</v>
      </c>
      <c r="B1336" s="49" t="s">
        <v>36</v>
      </c>
      <c r="C1336" s="49" t="s">
        <v>38</v>
      </c>
      <c r="D1336" s="49" t="s">
        <v>43</v>
      </c>
      <c r="E1336" s="49" t="s">
        <v>44</v>
      </c>
      <c r="F1336" s="49" t="s">
        <v>45</v>
      </c>
      <c r="G1336" s="49" t="s">
        <v>40</v>
      </c>
    </row>
    <row r="1337" spans="1:9" x14ac:dyDescent="0.25">
      <c r="A1337" s="50" t="s">
        <v>319</v>
      </c>
      <c r="B1337" s="68" t="str">
        <f>VLOOKUP(A1337,'Componentes APUs'!$H$1:$L$25,2,0)</f>
        <v>Ingeniero Residente de Obra</v>
      </c>
      <c r="C1337" s="93">
        <v>0.25</v>
      </c>
      <c r="D1337" s="50">
        <f>VLOOKUP(A1337,'Componentes APUs'!$H$1:$L$25,3,0)</f>
        <v>4</v>
      </c>
      <c r="E1337" s="51">
        <f>VLOOKUP(A1337,'Componentes APUs'!$H$1:$L$25,4,0)</f>
        <v>271142.85714285716</v>
      </c>
      <c r="F1337" s="51">
        <f>VLOOKUP(A1337,'Componentes APUs'!$H$1:$L$25,5,0)</f>
        <v>162685.71428571429</v>
      </c>
      <c r="G1337" s="51">
        <f>ROUNDUP((E1337+F1337)*C1337/E1323,0)</f>
        <v>10846</v>
      </c>
      <c r="H1337" s="66"/>
    </row>
    <row r="1338" spans="1:9" x14ac:dyDescent="0.25">
      <c r="A1338" s="50" t="s">
        <v>320</v>
      </c>
      <c r="B1338" s="68" t="str">
        <f>VLOOKUP(A1338,'Componentes APUs'!$H$1:$L$25,2,0)</f>
        <v>Tecnico Supervisor</v>
      </c>
      <c r="C1338" s="93">
        <v>0</v>
      </c>
      <c r="D1338" s="50">
        <f>VLOOKUP(A1338,'Componentes APUs'!$H$1:$L$25,3,0)</f>
        <v>2.2999999999999998</v>
      </c>
      <c r="E1338" s="51">
        <f>VLOOKUP(A1338,'Componentes APUs'!$H$1:$L$25,4,0)</f>
        <v>155907.14285714284</v>
      </c>
      <c r="F1338" s="51">
        <f>VLOOKUP(A1338,'Componentes APUs'!$H$1:$L$25,5,0)</f>
        <v>93544.285714285696</v>
      </c>
      <c r="G1338" s="51">
        <f>ROUNDUP((E1338+F1338)*C1338/E1323,0)</f>
        <v>0</v>
      </c>
    </row>
    <row r="1339" spans="1:9" x14ac:dyDescent="0.25">
      <c r="A1339" s="50" t="s">
        <v>54</v>
      </c>
      <c r="B1339" s="68" t="str">
        <f>VLOOKUP(A1339,'Componentes APUs'!$H$1:$L$25,2,0)</f>
        <v>Maestro de obra civil</v>
      </c>
      <c r="C1339" s="93">
        <v>0.25</v>
      </c>
      <c r="D1339" s="50">
        <f>VLOOKUP(A1339,'Componentes APUs'!$H$1:$L$25,3,0)</f>
        <v>2.5</v>
      </c>
      <c r="E1339" s="51">
        <f>VLOOKUP(A1339,'Componentes APUs'!$H$1:$L$25,4,0)</f>
        <v>169464.28571428571</v>
      </c>
      <c r="F1339" s="51">
        <f>VLOOKUP(A1339,'Componentes APUs'!$H$1:$L$25,5,0)</f>
        <v>101678.57142857142</v>
      </c>
      <c r="G1339" s="51">
        <f>ROUNDUP((E1339+F1339)*C1339/E1323,0)</f>
        <v>6779</v>
      </c>
    </row>
    <row r="1340" spans="1:9" x14ac:dyDescent="0.25">
      <c r="A1340" s="50" t="s">
        <v>1110</v>
      </c>
      <c r="B1340" s="68" t="str">
        <f>VLOOKUP(A1340,'Componentes APUs'!$H$1:$L$25,2,0)</f>
        <v>Oficial de Obra Civil</v>
      </c>
      <c r="C1340" s="93">
        <v>1</v>
      </c>
      <c r="D1340" s="50">
        <f>VLOOKUP(A1340,'Componentes APUs'!$H$1:$L$25,3,0)</f>
        <v>1.5</v>
      </c>
      <c r="E1340" s="51">
        <f>VLOOKUP(A1340,'Componentes APUs'!$H$1:$L$25,4,0)</f>
        <v>115964.28571428571</v>
      </c>
      <c r="F1340" s="51">
        <f>VLOOKUP(A1340,'Componentes APUs'!$H$1:$L$25,5,0)</f>
        <v>69578.57142857142</v>
      </c>
      <c r="G1340" s="51">
        <f>ROUNDUP((E1340+F1340)*C1340/E1323,0)</f>
        <v>18555</v>
      </c>
    </row>
    <row r="1341" spans="1:9" x14ac:dyDescent="0.25">
      <c r="A1341" s="50" t="s">
        <v>50</v>
      </c>
      <c r="B1341" s="68" t="str">
        <f>VLOOKUP(A1341,'Componentes APUs'!$H$1:$L$25,2,0)</f>
        <v>Profesional en SST</v>
      </c>
      <c r="C1341" s="93">
        <v>0.25</v>
      </c>
      <c r="D1341" s="50">
        <f>VLOOKUP(A1341,'Componentes APUs'!$H$1:$L$25,3,0)</f>
        <v>2.5</v>
      </c>
      <c r="E1341" s="51">
        <f>VLOOKUP(A1341,'Componentes APUs'!$H$1:$L$25,4,0)</f>
        <v>169464.28571428571</v>
      </c>
      <c r="F1341" s="51">
        <f>VLOOKUP(A1341,'Componentes APUs'!$H$1:$L$25,5,0)</f>
        <v>101678.57142857142</v>
      </c>
      <c r="G1341" s="51">
        <f>ROUNDUP((E1341+F1341)*C1341/E1323,0)</f>
        <v>6779</v>
      </c>
    </row>
    <row r="1342" spans="1:9" x14ac:dyDescent="0.25">
      <c r="A1342" s="50" t="s">
        <v>1109</v>
      </c>
      <c r="B1342" s="68" t="str">
        <f>VLOOKUP(A1342,'Componentes APUs'!$H$1:$L$25,2,0)</f>
        <v>Ayudante de Obra Civil</v>
      </c>
      <c r="C1342" s="93">
        <v>2</v>
      </c>
      <c r="D1342" s="50">
        <f>VLOOKUP(A1342,'Componentes APUs'!$H$1:$L$25,3,0)</f>
        <v>1</v>
      </c>
      <c r="E1342" s="51">
        <f>VLOOKUP(A1342,'Componentes APUs'!$H$1:$L$25,4,0)</f>
        <v>77309.523809523816</v>
      </c>
      <c r="F1342" s="51">
        <f>VLOOKUP(A1342,'Componentes APUs'!$H$1:$L$25,5,0)</f>
        <v>46385.71428571429</v>
      </c>
      <c r="G1342" s="51">
        <f>ROUNDUP((E1342+F1342)*C1342/E1323,0)</f>
        <v>24740</v>
      </c>
    </row>
    <row r="1343" spans="1:9" x14ac:dyDescent="0.25">
      <c r="A1343" s="219" t="s">
        <v>56</v>
      </c>
      <c r="B1343" s="219"/>
      <c r="C1343" s="219"/>
      <c r="D1343" s="219"/>
      <c r="E1343" s="219"/>
      <c r="F1343" s="219"/>
      <c r="G1343" s="52">
        <f>SUM(G1337:G1342)</f>
        <v>67699</v>
      </c>
    </row>
    <row r="1344" spans="1:9" x14ac:dyDescent="0.25">
      <c r="A1344" s="56"/>
      <c r="B1344" s="57"/>
      <c r="C1344" s="57"/>
      <c r="D1344" s="57"/>
      <c r="E1344" s="57"/>
      <c r="F1344" s="57"/>
      <c r="G1344" s="58"/>
    </row>
    <row r="1345" spans="1:9" x14ac:dyDescent="0.25">
      <c r="A1345" s="219" t="s">
        <v>57</v>
      </c>
      <c r="B1345" s="219"/>
      <c r="C1345" s="219"/>
      <c r="D1345" s="219"/>
      <c r="E1345" s="219"/>
      <c r="F1345" s="219"/>
      <c r="G1345" s="219"/>
    </row>
    <row r="1346" spans="1:9" x14ac:dyDescent="0.25">
      <c r="A1346" s="49" t="s">
        <v>35</v>
      </c>
      <c r="B1346" s="219" t="s">
        <v>36</v>
      </c>
      <c r="C1346" s="219"/>
      <c r="D1346" s="49" t="s">
        <v>37</v>
      </c>
      <c r="E1346" s="49" t="s">
        <v>38</v>
      </c>
      <c r="F1346" s="49" t="s">
        <v>39</v>
      </c>
      <c r="G1346" s="49" t="s">
        <v>40</v>
      </c>
    </row>
    <row r="1347" spans="1:9" x14ac:dyDescent="0.25">
      <c r="A1347" s="50" t="s">
        <v>326</v>
      </c>
      <c r="B1347" s="220" t="str">
        <f>VLOOKUP(A1347,'Componentes APUs'!$S$1:$V$10,2,0)</f>
        <v>Juego Llaves</v>
      </c>
      <c r="C1347" s="220"/>
      <c r="D1347" s="50" t="s">
        <v>18</v>
      </c>
      <c r="E1347" s="50">
        <v>0</v>
      </c>
      <c r="F1347" s="51">
        <f>VLOOKUP(A1347,'Componentes APUs'!$S$1:$V$10,4,0)</f>
        <v>9167</v>
      </c>
      <c r="G1347" s="51">
        <f>ROUNDUP(F1347*((E1347/21)/E1323),0)</f>
        <v>0</v>
      </c>
      <c r="I1347" s="91"/>
    </row>
    <row r="1348" spans="1:9" x14ac:dyDescent="0.25">
      <c r="A1348" s="50" t="s">
        <v>58</v>
      </c>
      <c r="B1348" s="220" t="str">
        <f>VLOOKUP(A1348,'Componentes APUs'!$S$1:$V$10,2,0)</f>
        <v>Manila de servicio</v>
      </c>
      <c r="C1348" s="220"/>
      <c r="D1348" s="50" t="s">
        <v>18</v>
      </c>
      <c r="E1348" s="50">
        <v>0</v>
      </c>
      <c r="F1348" s="51">
        <f>VLOOKUP(A1348,'Componentes APUs'!$S$1:$V$10,4,0)</f>
        <v>2333</v>
      </c>
      <c r="G1348" s="51">
        <f>ROUNDUP(F1348*((E1348/21)/E1323),0)</f>
        <v>0</v>
      </c>
    </row>
    <row r="1349" spans="1:9" x14ac:dyDescent="0.25">
      <c r="A1349" s="50" t="s">
        <v>327</v>
      </c>
      <c r="B1349" s="220" t="str">
        <f>VLOOKUP(A1349,'Componentes APUs'!$S$1:$V$10,2,0)</f>
        <v>Tula portaherramientas</v>
      </c>
      <c r="C1349" s="220"/>
      <c r="D1349" s="50" t="s">
        <v>18</v>
      </c>
      <c r="E1349" s="50">
        <v>0</v>
      </c>
      <c r="F1349" s="51">
        <f>VLOOKUP(A1349,'Componentes APUs'!$S$1:$V$10,4,0)</f>
        <v>1250</v>
      </c>
      <c r="G1349" s="51">
        <f>ROUNDUP(F1349*((E1349/21)/E1323),0)</f>
        <v>0</v>
      </c>
    </row>
    <row r="1350" spans="1:9" x14ac:dyDescent="0.25">
      <c r="A1350" s="50" t="s">
        <v>60</v>
      </c>
      <c r="B1350" s="220" t="str">
        <f>VLOOKUP(A1350,'Componentes APUs'!$S$1:$V$10,2,0)</f>
        <v>Agarradoras</v>
      </c>
      <c r="C1350" s="220"/>
      <c r="D1350" s="50" t="s">
        <v>18</v>
      </c>
      <c r="E1350" s="50">
        <v>0</v>
      </c>
      <c r="F1350" s="51">
        <f>VLOOKUP(A1350,'Componentes APUs'!$S$1:$V$10,4,0)</f>
        <v>125000</v>
      </c>
      <c r="G1350" s="51">
        <f>ROUNDUP(F1350*((E1350/21)/E1323),0)</f>
        <v>0</v>
      </c>
    </row>
    <row r="1351" spans="1:9" x14ac:dyDescent="0.25">
      <c r="A1351" s="50" t="s">
        <v>62</v>
      </c>
      <c r="B1351" s="220" t="str">
        <f>VLOOKUP(A1351,'Componentes APUs'!$S$1:$V$10,2,0)</f>
        <v>Templadoras</v>
      </c>
      <c r="C1351" s="220"/>
      <c r="D1351" s="50" t="s">
        <v>18</v>
      </c>
      <c r="E1351" s="50">
        <v>0</v>
      </c>
      <c r="F1351" s="51">
        <f>VLOOKUP(A1351,'Componentes APUs'!$S$1:$V$10,4,0)</f>
        <v>250000</v>
      </c>
      <c r="G1351" s="51">
        <f>ROUNDUP(F1351*((E1351/21)/E1323),0)</f>
        <v>0</v>
      </c>
    </row>
    <row r="1352" spans="1:9" x14ac:dyDescent="0.25">
      <c r="A1352" s="50" t="s">
        <v>328</v>
      </c>
      <c r="B1352" s="220" t="str">
        <f>VLOOKUP(A1352,'Componentes APUs'!$S$1:$V$10,2,0)</f>
        <v>Herramienta Menor</v>
      </c>
      <c r="C1352" s="220"/>
      <c r="D1352" s="50" t="s">
        <v>18</v>
      </c>
      <c r="E1352" s="50">
        <v>3</v>
      </c>
      <c r="F1352" s="51">
        <f>VLOOKUP(A1352,'Componentes APUs'!$S$1:$V$10,4,0)</f>
        <v>75758</v>
      </c>
      <c r="G1352" s="51">
        <f>ROUNDUP(F1352*((E1352/21)/E1323),0)</f>
        <v>1083</v>
      </c>
    </row>
    <row r="1353" spans="1:9" x14ac:dyDescent="0.25">
      <c r="A1353" s="219" t="s">
        <v>69</v>
      </c>
      <c r="B1353" s="219"/>
      <c r="C1353" s="219"/>
      <c r="D1353" s="219"/>
      <c r="E1353" s="219"/>
      <c r="F1353" s="219"/>
      <c r="G1353" s="52">
        <f>SUM(G1347:G1352)</f>
        <v>1083</v>
      </c>
    </row>
    <row r="1354" spans="1:9" x14ac:dyDescent="0.25">
      <c r="A1354" s="56"/>
      <c r="B1354" s="57"/>
      <c r="C1354" s="57"/>
      <c r="D1354" s="57"/>
      <c r="E1354" s="57"/>
      <c r="F1354" s="57"/>
      <c r="G1354" s="58"/>
    </row>
    <row r="1355" spans="1:9" x14ac:dyDescent="0.25">
      <c r="A1355" s="219" t="s">
        <v>70</v>
      </c>
      <c r="B1355" s="219"/>
      <c r="C1355" s="219"/>
      <c r="D1355" s="219"/>
      <c r="E1355" s="219"/>
      <c r="F1355" s="219"/>
      <c r="G1355" s="219"/>
    </row>
    <row r="1356" spans="1:9" x14ac:dyDescent="0.25">
      <c r="A1356" s="49" t="s">
        <v>35</v>
      </c>
      <c r="B1356" s="219" t="s">
        <v>36</v>
      </c>
      <c r="C1356" s="219"/>
      <c r="D1356" s="49" t="s">
        <v>37</v>
      </c>
      <c r="E1356" s="49" t="s">
        <v>38</v>
      </c>
      <c r="F1356" s="49" t="s">
        <v>39</v>
      </c>
      <c r="G1356" s="49" t="s">
        <v>40</v>
      </c>
    </row>
    <row r="1357" spans="1:9" x14ac:dyDescent="0.25">
      <c r="A1357" s="50" t="s">
        <v>71</v>
      </c>
      <c r="B1357" s="71" t="str">
        <f>VLOOKUP(A1357,'Componentes APUs'!$A$1:$D$14,2,0)</f>
        <v>Camisa indigo sin partes metalicas</v>
      </c>
      <c r="C1357" s="71"/>
      <c r="D1357" s="50" t="str">
        <f>VLOOKUP(A1357,'Componentes APUs'!$A$1:$D$14,3,0)</f>
        <v>U</v>
      </c>
      <c r="E1357" s="50">
        <f>SUM(C1337:C1342)</f>
        <v>3.75</v>
      </c>
      <c r="F1357" s="51">
        <f>VLOOKUP(A1357,'Componentes APUs'!$A$1:$D$14,4,0)</f>
        <v>8585.8585858585866</v>
      </c>
      <c r="G1357" s="51">
        <f>ROUNDUP(F1357*(E1357/21)/E1323,0)</f>
        <v>154</v>
      </c>
      <c r="I1357" s="91"/>
    </row>
    <row r="1358" spans="1:9" x14ac:dyDescent="0.25">
      <c r="A1358" s="69" t="s">
        <v>73</v>
      </c>
      <c r="B1358" s="72" t="str">
        <f>VLOOKUP(A1358,'Componentes APUs'!$A$1:$D$14,2,0)</f>
        <v>Bota de seguridad dielectrica</v>
      </c>
      <c r="C1358" s="73"/>
      <c r="D1358" s="70" t="str">
        <f>VLOOKUP(A1358,'Componentes APUs'!$A$1:$D$14,3,0)</f>
        <v>Par</v>
      </c>
      <c r="E1358" s="50">
        <f>SUM(C1337:C1342)</f>
        <v>3.75</v>
      </c>
      <c r="F1358" s="51">
        <f>VLOOKUP(A1358,'Componentes APUs'!$A$1:$D$14,4,0)</f>
        <v>7500</v>
      </c>
      <c r="G1358" s="51">
        <f>ROUNDUP(F1358*(E1358/21)/E1323,0)</f>
        <v>134</v>
      </c>
    </row>
    <row r="1359" spans="1:9" x14ac:dyDescent="0.25">
      <c r="A1359" s="50" t="s">
        <v>76</v>
      </c>
      <c r="B1359" s="72" t="str">
        <f>VLOOKUP(A1359,'Componentes APUs'!$A$1:$D$14,2,0)</f>
        <v>Casco dielectrico Tipo 1 Clase E con barbuquejo</v>
      </c>
      <c r="C1359" s="73"/>
      <c r="D1359" s="50" t="str">
        <f>VLOOKUP(A1359,'Componentes APUs'!$A$1:$D$14,3,0)</f>
        <v>U</v>
      </c>
      <c r="E1359" s="50">
        <f>C1337+C1338+C1340+C1341+C1342+IF(A1339&lt;&gt;"MO-3",C1339,0)</f>
        <v>3.75</v>
      </c>
      <c r="F1359" s="51">
        <f>VLOOKUP(A1359,'Componentes APUs'!$A$1:$D$14,4,0)</f>
        <v>10101.010101010101</v>
      </c>
      <c r="G1359" s="51">
        <f>ROUNDUP(F1359*(E1359/21)/E1323,0)</f>
        <v>181</v>
      </c>
    </row>
    <row r="1360" spans="1:9" x14ac:dyDescent="0.25">
      <c r="A1360" s="69" t="s">
        <v>77</v>
      </c>
      <c r="B1360" s="72" t="str">
        <f>VLOOKUP(A1360,'Componentes APUs'!$A$1:$D$14,2,0)</f>
        <v>Correa plastica y antiflama</v>
      </c>
      <c r="C1360" s="73"/>
      <c r="D1360" s="50" t="str">
        <f>VLOOKUP(A1360,'Componentes APUs'!$A$1:$D$14,3,0)</f>
        <v>U</v>
      </c>
      <c r="E1360" s="50">
        <f>SUM(C1337:C1342)</f>
        <v>3.75</v>
      </c>
      <c r="F1360" s="51">
        <f>VLOOKUP(A1360,'Componentes APUs'!$A$1:$D$14,4,0)</f>
        <v>3787.878787878788</v>
      </c>
      <c r="G1360" s="51">
        <f>ROUNDUP(F1360*(E1360/21)/E1323,0)</f>
        <v>68</v>
      </c>
    </row>
    <row r="1361" spans="1:7" x14ac:dyDescent="0.25">
      <c r="A1361" s="50" t="s">
        <v>79</v>
      </c>
      <c r="B1361" s="72" t="str">
        <f>VLOOKUP(A1361,'Componentes APUs'!$A$1:$D$14,2,0)</f>
        <v>Gafas protectoras filtro UV</v>
      </c>
      <c r="C1361" s="73"/>
      <c r="D1361" s="50" t="str">
        <f>VLOOKUP(A1361,'Componentes APUs'!$A$1:$D$14,3,0)</f>
        <v>U</v>
      </c>
      <c r="E1361" s="50">
        <f>SUM(C1337:C1342)</f>
        <v>3.75</v>
      </c>
      <c r="F1361" s="51">
        <f>VLOOKUP(A1361,'Componentes APUs'!$A$1:$D$14,4,0)</f>
        <v>2777.7777777777778</v>
      </c>
      <c r="G1361" s="51">
        <f>ROUNDUP(F1361*(E1361/21)/E1323,0)</f>
        <v>50</v>
      </c>
    </row>
    <row r="1362" spans="1:7" x14ac:dyDescent="0.25">
      <c r="A1362" s="69" t="s">
        <v>402</v>
      </c>
      <c r="B1362" s="72" t="str">
        <f>VLOOKUP(A1362,'Componentes APUs'!$A$1:$D$14,2,0)</f>
        <v>Bota de seguridad PVC dielectrica</v>
      </c>
      <c r="C1362" s="73"/>
      <c r="D1362" s="50" t="str">
        <f>VLOOKUP(A1362,'Componentes APUs'!$A$1:$D$14,3,0)</f>
        <v>Par</v>
      </c>
      <c r="E1362" s="50">
        <f>SUM(C1337:C1342)</f>
        <v>3.75</v>
      </c>
      <c r="F1362" s="51">
        <f>VLOOKUP(A1362,'Componentes APUs'!$A$1:$D$14,4,0)</f>
        <v>2916.6666666666665</v>
      </c>
      <c r="G1362" s="51">
        <f>ROUNDUP(F1362*(E1362/21)/E1323,0)</f>
        <v>53</v>
      </c>
    </row>
    <row r="1363" spans="1:7" x14ac:dyDescent="0.25">
      <c r="A1363" s="50" t="s">
        <v>403</v>
      </c>
      <c r="B1363" s="72" t="str">
        <f>VLOOKUP(A1363,'Componentes APUs'!$A$1:$D$14,2,0)</f>
        <v>Capuchon</v>
      </c>
      <c r="C1363" s="73"/>
      <c r="D1363" s="50" t="str">
        <f>VLOOKUP(A1363,'Componentes APUs'!$A$1:$D$14,3,0)</f>
        <v>U</v>
      </c>
      <c r="E1363" s="50">
        <f>SUM(C1337:C1342)</f>
        <v>3.75</v>
      </c>
      <c r="F1363" s="51">
        <f>VLOOKUP(A1363,'Componentes APUs'!$A$1:$D$14,4,0)</f>
        <v>2525.2525252525252</v>
      </c>
      <c r="G1363" s="51">
        <f>ROUNDUP(F1363*(E1363/21)/E1323,0)</f>
        <v>46</v>
      </c>
    </row>
    <row r="1364" spans="1:7" x14ac:dyDescent="0.25">
      <c r="A1364" s="69" t="s">
        <v>81</v>
      </c>
      <c r="B1364" s="72" t="str">
        <f>VLOOKUP(A1364,'Componentes APUs'!$A$1:$D$14,2,0)</f>
        <v>Guantes Protectores  - ingeniero reforzados</v>
      </c>
      <c r="C1364" s="73"/>
      <c r="D1364" s="50" t="str">
        <f>VLOOKUP(A1364,'Componentes APUs'!$A$1:$D$14,3,0)</f>
        <v>Par</v>
      </c>
      <c r="E1364" s="50">
        <f>C1339+C1340+C1342</f>
        <v>3.25</v>
      </c>
      <c r="F1364" s="51">
        <f>VLOOKUP(A1364,'Componentes APUs'!$A$1:$D$14,4,0)</f>
        <v>2525.2525252525252</v>
      </c>
      <c r="G1364" s="51">
        <f>ROUNDUP(F1364*(E1364/21)/E1323,0)</f>
        <v>40</v>
      </c>
    </row>
    <row r="1365" spans="1:7" x14ac:dyDescent="0.25">
      <c r="A1365" s="50" t="s">
        <v>83</v>
      </c>
      <c r="B1365" s="72" t="str">
        <f>VLOOKUP(A1365,'Componentes APUs'!$A$1:$D$14,2,0)</f>
        <v>Impermeable (pantalon camisa)</v>
      </c>
      <c r="C1365" s="73"/>
      <c r="D1365" s="50" t="str">
        <f>VLOOKUP(A1365,'Componentes APUs'!$A$1:$D$14,3,0)</f>
        <v>U</v>
      </c>
      <c r="E1365" s="50">
        <f>SUM(C1337:C1342)</f>
        <v>3.75</v>
      </c>
      <c r="F1365" s="51">
        <f>VLOOKUP(A1365,'Componentes APUs'!$A$1:$D$14,4,0)</f>
        <v>3750</v>
      </c>
      <c r="G1365" s="51">
        <f>ROUNDUP(F1365*(E1365/21)/E1323,0)</f>
        <v>67</v>
      </c>
    </row>
    <row r="1366" spans="1:7" x14ac:dyDescent="0.25">
      <c r="A1366" s="69" t="s">
        <v>85</v>
      </c>
      <c r="B1366" s="72" t="str">
        <f>VLOOKUP(A1366,'Componentes APUs'!$A$1:$D$14,2,0)</f>
        <v>Jean Dielectrico</v>
      </c>
      <c r="C1366" s="73"/>
      <c r="D1366" s="50" t="str">
        <f>VLOOKUP(A1366,'Componentes APUs'!$A$1:$D$14,3,0)</f>
        <v>U</v>
      </c>
      <c r="E1366" s="50">
        <f>SUM(C1337:C1342)</f>
        <v>3.75</v>
      </c>
      <c r="F1366" s="51">
        <f>VLOOKUP(A1366,'Componentes APUs'!$A$1:$D$14,4,0)</f>
        <v>7575.757575757576</v>
      </c>
      <c r="G1366" s="51">
        <f>ROUNDUP(F1366*(E1366/21)/E1323,0)</f>
        <v>136</v>
      </c>
    </row>
    <row r="1367" spans="1:7" x14ac:dyDescent="0.25">
      <c r="A1367" s="50" t="s">
        <v>87</v>
      </c>
      <c r="B1367" s="72" t="str">
        <f>VLOOKUP(A1367,'Componentes APUs'!$A$1:$D$14,2,0)</f>
        <v>Casco dielectrico Tipo 2 Clase E con barboquejo</v>
      </c>
      <c r="C1367" s="73"/>
      <c r="D1367" s="50" t="str">
        <f>VLOOKUP(A1367,'Componentes APUs'!$A$1:$D$14,3,0)</f>
        <v>U</v>
      </c>
      <c r="E1367" s="53">
        <f>IF(A1339="MO-3",C1339,0)</f>
        <v>0</v>
      </c>
      <c r="F1367" s="51">
        <f>VLOOKUP(A1367,'Componentes APUs'!$A$1:$D$14,4,0)</f>
        <v>7500</v>
      </c>
      <c r="G1367" s="51">
        <f>ROUNDUP(F1367*(E1367/21)/E1323,0)</f>
        <v>0</v>
      </c>
    </row>
    <row r="1368" spans="1:7" x14ac:dyDescent="0.25">
      <c r="A1368" s="69" t="s">
        <v>89</v>
      </c>
      <c r="B1368" s="72" t="str">
        <f>VLOOKUP(A1368,'Componentes APUs'!$A$1:$D$14,2,0)</f>
        <v>Kit de rescate para trabajo en alturas</v>
      </c>
      <c r="C1368" s="73"/>
      <c r="D1368" s="50" t="str">
        <f>VLOOKUP(A1368,'Componentes APUs'!$A$1:$D$14,3,0)</f>
        <v>U</v>
      </c>
      <c r="E1368" s="50">
        <f>IF(AND(A1339="MO-3",C1339=2),1,0)</f>
        <v>0</v>
      </c>
      <c r="F1368" s="51">
        <f>VLOOKUP(A1368,'Componentes APUs'!$A$1:$D$14,4,0)</f>
        <v>37500</v>
      </c>
      <c r="G1368" s="51">
        <f>ROUNDUP(F1368*(E1368/21)/E1323,0)</f>
        <v>0</v>
      </c>
    </row>
    <row r="1369" spans="1:7" x14ac:dyDescent="0.25">
      <c r="A1369" s="50" t="s">
        <v>91</v>
      </c>
      <c r="B1369" s="72" t="str">
        <f>VLOOKUP(A1369,'Componentes APUs'!$A$1:$D$14,2,0)</f>
        <v>Equipo completo para trabajo en alturas con pretales (Arnes dielectrico, 1 mosqueton de seguridad, tie off dielectrico, eslinga de posicionamiento, juego de pretales)</v>
      </c>
      <c r="C1369" s="73"/>
      <c r="D1369" s="50" t="str">
        <f>VLOOKUP(A1369,'Componentes APUs'!$A$1:$D$14,3,0)</f>
        <v>U</v>
      </c>
      <c r="E1369" s="50">
        <f>IF(A1339="MO-3",C1339,0)</f>
        <v>0</v>
      </c>
      <c r="F1369" s="51">
        <f>VLOOKUP(A1369,'Componentes APUs'!$A$1:$D$14,4,0)</f>
        <v>26041.666666666668</v>
      </c>
      <c r="G1369" s="51">
        <f>ROUNDUP(F1369*(E1369/21)/E1323,0)</f>
        <v>0</v>
      </c>
    </row>
    <row r="1370" spans="1:7" x14ac:dyDescent="0.25">
      <c r="A1370" s="219" t="s">
        <v>95</v>
      </c>
      <c r="B1370" s="219"/>
      <c r="C1370" s="219"/>
      <c r="D1370" s="219"/>
      <c r="E1370" s="219"/>
      <c r="F1370" s="219"/>
      <c r="G1370" s="52">
        <f>SUM(G1357:G1369)</f>
        <v>929</v>
      </c>
    </row>
    <row r="1371" spans="1:7" x14ac:dyDescent="0.25">
      <c r="A1371" s="56"/>
      <c r="B1371" s="57"/>
      <c r="C1371" s="57"/>
      <c r="D1371" s="57"/>
      <c r="E1371" s="57"/>
      <c r="F1371" s="57"/>
      <c r="G1371" s="58"/>
    </row>
    <row r="1372" spans="1:7" x14ac:dyDescent="0.25">
      <c r="A1372" s="219" t="s">
        <v>96</v>
      </c>
      <c r="B1372" s="219"/>
      <c r="C1372" s="219"/>
      <c r="D1372" s="219"/>
      <c r="E1372" s="219"/>
      <c r="F1372" s="219"/>
      <c r="G1372" s="219"/>
    </row>
    <row r="1373" spans="1:7" x14ac:dyDescent="0.25">
      <c r="A1373" s="49" t="s">
        <v>35</v>
      </c>
      <c r="B1373" s="225" t="s">
        <v>36</v>
      </c>
      <c r="C1373" s="225"/>
      <c r="D1373" s="49" t="s">
        <v>37</v>
      </c>
      <c r="E1373" s="49" t="s">
        <v>38</v>
      </c>
      <c r="F1373" s="49" t="s">
        <v>39</v>
      </c>
      <c r="G1373" s="49" t="s">
        <v>40</v>
      </c>
    </row>
    <row r="1374" spans="1:7" x14ac:dyDescent="0.25">
      <c r="A1374" s="69" t="s">
        <v>97</v>
      </c>
      <c r="B1374" s="72" t="str">
        <f>VLOOKUP(A1374,'Componentes APUs'!$N$1:$Q$30,2,0)</f>
        <v>Camioneta</v>
      </c>
      <c r="C1374" s="73"/>
      <c r="D1374" s="70" t="str">
        <f>VLOOKUP(A1374,'Componentes APUs'!$N$1:$Q$30,3,0)</f>
        <v>U</v>
      </c>
      <c r="E1374" s="50">
        <v>1</v>
      </c>
      <c r="F1374" s="51">
        <f>VLOOKUP(A1374,'Componentes APUs'!$N$1:$Q$30,4,0)</f>
        <v>5500000</v>
      </c>
      <c r="G1374" s="51">
        <f>IFERROR(ROUNDUP(F1374*(E1374/21)/E1323,0),"-")</f>
        <v>26191</v>
      </c>
    </row>
    <row r="1375" spans="1:7" x14ac:dyDescent="0.25">
      <c r="A1375" s="50" t="s">
        <v>321</v>
      </c>
      <c r="B1375" s="72" t="str">
        <f>VLOOKUP(A1375,'Componentes APUs'!$N$1:$Q$30,2,0)</f>
        <v>Grúa Hidráulica</v>
      </c>
      <c r="C1375" s="73"/>
      <c r="D1375" s="70" t="str">
        <f>VLOOKUP(A1375,'Componentes APUs'!$N$1:$Q$30,3,0)</f>
        <v>U</v>
      </c>
      <c r="E1375" s="50">
        <v>0</v>
      </c>
      <c r="F1375" s="51">
        <f>VLOOKUP(A1375,'Componentes APUs'!$N$1:$Q$30,4,0)</f>
        <v>21000000</v>
      </c>
      <c r="G1375" s="51">
        <f>IFERROR(ROUNDUP(F1375*(E1375/21)/E1323,0),"-")</f>
        <v>0</v>
      </c>
    </row>
    <row r="1376" spans="1:7" x14ac:dyDescent="0.25">
      <c r="A1376" s="69" t="s">
        <v>1379</v>
      </c>
      <c r="B1376" s="72" t="str">
        <f>VLOOKUP(A1376,'Componentes APUs'!$N$1:$Q$30,2,0)</f>
        <v>Dumper de descarga Frontal 2T</v>
      </c>
      <c r="C1376" s="73"/>
      <c r="D1376" s="70" t="str">
        <f>VLOOKUP(A1376,'Componentes APUs'!$N$1:$Q$30,3,0)</f>
        <v>U</v>
      </c>
      <c r="E1376" s="50">
        <v>0</v>
      </c>
      <c r="F1376" s="51">
        <f>VLOOKUP(A1376,'Componentes APUs'!$N$1:$Q$30,4,0)</f>
        <v>4438716.24</v>
      </c>
      <c r="G1376" s="51">
        <f>IFERROR(ROUNDUP(F1376*(E1376/21)/E1323,0),"-")</f>
        <v>0</v>
      </c>
    </row>
    <row r="1377" spans="1:7" x14ac:dyDescent="0.25">
      <c r="A1377" s="50" t="s">
        <v>323</v>
      </c>
      <c r="B1377" s="72" t="str">
        <f>VLOOKUP(A1377,'Componentes APUs'!$N$1:$Q$30,2,0)</f>
        <v>Volqueta</v>
      </c>
      <c r="C1377" s="73"/>
      <c r="D1377" s="70" t="str">
        <f>VLOOKUP(A1377,'Componentes APUs'!$N$1:$Q$30,3,0)</f>
        <v>U</v>
      </c>
      <c r="E1377" s="50">
        <v>0</v>
      </c>
      <c r="F1377" s="51">
        <f>VLOOKUP(A1377,'Componentes APUs'!$N$1:$Q$30,4,0)</f>
        <v>14828184</v>
      </c>
      <c r="G1377" s="51">
        <f>IFERROR(ROUNDUP(F1377*(E1377/21)/E1323,0),"-")</f>
        <v>0</v>
      </c>
    </row>
    <row r="1378" spans="1:7" x14ac:dyDescent="0.25">
      <c r="A1378" s="69" t="s">
        <v>324</v>
      </c>
      <c r="B1378" s="72" t="str">
        <f>VLOOKUP(A1378,'Componentes APUs'!$N$1:$Q$30,2,0)</f>
        <v>Retroexcavadora</v>
      </c>
      <c r="C1378" s="73"/>
      <c r="D1378" s="70" t="str">
        <f>VLOOKUP(A1378,'Componentes APUs'!$N$1:$Q$30,3,0)</f>
        <v>U</v>
      </c>
      <c r="E1378" s="50">
        <v>0</v>
      </c>
      <c r="F1378" s="51">
        <f>VLOOKUP(A1378,'Componentes APUs'!$N$1:$Q$30,4,0)</f>
        <v>46030656</v>
      </c>
      <c r="G1378" s="51">
        <f>IFERROR(ROUNDUP(F1378*(E1378/21)/E1323,0),"-")</f>
        <v>0</v>
      </c>
    </row>
    <row r="1379" spans="1:7" x14ac:dyDescent="0.25">
      <c r="A1379" s="219" t="s">
        <v>99</v>
      </c>
      <c r="B1379" s="219"/>
      <c r="C1379" s="219"/>
      <c r="D1379" s="219"/>
      <c r="E1379" s="219"/>
      <c r="F1379" s="219"/>
      <c r="G1379" s="52">
        <f>SUM(G1374:G1378)</f>
        <v>26191</v>
      </c>
    </row>
    <row r="1380" spans="1:7" x14ac:dyDescent="0.25">
      <c r="A1380" s="56"/>
      <c r="B1380" s="57"/>
      <c r="C1380" s="57"/>
      <c r="D1380" s="57"/>
      <c r="E1380" s="57"/>
      <c r="F1380" s="57"/>
      <c r="G1380" s="58"/>
    </row>
    <row r="1381" spans="1:7" x14ac:dyDescent="0.25">
      <c r="A1381" s="219" t="s">
        <v>1516</v>
      </c>
      <c r="B1381" s="219"/>
      <c r="C1381" s="219"/>
      <c r="D1381" s="219"/>
      <c r="E1381" s="219"/>
      <c r="F1381" s="219"/>
      <c r="G1381" s="52">
        <f>G1379+G1370+G1353+G1343+G1333</f>
        <v>458924</v>
      </c>
    </row>
    <row r="1382" spans="1:7" x14ac:dyDescent="0.25">
      <c r="A1382" s="59"/>
      <c r="B1382" s="60"/>
      <c r="C1382" s="60"/>
      <c r="D1382" s="60"/>
      <c r="E1382" s="57"/>
      <c r="F1382" s="57"/>
      <c r="G1382" s="58"/>
    </row>
    <row r="1383" spans="1:7" x14ac:dyDescent="0.25">
      <c r="A1383" s="64"/>
      <c r="D1383" s="55"/>
      <c r="E1383" s="49" t="s">
        <v>25</v>
      </c>
      <c r="F1383" s="54">
        <v>0.15</v>
      </c>
      <c r="G1383" s="51">
        <f>G1381*F1383</f>
        <v>68838.599999999991</v>
      </c>
    </row>
    <row r="1384" spans="1:7" x14ac:dyDescent="0.25">
      <c r="A1384" s="64"/>
      <c r="D1384" s="55"/>
      <c r="E1384" s="49" t="s">
        <v>26</v>
      </c>
      <c r="F1384" s="54">
        <v>0.05</v>
      </c>
      <c r="G1384" s="51">
        <f>G1381*F1384</f>
        <v>22946.2</v>
      </c>
    </row>
    <row r="1385" spans="1:7" x14ac:dyDescent="0.25">
      <c r="A1385" s="61"/>
      <c r="B1385" s="65"/>
      <c r="C1385" s="65"/>
      <c r="D1385" s="62"/>
      <c r="E1385" s="49" t="s">
        <v>27</v>
      </c>
      <c r="F1385" s="54">
        <v>0.05</v>
      </c>
      <c r="G1385" s="51">
        <f>G1381*F1385</f>
        <v>22946.2</v>
      </c>
    </row>
    <row r="1386" spans="1:7" x14ac:dyDescent="0.25">
      <c r="A1386" s="61"/>
      <c r="B1386" s="62"/>
      <c r="C1386" s="62"/>
      <c r="D1386" s="62"/>
      <c r="E1386" s="62"/>
      <c r="F1386" s="62"/>
      <c r="G1386" s="63"/>
    </row>
    <row r="1387" spans="1:7" x14ac:dyDescent="0.25">
      <c r="A1387" s="219" t="s">
        <v>1517</v>
      </c>
      <c r="B1387" s="219"/>
      <c r="C1387" s="219"/>
      <c r="D1387" s="219"/>
      <c r="E1387" s="219"/>
      <c r="F1387" s="219"/>
      <c r="G1387" s="52">
        <f>G1381+G1383+G1384+G1385</f>
        <v>573654.99999999988</v>
      </c>
    </row>
    <row r="1388" spans="1:7" x14ac:dyDescent="0.25">
      <c r="A1388" s="59"/>
      <c r="B1388" s="60"/>
      <c r="C1388" s="60"/>
      <c r="D1388" s="60"/>
      <c r="E1388" s="57"/>
      <c r="F1388" s="57"/>
      <c r="G1388" s="58"/>
    </row>
    <row r="1389" spans="1:7" x14ac:dyDescent="0.25">
      <c r="A1389" s="64"/>
      <c r="D1389" s="55"/>
      <c r="E1389" s="49" t="s">
        <v>102</v>
      </c>
      <c r="F1389" s="49" t="s">
        <v>103</v>
      </c>
      <c r="G1389" s="51">
        <f>G1385*19%</f>
        <v>4359.7780000000002</v>
      </c>
    </row>
    <row r="1390" spans="1:7" x14ac:dyDescent="0.25">
      <c r="A1390" s="61"/>
      <c r="B1390" s="62"/>
      <c r="C1390" s="62"/>
      <c r="D1390" s="62"/>
      <c r="E1390" s="57"/>
      <c r="F1390" s="57"/>
      <c r="G1390" s="58"/>
    </row>
    <row r="1391" spans="1:7" x14ac:dyDescent="0.25">
      <c r="A1391" s="219" t="s">
        <v>104</v>
      </c>
      <c r="B1391" s="219"/>
      <c r="C1391" s="219"/>
      <c r="D1391" s="219"/>
      <c r="E1391" s="219"/>
      <c r="F1391" s="219"/>
      <c r="G1391" s="52">
        <f>G1389+G1387</f>
        <v>578014.77799999993</v>
      </c>
    </row>
    <row r="1393" spans="1:9" x14ac:dyDescent="0.25">
      <c r="A1393" s="74" t="s">
        <v>29</v>
      </c>
      <c r="B1393" s="226" t="s">
        <v>30</v>
      </c>
      <c r="C1393" s="226"/>
      <c r="D1393" s="74" t="s">
        <v>31</v>
      </c>
      <c r="E1393" s="74" t="s">
        <v>32</v>
      </c>
      <c r="F1393" s="74" t="s">
        <v>189</v>
      </c>
      <c r="G1393" s="74" t="s">
        <v>33</v>
      </c>
      <c r="H1393" s="105"/>
    </row>
    <row r="1394" spans="1:9" x14ac:dyDescent="0.25">
      <c r="A1394" s="50" t="str">
        <f>Presupuesto!B30</f>
        <v>022_OC</v>
      </c>
      <c r="B1394" s="229" t="str">
        <f>Presupuesto!C30</f>
        <v>TAPA TIPO A (1 X0.5 M)</v>
      </c>
      <c r="C1394" s="230"/>
      <c r="D1394" s="50" t="s">
        <v>8</v>
      </c>
      <c r="E1394" s="102">
        <v>30</v>
      </c>
      <c r="F1394" s="50"/>
      <c r="G1394" s="51">
        <f>G1460</f>
        <v>127107.48050000001</v>
      </c>
      <c r="H1394" s="45"/>
    </row>
    <row r="1395" spans="1:9" x14ac:dyDescent="0.25">
      <c r="A1395" s="219" t="s">
        <v>34</v>
      </c>
      <c r="B1395" s="219"/>
      <c r="C1395" s="219"/>
      <c r="D1395" s="219"/>
      <c r="E1395" s="219"/>
      <c r="F1395" s="219"/>
      <c r="G1395" s="219"/>
    </row>
    <row r="1396" spans="1:9" x14ac:dyDescent="0.25">
      <c r="A1396" s="49" t="s">
        <v>35</v>
      </c>
      <c r="B1396" s="219" t="s">
        <v>36</v>
      </c>
      <c r="C1396" s="219"/>
      <c r="D1396" s="49" t="s">
        <v>37</v>
      </c>
      <c r="E1396" s="49" t="s">
        <v>38</v>
      </c>
      <c r="F1396" s="49" t="s">
        <v>39</v>
      </c>
      <c r="G1396" s="49" t="s">
        <v>40</v>
      </c>
    </row>
    <row r="1397" spans="1:9" x14ac:dyDescent="0.25">
      <c r="A1397" s="50" t="str">
        <f>Material!A15</f>
        <v>MA-14</v>
      </c>
      <c r="B1397" s="72" t="str">
        <f>IFERROR(VLOOKUP(A1397,Material!$A:$H,2,0),"-")</f>
        <v>CONCRETO DE 3000 PSI</v>
      </c>
      <c r="C1397" s="76"/>
      <c r="D1397" s="50" t="s">
        <v>113</v>
      </c>
      <c r="E1397" s="107">
        <f>0.07*0.6</f>
        <v>4.2000000000000003E-2</v>
      </c>
      <c r="F1397" s="51">
        <f>IFERROR(VLOOKUP(A1397,Material!$A:$H,3,0),"-")</f>
        <v>620227.23330691375</v>
      </c>
      <c r="G1397" s="51">
        <f t="shared" ref="G1397:G1401" si="16">IFERROR(ROUNDUP(F1397*E1397,0),"-")</f>
        <v>26050</v>
      </c>
      <c r="H1397" s="92"/>
    </row>
    <row r="1398" spans="1:9" x14ac:dyDescent="0.25">
      <c r="A1398" s="50" t="str">
        <f>Material!A597</f>
        <v>MA-596</v>
      </c>
      <c r="B1398" s="72" t="str">
        <f>IFERROR(VLOOKUP(A1398,Material!$A:$H,2,0),"-")</f>
        <v>ACERO DE REFUERZO FIGURADO</v>
      </c>
      <c r="C1398" s="76"/>
      <c r="D1398" s="50" t="str">
        <f>IFERROR(VLOOKUP(A1398,Material!$A:$H,4,0),"-")</f>
        <v>kG</v>
      </c>
      <c r="E1398" s="107">
        <f>E1397*200</f>
        <v>8.4</v>
      </c>
      <c r="F1398" s="51">
        <f>IFERROR(VLOOKUP(A1398,Material!$A:$H,3,0),"-")</f>
        <v>5106.4000000000005</v>
      </c>
      <c r="G1398" s="51">
        <f t="shared" si="16"/>
        <v>42894</v>
      </c>
      <c r="H1398" s="106"/>
    </row>
    <row r="1399" spans="1:9" x14ac:dyDescent="0.25">
      <c r="A1399" s="50"/>
      <c r="B1399" s="72" t="str">
        <f>IFERROR(VLOOKUP(A1399,Material!$A:$H,2,0),"-")</f>
        <v>-</v>
      </c>
      <c r="C1399" s="76"/>
      <c r="D1399" s="50" t="str">
        <f>IFERROR(VLOOKUP(A1399,Material!$A:$H,4,0),"-")</f>
        <v>-</v>
      </c>
      <c r="E1399" s="107"/>
      <c r="F1399" s="51" t="str">
        <f>IFERROR(VLOOKUP(A1399,Material!$A:$H,3,0),"-")</f>
        <v>-</v>
      </c>
      <c r="G1399" s="51" t="str">
        <f t="shared" si="16"/>
        <v>-</v>
      </c>
      <c r="H1399" s="106"/>
    </row>
    <row r="1400" spans="1:9" x14ac:dyDescent="0.25">
      <c r="A1400" s="50"/>
      <c r="B1400" s="72" t="str">
        <f>IFERROR(VLOOKUP(A1400,Material!$A:$H,2,0),"-")</f>
        <v>-</v>
      </c>
      <c r="C1400" s="76"/>
      <c r="D1400" s="50" t="str">
        <f>IFERROR(VLOOKUP(A1400,Material!$A:$H,4,0),"-")</f>
        <v>-</v>
      </c>
      <c r="E1400" s="107"/>
      <c r="F1400" s="51" t="str">
        <f>IFERROR(VLOOKUP(A1400,Material!$A:$H,3,0),"-")</f>
        <v>-</v>
      </c>
      <c r="G1400" s="51" t="str">
        <f t="shared" si="16"/>
        <v>-</v>
      </c>
      <c r="H1400" s="106"/>
    </row>
    <row r="1401" spans="1:9" x14ac:dyDescent="0.25">
      <c r="A1401" s="50"/>
      <c r="B1401" s="72" t="str">
        <f>IFERROR(VLOOKUP(A1401,Material!$A:$H,2,0),"-")</f>
        <v>-</v>
      </c>
      <c r="C1401" s="76"/>
      <c r="D1401" s="50" t="str">
        <f>IFERROR(VLOOKUP(A1401,Material!$A:$H,4,0),"-")</f>
        <v>-</v>
      </c>
      <c r="E1401" s="107"/>
      <c r="F1401" s="51" t="str">
        <f>IFERROR(VLOOKUP(A1401,Material!$A:$H,3,0),"-")</f>
        <v>-</v>
      </c>
      <c r="G1401" s="51" t="str">
        <f t="shared" si="16"/>
        <v>-</v>
      </c>
      <c r="H1401" s="106"/>
    </row>
    <row r="1402" spans="1:9" x14ac:dyDescent="0.25">
      <c r="A1402" s="219" t="s">
        <v>41</v>
      </c>
      <c r="B1402" s="219"/>
      <c r="C1402" s="219"/>
      <c r="D1402" s="219"/>
      <c r="E1402" s="219"/>
      <c r="F1402" s="219"/>
      <c r="G1402" s="52">
        <f>SUM(G1397:G1401)</f>
        <v>68944</v>
      </c>
      <c r="I1402" s="104"/>
    </row>
    <row r="1403" spans="1:9" x14ac:dyDescent="0.25">
      <c r="A1403" s="56"/>
      <c r="B1403" s="57"/>
      <c r="C1403" s="57"/>
      <c r="D1403" s="57"/>
      <c r="E1403" s="57"/>
      <c r="F1403" s="57"/>
      <c r="G1403" s="58"/>
    </row>
    <row r="1404" spans="1:9" x14ac:dyDescent="0.25">
      <c r="A1404" s="219" t="s">
        <v>42</v>
      </c>
      <c r="B1404" s="219"/>
      <c r="C1404" s="219"/>
      <c r="D1404" s="219"/>
      <c r="E1404" s="219"/>
      <c r="F1404" s="219"/>
      <c r="G1404" s="219"/>
    </row>
    <row r="1405" spans="1:9" x14ac:dyDescent="0.25">
      <c r="A1405" s="49" t="s">
        <v>35</v>
      </c>
      <c r="B1405" s="49" t="s">
        <v>36</v>
      </c>
      <c r="C1405" s="49" t="s">
        <v>38</v>
      </c>
      <c r="D1405" s="49" t="s">
        <v>43</v>
      </c>
      <c r="E1405" s="49" t="s">
        <v>44</v>
      </c>
      <c r="F1405" s="49" t="s">
        <v>45</v>
      </c>
      <c r="G1405" s="49" t="s">
        <v>40</v>
      </c>
    </row>
    <row r="1406" spans="1:9" x14ac:dyDescent="0.25">
      <c r="A1406" s="50" t="s">
        <v>319</v>
      </c>
      <c r="B1406" s="68" t="str">
        <f>VLOOKUP(A1406,'Componentes APUs'!$H$1:$L$25,2,0)</f>
        <v>Ingeniero Residente de Obra</v>
      </c>
      <c r="C1406" s="93">
        <v>0.25</v>
      </c>
      <c r="D1406" s="50">
        <f>VLOOKUP(A1406,'Componentes APUs'!$H$1:$L$25,3,0)</f>
        <v>4</v>
      </c>
      <c r="E1406" s="51">
        <f>VLOOKUP(A1406,'Componentes APUs'!$H$1:$L$25,4,0)</f>
        <v>271142.85714285716</v>
      </c>
      <c r="F1406" s="51">
        <f>VLOOKUP(A1406,'Componentes APUs'!$H$1:$L$25,5,0)</f>
        <v>162685.71428571429</v>
      </c>
      <c r="G1406" s="51">
        <f>ROUNDUP((E1406+F1406)*C1406/E1394,0)</f>
        <v>3616</v>
      </c>
      <c r="H1406" s="66"/>
    </row>
    <row r="1407" spans="1:9" x14ac:dyDescent="0.25">
      <c r="A1407" s="50" t="s">
        <v>320</v>
      </c>
      <c r="B1407" s="68" t="str">
        <f>VLOOKUP(A1407,'Componentes APUs'!$H$1:$L$25,2,0)</f>
        <v>Tecnico Supervisor</v>
      </c>
      <c r="C1407" s="93">
        <v>0</v>
      </c>
      <c r="D1407" s="50">
        <f>VLOOKUP(A1407,'Componentes APUs'!$H$1:$L$25,3,0)</f>
        <v>2.2999999999999998</v>
      </c>
      <c r="E1407" s="51">
        <f>VLOOKUP(A1407,'Componentes APUs'!$H$1:$L$25,4,0)</f>
        <v>155907.14285714284</v>
      </c>
      <c r="F1407" s="51">
        <f>VLOOKUP(A1407,'Componentes APUs'!$H$1:$L$25,5,0)</f>
        <v>93544.285714285696</v>
      </c>
      <c r="G1407" s="51">
        <f>ROUNDUP((E1407+F1407)*C1407/E1394,0)</f>
        <v>0</v>
      </c>
    </row>
    <row r="1408" spans="1:9" x14ac:dyDescent="0.25">
      <c r="A1408" s="50" t="s">
        <v>54</v>
      </c>
      <c r="B1408" s="68" t="str">
        <f>VLOOKUP(A1408,'Componentes APUs'!$H$1:$L$25,2,0)</f>
        <v>Maestro de obra civil</v>
      </c>
      <c r="C1408" s="93">
        <v>0.25</v>
      </c>
      <c r="D1408" s="50">
        <f>VLOOKUP(A1408,'Componentes APUs'!$H$1:$L$25,3,0)</f>
        <v>2.5</v>
      </c>
      <c r="E1408" s="51">
        <f>VLOOKUP(A1408,'Componentes APUs'!$H$1:$L$25,4,0)</f>
        <v>169464.28571428571</v>
      </c>
      <c r="F1408" s="51">
        <f>VLOOKUP(A1408,'Componentes APUs'!$H$1:$L$25,5,0)</f>
        <v>101678.57142857142</v>
      </c>
      <c r="G1408" s="51">
        <f>ROUNDUP((E1408+F1408)*C1408/E1394,0)</f>
        <v>2260</v>
      </c>
    </row>
    <row r="1409" spans="1:9" x14ac:dyDescent="0.25">
      <c r="A1409" s="50" t="s">
        <v>1110</v>
      </c>
      <c r="B1409" s="68" t="str">
        <f>VLOOKUP(A1409,'Componentes APUs'!$H$1:$L$25,2,0)</f>
        <v>Oficial de Obra Civil</v>
      </c>
      <c r="C1409" s="93">
        <v>1</v>
      </c>
      <c r="D1409" s="50">
        <f>VLOOKUP(A1409,'Componentes APUs'!$H$1:$L$25,3,0)</f>
        <v>1.5</v>
      </c>
      <c r="E1409" s="51">
        <f>VLOOKUP(A1409,'Componentes APUs'!$H$1:$L$25,4,0)</f>
        <v>115964.28571428571</v>
      </c>
      <c r="F1409" s="51">
        <f>VLOOKUP(A1409,'Componentes APUs'!$H$1:$L$25,5,0)</f>
        <v>69578.57142857142</v>
      </c>
      <c r="G1409" s="51">
        <f>ROUNDUP((E1409+F1409)*C1409/E1394,0)</f>
        <v>6185</v>
      </c>
    </row>
    <row r="1410" spans="1:9" x14ac:dyDescent="0.25">
      <c r="A1410" s="50" t="s">
        <v>50</v>
      </c>
      <c r="B1410" s="68" t="str">
        <f>VLOOKUP(A1410,'Componentes APUs'!$H$1:$L$25,2,0)</f>
        <v>Profesional en SST</v>
      </c>
      <c r="C1410" s="93">
        <v>0.25</v>
      </c>
      <c r="D1410" s="50">
        <f>VLOOKUP(A1410,'Componentes APUs'!$H$1:$L$25,3,0)</f>
        <v>2.5</v>
      </c>
      <c r="E1410" s="51">
        <f>VLOOKUP(A1410,'Componentes APUs'!$H$1:$L$25,4,0)</f>
        <v>169464.28571428571</v>
      </c>
      <c r="F1410" s="51">
        <f>VLOOKUP(A1410,'Componentes APUs'!$H$1:$L$25,5,0)</f>
        <v>101678.57142857142</v>
      </c>
      <c r="G1410" s="51">
        <f>ROUNDUP((E1410+F1410)*C1410/E1394,0)</f>
        <v>2260</v>
      </c>
    </row>
    <row r="1411" spans="1:9" x14ac:dyDescent="0.25">
      <c r="A1411" s="50" t="s">
        <v>1109</v>
      </c>
      <c r="B1411" s="68" t="str">
        <f>VLOOKUP(A1411,'Componentes APUs'!$H$1:$L$25,2,0)</f>
        <v>Ayudante de Obra Civil</v>
      </c>
      <c r="C1411" s="93">
        <v>2</v>
      </c>
      <c r="D1411" s="50">
        <f>VLOOKUP(A1411,'Componentes APUs'!$H$1:$L$25,3,0)</f>
        <v>1</v>
      </c>
      <c r="E1411" s="51">
        <f>VLOOKUP(A1411,'Componentes APUs'!$H$1:$L$25,4,0)</f>
        <v>77309.523809523816</v>
      </c>
      <c r="F1411" s="51">
        <f>VLOOKUP(A1411,'Componentes APUs'!$H$1:$L$25,5,0)</f>
        <v>46385.71428571429</v>
      </c>
      <c r="G1411" s="51">
        <f>ROUNDUP((E1411+F1411)*C1411/E1394,0)</f>
        <v>8247</v>
      </c>
    </row>
    <row r="1412" spans="1:9" x14ac:dyDescent="0.25">
      <c r="A1412" s="219" t="s">
        <v>56</v>
      </c>
      <c r="B1412" s="219"/>
      <c r="C1412" s="219"/>
      <c r="D1412" s="219"/>
      <c r="E1412" s="219"/>
      <c r="F1412" s="219"/>
      <c r="G1412" s="52">
        <f>SUM(G1406:G1411)</f>
        <v>22568</v>
      </c>
    </row>
    <row r="1413" spans="1:9" x14ac:dyDescent="0.25">
      <c r="A1413" s="56"/>
      <c r="B1413" s="57"/>
      <c r="C1413" s="57"/>
      <c r="D1413" s="57"/>
      <c r="E1413" s="57"/>
      <c r="F1413" s="57"/>
      <c r="G1413" s="58"/>
    </row>
    <row r="1414" spans="1:9" x14ac:dyDescent="0.25">
      <c r="A1414" s="219" t="s">
        <v>57</v>
      </c>
      <c r="B1414" s="219"/>
      <c r="C1414" s="219"/>
      <c r="D1414" s="219"/>
      <c r="E1414" s="219"/>
      <c r="F1414" s="219"/>
      <c r="G1414" s="219"/>
    </row>
    <row r="1415" spans="1:9" x14ac:dyDescent="0.25">
      <c r="A1415" s="49" t="s">
        <v>35</v>
      </c>
      <c r="B1415" s="219" t="s">
        <v>36</v>
      </c>
      <c r="C1415" s="219"/>
      <c r="D1415" s="49" t="s">
        <v>37</v>
      </c>
      <c r="E1415" s="49" t="s">
        <v>38</v>
      </c>
      <c r="F1415" s="49" t="s">
        <v>39</v>
      </c>
      <c r="G1415" s="49" t="s">
        <v>40</v>
      </c>
    </row>
    <row r="1416" spans="1:9" x14ac:dyDescent="0.25">
      <c r="A1416" s="50" t="s">
        <v>326</v>
      </c>
      <c r="B1416" s="220" t="str">
        <f>VLOOKUP(A1416,'Componentes APUs'!$S$1:$V$10,2,0)</f>
        <v>Juego Llaves</v>
      </c>
      <c r="C1416" s="220"/>
      <c r="D1416" s="50" t="s">
        <v>18</v>
      </c>
      <c r="E1416" s="50">
        <v>0</v>
      </c>
      <c r="F1416" s="51">
        <f>VLOOKUP(A1416,'Componentes APUs'!$S$1:$V$10,4,0)</f>
        <v>9167</v>
      </c>
      <c r="G1416" s="51">
        <f>ROUNDUP(F1416*((E1416/21)/E1394),0)</f>
        <v>0</v>
      </c>
      <c r="I1416" s="91"/>
    </row>
    <row r="1417" spans="1:9" x14ac:dyDescent="0.25">
      <c r="A1417" s="50" t="s">
        <v>58</v>
      </c>
      <c r="B1417" s="220" t="str">
        <f>VLOOKUP(A1417,'Componentes APUs'!$S$1:$V$10,2,0)</f>
        <v>Manila de servicio</v>
      </c>
      <c r="C1417" s="220"/>
      <c r="D1417" s="50" t="s">
        <v>18</v>
      </c>
      <c r="E1417" s="50">
        <v>0</v>
      </c>
      <c r="F1417" s="51">
        <f>VLOOKUP(A1417,'Componentes APUs'!$S$1:$V$10,4,0)</f>
        <v>2333</v>
      </c>
      <c r="G1417" s="51">
        <f>ROUNDUP(F1417*((E1417/21)/E1394),0)</f>
        <v>0</v>
      </c>
    </row>
    <row r="1418" spans="1:9" x14ac:dyDescent="0.25">
      <c r="A1418" s="50" t="s">
        <v>327</v>
      </c>
      <c r="B1418" s="220" t="str">
        <f>VLOOKUP(A1418,'Componentes APUs'!$S$1:$V$10,2,0)</f>
        <v>Tula portaherramientas</v>
      </c>
      <c r="C1418" s="220"/>
      <c r="D1418" s="50" t="s">
        <v>18</v>
      </c>
      <c r="E1418" s="50">
        <v>0</v>
      </c>
      <c r="F1418" s="51">
        <f>VLOOKUP(A1418,'Componentes APUs'!$S$1:$V$10,4,0)</f>
        <v>1250</v>
      </c>
      <c r="G1418" s="51">
        <f>ROUNDUP(F1418*((E1418/21)/E1394),0)</f>
        <v>0</v>
      </c>
    </row>
    <row r="1419" spans="1:9" x14ac:dyDescent="0.25">
      <c r="A1419" s="50" t="s">
        <v>60</v>
      </c>
      <c r="B1419" s="220" t="str">
        <f>VLOOKUP(A1419,'Componentes APUs'!$S$1:$V$10,2,0)</f>
        <v>Agarradoras</v>
      </c>
      <c r="C1419" s="220"/>
      <c r="D1419" s="50" t="s">
        <v>18</v>
      </c>
      <c r="E1419" s="50">
        <v>0</v>
      </c>
      <c r="F1419" s="51">
        <f>VLOOKUP(A1419,'Componentes APUs'!$S$1:$V$10,4,0)</f>
        <v>125000</v>
      </c>
      <c r="G1419" s="51">
        <f>ROUNDUP(F1419*((E1419/21)/E1394),0)</f>
        <v>0</v>
      </c>
    </row>
    <row r="1420" spans="1:9" x14ac:dyDescent="0.25">
      <c r="A1420" s="50" t="s">
        <v>62</v>
      </c>
      <c r="B1420" s="220" t="str">
        <f>VLOOKUP(A1420,'Componentes APUs'!$S$1:$V$10,2,0)</f>
        <v>Templadoras</v>
      </c>
      <c r="C1420" s="220"/>
      <c r="D1420" s="50" t="s">
        <v>18</v>
      </c>
      <c r="E1420" s="50">
        <v>0</v>
      </c>
      <c r="F1420" s="51">
        <f>VLOOKUP(A1420,'Componentes APUs'!$S$1:$V$10,4,0)</f>
        <v>250000</v>
      </c>
      <c r="G1420" s="51">
        <f>ROUNDUP(F1420*((E1420/21)/E1394),0)</f>
        <v>0</v>
      </c>
    </row>
    <row r="1421" spans="1:9" x14ac:dyDescent="0.25">
      <c r="A1421" s="50" t="s">
        <v>328</v>
      </c>
      <c r="B1421" s="220" t="str">
        <f>VLOOKUP(A1421,'Componentes APUs'!$S$1:$V$10,2,0)</f>
        <v>Herramienta Menor</v>
      </c>
      <c r="C1421" s="220"/>
      <c r="D1421" s="50" t="s">
        <v>18</v>
      </c>
      <c r="E1421" s="50">
        <v>3</v>
      </c>
      <c r="F1421" s="51">
        <f>VLOOKUP(A1421,'Componentes APUs'!$S$1:$V$10,4,0)</f>
        <v>75758</v>
      </c>
      <c r="G1421" s="51">
        <f>ROUNDUP(F1421*((E1421/21)/E1394),0)</f>
        <v>361</v>
      </c>
    </row>
    <row r="1422" spans="1:9" x14ac:dyDescent="0.25">
      <c r="A1422" s="219" t="s">
        <v>69</v>
      </c>
      <c r="B1422" s="219"/>
      <c r="C1422" s="219"/>
      <c r="D1422" s="219"/>
      <c r="E1422" s="219"/>
      <c r="F1422" s="219"/>
      <c r="G1422" s="52">
        <f>SUM(G1416:G1421)</f>
        <v>361</v>
      </c>
    </row>
    <row r="1423" spans="1:9" x14ac:dyDescent="0.25">
      <c r="A1423" s="56"/>
      <c r="B1423" s="57"/>
      <c r="C1423" s="57"/>
      <c r="D1423" s="57"/>
      <c r="E1423" s="57"/>
      <c r="F1423" s="57"/>
      <c r="G1423" s="58"/>
    </row>
    <row r="1424" spans="1:9" x14ac:dyDescent="0.25">
      <c r="A1424" s="219" t="s">
        <v>70</v>
      </c>
      <c r="B1424" s="219"/>
      <c r="C1424" s="219"/>
      <c r="D1424" s="219"/>
      <c r="E1424" s="219"/>
      <c r="F1424" s="219"/>
      <c r="G1424" s="219"/>
    </row>
    <row r="1425" spans="1:9" x14ac:dyDescent="0.25">
      <c r="A1425" s="49" t="s">
        <v>35</v>
      </c>
      <c r="B1425" s="219" t="s">
        <v>36</v>
      </c>
      <c r="C1425" s="219"/>
      <c r="D1425" s="49" t="s">
        <v>37</v>
      </c>
      <c r="E1425" s="49" t="s">
        <v>38</v>
      </c>
      <c r="F1425" s="49" t="s">
        <v>39</v>
      </c>
      <c r="G1425" s="49" t="s">
        <v>40</v>
      </c>
    </row>
    <row r="1426" spans="1:9" x14ac:dyDescent="0.25">
      <c r="A1426" s="50" t="s">
        <v>71</v>
      </c>
      <c r="B1426" s="71" t="str">
        <f>VLOOKUP(A1426,'Componentes APUs'!$A$1:$D$14,2,0)</f>
        <v>Camisa indigo sin partes metalicas</v>
      </c>
      <c r="C1426" s="71"/>
      <c r="D1426" s="50" t="str">
        <f>VLOOKUP(A1426,'Componentes APUs'!$A$1:$D$14,3,0)</f>
        <v>U</v>
      </c>
      <c r="E1426" s="50">
        <f>SUM(C1406:C1411)</f>
        <v>3.75</v>
      </c>
      <c r="F1426" s="51">
        <f>VLOOKUP(A1426,'Componentes APUs'!$A$1:$D$14,4,0)</f>
        <v>8585.8585858585866</v>
      </c>
      <c r="G1426" s="51">
        <f>ROUNDUP(F1426*(E1426/21)/E1394,0)</f>
        <v>52</v>
      </c>
      <c r="I1426" s="91"/>
    </row>
    <row r="1427" spans="1:9" x14ac:dyDescent="0.25">
      <c r="A1427" s="69" t="s">
        <v>73</v>
      </c>
      <c r="B1427" s="72" t="str">
        <f>VLOOKUP(A1427,'Componentes APUs'!$A$1:$D$14,2,0)</f>
        <v>Bota de seguridad dielectrica</v>
      </c>
      <c r="C1427" s="73"/>
      <c r="D1427" s="70" t="str">
        <f>VLOOKUP(A1427,'Componentes APUs'!$A$1:$D$14,3,0)</f>
        <v>Par</v>
      </c>
      <c r="E1427" s="50">
        <f>SUM(C1406:C1411)</f>
        <v>3.75</v>
      </c>
      <c r="F1427" s="51">
        <f>VLOOKUP(A1427,'Componentes APUs'!$A$1:$D$14,4,0)</f>
        <v>7500</v>
      </c>
      <c r="G1427" s="51">
        <f>ROUNDUP(F1427*(E1427/21)/E1394,0)</f>
        <v>45</v>
      </c>
    </row>
    <row r="1428" spans="1:9" x14ac:dyDescent="0.25">
      <c r="A1428" s="50" t="s">
        <v>76</v>
      </c>
      <c r="B1428" s="72" t="str">
        <f>VLOOKUP(A1428,'Componentes APUs'!$A$1:$D$14,2,0)</f>
        <v>Casco dielectrico Tipo 1 Clase E con barbuquejo</v>
      </c>
      <c r="C1428" s="73"/>
      <c r="D1428" s="50" t="str">
        <f>VLOOKUP(A1428,'Componentes APUs'!$A$1:$D$14,3,0)</f>
        <v>U</v>
      </c>
      <c r="E1428" s="50">
        <f>C1406+C1407+C1409+C1410+C1411+IF(A1408&lt;&gt;"MO-3",C1408,0)</f>
        <v>3.75</v>
      </c>
      <c r="F1428" s="51">
        <f>VLOOKUP(A1428,'Componentes APUs'!$A$1:$D$14,4,0)</f>
        <v>10101.010101010101</v>
      </c>
      <c r="G1428" s="51">
        <f>ROUNDUP(F1428*(E1428/21)/E1394,0)</f>
        <v>61</v>
      </c>
    </row>
    <row r="1429" spans="1:9" x14ac:dyDescent="0.25">
      <c r="A1429" s="69" t="s">
        <v>77</v>
      </c>
      <c r="B1429" s="72" t="str">
        <f>VLOOKUP(A1429,'Componentes APUs'!$A$1:$D$14,2,0)</f>
        <v>Correa plastica y antiflama</v>
      </c>
      <c r="C1429" s="73"/>
      <c r="D1429" s="50" t="str">
        <f>VLOOKUP(A1429,'Componentes APUs'!$A$1:$D$14,3,0)</f>
        <v>U</v>
      </c>
      <c r="E1429" s="50">
        <f>SUM(C1406:C1411)</f>
        <v>3.75</v>
      </c>
      <c r="F1429" s="51">
        <f>VLOOKUP(A1429,'Componentes APUs'!$A$1:$D$14,4,0)</f>
        <v>3787.878787878788</v>
      </c>
      <c r="G1429" s="51">
        <f>ROUNDUP(F1429*(E1429/21)/E1394,0)</f>
        <v>23</v>
      </c>
    </row>
    <row r="1430" spans="1:9" x14ac:dyDescent="0.25">
      <c r="A1430" s="50" t="s">
        <v>79</v>
      </c>
      <c r="B1430" s="72" t="str">
        <f>VLOOKUP(A1430,'Componentes APUs'!$A$1:$D$14,2,0)</f>
        <v>Gafas protectoras filtro UV</v>
      </c>
      <c r="C1430" s="73"/>
      <c r="D1430" s="50" t="str">
        <f>VLOOKUP(A1430,'Componentes APUs'!$A$1:$D$14,3,0)</f>
        <v>U</v>
      </c>
      <c r="E1430" s="50">
        <f>SUM(C1406:C1411)</f>
        <v>3.75</v>
      </c>
      <c r="F1430" s="51">
        <f>VLOOKUP(A1430,'Componentes APUs'!$A$1:$D$14,4,0)</f>
        <v>2777.7777777777778</v>
      </c>
      <c r="G1430" s="51">
        <f>ROUNDUP(F1430*(E1430/21)/E1394,0)</f>
        <v>17</v>
      </c>
    </row>
    <row r="1431" spans="1:9" x14ac:dyDescent="0.25">
      <c r="A1431" s="69" t="s">
        <v>402</v>
      </c>
      <c r="B1431" s="72" t="str">
        <f>VLOOKUP(A1431,'Componentes APUs'!$A$1:$D$14,2,0)</f>
        <v>Bota de seguridad PVC dielectrica</v>
      </c>
      <c r="C1431" s="73"/>
      <c r="D1431" s="50" t="str">
        <f>VLOOKUP(A1431,'Componentes APUs'!$A$1:$D$14,3,0)</f>
        <v>Par</v>
      </c>
      <c r="E1431" s="50">
        <f>SUM(C1406:C1411)</f>
        <v>3.75</v>
      </c>
      <c r="F1431" s="51">
        <f>VLOOKUP(A1431,'Componentes APUs'!$A$1:$D$14,4,0)</f>
        <v>2916.6666666666665</v>
      </c>
      <c r="G1431" s="51">
        <f>ROUNDUP(F1431*(E1431/21)/E1394,0)</f>
        <v>18</v>
      </c>
    </row>
    <row r="1432" spans="1:9" x14ac:dyDescent="0.25">
      <c r="A1432" s="50" t="s">
        <v>403</v>
      </c>
      <c r="B1432" s="72" t="str">
        <f>VLOOKUP(A1432,'Componentes APUs'!$A$1:$D$14,2,0)</f>
        <v>Capuchon</v>
      </c>
      <c r="C1432" s="73"/>
      <c r="D1432" s="50" t="str">
        <f>VLOOKUP(A1432,'Componentes APUs'!$A$1:$D$14,3,0)</f>
        <v>U</v>
      </c>
      <c r="E1432" s="50">
        <f>SUM(C1406:C1411)</f>
        <v>3.75</v>
      </c>
      <c r="F1432" s="51">
        <f>VLOOKUP(A1432,'Componentes APUs'!$A$1:$D$14,4,0)</f>
        <v>2525.2525252525252</v>
      </c>
      <c r="G1432" s="51">
        <f>ROUNDUP(F1432*(E1432/21)/E1394,0)</f>
        <v>16</v>
      </c>
    </row>
    <row r="1433" spans="1:9" x14ac:dyDescent="0.25">
      <c r="A1433" s="69" t="s">
        <v>81</v>
      </c>
      <c r="B1433" s="72" t="str">
        <f>VLOOKUP(A1433,'Componentes APUs'!$A$1:$D$14,2,0)</f>
        <v>Guantes Protectores  - ingeniero reforzados</v>
      </c>
      <c r="C1433" s="73"/>
      <c r="D1433" s="50" t="str">
        <f>VLOOKUP(A1433,'Componentes APUs'!$A$1:$D$14,3,0)</f>
        <v>Par</v>
      </c>
      <c r="E1433" s="50">
        <f>C1408+C1409+C1411</f>
        <v>3.25</v>
      </c>
      <c r="F1433" s="51">
        <f>VLOOKUP(A1433,'Componentes APUs'!$A$1:$D$14,4,0)</f>
        <v>2525.2525252525252</v>
      </c>
      <c r="G1433" s="51">
        <f>ROUNDUP(F1433*(E1433/21)/E1394,0)</f>
        <v>14</v>
      </c>
    </row>
    <row r="1434" spans="1:9" x14ac:dyDescent="0.25">
      <c r="A1434" s="50" t="s">
        <v>83</v>
      </c>
      <c r="B1434" s="72" t="str">
        <f>VLOOKUP(A1434,'Componentes APUs'!$A$1:$D$14,2,0)</f>
        <v>Impermeable (pantalon camisa)</v>
      </c>
      <c r="C1434" s="73"/>
      <c r="D1434" s="50" t="str">
        <f>VLOOKUP(A1434,'Componentes APUs'!$A$1:$D$14,3,0)</f>
        <v>U</v>
      </c>
      <c r="E1434" s="50">
        <f>SUM(C1406:C1411)</f>
        <v>3.75</v>
      </c>
      <c r="F1434" s="51">
        <f>VLOOKUP(A1434,'Componentes APUs'!$A$1:$D$14,4,0)</f>
        <v>3750</v>
      </c>
      <c r="G1434" s="51">
        <f>ROUNDUP(F1434*(E1434/21)/E1394,0)</f>
        <v>23</v>
      </c>
    </row>
    <row r="1435" spans="1:9" x14ac:dyDescent="0.25">
      <c r="A1435" s="69" t="s">
        <v>85</v>
      </c>
      <c r="B1435" s="72" t="str">
        <f>VLOOKUP(A1435,'Componentes APUs'!$A$1:$D$14,2,0)</f>
        <v>Jean Dielectrico</v>
      </c>
      <c r="C1435" s="73"/>
      <c r="D1435" s="50" t="str">
        <f>VLOOKUP(A1435,'Componentes APUs'!$A$1:$D$14,3,0)</f>
        <v>U</v>
      </c>
      <c r="E1435" s="50">
        <f>SUM(C1406:C1411)</f>
        <v>3.75</v>
      </c>
      <c r="F1435" s="51">
        <f>VLOOKUP(A1435,'Componentes APUs'!$A$1:$D$14,4,0)</f>
        <v>7575.757575757576</v>
      </c>
      <c r="G1435" s="51">
        <f>ROUNDUP(F1435*(E1435/21)/E1394,0)</f>
        <v>46</v>
      </c>
    </row>
    <row r="1436" spans="1:9" x14ac:dyDescent="0.25">
      <c r="A1436" s="50" t="s">
        <v>87</v>
      </c>
      <c r="B1436" s="72" t="str">
        <f>VLOOKUP(A1436,'Componentes APUs'!$A$1:$D$14,2,0)</f>
        <v>Casco dielectrico Tipo 2 Clase E con barboquejo</v>
      </c>
      <c r="C1436" s="73"/>
      <c r="D1436" s="50" t="str">
        <f>VLOOKUP(A1436,'Componentes APUs'!$A$1:$D$14,3,0)</f>
        <v>U</v>
      </c>
      <c r="E1436" s="53">
        <f>IF(A1408="MO-3",C1408,0)</f>
        <v>0</v>
      </c>
      <c r="F1436" s="51">
        <f>VLOOKUP(A1436,'Componentes APUs'!$A$1:$D$14,4,0)</f>
        <v>7500</v>
      </c>
      <c r="G1436" s="51">
        <f>ROUNDUP(F1436*(E1436/21)/E1394,0)</f>
        <v>0</v>
      </c>
    </row>
    <row r="1437" spans="1:9" x14ac:dyDescent="0.25">
      <c r="A1437" s="69" t="s">
        <v>89</v>
      </c>
      <c r="B1437" s="72" t="str">
        <f>VLOOKUP(A1437,'Componentes APUs'!$A$1:$D$14,2,0)</f>
        <v>Kit de rescate para trabajo en alturas</v>
      </c>
      <c r="C1437" s="73"/>
      <c r="D1437" s="50" t="str">
        <f>VLOOKUP(A1437,'Componentes APUs'!$A$1:$D$14,3,0)</f>
        <v>U</v>
      </c>
      <c r="E1437" s="50">
        <f>IF(AND(A1408="MO-3",C1408=2),1,0)</f>
        <v>0</v>
      </c>
      <c r="F1437" s="51">
        <f>VLOOKUP(A1437,'Componentes APUs'!$A$1:$D$14,4,0)</f>
        <v>37500</v>
      </c>
      <c r="G1437" s="51">
        <f>ROUNDUP(F1437*(E1437/21)/E1394,0)</f>
        <v>0</v>
      </c>
    </row>
    <row r="1438" spans="1:9" x14ac:dyDescent="0.25">
      <c r="A1438" s="50" t="s">
        <v>91</v>
      </c>
      <c r="B1438" s="72" t="str">
        <f>VLOOKUP(A1438,'Componentes APUs'!$A$1:$D$14,2,0)</f>
        <v>Equipo completo para trabajo en alturas con pretales (Arnes dielectrico, 1 mosqueton de seguridad, tie off dielectrico, eslinga de posicionamiento, juego de pretales)</v>
      </c>
      <c r="C1438" s="73"/>
      <c r="D1438" s="50" t="str">
        <f>VLOOKUP(A1438,'Componentes APUs'!$A$1:$D$14,3,0)</f>
        <v>U</v>
      </c>
      <c r="E1438" s="50">
        <f>IF(A1408="MO-3",C1408,0)</f>
        <v>0</v>
      </c>
      <c r="F1438" s="51">
        <f>VLOOKUP(A1438,'Componentes APUs'!$A$1:$D$14,4,0)</f>
        <v>26041.666666666668</v>
      </c>
      <c r="G1438" s="51">
        <f>ROUNDUP(F1438*(E1438/21)/E1394,0)</f>
        <v>0</v>
      </c>
    </row>
    <row r="1439" spans="1:9" x14ac:dyDescent="0.25">
      <c r="A1439" s="219" t="s">
        <v>95</v>
      </c>
      <c r="B1439" s="219"/>
      <c r="C1439" s="219"/>
      <c r="D1439" s="219"/>
      <c r="E1439" s="219"/>
      <c r="F1439" s="219"/>
      <c r="G1439" s="52">
        <f>SUM(G1426:G1438)</f>
        <v>315</v>
      </c>
    </row>
    <row r="1440" spans="1:9" x14ac:dyDescent="0.25">
      <c r="A1440" s="56"/>
      <c r="B1440" s="57"/>
      <c r="C1440" s="57"/>
      <c r="D1440" s="57"/>
      <c r="E1440" s="57"/>
      <c r="F1440" s="57"/>
      <c r="G1440" s="58"/>
    </row>
    <row r="1441" spans="1:7" x14ac:dyDescent="0.25">
      <c r="A1441" s="219" t="s">
        <v>96</v>
      </c>
      <c r="B1441" s="219"/>
      <c r="C1441" s="219"/>
      <c r="D1441" s="219"/>
      <c r="E1441" s="219"/>
      <c r="F1441" s="219"/>
      <c r="G1441" s="219"/>
    </row>
    <row r="1442" spans="1:7" x14ac:dyDescent="0.25">
      <c r="A1442" s="49" t="s">
        <v>35</v>
      </c>
      <c r="B1442" s="225" t="s">
        <v>36</v>
      </c>
      <c r="C1442" s="225"/>
      <c r="D1442" s="49" t="s">
        <v>37</v>
      </c>
      <c r="E1442" s="49" t="s">
        <v>38</v>
      </c>
      <c r="F1442" s="49" t="s">
        <v>39</v>
      </c>
      <c r="G1442" s="49" t="s">
        <v>40</v>
      </c>
    </row>
    <row r="1443" spans="1:7" x14ac:dyDescent="0.25">
      <c r="A1443" s="69" t="s">
        <v>97</v>
      </c>
      <c r="B1443" s="72" t="str">
        <f>VLOOKUP(A1443,'Componentes APUs'!$N$1:$Q$30,2,0)</f>
        <v>Camioneta</v>
      </c>
      <c r="C1443" s="73"/>
      <c r="D1443" s="70" t="str">
        <f>VLOOKUP(A1443,'Componentes APUs'!$N$1:$Q$30,3,0)</f>
        <v>U</v>
      </c>
      <c r="E1443" s="50">
        <v>1</v>
      </c>
      <c r="F1443" s="51">
        <f>VLOOKUP(A1443,'Componentes APUs'!$N$1:$Q$30,4,0)</f>
        <v>5500000</v>
      </c>
      <c r="G1443" s="51">
        <f>IFERROR(ROUNDUP(F1443*(E1443/21)/E1394,0),"-")</f>
        <v>8731</v>
      </c>
    </row>
    <row r="1444" spans="1:7" x14ac:dyDescent="0.25">
      <c r="A1444" s="50" t="s">
        <v>321</v>
      </c>
      <c r="B1444" s="72" t="str">
        <f>VLOOKUP(A1444,'Componentes APUs'!$N$1:$Q$30,2,0)</f>
        <v>Grúa Hidráulica</v>
      </c>
      <c r="C1444" s="73"/>
      <c r="D1444" s="70" t="str">
        <f>VLOOKUP(A1444,'Componentes APUs'!$N$1:$Q$30,3,0)</f>
        <v>U</v>
      </c>
      <c r="E1444" s="50">
        <v>0</v>
      </c>
      <c r="F1444" s="51">
        <f>VLOOKUP(A1444,'Componentes APUs'!$N$1:$Q$30,4,0)</f>
        <v>21000000</v>
      </c>
      <c r="G1444" s="51">
        <f>IFERROR(ROUNDUP(F1444*(E1444/21)/E1394,0),"-")</f>
        <v>0</v>
      </c>
    </row>
    <row r="1445" spans="1:7" x14ac:dyDescent="0.25">
      <c r="A1445" s="69" t="s">
        <v>1379</v>
      </c>
      <c r="B1445" s="72" t="str">
        <f>VLOOKUP(A1445,'Componentes APUs'!$N$1:$Q$30,2,0)</f>
        <v>Dumper de descarga Frontal 2T</v>
      </c>
      <c r="C1445" s="73"/>
      <c r="D1445" s="70" t="str">
        <f>VLOOKUP(A1445,'Componentes APUs'!$N$1:$Q$30,3,0)</f>
        <v>U</v>
      </c>
      <c r="E1445" s="50">
        <v>0</v>
      </c>
      <c r="F1445" s="51">
        <f>VLOOKUP(A1445,'Componentes APUs'!$N$1:$Q$30,4,0)</f>
        <v>4438716.24</v>
      </c>
      <c r="G1445" s="51">
        <f>IFERROR(ROUNDUP(F1445*(E1445/21)/E1394,0),"-")</f>
        <v>0</v>
      </c>
    </row>
    <row r="1446" spans="1:7" x14ac:dyDescent="0.25">
      <c r="A1446" s="50" t="s">
        <v>323</v>
      </c>
      <c r="B1446" s="72" t="str">
        <f>VLOOKUP(A1446,'Componentes APUs'!$N$1:$Q$30,2,0)</f>
        <v>Volqueta</v>
      </c>
      <c r="C1446" s="73"/>
      <c r="D1446" s="70" t="str">
        <f>VLOOKUP(A1446,'Componentes APUs'!$N$1:$Q$30,3,0)</f>
        <v>U</v>
      </c>
      <c r="E1446" s="50">
        <v>0</v>
      </c>
      <c r="F1446" s="51">
        <f>VLOOKUP(A1446,'Componentes APUs'!$N$1:$Q$30,4,0)</f>
        <v>14828184</v>
      </c>
      <c r="G1446" s="51">
        <f>IFERROR(ROUNDUP(F1446*(E1446/21)/E1394,0),"-")</f>
        <v>0</v>
      </c>
    </row>
    <row r="1447" spans="1:7" x14ac:dyDescent="0.25">
      <c r="A1447" s="69" t="s">
        <v>324</v>
      </c>
      <c r="B1447" s="72" t="str">
        <f>VLOOKUP(A1447,'Componentes APUs'!$N$1:$Q$30,2,0)</f>
        <v>Retroexcavadora</v>
      </c>
      <c r="C1447" s="73"/>
      <c r="D1447" s="70" t="str">
        <f>VLOOKUP(A1447,'Componentes APUs'!$N$1:$Q$30,3,0)</f>
        <v>U</v>
      </c>
      <c r="E1447" s="50">
        <v>0</v>
      </c>
      <c r="F1447" s="51">
        <f>VLOOKUP(A1447,'Componentes APUs'!$N$1:$Q$30,4,0)</f>
        <v>46030656</v>
      </c>
      <c r="G1447" s="51">
        <f>IFERROR(ROUNDUP(F1447*(E1447/21)/E1394,0),"-")</f>
        <v>0</v>
      </c>
    </row>
    <row r="1448" spans="1:7" x14ac:dyDescent="0.25">
      <c r="A1448" s="219" t="s">
        <v>99</v>
      </c>
      <c r="B1448" s="219"/>
      <c r="C1448" s="219"/>
      <c r="D1448" s="219"/>
      <c r="E1448" s="219"/>
      <c r="F1448" s="219"/>
      <c r="G1448" s="52">
        <f>SUM(G1443:G1447)</f>
        <v>8731</v>
      </c>
    </row>
    <row r="1449" spans="1:7" x14ac:dyDescent="0.25">
      <c r="A1449" s="56"/>
      <c r="B1449" s="57"/>
      <c r="C1449" s="57"/>
      <c r="D1449" s="57"/>
      <c r="E1449" s="57"/>
      <c r="F1449" s="57"/>
      <c r="G1449" s="58"/>
    </row>
    <row r="1450" spans="1:7" x14ac:dyDescent="0.25">
      <c r="A1450" s="219" t="s">
        <v>1516</v>
      </c>
      <c r="B1450" s="219"/>
      <c r="C1450" s="219"/>
      <c r="D1450" s="219"/>
      <c r="E1450" s="219"/>
      <c r="F1450" s="219"/>
      <c r="G1450" s="52">
        <f>G1448+G1439+G1422+G1412+G1402</f>
        <v>100919</v>
      </c>
    </row>
    <row r="1451" spans="1:7" x14ac:dyDescent="0.25">
      <c r="A1451" s="59"/>
      <c r="B1451" s="60"/>
      <c r="C1451" s="60"/>
      <c r="D1451" s="60"/>
      <c r="E1451" s="57"/>
      <c r="F1451" s="57"/>
      <c r="G1451" s="58"/>
    </row>
    <row r="1452" spans="1:7" x14ac:dyDescent="0.25">
      <c r="A1452" s="64"/>
      <c r="D1452" s="55"/>
      <c r="E1452" s="49" t="s">
        <v>25</v>
      </c>
      <c r="F1452" s="54">
        <v>0.15</v>
      </c>
      <c r="G1452" s="51">
        <f>G1450*F1452</f>
        <v>15137.849999999999</v>
      </c>
    </row>
    <row r="1453" spans="1:7" x14ac:dyDescent="0.25">
      <c r="A1453" s="64"/>
      <c r="D1453" s="55"/>
      <c r="E1453" s="49" t="s">
        <v>26</v>
      </c>
      <c r="F1453" s="54">
        <v>0.05</v>
      </c>
      <c r="G1453" s="51">
        <f>G1450*F1453</f>
        <v>5045.9500000000007</v>
      </c>
    </row>
    <row r="1454" spans="1:7" x14ac:dyDescent="0.25">
      <c r="A1454" s="61"/>
      <c r="B1454" s="65"/>
      <c r="C1454" s="65"/>
      <c r="D1454" s="62"/>
      <c r="E1454" s="49" t="s">
        <v>27</v>
      </c>
      <c r="F1454" s="54">
        <v>0.05</v>
      </c>
      <c r="G1454" s="51">
        <f>G1450*F1454</f>
        <v>5045.9500000000007</v>
      </c>
    </row>
    <row r="1455" spans="1:7" x14ac:dyDescent="0.25">
      <c r="A1455" s="61"/>
      <c r="B1455" s="62"/>
      <c r="C1455" s="62"/>
      <c r="D1455" s="62"/>
      <c r="E1455" s="62"/>
      <c r="F1455" s="62"/>
      <c r="G1455" s="63"/>
    </row>
    <row r="1456" spans="1:7" x14ac:dyDescent="0.25">
      <c r="A1456" s="219" t="s">
        <v>1517</v>
      </c>
      <c r="B1456" s="219"/>
      <c r="C1456" s="219"/>
      <c r="D1456" s="219"/>
      <c r="E1456" s="219"/>
      <c r="F1456" s="219"/>
      <c r="G1456" s="52">
        <f>G1450+G1452+G1453+G1454</f>
        <v>126148.75</v>
      </c>
    </row>
    <row r="1457" spans="1:9" x14ac:dyDescent="0.25">
      <c r="A1457" s="59"/>
      <c r="B1457" s="60"/>
      <c r="C1457" s="60"/>
      <c r="D1457" s="60"/>
      <c r="E1457" s="57"/>
      <c r="F1457" s="57"/>
      <c r="G1457" s="58"/>
    </row>
    <row r="1458" spans="1:9" x14ac:dyDescent="0.25">
      <c r="A1458" s="64"/>
      <c r="D1458" s="55"/>
      <c r="E1458" s="49" t="s">
        <v>102</v>
      </c>
      <c r="F1458" s="49" t="s">
        <v>103</v>
      </c>
      <c r="G1458" s="51">
        <f>G1454*19%</f>
        <v>958.73050000000012</v>
      </c>
    </row>
    <row r="1459" spans="1:9" x14ac:dyDescent="0.25">
      <c r="A1459" s="61"/>
      <c r="B1459" s="62"/>
      <c r="C1459" s="62"/>
      <c r="D1459" s="62"/>
      <c r="E1459" s="57"/>
      <c r="F1459" s="57"/>
      <c r="G1459" s="58"/>
    </row>
    <row r="1460" spans="1:9" x14ac:dyDescent="0.25">
      <c r="A1460" s="219" t="s">
        <v>104</v>
      </c>
      <c r="B1460" s="219"/>
      <c r="C1460" s="219"/>
      <c r="D1460" s="219"/>
      <c r="E1460" s="219"/>
      <c r="F1460" s="219"/>
      <c r="G1460" s="52">
        <f>G1458+G1456</f>
        <v>127107.48050000001</v>
      </c>
    </row>
    <row r="1462" spans="1:9" x14ac:dyDescent="0.25">
      <c r="A1462" s="74" t="s">
        <v>29</v>
      </c>
      <c r="B1462" s="226" t="s">
        <v>30</v>
      </c>
      <c r="C1462" s="226"/>
      <c r="D1462" s="74" t="s">
        <v>31</v>
      </c>
      <c r="E1462" s="74" t="s">
        <v>32</v>
      </c>
      <c r="F1462" s="74" t="s">
        <v>189</v>
      </c>
      <c r="G1462" s="74" t="s">
        <v>33</v>
      </c>
      <c r="H1462" s="105"/>
    </row>
    <row r="1463" spans="1:9" x14ac:dyDescent="0.25">
      <c r="A1463" s="50" t="str">
        <f>Presupuesto!B31</f>
        <v>023_OC</v>
      </c>
      <c r="B1463" s="229" t="str">
        <f>Presupuesto!C31</f>
        <v>TAPA TIPO B (DIMENSIÓN VARIABLE)</v>
      </c>
      <c r="C1463" s="230"/>
      <c r="D1463" s="50" t="s">
        <v>8</v>
      </c>
      <c r="E1463" s="102">
        <v>30</v>
      </c>
      <c r="F1463" s="50"/>
      <c r="G1463" s="51">
        <f>G1529</f>
        <v>127107.48050000001</v>
      </c>
      <c r="H1463" s="45"/>
    </row>
    <row r="1464" spans="1:9" x14ac:dyDescent="0.25">
      <c r="A1464" s="219" t="s">
        <v>34</v>
      </c>
      <c r="B1464" s="219"/>
      <c r="C1464" s="219"/>
      <c r="D1464" s="219"/>
      <c r="E1464" s="219"/>
      <c r="F1464" s="219"/>
      <c r="G1464" s="219"/>
    </row>
    <row r="1465" spans="1:9" x14ac:dyDescent="0.25">
      <c r="A1465" s="49" t="s">
        <v>35</v>
      </c>
      <c r="B1465" s="219" t="s">
        <v>36</v>
      </c>
      <c r="C1465" s="219"/>
      <c r="D1465" s="49" t="s">
        <v>37</v>
      </c>
      <c r="E1465" s="49" t="s">
        <v>38</v>
      </c>
      <c r="F1465" s="49" t="s">
        <v>39</v>
      </c>
      <c r="G1465" s="49" t="s">
        <v>40</v>
      </c>
    </row>
    <row r="1466" spans="1:9" x14ac:dyDescent="0.25">
      <c r="A1466" s="50" t="str">
        <f>Material!A15</f>
        <v>MA-14</v>
      </c>
      <c r="B1466" s="72" t="str">
        <f>IFERROR(VLOOKUP(A1466,Material!$A:$H,2,0),"-")</f>
        <v>CONCRETO DE 3000 PSI</v>
      </c>
      <c r="C1466" s="76"/>
      <c r="D1466" s="50" t="s">
        <v>113</v>
      </c>
      <c r="E1466" s="107">
        <f>0.07*0.6</f>
        <v>4.2000000000000003E-2</v>
      </c>
      <c r="F1466" s="51">
        <f>IFERROR(VLOOKUP(A1466,Material!$A:$H,3,0),"-")</f>
        <v>620227.23330691375</v>
      </c>
      <c r="G1466" s="51">
        <f t="shared" ref="G1466:G1470" si="17">IFERROR(ROUNDUP(F1466*E1466,0),"-")</f>
        <v>26050</v>
      </c>
      <c r="H1466" s="92"/>
    </row>
    <row r="1467" spans="1:9" x14ac:dyDescent="0.25">
      <c r="A1467" s="50" t="str">
        <f>Material!A597</f>
        <v>MA-596</v>
      </c>
      <c r="B1467" s="72" t="str">
        <f>IFERROR(VLOOKUP(A1467,Material!$A:$H,2,0),"-")</f>
        <v>ACERO DE REFUERZO FIGURADO</v>
      </c>
      <c r="C1467" s="76"/>
      <c r="D1467" s="50" t="str">
        <f>IFERROR(VLOOKUP(A1467,Material!$A:$H,4,0),"-")</f>
        <v>kG</v>
      </c>
      <c r="E1467" s="107">
        <f>E1466*200</f>
        <v>8.4</v>
      </c>
      <c r="F1467" s="51">
        <f>IFERROR(VLOOKUP(A1467,Material!$A:$H,3,0),"-")</f>
        <v>5106.4000000000005</v>
      </c>
      <c r="G1467" s="51">
        <f t="shared" si="17"/>
        <v>42894</v>
      </c>
      <c r="H1467" s="106"/>
    </row>
    <row r="1468" spans="1:9" x14ac:dyDescent="0.25">
      <c r="A1468" s="50"/>
      <c r="B1468" s="72" t="str">
        <f>IFERROR(VLOOKUP(A1468,Material!$A:$H,2,0),"-")</f>
        <v>-</v>
      </c>
      <c r="C1468" s="76"/>
      <c r="D1468" s="50" t="str">
        <f>IFERROR(VLOOKUP(A1468,Material!$A:$H,4,0),"-")</f>
        <v>-</v>
      </c>
      <c r="E1468" s="107"/>
      <c r="F1468" s="51" t="str">
        <f>IFERROR(VLOOKUP(A1468,Material!$A:$H,3,0),"-")</f>
        <v>-</v>
      </c>
      <c r="G1468" s="51" t="str">
        <f t="shared" si="17"/>
        <v>-</v>
      </c>
      <c r="H1468" s="106"/>
    </row>
    <row r="1469" spans="1:9" x14ac:dyDescent="0.25">
      <c r="A1469" s="50"/>
      <c r="B1469" s="72" t="str">
        <f>IFERROR(VLOOKUP(A1469,Material!$A:$H,2,0),"-")</f>
        <v>-</v>
      </c>
      <c r="C1469" s="76"/>
      <c r="D1469" s="50" t="str">
        <f>IFERROR(VLOOKUP(A1469,Material!$A:$H,4,0),"-")</f>
        <v>-</v>
      </c>
      <c r="E1469" s="107"/>
      <c r="F1469" s="51" t="str">
        <f>IFERROR(VLOOKUP(A1469,Material!$A:$H,3,0),"-")</f>
        <v>-</v>
      </c>
      <c r="G1469" s="51" t="str">
        <f t="shared" si="17"/>
        <v>-</v>
      </c>
      <c r="H1469" s="106"/>
    </row>
    <row r="1470" spans="1:9" x14ac:dyDescent="0.25">
      <c r="A1470" s="50"/>
      <c r="B1470" s="72" t="str">
        <f>IFERROR(VLOOKUP(A1470,Material!$A:$H,2,0),"-")</f>
        <v>-</v>
      </c>
      <c r="C1470" s="76"/>
      <c r="D1470" s="50" t="str">
        <f>IFERROR(VLOOKUP(A1470,Material!$A:$H,4,0),"-")</f>
        <v>-</v>
      </c>
      <c r="E1470" s="107"/>
      <c r="F1470" s="51" t="str">
        <f>IFERROR(VLOOKUP(A1470,Material!$A:$H,3,0),"-")</f>
        <v>-</v>
      </c>
      <c r="G1470" s="51" t="str">
        <f t="shared" si="17"/>
        <v>-</v>
      </c>
      <c r="H1470" s="106"/>
    </row>
    <row r="1471" spans="1:9" x14ac:dyDescent="0.25">
      <c r="A1471" s="219" t="s">
        <v>41</v>
      </c>
      <c r="B1471" s="219"/>
      <c r="C1471" s="219"/>
      <c r="D1471" s="219"/>
      <c r="E1471" s="219"/>
      <c r="F1471" s="219"/>
      <c r="G1471" s="52">
        <f>SUM(G1466:G1470)</f>
        <v>68944</v>
      </c>
      <c r="I1471" s="104"/>
    </row>
    <row r="1472" spans="1:9" x14ac:dyDescent="0.25">
      <c r="A1472" s="56"/>
      <c r="B1472" s="57"/>
      <c r="C1472" s="57"/>
      <c r="D1472" s="57"/>
      <c r="E1472" s="57"/>
      <c r="F1472" s="57"/>
      <c r="G1472" s="58"/>
    </row>
    <row r="1473" spans="1:9" x14ac:dyDescent="0.25">
      <c r="A1473" s="219" t="s">
        <v>42</v>
      </c>
      <c r="B1473" s="219"/>
      <c r="C1473" s="219"/>
      <c r="D1473" s="219"/>
      <c r="E1473" s="219"/>
      <c r="F1473" s="219"/>
      <c r="G1473" s="219"/>
    </row>
    <row r="1474" spans="1:9" x14ac:dyDescent="0.25">
      <c r="A1474" s="49" t="s">
        <v>35</v>
      </c>
      <c r="B1474" s="49" t="s">
        <v>36</v>
      </c>
      <c r="C1474" s="49" t="s">
        <v>38</v>
      </c>
      <c r="D1474" s="49" t="s">
        <v>43</v>
      </c>
      <c r="E1474" s="49" t="s">
        <v>44</v>
      </c>
      <c r="F1474" s="49" t="s">
        <v>45</v>
      </c>
      <c r="G1474" s="49" t="s">
        <v>40</v>
      </c>
    </row>
    <row r="1475" spans="1:9" x14ac:dyDescent="0.25">
      <c r="A1475" s="50" t="s">
        <v>319</v>
      </c>
      <c r="B1475" s="68" t="str">
        <f>VLOOKUP(A1475,'Componentes APUs'!$H$1:$L$25,2,0)</f>
        <v>Ingeniero Residente de Obra</v>
      </c>
      <c r="C1475" s="93">
        <v>0.25</v>
      </c>
      <c r="D1475" s="50">
        <f>VLOOKUP(A1475,'Componentes APUs'!$H$1:$L$25,3,0)</f>
        <v>4</v>
      </c>
      <c r="E1475" s="51">
        <f>VLOOKUP(A1475,'Componentes APUs'!$H$1:$L$25,4,0)</f>
        <v>271142.85714285716</v>
      </c>
      <c r="F1475" s="51">
        <f>VLOOKUP(A1475,'Componentes APUs'!$H$1:$L$25,5,0)</f>
        <v>162685.71428571429</v>
      </c>
      <c r="G1475" s="51">
        <f>ROUNDUP((E1475+F1475)*C1475/E1463,0)</f>
        <v>3616</v>
      </c>
      <c r="H1475" s="66"/>
    </row>
    <row r="1476" spans="1:9" x14ac:dyDescent="0.25">
      <c r="A1476" s="50" t="s">
        <v>320</v>
      </c>
      <c r="B1476" s="68" t="str">
        <f>VLOOKUP(A1476,'Componentes APUs'!$H$1:$L$25,2,0)</f>
        <v>Tecnico Supervisor</v>
      </c>
      <c r="C1476" s="93">
        <v>0</v>
      </c>
      <c r="D1476" s="50">
        <f>VLOOKUP(A1476,'Componentes APUs'!$H$1:$L$25,3,0)</f>
        <v>2.2999999999999998</v>
      </c>
      <c r="E1476" s="51">
        <f>VLOOKUP(A1476,'Componentes APUs'!$H$1:$L$25,4,0)</f>
        <v>155907.14285714284</v>
      </c>
      <c r="F1476" s="51">
        <f>VLOOKUP(A1476,'Componentes APUs'!$H$1:$L$25,5,0)</f>
        <v>93544.285714285696</v>
      </c>
      <c r="G1476" s="51">
        <f>ROUNDUP((E1476+F1476)*C1476/E1463,0)</f>
        <v>0</v>
      </c>
    </row>
    <row r="1477" spans="1:9" x14ac:dyDescent="0.25">
      <c r="A1477" s="50" t="s">
        <v>54</v>
      </c>
      <c r="B1477" s="68" t="str">
        <f>VLOOKUP(A1477,'Componentes APUs'!$H$1:$L$25,2,0)</f>
        <v>Maestro de obra civil</v>
      </c>
      <c r="C1477" s="93">
        <v>0.25</v>
      </c>
      <c r="D1477" s="50">
        <f>VLOOKUP(A1477,'Componentes APUs'!$H$1:$L$25,3,0)</f>
        <v>2.5</v>
      </c>
      <c r="E1477" s="51">
        <f>VLOOKUP(A1477,'Componentes APUs'!$H$1:$L$25,4,0)</f>
        <v>169464.28571428571</v>
      </c>
      <c r="F1477" s="51">
        <f>VLOOKUP(A1477,'Componentes APUs'!$H$1:$L$25,5,0)</f>
        <v>101678.57142857142</v>
      </c>
      <c r="G1477" s="51">
        <f>ROUNDUP((E1477+F1477)*C1477/E1463,0)</f>
        <v>2260</v>
      </c>
    </row>
    <row r="1478" spans="1:9" x14ac:dyDescent="0.25">
      <c r="A1478" s="50" t="s">
        <v>1110</v>
      </c>
      <c r="B1478" s="68" t="str">
        <f>VLOOKUP(A1478,'Componentes APUs'!$H$1:$L$25,2,0)</f>
        <v>Oficial de Obra Civil</v>
      </c>
      <c r="C1478" s="93">
        <v>1</v>
      </c>
      <c r="D1478" s="50">
        <f>VLOOKUP(A1478,'Componentes APUs'!$H$1:$L$25,3,0)</f>
        <v>1.5</v>
      </c>
      <c r="E1478" s="51">
        <f>VLOOKUP(A1478,'Componentes APUs'!$H$1:$L$25,4,0)</f>
        <v>115964.28571428571</v>
      </c>
      <c r="F1478" s="51">
        <f>VLOOKUP(A1478,'Componentes APUs'!$H$1:$L$25,5,0)</f>
        <v>69578.57142857142</v>
      </c>
      <c r="G1478" s="51">
        <f>ROUNDUP((E1478+F1478)*C1478/E1463,0)</f>
        <v>6185</v>
      </c>
    </row>
    <row r="1479" spans="1:9" x14ac:dyDescent="0.25">
      <c r="A1479" s="50" t="s">
        <v>50</v>
      </c>
      <c r="B1479" s="68" t="str">
        <f>VLOOKUP(A1479,'Componentes APUs'!$H$1:$L$25,2,0)</f>
        <v>Profesional en SST</v>
      </c>
      <c r="C1479" s="93">
        <v>0.25</v>
      </c>
      <c r="D1479" s="50">
        <f>VLOOKUP(A1479,'Componentes APUs'!$H$1:$L$25,3,0)</f>
        <v>2.5</v>
      </c>
      <c r="E1479" s="51">
        <f>VLOOKUP(A1479,'Componentes APUs'!$H$1:$L$25,4,0)</f>
        <v>169464.28571428571</v>
      </c>
      <c r="F1479" s="51">
        <f>VLOOKUP(A1479,'Componentes APUs'!$H$1:$L$25,5,0)</f>
        <v>101678.57142857142</v>
      </c>
      <c r="G1479" s="51">
        <f>ROUNDUP((E1479+F1479)*C1479/E1463,0)</f>
        <v>2260</v>
      </c>
    </row>
    <row r="1480" spans="1:9" x14ac:dyDescent="0.25">
      <c r="A1480" s="50" t="s">
        <v>1109</v>
      </c>
      <c r="B1480" s="68" t="str">
        <f>VLOOKUP(A1480,'Componentes APUs'!$H$1:$L$25,2,0)</f>
        <v>Ayudante de Obra Civil</v>
      </c>
      <c r="C1480" s="93">
        <v>2</v>
      </c>
      <c r="D1480" s="50">
        <f>VLOOKUP(A1480,'Componentes APUs'!$H$1:$L$25,3,0)</f>
        <v>1</v>
      </c>
      <c r="E1480" s="51">
        <f>VLOOKUP(A1480,'Componentes APUs'!$H$1:$L$25,4,0)</f>
        <v>77309.523809523816</v>
      </c>
      <c r="F1480" s="51">
        <f>VLOOKUP(A1480,'Componentes APUs'!$H$1:$L$25,5,0)</f>
        <v>46385.71428571429</v>
      </c>
      <c r="G1480" s="51">
        <f>ROUNDUP((E1480+F1480)*C1480/E1463,0)</f>
        <v>8247</v>
      </c>
    </row>
    <row r="1481" spans="1:9" x14ac:dyDescent="0.25">
      <c r="A1481" s="219" t="s">
        <v>56</v>
      </c>
      <c r="B1481" s="219"/>
      <c r="C1481" s="219"/>
      <c r="D1481" s="219"/>
      <c r="E1481" s="219"/>
      <c r="F1481" s="219"/>
      <c r="G1481" s="52">
        <f>SUM(G1475:G1480)</f>
        <v>22568</v>
      </c>
    </row>
    <row r="1482" spans="1:9" x14ac:dyDescent="0.25">
      <c r="A1482" s="56"/>
      <c r="B1482" s="57"/>
      <c r="C1482" s="57"/>
      <c r="D1482" s="57"/>
      <c r="E1482" s="57"/>
      <c r="F1482" s="57"/>
      <c r="G1482" s="58"/>
    </row>
    <row r="1483" spans="1:9" x14ac:dyDescent="0.25">
      <c r="A1483" s="219" t="s">
        <v>57</v>
      </c>
      <c r="B1483" s="219"/>
      <c r="C1483" s="219"/>
      <c r="D1483" s="219"/>
      <c r="E1483" s="219"/>
      <c r="F1483" s="219"/>
      <c r="G1483" s="219"/>
    </row>
    <row r="1484" spans="1:9" x14ac:dyDescent="0.25">
      <c r="A1484" s="49" t="s">
        <v>35</v>
      </c>
      <c r="B1484" s="219" t="s">
        <v>36</v>
      </c>
      <c r="C1484" s="219"/>
      <c r="D1484" s="49" t="s">
        <v>37</v>
      </c>
      <c r="E1484" s="49" t="s">
        <v>38</v>
      </c>
      <c r="F1484" s="49" t="s">
        <v>39</v>
      </c>
      <c r="G1484" s="49" t="s">
        <v>40</v>
      </c>
    </row>
    <row r="1485" spans="1:9" x14ac:dyDescent="0.25">
      <c r="A1485" s="50" t="s">
        <v>326</v>
      </c>
      <c r="B1485" s="220" t="str">
        <f>VLOOKUP(A1485,'Componentes APUs'!$S$1:$V$10,2,0)</f>
        <v>Juego Llaves</v>
      </c>
      <c r="C1485" s="220"/>
      <c r="D1485" s="50" t="s">
        <v>18</v>
      </c>
      <c r="E1485" s="50">
        <v>0</v>
      </c>
      <c r="F1485" s="51">
        <f>VLOOKUP(A1485,'Componentes APUs'!$S$1:$V$10,4,0)</f>
        <v>9167</v>
      </c>
      <c r="G1485" s="51">
        <f>ROUNDUP(F1485*((E1485/21)/E1463),0)</f>
        <v>0</v>
      </c>
      <c r="I1485" s="91"/>
    </row>
    <row r="1486" spans="1:9" x14ac:dyDescent="0.25">
      <c r="A1486" s="50" t="s">
        <v>58</v>
      </c>
      <c r="B1486" s="220" t="str">
        <f>VLOOKUP(A1486,'Componentes APUs'!$S$1:$V$10,2,0)</f>
        <v>Manila de servicio</v>
      </c>
      <c r="C1486" s="220"/>
      <c r="D1486" s="50" t="s">
        <v>18</v>
      </c>
      <c r="E1486" s="50">
        <v>0</v>
      </c>
      <c r="F1486" s="51">
        <f>VLOOKUP(A1486,'Componentes APUs'!$S$1:$V$10,4,0)</f>
        <v>2333</v>
      </c>
      <c r="G1486" s="51">
        <f>ROUNDUP(F1486*((E1486/21)/E1463),0)</f>
        <v>0</v>
      </c>
    </row>
    <row r="1487" spans="1:9" x14ac:dyDescent="0.25">
      <c r="A1487" s="50" t="s">
        <v>327</v>
      </c>
      <c r="B1487" s="220" t="str">
        <f>VLOOKUP(A1487,'Componentes APUs'!$S$1:$V$10,2,0)</f>
        <v>Tula portaherramientas</v>
      </c>
      <c r="C1487" s="220"/>
      <c r="D1487" s="50" t="s">
        <v>18</v>
      </c>
      <c r="E1487" s="50">
        <v>0</v>
      </c>
      <c r="F1487" s="51">
        <f>VLOOKUP(A1487,'Componentes APUs'!$S$1:$V$10,4,0)</f>
        <v>1250</v>
      </c>
      <c r="G1487" s="51">
        <f>ROUNDUP(F1487*((E1487/21)/E1463),0)</f>
        <v>0</v>
      </c>
    </row>
    <row r="1488" spans="1:9" x14ac:dyDescent="0.25">
      <c r="A1488" s="50" t="s">
        <v>60</v>
      </c>
      <c r="B1488" s="220" t="str">
        <f>VLOOKUP(A1488,'Componentes APUs'!$S$1:$V$10,2,0)</f>
        <v>Agarradoras</v>
      </c>
      <c r="C1488" s="220"/>
      <c r="D1488" s="50" t="s">
        <v>18</v>
      </c>
      <c r="E1488" s="50">
        <v>0</v>
      </c>
      <c r="F1488" s="51">
        <f>VLOOKUP(A1488,'Componentes APUs'!$S$1:$V$10,4,0)</f>
        <v>125000</v>
      </c>
      <c r="G1488" s="51">
        <f>ROUNDUP(F1488*((E1488/21)/E1463),0)</f>
        <v>0</v>
      </c>
    </row>
    <row r="1489" spans="1:9" x14ac:dyDescent="0.25">
      <c r="A1489" s="50" t="s">
        <v>62</v>
      </c>
      <c r="B1489" s="220" t="str">
        <f>VLOOKUP(A1489,'Componentes APUs'!$S$1:$V$10,2,0)</f>
        <v>Templadoras</v>
      </c>
      <c r="C1489" s="220"/>
      <c r="D1489" s="50" t="s">
        <v>18</v>
      </c>
      <c r="E1489" s="50">
        <v>0</v>
      </c>
      <c r="F1489" s="51">
        <f>VLOOKUP(A1489,'Componentes APUs'!$S$1:$V$10,4,0)</f>
        <v>250000</v>
      </c>
      <c r="G1489" s="51">
        <f>ROUNDUP(F1489*((E1489/21)/E1463),0)</f>
        <v>0</v>
      </c>
    </row>
    <row r="1490" spans="1:9" x14ac:dyDescent="0.25">
      <c r="A1490" s="50" t="s">
        <v>328</v>
      </c>
      <c r="B1490" s="220" t="str">
        <f>VLOOKUP(A1490,'Componentes APUs'!$S$1:$V$10,2,0)</f>
        <v>Herramienta Menor</v>
      </c>
      <c r="C1490" s="220"/>
      <c r="D1490" s="50" t="s">
        <v>18</v>
      </c>
      <c r="E1490" s="50">
        <v>3</v>
      </c>
      <c r="F1490" s="51">
        <f>VLOOKUP(A1490,'Componentes APUs'!$S$1:$V$10,4,0)</f>
        <v>75758</v>
      </c>
      <c r="G1490" s="51">
        <f>ROUNDUP(F1490*((E1490/21)/E1463),0)</f>
        <v>361</v>
      </c>
    </row>
    <row r="1491" spans="1:9" x14ac:dyDescent="0.25">
      <c r="A1491" s="219" t="s">
        <v>69</v>
      </c>
      <c r="B1491" s="219"/>
      <c r="C1491" s="219"/>
      <c r="D1491" s="219"/>
      <c r="E1491" s="219"/>
      <c r="F1491" s="219"/>
      <c r="G1491" s="52">
        <f>SUM(G1485:G1490)</f>
        <v>361</v>
      </c>
    </row>
    <row r="1492" spans="1:9" x14ac:dyDescent="0.25">
      <c r="A1492" s="56"/>
      <c r="B1492" s="57"/>
      <c r="C1492" s="57"/>
      <c r="D1492" s="57"/>
      <c r="E1492" s="57"/>
      <c r="F1492" s="57"/>
      <c r="G1492" s="58"/>
    </row>
    <row r="1493" spans="1:9" x14ac:dyDescent="0.25">
      <c r="A1493" s="219" t="s">
        <v>70</v>
      </c>
      <c r="B1493" s="219"/>
      <c r="C1493" s="219"/>
      <c r="D1493" s="219"/>
      <c r="E1493" s="219"/>
      <c r="F1493" s="219"/>
      <c r="G1493" s="219"/>
    </row>
    <row r="1494" spans="1:9" x14ac:dyDescent="0.25">
      <c r="A1494" s="49" t="s">
        <v>35</v>
      </c>
      <c r="B1494" s="219" t="s">
        <v>36</v>
      </c>
      <c r="C1494" s="219"/>
      <c r="D1494" s="49" t="s">
        <v>37</v>
      </c>
      <c r="E1494" s="49" t="s">
        <v>38</v>
      </c>
      <c r="F1494" s="49" t="s">
        <v>39</v>
      </c>
      <c r="G1494" s="49" t="s">
        <v>40</v>
      </c>
    </row>
    <row r="1495" spans="1:9" x14ac:dyDescent="0.25">
      <c r="A1495" s="50" t="s">
        <v>71</v>
      </c>
      <c r="B1495" s="71" t="str">
        <f>VLOOKUP(A1495,'Componentes APUs'!$A$1:$D$14,2,0)</f>
        <v>Camisa indigo sin partes metalicas</v>
      </c>
      <c r="C1495" s="71"/>
      <c r="D1495" s="50" t="str">
        <f>VLOOKUP(A1495,'Componentes APUs'!$A$1:$D$14,3,0)</f>
        <v>U</v>
      </c>
      <c r="E1495" s="50">
        <f>SUM(C1475:C1480)</f>
        <v>3.75</v>
      </c>
      <c r="F1495" s="51">
        <f>VLOOKUP(A1495,'Componentes APUs'!$A$1:$D$14,4,0)</f>
        <v>8585.8585858585866</v>
      </c>
      <c r="G1495" s="51">
        <f>ROUNDUP(F1495*(E1495/21)/E1463,0)</f>
        <v>52</v>
      </c>
      <c r="I1495" s="91"/>
    </row>
    <row r="1496" spans="1:9" x14ac:dyDescent="0.25">
      <c r="A1496" s="69" t="s">
        <v>73</v>
      </c>
      <c r="B1496" s="72" t="str">
        <f>VLOOKUP(A1496,'Componentes APUs'!$A$1:$D$14,2,0)</f>
        <v>Bota de seguridad dielectrica</v>
      </c>
      <c r="C1496" s="73"/>
      <c r="D1496" s="70" t="str">
        <f>VLOOKUP(A1496,'Componentes APUs'!$A$1:$D$14,3,0)</f>
        <v>Par</v>
      </c>
      <c r="E1496" s="50">
        <f>SUM(C1475:C1480)</f>
        <v>3.75</v>
      </c>
      <c r="F1496" s="51">
        <f>VLOOKUP(A1496,'Componentes APUs'!$A$1:$D$14,4,0)</f>
        <v>7500</v>
      </c>
      <c r="G1496" s="51">
        <f>ROUNDUP(F1496*(E1496/21)/E1463,0)</f>
        <v>45</v>
      </c>
    </row>
    <row r="1497" spans="1:9" x14ac:dyDescent="0.25">
      <c r="A1497" s="50" t="s">
        <v>76</v>
      </c>
      <c r="B1497" s="72" t="str">
        <f>VLOOKUP(A1497,'Componentes APUs'!$A$1:$D$14,2,0)</f>
        <v>Casco dielectrico Tipo 1 Clase E con barbuquejo</v>
      </c>
      <c r="C1497" s="73"/>
      <c r="D1497" s="50" t="str">
        <f>VLOOKUP(A1497,'Componentes APUs'!$A$1:$D$14,3,0)</f>
        <v>U</v>
      </c>
      <c r="E1497" s="50">
        <f>C1475+C1476+C1478+C1479+C1480+IF(A1477&lt;&gt;"MO-3",C1477,0)</f>
        <v>3.75</v>
      </c>
      <c r="F1497" s="51">
        <f>VLOOKUP(A1497,'Componentes APUs'!$A$1:$D$14,4,0)</f>
        <v>10101.010101010101</v>
      </c>
      <c r="G1497" s="51">
        <f>ROUNDUP(F1497*(E1497/21)/E1463,0)</f>
        <v>61</v>
      </c>
    </row>
    <row r="1498" spans="1:9" x14ac:dyDescent="0.25">
      <c r="A1498" s="69" t="s">
        <v>77</v>
      </c>
      <c r="B1498" s="72" t="str">
        <f>VLOOKUP(A1498,'Componentes APUs'!$A$1:$D$14,2,0)</f>
        <v>Correa plastica y antiflama</v>
      </c>
      <c r="C1498" s="73"/>
      <c r="D1498" s="50" t="str">
        <f>VLOOKUP(A1498,'Componentes APUs'!$A$1:$D$14,3,0)</f>
        <v>U</v>
      </c>
      <c r="E1498" s="50">
        <f>SUM(C1475:C1480)</f>
        <v>3.75</v>
      </c>
      <c r="F1498" s="51">
        <f>VLOOKUP(A1498,'Componentes APUs'!$A$1:$D$14,4,0)</f>
        <v>3787.878787878788</v>
      </c>
      <c r="G1498" s="51">
        <f>ROUNDUP(F1498*(E1498/21)/E1463,0)</f>
        <v>23</v>
      </c>
    </row>
    <row r="1499" spans="1:9" x14ac:dyDescent="0.25">
      <c r="A1499" s="50" t="s">
        <v>79</v>
      </c>
      <c r="B1499" s="72" t="str">
        <f>VLOOKUP(A1499,'Componentes APUs'!$A$1:$D$14,2,0)</f>
        <v>Gafas protectoras filtro UV</v>
      </c>
      <c r="C1499" s="73"/>
      <c r="D1499" s="50" t="str">
        <f>VLOOKUP(A1499,'Componentes APUs'!$A$1:$D$14,3,0)</f>
        <v>U</v>
      </c>
      <c r="E1499" s="50">
        <f>SUM(C1475:C1480)</f>
        <v>3.75</v>
      </c>
      <c r="F1499" s="51">
        <f>VLOOKUP(A1499,'Componentes APUs'!$A$1:$D$14,4,0)</f>
        <v>2777.7777777777778</v>
      </c>
      <c r="G1499" s="51">
        <f>ROUNDUP(F1499*(E1499/21)/E1463,0)</f>
        <v>17</v>
      </c>
    </row>
    <row r="1500" spans="1:9" x14ac:dyDescent="0.25">
      <c r="A1500" s="69" t="s">
        <v>402</v>
      </c>
      <c r="B1500" s="72" t="str">
        <f>VLOOKUP(A1500,'Componentes APUs'!$A$1:$D$14,2,0)</f>
        <v>Bota de seguridad PVC dielectrica</v>
      </c>
      <c r="C1500" s="73"/>
      <c r="D1500" s="50" t="str">
        <f>VLOOKUP(A1500,'Componentes APUs'!$A$1:$D$14,3,0)</f>
        <v>Par</v>
      </c>
      <c r="E1500" s="50">
        <f>SUM(C1475:C1480)</f>
        <v>3.75</v>
      </c>
      <c r="F1500" s="51">
        <f>VLOOKUP(A1500,'Componentes APUs'!$A$1:$D$14,4,0)</f>
        <v>2916.6666666666665</v>
      </c>
      <c r="G1500" s="51">
        <f>ROUNDUP(F1500*(E1500/21)/E1463,0)</f>
        <v>18</v>
      </c>
    </row>
    <row r="1501" spans="1:9" x14ac:dyDescent="0.25">
      <c r="A1501" s="50" t="s">
        <v>403</v>
      </c>
      <c r="B1501" s="72" t="str">
        <f>VLOOKUP(A1501,'Componentes APUs'!$A$1:$D$14,2,0)</f>
        <v>Capuchon</v>
      </c>
      <c r="C1501" s="73"/>
      <c r="D1501" s="50" t="str">
        <f>VLOOKUP(A1501,'Componentes APUs'!$A$1:$D$14,3,0)</f>
        <v>U</v>
      </c>
      <c r="E1501" s="50">
        <f>SUM(C1475:C1480)</f>
        <v>3.75</v>
      </c>
      <c r="F1501" s="51">
        <f>VLOOKUP(A1501,'Componentes APUs'!$A$1:$D$14,4,0)</f>
        <v>2525.2525252525252</v>
      </c>
      <c r="G1501" s="51">
        <f>ROUNDUP(F1501*(E1501/21)/E1463,0)</f>
        <v>16</v>
      </c>
    </row>
    <row r="1502" spans="1:9" x14ac:dyDescent="0.25">
      <c r="A1502" s="69" t="s">
        <v>81</v>
      </c>
      <c r="B1502" s="72" t="str">
        <f>VLOOKUP(A1502,'Componentes APUs'!$A$1:$D$14,2,0)</f>
        <v>Guantes Protectores  - ingeniero reforzados</v>
      </c>
      <c r="C1502" s="73"/>
      <c r="D1502" s="50" t="str">
        <f>VLOOKUP(A1502,'Componentes APUs'!$A$1:$D$14,3,0)</f>
        <v>Par</v>
      </c>
      <c r="E1502" s="50">
        <f>C1477+C1478+C1480</f>
        <v>3.25</v>
      </c>
      <c r="F1502" s="51">
        <f>VLOOKUP(A1502,'Componentes APUs'!$A$1:$D$14,4,0)</f>
        <v>2525.2525252525252</v>
      </c>
      <c r="G1502" s="51">
        <f>ROUNDUP(F1502*(E1502/21)/E1463,0)</f>
        <v>14</v>
      </c>
    </row>
    <row r="1503" spans="1:9" x14ac:dyDescent="0.25">
      <c r="A1503" s="50" t="s">
        <v>83</v>
      </c>
      <c r="B1503" s="72" t="str">
        <f>VLOOKUP(A1503,'Componentes APUs'!$A$1:$D$14,2,0)</f>
        <v>Impermeable (pantalon camisa)</v>
      </c>
      <c r="C1503" s="73"/>
      <c r="D1503" s="50" t="str">
        <f>VLOOKUP(A1503,'Componentes APUs'!$A$1:$D$14,3,0)</f>
        <v>U</v>
      </c>
      <c r="E1503" s="50">
        <f>SUM(C1475:C1480)</f>
        <v>3.75</v>
      </c>
      <c r="F1503" s="51">
        <f>VLOOKUP(A1503,'Componentes APUs'!$A$1:$D$14,4,0)</f>
        <v>3750</v>
      </c>
      <c r="G1503" s="51">
        <f>ROUNDUP(F1503*(E1503/21)/E1463,0)</f>
        <v>23</v>
      </c>
    </row>
    <row r="1504" spans="1:9" x14ac:dyDescent="0.25">
      <c r="A1504" s="69" t="s">
        <v>85</v>
      </c>
      <c r="B1504" s="72" t="str">
        <f>VLOOKUP(A1504,'Componentes APUs'!$A$1:$D$14,2,0)</f>
        <v>Jean Dielectrico</v>
      </c>
      <c r="C1504" s="73"/>
      <c r="D1504" s="50" t="str">
        <f>VLOOKUP(A1504,'Componentes APUs'!$A$1:$D$14,3,0)</f>
        <v>U</v>
      </c>
      <c r="E1504" s="50">
        <f>SUM(C1475:C1480)</f>
        <v>3.75</v>
      </c>
      <c r="F1504" s="51">
        <f>VLOOKUP(A1504,'Componentes APUs'!$A$1:$D$14,4,0)</f>
        <v>7575.757575757576</v>
      </c>
      <c r="G1504" s="51">
        <f>ROUNDUP(F1504*(E1504/21)/E1463,0)</f>
        <v>46</v>
      </c>
    </row>
    <row r="1505" spans="1:7" x14ac:dyDescent="0.25">
      <c r="A1505" s="50" t="s">
        <v>87</v>
      </c>
      <c r="B1505" s="72" t="str">
        <f>VLOOKUP(A1505,'Componentes APUs'!$A$1:$D$14,2,0)</f>
        <v>Casco dielectrico Tipo 2 Clase E con barboquejo</v>
      </c>
      <c r="C1505" s="73"/>
      <c r="D1505" s="50" t="str">
        <f>VLOOKUP(A1505,'Componentes APUs'!$A$1:$D$14,3,0)</f>
        <v>U</v>
      </c>
      <c r="E1505" s="53">
        <f>IF(A1477="MO-3",C1477,0)</f>
        <v>0</v>
      </c>
      <c r="F1505" s="51">
        <f>VLOOKUP(A1505,'Componentes APUs'!$A$1:$D$14,4,0)</f>
        <v>7500</v>
      </c>
      <c r="G1505" s="51">
        <f>ROUNDUP(F1505*(E1505/21)/E1463,0)</f>
        <v>0</v>
      </c>
    </row>
    <row r="1506" spans="1:7" x14ac:dyDescent="0.25">
      <c r="A1506" s="69" t="s">
        <v>89</v>
      </c>
      <c r="B1506" s="72" t="str">
        <f>VLOOKUP(A1506,'Componentes APUs'!$A$1:$D$14,2,0)</f>
        <v>Kit de rescate para trabajo en alturas</v>
      </c>
      <c r="C1506" s="73"/>
      <c r="D1506" s="50" t="str">
        <f>VLOOKUP(A1506,'Componentes APUs'!$A$1:$D$14,3,0)</f>
        <v>U</v>
      </c>
      <c r="E1506" s="50">
        <f>IF(AND(A1477="MO-3",C1477=2),1,0)</f>
        <v>0</v>
      </c>
      <c r="F1506" s="51">
        <f>VLOOKUP(A1506,'Componentes APUs'!$A$1:$D$14,4,0)</f>
        <v>37500</v>
      </c>
      <c r="G1506" s="51">
        <f>ROUNDUP(F1506*(E1506/21)/E1463,0)</f>
        <v>0</v>
      </c>
    </row>
    <row r="1507" spans="1:7" x14ac:dyDescent="0.25">
      <c r="A1507" s="50" t="s">
        <v>91</v>
      </c>
      <c r="B1507" s="72" t="str">
        <f>VLOOKUP(A1507,'Componentes APUs'!$A$1:$D$14,2,0)</f>
        <v>Equipo completo para trabajo en alturas con pretales (Arnes dielectrico, 1 mosqueton de seguridad, tie off dielectrico, eslinga de posicionamiento, juego de pretales)</v>
      </c>
      <c r="C1507" s="73"/>
      <c r="D1507" s="50" t="str">
        <f>VLOOKUP(A1507,'Componentes APUs'!$A$1:$D$14,3,0)</f>
        <v>U</v>
      </c>
      <c r="E1507" s="50">
        <f>IF(A1477="MO-3",C1477,0)</f>
        <v>0</v>
      </c>
      <c r="F1507" s="51">
        <f>VLOOKUP(A1507,'Componentes APUs'!$A$1:$D$14,4,0)</f>
        <v>26041.666666666668</v>
      </c>
      <c r="G1507" s="51">
        <f>ROUNDUP(F1507*(E1507/21)/E1463,0)</f>
        <v>0</v>
      </c>
    </row>
    <row r="1508" spans="1:7" x14ac:dyDescent="0.25">
      <c r="A1508" s="219" t="s">
        <v>95</v>
      </c>
      <c r="B1508" s="219"/>
      <c r="C1508" s="219"/>
      <c r="D1508" s="219"/>
      <c r="E1508" s="219"/>
      <c r="F1508" s="219"/>
      <c r="G1508" s="52">
        <f>SUM(G1495:G1507)</f>
        <v>315</v>
      </c>
    </row>
    <row r="1509" spans="1:7" x14ac:dyDescent="0.25">
      <c r="A1509" s="56"/>
      <c r="B1509" s="57"/>
      <c r="C1509" s="57"/>
      <c r="D1509" s="57"/>
      <c r="E1509" s="57"/>
      <c r="F1509" s="57"/>
      <c r="G1509" s="58"/>
    </row>
    <row r="1510" spans="1:7" x14ac:dyDescent="0.25">
      <c r="A1510" s="219" t="s">
        <v>96</v>
      </c>
      <c r="B1510" s="219"/>
      <c r="C1510" s="219"/>
      <c r="D1510" s="219"/>
      <c r="E1510" s="219"/>
      <c r="F1510" s="219"/>
      <c r="G1510" s="219"/>
    </row>
    <row r="1511" spans="1:7" x14ac:dyDescent="0.25">
      <c r="A1511" s="49" t="s">
        <v>35</v>
      </c>
      <c r="B1511" s="225" t="s">
        <v>36</v>
      </c>
      <c r="C1511" s="225"/>
      <c r="D1511" s="49" t="s">
        <v>37</v>
      </c>
      <c r="E1511" s="49" t="s">
        <v>38</v>
      </c>
      <c r="F1511" s="49" t="s">
        <v>39</v>
      </c>
      <c r="G1511" s="49" t="s">
        <v>40</v>
      </c>
    </row>
    <row r="1512" spans="1:7" x14ac:dyDescent="0.25">
      <c r="A1512" s="69" t="s">
        <v>97</v>
      </c>
      <c r="B1512" s="72" t="str">
        <f>VLOOKUP(A1512,'Componentes APUs'!$N$1:$Q$30,2,0)</f>
        <v>Camioneta</v>
      </c>
      <c r="C1512" s="73"/>
      <c r="D1512" s="70" t="str">
        <f>VLOOKUP(A1512,'Componentes APUs'!$N$1:$Q$30,3,0)</f>
        <v>U</v>
      </c>
      <c r="E1512" s="50">
        <v>1</v>
      </c>
      <c r="F1512" s="51">
        <f>VLOOKUP(A1512,'Componentes APUs'!$N$1:$Q$30,4,0)</f>
        <v>5500000</v>
      </c>
      <c r="G1512" s="51">
        <f>IFERROR(ROUNDUP(F1512*(E1512/21)/E1463,0),"-")</f>
        <v>8731</v>
      </c>
    </row>
    <row r="1513" spans="1:7" x14ac:dyDescent="0.25">
      <c r="A1513" s="50" t="s">
        <v>321</v>
      </c>
      <c r="B1513" s="72" t="str">
        <f>VLOOKUP(A1513,'Componentes APUs'!$N$1:$Q$30,2,0)</f>
        <v>Grúa Hidráulica</v>
      </c>
      <c r="C1513" s="73"/>
      <c r="D1513" s="70" t="str">
        <f>VLOOKUP(A1513,'Componentes APUs'!$N$1:$Q$30,3,0)</f>
        <v>U</v>
      </c>
      <c r="E1513" s="50">
        <v>0</v>
      </c>
      <c r="F1513" s="51">
        <f>VLOOKUP(A1513,'Componentes APUs'!$N$1:$Q$30,4,0)</f>
        <v>21000000</v>
      </c>
      <c r="G1513" s="51">
        <f>IFERROR(ROUNDUP(F1513*(E1513/21)/E1463,0),"-")</f>
        <v>0</v>
      </c>
    </row>
    <row r="1514" spans="1:7" x14ac:dyDescent="0.25">
      <c r="A1514" s="69" t="s">
        <v>1379</v>
      </c>
      <c r="B1514" s="72" t="str">
        <f>VLOOKUP(A1514,'Componentes APUs'!$N$1:$Q$30,2,0)</f>
        <v>Dumper de descarga Frontal 2T</v>
      </c>
      <c r="C1514" s="73"/>
      <c r="D1514" s="70" t="str">
        <f>VLOOKUP(A1514,'Componentes APUs'!$N$1:$Q$30,3,0)</f>
        <v>U</v>
      </c>
      <c r="E1514" s="50">
        <v>0</v>
      </c>
      <c r="F1514" s="51">
        <f>VLOOKUP(A1514,'Componentes APUs'!$N$1:$Q$30,4,0)</f>
        <v>4438716.24</v>
      </c>
      <c r="G1514" s="51">
        <f>IFERROR(ROUNDUP(F1514*(E1514/21)/E1463,0),"-")</f>
        <v>0</v>
      </c>
    </row>
    <row r="1515" spans="1:7" x14ac:dyDescent="0.25">
      <c r="A1515" s="50" t="s">
        <v>323</v>
      </c>
      <c r="B1515" s="72" t="str">
        <f>VLOOKUP(A1515,'Componentes APUs'!$N$1:$Q$30,2,0)</f>
        <v>Volqueta</v>
      </c>
      <c r="C1515" s="73"/>
      <c r="D1515" s="70" t="str">
        <f>VLOOKUP(A1515,'Componentes APUs'!$N$1:$Q$30,3,0)</f>
        <v>U</v>
      </c>
      <c r="E1515" s="50">
        <v>0</v>
      </c>
      <c r="F1515" s="51">
        <f>VLOOKUP(A1515,'Componentes APUs'!$N$1:$Q$30,4,0)</f>
        <v>14828184</v>
      </c>
      <c r="G1515" s="51">
        <f>IFERROR(ROUNDUP(F1515*(E1515/21)/E1463,0),"-")</f>
        <v>0</v>
      </c>
    </row>
    <row r="1516" spans="1:7" x14ac:dyDescent="0.25">
      <c r="A1516" s="69" t="s">
        <v>324</v>
      </c>
      <c r="B1516" s="72" t="str">
        <f>VLOOKUP(A1516,'Componentes APUs'!$N$1:$Q$30,2,0)</f>
        <v>Retroexcavadora</v>
      </c>
      <c r="C1516" s="73"/>
      <c r="D1516" s="70" t="str">
        <f>VLOOKUP(A1516,'Componentes APUs'!$N$1:$Q$30,3,0)</f>
        <v>U</v>
      </c>
      <c r="E1516" s="50">
        <v>0</v>
      </c>
      <c r="F1516" s="51">
        <f>VLOOKUP(A1516,'Componentes APUs'!$N$1:$Q$30,4,0)</f>
        <v>46030656</v>
      </c>
      <c r="G1516" s="51">
        <f>IFERROR(ROUNDUP(F1516*(E1516/21)/E1463,0),"-")</f>
        <v>0</v>
      </c>
    </row>
    <row r="1517" spans="1:7" x14ac:dyDescent="0.25">
      <c r="A1517" s="219" t="s">
        <v>99</v>
      </c>
      <c r="B1517" s="219"/>
      <c r="C1517" s="219"/>
      <c r="D1517" s="219"/>
      <c r="E1517" s="219"/>
      <c r="F1517" s="219"/>
      <c r="G1517" s="52">
        <f>SUM(G1512:G1516)</f>
        <v>8731</v>
      </c>
    </row>
    <row r="1518" spans="1:7" x14ac:dyDescent="0.25">
      <c r="A1518" s="56"/>
      <c r="B1518" s="57"/>
      <c r="C1518" s="57"/>
      <c r="D1518" s="57"/>
      <c r="E1518" s="57"/>
      <c r="F1518" s="57"/>
      <c r="G1518" s="58"/>
    </row>
    <row r="1519" spans="1:7" x14ac:dyDescent="0.25">
      <c r="A1519" s="219" t="s">
        <v>1516</v>
      </c>
      <c r="B1519" s="219"/>
      <c r="C1519" s="219"/>
      <c r="D1519" s="219"/>
      <c r="E1519" s="219"/>
      <c r="F1519" s="219"/>
      <c r="G1519" s="52">
        <f>G1517+G1508+G1491+G1481+G1471</f>
        <v>100919</v>
      </c>
    </row>
    <row r="1520" spans="1:7" x14ac:dyDescent="0.25">
      <c r="A1520" s="59"/>
      <c r="B1520" s="60"/>
      <c r="C1520" s="60"/>
      <c r="D1520" s="60"/>
      <c r="E1520" s="57"/>
      <c r="F1520" s="57"/>
      <c r="G1520" s="58"/>
    </row>
    <row r="1521" spans="1:8" x14ac:dyDescent="0.25">
      <c r="A1521" s="64"/>
      <c r="D1521" s="55"/>
      <c r="E1521" s="49" t="s">
        <v>25</v>
      </c>
      <c r="F1521" s="54">
        <v>0.15</v>
      </c>
      <c r="G1521" s="51">
        <f>G1519*F1521</f>
        <v>15137.849999999999</v>
      </c>
    </row>
    <row r="1522" spans="1:8" x14ac:dyDescent="0.25">
      <c r="A1522" s="64"/>
      <c r="D1522" s="55"/>
      <c r="E1522" s="49" t="s">
        <v>26</v>
      </c>
      <c r="F1522" s="54">
        <v>0.05</v>
      </c>
      <c r="G1522" s="51">
        <f>G1519*F1522</f>
        <v>5045.9500000000007</v>
      </c>
    </row>
    <row r="1523" spans="1:8" x14ac:dyDescent="0.25">
      <c r="A1523" s="61"/>
      <c r="B1523" s="65"/>
      <c r="C1523" s="65"/>
      <c r="D1523" s="62"/>
      <c r="E1523" s="49" t="s">
        <v>27</v>
      </c>
      <c r="F1523" s="54">
        <v>0.05</v>
      </c>
      <c r="G1523" s="51">
        <f>G1519*F1523</f>
        <v>5045.9500000000007</v>
      </c>
    </row>
    <row r="1524" spans="1:8" x14ac:dyDescent="0.25">
      <c r="A1524" s="61"/>
      <c r="B1524" s="62"/>
      <c r="C1524" s="62"/>
      <c r="D1524" s="62"/>
      <c r="E1524" s="62"/>
      <c r="F1524" s="62"/>
      <c r="G1524" s="63"/>
    </row>
    <row r="1525" spans="1:8" x14ac:dyDescent="0.25">
      <c r="A1525" s="219" t="s">
        <v>1517</v>
      </c>
      <c r="B1525" s="219"/>
      <c r="C1525" s="219"/>
      <c r="D1525" s="219"/>
      <c r="E1525" s="219"/>
      <c r="F1525" s="219"/>
      <c r="G1525" s="52">
        <f>G1519+G1521+G1522+G1523</f>
        <v>126148.75</v>
      </c>
    </row>
    <row r="1526" spans="1:8" x14ac:dyDescent="0.25">
      <c r="A1526" s="59"/>
      <c r="B1526" s="60"/>
      <c r="C1526" s="60"/>
      <c r="D1526" s="60"/>
      <c r="E1526" s="57"/>
      <c r="F1526" s="57"/>
      <c r="G1526" s="58"/>
    </row>
    <row r="1527" spans="1:8" x14ac:dyDescent="0.25">
      <c r="A1527" s="64"/>
      <c r="D1527" s="55"/>
      <c r="E1527" s="49" t="s">
        <v>102</v>
      </c>
      <c r="F1527" s="49" t="s">
        <v>103</v>
      </c>
      <c r="G1527" s="51">
        <f>G1523*19%</f>
        <v>958.73050000000012</v>
      </c>
    </row>
    <row r="1528" spans="1:8" x14ac:dyDescent="0.25">
      <c r="A1528" s="61"/>
      <c r="B1528" s="62"/>
      <c r="C1528" s="62"/>
      <c r="D1528" s="62"/>
      <c r="E1528" s="57"/>
      <c r="F1528" s="57"/>
      <c r="G1528" s="58"/>
    </row>
    <row r="1529" spans="1:8" x14ac:dyDescent="0.25">
      <c r="A1529" s="219" t="s">
        <v>104</v>
      </c>
      <c r="B1529" s="219"/>
      <c r="C1529" s="219"/>
      <c r="D1529" s="219"/>
      <c r="E1529" s="219"/>
      <c r="F1529" s="219"/>
      <c r="G1529" s="52">
        <f>G1527+G1525</f>
        <v>127107.48050000001</v>
      </c>
    </row>
    <row r="1531" spans="1:8" x14ac:dyDescent="0.25">
      <c r="A1531" s="74" t="s">
        <v>29</v>
      </c>
      <c r="B1531" s="226" t="s">
        <v>30</v>
      </c>
      <c r="C1531" s="226"/>
      <c r="D1531" s="74" t="s">
        <v>31</v>
      </c>
      <c r="E1531" s="74" t="s">
        <v>32</v>
      </c>
      <c r="F1531" s="74" t="s">
        <v>189</v>
      </c>
      <c r="G1531" s="74" t="s">
        <v>33</v>
      </c>
      <c r="H1531" s="105"/>
    </row>
    <row r="1532" spans="1:8" ht="26.25" customHeight="1" x14ac:dyDescent="0.25">
      <c r="A1532" s="50" t="str">
        <f>Presupuesto!B32</f>
        <v>024_OC</v>
      </c>
      <c r="B1532" s="229" t="str">
        <f>Presupuesto!C32</f>
        <v>TAPA TIPO C (86 X 16 X 1018 X 1216) (ESQUINERA SEGÚN PLANOS)</v>
      </c>
      <c r="C1532" s="230"/>
      <c r="D1532" s="50" t="s">
        <v>8</v>
      </c>
      <c r="E1532" s="102">
        <v>30</v>
      </c>
      <c r="F1532" s="50"/>
      <c r="G1532" s="51">
        <f>G1600</f>
        <v>133310.51800000001</v>
      </c>
      <c r="H1532" s="45"/>
    </row>
    <row r="1533" spans="1:8" x14ac:dyDescent="0.25">
      <c r="A1533" s="219" t="s">
        <v>34</v>
      </c>
      <c r="B1533" s="219"/>
      <c r="C1533" s="219"/>
      <c r="D1533" s="219"/>
      <c r="E1533" s="219"/>
      <c r="F1533" s="219"/>
      <c r="G1533" s="219"/>
    </row>
    <row r="1534" spans="1:8" x14ac:dyDescent="0.25">
      <c r="A1534" s="49" t="s">
        <v>35</v>
      </c>
      <c r="B1534" s="219" t="s">
        <v>36</v>
      </c>
      <c r="C1534" s="219"/>
      <c r="D1534" s="49" t="s">
        <v>37</v>
      </c>
      <c r="E1534" s="49" t="s">
        <v>38</v>
      </c>
      <c r="F1534" s="49" t="s">
        <v>39</v>
      </c>
      <c r="G1534" s="49" t="s">
        <v>40</v>
      </c>
    </row>
    <row r="1535" spans="1:8" x14ac:dyDescent="0.25">
      <c r="A1535" s="50" t="str">
        <f>Material!A15</f>
        <v>MA-14</v>
      </c>
      <c r="B1535" s="72" t="str">
        <f>IFERROR(VLOOKUP(A1535,Material!$A:$H,2,0),"-")</f>
        <v>CONCRETO DE 3000 PSI</v>
      </c>
      <c r="C1535" s="76"/>
      <c r="D1535" s="50" t="s">
        <v>113</v>
      </c>
      <c r="E1535" s="107">
        <f>0.045</f>
        <v>4.4999999999999998E-2</v>
      </c>
      <c r="F1535" s="51">
        <f>IFERROR(VLOOKUP(A1535,Material!$A:$H,3,0),"-")</f>
        <v>620227.23330691375</v>
      </c>
      <c r="G1535" s="51">
        <f t="shared" ref="G1535:G1541" si="18">IFERROR(ROUNDUP(F1535*E1535,0),"-")</f>
        <v>27911</v>
      </c>
      <c r="H1535" s="106"/>
    </row>
    <row r="1536" spans="1:8" x14ac:dyDescent="0.25">
      <c r="A1536" s="50" t="str">
        <f>Material!A597</f>
        <v>MA-596</v>
      </c>
      <c r="B1536" s="72" t="str">
        <f>IFERROR(VLOOKUP(A1536,Material!$A:$H,2,0),"-")</f>
        <v>ACERO DE REFUERZO FIGURADO</v>
      </c>
      <c r="C1536" s="76"/>
      <c r="D1536" s="50" t="str">
        <f>IFERROR(VLOOKUP(A1536,Material!$A:$H,4,0),"-")</f>
        <v>kG</v>
      </c>
      <c r="E1536" s="107">
        <f>E1535*200</f>
        <v>9</v>
      </c>
      <c r="F1536" s="51">
        <f>IFERROR(VLOOKUP(A1536,Material!$A:$H,3,0),"-")</f>
        <v>5106.4000000000005</v>
      </c>
      <c r="G1536" s="51">
        <f t="shared" si="18"/>
        <v>45958</v>
      </c>
      <c r="H1536" s="106"/>
    </row>
    <row r="1537" spans="1:9" x14ac:dyDescent="0.25">
      <c r="A1537" s="50"/>
      <c r="B1537" s="72" t="str">
        <f>IFERROR(VLOOKUP(A1537,Material!$A:$H,2,0),"-")</f>
        <v>-</v>
      </c>
      <c r="C1537" s="76"/>
      <c r="D1537" s="50" t="str">
        <f>IFERROR(VLOOKUP(A1537,Material!$A:$H,4,0),"-")</f>
        <v>-</v>
      </c>
      <c r="E1537" s="107"/>
      <c r="F1537" s="51" t="str">
        <f>IFERROR(VLOOKUP(A1537,Material!$A:$H,3,0),"-")</f>
        <v>-</v>
      </c>
      <c r="G1537" s="51" t="str">
        <f t="shared" si="18"/>
        <v>-</v>
      </c>
      <c r="H1537" s="106"/>
    </row>
    <row r="1538" spans="1:9" x14ac:dyDescent="0.25">
      <c r="A1538" s="50"/>
      <c r="B1538" s="72" t="str">
        <f>IFERROR(VLOOKUP(A1538,Material!$A:$H,2,0),"-")</f>
        <v>-</v>
      </c>
      <c r="C1538" s="76"/>
      <c r="D1538" s="50" t="str">
        <f>IFERROR(VLOOKUP(A1538,Material!$A:$H,4,0),"-")</f>
        <v>-</v>
      </c>
      <c r="E1538" s="107"/>
      <c r="F1538" s="51" t="str">
        <f>IFERROR(VLOOKUP(A1538,Material!$A:$H,3,0),"-")</f>
        <v>-</v>
      </c>
      <c r="G1538" s="51" t="str">
        <f t="shared" si="18"/>
        <v>-</v>
      </c>
      <c r="H1538" s="106"/>
    </row>
    <row r="1539" spans="1:9" x14ac:dyDescent="0.25">
      <c r="A1539" s="50"/>
      <c r="B1539" s="72" t="str">
        <f>IFERROR(VLOOKUP(A1539,Material!$A:$H,2,0),"-")</f>
        <v>-</v>
      </c>
      <c r="C1539" s="76"/>
      <c r="D1539" s="50" t="str">
        <f>IFERROR(VLOOKUP(A1539,Material!$A:$H,4,0),"-")</f>
        <v>-</v>
      </c>
      <c r="E1539" s="53"/>
      <c r="F1539" s="51" t="str">
        <f>IFERROR(VLOOKUP(A1539,Material!$A:$H,3,0),"-")</f>
        <v>-</v>
      </c>
      <c r="G1539" s="51" t="str">
        <f t="shared" si="18"/>
        <v>-</v>
      </c>
      <c r="H1539" s="106"/>
    </row>
    <row r="1540" spans="1:9" x14ac:dyDescent="0.25">
      <c r="A1540" s="50"/>
      <c r="B1540" s="72" t="str">
        <f>IFERROR(VLOOKUP(A1540,Material!$A:$H,2,0),"-")</f>
        <v>-</v>
      </c>
      <c r="C1540" s="76"/>
      <c r="D1540" s="50" t="str">
        <f>IFERROR(VLOOKUP(A1540,Material!$A:$H,4,0),"-")</f>
        <v>-</v>
      </c>
      <c r="E1540" s="107"/>
      <c r="F1540" s="51" t="str">
        <f>IFERROR(VLOOKUP(A1540,Material!$A:$H,3,0),"-")</f>
        <v>-</v>
      </c>
      <c r="G1540" s="51" t="str">
        <f t="shared" si="18"/>
        <v>-</v>
      </c>
      <c r="H1540" s="106"/>
    </row>
    <row r="1541" spans="1:9" x14ac:dyDescent="0.25">
      <c r="A1541" s="50"/>
      <c r="B1541" s="72" t="str">
        <f>IFERROR(VLOOKUP(A1541,Material!$A:$H,2,0),"-")</f>
        <v>-</v>
      </c>
      <c r="C1541" s="76"/>
      <c r="D1541" s="50" t="str">
        <f>IFERROR(VLOOKUP(A1541,Material!$A:$H,4,0),"-")</f>
        <v>-</v>
      </c>
      <c r="E1541" s="107"/>
      <c r="F1541" s="51" t="str">
        <f>IFERROR(VLOOKUP(A1541,Material!$A:$H,3,0),"-")</f>
        <v>-</v>
      </c>
      <c r="G1541" s="51" t="str">
        <f t="shared" si="18"/>
        <v>-</v>
      </c>
      <c r="H1541" s="106"/>
    </row>
    <row r="1542" spans="1:9" x14ac:dyDescent="0.25">
      <c r="A1542" s="219" t="s">
        <v>41</v>
      </c>
      <c r="B1542" s="219"/>
      <c r="C1542" s="219"/>
      <c r="D1542" s="219"/>
      <c r="E1542" s="219"/>
      <c r="F1542" s="219"/>
      <c r="G1542" s="52">
        <f>SUM(G1535:G1541)</f>
        <v>73869</v>
      </c>
      <c r="I1542" s="104"/>
    </row>
    <row r="1543" spans="1:9" x14ac:dyDescent="0.25">
      <c r="A1543" s="56"/>
      <c r="B1543" s="57"/>
      <c r="C1543" s="57"/>
      <c r="D1543" s="57"/>
      <c r="E1543" s="57"/>
      <c r="F1543" s="57"/>
      <c r="G1543" s="58"/>
    </row>
    <row r="1544" spans="1:9" x14ac:dyDescent="0.25">
      <c r="A1544" s="219" t="s">
        <v>42</v>
      </c>
      <c r="B1544" s="219"/>
      <c r="C1544" s="219"/>
      <c r="D1544" s="219"/>
      <c r="E1544" s="219"/>
      <c r="F1544" s="219"/>
      <c r="G1544" s="219"/>
    </row>
    <row r="1545" spans="1:9" x14ac:dyDescent="0.25">
      <c r="A1545" s="49" t="s">
        <v>35</v>
      </c>
      <c r="B1545" s="49" t="s">
        <v>36</v>
      </c>
      <c r="C1545" s="49" t="s">
        <v>38</v>
      </c>
      <c r="D1545" s="49" t="s">
        <v>43</v>
      </c>
      <c r="E1545" s="49" t="s">
        <v>44</v>
      </c>
      <c r="F1545" s="49" t="s">
        <v>45</v>
      </c>
      <c r="G1545" s="49" t="s">
        <v>40</v>
      </c>
    </row>
    <row r="1546" spans="1:9" x14ac:dyDescent="0.25">
      <c r="A1546" s="50" t="s">
        <v>319</v>
      </c>
      <c r="B1546" s="68" t="str">
        <f>VLOOKUP(A1546,'Componentes APUs'!$H$1:$L$25,2,0)</f>
        <v>Ingeniero Residente de Obra</v>
      </c>
      <c r="C1546" s="93">
        <v>0.25</v>
      </c>
      <c r="D1546" s="50">
        <f>VLOOKUP(A1546,'Componentes APUs'!$H$1:$L$25,3,0)</f>
        <v>4</v>
      </c>
      <c r="E1546" s="51">
        <f>VLOOKUP(A1546,'Componentes APUs'!$H$1:$L$25,4,0)</f>
        <v>271142.85714285716</v>
      </c>
      <c r="F1546" s="51">
        <f>VLOOKUP(A1546,'Componentes APUs'!$H$1:$L$25,5,0)</f>
        <v>162685.71428571429</v>
      </c>
      <c r="G1546" s="51">
        <f>ROUNDUP((E1546+F1546)*C1546/E1532,0)</f>
        <v>3616</v>
      </c>
      <c r="H1546" s="66"/>
    </row>
    <row r="1547" spans="1:9" x14ac:dyDescent="0.25">
      <c r="A1547" s="50" t="s">
        <v>320</v>
      </c>
      <c r="B1547" s="68" t="str">
        <f>VLOOKUP(A1547,'Componentes APUs'!$H$1:$L$25,2,0)</f>
        <v>Tecnico Supervisor</v>
      </c>
      <c r="C1547" s="93">
        <v>0</v>
      </c>
      <c r="D1547" s="50">
        <f>VLOOKUP(A1547,'Componentes APUs'!$H$1:$L$25,3,0)</f>
        <v>2.2999999999999998</v>
      </c>
      <c r="E1547" s="51">
        <f>VLOOKUP(A1547,'Componentes APUs'!$H$1:$L$25,4,0)</f>
        <v>155907.14285714284</v>
      </c>
      <c r="F1547" s="51">
        <f>VLOOKUP(A1547,'Componentes APUs'!$H$1:$L$25,5,0)</f>
        <v>93544.285714285696</v>
      </c>
      <c r="G1547" s="51">
        <f>ROUNDUP((E1547+F1547)*C1547/E1532,0)</f>
        <v>0</v>
      </c>
    </row>
    <row r="1548" spans="1:9" x14ac:dyDescent="0.25">
      <c r="A1548" s="50" t="s">
        <v>54</v>
      </c>
      <c r="B1548" s="68" t="str">
        <f>VLOOKUP(A1548,'Componentes APUs'!$H$1:$L$25,2,0)</f>
        <v>Maestro de obra civil</v>
      </c>
      <c r="C1548" s="93">
        <v>0.25</v>
      </c>
      <c r="D1548" s="50">
        <f>VLOOKUP(A1548,'Componentes APUs'!$H$1:$L$25,3,0)</f>
        <v>2.5</v>
      </c>
      <c r="E1548" s="51">
        <f>VLOOKUP(A1548,'Componentes APUs'!$H$1:$L$25,4,0)</f>
        <v>169464.28571428571</v>
      </c>
      <c r="F1548" s="51">
        <f>VLOOKUP(A1548,'Componentes APUs'!$H$1:$L$25,5,0)</f>
        <v>101678.57142857142</v>
      </c>
      <c r="G1548" s="51">
        <f>ROUNDUP((E1548+F1548)*C1548/E1532,0)</f>
        <v>2260</v>
      </c>
    </row>
    <row r="1549" spans="1:9" x14ac:dyDescent="0.25">
      <c r="A1549" s="50" t="s">
        <v>1110</v>
      </c>
      <c r="B1549" s="68" t="str">
        <f>VLOOKUP(A1549,'Componentes APUs'!$H$1:$L$25,2,0)</f>
        <v>Oficial de Obra Civil</v>
      </c>
      <c r="C1549" s="93">
        <v>1</v>
      </c>
      <c r="D1549" s="50">
        <f>VLOOKUP(A1549,'Componentes APUs'!$H$1:$L$25,3,0)</f>
        <v>1.5</v>
      </c>
      <c r="E1549" s="51">
        <f>VLOOKUP(A1549,'Componentes APUs'!$H$1:$L$25,4,0)</f>
        <v>115964.28571428571</v>
      </c>
      <c r="F1549" s="51">
        <f>VLOOKUP(A1549,'Componentes APUs'!$H$1:$L$25,5,0)</f>
        <v>69578.57142857142</v>
      </c>
      <c r="G1549" s="51">
        <f>ROUNDUP((E1549+F1549)*C1549/E1532,0)</f>
        <v>6185</v>
      </c>
    </row>
    <row r="1550" spans="1:9" x14ac:dyDescent="0.25">
      <c r="A1550" s="50" t="s">
        <v>50</v>
      </c>
      <c r="B1550" s="68" t="str">
        <f>VLOOKUP(A1550,'Componentes APUs'!$H$1:$L$25,2,0)</f>
        <v>Profesional en SST</v>
      </c>
      <c r="C1550" s="93">
        <v>0.25</v>
      </c>
      <c r="D1550" s="50">
        <f>VLOOKUP(A1550,'Componentes APUs'!$H$1:$L$25,3,0)</f>
        <v>2.5</v>
      </c>
      <c r="E1550" s="51">
        <f>VLOOKUP(A1550,'Componentes APUs'!$H$1:$L$25,4,0)</f>
        <v>169464.28571428571</v>
      </c>
      <c r="F1550" s="51">
        <f>VLOOKUP(A1550,'Componentes APUs'!$H$1:$L$25,5,0)</f>
        <v>101678.57142857142</v>
      </c>
      <c r="G1550" s="51">
        <f>ROUNDUP((E1550+F1550)*C1550/E1532,0)</f>
        <v>2260</v>
      </c>
    </row>
    <row r="1551" spans="1:9" x14ac:dyDescent="0.25">
      <c r="A1551" s="50" t="s">
        <v>1109</v>
      </c>
      <c r="B1551" s="68" t="str">
        <f>VLOOKUP(A1551,'Componentes APUs'!$H$1:$L$25,2,0)</f>
        <v>Ayudante de Obra Civil</v>
      </c>
      <c r="C1551" s="93">
        <v>2</v>
      </c>
      <c r="D1551" s="50">
        <f>VLOOKUP(A1551,'Componentes APUs'!$H$1:$L$25,3,0)</f>
        <v>1</v>
      </c>
      <c r="E1551" s="51">
        <f>VLOOKUP(A1551,'Componentes APUs'!$H$1:$L$25,4,0)</f>
        <v>77309.523809523816</v>
      </c>
      <c r="F1551" s="51">
        <f>VLOOKUP(A1551,'Componentes APUs'!$H$1:$L$25,5,0)</f>
        <v>46385.71428571429</v>
      </c>
      <c r="G1551" s="51">
        <f>ROUNDUP((E1551+F1551)*C1551/E1532,0)</f>
        <v>8247</v>
      </c>
    </row>
    <row r="1552" spans="1:9" x14ac:dyDescent="0.25">
      <c r="A1552" s="219" t="s">
        <v>56</v>
      </c>
      <c r="B1552" s="219"/>
      <c r="C1552" s="219"/>
      <c r="D1552" s="219"/>
      <c r="E1552" s="219"/>
      <c r="F1552" s="219"/>
      <c r="G1552" s="52">
        <f>SUM(G1546:G1551)</f>
        <v>22568</v>
      </c>
    </row>
    <row r="1553" spans="1:9" x14ac:dyDescent="0.25">
      <c r="A1553" s="56"/>
      <c r="B1553" s="57"/>
      <c r="C1553" s="57"/>
      <c r="D1553" s="57"/>
      <c r="E1553" s="57"/>
      <c r="F1553" s="57"/>
      <c r="G1553" s="58"/>
    </row>
    <row r="1554" spans="1:9" x14ac:dyDescent="0.25">
      <c r="A1554" s="219" t="s">
        <v>57</v>
      </c>
      <c r="B1554" s="219"/>
      <c r="C1554" s="219"/>
      <c r="D1554" s="219"/>
      <c r="E1554" s="219"/>
      <c r="F1554" s="219"/>
      <c r="G1554" s="219"/>
    </row>
    <row r="1555" spans="1:9" x14ac:dyDescent="0.25">
      <c r="A1555" s="49" t="s">
        <v>35</v>
      </c>
      <c r="B1555" s="219" t="s">
        <v>36</v>
      </c>
      <c r="C1555" s="219"/>
      <c r="D1555" s="49" t="s">
        <v>37</v>
      </c>
      <c r="E1555" s="49" t="s">
        <v>38</v>
      </c>
      <c r="F1555" s="49" t="s">
        <v>39</v>
      </c>
      <c r="G1555" s="49" t="s">
        <v>40</v>
      </c>
    </row>
    <row r="1556" spans="1:9" x14ac:dyDescent="0.25">
      <c r="A1556" s="50" t="s">
        <v>326</v>
      </c>
      <c r="B1556" s="220" t="str">
        <f>VLOOKUP(A1556,'Componentes APUs'!$S$1:$V$10,2,0)</f>
        <v>Juego Llaves</v>
      </c>
      <c r="C1556" s="220"/>
      <c r="D1556" s="50" t="s">
        <v>18</v>
      </c>
      <c r="E1556" s="50">
        <v>0</v>
      </c>
      <c r="F1556" s="51">
        <f>VLOOKUP(A1556,'Componentes APUs'!$S$1:$V$10,4,0)</f>
        <v>9167</v>
      </c>
      <c r="G1556" s="51">
        <f>ROUNDUP(F1556*((E1556/21)/E1532),0)</f>
        <v>0</v>
      </c>
      <c r="I1556" s="91"/>
    </row>
    <row r="1557" spans="1:9" x14ac:dyDescent="0.25">
      <c r="A1557" s="50" t="s">
        <v>58</v>
      </c>
      <c r="B1557" s="220" t="str">
        <f>VLOOKUP(A1557,'Componentes APUs'!$S$1:$V$10,2,0)</f>
        <v>Manila de servicio</v>
      </c>
      <c r="C1557" s="220"/>
      <c r="D1557" s="50" t="s">
        <v>18</v>
      </c>
      <c r="E1557" s="50">
        <v>0</v>
      </c>
      <c r="F1557" s="51">
        <f>VLOOKUP(A1557,'Componentes APUs'!$S$1:$V$10,4,0)</f>
        <v>2333</v>
      </c>
      <c r="G1557" s="51">
        <f>ROUNDUP(F1557*((E1557/21)/E1532),0)</f>
        <v>0</v>
      </c>
    </row>
    <row r="1558" spans="1:9" x14ac:dyDescent="0.25">
      <c r="A1558" s="50" t="s">
        <v>327</v>
      </c>
      <c r="B1558" s="220" t="str">
        <f>VLOOKUP(A1558,'Componentes APUs'!$S$1:$V$10,2,0)</f>
        <v>Tula portaherramientas</v>
      </c>
      <c r="C1558" s="220"/>
      <c r="D1558" s="50" t="s">
        <v>18</v>
      </c>
      <c r="E1558" s="50">
        <v>0</v>
      </c>
      <c r="F1558" s="51">
        <f>VLOOKUP(A1558,'Componentes APUs'!$S$1:$V$10,4,0)</f>
        <v>1250</v>
      </c>
      <c r="G1558" s="51">
        <f>ROUNDUP(F1558*((E1558/21)/E1532),0)</f>
        <v>0</v>
      </c>
    </row>
    <row r="1559" spans="1:9" x14ac:dyDescent="0.25">
      <c r="A1559" s="50" t="s">
        <v>60</v>
      </c>
      <c r="B1559" s="220" t="str">
        <f>VLOOKUP(A1559,'Componentes APUs'!$S$1:$V$10,2,0)</f>
        <v>Agarradoras</v>
      </c>
      <c r="C1559" s="220"/>
      <c r="D1559" s="50" t="s">
        <v>18</v>
      </c>
      <c r="E1559" s="50">
        <v>0</v>
      </c>
      <c r="F1559" s="51">
        <f>VLOOKUP(A1559,'Componentes APUs'!$S$1:$V$10,4,0)</f>
        <v>125000</v>
      </c>
      <c r="G1559" s="51">
        <f>ROUNDUP(F1559*((E1559/21)/E1532),0)</f>
        <v>0</v>
      </c>
    </row>
    <row r="1560" spans="1:9" x14ac:dyDescent="0.25">
      <c r="A1560" s="50" t="s">
        <v>62</v>
      </c>
      <c r="B1560" s="220" t="str">
        <f>VLOOKUP(A1560,'Componentes APUs'!$S$1:$V$10,2,0)</f>
        <v>Templadoras</v>
      </c>
      <c r="C1560" s="220"/>
      <c r="D1560" s="50" t="s">
        <v>18</v>
      </c>
      <c r="E1560" s="50">
        <v>0</v>
      </c>
      <c r="F1560" s="51">
        <f>VLOOKUP(A1560,'Componentes APUs'!$S$1:$V$10,4,0)</f>
        <v>250000</v>
      </c>
      <c r="G1560" s="51">
        <f>ROUNDUP(F1560*((E1560/21)/E1532),0)</f>
        <v>0</v>
      </c>
    </row>
    <row r="1561" spans="1:9" x14ac:dyDescent="0.25">
      <c r="A1561" s="50" t="s">
        <v>328</v>
      </c>
      <c r="B1561" s="220" t="str">
        <f>VLOOKUP(A1561,'Componentes APUs'!$S$1:$V$10,2,0)</f>
        <v>Herramienta Menor</v>
      </c>
      <c r="C1561" s="220"/>
      <c r="D1561" s="50" t="s">
        <v>18</v>
      </c>
      <c r="E1561" s="50">
        <v>3</v>
      </c>
      <c r="F1561" s="51">
        <f>VLOOKUP(A1561,'Componentes APUs'!$S$1:$V$10,4,0)</f>
        <v>75758</v>
      </c>
      <c r="G1561" s="51">
        <f>ROUNDUP(F1561*((E1561/21)/E1532),0)</f>
        <v>361</v>
      </c>
    </row>
    <row r="1562" spans="1:9" x14ac:dyDescent="0.25">
      <c r="A1562" s="219" t="s">
        <v>69</v>
      </c>
      <c r="B1562" s="219"/>
      <c r="C1562" s="219"/>
      <c r="D1562" s="219"/>
      <c r="E1562" s="219"/>
      <c r="F1562" s="219"/>
      <c r="G1562" s="52">
        <f>SUM(G1556:G1561)</f>
        <v>361</v>
      </c>
    </row>
    <row r="1563" spans="1:9" x14ac:dyDescent="0.25">
      <c r="A1563" s="56"/>
      <c r="B1563" s="57"/>
      <c r="C1563" s="57"/>
      <c r="D1563" s="57"/>
      <c r="E1563" s="57"/>
      <c r="F1563" s="57"/>
      <c r="G1563" s="58"/>
    </row>
    <row r="1564" spans="1:9" x14ac:dyDescent="0.25">
      <c r="A1564" s="219" t="s">
        <v>70</v>
      </c>
      <c r="B1564" s="219"/>
      <c r="C1564" s="219"/>
      <c r="D1564" s="219"/>
      <c r="E1564" s="219"/>
      <c r="F1564" s="219"/>
      <c r="G1564" s="219"/>
    </row>
    <row r="1565" spans="1:9" x14ac:dyDescent="0.25">
      <c r="A1565" s="49" t="s">
        <v>35</v>
      </c>
      <c r="B1565" s="219" t="s">
        <v>36</v>
      </c>
      <c r="C1565" s="219"/>
      <c r="D1565" s="49" t="s">
        <v>37</v>
      </c>
      <c r="E1565" s="49" t="s">
        <v>38</v>
      </c>
      <c r="F1565" s="49" t="s">
        <v>39</v>
      </c>
      <c r="G1565" s="49" t="s">
        <v>40</v>
      </c>
    </row>
    <row r="1566" spans="1:9" x14ac:dyDescent="0.25">
      <c r="A1566" s="50" t="s">
        <v>71</v>
      </c>
      <c r="B1566" s="71" t="str">
        <f>VLOOKUP(A1566,'Componentes APUs'!$A$1:$D$14,2,0)</f>
        <v>Camisa indigo sin partes metalicas</v>
      </c>
      <c r="C1566" s="71"/>
      <c r="D1566" s="50" t="str">
        <f>VLOOKUP(A1566,'Componentes APUs'!$A$1:$D$14,3,0)</f>
        <v>U</v>
      </c>
      <c r="E1566" s="50">
        <f>SUM(C1546:C1551)</f>
        <v>3.75</v>
      </c>
      <c r="F1566" s="51">
        <f>VLOOKUP(A1566,'Componentes APUs'!$A$1:$D$14,4,0)</f>
        <v>8585.8585858585866</v>
      </c>
      <c r="G1566" s="51">
        <f>ROUNDUP(F1566*(E1566/21)/E1532,0)</f>
        <v>52</v>
      </c>
      <c r="I1566" s="91"/>
    </row>
    <row r="1567" spans="1:9" x14ac:dyDescent="0.25">
      <c r="A1567" s="69" t="s">
        <v>73</v>
      </c>
      <c r="B1567" s="72" t="str">
        <f>VLOOKUP(A1567,'Componentes APUs'!$A$1:$D$14,2,0)</f>
        <v>Bota de seguridad dielectrica</v>
      </c>
      <c r="C1567" s="73"/>
      <c r="D1567" s="70" t="str">
        <f>VLOOKUP(A1567,'Componentes APUs'!$A$1:$D$14,3,0)</f>
        <v>Par</v>
      </c>
      <c r="E1567" s="50">
        <f>SUM(C1546:C1551)</f>
        <v>3.75</v>
      </c>
      <c r="F1567" s="51">
        <f>VLOOKUP(A1567,'Componentes APUs'!$A$1:$D$14,4,0)</f>
        <v>7500</v>
      </c>
      <c r="G1567" s="51">
        <f>ROUNDUP(F1567*(E1567/21)/E1532,0)</f>
        <v>45</v>
      </c>
    </row>
    <row r="1568" spans="1:9" x14ac:dyDescent="0.25">
      <c r="A1568" s="50" t="s">
        <v>76</v>
      </c>
      <c r="B1568" s="72" t="str">
        <f>VLOOKUP(A1568,'Componentes APUs'!$A$1:$D$14,2,0)</f>
        <v>Casco dielectrico Tipo 1 Clase E con barbuquejo</v>
      </c>
      <c r="C1568" s="73"/>
      <c r="D1568" s="50" t="str">
        <f>VLOOKUP(A1568,'Componentes APUs'!$A$1:$D$14,3,0)</f>
        <v>U</v>
      </c>
      <c r="E1568" s="50">
        <f>C1546+C1547+C1549+C1550+C1551+IF(A1548&lt;&gt;"MO-3",C1548,0)</f>
        <v>3.75</v>
      </c>
      <c r="F1568" s="51">
        <f>VLOOKUP(A1568,'Componentes APUs'!$A$1:$D$14,4,0)</f>
        <v>10101.010101010101</v>
      </c>
      <c r="G1568" s="51">
        <f>ROUNDUP(F1568*(E1568/21)/E1532,0)</f>
        <v>61</v>
      </c>
    </row>
    <row r="1569" spans="1:7" x14ac:dyDescent="0.25">
      <c r="A1569" s="69" t="s">
        <v>77</v>
      </c>
      <c r="B1569" s="72" t="str">
        <f>VLOOKUP(A1569,'Componentes APUs'!$A$1:$D$14,2,0)</f>
        <v>Correa plastica y antiflama</v>
      </c>
      <c r="C1569" s="73"/>
      <c r="D1569" s="50" t="str">
        <f>VLOOKUP(A1569,'Componentes APUs'!$A$1:$D$14,3,0)</f>
        <v>U</v>
      </c>
      <c r="E1569" s="50">
        <f>SUM(C1546:C1551)</f>
        <v>3.75</v>
      </c>
      <c r="F1569" s="51">
        <f>VLOOKUP(A1569,'Componentes APUs'!$A$1:$D$14,4,0)</f>
        <v>3787.878787878788</v>
      </c>
      <c r="G1569" s="51">
        <f>ROUNDUP(F1569*(E1569/21)/E1532,0)</f>
        <v>23</v>
      </c>
    </row>
    <row r="1570" spans="1:7" x14ac:dyDescent="0.25">
      <c r="A1570" s="50" t="s">
        <v>79</v>
      </c>
      <c r="B1570" s="72" t="str">
        <f>VLOOKUP(A1570,'Componentes APUs'!$A$1:$D$14,2,0)</f>
        <v>Gafas protectoras filtro UV</v>
      </c>
      <c r="C1570" s="73"/>
      <c r="D1570" s="50" t="str">
        <f>VLOOKUP(A1570,'Componentes APUs'!$A$1:$D$14,3,0)</f>
        <v>U</v>
      </c>
      <c r="E1570" s="50">
        <f>SUM(C1546:C1551)</f>
        <v>3.75</v>
      </c>
      <c r="F1570" s="51">
        <f>VLOOKUP(A1570,'Componentes APUs'!$A$1:$D$14,4,0)</f>
        <v>2777.7777777777778</v>
      </c>
      <c r="G1570" s="51">
        <f>ROUNDUP(F1570*(E1570/21)/E1532,0)</f>
        <v>17</v>
      </c>
    </row>
    <row r="1571" spans="1:7" x14ac:dyDescent="0.25">
      <c r="A1571" s="69" t="s">
        <v>402</v>
      </c>
      <c r="B1571" s="72" t="str">
        <f>VLOOKUP(A1571,'Componentes APUs'!$A$1:$D$14,2,0)</f>
        <v>Bota de seguridad PVC dielectrica</v>
      </c>
      <c r="C1571" s="73"/>
      <c r="D1571" s="50" t="str">
        <f>VLOOKUP(A1571,'Componentes APUs'!$A$1:$D$14,3,0)</f>
        <v>Par</v>
      </c>
      <c r="E1571" s="50">
        <f>SUM(C1546:C1551)</f>
        <v>3.75</v>
      </c>
      <c r="F1571" s="51">
        <f>VLOOKUP(A1571,'Componentes APUs'!$A$1:$D$14,4,0)</f>
        <v>2916.6666666666665</v>
      </c>
      <c r="G1571" s="51">
        <f>ROUNDUP(F1571*(E1571/21)/E1532,0)</f>
        <v>18</v>
      </c>
    </row>
    <row r="1572" spans="1:7" x14ac:dyDescent="0.25">
      <c r="A1572" s="50" t="s">
        <v>403</v>
      </c>
      <c r="B1572" s="72" t="str">
        <f>VLOOKUP(A1572,'Componentes APUs'!$A$1:$D$14,2,0)</f>
        <v>Capuchon</v>
      </c>
      <c r="C1572" s="73"/>
      <c r="D1572" s="50" t="str">
        <f>VLOOKUP(A1572,'Componentes APUs'!$A$1:$D$14,3,0)</f>
        <v>U</v>
      </c>
      <c r="E1572" s="50">
        <f>SUM(C1546:C1551)</f>
        <v>3.75</v>
      </c>
      <c r="F1572" s="51">
        <f>VLOOKUP(A1572,'Componentes APUs'!$A$1:$D$14,4,0)</f>
        <v>2525.2525252525252</v>
      </c>
      <c r="G1572" s="51">
        <f>ROUNDUP(F1572*(E1572/21)/E1532,0)</f>
        <v>16</v>
      </c>
    </row>
    <row r="1573" spans="1:7" x14ac:dyDescent="0.25">
      <c r="A1573" s="69" t="s">
        <v>81</v>
      </c>
      <c r="B1573" s="72" t="str">
        <f>VLOOKUP(A1573,'Componentes APUs'!$A$1:$D$14,2,0)</f>
        <v>Guantes Protectores  - ingeniero reforzados</v>
      </c>
      <c r="C1573" s="73"/>
      <c r="D1573" s="50" t="str">
        <f>VLOOKUP(A1573,'Componentes APUs'!$A$1:$D$14,3,0)</f>
        <v>Par</v>
      </c>
      <c r="E1573" s="50">
        <f>C1548+C1549+C1551</f>
        <v>3.25</v>
      </c>
      <c r="F1573" s="51">
        <f>VLOOKUP(A1573,'Componentes APUs'!$A$1:$D$14,4,0)</f>
        <v>2525.2525252525252</v>
      </c>
      <c r="G1573" s="51">
        <f>ROUNDUP(F1573*(E1573/21)/E1532,0)</f>
        <v>14</v>
      </c>
    </row>
    <row r="1574" spans="1:7" x14ac:dyDescent="0.25">
      <c r="A1574" s="50" t="s">
        <v>83</v>
      </c>
      <c r="B1574" s="72" t="str">
        <f>VLOOKUP(A1574,'Componentes APUs'!$A$1:$D$14,2,0)</f>
        <v>Impermeable (pantalon camisa)</v>
      </c>
      <c r="C1574" s="73"/>
      <c r="D1574" s="50" t="str">
        <f>VLOOKUP(A1574,'Componentes APUs'!$A$1:$D$14,3,0)</f>
        <v>U</v>
      </c>
      <c r="E1574" s="50">
        <f>SUM(C1546:C1551)</f>
        <v>3.75</v>
      </c>
      <c r="F1574" s="51">
        <f>VLOOKUP(A1574,'Componentes APUs'!$A$1:$D$14,4,0)</f>
        <v>3750</v>
      </c>
      <c r="G1574" s="51">
        <f>ROUNDUP(F1574*(E1574/21)/E1532,0)</f>
        <v>23</v>
      </c>
    </row>
    <row r="1575" spans="1:7" x14ac:dyDescent="0.25">
      <c r="A1575" s="69" t="s">
        <v>85</v>
      </c>
      <c r="B1575" s="72" t="str">
        <f>VLOOKUP(A1575,'Componentes APUs'!$A$1:$D$14,2,0)</f>
        <v>Jean Dielectrico</v>
      </c>
      <c r="C1575" s="73"/>
      <c r="D1575" s="50" t="str">
        <f>VLOOKUP(A1575,'Componentes APUs'!$A$1:$D$14,3,0)</f>
        <v>U</v>
      </c>
      <c r="E1575" s="50">
        <f>SUM(C1546:C1551)</f>
        <v>3.75</v>
      </c>
      <c r="F1575" s="51">
        <f>VLOOKUP(A1575,'Componentes APUs'!$A$1:$D$14,4,0)</f>
        <v>7575.757575757576</v>
      </c>
      <c r="G1575" s="51">
        <f>ROUNDUP(F1575*(E1575/21)/E1532,0)</f>
        <v>46</v>
      </c>
    </row>
    <row r="1576" spans="1:7" x14ac:dyDescent="0.25">
      <c r="A1576" s="50" t="s">
        <v>87</v>
      </c>
      <c r="B1576" s="72" t="str">
        <f>VLOOKUP(A1576,'Componentes APUs'!$A$1:$D$14,2,0)</f>
        <v>Casco dielectrico Tipo 2 Clase E con barboquejo</v>
      </c>
      <c r="C1576" s="73"/>
      <c r="D1576" s="50" t="str">
        <f>VLOOKUP(A1576,'Componentes APUs'!$A$1:$D$14,3,0)</f>
        <v>U</v>
      </c>
      <c r="E1576" s="53">
        <f>IF(A1548="MO-3",C1548,0)</f>
        <v>0</v>
      </c>
      <c r="F1576" s="51">
        <f>VLOOKUP(A1576,'Componentes APUs'!$A$1:$D$14,4,0)</f>
        <v>7500</v>
      </c>
      <c r="G1576" s="51">
        <f>ROUNDUP(F1576*(E1576/21)/E1532,0)</f>
        <v>0</v>
      </c>
    </row>
    <row r="1577" spans="1:7" x14ac:dyDescent="0.25">
      <c r="A1577" s="69" t="s">
        <v>89</v>
      </c>
      <c r="B1577" s="72" t="str">
        <f>VLOOKUP(A1577,'Componentes APUs'!$A$1:$D$14,2,0)</f>
        <v>Kit de rescate para trabajo en alturas</v>
      </c>
      <c r="C1577" s="73"/>
      <c r="D1577" s="50" t="str">
        <f>VLOOKUP(A1577,'Componentes APUs'!$A$1:$D$14,3,0)</f>
        <v>U</v>
      </c>
      <c r="E1577" s="50">
        <f>IF(AND(A1548="MO-3",C1548=2),1,0)</f>
        <v>0</v>
      </c>
      <c r="F1577" s="51">
        <f>VLOOKUP(A1577,'Componentes APUs'!$A$1:$D$14,4,0)</f>
        <v>37500</v>
      </c>
      <c r="G1577" s="51">
        <f>ROUNDUP(F1577*(E1577/21)/E1532,0)</f>
        <v>0</v>
      </c>
    </row>
    <row r="1578" spans="1:7" x14ac:dyDescent="0.25">
      <c r="A1578" s="50" t="s">
        <v>91</v>
      </c>
      <c r="B1578" s="72" t="str">
        <f>VLOOKUP(A1578,'Componentes APUs'!$A$1:$D$14,2,0)</f>
        <v>Equipo completo para trabajo en alturas con pretales (Arnes dielectrico, 1 mosqueton de seguridad, tie off dielectrico, eslinga de posicionamiento, juego de pretales)</v>
      </c>
      <c r="C1578" s="73"/>
      <c r="D1578" s="50" t="str">
        <f>VLOOKUP(A1578,'Componentes APUs'!$A$1:$D$14,3,0)</f>
        <v>U</v>
      </c>
      <c r="E1578" s="50">
        <f>IF(A1548="MO-3",C1548,0)</f>
        <v>0</v>
      </c>
      <c r="F1578" s="51">
        <f>VLOOKUP(A1578,'Componentes APUs'!$A$1:$D$14,4,0)</f>
        <v>26041.666666666668</v>
      </c>
      <c r="G1578" s="51">
        <f>ROUNDUP(F1578*(E1578/21)/E1532,0)</f>
        <v>0</v>
      </c>
    </row>
    <row r="1579" spans="1:7" x14ac:dyDescent="0.25">
      <c r="A1579" s="219" t="s">
        <v>95</v>
      </c>
      <c r="B1579" s="219"/>
      <c r="C1579" s="219"/>
      <c r="D1579" s="219"/>
      <c r="E1579" s="219"/>
      <c r="F1579" s="219"/>
      <c r="G1579" s="52">
        <f>SUM(G1566:G1578)</f>
        <v>315</v>
      </c>
    </row>
    <row r="1580" spans="1:7" x14ac:dyDescent="0.25">
      <c r="A1580" s="56"/>
      <c r="B1580" s="57"/>
      <c r="C1580" s="57"/>
      <c r="D1580" s="57"/>
      <c r="E1580" s="57"/>
      <c r="F1580" s="57"/>
      <c r="G1580" s="58"/>
    </row>
    <row r="1581" spans="1:7" x14ac:dyDescent="0.25">
      <c r="A1581" s="219" t="s">
        <v>96</v>
      </c>
      <c r="B1581" s="219"/>
      <c r="C1581" s="219"/>
      <c r="D1581" s="219"/>
      <c r="E1581" s="219"/>
      <c r="F1581" s="219"/>
      <c r="G1581" s="219"/>
    </row>
    <row r="1582" spans="1:7" x14ac:dyDescent="0.25">
      <c r="A1582" s="49" t="s">
        <v>35</v>
      </c>
      <c r="B1582" s="225" t="s">
        <v>36</v>
      </c>
      <c r="C1582" s="225"/>
      <c r="D1582" s="49" t="s">
        <v>37</v>
      </c>
      <c r="E1582" s="49" t="s">
        <v>38</v>
      </c>
      <c r="F1582" s="49" t="s">
        <v>39</v>
      </c>
      <c r="G1582" s="49" t="s">
        <v>40</v>
      </c>
    </row>
    <row r="1583" spans="1:7" x14ac:dyDescent="0.25">
      <c r="A1583" s="69" t="s">
        <v>97</v>
      </c>
      <c r="B1583" s="72" t="str">
        <f>VLOOKUP(A1583,'Componentes APUs'!$N$1:$Q$30,2,0)</f>
        <v>Camioneta</v>
      </c>
      <c r="C1583" s="73"/>
      <c r="D1583" s="70" t="str">
        <f>VLOOKUP(A1583,'Componentes APUs'!$N$1:$Q$30,3,0)</f>
        <v>U</v>
      </c>
      <c r="E1583" s="50">
        <v>1</v>
      </c>
      <c r="F1583" s="51">
        <f>VLOOKUP(A1583,'Componentes APUs'!$N$1:$Q$30,4,0)</f>
        <v>5500000</v>
      </c>
      <c r="G1583" s="51">
        <f>IFERROR(ROUNDUP(F1583*(E1583/21)/E1532,0),"-")</f>
        <v>8731</v>
      </c>
    </row>
    <row r="1584" spans="1:7" x14ac:dyDescent="0.25">
      <c r="A1584" s="50" t="s">
        <v>321</v>
      </c>
      <c r="B1584" s="72" t="str">
        <f>VLOOKUP(A1584,'Componentes APUs'!$N$1:$Q$30,2,0)</f>
        <v>Grúa Hidráulica</v>
      </c>
      <c r="C1584" s="73"/>
      <c r="D1584" s="70" t="str">
        <f>VLOOKUP(A1584,'Componentes APUs'!$N$1:$Q$30,3,0)</f>
        <v>U</v>
      </c>
      <c r="E1584" s="50">
        <v>0</v>
      </c>
      <c r="F1584" s="51">
        <f>VLOOKUP(A1584,'Componentes APUs'!$N$1:$Q$30,4,0)</f>
        <v>21000000</v>
      </c>
      <c r="G1584" s="51">
        <f>IFERROR(ROUNDUP(F1584*(E1584/21)/E1532,0),"-")</f>
        <v>0</v>
      </c>
    </row>
    <row r="1585" spans="1:7" x14ac:dyDescent="0.25">
      <c r="A1585" s="69" t="s">
        <v>1379</v>
      </c>
      <c r="B1585" s="72" t="str">
        <f>VLOOKUP(A1585,'Componentes APUs'!$N$1:$Q$30,2,0)</f>
        <v>Dumper de descarga Frontal 2T</v>
      </c>
      <c r="C1585" s="73"/>
      <c r="D1585" s="70" t="str">
        <f>VLOOKUP(A1585,'Componentes APUs'!$N$1:$Q$30,3,0)</f>
        <v>U</v>
      </c>
      <c r="E1585" s="50">
        <v>0</v>
      </c>
      <c r="F1585" s="51">
        <f>VLOOKUP(A1585,'Componentes APUs'!$N$1:$Q$30,4,0)</f>
        <v>4438716.24</v>
      </c>
      <c r="G1585" s="51">
        <f>IFERROR(ROUNDUP(F1585*(E1585/21)/E1532,0),"-")</f>
        <v>0</v>
      </c>
    </row>
    <row r="1586" spans="1:7" x14ac:dyDescent="0.25">
      <c r="A1586" s="50" t="s">
        <v>323</v>
      </c>
      <c r="B1586" s="72" t="str">
        <f>VLOOKUP(A1586,'Componentes APUs'!$N$1:$Q$30,2,0)</f>
        <v>Volqueta</v>
      </c>
      <c r="C1586" s="73"/>
      <c r="D1586" s="70" t="str">
        <f>VLOOKUP(A1586,'Componentes APUs'!$N$1:$Q$30,3,0)</f>
        <v>U</v>
      </c>
      <c r="E1586" s="50">
        <v>0</v>
      </c>
      <c r="F1586" s="51">
        <f>VLOOKUP(A1586,'Componentes APUs'!$N$1:$Q$30,4,0)</f>
        <v>14828184</v>
      </c>
      <c r="G1586" s="51">
        <f>IFERROR(ROUNDUP(F1586*(E1586/21)/E1532,0),"-")</f>
        <v>0</v>
      </c>
    </row>
    <row r="1587" spans="1:7" x14ac:dyDescent="0.25">
      <c r="A1587" s="69" t="s">
        <v>324</v>
      </c>
      <c r="B1587" s="72" t="str">
        <f>VLOOKUP(A1587,'Componentes APUs'!$N$1:$Q$30,2,0)</f>
        <v>Retroexcavadora</v>
      </c>
      <c r="C1587" s="73"/>
      <c r="D1587" s="70" t="str">
        <f>VLOOKUP(A1587,'Componentes APUs'!$N$1:$Q$30,3,0)</f>
        <v>U</v>
      </c>
      <c r="E1587" s="50">
        <v>0</v>
      </c>
      <c r="F1587" s="51">
        <f>VLOOKUP(A1587,'Componentes APUs'!$N$1:$Q$30,4,0)</f>
        <v>46030656</v>
      </c>
      <c r="G1587" s="51">
        <f>IFERROR(ROUNDUP(F1587*(E1587/21)/E1532,0),"-")</f>
        <v>0</v>
      </c>
    </row>
    <row r="1588" spans="1:7" x14ac:dyDescent="0.25">
      <c r="A1588" s="219" t="s">
        <v>99</v>
      </c>
      <c r="B1588" s="219"/>
      <c r="C1588" s="219"/>
      <c r="D1588" s="219"/>
      <c r="E1588" s="219"/>
      <c r="F1588" s="219"/>
      <c r="G1588" s="52">
        <f>SUM(G1583:G1587)</f>
        <v>8731</v>
      </c>
    </row>
    <row r="1589" spans="1:7" x14ac:dyDescent="0.25">
      <c r="A1589" s="56"/>
      <c r="B1589" s="57"/>
      <c r="C1589" s="57"/>
      <c r="D1589" s="57"/>
      <c r="E1589" s="57"/>
      <c r="F1589" s="57"/>
      <c r="G1589" s="58"/>
    </row>
    <row r="1590" spans="1:7" x14ac:dyDescent="0.25">
      <c r="A1590" s="219" t="s">
        <v>1516</v>
      </c>
      <c r="B1590" s="219"/>
      <c r="C1590" s="219"/>
      <c r="D1590" s="219"/>
      <c r="E1590" s="219"/>
      <c r="F1590" s="219"/>
      <c r="G1590" s="52">
        <f>G1588+G1579+G1562+G1552+G1542</f>
        <v>105844</v>
      </c>
    </row>
    <row r="1591" spans="1:7" x14ac:dyDescent="0.25">
      <c r="A1591" s="59"/>
      <c r="B1591" s="60"/>
      <c r="C1591" s="60"/>
      <c r="D1591" s="60"/>
      <c r="E1591" s="57"/>
      <c r="F1591" s="57"/>
      <c r="G1591" s="58"/>
    </row>
    <row r="1592" spans="1:7" x14ac:dyDescent="0.25">
      <c r="A1592" s="64"/>
      <c r="D1592" s="55"/>
      <c r="E1592" s="49" t="s">
        <v>25</v>
      </c>
      <c r="F1592" s="54">
        <v>0.15</v>
      </c>
      <c r="G1592" s="51">
        <f>G1590*F1592</f>
        <v>15876.599999999999</v>
      </c>
    </row>
    <row r="1593" spans="1:7" x14ac:dyDescent="0.25">
      <c r="A1593" s="64"/>
      <c r="D1593" s="55"/>
      <c r="E1593" s="49" t="s">
        <v>26</v>
      </c>
      <c r="F1593" s="54">
        <v>0.05</v>
      </c>
      <c r="G1593" s="51">
        <f>G1590*F1593</f>
        <v>5292.2000000000007</v>
      </c>
    </row>
    <row r="1594" spans="1:7" x14ac:dyDescent="0.25">
      <c r="A1594" s="61"/>
      <c r="B1594" s="65"/>
      <c r="C1594" s="65"/>
      <c r="D1594" s="62"/>
      <c r="E1594" s="49" t="s">
        <v>27</v>
      </c>
      <c r="F1594" s="54">
        <v>0.05</v>
      </c>
      <c r="G1594" s="51">
        <f>G1590*F1594</f>
        <v>5292.2000000000007</v>
      </c>
    </row>
    <row r="1595" spans="1:7" x14ac:dyDescent="0.25">
      <c r="A1595" s="61"/>
      <c r="B1595" s="62"/>
      <c r="C1595" s="62"/>
      <c r="D1595" s="62"/>
      <c r="E1595" s="62"/>
      <c r="F1595" s="62"/>
      <c r="G1595" s="63"/>
    </row>
    <row r="1596" spans="1:7" x14ac:dyDescent="0.25">
      <c r="A1596" s="219" t="s">
        <v>1517</v>
      </c>
      <c r="B1596" s="219"/>
      <c r="C1596" s="219"/>
      <c r="D1596" s="219"/>
      <c r="E1596" s="219"/>
      <c r="F1596" s="219"/>
      <c r="G1596" s="52">
        <f>G1590+G1592+G1593+G1594</f>
        <v>132305</v>
      </c>
    </row>
    <row r="1597" spans="1:7" x14ac:dyDescent="0.25">
      <c r="A1597" s="59"/>
      <c r="B1597" s="60"/>
      <c r="C1597" s="60"/>
      <c r="D1597" s="60"/>
      <c r="E1597" s="57"/>
      <c r="F1597" s="57"/>
      <c r="G1597" s="58"/>
    </row>
    <row r="1598" spans="1:7" x14ac:dyDescent="0.25">
      <c r="A1598" s="64"/>
      <c r="D1598" s="55"/>
      <c r="E1598" s="49" t="s">
        <v>102</v>
      </c>
      <c r="F1598" s="49" t="s">
        <v>103</v>
      </c>
      <c r="G1598" s="51">
        <f>G1594*19%</f>
        <v>1005.5180000000001</v>
      </c>
    </row>
    <row r="1599" spans="1:7" x14ac:dyDescent="0.25">
      <c r="A1599" s="61"/>
      <c r="B1599" s="62"/>
      <c r="C1599" s="62"/>
      <c r="D1599" s="62"/>
      <c r="E1599" s="57"/>
      <c r="F1599" s="57"/>
      <c r="G1599" s="58"/>
    </row>
    <row r="1600" spans="1:7" x14ac:dyDescent="0.25">
      <c r="A1600" s="219" t="s">
        <v>104</v>
      </c>
      <c r="B1600" s="219"/>
      <c r="C1600" s="219"/>
      <c r="D1600" s="219"/>
      <c r="E1600" s="219"/>
      <c r="F1600" s="219"/>
      <c r="G1600" s="52">
        <f>G1598+G1596</f>
        <v>133310.51800000001</v>
      </c>
    </row>
    <row r="1602" spans="1:9" x14ac:dyDescent="0.25">
      <c r="A1602" s="74" t="s">
        <v>29</v>
      </c>
      <c r="B1602" s="226" t="s">
        <v>30</v>
      </c>
      <c r="C1602" s="226"/>
      <c r="D1602" s="74" t="s">
        <v>31</v>
      </c>
      <c r="E1602" s="74" t="s">
        <v>32</v>
      </c>
      <c r="F1602" s="74" t="s">
        <v>189</v>
      </c>
      <c r="G1602" s="74" t="s">
        <v>33</v>
      </c>
      <c r="H1602" s="105"/>
    </row>
    <row r="1603" spans="1:9" ht="30" customHeight="1" x14ac:dyDescent="0.25">
      <c r="A1603" s="50" t="str">
        <f>Presupuesto!B33</f>
        <v>025_OC</v>
      </c>
      <c r="B1603" s="229" t="str">
        <f>Presupuesto!C33</f>
        <v>CAJA DE INSPECCIÓN (NORMA EH RSS-033) BAJA TENSIÓN. INCLUYE EXCAVACIÓN</v>
      </c>
      <c r="C1603" s="230"/>
      <c r="D1603" s="50" t="s">
        <v>8</v>
      </c>
      <c r="E1603" s="107">
        <v>1.7</v>
      </c>
      <c r="F1603" s="50"/>
      <c r="G1603" s="51">
        <f>G1669</f>
        <v>3796258.95</v>
      </c>
      <c r="H1603" s="45"/>
    </row>
    <row r="1604" spans="1:9" x14ac:dyDescent="0.25">
      <c r="A1604" s="219" t="s">
        <v>34</v>
      </c>
      <c r="B1604" s="219"/>
      <c r="C1604" s="219"/>
      <c r="D1604" s="219"/>
      <c r="E1604" s="219"/>
      <c r="F1604" s="219"/>
      <c r="G1604" s="219"/>
    </row>
    <row r="1605" spans="1:9" x14ac:dyDescent="0.25">
      <c r="A1605" s="49" t="s">
        <v>35</v>
      </c>
      <c r="B1605" s="219" t="s">
        <v>36</v>
      </c>
      <c r="C1605" s="219"/>
      <c r="D1605" s="49" t="s">
        <v>37</v>
      </c>
      <c r="E1605" s="49" t="s">
        <v>38</v>
      </c>
      <c r="F1605" s="49" t="s">
        <v>39</v>
      </c>
      <c r="G1605" s="49" t="s">
        <v>40</v>
      </c>
    </row>
    <row r="1606" spans="1:9" x14ac:dyDescent="0.25">
      <c r="A1606" s="50" t="str">
        <f>Material!A15</f>
        <v>MA-14</v>
      </c>
      <c r="B1606" s="72" t="str">
        <f>IFERROR(VLOOKUP(A1606,Material!$A:$H,2,0),"-")</f>
        <v>CONCRETO DE 3000 PSI</v>
      </c>
      <c r="C1606" s="76"/>
      <c r="D1606" s="50" t="str">
        <f>IFERROR(VLOOKUP(A1606,Material!$A:$H,4,0),"-")</f>
        <v>M3</v>
      </c>
      <c r="E1606" s="107">
        <f>(1.4641-0.7728)*1.2+0.7728*0.2</f>
        <v>0.98411999999999988</v>
      </c>
      <c r="F1606" s="51">
        <f>IFERROR(VLOOKUP(A1606,Material!$A:$H,3,0),"-")</f>
        <v>620227.23330691375</v>
      </c>
      <c r="G1606" s="51">
        <f t="shared" ref="G1606:G1609" si="19">IFERROR(ROUNDUP(F1606*E1606,0),"-")</f>
        <v>610379</v>
      </c>
      <c r="H1606" s="92"/>
    </row>
    <row r="1607" spans="1:9" x14ac:dyDescent="0.25">
      <c r="A1607" s="50" t="str">
        <f>Material!A597</f>
        <v>MA-596</v>
      </c>
      <c r="B1607" s="72" t="str">
        <f>IFERROR(VLOOKUP(A1607,Material!$A:$H,2,0),"-")</f>
        <v>ACERO DE REFUERZO FIGURADO</v>
      </c>
      <c r="C1607" s="76"/>
      <c r="D1607" s="50" t="str">
        <f>IFERROR(VLOOKUP(A1607,Material!$A:$H,4,0),"-")</f>
        <v>kG</v>
      </c>
      <c r="E1607" s="107">
        <f>E1606*200</f>
        <v>196.82399999999998</v>
      </c>
      <c r="F1607" s="51">
        <f>IFERROR(VLOOKUP(A1607,Material!$A:$H,3,0),"-")</f>
        <v>5106.4000000000005</v>
      </c>
      <c r="G1607" s="51">
        <f t="shared" si="19"/>
        <v>1005063</v>
      </c>
      <c r="H1607" s="106"/>
    </row>
    <row r="1608" spans="1:9" x14ac:dyDescent="0.25">
      <c r="A1608" s="50" t="str">
        <f>Material!A218</f>
        <v>MA-217</v>
      </c>
      <c r="B1608" s="72" t="str">
        <f>IFERROR(VLOOKUP(A1608,Material!$A:$H,2,0),"-")</f>
        <v>FORMALETA EN MADERA CON TABLA DE 1"</v>
      </c>
      <c r="C1608" s="76"/>
      <c r="D1608" s="50" t="str">
        <f>IFERROR(VLOOKUP(A1608,Material!$A:$H,4,0),"-")</f>
        <v>M2</v>
      </c>
      <c r="E1608" s="53">
        <f>(3.53+4.85)*1.2</f>
        <v>10.055999999999999</v>
      </c>
      <c r="F1608" s="51">
        <f>IFERROR(VLOOKUP(A1608,Material!$A:$H,3,0),"-")</f>
        <v>24691.116165303549</v>
      </c>
      <c r="G1608" s="51">
        <f t="shared" si="19"/>
        <v>248294</v>
      </c>
      <c r="H1608" s="66"/>
    </row>
    <row r="1609" spans="1:9" ht="27" customHeight="1" x14ac:dyDescent="0.25">
      <c r="A1609" s="50" t="str">
        <f>Material!A598</f>
        <v>MA-597</v>
      </c>
      <c r="B1609" s="232" t="str">
        <f>IFERROR(VLOOKUP(A1609,Material!$A:$H,2,0),"-")</f>
        <v>MARCO Y TAPA METÁLICOS EN ANGULO Y PLATINA DE 2 1/2 x  3 /16 (1,09 x 0,935)</v>
      </c>
      <c r="C1609" s="233"/>
      <c r="D1609" s="50" t="str">
        <f>IFERROR(VLOOKUP(A1609,Material!$A:$H,4,0),"-")</f>
        <v>UN</v>
      </c>
      <c r="E1609" s="107">
        <v>1</v>
      </c>
      <c r="F1609" s="51">
        <f>IFERROR(VLOOKUP(A1609,Material!$A:$H,3,0),"-")</f>
        <v>548405</v>
      </c>
      <c r="G1609" s="51">
        <f t="shared" si="19"/>
        <v>548405</v>
      </c>
      <c r="H1609" s="106"/>
    </row>
    <row r="1610" spans="1:9" ht="26.25" customHeight="1" x14ac:dyDescent="0.25">
      <c r="A1610" s="50" t="str">
        <f>Material!A18</f>
        <v>MA-17</v>
      </c>
      <c r="B1610" s="221" t="str">
        <f>IFERROR(VLOOKUP(A1610,Material!$A:$H,2,0),"-")</f>
        <v>EXCAVACIÓN EN MATERIAL COMÚN BAJO AGUA DE 0 - 2 M MANUAL</v>
      </c>
      <c r="C1610" s="222"/>
      <c r="D1610" s="50" t="str">
        <f>IFERROR(VLOOKUP(A1610,Material!$A:$H,4,0),"-")</f>
        <v>M3</v>
      </c>
      <c r="E1610" s="107">
        <f>(1.4641-0.7728)*1.2</f>
        <v>0.82955999999999985</v>
      </c>
      <c r="F1610" s="51">
        <f>IFERROR(VLOOKUP(A1610,Material!$A:$H,3,0),"-")</f>
        <v>45663.8</v>
      </c>
      <c r="G1610" s="51">
        <f t="shared" ref="G1610" si="20">IFERROR(ROUNDUP(F1610*E1610,0),"-")</f>
        <v>37881</v>
      </c>
      <c r="H1610" s="106"/>
    </row>
    <row r="1611" spans="1:9" x14ac:dyDescent="0.25">
      <c r="A1611" s="219" t="s">
        <v>41</v>
      </c>
      <c r="B1611" s="219"/>
      <c r="C1611" s="219"/>
      <c r="D1611" s="219"/>
      <c r="E1611" s="219"/>
      <c r="F1611" s="219"/>
      <c r="G1611" s="52">
        <f>SUM(G1606:G1610)</f>
        <v>2450022</v>
      </c>
      <c r="I1611" s="104"/>
    </row>
    <row r="1612" spans="1:9" x14ac:dyDescent="0.25">
      <c r="A1612" s="56"/>
      <c r="B1612" s="57"/>
      <c r="C1612" s="57"/>
      <c r="D1612" s="57"/>
      <c r="E1612" s="57"/>
      <c r="F1612" s="57"/>
      <c r="G1612" s="58"/>
    </row>
    <row r="1613" spans="1:9" x14ac:dyDescent="0.25">
      <c r="A1613" s="219" t="s">
        <v>42</v>
      </c>
      <c r="B1613" s="219"/>
      <c r="C1613" s="219"/>
      <c r="D1613" s="219"/>
      <c r="E1613" s="219"/>
      <c r="F1613" s="219"/>
      <c r="G1613" s="219"/>
    </row>
    <row r="1614" spans="1:9" x14ac:dyDescent="0.25">
      <c r="A1614" s="49" t="s">
        <v>35</v>
      </c>
      <c r="B1614" s="49" t="s">
        <v>36</v>
      </c>
      <c r="C1614" s="49" t="s">
        <v>38</v>
      </c>
      <c r="D1614" s="49" t="s">
        <v>43</v>
      </c>
      <c r="E1614" s="49" t="s">
        <v>44</v>
      </c>
      <c r="F1614" s="49" t="s">
        <v>45</v>
      </c>
      <c r="G1614" s="49" t="s">
        <v>40</v>
      </c>
    </row>
    <row r="1615" spans="1:9" x14ac:dyDescent="0.25">
      <c r="A1615" s="50" t="s">
        <v>319</v>
      </c>
      <c r="B1615" s="68" t="str">
        <f>VLOOKUP(A1615,'Componentes APUs'!$H$1:$L$25,2,0)</f>
        <v>Ingeniero Residente de Obra</v>
      </c>
      <c r="C1615" s="93">
        <v>0.25</v>
      </c>
      <c r="D1615" s="50">
        <f>VLOOKUP(A1615,'Componentes APUs'!$H$1:$L$25,3,0)</f>
        <v>4</v>
      </c>
      <c r="E1615" s="51">
        <f>VLOOKUP(A1615,'Componentes APUs'!$H$1:$L$25,4,0)</f>
        <v>271142.85714285716</v>
      </c>
      <c r="F1615" s="51">
        <f>VLOOKUP(A1615,'Componentes APUs'!$H$1:$L$25,5,0)</f>
        <v>162685.71428571429</v>
      </c>
      <c r="G1615" s="51">
        <f>ROUNDUP((E1615+F1615)*C1615/E1603,0)</f>
        <v>63799</v>
      </c>
      <c r="H1615" s="66"/>
    </row>
    <row r="1616" spans="1:9" x14ac:dyDescent="0.25">
      <c r="A1616" s="50" t="s">
        <v>320</v>
      </c>
      <c r="B1616" s="68" t="str">
        <f>VLOOKUP(A1616,'Componentes APUs'!$H$1:$L$25,2,0)</f>
        <v>Tecnico Supervisor</v>
      </c>
      <c r="C1616" s="93">
        <v>0</v>
      </c>
      <c r="D1616" s="50">
        <f>VLOOKUP(A1616,'Componentes APUs'!$H$1:$L$25,3,0)</f>
        <v>2.2999999999999998</v>
      </c>
      <c r="E1616" s="51">
        <f>VLOOKUP(A1616,'Componentes APUs'!$H$1:$L$25,4,0)</f>
        <v>155907.14285714284</v>
      </c>
      <c r="F1616" s="51">
        <f>VLOOKUP(A1616,'Componentes APUs'!$H$1:$L$25,5,0)</f>
        <v>93544.285714285696</v>
      </c>
      <c r="G1616" s="51">
        <f>ROUNDUP((E1616+F1616)*C1616/E1603,0)</f>
        <v>0</v>
      </c>
    </row>
    <row r="1617" spans="1:9" x14ac:dyDescent="0.25">
      <c r="A1617" s="50" t="s">
        <v>54</v>
      </c>
      <c r="B1617" s="68" t="str">
        <f>VLOOKUP(A1617,'Componentes APUs'!$H$1:$L$25,2,0)</f>
        <v>Maestro de obra civil</v>
      </c>
      <c r="C1617" s="93">
        <v>0.25</v>
      </c>
      <c r="D1617" s="50">
        <f>VLOOKUP(A1617,'Componentes APUs'!$H$1:$L$25,3,0)</f>
        <v>2.5</v>
      </c>
      <c r="E1617" s="51">
        <f>VLOOKUP(A1617,'Componentes APUs'!$H$1:$L$25,4,0)</f>
        <v>169464.28571428571</v>
      </c>
      <c r="F1617" s="51">
        <f>VLOOKUP(A1617,'Componentes APUs'!$H$1:$L$25,5,0)</f>
        <v>101678.57142857142</v>
      </c>
      <c r="G1617" s="51">
        <f>ROUNDUP((E1617+F1617)*C1617/E1603,0)</f>
        <v>39874</v>
      </c>
    </row>
    <row r="1618" spans="1:9" x14ac:dyDescent="0.25">
      <c r="A1618" s="50" t="s">
        <v>1110</v>
      </c>
      <c r="B1618" s="68" t="str">
        <f>VLOOKUP(A1618,'Componentes APUs'!$H$1:$L$25,2,0)</f>
        <v>Oficial de Obra Civil</v>
      </c>
      <c r="C1618" s="93">
        <v>1</v>
      </c>
      <c r="D1618" s="50">
        <f>VLOOKUP(A1618,'Componentes APUs'!$H$1:$L$25,3,0)</f>
        <v>1.5</v>
      </c>
      <c r="E1618" s="51">
        <f>VLOOKUP(A1618,'Componentes APUs'!$H$1:$L$25,4,0)</f>
        <v>115964.28571428571</v>
      </c>
      <c r="F1618" s="51">
        <f>VLOOKUP(A1618,'Componentes APUs'!$H$1:$L$25,5,0)</f>
        <v>69578.57142857142</v>
      </c>
      <c r="G1618" s="51">
        <f>ROUNDUP((E1618+F1618)*C1618/E1603,0)</f>
        <v>109143</v>
      </c>
    </row>
    <row r="1619" spans="1:9" x14ac:dyDescent="0.25">
      <c r="A1619" s="50" t="s">
        <v>50</v>
      </c>
      <c r="B1619" s="68" t="str">
        <f>VLOOKUP(A1619,'Componentes APUs'!$H$1:$L$25,2,0)</f>
        <v>Profesional en SST</v>
      </c>
      <c r="C1619" s="93">
        <v>0.25</v>
      </c>
      <c r="D1619" s="50">
        <f>VLOOKUP(A1619,'Componentes APUs'!$H$1:$L$25,3,0)</f>
        <v>2.5</v>
      </c>
      <c r="E1619" s="51">
        <f>VLOOKUP(A1619,'Componentes APUs'!$H$1:$L$25,4,0)</f>
        <v>169464.28571428571</v>
      </c>
      <c r="F1619" s="51">
        <f>VLOOKUP(A1619,'Componentes APUs'!$H$1:$L$25,5,0)</f>
        <v>101678.57142857142</v>
      </c>
      <c r="G1619" s="51">
        <f>ROUNDUP((E1619+F1619)*C1619/E1603,0)</f>
        <v>39874</v>
      </c>
    </row>
    <row r="1620" spans="1:9" x14ac:dyDescent="0.25">
      <c r="A1620" s="50" t="s">
        <v>1109</v>
      </c>
      <c r="B1620" s="68" t="str">
        <f>VLOOKUP(A1620,'Componentes APUs'!$H$1:$L$25,2,0)</f>
        <v>Ayudante de Obra Civil</v>
      </c>
      <c r="C1620" s="93">
        <v>2</v>
      </c>
      <c r="D1620" s="50">
        <f>VLOOKUP(A1620,'Componentes APUs'!$H$1:$L$25,3,0)</f>
        <v>1</v>
      </c>
      <c r="E1620" s="51">
        <f>VLOOKUP(A1620,'Componentes APUs'!$H$1:$L$25,4,0)</f>
        <v>77309.523809523816</v>
      </c>
      <c r="F1620" s="51">
        <f>VLOOKUP(A1620,'Componentes APUs'!$H$1:$L$25,5,0)</f>
        <v>46385.71428571429</v>
      </c>
      <c r="G1620" s="51">
        <f>ROUNDUP((E1620+F1620)*C1620/E1603,0)</f>
        <v>145524</v>
      </c>
    </row>
    <row r="1621" spans="1:9" x14ac:dyDescent="0.25">
      <c r="A1621" s="219" t="s">
        <v>56</v>
      </c>
      <c r="B1621" s="219"/>
      <c r="C1621" s="219"/>
      <c r="D1621" s="219"/>
      <c r="E1621" s="219"/>
      <c r="F1621" s="219"/>
      <c r="G1621" s="52">
        <f>SUM(G1615:G1620)</f>
        <v>398214</v>
      </c>
    </row>
    <row r="1622" spans="1:9" x14ac:dyDescent="0.25">
      <c r="A1622" s="56"/>
      <c r="B1622" s="57"/>
      <c r="C1622" s="57"/>
      <c r="D1622" s="57"/>
      <c r="E1622" s="57"/>
      <c r="F1622" s="57"/>
      <c r="G1622" s="58"/>
    </row>
    <row r="1623" spans="1:9" x14ac:dyDescent="0.25">
      <c r="A1623" s="219" t="s">
        <v>57</v>
      </c>
      <c r="B1623" s="219"/>
      <c r="C1623" s="219"/>
      <c r="D1623" s="219"/>
      <c r="E1623" s="219"/>
      <c r="F1623" s="219"/>
      <c r="G1623" s="219"/>
    </row>
    <row r="1624" spans="1:9" x14ac:dyDescent="0.25">
      <c r="A1624" s="49" t="s">
        <v>35</v>
      </c>
      <c r="B1624" s="219" t="s">
        <v>36</v>
      </c>
      <c r="C1624" s="219"/>
      <c r="D1624" s="49" t="s">
        <v>37</v>
      </c>
      <c r="E1624" s="49" t="s">
        <v>38</v>
      </c>
      <c r="F1624" s="49" t="s">
        <v>39</v>
      </c>
      <c r="G1624" s="49" t="s">
        <v>40</v>
      </c>
    </row>
    <row r="1625" spans="1:9" x14ac:dyDescent="0.25">
      <c r="A1625" s="50" t="s">
        <v>326</v>
      </c>
      <c r="B1625" s="220" t="str">
        <f>VLOOKUP(A1625,'Componentes APUs'!$S$1:$V$10,2,0)</f>
        <v>Juego Llaves</v>
      </c>
      <c r="C1625" s="220"/>
      <c r="D1625" s="50" t="s">
        <v>18</v>
      </c>
      <c r="E1625" s="50">
        <v>0</v>
      </c>
      <c r="F1625" s="51">
        <f>VLOOKUP(A1625,'Componentes APUs'!$S$1:$V$10,4,0)</f>
        <v>9167</v>
      </c>
      <c r="G1625" s="51">
        <f>ROUNDUP(F1625*((E1625/21)/E1603),0)</f>
        <v>0</v>
      </c>
      <c r="I1625" s="91"/>
    </row>
    <row r="1626" spans="1:9" x14ac:dyDescent="0.25">
      <c r="A1626" s="50" t="s">
        <v>58</v>
      </c>
      <c r="B1626" s="220" t="str">
        <f>VLOOKUP(A1626,'Componentes APUs'!$S$1:$V$10,2,0)</f>
        <v>Manila de servicio</v>
      </c>
      <c r="C1626" s="220"/>
      <c r="D1626" s="50" t="s">
        <v>18</v>
      </c>
      <c r="E1626" s="50">
        <v>0</v>
      </c>
      <c r="F1626" s="51">
        <f>VLOOKUP(A1626,'Componentes APUs'!$S$1:$V$10,4,0)</f>
        <v>2333</v>
      </c>
      <c r="G1626" s="51">
        <f>ROUNDUP(F1626*((E1626/21)/E1603),0)</f>
        <v>0</v>
      </c>
    </row>
    <row r="1627" spans="1:9" x14ac:dyDescent="0.25">
      <c r="A1627" s="50" t="s">
        <v>327</v>
      </c>
      <c r="B1627" s="220" t="str">
        <f>VLOOKUP(A1627,'Componentes APUs'!$S$1:$V$10,2,0)</f>
        <v>Tula portaherramientas</v>
      </c>
      <c r="C1627" s="220"/>
      <c r="D1627" s="50" t="s">
        <v>18</v>
      </c>
      <c r="E1627" s="50">
        <v>0</v>
      </c>
      <c r="F1627" s="51">
        <f>VLOOKUP(A1627,'Componentes APUs'!$S$1:$V$10,4,0)</f>
        <v>1250</v>
      </c>
      <c r="G1627" s="51">
        <f>ROUNDUP(F1627*((E1627/21)/E1603),0)</f>
        <v>0</v>
      </c>
    </row>
    <row r="1628" spans="1:9" x14ac:dyDescent="0.25">
      <c r="A1628" s="50" t="s">
        <v>60</v>
      </c>
      <c r="B1628" s="220" t="str">
        <f>VLOOKUP(A1628,'Componentes APUs'!$S$1:$V$10,2,0)</f>
        <v>Agarradoras</v>
      </c>
      <c r="C1628" s="220"/>
      <c r="D1628" s="50" t="s">
        <v>18</v>
      </c>
      <c r="E1628" s="50">
        <v>0</v>
      </c>
      <c r="F1628" s="51">
        <f>VLOOKUP(A1628,'Componentes APUs'!$S$1:$V$10,4,0)</f>
        <v>125000</v>
      </c>
      <c r="G1628" s="51">
        <f>ROUNDUP(F1628*((E1628/21)/E1603),0)</f>
        <v>0</v>
      </c>
    </row>
    <row r="1629" spans="1:9" x14ac:dyDescent="0.25">
      <c r="A1629" s="50" t="s">
        <v>62</v>
      </c>
      <c r="B1629" s="220" t="str">
        <f>VLOOKUP(A1629,'Componentes APUs'!$S$1:$V$10,2,0)</f>
        <v>Templadoras</v>
      </c>
      <c r="C1629" s="220"/>
      <c r="D1629" s="50" t="s">
        <v>18</v>
      </c>
      <c r="E1629" s="50">
        <v>0</v>
      </c>
      <c r="F1629" s="51">
        <f>VLOOKUP(A1629,'Componentes APUs'!$S$1:$V$10,4,0)</f>
        <v>250000</v>
      </c>
      <c r="G1629" s="51">
        <f>ROUNDUP(F1629*((E1629/21)/E1603),0)</f>
        <v>0</v>
      </c>
    </row>
    <row r="1630" spans="1:9" x14ac:dyDescent="0.25">
      <c r="A1630" s="50" t="s">
        <v>328</v>
      </c>
      <c r="B1630" s="220" t="str">
        <f>VLOOKUP(A1630,'Componentes APUs'!$S$1:$V$10,2,0)</f>
        <v>Herramienta Menor</v>
      </c>
      <c r="C1630" s="220"/>
      <c r="D1630" s="50" t="s">
        <v>18</v>
      </c>
      <c r="E1630" s="50">
        <v>3</v>
      </c>
      <c r="F1630" s="51">
        <f>VLOOKUP(A1630,'Componentes APUs'!$S$1:$V$10,4,0)</f>
        <v>75758</v>
      </c>
      <c r="G1630" s="51">
        <f>ROUNDUP(F1630*((E1630/21)/E1603),0)</f>
        <v>6367</v>
      </c>
    </row>
    <row r="1631" spans="1:9" x14ac:dyDescent="0.25">
      <c r="A1631" s="219" t="s">
        <v>69</v>
      </c>
      <c r="B1631" s="219"/>
      <c r="C1631" s="219"/>
      <c r="D1631" s="219"/>
      <c r="E1631" s="219"/>
      <c r="F1631" s="219"/>
      <c r="G1631" s="52">
        <f>SUM(G1625:G1630)</f>
        <v>6367</v>
      </c>
    </row>
    <row r="1632" spans="1:9" x14ac:dyDescent="0.25">
      <c r="A1632" s="56"/>
      <c r="B1632" s="57"/>
      <c r="C1632" s="57"/>
      <c r="D1632" s="57"/>
      <c r="E1632" s="57"/>
      <c r="F1632" s="57"/>
      <c r="G1632" s="58"/>
    </row>
    <row r="1633" spans="1:9" x14ac:dyDescent="0.25">
      <c r="A1633" s="219" t="s">
        <v>70</v>
      </c>
      <c r="B1633" s="219"/>
      <c r="C1633" s="219"/>
      <c r="D1633" s="219"/>
      <c r="E1633" s="219"/>
      <c r="F1633" s="219"/>
      <c r="G1633" s="219"/>
    </row>
    <row r="1634" spans="1:9" x14ac:dyDescent="0.25">
      <c r="A1634" s="49" t="s">
        <v>35</v>
      </c>
      <c r="B1634" s="219" t="s">
        <v>36</v>
      </c>
      <c r="C1634" s="219"/>
      <c r="D1634" s="49" t="s">
        <v>37</v>
      </c>
      <c r="E1634" s="49" t="s">
        <v>38</v>
      </c>
      <c r="F1634" s="49" t="s">
        <v>39</v>
      </c>
      <c r="G1634" s="49" t="s">
        <v>40</v>
      </c>
    </row>
    <row r="1635" spans="1:9" x14ac:dyDescent="0.25">
      <c r="A1635" s="50" t="s">
        <v>71</v>
      </c>
      <c r="B1635" s="71" t="str">
        <f>VLOOKUP(A1635,'Componentes APUs'!$A$1:$D$14,2,0)</f>
        <v>Camisa indigo sin partes metalicas</v>
      </c>
      <c r="C1635" s="71"/>
      <c r="D1635" s="50" t="str">
        <f>VLOOKUP(A1635,'Componentes APUs'!$A$1:$D$14,3,0)</f>
        <v>U</v>
      </c>
      <c r="E1635" s="50">
        <f>SUM(C1615:C1620)</f>
        <v>3.75</v>
      </c>
      <c r="F1635" s="51">
        <f>VLOOKUP(A1635,'Componentes APUs'!$A$1:$D$14,4,0)</f>
        <v>8585.8585858585866</v>
      </c>
      <c r="G1635" s="51">
        <f>ROUNDUP(F1635*(E1635/21)/E1603,0)</f>
        <v>902</v>
      </c>
      <c r="I1635" s="91"/>
    </row>
    <row r="1636" spans="1:9" x14ac:dyDescent="0.25">
      <c r="A1636" s="69" t="s">
        <v>73</v>
      </c>
      <c r="B1636" s="72" t="str">
        <f>VLOOKUP(A1636,'Componentes APUs'!$A$1:$D$14,2,0)</f>
        <v>Bota de seguridad dielectrica</v>
      </c>
      <c r="C1636" s="73"/>
      <c r="D1636" s="70" t="str">
        <f>VLOOKUP(A1636,'Componentes APUs'!$A$1:$D$14,3,0)</f>
        <v>Par</v>
      </c>
      <c r="E1636" s="50">
        <f>SUM(C1615:C1620)</f>
        <v>3.75</v>
      </c>
      <c r="F1636" s="51">
        <f>VLOOKUP(A1636,'Componentes APUs'!$A$1:$D$14,4,0)</f>
        <v>7500</v>
      </c>
      <c r="G1636" s="51">
        <f>ROUNDUP(F1636*(E1636/21)/E1603,0)</f>
        <v>788</v>
      </c>
    </row>
    <row r="1637" spans="1:9" x14ac:dyDescent="0.25">
      <c r="A1637" s="50" t="s">
        <v>76</v>
      </c>
      <c r="B1637" s="72" t="str">
        <f>VLOOKUP(A1637,'Componentes APUs'!$A$1:$D$14,2,0)</f>
        <v>Casco dielectrico Tipo 1 Clase E con barbuquejo</v>
      </c>
      <c r="C1637" s="73"/>
      <c r="D1637" s="50" t="str">
        <f>VLOOKUP(A1637,'Componentes APUs'!$A$1:$D$14,3,0)</f>
        <v>U</v>
      </c>
      <c r="E1637" s="50">
        <f>C1615+C1616+C1618+C1619+C1620+IF(A1617&lt;&gt;"MO-3",C1617,0)</f>
        <v>3.75</v>
      </c>
      <c r="F1637" s="51">
        <f>VLOOKUP(A1637,'Componentes APUs'!$A$1:$D$14,4,0)</f>
        <v>10101.010101010101</v>
      </c>
      <c r="G1637" s="51">
        <f>ROUNDUP(F1637*(E1637/21)/E1603,0)</f>
        <v>1062</v>
      </c>
    </row>
    <row r="1638" spans="1:9" x14ac:dyDescent="0.25">
      <c r="A1638" s="69" t="s">
        <v>77</v>
      </c>
      <c r="B1638" s="72" t="str">
        <f>VLOOKUP(A1638,'Componentes APUs'!$A$1:$D$14,2,0)</f>
        <v>Correa plastica y antiflama</v>
      </c>
      <c r="C1638" s="73"/>
      <c r="D1638" s="50" t="str">
        <f>VLOOKUP(A1638,'Componentes APUs'!$A$1:$D$14,3,0)</f>
        <v>U</v>
      </c>
      <c r="E1638" s="50">
        <f>SUM(C1615:C1620)</f>
        <v>3.75</v>
      </c>
      <c r="F1638" s="51">
        <f>VLOOKUP(A1638,'Componentes APUs'!$A$1:$D$14,4,0)</f>
        <v>3787.878787878788</v>
      </c>
      <c r="G1638" s="51">
        <f>ROUNDUP(F1638*(E1638/21)/E1603,0)</f>
        <v>398</v>
      </c>
    </row>
    <row r="1639" spans="1:9" x14ac:dyDescent="0.25">
      <c r="A1639" s="50" t="s">
        <v>79</v>
      </c>
      <c r="B1639" s="72" t="str">
        <f>VLOOKUP(A1639,'Componentes APUs'!$A$1:$D$14,2,0)</f>
        <v>Gafas protectoras filtro UV</v>
      </c>
      <c r="C1639" s="73"/>
      <c r="D1639" s="50" t="str">
        <f>VLOOKUP(A1639,'Componentes APUs'!$A$1:$D$14,3,0)</f>
        <v>U</v>
      </c>
      <c r="E1639" s="50">
        <f>SUM(C1615:C1620)</f>
        <v>3.75</v>
      </c>
      <c r="F1639" s="51">
        <f>VLOOKUP(A1639,'Componentes APUs'!$A$1:$D$14,4,0)</f>
        <v>2777.7777777777778</v>
      </c>
      <c r="G1639" s="51">
        <f>ROUNDUP(F1639*(E1639/21)/E1603,0)</f>
        <v>292</v>
      </c>
    </row>
    <row r="1640" spans="1:9" x14ac:dyDescent="0.25">
      <c r="A1640" s="69" t="s">
        <v>402</v>
      </c>
      <c r="B1640" s="72" t="str">
        <f>VLOOKUP(A1640,'Componentes APUs'!$A$1:$D$14,2,0)</f>
        <v>Bota de seguridad PVC dielectrica</v>
      </c>
      <c r="C1640" s="73"/>
      <c r="D1640" s="50" t="str">
        <f>VLOOKUP(A1640,'Componentes APUs'!$A$1:$D$14,3,0)</f>
        <v>Par</v>
      </c>
      <c r="E1640" s="50">
        <f>SUM(C1615:C1620)</f>
        <v>3.75</v>
      </c>
      <c r="F1640" s="51">
        <f>VLOOKUP(A1640,'Componentes APUs'!$A$1:$D$14,4,0)</f>
        <v>2916.6666666666665</v>
      </c>
      <c r="G1640" s="51">
        <f>ROUNDUP(F1640*(E1640/21)/E1603,0)</f>
        <v>307</v>
      </c>
    </row>
    <row r="1641" spans="1:9" x14ac:dyDescent="0.25">
      <c r="A1641" s="50" t="s">
        <v>403</v>
      </c>
      <c r="B1641" s="72" t="str">
        <f>VLOOKUP(A1641,'Componentes APUs'!$A$1:$D$14,2,0)</f>
        <v>Capuchon</v>
      </c>
      <c r="C1641" s="73"/>
      <c r="D1641" s="50" t="str">
        <f>VLOOKUP(A1641,'Componentes APUs'!$A$1:$D$14,3,0)</f>
        <v>U</v>
      </c>
      <c r="E1641" s="50">
        <f>SUM(C1615:C1620)</f>
        <v>3.75</v>
      </c>
      <c r="F1641" s="51">
        <f>VLOOKUP(A1641,'Componentes APUs'!$A$1:$D$14,4,0)</f>
        <v>2525.2525252525252</v>
      </c>
      <c r="G1641" s="51">
        <f>ROUNDUP(F1641*(E1641/21)/E1603,0)</f>
        <v>266</v>
      </c>
    </row>
    <row r="1642" spans="1:9" x14ac:dyDescent="0.25">
      <c r="A1642" s="69" t="s">
        <v>81</v>
      </c>
      <c r="B1642" s="72" t="str">
        <f>VLOOKUP(A1642,'Componentes APUs'!$A$1:$D$14,2,0)</f>
        <v>Guantes Protectores  - ingeniero reforzados</v>
      </c>
      <c r="C1642" s="73"/>
      <c r="D1642" s="50" t="str">
        <f>VLOOKUP(A1642,'Componentes APUs'!$A$1:$D$14,3,0)</f>
        <v>Par</v>
      </c>
      <c r="E1642" s="50">
        <f>C1617+C1618+C1620</f>
        <v>3.25</v>
      </c>
      <c r="F1642" s="51">
        <f>VLOOKUP(A1642,'Componentes APUs'!$A$1:$D$14,4,0)</f>
        <v>2525.2525252525252</v>
      </c>
      <c r="G1642" s="51">
        <f>ROUNDUP(F1642*(E1642/21)/E1603,0)</f>
        <v>230</v>
      </c>
    </row>
    <row r="1643" spans="1:9" x14ac:dyDescent="0.25">
      <c r="A1643" s="50" t="s">
        <v>83</v>
      </c>
      <c r="B1643" s="72" t="str">
        <f>VLOOKUP(A1643,'Componentes APUs'!$A$1:$D$14,2,0)</f>
        <v>Impermeable (pantalon camisa)</v>
      </c>
      <c r="C1643" s="73"/>
      <c r="D1643" s="50" t="str">
        <f>VLOOKUP(A1643,'Componentes APUs'!$A$1:$D$14,3,0)</f>
        <v>U</v>
      </c>
      <c r="E1643" s="50">
        <f>SUM(C1615:C1620)</f>
        <v>3.75</v>
      </c>
      <c r="F1643" s="51">
        <f>VLOOKUP(A1643,'Componentes APUs'!$A$1:$D$14,4,0)</f>
        <v>3750</v>
      </c>
      <c r="G1643" s="51">
        <f>ROUNDUP(F1643*(E1643/21)/E1603,0)</f>
        <v>394</v>
      </c>
    </row>
    <row r="1644" spans="1:9" x14ac:dyDescent="0.25">
      <c r="A1644" s="69" t="s">
        <v>85</v>
      </c>
      <c r="B1644" s="72" t="str">
        <f>VLOOKUP(A1644,'Componentes APUs'!$A$1:$D$14,2,0)</f>
        <v>Jean Dielectrico</v>
      </c>
      <c r="C1644" s="73"/>
      <c r="D1644" s="50" t="str">
        <f>VLOOKUP(A1644,'Componentes APUs'!$A$1:$D$14,3,0)</f>
        <v>U</v>
      </c>
      <c r="E1644" s="50">
        <f>SUM(C1615:C1620)</f>
        <v>3.75</v>
      </c>
      <c r="F1644" s="51">
        <f>VLOOKUP(A1644,'Componentes APUs'!$A$1:$D$14,4,0)</f>
        <v>7575.757575757576</v>
      </c>
      <c r="G1644" s="51">
        <f>ROUNDUP(F1644*(E1644/21)/E1603,0)</f>
        <v>796</v>
      </c>
    </row>
    <row r="1645" spans="1:9" x14ac:dyDescent="0.25">
      <c r="A1645" s="50" t="s">
        <v>87</v>
      </c>
      <c r="B1645" s="72" t="str">
        <f>VLOOKUP(A1645,'Componentes APUs'!$A$1:$D$14,2,0)</f>
        <v>Casco dielectrico Tipo 2 Clase E con barboquejo</v>
      </c>
      <c r="C1645" s="73"/>
      <c r="D1645" s="50" t="str">
        <f>VLOOKUP(A1645,'Componentes APUs'!$A$1:$D$14,3,0)</f>
        <v>U</v>
      </c>
      <c r="E1645" s="53">
        <f>IF(A1617="MO-3",C1617,0)</f>
        <v>0</v>
      </c>
      <c r="F1645" s="51">
        <f>VLOOKUP(A1645,'Componentes APUs'!$A$1:$D$14,4,0)</f>
        <v>7500</v>
      </c>
      <c r="G1645" s="51">
        <f>ROUNDUP(F1645*(E1645/21)/E1603,0)</f>
        <v>0</v>
      </c>
    </row>
    <row r="1646" spans="1:9" x14ac:dyDescent="0.25">
      <c r="A1646" s="69" t="s">
        <v>89</v>
      </c>
      <c r="B1646" s="72" t="str">
        <f>VLOOKUP(A1646,'Componentes APUs'!$A$1:$D$14,2,0)</f>
        <v>Kit de rescate para trabajo en alturas</v>
      </c>
      <c r="C1646" s="73"/>
      <c r="D1646" s="50" t="str">
        <f>VLOOKUP(A1646,'Componentes APUs'!$A$1:$D$14,3,0)</f>
        <v>U</v>
      </c>
      <c r="E1646" s="50">
        <f>IF(AND(A1617="MO-3",C1617=2),1,0)</f>
        <v>0</v>
      </c>
      <c r="F1646" s="51">
        <f>VLOOKUP(A1646,'Componentes APUs'!$A$1:$D$14,4,0)</f>
        <v>37500</v>
      </c>
      <c r="G1646" s="51">
        <f>ROUNDUP(F1646*(E1646/21)/E1603,0)</f>
        <v>0</v>
      </c>
    </row>
    <row r="1647" spans="1:9" x14ac:dyDescent="0.25">
      <c r="A1647" s="50" t="s">
        <v>91</v>
      </c>
      <c r="B1647" s="72" t="str">
        <f>VLOOKUP(A1647,'Componentes APUs'!$A$1:$D$14,2,0)</f>
        <v>Equipo completo para trabajo en alturas con pretales (Arnes dielectrico, 1 mosqueton de seguridad, tie off dielectrico, eslinga de posicionamiento, juego de pretales)</v>
      </c>
      <c r="C1647" s="73"/>
      <c r="D1647" s="50" t="str">
        <f>VLOOKUP(A1647,'Componentes APUs'!$A$1:$D$14,3,0)</f>
        <v>U</v>
      </c>
      <c r="E1647" s="50">
        <f>IF(A1617="MO-3",C1617,0)</f>
        <v>0</v>
      </c>
      <c r="F1647" s="51">
        <f>VLOOKUP(A1647,'Componentes APUs'!$A$1:$D$14,4,0)</f>
        <v>26041.666666666668</v>
      </c>
      <c r="G1647" s="51">
        <f>ROUNDUP(F1647*(E1647/21)/E1603,0)</f>
        <v>0</v>
      </c>
    </row>
    <row r="1648" spans="1:9" x14ac:dyDescent="0.25">
      <c r="A1648" s="219" t="s">
        <v>95</v>
      </c>
      <c r="B1648" s="219"/>
      <c r="C1648" s="219"/>
      <c r="D1648" s="219"/>
      <c r="E1648" s="219"/>
      <c r="F1648" s="219"/>
      <c r="G1648" s="52">
        <f>SUM(G1635:G1647)</f>
        <v>5435</v>
      </c>
    </row>
    <row r="1649" spans="1:7" x14ac:dyDescent="0.25">
      <c r="A1649" s="56"/>
      <c r="B1649" s="57"/>
      <c r="C1649" s="57"/>
      <c r="D1649" s="57"/>
      <c r="E1649" s="57"/>
      <c r="F1649" s="57"/>
      <c r="G1649" s="58"/>
    </row>
    <row r="1650" spans="1:7" x14ac:dyDescent="0.25">
      <c r="A1650" s="219" t="s">
        <v>96</v>
      </c>
      <c r="B1650" s="219"/>
      <c r="C1650" s="219"/>
      <c r="D1650" s="219"/>
      <c r="E1650" s="219"/>
      <c r="F1650" s="219"/>
      <c r="G1650" s="219"/>
    </row>
    <row r="1651" spans="1:7" x14ac:dyDescent="0.25">
      <c r="A1651" s="49" t="s">
        <v>35</v>
      </c>
      <c r="B1651" s="225" t="s">
        <v>36</v>
      </c>
      <c r="C1651" s="225"/>
      <c r="D1651" s="49" t="s">
        <v>37</v>
      </c>
      <c r="E1651" s="49" t="s">
        <v>38</v>
      </c>
      <c r="F1651" s="49" t="s">
        <v>39</v>
      </c>
      <c r="G1651" s="49" t="s">
        <v>40</v>
      </c>
    </row>
    <row r="1652" spans="1:7" x14ac:dyDescent="0.25">
      <c r="A1652" s="69" t="s">
        <v>97</v>
      </c>
      <c r="B1652" s="72" t="str">
        <f>VLOOKUP(A1652,'Componentes APUs'!$N$1:$Q$30,2,0)</f>
        <v>Camioneta</v>
      </c>
      <c r="C1652" s="73"/>
      <c r="D1652" s="70" t="str">
        <f>VLOOKUP(A1652,'Componentes APUs'!$N$1:$Q$30,3,0)</f>
        <v>U</v>
      </c>
      <c r="E1652" s="50">
        <v>1</v>
      </c>
      <c r="F1652" s="51">
        <f>VLOOKUP(A1652,'Componentes APUs'!$N$1:$Q$30,4,0)</f>
        <v>5500000</v>
      </c>
      <c r="G1652" s="51">
        <f>IFERROR(ROUNDUP(F1652*(E1652/21)/E1603,0),"-")</f>
        <v>154062</v>
      </c>
    </row>
    <row r="1653" spans="1:7" x14ac:dyDescent="0.25">
      <c r="A1653" s="50" t="s">
        <v>321</v>
      </c>
      <c r="B1653" s="72" t="str">
        <f>VLOOKUP(A1653,'Componentes APUs'!$N$1:$Q$30,2,0)</f>
        <v>Grúa Hidráulica</v>
      </c>
      <c r="C1653" s="73"/>
      <c r="D1653" s="70" t="str">
        <f>VLOOKUP(A1653,'Componentes APUs'!$N$1:$Q$30,3,0)</f>
        <v>U</v>
      </c>
      <c r="E1653" s="50">
        <v>0</v>
      </c>
      <c r="F1653" s="51">
        <f>VLOOKUP(A1653,'Componentes APUs'!$N$1:$Q$30,4,0)</f>
        <v>21000000</v>
      </c>
      <c r="G1653" s="51">
        <f>IFERROR(ROUNDUP(F1653*(E1653/21)/E1603,0),"-")</f>
        <v>0</v>
      </c>
    </row>
    <row r="1654" spans="1:7" x14ac:dyDescent="0.25">
      <c r="A1654" s="69" t="s">
        <v>1379</v>
      </c>
      <c r="B1654" s="72" t="str">
        <f>VLOOKUP(A1654,'Componentes APUs'!$N$1:$Q$30,2,0)</f>
        <v>Dumper de descarga Frontal 2T</v>
      </c>
      <c r="C1654" s="73"/>
      <c r="D1654" s="70" t="str">
        <f>VLOOKUP(A1654,'Componentes APUs'!$N$1:$Q$30,3,0)</f>
        <v>U</v>
      </c>
      <c r="E1654" s="50">
        <v>0</v>
      </c>
      <c r="F1654" s="51">
        <f>VLOOKUP(A1654,'Componentes APUs'!$N$1:$Q$30,4,0)</f>
        <v>4438716.24</v>
      </c>
      <c r="G1654" s="51">
        <f>IFERROR(ROUNDUP(F1654*(E1654/21)/E1603,0),"-")</f>
        <v>0</v>
      </c>
    </row>
    <row r="1655" spans="1:7" x14ac:dyDescent="0.25">
      <c r="A1655" s="50" t="s">
        <v>323</v>
      </c>
      <c r="B1655" s="72" t="str">
        <f>VLOOKUP(A1655,'Componentes APUs'!$N$1:$Q$30,2,0)</f>
        <v>Volqueta</v>
      </c>
      <c r="C1655" s="73"/>
      <c r="D1655" s="70" t="str">
        <f>VLOOKUP(A1655,'Componentes APUs'!$N$1:$Q$30,3,0)</f>
        <v>U</v>
      </c>
      <c r="E1655" s="50">
        <v>0</v>
      </c>
      <c r="F1655" s="51">
        <f>VLOOKUP(A1655,'Componentes APUs'!$N$1:$Q$30,4,0)</f>
        <v>14828184</v>
      </c>
      <c r="G1655" s="51">
        <f>IFERROR(ROUNDUP(F1655*(E1655/21)/E1603,0),"-")</f>
        <v>0</v>
      </c>
    </row>
    <row r="1656" spans="1:7" x14ac:dyDescent="0.25">
      <c r="A1656" s="69" t="s">
        <v>324</v>
      </c>
      <c r="B1656" s="72" t="str">
        <f>VLOOKUP(A1656,'Componentes APUs'!$N$1:$Q$30,2,0)</f>
        <v>Retroexcavadora</v>
      </c>
      <c r="C1656" s="73"/>
      <c r="D1656" s="70" t="str">
        <f>VLOOKUP(A1656,'Componentes APUs'!$N$1:$Q$30,3,0)</f>
        <v>U</v>
      </c>
      <c r="E1656" s="50">
        <v>0</v>
      </c>
      <c r="F1656" s="51">
        <f>VLOOKUP(A1656,'Componentes APUs'!$N$1:$Q$30,4,0)</f>
        <v>46030656</v>
      </c>
      <c r="G1656" s="51">
        <f>IFERROR(ROUNDUP(F1656*(E1656/21)/E1603,0),"-")</f>
        <v>0</v>
      </c>
    </row>
    <row r="1657" spans="1:7" x14ac:dyDescent="0.25">
      <c r="A1657" s="219" t="s">
        <v>99</v>
      </c>
      <c r="B1657" s="219"/>
      <c r="C1657" s="219"/>
      <c r="D1657" s="219"/>
      <c r="E1657" s="219"/>
      <c r="F1657" s="219"/>
      <c r="G1657" s="52">
        <f>SUM(G1652:G1656)</f>
        <v>154062</v>
      </c>
    </row>
    <row r="1658" spans="1:7" x14ac:dyDescent="0.25">
      <c r="A1658" s="56"/>
      <c r="B1658" s="57"/>
      <c r="C1658" s="57"/>
      <c r="D1658" s="57"/>
      <c r="E1658" s="57"/>
      <c r="F1658" s="57"/>
      <c r="G1658" s="58"/>
    </row>
    <row r="1659" spans="1:7" x14ac:dyDescent="0.25">
      <c r="A1659" s="219" t="s">
        <v>1516</v>
      </c>
      <c r="B1659" s="219"/>
      <c r="C1659" s="219"/>
      <c r="D1659" s="219"/>
      <c r="E1659" s="219"/>
      <c r="F1659" s="219"/>
      <c r="G1659" s="52">
        <f>G1657+G1648+G1631+G1621+G1611</f>
        <v>3014100</v>
      </c>
    </row>
    <row r="1660" spans="1:7" x14ac:dyDescent="0.25">
      <c r="A1660" s="59"/>
      <c r="B1660" s="60"/>
      <c r="C1660" s="60"/>
      <c r="D1660" s="60"/>
      <c r="E1660" s="57"/>
      <c r="F1660" s="57"/>
      <c r="G1660" s="58"/>
    </row>
    <row r="1661" spans="1:7" x14ac:dyDescent="0.25">
      <c r="A1661" s="64"/>
      <c r="D1661" s="55"/>
      <c r="E1661" s="49" t="s">
        <v>25</v>
      </c>
      <c r="F1661" s="54">
        <v>0.15</v>
      </c>
      <c r="G1661" s="51">
        <f>G1659*F1661</f>
        <v>452115</v>
      </c>
    </row>
    <row r="1662" spans="1:7" x14ac:dyDescent="0.25">
      <c r="A1662" s="64"/>
      <c r="D1662" s="55"/>
      <c r="E1662" s="49" t="s">
        <v>26</v>
      </c>
      <c r="F1662" s="54">
        <v>0.05</v>
      </c>
      <c r="G1662" s="51">
        <f>G1659*F1662</f>
        <v>150705</v>
      </c>
    </row>
    <row r="1663" spans="1:7" x14ac:dyDescent="0.25">
      <c r="A1663" s="61"/>
      <c r="B1663" s="65"/>
      <c r="C1663" s="65"/>
      <c r="D1663" s="62"/>
      <c r="E1663" s="49" t="s">
        <v>27</v>
      </c>
      <c r="F1663" s="54">
        <v>0.05</v>
      </c>
      <c r="G1663" s="51">
        <f>G1659*F1663</f>
        <v>150705</v>
      </c>
    </row>
    <row r="1664" spans="1:7" x14ac:dyDescent="0.25">
      <c r="A1664" s="61"/>
      <c r="B1664" s="62"/>
      <c r="C1664" s="62"/>
      <c r="D1664" s="62"/>
      <c r="E1664" s="62"/>
      <c r="F1664" s="62"/>
      <c r="G1664" s="63"/>
    </row>
    <row r="1665" spans="1:9" x14ac:dyDescent="0.25">
      <c r="A1665" s="219" t="s">
        <v>1517</v>
      </c>
      <c r="B1665" s="219"/>
      <c r="C1665" s="219"/>
      <c r="D1665" s="219"/>
      <c r="E1665" s="219"/>
      <c r="F1665" s="219"/>
      <c r="G1665" s="52">
        <f>G1659+G1661+G1662+G1663</f>
        <v>3767625</v>
      </c>
    </row>
    <row r="1666" spans="1:9" x14ac:dyDescent="0.25">
      <c r="A1666" s="59"/>
      <c r="B1666" s="60"/>
      <c r="C1666" s="60"/>
      <c r="D1666" s="60"/>
      <c r="E1666" s="57"/>
      <c r="F1666" s="57"/>
      <c r="G1666" s="58"/>
    </row>
    <row r="1667" spans="1:9" x14ac:dyDescent="0.25">
      <c r="A1667" s="64"/>
      <c r="D1667" s="55"/>
      <c r="E1667" s="49" t="s">
        <v>102</v>
      </c>
      <c r="F1667" s="49" t="s">
        <v>103</v>
      </c>
      <c r="G1667" s="51">
        <f>G1663*19%</f>
        <v>28633.95</v>
      </c>
    </row>
    <row r="1668" spans="1:9" x14ac:dyDescent="0.25">
      <c r="A1668" s="61"/>
      <c r="B1668" s="62"/>
      <c r="C1668" s="62"/>
      <c r="D1668" s="62"/>
      <c r="E1668" s="57"/>
      <c r="F1668" s="57"/>
      <c r="G1668" s="58"/>
    </row>
    <row r="1669" spans="1:9" x14ac:dyDescent="0.25">
      <c r="A1669" s="219" t="s">
        <v>104</v>
      </c>
      <c r="B1669" s="219"/>
      <c r="C1669" s="219"/>
      <c r="D1669" s="219"/>
      <c r="E1669" s="219"/>
      <c r="F1669" s="219"/>
      <c r="G1669" s="52">
        <f>G1667+G1665</f>
        <v>3796258.95</v>
      </c>
    </row>
    <row r="1671" spans="1:9" x14ac:dyDescent="0.25">
      <c r="A1671" s="74" t="s">
        <v>29</v>
      </c>
      <c r="B1671" s="226" t="s">
        <v>30</v>
      </c>
      <c r="C1671" s="226"/>
      <c r="D1671" s="74" t="s">
        <v>31</v>
      </c>
      <c r="E1671" s="74" t="s">
        <v>32</v>
      </c>
      <c r="F1671" s="74" t="s">
        <v>189</v>
      </c>
      <c r="G1671" s="74" t="s">
        <v>33</v>
      </c>
      <c r="H1671" s="105"/>
    </row>
    <row r="1672" spans="1:9" ht="24" customHeight="1" x14ac:dyDescent="0.25">
      <c r="A1672" s="50" t="str">
        <f>Presupuesto!B34</f>
        <v>026_OC</v>
      </c>
      <c r="B1672" s="229" t="str">
        <f>Presupuesto!C34</f>
        <v>CAJA DE INSPECCIÓN (NORMA EH RSS-041-2) - 13,8 Kv. INCLUYE EXCAVACIÓN</v>
      </c>
      <c r="C1672" s="230"/>
      <c r="D1672" s="50" t="s">
        <v>8</v>
      </c>
      <c r="E1672" s="107">
        <v>0.75</v>
      </c>
      <c r="F1672" s="50"/>
      <c r="G1672" s="51">
        <f>G1738</f>
        <v>5937364.8674999997</v>
      </c>
      <c r="H1672" s="45"/>
    </row>
    <row r="1673" spans="1:9" x14ac:dyDescent="0.25">
      <c r="A1673" s="219" t="s">
        <v>34</v>
      </c>
      <c r="B1673" s="219"/>
      <c r="C1673" s="219"/>
      <c r="D1673" s="219"/>
      <c r="E1673" s="219"/>
      <c r="F1673" s="219"/>
      <c r="G1673" s="219"/>
    </row>
    <row r="1674" spans="1:9" x14ac:dyDescent="0.25">
      <c r="A1674" s="49" t="s">
        <v>35</v>
      </c>
      <c r="B1674" s="219" t="s">
        <v>36</v>
      </c>
      <c r="C1674" s="219"/>
      <c r="D1674" s="49" t="s">
        <v>37</v>
      </c>
      <c r="E1674" s="49" t="s">
        <v>38</v>
      </c>
      <c r="F1674" s="49" t="s">
        <v>39</v>
      </c>
      <c r="G1674" s="49" t="s">
        <v>40</v>
      </c>
    </row>
    <row r="1675" spans="1:9" x14ac:dyDescent="0.25">
      <c r="A1675" s="50" t="str">
        <f>Material!A15</f>
        <v>MA-14</v>
      </c>
      <c r="B1675" s="72" t="str">
        <f>IFERROR(VLOOKUP(A1675,Material!$A:$H,2,0),"-")</f>
        <v>CONCRETO DE 3000 PSI</v>
      </c>
      <c r="C1675" s="76"/>
      <c r="D1675" s="50" t="str">
        <f>IFERROR(VLOOKUP(A1675,Material!$A:$H,4,0),"-")</f>
        <v>M3</v>
      </c>
      <c r="E1675" s="107">
        <f>(2.3-1.35)*1.2</f>
        <v>1.1399999999999997</v>
      </c>
      <c r="F1675" s="51">
        <f>IFERROR(VLOOKUP(A1675,Material!$A:$H,3,0),"-")</f>
        <v>620227.23330691375</v>
      </c>
      <c r="G1675" s="51">
        <f t="shared" ref="G1675:G1679" si="21">IFERROR(ROUNDUP(F1675*E1675,0),"-")</f>
        <v>707060</v>
      </c>
      <c r="H1675" s="92"/>
    </row>
    <row r="1676" spans="1:9" x14ac:dyDescent="0.25">
      <c r="A1676" s="50" t="str">
        <f>Material!A597</f>
        <v>MA-596</v>
      </c>
      <c r="B1676" s="72" t="str">
        <f>IFERROR(VLOOKUP(A1676,Material!$A:$H,2,0),"-")</f>
        <v>ACERO DE REFUERZO FIGURADO</v>
      </c>
      <c r="C1676" s="76"/>
      <c r="D1676" s="50" t="str">
        <f>IFERROR(VLOOKUP(A1676,Material!$A:$H,4,0),"-")</f>
        <v>kG</v>
      </c>
      <c r="E1676" s="107">
        <f>200*E1675</f>
        <v>227.99999999999994</v>
      </c>
      <c r="F1676" s="51">
        <f>IFERROR(VLOOKUP(A1676,Material!$A:$H,3,0),"-")</f>
        <v>5106.4000000000005</v>
      </c>
      <c r="G1676" s="51">
        <f t="shared" si="21"/>
        <v>1164260</v>
      </c>
      <c r="H1676" s="106"/>
    </row>
    <row r="1677" spans="1:9" x14ac:dyDescent="0.25">
      <c r="A1677" s="50" t="str">
        <f>Material!A218</f>
        <v>MA-217</v>
      </c>
      <c r="B1677" s="72" t="str">
        <f>IFERROR(VLOOKUP(A1677,Material!$A:$H,2,0),"-")</f>
        <v>FORMALETA EN MADERA CON TABLA DE 1"</v>
      </c>
      <c r="C1677" s="76"/>
      <c r="D1677" s="50" t="str">
        <f>IFERROR(VLOOKUP(A1677,Material!$A:$H,4,0),"-")</f>
        <v>M2</v>
      </c>
      <c r="E1677" s="53">
        <f>6.12*1.2+5.4*1.2</f>
        <v>13.824</v>
      </c>
      <c r="F1677" s="51">
        <f>IFERROR(VLOOKUP(A1677,Material!$A:$H,3,0),"-")</f>
        <v>24691.116165303549</v>
      </c>
      <c r="G1677" s="51">
        <f t="shared" si="21"/>
        <v>341330</v>
      </c>
      <c r="H1677" s="106"/>
    </row>
    <row r="1678" spans="1:9" ht="28.5" customHeight="1" x14ac:dyDescent="0.25">
      <c r="A1678" s="50" t="str">
        <f>Material!A598</f>
        <v>MA-597</v>
      </c>
      <c r="B1678" s="232" t="str">
        <f>IFERROR(VLOOKUP(A1678,Material!$A:$H,2,0),"-")</f>
        <v>MARCO Y TAPA METÁLICOS EN ANGULO Y PLATINA DE 2 1/2 x  3 /16 (1,09 x 0,935)</v>
      </c>
      <c r="C1678" s="233"/>
      <c r="D1678" s="50" t="str">
        <f>IFERROR(VLOOKUP(A1678,Material!$A:$H,4,0),"-")</f>
        <v>UN</v>
      </c>
      <c r="E1678" s="107">
        <v>2</v>
      </c>
      <c r="F1678" s="51">
        <f>IFERROR(VLOOKUP(A1678,Material!$A:$H,3,0),"-")</f>
        <v>548405</v>
      </c>
      <c r="G1678" s="51">
        <f t="shared" si="21"/>
        <v>1096810</v>
      </c>
      <c r="H1678" s="106"/>
    </row>
    <row r="1679" spans="1:9" ht="26.25" customHeight="1" x14ac:dyDescent="0.25">
      <c r="A1679" s="50" t="str">
        <f>Material!A18</f>
        <v>MA-17</v>
      </c>
      <c r="B1679" s="232" t="str">
        <f>IFERROR(VLOOKUP(A1679,Material!$A:$H,2,0),"-")</f>
        <v>EXCAVACIÓN EN MATERIAL COMÚN BAJO AGUA DE 0 - 2 M MANUAL</v>
      </c>
      <c r="C1679" s="233"/>
      <c r="D1679" s="50" t="str">
        <f>IFERROR(VLOOKUP(A1679,Material!$A:$H,4,0),"-")</f>
        <v>M3</v>
      </c>
      <c r="E1679" s="107">
        <f>2.3*1.2</f>
        <v>2.76</v>
      </c>
      <c r="F1679" s="51">
        <f>IFERROR(VLOOKUP(A1679,Material!$A:$H,3,0),"-")</f>
        <v>45663.8</v>
      </c>
      <c r="G1679" s="51">
        <f t="shared" si="21"/>
        <v>126033</v>
      </c>
      <c r="H1679" s="106"/>
    </row>
    <row r="1680" spans="1:9" x14ac:dyDescent="0.25">
      <c r="A1680" s="219" t="s">
        <v>41</v>
      </c>
      <c r="B1680" s="219"/>
      <c r="C1680" s="219"/>
      <c r="D1680" s="219"/>
      <c r="E1680" s="219"/>
      <c r="F1680" s="219"/>
      <c r="G1680" s="52">
        <f>SUM(G1675:G1679)</f>
        <v>3435493</v>
      </c>
      <c r="I1680" s="104"/>
    </row>
    <row r="1681" spans="1:9" x14ac:dyDescent="0.25">
      <c r="A1681" s="56"/>
      <c r="B1681" s="57"/>
      <c r="C1681" s="57"/>
      <c r="D1681" s="57"/>
      <c r="E1681" s="57"/>
      <c r="F1681" s="57"/>
      <c r="G1681" s="58"/>
    </row>
    <row r="1682" spans="1:9" x14ac:dyDescent="0.25">
      <c r="A1682" s="219" t="s">
        <v>42</v>
      </c>
      <c r="B1682" s="219"/>
      <c r="C1682" s="219"/>
      <c r="D1682" s="219"/>
      <c r="E1682" s="219"/>
      <c r="F1682" s="219"/>
      <c r="G1682" s="219"/>
    </row>
    <row r="1683" spans="1:9" x14ac:dyDescent="0.25">
      <c r="A1683" s="49" t="s">
        <v>35</v>
      </c>
      <c r="B1683" s="49" t="s">
        <v>36</v>
      </c>
      <c r="C1683" s="49" t="s">
        <v>38</v>
      </c>
      <c r="D1683" s="49" t="s">
        <v>43</v>
      </c>
      <c r="E1683" s="49" t="s">
        <v>44</v>
      </c>
      <c r="F1683" s="49" t="s">
        <v>45</v>
      </c>
      <c r="G1683" s="49" t="s">
        <v>40</v>
      </c>
      <c r="H1683" s="66"/>
    </row>
    <row r="1684" spans="1:9" x14ac:dyDescent="0.25">
      <c r="A1684" s="50" t="s">
        <v>319</v>
      </c>
      <c r="B1684" s="68" t="str">
        <f>VLOOKUP(A1684,'Componentes APUs'!$H$1:$L$25,2,0)</f>
        <v>Ingeniero Residente de Obra</v>
      </c>
      <c r="C1684" s="93">
        <v>0.25</v>
      </c>
      <c r="D1684" s="50">
        <f>VLOOKUP(A1684,'Componentes APUs'!$H$1:$L$25,3,0)</f>
        <v>4</v>
      </c>
      <c r="E1684" s="51">
        <f>VLOOKUP(A1684,'Componentes APUs'!$H$1:$L$25,4,0)</f>
        <v>271142.85714285716</v>
      </c>
      <c r="F1684" s="51">
        <f>VLOOKUP(A1684,'Componentes APUs'!$H$1:$L$25,5,0)</f>
        <v>162685.71428571429</v>
      </c>
      <c r="G1684" s="51">
        <f>ROUNDUP((E1684+F1684)*C1684/E1672,0)</f>
        <v>144610</v>
      </c>
      <c r="H1684" s="66"/>
    </row>
    <row r="1685" spans="1:9" x14ac:dyDescent="0.25">
      <c r="A1685" s="50" t="s">
        <v>320</v>
      </c>
      <c r="B1685" s="68" t="str">
        <f>VLOOKUP(A1685,'Componentes APUs'!$H$1:$L$25,2,0)</f>
        <v>Tecnico Supervisor</v>
      </c>
      <c r="C1685" s="93">
        <v>0</v>
      </c>
      <c r="D1685" s="50">
        <f>VLOOKUP(A1685,'Componentes APUs'!$H$1:$L$25,3,0)</f>
        <v>2.2999999999999998</v>
      </c>
      <c r="E1685" s="51">
        <f>VLOOKUP(A1685,'Componentes APUs'!$H$1:$L$25,4,0)</f>
        <v>155907.14285714284</v>
      </c>
      <c r="F1685" s="51">
        <f>VLOOKUP(A1685,'Componentes APUs'!$H$1:$L$25,5,0)</f>
        <v>93544.285714285696</v>
      </c>
      <c r="G1685" s="51">
        <f>ROUNDUP((E1685+F1685)*C1685/E1672,0)</f>
        <v>0</v>
      </c>
    </row>
    <row r="1686" spans="1:9" x14ac:dyDescent="0.25">
      <c r="A1686" s="50" t="s">
        <v>54</v>
      </c>
      <c r="B1686" s="68" t="str">
        <f>VLOOKUP(A1686,'Componentes APUs'!$H$1:$L$25,2,0)</f>
        <v>Maestro de obra civil</v>
      </c>
      <c r="C1686" s="93">
        <v>0.25</v>
      </c>
      <c r="D1686" s="50">
        <f>VLOOKUP(A1686,'Componentes APUs'!$H$1:$L$25,3,0)</f>
        <v>2.5</v>
      </c>
      <c r="E1686" s="51">
        <f>VLOOKUP(A1686,'Componentes APUs'!$H$1:$L$25,4,0)</f>
        <v>169464.28571428571</v>
      </c>
      <c r="F1686" s="51">
        <f>VLOOKUP(A1686,'Componentes APUs'!$H$1:$L$25,5,0)</f>
        <v>101678.57142857142</v>
      </c>
      <c r="G1686" s="51">
        <f>ROUNDUP((E1686+F1686)*C1686/E1672,0)</f>
        <v>90381</v>
      </c>
    </row>
    <row r="1687" spans="1:9" x14ac:dyDescent="0.25">
      <c r="A1687" s="50" t="s">
        <v>1110</v>
      </c>
      <c r="B1687" s="68" t="str">
        <f>VLOOKUP(A1687,'Componentes APUs'!$H$1:$L$25,2,0)</f>
        <v>Oficial de Obra Civil</v>
      </c>
      <c r="C1687" s="93">
        <v>1</v>
      </c>
      <c r="D1687" s="50">
        <f>VLOOKUP(A1687,'Componentes APUs'!$H$1:$L$25,3,0)</f>
        <v>1.5</v>
      </c>
      <c r="E1687" s="51">
        <f>VLOOKUP(A1687,'Componentes APUs'!$H$1:$L$25,4,0)</f>
        <v>115964.28571428571</v>
      </c>
      <c r="F1687" s="51">
        <f>VLOOKUP(A1687,'Componentes APUs'!$H$1:$L$25,5,0)</f>
        <v>69578.57142857142</v>
      </c>
      <c r="G1687" s="51">
        <f>ROUNDUP((E1687+F1687)*C1687/E1672,0)</f>
        <v>247391</v>
      </c>
    </row>
    <row r="1688" spans="1:9" x14ac:dyDescent="0.25">
      <c r="A1688" s="50" t="s">
        <v>50</v>
      </c>
      <c r="B1688" s="68" t="str">
        <f>VLOOKUP(A1688,'Componentes APUs'!$H$1:$L$25,2,0)</f>
        <v>Profesional en SST</v>
      </c>
      <c r="C1688" s="93">
        <v>0.25</v>
      </c>
      <c r="D1688" s="50">
        <f>VLOOKUP(A1688,'Componentes APUs'!$H$1:$L$25,3,0)</f>
        <v>2.5</v>
      </c>
      <c r="E1688" s="51">
        <f>VLOOKUP(A1688,'Componentes APUs'!$H$1:$L$25,4,0)</f>
        <v>169464.28571428571</v>
      </c>
      <c r="F1688" s="51">
        <f>VLOOKUP(A1688,'Componentes APUs'!$H$1:$L$25,5,0)</f>
        <v>101678.57142857142</v>
      </c>
      <c r="G1688" s="51">
        <f>ROUNDUP((E1688+F1688)*C1688/E1672,0)</f>
        <v>90381</v>
      </c>
    </row>
    <row r="1689" spans="1:9" x14ac:dyDescent="0.25">
      <c r="A1689" s="50" t="s">
        <v>1109</v>
      </c>
      <c r="B1689" s="68" t="str">
        <f>VLOOKUP(A1689,'Componentes APUs'!$H$1:$L$25,2,0)</f>
        <v>Ayudante de Obra Civil</v>
      </c>
      <c r="C1689" s="93">
        <v>2</v>
      </c>
      <c r="D1689" s="50">
        <f>VLOOKUP(A1689,'Componentes APUs'!$H$1:$L$25,3,0)</f>
        <v>1</v>
      </c>
      <c r="E1689" s="51">
        <f>VLOOKUP(A1689,'Componentes APUs'!$H$1:$L$25,4,0)</f>
        <v>77309.523809523816</v>
      </c>
      <c r="F1689" s="51">
        <f>VLOOKUP(A1689,'Componentes APUs'!$H$1:$L$25,5,0)</f>
        <v>46385.71428571429</v>
      </c>
      <c r="G1689" s="51">
        <f>ROUNDUP((E1689+F1689)*C1689/E1672,0)</f>
        <v>329854</v>
      </c>
    </row>
    <row r="1690" spans="1:9" x14ac:dyDescent="0.25">
      <c r="A1690" s="219" t="s">
        <v>56</v>
      </c>
      <c r="B1690" s="219"/>
      <c r="C1690" s="219"/>
      <c r="D1690" s="219"/>
      <c r="E1690" s="219"/>
      <c r="F1690" s="219"/>
      <c r="G1690" s="52">
        <f>SUM(G1684:G1689)</f>
        <v>902617</v>
      </c>
    </row>
    <row r="1691" spans="1:9" x14ac:dyDescent="0.25">
      <c r="A1691" s="56"/>
      <c r="B1691" s="57"/>
      <c r="C1691" s="57"/>
      <c r="D1691" s="57"/>
      <c r="E1691" s="57"/>
      <c r="F1691" s="57"/>
      <c r="G1691" s="58"/>
    </row>
    <row r="1692" spans="1:9" x14ac:dyDescent="0.25">
      <c r="A1692" s="219" t="s">
        <v>57</v>
      </c>
      <c r="B1692" s="219"/>
      <c r="C1692" s="219"/>
      <c r="D1692" s="219"/>
      <c r="E1692" s="219"/>
      <c r="F1692" s="219"/>
      <c r="G1692" s="219"/>
    </row>
    <row r="1693" spans="1:9" x14ac:dyDescent="0.25">
      <c r="A1693" s="49" t="s">
        <v>35</v>
      </c>
      <c r="B1693" s="219" t="s">
        <v>36</v>
      </c>
      <c r="C1693" s="219"/>
      <c r="D1693" s="49" t="s">
        <v>37</v>
      </c>
      <c r="E1693" s="49" t="s">
        <v>38</v>
      </c>
      <c r="F1693" s="49" t="s">
        <v>39</v>
      </c>
      <c r="G1693" s="49" t="s">
        <v>40</v>
      </c>
    </row>
    <row r="1694" spans="1:9" x14ac:dyDescent="0.25">
      <c r="A1694" s="50" t="s">
        <v>326</v>
      </c>
      <c r="B1694" s="220" t="str">
        <f>VLOOKUP(A1694,'Componentes APUs'!$S$1:$V$10,2,0)</f>
        <v>Juego Llaves</v>
      </c>
      <c r="C1694" s="220"/>
      <c r="D1694" s="50" t="s">
        <v>18</v>
      </c>
      <c r="E1694" s="50">
        <v>0</v>
      </c>
      <c r="F1694" s="51">
        <f>VLOOKUP(A1694,'Componentes APUs'!$S$1:$V$10,4,0)</f>
        <v>9167</v>
      </c>
      <c r="G1694" s="51">
        <f>ROUNDUP(F1694*((E1694/21)/E1672),0)</f>
        <v>0</v>
      </c>
      <c r="I1694" s="91"/>
    </row>
    <row r="1695" spans="1:9" x14ac:dyDescent="0.25">
      <c r="A1695" s="50" t="s">
        <v>58</v>
      </c>
      <c r="B1695" s="220" t="str">
        <f>VLOOKUP(A1695,'Componentes APUs'!$S$1:$V$10,2,0)</f>
        <v>Manila de servicio</v>
      </c>
      <c r="C1695" s="220"/>
      <c r="D1695" s="50" t="s">
        <v>18</v>
      </c>
      <c r="E1695" s="50">
        <v>0</v>
      </c>
      <c r="F1695" s="51">
        <f>VLOOKUP(A1695,'Componentes APUs'!$S$1:$V$10,4,0)</f>
        <v>2333</v>
      </c>
      <c r="G1695" s="51">
        <f>ROUNDUP(F1695*((E1695/21)/E1672),0)</f>
        <v>0</v>
      </c>
    </row>
    <row r="1696" spans="1:9" x14ac:dyDescent="0.25">
      <c r="A1696" s="50" t="s">
        <v>327</v>
      </c>
      <c r="B1696" s="220" t="str">
        <f>VLOOKUP(A1696,'Componentes APUs'!$S$1:$V$10,2,0)</f>
        <v>Tula portaherramientas</v>
      </c>
      <c r="C1696" s="220"/>
      <c r="D1696" s="50" t="s">
        <v>18</v>
      </c>
      <c r="E1696" s="50">
        <v>0</v>
      </c>
      <c r="F1696" s="51">
        <f>VLOOKUP(A1696,'Componentes APUs'!$S$1:$V$10,4,0)</f>
        <v>1250</v>
      </c>
      <c r="G1696" s="51">
        <f>ROUNDUP(F1696*((E1696/21)/E1672),0)</f>
        <v>0</v>
      </c>
    </row>
    <row r="1697" spans="1:9" x14ac:dyDescent="0.25">
      <c r="A1697" s="50" t="s">
        <v>60</v>
      </c>
      <c r="B1697" s="220" t="str">
        <f>VLOOKUP(A1697,'Componentes APUs'!$S$1:$V$10,2,0)</f>
        <v>Agarradoras</v>
      </c>
      <c r="C1697" s="220"/>
      <c r="D1697" s="50" t="s">
        <v>18</v>
      </c>
      <c r="E1697" s="50">
        <v>0</v>
      </c>
      <c r="F1697" s="51">
        <f>VLOOKUP(A1697,'Componentes APUs'!$S$1:$V$10,4,0)</f>
        <v>125000</v>
      </c>
      <c r="G1697" s="51">
        <f>ROUNDUP(F1697*((E1697/21)/E1672),0)</f>
        <v>0</v>
      </c>
    </row>
    <row r="1698" spans="1:9" x14ac:dyDescent="0.25">
      <c r="A1698" s="50" t="s">
        <v>62</v>
      </c>
      <c r="B1698" s="220" t="str">
        <f>VLOOKUP(A1698,'Componentes APUs'!$S$1:$V$10,2,0)</f>
        <v>Templadoras</v>
      </c>
      <c r="C1698" s="220"/>
      <c r="D1698" s="50" t="s">
        <v>18</v>
      </c>
      <c r="E1698" s="50">
        <v>0</v>
      </c>
      <c r="F1698" s="51">
        <f>VLOOKUP(A1698,'Componentes APUs'!$S$1:$V$10,4,0)</f>
        <v>250000</v>
      </c>
      <c r="G1698" s="51">
        <f>ROUNDUP(F1698*((E1698/21)/E1672),0)</f>
        <v>0</v>
      </c>
    </row>
    <row r="1699" spans="1:9" x14ac:dyDescent="0.25">
      <c r="A1699" s="50" t="s">
        <v>328</v>
      </c>
      <c r="B1699" s="220" t="str">
        <f>VLOOKUP(A1699,'Componentes APUs'!$S$1:$V$10,2,0)</f>
        <v>Herramienta Menor</v>
      </c>
      <c r="C1699" s="220"/>
      <c r="D1699" s="50" t="s">
        <v>18</v>
      </c>
      <c r="E1699" s="50">
        <v>3</v>
      </c>
      <c r="F1699" s="51">
        <f>VLOOKUP(A1699,'Componentes APUs'!$S$1:$V$10,4,0)</f>
        <v>75758</v>
      </c>
      <c r="G1699" s="51">
        <f>ROUNDUP(F1699*((E1699/21)/E1672),0)</f>
        <v>14431</v>
      </c>
    </row>
    <row r="1700" spans="1:9" x14ac:dyDescent="0.25">
      <c r="A1700" s="219" t="s">
        <v>69</v>
      </c>
      <c r="B1700" s="219"/>
      <c r="C1700" s="219"/>
      <c r="D1700" s="219"/>
      <c r="E1700" s="219"/>
      <c r="F1700" s="219"/>
      <c r="G1700" s="52">
        <f>SUM(G1694:G1699)</f>
        <v>14431</v>
      </c>
    </row>
    <row r="1701" spans="1:9" x14ac:dyDescent="0.25">
      <c r="A1701" s="56"/>
      <c r="B1701" s="57"/>
      <c r="C1701" s="57"/>
      <c r="D1701" s="57"/>
      <c r="E1701" s="57"/>
      <c r="F1701" s="57"/>
      <c r="G1701" s="58"/>
    </row>
    <row r="1702" spans="1:9" x14ac:dyDescent="0.25">
      <c r="A1702" s="219" t="s">
        <v>70</v>
      </c>
      <c r="B1702" s="219"/>
      <c r="C1702" s="219"/>
      <c r="D1702" s="219"/>
      <c r="E1702" s="219"/>
      <c r="F1702" s="219"/>
      <c r="G1702" s="219"/>
    </row>
    <row r="1703" spans="1:9" x14ac:dyDescent="0.25">
      <c r="A1703" s="49" t="s">
        <v>35</v>
      </c>
      <c r="B1703" s="219" t="s">
        <v>36</v>
      </c>
      <c r="C1703" s="219"/>
      <c r="D1703" s="49" t="s">
        <v>37</v>
      </c>
      <c r="E1703" s="49" t="s">
        <v>38</v>
      </c>
      <c r="F1703" s="49" t="s">
        <v>39</v>
      </c>
      <c r="G1703" s="49" t="s">
        <v>40</v>
      </c>
    </row>
    <row r="1704" spans="1:9" x14ac:dyDescent="0.25">
      <c r="A1704" s="50" t="s">
        <v>71</v>
      </c>
      <c r="B1704" s="71" t="str">
        <f>VLOOKUP(A1704,'Componentes APUs'!$A$1:$D$14,2,0)</f>
        <v>Camisa indigo sin partes metalicas</v>
      </c>
      <c r="C1704" s="71"/>
      <c r="D1704" s="50" t="str">
        <f>VLOOKUP(A1704,'Componentes APUs'!$A$1:$D$14,3,0)</f>
        <v>U</v>
      </c>
      <c r="E1704" s="50">
        <f>SUM(C1684:C1689)</f>
        <v>3.75</v>
      </c>
      <c r="F1704" s="51">
        <f>VLOOKUP(A1704,'Componentes APUs'!$A$1:$D$14,4,0)</f>
        <v>8585.8585858585866</v>
      </c>
      <c r="G1704" s="51">
        <f>ROUNDUP(F1704*(E1704/21)/E1672,0)</f>
        <v>2045</v>
      </c>
      <c r="I1704" s="91"/>
    </row>
    <row r="1705" spans="1:9" x14ac:dyDescent="0.25">
      <c r="A1705" s="69" t="s">
        <v>73</v>
      </c>
      <c r="B1705" s="72" t="str">
        <f>VLOOKUP(A1705,'Componentes APUs'!$A$1:$D$14,2,0)</f>
        <v>Bota de seguridad dielectrica</v>
      </c>
      <c r="C1705" s="73"/>
      <c r="D1705" s="70" t="str">
        <f>VLOOKUP(A1705,'Componentes APUs'!$A$1:$D$14,3,0)</f>
        <v>Par</v>
      </c>
      <c r="E1705" s="50">
        <f>SUM(C1684:C1689)</f>
        <v>3.75</v>
      </c>
      <c r="F1705" s="51">
        <f>VLOOKUP(A1705,'Componentes APUs'!$A$1:$D$14,4,0)</f>
        <v>7500</v>
      </c>
      <c r="G1705" s="51">
        <f>ROUNDUP(F1705*(E1705/21)/E1672,0)</f>
        <v>1786</v>
      </c>
    </row>
    <row r="1706" spans="1:9" x14ac:dyDescent="0.25">
      <c r="A1706" s="50" t="s">
        <v>76</v>
      </c>
      <c r="B1706" s="72" t="str">
        <f>VLOOKUP(A1706,'Componentes APUs'!$A$1:$D$14,2,0)</f>
        <v>Casco dielectrico Tipo 1 Clase E con barbuquejo</v>
      </c>
      <c r="C1706" s="73"/>
      <c r="D1706" s="50" t="str">
        <f>VLOOKUP(A1706,'Componentes APUs'!$A$1:$D$14,3,0)</f>
        <v>U</v>
      </c>
      <c r="E1706" s="50">
        <f>C1684+C1685+C1687+C1688+C1689+IF(A1686&lt;&gt;"MO-3",C1686,0)</f>
        <v>3.75</v>
      </c>
      <c r="F1706" s="51">
        <f>VLOOKUP(A1706,'Componentes APUs'!$A$1:$D$14,4,0)</f>
        <v>10101.010101010101</v>
      </c>
      <c r="G1706" s="51">
        <f>ROUNDUP(F1706*(E1706/21)/E1672,0)</f>
        <v>2406</v>
      </c>
    </row>
    <row r="1707" spans="1:9" x14ac:dyDescent="0.25">
      <c r="A1707" s="69" t="s">
        <v>77</v>
      </c>
      <c r="B1707" s="72" t="str">
        <f>VLOOKUP(A1707,'Componentes APUs'!$A$1:$D$14,2,0)</f>
        <v>Correa plastica y antiflama</v>
      </c>
      <c r="C1707" s="73"/>
      <c r="D1707" s="50" t="str">
        <f>VLOOKUP(A1707,'Componentes APUs'!$A$1:$D$14,3,0)</f>
        <v>U</v>
      </c>
      <c r="E1707" s="50">
        <f>SUM(C1684:C1689)</f>
        <v>3.75</v>
      </c>
      <c r="F1707" s="51">
        <f>VLOOKUP(A1707,'Componentes APUs'!$A$1:$D$14,4,0)</f>
        <v>3787.878787878788</v>
      </c>
      <c r="G1707" s="51">
        <f>ROUNDUP(F1707*(E1707/21)/E1672,0)</f>
        <v>902</v>
      </c>
    </row>
    <row r="1708" spans="1:9" x14ac:dyDescent="0.25">
      <c r="A1708" s="50" t="s">
        <v>79</v>
      </c>
      <c r="B1708" s="72" t="str">
        <f>VLOOKUP(A1708,'Componentes APUs'!$A$1:$D$14,2,0)</f>
        <v>Gafas protectoras filtro UV</v>
      </c>
      <c r="C1708" s="73"/>
      <c r="D1708" s="50" t="str">
        <f>VLOOKUP(A1708,'Componentes APUs'!$A$1:$D$14,3,0)</f>
        <v>U</v>
      </c>
      <c r="E1708" s="50">
        <f>SUM(C1684:C1689)</f>
        <v>3.75</v>
      </c>
      <c r="F1708" s="51">
        <f>VLOOKUP(A1708,'Componentes APUs'!$A$1:$D$14,4,0)</f>
        <v>2777.7777777777778</v>
      </c>
      <c r="G1708" s="51">
        <f>ROUNDUP(F1708*(E1708/21)/E1672,0)</f>
        <v>662</v>
      </c>
    </row>
    <row r="1709" spans="1:9" x14ac:dyDescent="0.25">
      <c r="A1709" s="69" t="s">
        <v>402</v>
      </c>
      <c r="B1709" s="72" t="str">
        <f>VLOOKUP(A1709,'Componentes APUs'!$A$1:$D$14,2,0)</f>
        <v>Bota de seguridad PVC dielectrica</v>
      </c>
      <c r="C1709" s="73"/>
      <c r="D1709" s="50" t="str">
        <f>VLOOKUP(A1709,'Componentes APUs'!$A$1:$D$14,3,0)</f>
        <v>Par</v>
      </c>
      <c r="E1709" s="50">
        <f>SUM(C1684:C1689)</f>
        <v>3.75</v>
      </c>
      <c r="F1709" s="51">
        <f>VLOOKUP(A1709,'Componentes APUs'!$A$1:$D$14,4,0)</f>
        <v>2916.6666666666665</v>
      </c>
      <c r="G1709" s="51">
        <f>ROUNDUP(F1709*(E1709/21)/E1672,0)</f>
        <v>695</v>
      </c>
    </row>
    <row r="1710" spans="1:9" x14ac:dyDescent="0.25">
      <c r="A1710" s="50" t="s">
        <v>403</v>
      </c>
      <c r="B1710" s="72" t="str">
        <f>VLOOKUP(A1710,'Componentes APUs'!$A$1:$D$14,2,0)</f>
        <v>Capuchon</v>
      </c>
      <c r="C1710" s="73"/>
      <c r="D1710" s="50" t="str">
        <f>VLOOKUP(A1710,'Componentes APUs'!$A$1:$D$14,3,0)</f>
        <v>U</v>
      </c>
      <c r="E1710" s="50">
        <f>SUM(C1684:C1689)</f>
        <v>3.75</v>
      </c>
      <c r="F1710" s="51">
        <f>VLOOKUP(A1710,'Componentes APUs'!$A$1:$D$14,4,0)</f>
        <v>2525.2525252525252</v>
      </c>
      <c r="G1710" s="51">
        <f>ROUNDUP(F1710*(E1710/21)/E1672,0)</f>
        <v>602</v>
      </c>
    </row>
    <row r="1711" spans="1:9" x14ac:dyDescent="0.25">
      <c r="A1711" s="69" t="s">
        <v>81</v>
      </c>
      <c r="B1711" s="72" t="str">
        <f>VLOOKUP(A1711,'Componentes APUs'!$A$1:$D$14,2,0)</f>
        <v>Guantes Protectores  - ingeniero reforzados</v>
      </c>
      <c r="C1711" s="73"/>
      <c r="D1711" s="50" t="str">
        <f>VLOOKUP(A1711,'Componentes APUs'!$A$1:$D$14,3,0)</f>
        <v>Par</v>
      </c>
      <c r="E1711" s="50">
        <f>C1686+C1687+C1689</f>
        <v>3.25</v>
      </c>
      <c r="F1711" s="51">
        <f>VLOOKUP(A1711,'Componentes APUs'!$A$1:$D$14,4,0)</f>
        <v>2525.2525252525252</v>
      </c>
      <c r="G1711" s="51">
        <f>ROUNDUP(F1711*(E1711/21)/E1672,0)</f>
        <v>522</v>
      </c>
    </row>
    <row r="1712" spans="1:9" x14ac:dyDescent="0.25">
      <c r="A1712" s="50" t="s">
        <v>83</v>
      </c>
      <c r="B1712" s="72" t="str">
        <f>VLOOKUP(A1712,'Componentes APUs'!$A$1:$D$14,2,0)</f>
        <v>Impermeable (pantalon camisa)</v>
      </c>
      <c r="C1712" s="73"/>
      <c r="D1712" s="50" t="str">
        <f>VLOOKUP(A1712,'Componentes APUs'!$A$1:$D$14,3,0)</f>
        <v>U</v>
      </c>
      <c r="E1712" s="50">
        <f>SUM(C1684:C1689)</f>
        <v>3.75</v>
      </c>
      <c r="F1712" s="51">
        <f>VLOOKUP(A1712,'Componentes APUs'!$A$1:$D$14,4,0)</f>
        <v>3750</v>
      </c>
      <c r="G1712" s="51">
        <f>ROUNDUP(F1712*(E1712/21)/E1672,0)</f>
        <v>893</v>
      </c>
    </row>
    <row r="1713" spans="1:7" x14ac:dyDescent="0.25">
      <c r="A1713" s="69" t="s">
        <v>85</v>
      </c>
      <c r="B1713" s="72" t="str">
        <f>VLOOKUP(A1713,'Componentes APUs'!$A$1:$D$14,2,0)</f>
        <v>Jean Dielectrico</v>
      </c>
      <c r="C1713" s="73"/>
      <c r="D1713" s="50" t="str">
        <f>VLOOKUP(A1713,'Componentes APUs'!$A$1:$D$14,3,0)</f>
        <v>U</v>
      </c>
      <c r="E1713" s="50">
        <f>SUM(C1684:C1689)</f>
        <v>3.75</v>
      </c>
      <c r="F1713" s="51">
        <f>VLOOKUP(A1713,'Componentes APUs'!$A$1:$D$14,4,0)</f>
        <v>7575.757575757576</v>
      </c>
      <c r="G1713" s="51">
        <f>ROUNDUP(F1713*(E1713/21)/E1672,0)</f>
        <v>1804</v>
      </c>
    </row>
    <row r="1714" spans="1:7" x14ac:dyDescent="0.25">
      <c r="A1714" s="50" t="s">
        <v>87</v>
      </c>
      <c r="B1714" s="72" t="str">
        <f>VLOOKUP(A1714,'Componentes APUs'!$A$1:$D$14,2,0)</f>
        <v>Casco dielectrico Tipo 2 Clase E con barboquejo</v>
      </c>
      <c r="C1714" s="73"/>
      <c r="D1714" s="50" t="str">
        <f>VLOOKUP(A1714,'Componentes APUs'!$A$1:$D$14,3,0)</f>
        <v>U</v>
      </c>
      <c r="E1714" s="53">
        <f>IF(A1686="MO-3",C1686,0)</f>
        <v>0</v>
      </c>
      <c r="F1714" s="51">
        <f>VLOOKUP(A1714,'Componentes APUs'!$A$1:$D$14,4,0)</f>
        <v>7500</v>
      </c>
      <c r="G1714" s="51">
        <f>ROUNDUP(F1714*(E1714/21)/E1672,0)</f>
        <v>0</v>
      </c>
    </row>
    <row r="1715" spans="1:7" x14ac:dyDescent="0.25">
      <c r="A1715" s="69" t="s">
        <v>89</v>
      </c>
      <c r="B1715" s="72" t="str">
        <f>VLOOKUP(A1715,'Componentes APUs'!$A$1:$D$14,2,0)</f>
        <v>Kit de rescate para trabajo en alturas</v>
      </c>
      <c r="C1715" s="73"/>
      <c r="D1715" s="50" t="str">
        <f>VLOOKUP(A1715,'Componentes APUs'!$A$1:$D$14,3,0)</f>
        <v>U</v>
      </c>
      <c r="E1715" s="50">
        <f>IF(AND(A1686="MO-3",C1686=2),1,0)</f>
        <v>0</v>
      </c>
      <c r="F1715" s="51">
        <f>VLOOKUP(A1715,'Componentes APUs'!$A$1:$D$14,4,0)</f>
        <v>37500</v>
      </c>
      <c r="G1715" s="51">
        <f>ROUNDUP(F1715*(E1715/21)/E1672,0)</f>
        <v>0</v>
      </c>
    </row>
    <row r="1716" spans="1:7" x14ac:dyDescent="0.25">
      <c r="A1716" s="50" t="s">
        <v>91</v>
      </c>
      <c r="B1716" s="72" t="str">
        <f>VLOOKUP(A1716,'Componentes APUs'!$A$1:$D$14,2,0)</f>
        <v>Equipo completo para trabajo en alturas con pretales (Arnes dielectrico, 1 mosqueton de seguridad, tie off dielectrico, eslinga de posicionamiento, juego de pretales)</v>
      </c>
      <c r="C1716" s="73"/>
      <c r="D1716" s="50" t="str">
        <f>VLOOKUP(A1716,'Componentes APUs'!$A$1:$D$14,3,0)</f>
        <v>U</v>
      </c>
      <c r="E1716" s="50">
        <f>IF(A1686="MO-3",C1686,0)</f>
        <v>0</v>
      </c>
      <c r="F1716" s="51">
        <f>VLOOKUP(A1716,'Componentes APUs'!$A$1:$D$14,4,0)</f>
        <v>26041.666666666668</v>
      </c>
      <c r="G1716" s="51">
        <f>ROUNDUP(F1716*(E1716/21)/E1672,0)</f>
        <v>0</v>
      </c>
    </row>
    <row r="1717" spans="1:7" x14ac:dyDescent="0.25">
      <c r="A1717" s="219" t="s">
        <v>95</v>
      </c>
      <c r="B1717" s="219"/>
      <c r="C1717" s="219"/>
      <c r="D1717" s="219"/>
      <c r="E1717" s="219"/>
      <c r="F1717" s="219"/>
      <c r="G1717" s="52">
        <f>SUM(G1704:G1716)</f>
        <v>12317</v>
      </c>
    </row>
    <row r="1718" spans="1:7" x14ac:dyDescent="0.25">
      <c r="A1718" s="56"/>
      <c r="B1718" s="57"/>
      <c r="C1718" s="57"/>
      <c r="D1718" s="57"/>
      <c r="E1718" s="57"/>
      <c r="F1718" s="57"/>
      <c r="G1718" s="58"/>
    </row>
    <row r="1719" spans="1:7" x14ac:dyDescent="0.25">
      <c r="A1719" s="219" t="s">
        <v>96</v>
      </c>
      <c r="B1719" s="219"/>
      <c r="C1719" s="219"/>
      <c r="D1719" s="219"/>
      <c r="E1719" s="219"/>
      <c r="F1719" s="219"/>
      <c r="G1719" s="219"/>
    </row>
    <row r="1720" spans="1:7" x14ac:dyDescent="0.25">
      <c r="A1720" s="49" t="s">
        <v>35</v>
      </c>
      <c r="B1720" s="225" t="s">
        <v>36</v>
      </c>
      <c r="C1720" s="225"/>
      <c r="D1720" s="49" t="s">
        <v>37</v>
      </c>
      <c r="E1720" s="49" t="s">
        <v>38</v>
      </c>
      <c r="F1720" s="49" t="s">
        <v>39</v>
      </c>
      <c r="G1720" s="49" t="s">
        <v>40</v>
      </c>
    </row>
    <row r="1721" spans="1:7" x14ac:dyDescent="0.25">
      <c r="A1721" s="69" t="s">
        <v>97</v>
      </c>
      <c r="B1721" s="72" t="str">
        <f>VLOOKUP(A1721,'Componentes APUs'!$N$1:$Q$30,2,0)</f>
        <v>Camioneta</v>
      </c>
      <c r="C1721" s="73"/>
      <c r="D1721" s="70" t="str">
        <f>VLOOKUP(A1721,'Componentes APUs'!$N$1:$Q$30,3,0)</f>
        <v>U</v>
      </c>
      <c r="E1721" s="50">
        <v>1</v>
      </c>
      <c r="F1721" s="51">
        <f>VLOOKUP(A1721,'Componentes APUs'!$N$1:$Q$30,4,0)</f>
        <v>5500000</v>
      </c>
      <c r="G1721" s="51">
        <f>IFERROR(ROUNDUP(F1721*(E1721/21)/E1672,0),"-")</f>
        <v>349207</v>
      </c>
    </row>
    <row r="1722" spans="1:7" x14ac:dyDescent="0.25">
      <c r="A1722" s="50" t="s">
        <v>321</v>
      </c>
      <c r="B1722" s="72" t="str">
        <f>VLOOKUP(A1722,'Componentes APUs'!$N$1:$Q$30,2,0)</f>
        <v>Grúa Hidráulica</v>
      </c>
      <c r="C1722" s="73"/>
      <c r="D1722" s="70" t="str">
        <f>VLOOKUP(A1722,'Componentes APUs'!$N$1:$Q$30,3,0)</f>
        <v>U</v>
      </c>
      <c r="E1722" s="50">
        <v>0</v>
      </c>
      <c r="F1722" s="51">
        <f>VLOOKUP(A1722,'Componentes APUs'!$N$1:$Q$30,4,0)</f>
        <v>21000000</v>
      </c>
      <c r="G1722" s="51">
        <f>IFERROR(ROUNDUP(F1722*(E1722/21)/E1672,0),"-")</f>
        <v>0</v>
      </c>
    </row>
    <row r="1723" spans="1:7" x14ac:dyDescent="0.25">
      <c r="A1723" s="69" t="s">
        <v>1379</v>
      </c>
      <c r="B1723" s="72" t="str">
        <f>VLOOKUP(A1723,'Componentes APUs'!$N$1:$Q$30,2,0)</f>
        <v>Dumper de descarga Frontal 2T</v>
      </c>
      <c r="C1723" s="73"/>
      <c r="D1723" s="70" t="str">
        <f>VLOOKUP(A1723,'Componentes APUs'!$N$1:$Q$30,3,0)</f>
        <v>U</v>
      </c>
      <c r="E1723" s="50">
        <v>0</v>
      </c>
      <c r="F1723" s="51">
        <f>VLOOKUP(A1723,'Componentes APUs'!$N$1:$Q$30,4,0)</f>
        <v>4438716.24</v>
      </c>
      <c r="G1723" s="51">
        <f>IFERROR(ROUNDUP(F1723*(E1723/21)/E1672,0),"-")</f>
        <v>0</v>
      </c>
    </row>
    <row r="1724" spans="1:7" x14ac:dyDescent="0.25">
      <c r="A1724" s="50" t="s">
        <v>323</v>
      </c>
      <c r="B1724" s="72" t="str">
        <f>VLOOKUP(A1724,'Componentes APUs'!$N$1:$Q$30,2,0)</f>
        <v>Volqueta</v>
      </c>
      <c r="C1724" s="73"/>
      <c r="D1724" s="70" t="str">
        <f>VLOOKUP(A1724,'Componentes APUs'!$N$1:$Q$30,3,0)</f>
        <v>U</v>
      </c>
      <c r="E1724" s="50">
        <v>0</v>
      </c>
      <c r="F1724" s="51">
        <f>VLOOKUP(A1724,'Componentes APUs'!$N$1:$Q$30,4,0)</f>
        <v>14828184</v>
      </c>
      <c r="G1724" s="51">
        <f>IFERROR(ROUNDUP(F1724*(E1724/21)/E1672,0),"-")</f>
        <v>0</v>
      </c>
    </row>
    <row r="1725" spans="1:7" x14ac:dyDescent="0.25">
      <c r="A1725" s="69" t="s">
        <v>324</v>
      </c>
      <c r="B1725" s="72" t="str">
        <f>VLOOKUP(A1725,'Componentes APUs'!$N$1:$Q$30,2,0)</f>
        <v>Retroexcavadora</v>
      </c>
      <c r="C1725" s="73"/>
      <c r="D1725" s="70" t="str">
        <f>VLOOKUP(A1725,'Componentes APUs'!$N$1:$Q$30,3,0)</f>
        <v>U</v>
      </c>
      <c r="E1725" s="50">
        <v>0</v>
      </c>
      <c r="F1725" s="51">
        <f>VLOOKUP(A1725,'Componentes APUs'!$N$1:$Q$30,4,0)</f>
        <v>46030656</v>
      </c>
      <c r="G1725" s="51">
        <f>IFERROR(ROUNDUP(F1725*(E1725/21)/E1672,0),"-")</f>
        <v>0</v>
      </c>
    </row>
    <row r="1726" spans="1:7" x14ac:dyDescent="0.25">
      <c r="A1726" s="219" t="s">
        <v>99</v>
      </c>
      <c r="B1726" s="219"/>
      <c r="C1726" s="219"/>
      <c r="D1726" s="219"/>
      <c r="E1726" s="219"/>
      <c r="F1726" s="219"/>
      <c r="G1726" s="52">
        <f>SUM(G1721:G1725)</f>
        <v>349207</v>
      </c>
    </row>
    <row r="1727" spans="1:7" x14ac:dyDescent="0.25">
      <c r="A1727" s="56"/>
      <c r="B1727" s="57"/>
      <c r="C1727" s="57"/>
      <c r="D1727" s="57"/>
      <c r="E1727" s="57"/>
      <c r="F1727" s="57"/>
      <c r="G1727" s="58"/>
    </row>
    <row r="1728" spans="1:7" x14ac:dyDescent="0.25">
      <c r="A1728" s="219" t="s">
        <v>1516</v>
      </c>
      <c r="B1728" s="219"/>
      <c r="C1728" s="219"/>
      <c r="D1728" s="219"/>
      <c r="E1728" s="219"/>
      <c r="F1728" s="219"/>
      <c r="G1728" s="52">
        <f>G1726+G1717+G1700+G1690+G1680</f>
        <v>4714065</v>
      </c>
    </row>
    <row r="1729" spans="1:8" x14ac:dyDescent="0.25">
      <c r="A1729" s="59"/>
      <c r="B1729" s="60"/>
      <c r="C1729" s="60"/>
      <c r="D1729" s="60"/>
      <c r="E1729" s="57"/>
      <c r="F1729" s="57"/>
      <c r="G1729" s="58"/>
    </row>
    <row r="1730" spans="1:8" x14ac:dyDescent="0.25">
      <c r="A1730" s="64"/>
      <c r="D1730" s="55"/>
      <c r="E1730" s="49" t="s">
        <v>25</v>
      </c>
      <c r="F1730" s="54">
        <v>0.15</v>
      </c>
      <c r="G1730" s="51">
        <f>G1728*F1730</f>
        <v>707109.75</v>
      </c>
    </row>
    <row r="1731" spans="1:8" x14ac:dyDescent="0.25">
      <c r="A1731" s="64"/>
      <c r="D1731" s="55"/>
      <c r="E1731" s="49" t="s">
        <v>26</v>
      </c>
      <c r="F1731" s="54">
        <v>0.05</v>
      </c>
      <c r="G1731" s="51">
        <f>G1728*F1731</f>
        <v>235703.25</v>
      </c>
    </row>
    <row r="1732" spans="1:8" x14ac:dyDescent="0.25">
      <c r="A1732" s="61"/>
      <c r="B1732" s="65"/>
      <c r="C1732" s="65"/>
      <c r="D1732" s="62"/>
      <c r="E1732" s="49" t="s">
        <v>27</v>
      </c>
      <c r="F1732" s="54">
        <v>0.05</v>
      </c>
      <c r="G1732" s="51">
        <f>G1728*F1732</f>
        <v>235703.25</v>
      </c>
    </row>
    <row r="1733" spans="1:8" x14ac:dyDescent="0.25">
      <c r="A1733" s="61"/>
      <c r="B1733" s="62"/>
      <c r="C1733" s="62"/>
      <c r="D1733" s="62"/>
      <c r="E1733" s="62"/>
      <c r="F1733" s="62"/>
      <c r="G1733" s="63"/>
    </row>
    <row r="1734" spans="1:8" x14ac:dyDescent="0.25">
      <c r="A1734" s="219" t="s">
        <v>1517</v>
      </c>
      <c r="B1734" s="219"/>
      <c r="C1734" s="219"/>
      <c r="D1734" s="219"/>
      <c r="E1734" s="219"/>
      <c r="F1734" s="219"/>
      <c r="G1734" s="52">
        <f>G1728+G1730+G1731+G1732</f>
        <v>5892581.25</v>
      </c>
    </row>
    <row r="1735" spans="1:8" x14ac:dyDescent="0.25">
      <c r="A1735" s="59"/>
      <c r="B1735" s="60"/>
      <c r="C1735" s="60"/>
      <c r="D1735" s="60"/>
      <c r="E1735" s="57"/>
      <c r="F1735" s="57"/>
      <c r="G1735" s="58"/>
    </row>
    <row r="1736" spans="1:8" x14ac:dyDescent="0.25">
      <c r="A1736" s="64"/>
      <c r="D1736" s="55"/>
      <c r="E1736" s="49" t="s">
        <v>102</v>
      </c>
      <c r="F1736" s="49" t="s">
        <v>103</v>
      </c>
      <c r="G1736" s="51">
        <f>G1732*19%</f>
        <v>44783.6175</v>
      </c>
    </row>
    <row r="1737" spans="1:8" x14ac:dyDescent="0.25">
      <c r="A1737" s="61"/>
      <c r="B1737" s="62"/>
      <c r="C1737" s="62"/>
      <c r="D1737" s="62"/>
      <c r="E1737" s="57"/>
      <c r="F1737" s="57"/>
      <c r="G1737" s="58"/>
    </row>
    <row r="1738" spans="1:8" x14ac:dyDescent="0.25">
      <c r="A1738" s="219" t="s">
        <v>104</v>
      </c>
      <c r="B1738" s="219"/>
      <c r="C1738" s="219"/>
      <c r="D1738" s="219"/>
      <c r="E1738" s="219"/>
      <c r="F1738" s="219"/>
      <c r="G1738" s="52">
        <f>G1736+G1734</f>
        <v>5937364.8674999997</v>
      </c>
    </row>
    <row r="1740" spans="1:8" x14ac:dyDescent="0.25">
      <c r="A1740" s="74" t="s">
        <v>29</v>
      </c>
      <c r="B1740" s="226" t="s">
        <v>30</v>
      </c>
      <c r="C1740" s="226"/>
      <c r="D1740" s="74" t="s">
        <v>31</v>
      </c>
      <c r="E1740" s="74" t="s">
        <v>32</v>
      </c>
      <c r="F1740" s="74" t="s">
        <v>189</v>
      </c>
      <c r="G1740" s="74" t="s">
        <v>33</v>
      </c>
      <c r="H1740" s="105"/>
    </row>
    <row r="1741" spans="1:8" ht="27" customHeight="1" x14ac:dyDescent="0.25">
      <c r="A1741" s="50" t="str">
        <f>Presupuesto!B35</f>
        <v>027_OC</v>
      </c>
      <c r="B1741" s="229" t="str">
        <f>Presupuesto!C35</f>
        <v>CAJA DE INSPECCIÓN (NORMA EH RSS-152-2) - 34,5 kV. INCLUYE EXCAVACIÓN</v>
      </c>
      <c r="C1741" s="230"/>
      <c r="D1741" s="50" t="s">
        <v>8</v>
      </c>
      <c r="E1741" s="107">
        <v>0.5</v>
      </c>
      <c r="F1741" s="50"/>
      <c r="G1741" s="51">
        <f>G1807</f>
        <v>9266248.5574999992</v>
      </c>
      <c r="H1741" s="45"/>
    </row>
    <row r="1742" spans="1:8" x14ac:dyDescent="0.25">
      <c r="A1742" s="219" t="s">
        <v>34</v>
      </c>
      <c r="B1742" s="219"/>
      <c r="C1742" s="219"/>
      <c r="D1742" s="219"/>
      <c r="E1742" s="219"/>
      <c r="F1742" s="219"/>
      <c r="G1742" s="219"/>
    </row>
    <row r="1743" spans="1:8" x14ac:dyDescent="0.25">
      <c r="A1743" s="49" t="s">
        <v>35</v>
      </c>
      <c r="B1743" s="219" t="s">
        <v>36</v>
      </c>
      <c r="C1743" s="219"/>
      <c r="D1743" s="49" t="s">
        <v>37</v>
      </c>
      <c r="E1743" s="49" t="s">
        <v>38</v>
      </c>
      <c r="F1743" s="49" t="s">
        <v>39</v>
      </c>
      <c r="G1743" s="49" t="s">
        <v>40</v>
      </c>
    </row>
    <row r="1744" spans="1:8" x14ac:dyDescent="0.25">
      <c r="A1744" s="50" t="str">
        <f>Material!A15</f>
        <v>MA-14</v>
      </c>
      <c r="B1744" s="72" t="str">
        <f>IFERROR(VLOOKUP(A1744,Material!$A:$H,2,0),"-")</f>
        <v>CONCRETO DE 3000 PSI</v>
      </c>
      <c r="C1744" s="76"/>
      <c r="D1744" s="50" t="str">
        <f>IFERROR(VLOOKUP(A1744,Material!$A:$H,4,0),"-")</f>
        <v>M3</v>
      </c>
      <c r="E1744" s="107">
        <v>1.84</v>
      </c>
      <c r="F1744" s="51">
        <f>IFERROR(VLOOKUP(A1744,Material!$A:$H,3,0),"-")</f>
        <v>620227.23330691375</v>
      </c>
      <c r="G1744" s="51">
        <f t="shared" ref="G1744:G1747" si="22">IFERROR(ROUNDUP(F1744*E1744,0),"-")</f>
        <v>1141219</v>
      </c>
      <c r="H1744" s="92"/>
    </row>
    <row r="1745" spans="1:9" x14ac:dyDescent="0.25">
      <c r="A1745" s="50" t="str">
        <f>Material!A597</f>
        <v>MA-596</v>
      </c>
      <c r="B1745" s="72" t="str">
        <f>IFERROR(VLOOKUP(A1745,Material!$A:$H,2,0),"-")</f>
        <v>ACERO DE REFUERZO FIGURADO</v>
      </c>
      <c r="C1745" s="76"/>
      <c r="D1745" s="50" t="str">
        <f>IFERROR(VLOOKUP(A1745,Material!$A:$H,4,0),"-")</f>
        <v>kG</v>
      </c>
      <c r="E1745" s="107">
        <f>200*E1744</f>
        <v>368</v>
      </c>
      <c r="F1745" s="51">
        <f>IFERROR(VLOOKUP(A1745,Material!$A:$H,3,0),"-")</f>
        <v>5106.4000000000005</v>
      </c>
      <c r="G1745" s="51">
        <f t="shared" si="22"/>
        <v>1879156</v>
      </c>
      <c r="H1745" s="106"/>
    </row>
    <row r="1746" spans="1:9" x14ac:dyDescent="0.25">
      <c r="A1746" s="50" t="str">
        <f>Material!A218</f>
        <v>MA-217</v>
      </c>
      <c r="B1746" s="72" t="str">
        <f>IFERROR(VLOOKUP(A1746,Material!$A:$H,2,0),"-")</f>
        <v>FORMALETA EN MADERA CON TABLA DE 1"</v>
      </c>
      <c r="C1746" s="76"/>
      <c r="D1746" s="50" t="str">
        <f>IFERROR(VLOOKUP(A1746,Material!$A:$H,4,0),"-")</f>
        <v>M2</v>
      </c>
      <c r="E1746" s="53">
        <f>7.42*1.5+7.3*1.5</f>
        <v>22.08</v>
      </c>
      <c r="F1746" s="51">
        <f>IFERROR(VLOOKUP(A1746,Material!$A:$H,3,0),"-")</f>
        <v>24691.116165303549</v>
      </c>
      <c r="G1746" s="51">
        <f t="shared" si="22"/>
        <v>545180</v>
      </c>
      <c r="H1746" s="106"/>
    </row>
    <row r="1747" spans="1:9" ht="26.25" customHeight="1" x14ac:dyDescent="0.25">
      <c r="A1747" s="50" t="str">
        <f>Material!A598</f>
        <v>MA-597</v>
      </c>
      <c r="B1747" s="232" t="str">
        <f>IFERROR(VLOOKUP(A1747,Material!$A:$H,2,0),"-")</f>
        <v>MARCO Y TAPA METÁLICOS EN ANGULO Y PLATINA DE 2 1/2 x  3 /16 (1,09 x 0,935)</v>
      </c>
      <c r="C1747" s="233"/>
      <c r="D1747" s="50" t="str">
        <f>IFERROR(VLOOKUP(A1747,Material!$A:$H,4,0),"-")</f>
        <v>UN</v>
      </c>
      <c r="E1747" s="107">
        <v>3</v>
      </c>
      <c r="F1747" s="51">
        <f>IFERROR(VLOOKUP(A1747,Material!$A:$H,3,0),"-")</f>
        <v>548405</v>
      </c>
      <c r="G1747" s="51">
        <f t="shared" si="22"/>
        <v>1645215</v>
      </c>
      <c r="H1747" s="106"/>
    </row>
    <row r="1748" spans="1:9" ht="26.25" customHeight="1" x14ac:dyDescent="0.25">
      <c r="A1748" s="50" t="str">
        <f>Material!A18</f>
        <v>MA-17</v>
      </c>
      <c r="B1748" s="232" t="str">
        <f>IFERROR(VLOOKUP(A1748,Material!$A:$H,2,0),"-")</f>
        <v>EXCAVACIÓN EN MATERIAL COMÚN BAJO AGUA DE 0 - 2 M MANUAL</v>
      </c>
      <c r="C1748" s="233"/>
      <c r="D1748" s="50" t="str">
        <f>IFERROR(VLOOKUP(A1748,Material!$A:$H,4,0),"-")</f>
        <v>M3</v>
      </c>
      <c r="E1748" s="107">
        <f>3.3354*1.5</f>
        <v>5.0030999999999999</v>
      </c>
      <c r="F1748" s="51">
        <f>IFERROR(VLOOKUP(A1748,Material!$A:$H,3,0),"-")</f>
        <v>45663.8</v>
      </c>
      <c r="G1748" s="51">
        <f t="shared" ref="G1748" si="23">IFERROR(ROUNDUP(F1748*E1748,0),"-")</f>
        <v>228461</v>
      </c>
      <c r="H1748" s="106"/>
    </row>
    <row r="1749" spans="1:9" x14ac:dyDescent="0.25">
      <c r="A1749" s="219" t="s">
        <v>41</v>
      </c>
      <c r="B1749" s="219"/>
      <c r="C1749" s="219"/>
      <c r="D1749" s="219"/>
      <c r="E1749" s="219"/>
      <c r="F1749" s="219"/>
      <c r="G1749" s="52">
        <f>SUM(G1744:G1748)</f>
        <v>5439231</v>
      </c>
      <c r="I1749" s="104"/>
    </row>
    <row r="1750" spans="1:9" x14ac:dyDescent="0.25">
      <c r="A1750" s="56"/>
      <c r="B1750" s="57"/>
      <c r="C1750" s="57"/>
      <c r="D1750" s="57"/>
      <c r="E1750" s="57"/>
      <c r="F1750" s="57"/>
      <c r="G1750" s="58"/>
    </row>
    <row r="1751" spans="1:9" x14ac:dyDescent="0.25">
      <c r="A1751" s="219" t="s">
        <v>42</v>
      </c>
      <c r="B1751" s="219"/>
      <c r="C1751" s="219"/>
      <c r="D1751" s="219"/>
      <c r="E1751" s="219"/>
      <c r="F1751" s="219"/>
      <c r="G1751" s="219"/>
    </row>
    <row r="1752" spans="1:9" x14ac:dyDescent="0.25">
      <c r="A1752" s="49" t="s">
        <v>35</v>
      </c>
      <c r="B1752" s="49" t="s">
        <v>36</v>
      </c>
      <c r="C1752" s="49" t="s">
        <v>38</v>
      </c>
      <c r="D1752" s="49" t="s">
        <v>43</v>
      </c>
      <c r="E1752" s="49" t="s">
        <v>44</v>
      </c>
      <c r="F1752" s="49" t="s">
        <v>45</v>
      </c>
      <c r="G1752" s="49" t="s">
        <v>40</v>
      </c>
      <c r="H1752" s="66"/>
    </row>
    <row r="1753" spans="1:9" x14ac:dyDescent="0.25">
      <c r="A1753" s="50" t="s">
        <v>319</v>
      </c>
      <c r="B1753" s="68" t="str">
        <f>VLOOKUP(A1753,'Componentes APUs'!$H$1:$L$25,2,0)</f>
        <v>Ingeniero Residente de Obra</v>
      </c>
      <c r="C1753" s="93">
        <v>0.25</v>
      </c>
      <c r="D1753" s="50">
        <f>VLOOKUP(A1753,'Componentes APUs'!$H$1:$L$25,3,0)</f>
        <v>4</v>
      </c>
      <c r="E1753" s="51">
        <f>VLOOKUP(A1753,'Componentes APUs'!$H$1:$L$25,4,0)</f>
        <v>271142.85714285716</v>
      </c>
      <c r="F1753" s="51">
        <f>VLOOKUP(A1753,'Componentes APUs'!$H$1:$L$25,5,0)</f>
        <v>162685.71428571429</v>
      </c>
      <c r="G1753" s="51">
        <f>ROUNDUP((E1753+F1753)*C1753/E1741,0)</f>
        <v>216915</v>
      </c>
      <c r="H1753" s="66"/>
    </row>
    <row r="1754" spans="1:9" x14ac:dyDescent="0.25">
      <c r="A1754" s="50" t="s">
        <v>320</v>
      </c>
      <c r="B1754" s="68" t="str">
        <f>VLOOKUP(A1754,'Componentes APUs'!$H$1:$L$25,2,0)</f>
        <v>Tecnico Supervisor</v>
      </c>
      <c r="C1754" s="93">
        <v>0</v>
      </c>
      <c r="D1754" s="50">
        <f>VLOOKUP(A1754,'Componentes APUs'!$H$1:$L$25,3,0)</f>
        <v>2.2999999999999998</v>
      </c>
      <c r="E1754" s="51">
        <f>VLOOKUP(A1754,'Componentes APUs'!$H$1:$L$25,4,0)</f>
        <v>155907.14285714284</v>
      </c>
      <c r="F1754" s="51">
        <f>VLOOKUP(A1754,'Componentes APUs'!$H$1:$L$25,5,0)</f>
        <v>93544.285714285696</v>
      </c>
      <c r="G1754" s="51">
        <f>ROUNDUP((E1754+F1754)*C1754/E1741,0)</f>
        <v>0</v>
      </c>
    </row>
    <row r="1755" spans="1:9" x14ac:dyDescent="0.25">
      <c r="A1755" s="50" t="s">
        <v>54</v>
      </c>
      <c r="B1755" s="68" t="str">
        <f>VLOOKUP(A1755,'Componentes APUs'!$H$1:$L$25,2,0)</f>
        <v>Maestro de obra civil</v>
      </c>
      <c r="C1755" s="93">
        <v>0.25</v>
      </c>
      <c r="D1755" s="50">
        <f>VLOOKUP(A1755,'Componentes APUs'!$H$1:$L$25,3,0)</f>
        <v>2.5</v>
      </c>
      <c r="E1755" s="51">
        <f>VLOOKUP(A1755,'Componentes APUs'!$H$1:$L$25,4,0)</f>
        <v>169464.28571428571</v>
      </c>
      <c r="F1755" s="51">
        <f>VLOOKUP(A1755,'Componentes APUs'!$H$1:$L$25,5,0)</f>
        <v>101678.57142857142</v>
      </c>
      <c r="G1755" s="51">
        <f>ROUNDUP((E1755+F1755)*C1755/E1741,0)</f>
        <v>135572</v>
      </c>
    </row>
    <row r="1756" spans="1:9" x14ac:dyDescent="0.25">
      <c r="A1756" s="50" t="s">
        <v>1110</v>
      </c>
      <c r="B1756" s="68" t="str">
        <f>VLOOKUP(A1756,'Componentes APUs'!$H$1:$L$25,2,0)</f>
        <v>Oficial de Obra Civil</v>
      </c>
      <c r="C1756" s="93">
        <v>1</v>
      </c>
      <c r="D1756" s="50">
        <f>VLOOKUP(A1756,'Componentes APUs'!$H$1:$L$25,3,0)</f>
        <v>1.5</v>
      </c>
      <c r="E1756" s="51">
        <f>VLOOKUP(A1756,'Componentes APUs'!$H$1:$L$25,4,0)</f>
        <v>115964.28571428571</v>
      </c>
      <c r="F1756" s="51">
        <f>VLOOKUP(A1756,'Componentes APUs'!$H$1:$L$25,5,0)</f>
        <v>69578.57142857142</v>
      </c>
      <c r="G1756" s="51">
        <f>ROUNDUP((E1756+F1756)*C1756/E1741,0)</f>
        <v>371086</v>
      </c>
    </row>
    <row r="1757" spans="1:9" x14ac:dyDescent="0.25">
      <c r="A1757" s="50" t="s">
        <v>50</v>
      </c>
      <c r="B1757" s="68" t="str">
        <f>VLOOKUP(A1757,'Componentes APUs'!$H$1:$L$25,2,0)</f>
        <v>Profesional en SST</v>
      </c>
      <c r="C1757" s="93">
        <v>0.25</v>
      </c>
      <c r="D1757" s="50">
        <f>VLOOKUP(A1757,'Componentes APUs'!$H$1:$L$25,3,0)</f>
        <v>2.5</v>
      </c>
      <c r="E1757" s="51">
        <f>VLOOKUP(A1757,'Componentes APUs'!$H$1:$L$25,4,0)</f>
        <v>169464.28571428571</v>
      </c>
      <c r="F1757" s="51">
        <f>VLOOKUP(A1757,'Componentes APUs'!$H$1:$L$25,5,0)</f>
        <v>101678.57142857142</v>
      </c>
      <c r="G1757" s="51">
        <f>ROUNDUP((E1757+F1757)*C1757/E1741,0)</f>
        <v>135572</v>
      </c>
    </row>
    <row r="1758" spans="1:9" x14ac:dyDescent="0.25">
      <c r="A1758" s="50" t="s">
        <v>1109</v>
      </c>
      <c r="B1758" s="68" t="str">
        <f>VLOOKUP(A1758,'Componentes APUs'!$H$1:$L$25,2,0)</f>
        <v>Ayudante de Obra Civil</v>
      </c>
      <c r="C1758" s="93">
        <v>2</v>
      </c>
      <c r="D1758" s="50">
        <f>VLOOKUP(A1758,'Componentes APUs'!$H$1:$L$25,3,0)</f>
        <v>1</v>
      </c>
      <c r="E1758" s="51">
        <f>VLOOKUP(A1758,'Componentes APUs'!$H$1:$L$25,4,0)</f>
        <v>77309.523809523816</v>
      </c>
      <c r="F1758" s="51">
        <f>VLOOKUP(A1758,'Componentes APUs'!$H$1:$L$25,5,0)</f>
        <v>46385.71428571429</v>
      </c>
      <c r="G1758" s="51">
        <f>ROUNDUP((E1758+F1758)*C1758/E1741,0)</f>
        <v>494781</v>
      </c>
    </row>
    <row r="1759" spans="1:9" x14ac:dyDescent="0.25">
      <c r="A1759" s="219" t="s">
        <v>56</v>
      </c>
      <c r="B1759" s="219"/>
      <c r="C1759" s="219"/>
      <c r="D1759" s="219"/>
      <c r="E1759" s="219"/>
      <c r="F1759" s="219"/>
      <c r="G1759" s="52">
        <f>SUM(G1753:G1758)</f>
        <v>1353926</v>
      </c>
    </row>
    <row r="1760" spans="1:9" x14ac:dyDescent="0.25">
      <c r="A1760" s="56"/>
      <c r="B1760" s="57"/>
      <c r="C1760" s="57"/>
      <c r="D1760" s="57"/>
      <c r="E1760" s="57"/>
      <c r="F1760" s="57"/>
      <c r="G1760" s="58"/>
    </row>
    <row r="1761" spans="1:9" x14ac:dyDescent="0.25">
      <c r="A1761" s="219" t="s">
        <v>57</v>
      </c>
      <c r="B1761" s="219"/>
      <c r="C1761" s="219"/>
      <c r="D1761" s="219"/>
      <c r="E1761" s="219"/>
      <c r="F1761" s="219"/>
      <c r="G1761" s="219"/>
    </row>
    <row r="1762" spans="1:9" x14ac:dyDescent="0.25">
      <c r="A1762" s="49" t="s">
        <v>35</v>
      </c>
      <c r="B1762" s="219" t="s">
        <v>36</v>
      </c>
      <c r="C1762" s="219"/>
      <c r="D1762" s="49" t="s">
        <v>37</v>
      </c>
      <c r="E1762" s="49" t="s">
        <v>38</v>
      </c>
      <c r="F1762" s="49" t="s">
        <v>39</v>
      </c>
      <c r="G1762" s="49" t="s">
        <v>40</v>
      </c>
    </row>
    <row r="1763" spans="1:9" x14ac:dyDescent="0.25">
      <c r="A1763" s="50" t="s">
        <v>326</v>
      </c>
      <c r="B1763" s="220" t="str">
        <f>VLOOKUP(A1763,'Componentes APUs'!$S$1:$V$10,2,0)</f>
        <v>Juego Llaves</v>
      </c>
      <c r="C1763" s="220"/>
      <c r="D1763" s="50" t="s">
        <v>18</v>
      </c>
      <c r="E1763" s="50">
        <v>0</v>
      </c>
      <c r="F1763" s="51">
        <f>VLOOKUP(A1763,'Componentes APUs'!$S$1:$V$10,4,0)</f>
        <v>9167</v>
      </c>
      <c r="G1763" s="51">
        <f>ROUNDUP(F1763*((E1763/21)/E1741),0)</f>
        <v>0</v>
      </c>
      <c r="I1763" s="91"/>
    </row>
    <row r="1764" spans="1:9" x14ac:dyDescent="0.25">
      <c r="A1764" s="50" t="s">
        <v>58</v>
      </c>
      <c r="B1764" s="220" t="str">
        <f>VLOOKUP(A1764,'Componentes APUs'!$S$1:$V$10,2,0)</f>
        <v>Manila de servicio</v>
      </c>
      <c r="C1764" s="220"/>
      <c r="D1764" s="50" t="s">
        <v>18</v>
      </c>
      <c r="E1764" s="50">
        <v>0</v>
      </c>
      <c r="F1764" s="51">
        <f>VLOOKUP(A1764,'Componentes APUs'!$S$1:$V$10,4,0)</f>
        <v>2333</v>
      </c>
      <c r="G1764" s="51">
        <f>ROUNDUP(F1764*((E1764/21)/E1741),0)</f>
        <v>0</v>
      </c>
    </row>
    <row r="1765" spans="1:9" x14ac:dyDescent="0.25">
      <c r="A1765" s="50" t="s">
        <v>327</v>
      </c>
      <c r="B1765" s="220" t="str">
        <f>VLOOKUP(A1765,'Componentes APUs'!$S$1:$V$10,2,0)</f>
        <v>Tula portaherramientas</v>
      </c>
      <c r="C1765" s="220"/>
      <c r="D1765" s="50" t="s">
        <v>18</v>
      </c>
      <c r="E1765" s="50">
        <v>0</v>
      </c>
      <c r="F1765" s="51">
        <f>VLOOKUP(A1765,'Componentes APUs'!$S$1:$V$10,4,0)</f>
        <v>1250</v>
      </c>
      <c r="G1765" s="51">
        <f>ROUNDUP(F1765*((E1765/21)/E1741),0)</f>
        <v>0</v>
      </c>
    </row>
    <row r="1766" spans="1:9" x14ac:dyDescent="0.25">
      <c r="A1766" s="50" t="s">
        <v>60</v>
      </c>
      <c r="B1766" s="220" t="str">
        <f>VLOOKUP(A1766,'Componentes APUs'!$S$1:$V$10,2,0)</f>
        <v>Agarradoras</v>
      </c>
      <c r="C1766" s="220"/>
      <c r="D1766" s="50" t="s">
        <v>18</v>
      </c>
      <c r="E1766" s="50">
        <v>0</v>
      </c>
      <c r="F1766" s="51">
        <f>VLOOKUP(A1766,'Componentes APUs'!$S$1:$V$10,4,0)</f>
        <v>125000</v>
      </c>
      <c r="G1766" s="51">
        <f>ROUNDUP(F1766*((E1766/21)/E1741),0)</f>
        <v>0</v>
      </c>
    </row>
    <row r="1767" spans="1:9" x14ac:dyDescent="0.25">
      <c r="A1767" s="50" t="s">
        <v>62</v>
      </c>
      <c r="B1767" s="220" t="str">
        <f>VLOOKUP(A1767,'Componentes APUs'!$S$1:$V$10,2,0)</f>
        <v>Templadoras</v>
      </c>
      <c r="C1767" s="220"/>
      <c r="D1767" s="50" t="s">
        <v>18</v>
      </c>
      <c r="E1767" s="50">
        <v>0</v>
      </c>
      <c r="F1767" s="51">
        <f>VLOOKUP(A1767,'Componentes APUs'!$S$1:$V$10,4,0)</f>
        <v>250000</v>
      </c>
      <c r="G1767" s="51">
        <f>ROUNDUP(F1767*((E1767/21)/E1741),0)</f>
        <v>0</v>
      </c>
    </row>
    <row r="1768" spans="1:9" x14ac:dyDescent="0.25">
      <c r="A1768" s="50" t="s">
        <v>328</v>
      </c>
      <c r="B1768" s="220" t="str">
        <f>VLOOKUP(A1768,'Componentes APUs'!$S$1:$V$10,2,0)</f>
        <v>Herramienta Menor</v>
      </c>
      <c r="C1768" s="220"/>
      <c r="D1768" s="50" t="s">
        <v>18</v>
      </c>
      <c r="E1768" s="50">
        <v>3</v>
      </c>
      <c r="F1768" s="51">
        <f>VLOOKUP(A1768,'Componentes APUs'!$S$1:$V$10,4,0)</f>
        <v>75758</v>
      </c>
      <c r="G1768" s="51">
        <f>ROUNDUP(F1768*((E1768/21)/E1741),0)</f>
        <v>21646</v>
      </c>
    </row>
    <row r="1769" spans="1:9" x14ac:dyDescent="0.25">
      <c r="A1769" s="219" t="s">
        <v>69</v>
      </c>
      <c r="B1769" s="219"/>
      <c r="C1769" s="219"/>
      <c r="D1769" s="219"/>
      <c r="E1769" s="219"/>
      <c r="F1769" s="219"/>
      <c r="G1769" s="52">
        <f>SUM(G1763:G1768)</f>
        <v>21646</v>
      </c>
    </row>
    <row r="1770" spans="1:9" x14ac:dyDescent="0.25">
      <c r="A1770" s="56"/>
      <c r="B1770" s="57"/>
      <c r="C1770" s="57"/>
      <c r="D1770" s="57"/>
      <c r="E1770" s="57"/>
      <c r="F1770" s="57"/>
      <c r="G1770" s="58"/>
    </row>
    <row r="1771" spans="1:9" x14ac:dyDescent="0.25">
      <c r="A1771" s="219" t="s">
        <v>70</v>
      </c>
      <c r="B1771" s="219"/>
      <c r="C1771" s="219"/>
      <c r="D1771" s="219"/>
      <c r="E1771" s="219"/>
      <c r="F1771" s="219"/>
      <c r="G1771" s="219"/>
    </row>
    <row r="1772" spans="1:9" x14ac:dyDescent="0.25">
      <c r="A1772" s="49" t="s">
        <v>35</v>
      </c>
      <c r="B1772" s="219" t="s">
        <v>36</v>
      </c>
      <c r="C1772" s="219"/>
      <c r="D1772" s="49" t="s">
        <v>37</v>
      </c>
      <c r="E1772" s="49" t="s">
        <v>38</v>
      </c>
      <c r="F1772" s="49" t="s">
        <v>39</v>
      </c>
      <c r="G1772" s="49" t="s">
        <v>40</v>
      </c>
    </row>
    <row r="1773" spans="1:9" x14ac:dyDescent="0.25">
      <c r="A1773" s="50" t="s">
        <v>71</v>
      </c>
      <c r="B1773" s="71" t="str">
        <f>VLOOKUP(A1773,'Componentes APUs'!$A$1:$D$14,2,0)</f>
        <v>Camisa indigo sin partes metalicas</v>
      </c>
      <c r="C1773" s="71"/>
      <c r="D1773" s="50" t="str">
        <f>VLOOKUP(A1773,'Componentes APUs'!$A$1:$D$14,3,0)</f>
        <v>U</v>
      </c>
      <c r="E1773" s="50">
        <f>SUM(C1753:C1758)</f>
        <v>3.75</v>
      </c>
      <c r="F1773" s="51">
        <f>VLOOKUP(A1773,'Componentes APUs'!$A$1:$D$14,4,0)</f>
        <v>8585.8585858585866</v>
      </c>
      <c r="G1773" s="51">
        <f>ROUNDUP(F1773*(E1773/21)/E1741,0)</f>
        <v>3067</v>
      </c>
      <c r="I1773" s="91"/>
    </row>
    <row r="1774" spans="1:9" x14ac:dyDescent="0.25">
      <c r="A1774" s="69" t="s">
        <v>73</v>
      </c>
      <c r="B1774" s="72" t="str">
        <f>VLOOKUP(A1774,'Componentes APUs'!$A$1:$D$14,2,0)</f>
        <v>Bota de seguridad dielectrica</v>
      </c>
      <c r="C1774" s="73"/>
      <c r="D1774" s="70" t="str">
        <f>VLOOKUP(A1774,'Componentes APUs'!$A$1:$D$14,3,0)</f>
        <v>Par</v>
      </c>
      <c r="E1774" s="50">
        <f>SUM(C1753:C1758)</f>
        <v>3.75</v>
      </c>
      <c r="F1774" s="51">
        <f>VLOOKUP(A1774,'Componentes APUs'!$A$1:$D$14,4,0)</f>
        <v>7500</v>
      </c>
      <c r="G1774" s="51">
        <f>ROUNDUP(F1774*(E1774/21)/E1741,0)</f>
        <v>2679</v>
      </c>
    </row>
    <row r="1775" spans="1:9" x14ac:dyDescent="0.25">
      <c r="A1775" s="50" t="s">
        <v>76</v>
      </c>
      <c r="B1775" s="72" t="str">
        <f>VLOOKUP(A1775,'Componentes APUs'!$A$1:$D$14,2,0)</f>
        <v>Casco dielectrico Tipo 1 Clase E con barbuquejo</v>
      </c>
      <c r="C1775" s="73"/>
      <c r="D1775" s="50" t="str">
        <f>VLOOKUP(A1775,'Componentes APUs'!$A$1:$D$14,3,0)</f>
        <v>U</v>
      </c>
      <c r="E1775" s="50">
        <f>C1753+C1754+C1756+C1757+C1758+IF(A1755&lt;&gt;"MO-3",C1755,0)</f>
        <v>3.75</v>
      </c>
      <c r="F1775" s="51">
        <f>VLOOKUP(A1775,'Componentes APUs'!$A$1:$D$14,4,0)</f>
        <v>10101.010101010101</v>
      </c>
      <c r="G1775" s="51">
        <f>ROUNDUP(F1775*(E1775/21)/E1741,0)</f>
        <v>3608</v>
      </c>
    </row>
    <row r="1776" spans="1:9" x14ac:dyDescent="0.25">
      <c r="A1776" s="69" t="s">
        <v>77</v>
      </c>
      <c r="B1776" s="72" t="str">
        <f>VLOOKUP(A1776,'Componentes APUs'!$A$1:$D$14,2,0)</f>
        <v>Correa plastica y antiflama</v>
      </c>
      <c r="C1776" s="73"/>
      <c r="D1776" s="50" t="str">
        <f>VLOOKUP(A1776,'Componentes APUs'!$A$1:$D$14,3,0)</f>
        <v>U</v>
      </c>
      <c r="E1776" s="50">
        <f>SUM(C1753:C1758)</f>
        <v>3.75</v>
      </c>
      <c r="F1776" s="51">
        <f>VLOOKUP(A1776,'Componentes APUs'!$A$1:$D$14,4,0)</f>
        <v>3787.878787878788</v>
      </c>
      <c r="G1776" s="51">
        <f>ROUNDUP(F1776*(E1776/21)/E1741,0)</f>
        <v>1353</v>
      </c>
    </row>
    <row r="1777" spans="1:7" x14ac:dyDescent="0.25">
      <c r="A1777" s="50" t="s">
        <v>79</v>
      </c>
      <c r="B1777" s="72" t="str">
        <f>VLOOKUP(A1777,'Componentes APUs'!$A$1:$D$14,2,0)</f>
        <v>Gafas protectoras filtro UV</v>
      </c>
      <c r="C1777" s="73"/>
      <c r="D1777" s="50" t="str">
        <f>VLOOKUP(A1777,'Componentes APUs'!$A$1:$D$14,3,0)</f>
        <v>U</v>
      </c>
      <c r="E1777" s="50">
        <f>SUM(C1753:C1758)</f>
        <v>3.75</v>
      </c>
      <c r="F1777" s="51">
        <f>VLOOKUP(A1777,'Componentes APUs'!$A$1:$D$14,4,0)</f>
        <v>2777.7777777777778</v>
      </c>
      <c r="G1777" s="51">
        <f>ROUNDUP(F1777*(E1777/21)/E1741,0)</f>
        <v>993</v>
      </c>
    </row>
    <row r="1778" spans="1:7" x14ac:dyDescent="0.25">
      <c r="A1778" s="69" t="s">
        <v>402</v>
      </c>
      <c r="B1778" s="72" t="str">
        <f>VLOOKUP(A1778,'Componentes APUs'!$A$1:$D$14,2,0)</f>
        <v>Bota de seguridad PVC dielectrica</v>
      </c>
      <c r="C1778" s="73"/>
      <c r="D1778" s="50" t="str">
        <f>VLOOKUP(A1778,'Componentes APUs'!$A$1:$D$14,3,0)</f>
        <v>Par</v>
      </c>
      <c r="E1778" s="50">
        <f>SUM(C1753:C1758)</f>
        <v>3.75</v>
      </c>
      <c r="F1778" s="51">
        <f>VLOOKUP(A1778,'Componentes APUs'!$A$1:$D$14,4,0)</f>
        <v>2916.6666666666665</v>
      </c>
      <c r="G1778" s="51">
        <f>ROUNDUP(F1778*(E1778/21)/E1741,0)</f>
        <v>1042</v>
      </c>
    </row>
    <row r="1779" spans="1:7" x14ac:dyDescent="0.25">
      <c r="A1779" s="50" t="s">
        <v>403</v>
      </c>
      <c r="B1779" s="72" t="str">
        <f>VLOOKUP(A1779,'Componentes APUs'!$A$1:$D$14,2,0)</f>
        <v>Capuchon</v>
      </c>
      <c r="C1779" s="73"/>
      <c r="D1779" s="50" t="str">
        <f>VLOOKUP(A1779,'Componentes APUs'!$A$1:$D$14,3,0)</f>
        <v>U</v>
      </c>
      <c r="E1779" s="50">
        <f>SUM(C1753:C1758)</f>
        <v>3.75</v>
      </c>
      <c r="F1779" s="51">
        <f>VLOOKUP(A1779,'Componentes APUs'!$A$1:$D$14,4,0)</f>
        <v>2525.2525252525252</v>
      </c>
      <c r="G1779" s="51">
        <f>ROUNDUP(F1779*(E1779/21)/E1741,0)</f>
        <v>902</v>
      </c>
    </row>
    <row r="1780" spans="1:7" x14ac:dyDescent="0.25">
      <c r="A1780" s="69" t="s">
        <v>81</v>
      </c>
      <c r="B1780" s="72" t="str">
        <f>VLOOKUP(A1780,'Componentes APUs'!$A$1:$D$14,2,0)</f>
        <v>Guantes Protectores  - ingeniero reforzados</v>
      </c>
      <c r="C1780" s="73"/>
      <c r="D1780" s="50" t="str">
        <f>VLOOKUP(A1780,'Componentes APUs'!$A$1:$D$14,3,0)</f>
        <v>Par</v>
      </c>
      <c r="E1780" s="50">
        <f>C1755+C1756+C1758</f>
        <v>3.25</v>
      </c>
      <c r="F1780" s="51">
        <f>VLOOKUP(A1780,'Componentes APUs'!$A$1:$D$14,4,0)</f>
        <v>2525.2525252525252</v>
      </c>
      <c r="G1780" s="51">
        <f>ROUNDUP(F1780*(E1780/21)/E1741,0)</f>
        <v>782</v>
      </c>
    </row>
    <row r="1781" spans="1:7" x14ac:dyDescent="0.25">
      <c r="A1781" s="50" t="s">
        <v>83</v>
      </c>
      <c r="B1781" s="72" t="str">
        <f>VLOOKUP(A1781,'Componentes APUs'!$A$1:$D$14,2,0)</f>
        <v>Impermeable (pantalon camisa)</v>
      </c>
      <c r="C1781" s="73"/>
      <c r="D1781" s="50" t="str">
        <f>VLOOKUP(A1781,'Componentes APUs'!$A$1:$D$14,3,0)</f>
        <v>U</v>
      </c>
      <c r="E1781" s="50">
        <f>SUM(C1753:C1758)</f>
        <v>3.75</v>
      </c>
      <c r="F1781" s="51">
        <f>VLOOKUP(A1781,'Componentes APUs'!$A$1:$D$14,4,0)</f>
        <v>3750</v>
      </c>
      <c r="G1781" s="51">
        <f>ROUNDUP(F1781*(E1781/21)/E1741,0)</f>
        <v>1340</v>
      </c>
    </row>
    <row r="1782" spans="1:7" x14ac:dyDescent="0.25">
      <c r="A1782" s="69" t="s">
        <v>85</v>
      </c>
      <c r="B1782" s="72" t="str">
        <f>VLOOKUP(A1782,'Componentes APUs'!$A$1:$D$14,2,0)</f>
        <v>Jean Dielectrico</v>
      </c>
      <c r="C1782" s="73"/>
      <c r="D1782" s="50" t="str">
        <f>VLOOKUP(A1782,'Componentes APUs'!$A$1:$D$14,3,0)</f>
        <v>U</v>
      </c>
      <c r="E1782" s="50">
        <f>SUM(C1753:C1758)</f>
        <v>3.75</v>
      </c>
      <c r="F1782" s="51">
        <f>VLOOKUP(A1782,'Componentes APUs'!$A$1:$D$14,4,0)</f>
        <v>7575.757575757576</v>
      </c>
      <c r="G1782" s="51">
        <f>ROUNDUP(F1782*(E1782/21)/E1741,0)</f>
        <v>2706</v>
      </c>
    </row>
    <row r="1783" spans="1:7" x14ac:dyDescent="0.25">
      <c r="A1783" s="50" t="s">
        <v>87</v>
      </c>
      <c r="B1783" s="72" t="str">
        <f>VLOOKUP(A1783,'Componentes APUs'!$A$1:$D$14,2,0)</f>
        <v>Casco dielectrico Tipo 2 Clase E con barboquejo</v>
      </c>
      <c r="C1783" s="73"/>
      <c r="D1783" s="50" t="str">
        <f>VLOOKUP(A1783,'Componentes APUs'!$A$1:$D$14,3,0)</f>
        <v>U</v>
      </c>
      <c r="E1783" s="53">
        <f>IF(A1755="MO-3",C1755,0)</f>
        <v>0</v>
      </c>
      <c r="F1783" s="51">
        <f>VLOOKUP(A1783,'Componentes APUs'!$A$1:$D$14,4,0)</f>
        <v>7500</v>
      </c>
      <c r="G1783" s="51">
        <f>ROUNDUP(F1783*(E1783/21)/E1741,0)</f>
        <v>0</v>
      </c>
    </row>
    <row r="1784" spans="1:7" x14ac:dyDescent="0.25">
      <c r="A1784" s="69" t="s">
        <v>89</v>
      </c>
      <c r="B1784" s="72" t="str">
        <f>VLOOKUP(A1784,'Componentes APUs'!$A$1:$D$14,2,0)</f>
        <v>Kit de rescate para trabajo en alturas</v>
      </c>
      <c r="C1784" s="73"/>
      <c r="D1784" s="50" t="str">
        <f>VLOOKUP(A1784,'Componentes APUs'!$A$1:$D$14,3,0)</f>
        <v>U</v>
      </c>
      <c r="E1784" s="50">
        <f>IF(AND(A1755="MO-3",C1755=2),1,0)</f>
        <v>0</v>
      </c>
      <c r="F1784" s="51">
        <f>VLOOKUP(A1784,'Componentes APUs'!$A$1:$D$14,4,0)</f>
        <v>37500</v>
      </c>
      <c r="G1784" s="51">
        <f>ROUNDUP(F1784*(E1784/21)/E1741,0)</f>
        <v>0</v>
      </c>
    </row>
    <row r="1785" spans="1:7" x14ac:dyDescent="0.25">
      <c r="A1785" s="50" t="s">
        <v>91</v>
      </c>
      <c r="B1785" s="72" t="str">
        <f>VLOOKUP(A1785,'Componentes APUs'!$A$1:$D$14,2,0)</f>
        <v>Equipo completo para trabajo en alturas con pretales (Arnes dielectrico, 1 mosqueton de seguridad, tie off dielectrico, eslinga de posicionamiento, juego de pretales)</v>
      </c>
      <c r="C1785" s="73"/>
      <c r="D1785" s="50" t="str">
        <f>VLOOKUP(A1785,'Componentes APUs'!$A$1:$D$14,3,0)</f>
        <v>U</v>
      </c>
      <c r="E1785" s="50">
        <f>IF(A1755="MO-3",C1755,0)</f>
        <v>0</v>
      </c>
      <c r="F1785" s="51">
        <f>VLOOKUP(A1785,'Componentes APUs'!$A$1:$D$14,4,0)</f>
        <v>26041.666666666668</v>
      </c>
      <c r="G1785" s="51">
        <f>ROUNDUP(F1785*(E1785/21)/E1741,0)</f>
        <v>0</v>
      </c>
    </row>
    <row r="1786" spans="1:7" x14ac:dyDescent="0.25">
      <c r="A1786" s="219" t="s">
        <v>95</v>
      </c>
      <c r="B1786" s="219"/>
      <c r="C1786" s="219"/>
      <c r="D1786" s="219"/>
      <c r="E1786" s="219"/>
      <c r="F1786" s="219"/>
      <c r="G1786" s="52">
        <f>SUM(G1773:G1785)</f>
        <v>18472</v>
      </c>
    </row>
    <row r="1787" spans="1:7" x14ac:dyDescent="0.25">
      <c r="A1787" s="56"/>
      <c r="B1787" s="57"/>
      <c r="C1787" s="57"/>
      <c r="D1787" s="57"/>
      <c r="E1787" s="57"/>
      <c r="F1787" s="57"/>
      <c r="G1787" s="58"/>
    </row>
    <row r="1788" spans="1:7" x14ac:dyDescent="0.25">
      <c r="A1788" s="219" t="s">
        <v>96</v>
      </c>
      <c r="B1788" s="219"/>
      <c r="C1788" s="219"/>
      <c r="D1788" s="219"/>
      <c r="E1788" s="219"/>
      <c r="F1788" s="219"/>
      <c r="G1788" s="219"/>
    </row>
    <row r="1789" spans="1:7" x14ac:dyDescent="0.25">
      <c r="A1789" s="49" t="s">
        <v>35</v>
      </c>
      <c r="B1789" s="225" t="s">
        <v>36</v>
      </c>
      <c r="C1789" s="225"/>
      <c r="D1789" s="49" t="s">
        <v>37</v>
      </c>
      <c r="E1789" s="49" t="s">
        <v>38</v>
      </c>
      <c r="F1789" s="49" t="s">
        <v>39</v>
      </c>
      <c r="G1789" s="49" t="s">
        <v>40</v>
      </c>
    </row>
    <row r="1790" spans="1:7" x14ac:dyDescent="0.25">
      <c r="A1790" s="69" t="s">
        <v>97</v>
      </c>
      <c r="B1790" s="72" t="str">
        <f>VLOOKUP(A1790,'Componentes APUs'!$N$1:$Q$30,2,0)</f>
        <v>Camioneta</v>
      </c>
      <c r="C1790" s="73"/>
      <c r="D1790" s="70" t="str">
        <f>VLOOKUP(A1790,'Componentes APUs'!$N$1:$Q$30,3,0)</f>
        <v>U</v>
      </c>
      <c r="E1790" s="50">
        <v>1</v>
      </c>
      <c r="F1790" s="51">
        <f>VLOOKUP(A1790,'Componentes APUs'!$N$1:$Q$30,4,0)</f>
        <v>5500000</v>
      </c>
      <c r="G1790" s="51">
        <f>IFERROR(ROUNDUP(F1790*(E1790/21)/E1741,0),"-")</f>
        <v>523810</v>
      </c>
    </row>
    <row r="1791" spans="1:7" x14ac:dyDescent="0.25">
      <c r="A1791" s="50" t="s">
        <v>321</v>
      </c>
      <c r="B1791" s="72" t="str">
        <f>VLOOKUP(A1791,'Componentes APUs'!$N$1:$Q$30,2,0)</f>
        <v>Grúa Hidráulica</v>
      </c>
      <c r="C1791" s="73"/>
      <c r="D1791" s="70" t="str">
        <f>VLOOKUP(A1791,'Componentes APUs'!$N$1:$Q$30,3,0)</f>
        <v>U</v>
      </c>
      <c r="E1791" s="50">
        <v>0</v>
      </c>
      <c r="F1791" s="51">
        <f>VLOOKUP(A1791,'Componentes APUs'!$N$1:$Q$30,4,0)</f>
        <v>21000000</v>
      </c>
      <c r="G1791" s="51">
        <f>IFERROR(ROUNDUP(F1791*(E1791/21)/E1741,0),"-")</f>
        <v>0</v>
      </c>
    </row>
    <row r="1792" spans="1:7" x14ac:dyDescent="0.25">
      <c r="A1792" s="69" t="s">
        <v>1379</v>
      </c>
      <c r="B1792" s="72" t="str">
        <f>VLOOKUP(A1792,'Componentes APUs'!$N$1:$Q$30,2,0)</f>
        <v>Dumper de descarga Frontal 2T</v>
      </c>
      <c r="C1792" s="73"/>
      <c r="D1792" s="70" t="str">
        <f>VLOOKUP(A1792,'Componentes APUs'!$N$1:$Q$30,3,0)</f>
        <v>U</v>
      </c>
      <c r="E1792" s="50">
        <v>0</v>
      </c>
      <c r="F1792" s="51">
        <f>VLOOKUP(A1792,'Componentes APUs'!$N$1:$Q$30,4,0)</f>
        <v>4438716.24</v>
      </c>
      <c r="G1792" s="51">
        <f>IFERROR(ROUNDUP(F1792*(E1792/21)/E1741,0),"-")</f>
        <v>0</v>
      </c>
    </row>
    <row r="1793" spans="1:7" x14ac:dyDescent="0.25">
      <c r="A1793" s="50" t="s">
        <v>323</v>
      </c>
      <c r="B1793" s="72" t="str">
        <f>VLOOKUP(A1793,'Componentes APUs'!$N$1:$Q$30,2,0)</f>
        <v>Volqueta</v>
      </c>
      <c r="C1793" s="73"/>
      <c r="D1793" s="70" t="str">
        <f>VLOOKUP(A1793,'Componentes APUs'!$N$1:$Q$30,3,0)</f>
        <v>U</v>
      </c>
      <c r="E1793" s="50">
        <v>0</v>
      </c>
      <c r="F1793" s="51">
        <f>VLOOKUP(A1793,'Componentes APUs'!$N$1:$Q$30,4,0)</f>
        <v>14828184</v>
      </c>
      <c r="G1793" s="51">
        <f>IFERROR(ROUNDUP(F1793*(E1793/21)/E1741,0),"-")</f>
        <v>0</v>
      </c>
    </row>
    <row r="1794" spans="1:7" x14ac:dyDescent="0.25">
      <c r="A1794" s="69" t="s">
        <v>324</v>
      </c>
      <c r="B1794" s="72" t="str">
        <f>VLOOKUP(A1794,'Componentes APUs'!$N$1:$Q$30,2,0)</f>
        <v>Retroexcavadora</v>
      </c>
      <c r="C1794" s="73"/>
      <c r="D1794" s="70" t="str">
        <f>VLOOKUP(A1794,'Componentes APUs'!$N$1:$Q$30,3,0)</f>
        <v>U</v>
      </c>
      <c r="E1794" s="50">
        <v>0</v>
      </c>
      <c r="F1794" s="51">
        <f>VLOOKUP(A1794,'Componentes APUs'!$N$1:$Q$30,4,0)</f>
        <v>46030656</v>
      </c>
      <c r="G1794" s="51">
        <f>IFERROR(ROUNDUP(F1794*(E1794/21)/E1741,0),"-")</f>
        <v>0</v>
      </c>
    </row>
    <row r="1795" spans="1:7" x14ac:dyDescent="0.25">
      <c r="A1795" s="219" t="s">
        <v>99</v>
      </c>
      <c r="B1795" s="219"/>
      <c r="C1795" s="219"/>
      <c r="D1795" s="219"/>
      <c r="E1795" s="219"/>
      <c r="F1795" s="219"/>
      <c r="G1795" s="52">
        <f>SUM(G1790:G1794)</f>
        <v>523810</v>
      </c>
    </row>
    <row r="1796" spans="1:7" x14ac:dyDescent="0.25">
      <c r="A1796" s="56"/>
      <c r="B1796" s="57"/>
      <c r="C1796" s="57"/>
      <c r="D1796" s="57"/>
      <c r="E1796" s="57"/>
      <c r="F1796" s="57"/>
      <c r="G1796" s="58"/>
    </row>
    <row r="1797" spans="1:7" x14ac:dyDescent="0.25">
      <c r="A1797" s="219" t="s">
        <v>1516</v>
      </c>
      <c r="B1797" s="219"/>
      <c r="C1797" s="219"/>
      <c r="D1797" s="219"/>
      <c r="E1797" s="219"/>
      <c r="F1797" s="219"/>
      <c r="G1797" s="52">
        <f>G1795+G1786+G1769+G1759+G1749</f>
        <v>7357085</v>
      </c>
    </row>
    <row r="1798" spans="1:7" x14ac:dyDescent="0.25">
      <c r="A1798" s="59"/>
      <c r="B1798" s="60"/>
      <c r="C1798" s="60"/>
      <c r="D1798" s="60"/>
      <c r="E1798" s="57"/>
      <c r="F1798" s="57"/>
      <c r="G1798" s="58"/>
    </row>
    <row r="1799" spans="1:7" x14ac:dyDescent="0.25">
      <c r="A1799" s="64"/>
      <c r="D1799" s="55"/>
      <c r="E1799" s="49" t="s">
        <v>25</v>
      </c>
      <c r="F1799" s="54">
        <v>0.15</v>
      </c>
      <c r="G1799" s="51">
        <f>G1797*F1799</f>
        <v>1103562.75</v>
      </c>
    </row>
    <row r="1800" spans="1:7" x14ac:dyDescent="0.25">
      <c r="A1800" s="64"/>
      <c r="D1800" s="55"/>
      <c r="E1800" s="49" t="s">
        <v>26</v>
      </c>
      <c r="F1800" s="54">
        <v>0.05</v>
      </c>
      <c r="G1800" s="51">
        <f>G1797*F1800</f>
        <v>367854.25</v>
      </c>
    </row>
    <row r="1801" spans="1:7" x14ac:dyDescent="0.25">
      <c r="A1801" s="61"/>
      <c r="B1801" s="65"/>
      <c r="C1801" s="65"/>
      <c r="D1801" s="62"/>
      <c r="E1801" s="49" t="s">
        <v>27</v>
      </c>
      <c r="F1801" s="54">
        <v>0.05</v>
      </c>
      <c r="G1801" s="51">
        <f>G1797*F1801</f>
        <v>367854.25</v>
      </c>
    </row>
    <row r="1802" spans="1:7" x14ac:dyDescent="0.25">
      <c r="A1802" s="61"/>
      <c r="B1802" s="62"/>
      <c r="C1802" s="62"/>
      <c r="D1802" s="62"/>
      <c r="E1802" s="62"/>
      <c r="F1802" s="62"/>
      <c r="G1802" s="63"/>
    </row>
    <row r="1803" spans="1:7" x14ac:dyDescent="0.25">
      <c r="A1803" s="219" t="s">
        <v>1517</v>
      </c>
      <c r="B1803" s="219"/>
      <c r="C1803" s="219"/>
      <c r="D1803" s="219"/>
      <c r="E1803" s="219"/>
      <c r="F1803" s="219"/>
      <c r="G1803" s="52">
        <f>G1797+G1799+G1800+G1801</f>
        <v>9196356.25</v>
      </c>
    </row>
    <row r="1804" spans="1:7" x14ac:dyDescent="0.25">
      <c r="A1804" s="59"/>
      <c r="B1804" s="60"/>
      <c r="C1804" s="60"/>
      <c r="D1804" s="60"/>
      <c r="E1804" s="57"/>
      <c r="F1804" s="57"/>
      <c r="G1804" s="58"/>
    </row>
    <row r="1805" spans="1:7" x14ac:dyDescent="0.25">
      <c r="A1805" s="64"/>
      <c r="D1805" s="55"/>
      <c r="E1805" s="49" t="s">
        <v>102</v>
      </c>
      <c r="F1805" s="49" t="s">
        <v>103</v>
      </c>
      <c r="G1805" s="51">
        <f>G1801*19%</f>
        <v>69892.307499999995</v>
      </c>
    </row>
    <row r="1806" spans="1:7" x14ac:dyDescent="0.25">
      <c r="A1806" s="61"/>
      <c r="B1806" s="62"/>
      <c r="C1806" s="62"/>
      <c r="D1806" s="62"/>
      <c r="E1806" s="57"/>
      <c r="F1806" s="57"/>
      <c r="G1806" s="58"/>
    </row>
    <row r="1807" spans="1:7" x14ac:dyDescent="0.25">
      <c r="A1807" s="219" t="s">
        <v>104</v>
      </c>
      <c r="B1807" s="219"/>
      <c r="C1807" s="219"/>
      <c r="D1807" s="219"/>
      <c r="E1807" s="219"/>
      <c r="F1807" s="219"/>
      <c r="G1807" s="52">
        <f>G1805+G1803</f>
        <v>9266248.5574999992</v>
      </c>
    </row>
    <row r="1809" spans="1:9" x14ac:dyDescent="0.25">
      <c r="A1809" s="74" t="s">
        <v>29</v>
      </c>
      <c r="B1809" s="226" t="s">
        <v>30</v>
      </c>
      <c r="C1809" s="226"/>
      <c r="D1809" s="74" t="s">
        <v>31</v>
      </c>
      <c r="E1809" s="74" t="s">
        <v>32</v>
      </c>
      <c r="F1809" s="74" t="s">
        <v>189</v>
      </c>
      <c r="G1809" s="74" t="s">
        <v>33</v>
      </c>
      <c r="H1809" s="105"/>
    </row>
    <row r="1810" spans="1:9" ht="28.5" customHeight="1" x14ac:dyDescent="0.25">
      <c r="A1810" s="50" t="str">
        <f>Presupuesto!B36</f>
        <v>028_OC</v>
      </c>
      <c r="B1810" s="229" t="str">
        <f>Presupuesto!C36</f>
        <v>REFUERZO PARA BANCO DE DUCTO DE 0,8X0,1 m 3000 PSI PARA CRUCE DE VIAS (NORMA ENEL CS-221)</v>
      </c>
      <c r="C1810" s="230"/>
      <c r="D1810" s="50" t="s">
        <v>108</v>
      </c>
      <c r="E1810" s="107">
        <v>35</v>
      </c>
      <c r="F1810" s="50"/>
      <c r="G1810" s="51">
        <f>G1873</f>
        <v>105655.67650000002</v>
      </c>
      <c r="H1810" s="45"/>
    </row>
    <row r="1811" spans="1:9" x14ac:dyDescent="0.25">
      <c r="A1811" s="219" t="s">
        <v>34</v>
      </c>
      <c r="B1811" s="219"/>
      <c r="C1811" s="219"/>
      <c r="D1811" s="219"/>
      <c r="E1811" s="219"/>
      <c r="F1811" s="219"/>
      <c r="G1811" s="219"/>
    </row>
    <row r="1812" spans="1:9" x14ac:dyDescent="0.25">
      <c r="A1812" s="49" t="s">
        <v>35</v>
      </c>
      <c r="B1812" s="219" t="s">
        <v>36</v>
      </c>
      <c r="C1812" s="219"/>
      <c r="D1812" s="49" t="s">
        <v>37</v>
      </c>
      <c r="E1812" s="49" t="s">
        <v>38</v>
      </c>
      <c r="F1812" s="49" t="s">
        <v>39</v>
      </c>
      <c r="G1812" s="49" t="s">
        <v>40</v>
      </c>
    </row>
    <row r="1813" spans="1:9" x14ac:dyDescent="0.25">
      <c r="A1813" s="50" t="str">
        <f>Material!A15</f>
        <v>MA-14</v>
      </c>
      <c r="B1813" s="72" t="str">
        <f>IFERROR(VLOOKUP(A1813,Material!$A:$H,2,0),"-")</f>
        <v>CONCRETO DE 3000 PSI</v>
      </c>
      <c r="C1813" s="76"/>
      <c r="D1813" s="50" t="str">
        <f>IFERROR(VLOOKUP(A1813,Material!$A:$H,4,0),"-")</f>
        <v>M3</v>
      </c>
      <c r="E1813" s="107">
        <f>0.8*0.1</f>
        <v>8.0000000000000016E-2</v>
      </c>
      <c r="F1813" s="51">
        <f>IFERROR(VLOOKUP(A1813,Material!$A:$H,3,0),"-")</f>
        <v>620227.23330691375</v>
      </c>
      <c r="G1813" s="51">
        <f t="shared" ref="G1813" si="24">IFERROR(ROUNDUP(F1813*E1813,0),"-")</f>
        <v>49619</v>
      </c>
      <c r="H1813" s="106"/>
    </row>
    <row r="1814" spans="1:9" x14ac:dyDescent="0.25">
      <c r="A1814" s="50" t="str">
        <f>Material!A14</f>
        <v>MA-13</v>
      </c>
      <c r="B1814" s="72" t="str">
        <f>IFERROR(VLOOKUP(A1814,Material!$A:$H,2,0),"-")</f>
        <v>MALLA ELECTROSOLDADA 4 mm</v>
      </c>
      <c r="C1814" s="76"/>
      <c r="D1814" s="50" t="str">
        <f>IFERROR(VLOOKUP(A1814,Material!$A:$H,4,0),"-")</f>
        <v>M2</v>
      </c>
      <c r="E1814" s="107">
        <v>0.8</v>
      </c>
      <c r="F1814" s="51">
        <f>IFERROR(VLOOKUP(A1814,Material!$A:$H,3,0),"-")</f>
        <v>8577</v>
      </c>
      <c r="G1814" s="51">
        <f t="shared" ref="G1814" si="25">IFERROR(ROUNDUP(F1814*E1814,0),"-")</f>
        <v>6862</v>
      </c>
      <c r="H1814" s="106"/>
    </row>
    <row r="1815" spans="1:9" x14ac:dyDescent="0.25">
      <c r="A1815" s="219" t="s">
        <v>41</v>
      </c>
      <c r="B1815" s="219"/>
      <c r="C1815" s="219"/>
      <c r="D1815" s="219"/>
      <c r="E1815" s="219"/>
      <c r="F1815" s="219"/>
      <c r="G1815" s="52">
        <f>SUM(G1813:G1814)</f>
        <v>56481</v>
      </c>
      <c r="I1815" s="104"/>
    </row>
    <row r="1816" spans="1:9" x14ac:dyDescent="0.25">
      <c r="A1816" s="56"/>
      <c r="B1816" s="57"/>
      <c r="C1816" s="57"/>
      <c r="D1816" s="57"/>
      <c r="E1816" s="57"/>
      <c r="F1816" s="57"/>
      <c r="G1816" s="58"/>
    </row>
    <row r="1817" spans="1:9" x14ac:dyDescent="0.25">
      <c r="A1817" s="219" t="s">
        <v>42</v>
      </c>
      <c r="B1817" s="219"/>
      <c r="C1817" s="219"/>
      <c r="D1817" s="219"/>
      <c r="E1817" s="219"/>
      <c r="F1817" s="219"/>
      <c r="G1817" s="219"/>
    </row>
    <row r="1818" spans="1:9" x14ac:dyDescent="0.25">
      <c r="A1818" s="49" t="s">
        <v>35</v>
      </c>
      <c r="B1818" s="49" t="s">
        <v>36</v>
      </c>
      <c r="C1818" s="49" t="s">
        <v>38</v>
      </c>
      <c r="D1818" s="49" t="s">
        <v>43</v>
      </c>
      <c r="E1818" s="49" t="s">
        <v>44</v>
      </c>
      <c r="F1818" s="49" t="s">
        <v>45</v>
      </c>
      <c r="G1818" s="49" t="s">
        <v>40</v>
      </c>
    </row>
    <row r="1819" spans="1:9" x14ac:dyDescent="0.25">
      <c r="A1819" s="50" t="s">
        <v>319</v>
      </c>
      <c r="B1819" s="68" t="str">
        <f>VLOOKUP(A1819,'Componentes APUs'!$H$1:$L$25,2,0)</f>
        <v>Ingeniero Residente de Obra</v>
      </c>
      <c r="C1819" s="93">
        <v>0.25</v>
      </c>
      <c r="D1819" s="50">
        <f>VLOOKUP(A1819,'Componentes APUs'!$H$1:$L$25,3,0)</f>
        <v>4</v>
      </c>
      <c r="E1819" s="51">
        <f>VLOOKUP(A1819,'Componentes APUs'!$H$1:$L$25,4,0)</f>
        <v>271142.85714285716</v>
      </c>
      <c r="F1819" s="51">
        <f>VLOOKUP(A1819,'Componentes APUs'!$H$1:$L$25,5,0)</f>
        <v>162685.71428571429</v>
      </c>
      <c r="G1819" s="51">
        <f>ROUNDUP((E1819+F1819)*C1819/E1810,0)</f>
        <v>3099</v>
      </c>
      <c r="H1819" s="66"/>
    </row>
    <row r="1820" spans="1:9" x14ac:dyDescent="0.25">
      <c r="A1820" s="50" t="s">
        <v>320</v>
      </c>
      <c r="B1820" s="68" t="str">
        <f>VLOOKUP(A1820,'Componentes APUs'!$H$1:$L$25,2,0)</f>
        <v>Tecnico Supervisor</v>
      </c>
      <c r="C1820" s="93">
        <v>0</v>
      </c>
      <c r="D1820" s="50">
        <f>VLOOKUP(A1820,'Componentes APUs'!$H$1:$L$25,3,0)</f>
        <v>2.2999999999999998</v>
      </c>
      <c r="E1820" s="51">
        <f>VLOOKUP(A1820,'Componentes APUs'!$H$1:$L$25,4,0)</f>
        <v>155907.14285714284</v>
      </c>
      <c r="F1820" s="51">
        <f>VLOOKUP(A1820,'Componentes APUs'!$H$1:$L$25,5,0)</f>
        <v>93544.285714285696</v>
      </c>
      <c r="G1820" s="51">
        <f>ROUNDUP((E1820+F1820)*C1820/E1810,0)</f>
        <v>0</v>
      </c>
    </row>
    <row r="1821" spans="1:9" x14ac:dyDescent="0.25">
      <c r="A1821" s="50" t="s">
        <v>54</v>
      </c>
      <c r="B1821" s="68" t="str">
        <f>VLOOKUP(A1821,'Componentes APUs'!$H$1:$L$25,2,0)</f>
        <v>Maestro de obra civil</v>
      </c>
      <c r="C1821" s="93">
        <v>0.25</v>
      </c>
      <c r="D1821" s="50">
        <f>VLOOKUP(A1821,'Componentes APUs'!$H$1:$L$25,3,0)</f>
        <v>2.5</v>
      </c>
      <c r="E1821" s="51">
        <f>VLOOKUP(A1821,'Componentes APUs'!$H$1:$L$25,4,0)</f>
        <v>169464.28571428571</v>
      </c>
      <c r="F1821" s="51">
        <f>VLOOKUP(A1821,'Componentes APUs'!$H$1:$L$25,5,0)</f>
        <v>101678.57142857142</v>
      </c>
      <c r="G1821" s="51">
        <f>ROUNDUP((E1821+F1821)*C1821/E1810,0)</f>
        <v>1937</v>
      </c>
    </row>
    <row r="1822" spans="1:9" x14ac:dyDescent="0.25">
      <c r="A1822" s="50" t="s">
        <v>1110</v>
      </c>
      <c r="B1822" s="68" t="str">
        <f>VLOOKUP(A1822,'Componentes APUs'!$H$1:$L$25,2,0)</f>
        <v>Oficial de Obra Civil</v>
      </c>
      <c r="C1822" s="93">
        <v>1</v>
      </c>
      <c r="D1822" s="50">
        <f>VLOOKUP(A1822,'Componentes APUs'!$H$1:$L$25,3,0)</f>
        <v>1.5</v>
      </c>
      <c r="E1822" s="51">
        <f>VLOOKUP(A1822,'Componentes APUs'!$H$1:$L$25,4,0)</f>
        <v>115964.28571428571</v>
      </c>
      <c r="F1822" s="51">
        <f>VLOOKUP(A1822,'Componentes APUs'!$H$1:$L$25,5,0)</f>
        <v>69578.57142857142</v>
      </c>
      <c r="G1822" s="51">
        <f>ROUNDUP((E1822+F1822)*C1822/E1810,0)</f>
        <v>5302</v>
      </c>
    </row>
    <row r="1823" spans="1:9" x14ac:dyDescent="0.25">
      <c r="A1823" s="50" t="s">
        <v>50</v>
      </c>
      <c r="B1823" s="68" t="str">
        <f>VLOOKUP(A1823,'Componentes APUs'!$H$1:$L$25,2,0)</f>
        <v>Profesional en SST</v>
      </c>
      <c r="C1823" s="93">
        <v>0.25</v>
      </c>
      <c r="D1823" s="50">
        <f>VLOOKUP(A1823,'Componentes APUs'!$H$1:$L$25,3,0)</f>
        <v>2.5</v>
      </c>
      <c r="E1823" s="51">
        <f>VLOOKUP(A1823,'Componentes APUs'!$H$1:$L$25,4,0)</f>
        <v>169464.28571428571</v>
      </c>
      <c r="F1823" s="51">
        <f>VLOOKUP(A1823,'Componentes APUs'!$H$1:$L$25,5,0)</f>
        <v>101678.57142857142</v>
      </c>
      <c r="G1823" s="51">
        <f>ROUNDUP((E1823+F1823)*C1823/E1810,0)</f>
        <v>1937</v>
      </c>
    </row>
    <row r="1824" spans="1:9" x14ac:dyDescent="0.25">
      <c r="A1824" s="50" t="s">
        <v>1109</v>
      </c>
      <c r="B1824" s="68" t="str">
        <f>VLOOKUP(A1824,'Componentes APUs'!$H$1:$L$25,2,0)</f>
        <v>Ayudante de Obra Civil</v>
      </c>
      <c r="C1824" s="93">
        <v>2</v>
      </c>
      <c r="D1824" s="50">
        <f>VLOOKUP(A1824,'Componentes APUs'!$H$1:$L$25,3,0)</f>
        <v>1</v>
      </c>
      <c r="E1824" s="51">
        <f>VLOOKUP(A1824,'Componentes APUs'!$H$1:$L$25,4,0)</f>
        <v>77309.523809523816</v>
      </c>
      <c r="F1824" s="51">
        <f>VLOOKUP(A1824,'Componentes APUs'!$H$1:$L$25,5,0)</f>
        <v>46385.71428571429</v>
      </c>
      <c r="G1824" s="51">
        <f>ROUNDUP((E1824+F1824)*C1824/E1810,0)</f>
        <v>7069</v>
      </c>
    </row>
    <row r="1825" spans="1:9" x14ac:dyDescent="0.25">
      <c r="A1825" s="219" t="s">
        <v>56</v>
      </c>
      <c r="B1825" s="219"/>
      <c r="C1825" s="219"/>
      <c r="D1825" s="219"/>
      <c r="E1825" s="219"/>
      <c r="F1825" s="219"/>
      <c r="G1825" s="52">
        <f>SUM(G1819:G1824)</f>
        <v>19344</v>
      </c>
    </row>
    <row r="1826" spans="1:9" x14ac:dyDescent="0.25">
      <c r="A1826" s="56"/>
      <c r="B1826" s="57"/>
      <c r="C1826" s="57"/>
      <c r="D1826" s="57"/>
      <c r="E1826" s="57"/>
      <c r="F1826" s="57"/>
      <c r="G1826" s="58"/>
    </row>
    <row r="1827" spans="1:9" x14ac:dyDescent="0.25">
      <c r="A1827" s="219" t="s">
        <v>57</v>
      </c>
      <c r="B1827" s="219"/>
      <c r="C1827" s="219"/>
      <c r="D1827" s="219"/>
      <c r="E1827" s="219"/>
      <c r="F1827" s="219"/>
      <c r="G1827" s="219"/>
    </row>
    <row r="1828" spans="1:9" x14ac:dyDescent="0.25">
      <c r="A1828" s="49" t="s">
        <v>35</v>
      </c>
      <c r="B1828" s="219" t="s">
        <v>36</v>
      </c>
      <c r="C1828" s="219"/>
      <c r="D1828" s="49" t="s">
        <v>37</v>
      </c>
      <c r="E1828" s="49" t="s">
        <v>38</v>
      </c>
      <c r="F1828" s="49" t="s">
        <v>39</v>
      </c>
      <c r="G1828" s="49" t="s">
        <v>40</v>
      </c>
    </row>
    <row r="1829" spans="1:9" x14ac:dyDescent="0.25">
      <c r="A1829" s="50" t="s">
        <v>326</v>
      </c>
      <c r="B1829" s="220" t="str">
        <f>VLOOKUP(A1829,'Componentes APUs'!$S$1:$V$10,2,0)</f>
        <v>Juego Llaves</v>
      </c>
      <c r="C1829" s="220"/>
      <c r="D1829" s="50" t="s">
        <v>18</v>
      </c>
      <c r="E1829" s="50">
        <v>0</v>
      </c>
      <c r="F1829" s="51">
        <f>VLOOKUP(A1829,'Componentes APUs'!$S$1:$V$10,4,0)</f>
        <v>9167</v>
      </c>
      <c r="G1829" s="51">
        <f>ROUNDUP(F1829*((E1829/21)/E1810),0)</f>
        <v>0</v>
      </c>
      <c r="I1829" s="91"/>
    </row>
    <row r="1830" spans="1:9" x14ac:dyDescent="0.25">
      <c r="A1830" s="50" t="s">
        <v>58</v>
      </c>
      <c r="B1830" s="220" t="str">
        <f>VLOOKUP(A1830,'Componentes APUs'!$S$1:$V$10,2,0)</f>
        <v>Manila de servicio</v>
      </c>
      <c r="C1830" s="220"/>
      <c r="D1830" s="50" t="s">
        <v>18</v>
      </c>
      <c r="E1830" s="50">
        <v>0</v>
      </c>
      <c r="F1830" s="51">
        <f>VLOOKUP(A1830,'Componentes APUs'!$S$1:$V$10,4,0)</f>
        <v>2333</v>
      </c>
      <c r="G1830" s="51">
        <f>ROUNDUP(F1830*((E1830/21)/E1810),0)</f>
        <v>0</v>
      </c>
    </row>
    <row r="1831" spans="1:9" x14ac:dyDescent="0.25">
      <c r="A1831" s="50" t="s">
        <v>327</v>
      </c>
      <c r="B1831" s="220" t="str">
        <f>VLOOKUP(A1831,'Componentes APUs'!$S$1:$V$10,2,0)</f>
        <v>Tula portaherramientas</v>
      </c>
      <c r="C1831" s="220"/>
      <c r="D1831" s="50" t="s">
        <v>18</v>
      </c>
      <c r="E1831" s="50">
        <v>0</v>
      </c>
      <c r="F1831" s="51">
        <f>VLOOKUP(A1831,'Componentes APUs'!$S$1:$V$10,4,0)</f>
        <v>1250</v>
      </c>
      <c r="G1831" s="51">
        <f>ROUNDUP(F1831*((E1831/21)/E1810),0)</f>
        <v>0</v>
      </c>
    </row>
    <row r="1832" spans="1:9" x14ac:dyDescent="0.25">
      <c r="A1832" s="50" t="s">
        <v>60</v>
      </c>
      <c r="B1832" s="220" t="str">
        <f>VLOOKUP(A1832,'Componentes APUs'!$S$1:$V$10,2,0)</f>
        <v>Agarradoras</v>
      </c>
      <c r="C1832" s="220"/>
      <c r="D1832" s="50" t="s">
        <v>18</v>
      </c>
      <c r="E1832" s="50">
        <v>0</v>
      </c>
      <c r="F1832" s="51">
        <f>VLOOKUP(A1832,'Componentes APUs'!$S$1:$V$10,4,0)</f>
        <v>125000</v>
      </c>
      <c r="G1832" s="51">
        <f>ROUNDUP(F1832*((E1832/21)/E1810),0)</f>
        <v>0</v>
      </c>
    </row>
    <row r="1833" spans="1:9" x14ac:dyDescent="0.25">
      <c r="A1833" s="50" t="s">
        <v>62</v>
      </c>
      <c r="B1833" s="220" t="str">
        <f>VLOOKUP(A1833,'Componentes APUs'!$S$1:$V$10,2,0)</f>
        <v>Templadoras</v>
      </c>
      <c r="C1833" s="220"/>
      <c r="D1833" s="50" t="s">
        <v>18</v>
      </c>
      <c r="E1833" s="50">
        <v>0</v>
      </c>
      <c r="F1833" s="51">
        <f>VLOOKUP(A1833,'Componentes APUs'!$S$1:$V$10,4,0)</f>
        <v>250000</v>
      </c>
      <c r="G1833" s="51">
        <f>ROUNDUP(F1833*((E1833/21)/E1810),0)</f>
        <v>0</v>
      </c>
    </row>
    <row r="1834" spans="1:9" x14ac:dyDescent="0.25">
      <c r="A1834" s="50" t="s">
        <v>328</v>
      </c>
      <c r="B1834" s="220" t="str">
        <f>VLOOKUP(A1834,'Componentes APUs'!$S$1:$V$10,2,0)</f>
        <v>Herramienta Menor</v>
      </c>
      <c r="C1834" s="220"/>
      <c r="D1834" s="50" t="s">
        <v>18</v>
      </c>
      <c r="E1834" s="50">
        <v>3</v>
      </c>
      <c r="F1834" s="51">
        <f>VLOOKUP(A1834,'Componentes APUs'!$S$1:$V$10,4,0)</f>
        <v>75758</v>
      </c>
      <c r="G1834" s="51">
        <f>ROUNDUP(F1834*((E1834/21)/E1810),0)</f>
        <v>310</v>
      </c>
    </row>
    <row r="1835" spans="1:9" x14ac:dyDescent="0.25">
      <c r="A1835" s="219" t="s">
        <v>69</v>
      </c>
      <c r="B1835" s="219"/>
      <c r="C1835" s="219"/>
      <c r="D1835" s="219"/>
      <c r="E1835" s="219"/>
      <c r="F1835" s="219"/>
      <c r="G1835" s="52">
        <f>SUM(G1829:G1834)</f>
        <v>310</v>
      </c>
    </row>
    <row r="1836" spans="1:9" x14ac:dyDescent="0.25">
      <c r="A1836" s="56"/>
      <c r="B1836" s="57"/>
      <c r="C1836" s="57"/>
      <c r="D1836" s="57"/>
      <c r="E1836" s="57"/>
      <c r="F1836" s="57"/>
      <c r="G1836" s="58"/>
    </row>
    <row r="1837" spans="1:9" x14ac:dyDescent="0.25">
      <c r="A1837" s="219" t="s">
        <v>70</v>
      </c>
      <c r="B1837" s="219"/>
      <c r="C1837" s="219"/>
      <c r="D1837" s="219"/>
      <c r="E1837" s="219"/>
      <c r="F1837" s="219"/>
      <c r="G1837" s="219"/>
    </row>
    <row r="1838" spans="1:9" x14ac:dyDescent="0.25">
      <c r="A1838" s="49" t="s">
        <v>35</v>
      </c>
      <c r="B1838" s="219" t="s">
        <v>36</v>
      </c>
      <c r="C1838" s="219"/>
      <c r="D1838" s="49" t="s">
        <v>37</v>
      </c>
      <c r="E1838" s="49" t="s">
        <v>38</v>
      </c>
      <c r="F1838" s="49" t="s">
        <v>39</v>
      </c>
      <c r="G1838" s="49" t="s">
        <v>40</v>
      </c>
    </row>
    <row r="1839" spans="1:9" x14ac:dyDescent="0.25">
      <c r="A1839" s="50" t="s">
        <v>71</v>
      </c>
      <c r="B1839" s="71" t="str">
        <f>VLOOKUP(A1839,'Componentes APUs'!$A$1:$D$14,2,0)</f>
        <v>Camisa indigo sin partes metalicas</v>
      </c>
      <c r="C1839" s="71"/>
      <c r="D1839" s="50" t="str">
        <f>VLOOKUP(A1839,'Componentes APUs'!$A$1:$D$14,3,0)</f>
        <v>U</v>
      </c>
      <c r="E1839" s="50">
        <f>SUM(C1819:C1824)</f>
        <v>3.75</v>
      </c>
      <c r="F1839" s="51">
        <f>VLOOKUP(A1839,'Componentes APUs'!$A$1:$D$14,4,0)</f>
        <v>8585.8585858585866</v>
      </c>
      <c r="G1839" s="51">
        <f>ROUNDUP(F1839*(E1839/21)/E1810,0)</f>
        <v>44</v>
      </c>
      <c r="I1839" s="91"/>
    </row>
    <row r="1840" spans="1:9" x14ac:dyDescent="0.25">
      <c r="A1840" s="69" t="s">
        <v>73</v>
      </c>
      <c r="B1840" s="72" t="str">
        <f>VLOOKUP(A1840,'Componentes APUs'!$A$1:$D$14,2,0)</f>
        <v>Bota de seguridad dielectrica</v>
      </c>
      <c r="C1840" s="73"/>
      <c r="D1840" s="70" t="str">
        <f>VLOOKUP(A1840,'Componentes APUs'!$A$1:$D$14,3,0)</f>
        <v>Par</v>
      </c>
      <c r="E1840" s="50">
        <f>SUM(C1819:C1824)</f>
        <v>3.75</v>
      </c>
      <c r="F1840" s="51">
        <f>VLOOKUP(A1840,'Componentes APUs'!$A$1:$D$14,4,0)</f>
        <v>7500</v>
      </c>
      <c r="G1840" s="51">
        <f>ROUNDUP(F1840*(E1840/21)/E1810,0)</f>
        <v>39</v>
      </c>
    </row>
    <row r="1841" spans="1:7" x14ac:dyDescent="0.25">
      <c r="A1841" s="50" t="s">
        <v>76</v>
      </c>
      <c r="B1841" s="72" t="str">
        <f>VLOOKUP(A1841,'Componentes APUs'!$A$1:$D$14,2,0)</f>
        <v>Casco dielectrico Tipo 1 Clase E con barbuquejo</v>
      </c>
      <c r="C1841" s="73"/>
      <c r="D1841" s="50" t="str">
        <f>VLOOKUP(A1841,'Componentes APUs'!$A$1:$D$14,3,0)</f>
        <v>U</v>
      </c>
      <c r="E1841" s="50">
        <f>C1819+C1820+C1822+C1823+C1824+IF(A1821&lt;&gt;"MO-3",C1821,0)</f>
        <v>3.75</v>
      </c>
      <c r="F1841" s="51">
        <f>VLOOKUP(A1841,'Componentes APUs'!$A$1:$D$14,4,0)</f>
        <v>10101.010101010101</v>
      </c>
      <c r="G1841" s="51">
        <f>ROUNDUP(F1841*(E1841/21)/E1810,0)</f>
        <v>52</v>
      </c>
    </row>
    <row r="1842" spans="1:7" x14ac:dyDescent="0.25">
      <c r="A1842" s="69" t="s">
        <v>77</v>
      </c>
      <c r="B1842" s="72" t="str">
        <f>VLOOKUP(A1842,'Componentes APUs'!$A$1:$D$14,2,0)</f>
        <v>Correa plastica y antiflama</v>
      </c>
      <c r="C1842" s="73"/>
      <c r="D1842" s="50" t="str">
        <f>VLOOKUP(A1842,'Componentes APUs'!$A$1:$D$14,3,0)</f>
        <v>U</v>
      </c>
      <c r="E1842" s="50">
        <f>SUM(C1819:C1824)</f>
        <v>3.75</v>
      </c>
      <c r="F1842" s="51">
        <f>VLOOKUP(A1842,'Componentes APUs'!$A$1:$D$14,4,0)</f>
        <v>3787.878787878788</v>
      </c>
      <c r="G1842" s="51">
        <f>ROUNDUP(F1842*(E1842/21)/E1810,0)</f>
        <v>20</v>
      </c>
    </row>
    <row r="1843" spans="1:7" x14ac:dyDescent="0.25">
      <c r="A1843" s="50" t="s">
        <v>79</v>
      </c>
      <c r="B1843" s="72" t="str">
        <f>VLOOKUP(A1843,'Componentes APUs'!$A$1:$D$14,2,0)</f>
        <v>Gafas protectoras filtro UV</v>
      </c>
      <c r="C1843" s="73"/>
      <c r="D1843" s="50" t="str">
        <f>VLOOKUP(A1843,'Componentes APUs'!$A$1:$D$14,3,0)</f>
        <v>U</v>
      </c>
      <c r="E1843" s="50">
        <f>SUM(C1819:C1824)</f>
        <v>3.75</v>
      </c>
      <c r="F1843" s="51">
        <f>VLOOKUP(A1843,'Componentes APUs'!$A$1:$D$14,4,0)</f>
        <v>2777.7777777777778</v>
      </c>
      <c r="G1843" s="51">
        <f>ROUNDUP(F1843*(E1843/21)/E1810,0)</f>
        <v>15</v>
      </c>
    </row>
    <row r="1844" spans="1:7" x14ac:dyDescent="0.25">
      <c r="A1844" s="69" t="s">
        <v>402</v>
      </c>
      <c r="B1844" s="72" t="str">
        <f>VLOOKUP(A1844,'Componentes APUs'!$A$1:$D$14,2,0)</f>
        <v>Bota de seguridad PVC dielectrica</v>
      </c>
      <c r="C1844" s="73"/>
      <c r="D1844" s="50" t="str">
        <f>VLOOKUP(A1844,'Componentes APUs'!$A$1:$D$14,3,0)</f>
        <v>Par</v>
      </c>
      <c r="E1844" s="50">
        <f>SUM(C1819:C1824)</f>
        <v>3.75</v>
      </c>
      <c r="F1844" s="51">
        <f>VLOOKUP(A1844,'Componentes APUs'!$A$1:$D$14,4,0)</f>
        <v>2916.6666666666665</v>
      </c>
      <c r="G1844" s="51">
        <f>ROUNDUP(F1844*(E1844/21)/E1810,0)</f>
        <v>15</v>
      </c>
    </row>
    <row r="1845" spans="1:7" x14ac:dyDescent="0.25">
      <c r="A1845" s="50" t="s">
        <v>403</v>
      </c>
      <c r="B1845" s="72" t="str">
        <f>VLOOKUP(A1845,'Componentes APUs'!$A$1:$D$14,2,0)</f>
        <v>Capuchon</v>
      </c>
      <c r="C1845" s="73"/>
      <c r="D1845" s="50" t="str">
        <f>VLOOKUP(A1845,'Componentes APUs'!$A$1:$D$14,3,0)</f>
        <v>U</v>
      </c>
      <c r="E1845" s="50">
        <f>SUM(C1819:C1824)</f>
        <v>3.75</v>
      </c>
      <c r="F1845" s="51">
        <f>VLOOKUP(A1845,'Componentes APUs'!$A$1:$D$14,4,0)</f>
        <v>2525.2525252525252</v>
      </c>
      <c r="G1845" s="51">
        <f>ROUNDUP(F1845*(E1845/21)/E1810,0)</f>
        <v>13</v>
      </c>
    </row>
    <row r="1846" spans="1:7" x14ac:dyDescent="0.25">
      <c r="A1846" s="69" t="s">
        <v>81</v>
      </c>
      <c r="B1846" s="72" t="str">
        <f>VLOOKUP(A1846,'Componentes APUs'!$A$1:$D$14,2,0)</f>
        <v>Guantes Protectores  - ingeniero reforzados</v>
      </c>
      <c r="C1846" s="73"/>
      <c r="D1846" s="50" t="str">
        <f>VLOOKUP(A1846,'Componentes APUs'!$A$1:$D$14,3,0)</f>
        <v>Par</v>
      </c>
      <c r="E1846" s="50">
        <f>C1821+C1822+C1824</f>
        <v>3.25</v>
      </c>
      <c r="F1846" s="51">
        <f>VLOOKUP(A1846,'Componentes APUs'!$A$1:$D$14,4,0)</f>
        <v>2525.2525252525252</v>
      </c>
      <c r="G1846" s="51">
        <f>ROUNDUP(F1846*(E1846/21)/E1810,0)</f>
        <v>12</v>
      </c>
    </row>
    <row r="1847" spans="1:7" x14ac:dyDescent="0.25">
      <c r="A1847" s="50" t="s">
        <v>83</v>
      </c>
      <c r="B1847" s="72" t="str">
        <f>VLOOKUP(A1847,'Componentes APUs'!$A$1:$D$14,2,0)</f>
        <v>Impermeable (pantalon camisa)</v>
      </c>
      <c r="C1847" s="73"/>
      <c r="D1847" s="50" t="str">
        <f>VLOOKUP(A1847,'Componentes APUs'!$A$1:$D$14,3,0)</f>
        <v>U</v>
      </c>
      <c r="E1847" s="50">
        <f>SUM(C1819:C1824)</f>
        <v>3.75</v>
      </c>
      <c r="F1847" s="51">
        <f>VLOOKUP(A1847,'Componentes APUs'!$A$1:$D$14,4,0)</f>
        <v>3750</v>
      </c>
      <c r="G1847" s="51">
        <f>ROUNDUP(F1847*(E1847/21)/E1810,0)</f>
        <v>20</v>
      </c>
    </row>
    <row r="1848" spans="1:7" x14ac:dyDescent="0.25">
      <c r="A1848" s="69" t="s">
        <v>85</v>
      </c>
      <c r="B1848" s="72" t="str">
        <f>VLOOKUP(A1848,'Componentes APUs'!$A$1:$D$14,2,0)</f>
        <v>Jean Dielectrico</v>
      </c>
      <c r="C1848" s="73"/>
      <c r="D1848" s="50" t="str">
        <f>VLOOKUP(A1848,'Componentes APUs'!$A$1:$D$14,3,0)</f>
        <v>U</v>
      </c>
      <c r="E1848" s="50">
        <f>SUM(C1819:C1824)</f>
        <v>3.75</v>
      </c>
      <c r="F1848" s="51">
        <f>VLOOKUP(A1848,'Componentes APUs'!$A$1:$D$14,4,0)</f>
        <v>7575.757575757576</v>
      </c>
      <c r="G1848" s="51">
        <f>ROUNDUP(F1848*(E1848/21)/E1810,0)</f>
        <v>39</v>
      </c>
    </row>
    <row r="1849" spans="1:7" x14ac:dyDescent="0.25">
      <c r="A1849" s="50" t="s">
        <v>87</v>
      </c>
      <c r="B1849" s="72" t="str">
        <f>VLOOKUP(A1849,'Componentes APUs'!$A$1:$D$14,2,0)</f>
        <v>Casco dielectrico Tipo 2 Clase E con barboquejo</v>
      </c>
      <c r="C1849" s="73"/>
      <c r="D1849" s="50" t="str">
        <f>VLOOKUP(A1849,'Componentes APUs'!$A$1:$D$14,3,0)</f>
        <v>U</v>
      </c>
      <c r="E1849" s="53">
        <f>IF(A1821="MO-3",C1821,0)</f>
        <v>0</v>
      </c>
      <c r="F1849" s="51">
        <f>VLOOKUP(A1849,'Componentes APUs'!$A$1:$D$14,4,0)</f>
        <v>7500</v>
      </c>
      <c r="G1849" s="51">
        <f>ROUNDUP(F1849*(E1849/21)/E1810,0)</f>
        <v>0</v>
      </c>
    </row>
    <row r="1850" spans="1:7" x14ac:dyDescent="0.25">
      <c r="A1850" s="69" t="s">
        <v>89</v>
      </c>
      <c r="B1850" s="72" t="str">
        <f>VLOOKUP(A1850,'Componentes APUs'!$A$1:$D$14,2,0)</f>
        <v>Kit de rescate para trabajo en alturas</v>
      </c>
      <c r="C1850" s="73"/>
      <c r="D1850" s="50" t="str">
        <f>VLOOKUP(A1850,'Componentes APUs'!$A$1:$D$14,3,0)</f>
        <v>U</v>
      </c>
      <c r="E1850" s="50">
        <f>IF(AND(A1821="MO-3",C1821=2),1,0)</f>
        <v>0</v>
      </c>
      <c r="F1850" s="51">
        <f>VLOOKUP(A1850,'Componentes APUs'!$A$1:$D$14,4,0)</f>
        <v>37500</v>
      </c>
      <c r="G1850" s="51">
        <f>ROUNDUP(F1850*(E1850/21)/E1810,0)</f>
        <v>0</v>
      </c>
    </row>
    <row r="1851" spans="1:7" x14ac:dyDescent="0.25">
      <c r="A1851" s="50" t="s">
        <v>91</v>
      </c>
      <c r="B1851" s="72" t="str">
        <f>VLOOKUP(A1851,'Componentes APUs'!$A$1:$D$14,2,0)</f>
        <v>Equipo completo para trabajo en alturas con pretales (Arnes dielectrico, 1 mosqueton de seguridad, tie off dielectrico, eslinga de posicionamiento, juego de pretales)</v>
      </c>
      <c r="C1851" s="73"/>
      <c r="D1851" s="50" t="str">
        <f>VLOOKUP(A1851,'Componentes APUs'!$A$1:$D$14,3,0)</f>
        <v>U</v>
      </c>
      <c r="E1851" s="50">
        <f>IF(A1821="MO-3",C1821,0)</f>
        <v>0</v>
      </c>
      <c r="F1851" s="51">
        <f>VLOOKUP(A1851,'Componentes APUs'!$A$1:$D$14,4,0)</f>
        <v>26041.666666666668</v>
      </c>
      <c r="G1851" s="51">
        <f>ROUNDUP(F1851*(E1851/21)/E1810,0)</f>
        <v>0</v>
      </c>
    </row>
    <row r="1852" spans="1:7" x14ac:dyDescent="0.25">
      <c r="A1852" s="219" t="s">
        <v>95</v>
      </c>
      <c r="B1852" s="219"/>
      <c r="C1852" s="219"/>
      <c r="D1852" s="219"/>
      <c r="E1852" s="219"/>
      <c r="F1852" s="219"/>
      <c r="G1852" s="52">
        <f>SUM(G1839:G1851)</f>
        <v>269</v>
      </c>
    </row>
    <row r="1853" spans="1:7" x14ac:dyDescent="0.25">
      <c r="A1853" s="56"/>
      <c r="B1853" s="57"/>
      <c r="C1853" s="57"/>
      <c r="D1853" s="57"/>
      <c r="E1853" s="57"/>
      <c r="F1853" s="57"/>
      <c r="G1853" s="58"/>
    </row>
    <row r="1854" spans="1:7" x14ac:dyDescent="0.25">
      <c r="A1854" s="219" t="s">
        <v>96</v>
      </c>
      <c r="B1854" s="219"/>
      <c r="C1854" s="219"/>
      <c r="D1854" s="219"/>
      <c r="E1854" s="219"/>
      <c r="F1854" s="219"/>
      <c r="G1854" s="219"/>
    </row>
    <row r="1855" spans="1:7" x14ac:dyDescent="0.25">
      <c r="A1855" s="49" t="s">
        <v>35</v>
      </c>
      <c r="B1855" s="225" t="s">
        <v>36</v>
      </c>
      <c r="C1855" s="225"/>
      <c r="D1855" s="49" t="s">
        <v>37</v>
      </c>
      <c r="E1855" s="49" t="s">
        <v>38</v>
      </c>
      <c r="F1855" s="49" t="s">
        <v>39</v>
      </c>
      <c r="G1855" s="49" t="s">
        <v>40</v>
      </c>
    </row>
    <row r="1856" spans="1:7" x14ac:dyDescent="0.25">
      <c r="A1856" s="69" t="s">
        <v>97</v>
      </c>
      <c r="B1856" s="72" t="str">
        <f>VLOOKUP(A1856,'Componentes APUs'!$N$1:$Q$30,2,0)</f>
        <v>Camioneta</v>
      </c>
      <c r="C1856" s="73"/>
      <c r="D1856" s="70" t="str">
        <f>VLOOKUP(A1856,'Componentes APUs'!$N$1:$Q$30,3,0)</f>
        <v>U</v>
      </c>
      <c r="E1856" s="50">
        <v>1</v>
      </c>
      <c r="F1856" s="51">
        <f>VLOOKUP(A1856,'Componentes APUs'!$N$1:$Q$30,4,0)</f>
        <v>5500000</v>
      </c>
      <c r="G1856" s="51">
        <f>IFERROR(ROUNDUP(F1856*(E1856/21)/E1810,0),"-")</f>
        <v>7483</v>
      </c>
    </row>
    <row r="1857" spans="1:7" x14ac:dyDescent="0.25">
      <c r="A1857" s="50" t="s">
        <v>321</v>
      </c>
      <c r="B1857" s="72" t="str">
        <f>VLOOKUP(A1857,'Componentes APUs'!$N$1:$Q$30,2,0)</f>
        <v>Grúa Hidráulica</v>
      </c>
      <c r="C1857" s="73"/>
      <c r="D1857" s="70" t="str">
        <f>VLOOKUP(A1857,'Componentes APUs'!$N$1:$Q$30,3,0)</f>
        <v>U</v>
      </c>
      <c r="E1857" s="50">
        <v>0</v>
      </c>
      <c r="F1857" s="51">
        <f>VLOOKUP(A1857,'Componentes APUs'!$N$1:$Q$30,4,0)</f>
        <v>21000000</v>
      </c>
      <c r="G1857" s="51">
        <f>IFERROR(ROUNDUP(F1857*(E1857/21)/E1810,0),"-")</f>
        <v>0</v>
      </c>
    </row>
    <row r="1858" spans="1:7" x14ac:dyDescent="0.25">
      <c r="A1858" s="69" t="s">
        <v>1379</v>
      </c>
      <c r="B1858" s="72" t="str">
        <f>VLOOKUP(A1858,'Componentes APUs'!$N$1:$Q$30,2,0)</f>
        <v>Dumper de descarga Frontal 2T</v>
      </c>
      <c r="C1858" s="73"/>
      <c r="D1858" s="70" t="str">
        <f>VLOOKUP(A1858,'Componentes APUs'!$N$1:$Q$30,3,0)</f>
        <v>U</v>
      </c>
      <c r="E1858" s="50">
        <v>0</v>
      </c>
      <c r="F1858" s="51">
        <f>VLOOKUP(A1858,'Componentes APUs'!$N$1:$Q$30,4,0)</f>
        <v>4438716.24</v>
      </c>
      <c r="G1858" s="51">
        <f>IFERROR(ROUNDUP(F1858*(E1858/21)/E1810,0),"-")</f>
        <v>0</v>
      </c>
    </row>
    <row r="1859" spans="1:7" x14ac:dyDescent="0.25">
      <c r="A1859" s="50" t="s">
        <v>323</v>
      </c>
      <c r="B1859" s="72" t="str">
        <f>VLOOKUP(A1859,'Componentes APUs'!$N$1:$Q$30,2,0)</f>
        <v>Volqueta</v>
      </c>
      <c r="C1859" s="73"/>
      <c r="D1859" s="70" t="str">
        <f>VLOOKUP(A1859,'Componentes APUs'!$N$1:$Q$30,3,0)</f>
        <v>U</v>
      </c>
      <c r="E1859" s="50">
        <v>0</v>
      </c>
      <c r="F1859" s="51">
        <f>VLOOKUP(A1859,'Componentes APUs'!$N$1:$Q$30,4,0)</f>
        <v>14828184</v>
      </c>
      <c r="G1859" s="51">
        <f>IFERROR(ROUNDUP(F1859*(E1859/21)/E1810,0),"-")</f>
        <v>0</v>
      </c>
    </row>
    <row r="1860" spans="1:7" x14ac:dyDescent="0.25">
      <c r="A1860" s="69" t="s">
        <v>324</v>
      </c>
      <c r="B1860" s="72" t="str">
        <f>VLOOKUP(A1860,'Componentes APUs'!$N$1:$Q$30,2,0)</f>
        <v>Retroexcavadora</v>
      </c>
      <c r="C1860" s="73"/>
      <c r="D1860" s="70" t="str">
        <f>VLOOKUP(A1860,'Componentes APUs'!$N$1:$Q$30,3,0)</f>
        <v>U</v>
      </c>
      <c r="E1860" s="50">
        <v>0</v>
      </c>
      <c r="F1860" s="51">
        <f>VLOOKUP(A1860,'Componentes APUs'!$N$1:$Q$30,4,0)</f>
        <v>46030656</v>
      </c>
      <c r="G1860" s="51">
        <f>IFERROR(ROUNDUP(F1860*(E1860/21)/E1810,0),"-")</f>
        <v>0</v>
      </c>
    </row>
    <row r="1861" spans="1:7" x14ac:dyDescent="0.25">
      <c r="A1861" s="219" t="s">
        <v>99</v>
      </c>
      <c r="B1861" s="219"/>
      <c r="C1861" s="219"/>
      <c r="D1861" s="219"/>
      <c r="E1861" s="219"/>
      <c r="F1861" s="219"/>
      <c r="G1861" s="52">
        <f>SUM(G1856:G1860)</f>
        <v>7483</v>
      </c>
    </row>
    <row r="1862" spans="1:7" x14ac:dyDescent="0.25">
      <c r="A1862" s="56"/>
      <c r="B1862" s="57"/>
      <c r="C1862" s="57"/>
      <c r="D1862" s="57"/>
      <c r="E1862" s="57"/>
      <c r="F1862" s="57"/>
      <c r="G1862" s="58"/>
    </row>
    <row r="1863" spans="1:7" x14ac:dyDescent="0.25">
      <c r="A1863" s="219" t="s">
        <v>1516</v>
      </c>
      <c r="B1863" s="219"/>
      <c r="C1863" s="219"/>
      <c r="D1863" s="219"/>
      <c r="E1863" s="219"/>
      <c r="F1863" s="219"/>
      <c r="G1863" s="52">
        <f>G1861+G1852+G1835+G1825+G1815</f>
        <v>83887</v>
      </c>
    </row>
    <row r="1864" spans="1:7" x14ac:dyDescent="0.25">
      <c r="A1864" s="59"/>
      <c r="B1864" s="60"/>
      <c r="C1864" s="60"/>
      <c r="D1864" s="60"/>
      <c r="E1864" s="57"/>
      <c r="F1864" s="57"/>
      <c r="G1864" s="58"/>
    </row>
    <row r="1865" spans="1:7" x14ac:dyDescent="0.25">
      <c r="A1865" s="64"/>
      <c r="D1865" s="55"/>
      <c r="E1865" s="49" t="s">
        <v>25</v>
      </c>
      <c r="F1865" s="54">
        <v>0.15</v>
      </c>
      <c r="G1865" s="51">
        <f>G1863*F1865</f>
        <v>12583.05</v>
      </c>
    </row>
    <row r="1866" spans="1:7" x14ac:dyDescent="0.25">
      <c r="A1866" s="64"/>
      <c r="D1866" s="55"/>
      <c r="E1866" s="49" t="s">
        <v>26</v>
      </c>
      <c r="F1866" s="54">
        <v>0.05</v>
      </c>
      <c r="G1866" s="51">
        <f>G1863*F1866</f>
        <v>4194.3500000000004</v>
      </c>
    </row>
    <row r="1867" spans="1:7" x14ac:dyDescent="0.25">
      <c r="A1867" s="61"/>
      <c r="B1867" s="65"/>
      <c r="C1867" s="65"/>
      <c r="D1867" s="62"/>
      <c r="E1867" s="49" t="s">
        <v>27</v>
      </c>
      <c r="F1867" s="54">
        <v>0.05</v>
      </c>
      <c r="G1867" s="51">
        <f>G1863*F1867</f>
        <v>4194.3500000000004</v>
      </c>
    </row>
    <row r="1868" spans="1:7" x14ac:dyDescent="0.25">
      <c r="A1868" s="61"/>
      <c r="B1868" s="62"/>
      <c r="C1868" s="62"/>
      <c r="D1868" s="62"/>
      <c r="E1868" s="62"/>
      <c r="F1868" s="62"/>
      <c r="G1868" s="63"/>
    </row>
    <row r="1869" spans="1:7" x14ac:dyDescent="0.25">
      <c r="A1869" s="219" t="s">
        <v>1517</v>
      </c>
      <c r="B1869" s="219"/>
      <c r="C1869" s="219"/>
      <c r="D1869" s="219"/>
      <c r="E1869" s="219"/>
      <c r="F1869" s="219"/>
      <c r="G1869" s="52">
        <f>G1863+G1865+G1866+G1867</f>
        <v>104858.75000000001</v>
      </c>
    </row>
    <row r="1870" spans="1:7" x14ac:dyDescent="0.25">
      <c r="A1870" s="59"/>
      <c r="B1870" s="60"/>
      <c r="C1870" s="60"/>
      <c r="D1870" s="60"/>
      <c r="E1870" s="57"/>
      <c r="F1870" s="57"/>
      <c r="G1870" s="58"/>
    </row>
    <row r="1871" spans="1:7" x14ac:dyDescent="0.25">
      <c r="A1871" s="64"/>
      <c r="D1871" s="55"/>
      <c r="E1871" s="49" t="s">
        <v>102</v>
      </c>
      <c r="F1871" s="49" t="s">
        <v>103</v>
      </c>
      <c r="G1871" s="51">
        <f>G1867*19%</f>
        <v>796.92650000000003</v>
      </c>
    </row>
    <row r="1872" spans="1:7" x14ac:dyDescent="0.25">
      <c r="A1872" s="61"/>
      <c r="B1872" s="62"/>
      <c r="C1872" s="62"/>
      <c r="D1872" s="62"/>
      <c r="E1872" s="57"/>
      <c r="F1872" s="57"/>
      <c r="G1872" s="58"/>
    </row>
    <row r="1873" spans="1:9" x14ac:dyDescent="0.25">
      <c r="A1873" s="219" t="s">
        <v>104</v>
      </c>
      <c r="B1873" s="219"/>
      <c r="C1873" s="219"/>
      <c r="D1873" s="219"/>
      <c r="E1873" s="219"/>
      <c r="F1873" s="219"/>
      <c r="G1873" s="52">
        <f>G1871+G1869</f>
        <v>105655.67650000002</v>
      </c>
    </row>
    <row r="1875" spans="1:9" x14ac:dyDescent="0.25">
      <c r="A1875" s="74" t="s">
        <v>29</v>
      </c>
      <c r="B1875" s="237" t="s">
        <v>30</v>
      </c>
      <c r="C1875" s="238"/>
      <c r="D1875" s="74" t="s">
        <v>31</v>
      </c>
      <c r="E1875" s="74" t="s">
        <v>32</v>
      </c>
      <c r="F1875" s="74" t="s">
        <v>189</v>
      </c>
      <c r="G1875" s="74" t="s">
        <v>33</v>
      </c>
      <c r="H1875" s="105"/>
    </row>
    <row r="1876" spans="1:9" x14ac:dyDescent="0.25">
      <c r="A1876" s="50" t="str">
        <f>Presupuesto!B38</f>
        <v>029_OC</v>
      </c>
      <c r="B1876" s="229" t="str">
        <f>Presupuesto!C38</f>
        <v>EXCAVACION MANUAL EN MATERIAL COMÚN</v>
      </c>
      <c r="C1876" s="230"/>
      <c r="D1876" s="50" t="s">
        <v>114</v>
      </c>
      <c r="E1876" s="102">
        <v>12</v>
      </c>
      <c r="F1876" s="50"/>
      <c r="G1876" s="51">
        <f>G1938</f>
        <v>48295.527499999997</v>
      </c>
      <c r="H1876" s="45"/>
    </row>
    <row r="1877" spans="1:9" x14ac:dyDescent="0.25">
      <c r="A1877" s="234" t="s">
        <v>34</v>
      </c>
      <c r="B1877" s="236"/>
      <c r="C1877" s="236"/>
      <c r="D1877" s="236"/>
      <c r="E1877" s="236"/>
      <c r="F1877" s="236"/>
      <c r="G1877" s="235"/>
    </row>
    <row r="1878" spans="1:9" x14ac:dyDescent="0.25">
      <c r="A1878" s="49" t="s">
        <v>35</v>
      </c>
      <c r="B1878" s="234" t="s">
        <v>36</v>
      </c>
      <c r="C1878" s="235"/>
      <c r="D1878" s="49" t="s">
        <v>37</v>
      </c>
      <c r="E1878" s="49" t="s">
        <v>38</v>
      </c>
      <c r="F1878" s="49" t="s">
        <v>39</v>
      </c>
      <c r="G1878" s="49" t="s">
        <v>40</v>
      </c>
    </row>
    <row r="1879" spans="1:9" x14ac:dyDescent="0.25">
      <c r="A1879" s="50">
        <v>0</v>
      </c>
      <c r="B1879" s="72" t="str">
        <f>IFERROR(VLOOKUP(A1879,Material!$A:$H,2,0),"-")</f>
        <v>-</v>
      </c>
      <c r="C1879" s="76"/>
      <c r="D1879" s="50" t="str">
        <f>IFERROR(VLOOKUP(A1879,Material!$A:$H,4,0),"-")</f>
        <v>-</v>
      </c>
      <c r="E1879" s="50"/>
      <c r="F1879" s="51" t="str">
        <f>IFERROR(VLOOKUP(A1879,Material!$A:$H,3,0),"-")</f>
        <v>-</v>
      </c>
      <c r="G1879" s="51" t="str">
        <f>IFERROR(ROUNDUP(F1879*E1879,0),"-")</f>
        <v>-</v>
      </c>
    </row>
    <row r="1880" spans="1:9" x14ac:dyDescent="0.25">
      <c r="A1880" s="234" t="s">
        <v>41</v>
      </c>
      <c r="B1880" s="236"/>
      <c r="C1880" s="236"/>
      <c r="D1880" s="236"/>
      <c r="E1880" s="236"/>
      <c r="F1880" s="235"/>
      <c r="G1880" s="52">
        <f>SUM(G1879:G1879)</f>
        <v>0</v>
      </c>
      <c r="I1880" s="104"/>
    </row>
    <row r="1881" spans="1:9" x14ac:dyDescent="0.25">
      <c r="A1881" s="56"/>
      <c r="B1881" s="57"/>
      <c r="C1881" s="57"/>
      <c r="D1881" s="57"/>
      <c r="E1881" s="57"/>
      <c r="F1881" s="57"/>
      <c r="G1881" s="58"/>
    </row>
    <row r="1882" spans="1:9" x14ac:dyDescent="0.25">
      <c r="A1882" s="234" t="s">
        <v>42</v>
      </c>
      <c r="B1882" s="236"/>
      <c r="C1882" s="236"/>
      <c r="D1882" s="236"/>
      <c r="E1882" s="236"/>
      <c r="F1882" s="236"/>
      <c r="G1882" s="235"/>
    </row>
    <row r="1883" spans="1:9" x14ac:dyDescent="0.25">
      <c r="A1883" s="49" t="s">
        <v>35</v>
      </c>
      <c r="B1883" s="49" t="s">
        <v>36</v>
      </c>
      <c r="C1883" s="49" t="s">
        <v>38</v>
      </c>
      <c r="D1883" s="49" t="s">
        <v>43</v>
      </c>
      <c r="E1883" s="49" t="s">
        <v>44</v>
      </c>
      <c r="F1883" s="49" t="s">
        <v>45</v>
      </c>
      <c r="G1883" s="49" t="s">
        <v>40</v>
      </c>
    </row>
    <row r="1884" spans="1:9" x14ac:dyDescent="0.25">
      <c r="A1884" s="50" t="s">
        <v>319</v>
      </c>
      <c r="B1884" s="68" t="str">
        <f>VLOOKUP(A1884,'Componentes APUs'!$H$1:$L$25,2,0)</f>
        <v>Ingeniero Residente de Obra</v>
      </c>
      <c r="C1884" s="93">
        <v>0</v>
      </c>
      <c r="D1884" s="50">
        <f>VLOOKUP(A1884,'Componentes APUs'!$H$1:$L$25,3,0)</f>
        <v>4</v>
      </c>
      <c r="E1884" s="51">
        <f>VLOOKUP(A1884,'Componentes APUs'!$H$1:$L$25,4,0)</f>
        <v>271142.85714285716</v>
      </c>
      <c r="F1884" s="51">
        <f>VLOOKUP(A1884,'Componentes APUs'!$H$1:$L$25,5,0)</f>
        <v>162685.71428571429</v>
      </c>
      <c r="G1884" s="51">
        <f>ROUNDUP((E1884+F1884)*C1884/E1876,0)</f>
        <v>0</v>
      </c>
      <c r="H1884" s="66"/>
    </row>
    <row r="1885" spans="1:9" x14ac:dyDescent="0.25">
      <c r="A1885" s="50" t="s">
        <v>320</v>
      </c>
      <c r="B1885" s="68" t="str">
        <f>VLOOKUP(A1885,'Componentes APUs'!$H$1:$L$25,2,0)</f>
        <v>Tecnico Supervisor</v>
      </c>
      <c r="C1885" s="93">
        <v>0</v>
      </c>
      <c r="D1885" s="50">
        <f>VLOOKUP(A1885,'Componentes APUs'!$H$1:$L$25,3,0)</f>
        <v>2.2999999999999998</v>
      </c>
      <c r="E1885" s="51">
        <f>VLOOKUP(A1885,'Componentes APUs'!$H$1:$L$25,4,0)</f>
        <v>155907.14285714284</v>
      </c>
      <c r="F1885" s="51">
        <f>VLOOKUP(A1885,'Componentes APUs'!$H$1:$L$25,5,0)</f>
        <v>93544.285714285696</v>
      </c>
      <c r="G1885" s="51">
        <f>ROUNDUP((E1885+F1885)*C1885/E1876,0)</f>
        <v>0</v>
      </c>
    </row>
    <row r="1886" spans="1:9" x14ac:dyDescent="0.25">
      <c r="A1886" s="50" t="s">
        <v>54</v>
      </c>
      <c r="B1886" s="68" t="str">
        <f>VLOOKUP(A1886,'Componentes APUs'!$H$1:$L$25,2,0)</f>
        <v>Maestro de obra civil</v>
      </c>
      <c r="C1886" s="93">
        <v>0</v>
      </c>
      <c r="D1886" s="50">
        <f>VLOOKUP(A1886,'Componentes APUs'!$H$1:$L$25,3,0)</f>
        <v>2.5</v>
      </c>
      <c r="E1886" s="51">
        <f>VLOOKUP(A1886,'Componentes APUs'!$H$1:$L$25,4,0)</f>
        <v>169464.28571428571</v>
      </c>
      <c r="F1886" s="51">
        <f>VLOOKUP(A1886,'Componentes APUs'!$H$1:$L$25,5,0)</f>
        <v>101678.57142857142</v>
      </c>
      <c r="G1886" s="51">
        <f>ROUNDUP((E1886+F1886)*C1886/E1876,0)</f>
        <v>0</v>
      </c>
    </row>
    <row r="1887" spans="1:9" x14ac:dyDescent="0.25">
      <c r="A1887" s="50" t="s">
        <v>1110</v>
      </c>
      <c r="B1887" s="68" t="str">
        <f>VLOOKUP(A1887,'Componentes APUs'!$H$1:$L$25,2,0)</f>
        <v>Oficial de Obra Civil</v>
      </c>
      <c r="C1887" s="93">
        <v>0</v>
      </c>
      <c r="D1887" s="50">
        <f>VLOOKUP(A1887,'Componentes APUs'!$H$1:$L$25,3,0)</f>
        <v>1.5</v>
      </c>
      <c r="E1887" s="51">
        <f>VLOOKUP(A1887,'Componentes APUs'!$H$1:$L$25,4,0)</f>
        <v>115964.28571428571</v>
      </c>
      <c r="F1887" s="51">
        <f>VLOOKUP(A1887,'Componentes APUs'!$H$1:$L$25,5,0)</f>
        <v>69578.57142857142</v>
      </c>
      <c r="G1887" s="51">
        <f>ROUNDUP((E1887+F1887)*C1887/E1876,0)</f>
        <v>0</v>
      </c>
    </row>
    <row r="1888" spans="1:9" x14ac:dyDescent="0.25">
      <c r="A1888" s="50" t="s">
        <v>50</v>
      </c>
      <c r="B1888" s="68" t="str">
        <f>VLOOKUP(A1888,'Componentes APUs'!$H$1:$L$25,2,0)</f>
        <v>Profesional en SST</v>
      </c>
      <c r="C1888" s="93">
        <v>0.25</v>
      </c>
      <c r="D1888" s="50">
        <f>VLOOKUP(A1888,'Componentes APUs'!$H$1:$L$25,3,0)</f>
        <v>2.5</v>
      </c>
      <c r="E1888" s="51">
        <f>VLOOKUP(A1888,'Componentes APUs'!$H$1:$L$25,4,0)</f>
        <v>169464.28571428571</v>
      </c>
      <c r="F1888" s="51">
        <f>VLOOKUP(A1888,'Componentes APUs'!$H$1:$L$25,5,0)</f>
        <v>101678.57142857142</v>
      </c>
      <c r="G1888" s="51">
        <f>ROUNDUP((E1888+F1888)*C1888/E1876,0)</f>
        <v>5649</v>
      </c>
    </row>
    <row r="1889" spans="1:9" x14ac:dyDescent="0.25">
      <c r="A1889" s="50" t="s">
        <v>1109</v>
      </c>
      <c r="B1889" s="68" t="str">
        <f>VLOOKUP(A1889,'Componentes APUs'!$H$1:$L$25,2,0)</f>
        <v>Ayudante de Obra Civil</v>
      </c>
      <c r="C1889" s="93">
        <v>1</v>
      </c>
      <c r="D1889" s="50">
        <f>VLOOKUP(A1889,'Componentes APUs'!$H$1:$L$25,3,0)</f>
        <v>1</v>
      </c>
      <c r="E1889" s="51">
        <f>VLOOKUP(A1889,'Componentes APUs'!$H$1:$L$25,4,0)</f>
        <v>77309.523809523816</v>
      </c>
      <c r="F1889" s="51">
        <f>VLOOKUP(A1889,'Componentes APUs'!$H$1:$L$25,5,0)</f>
        <v>46385.71428571429</v>
      </c>
      <c r="G1889" s="51">
        <f>ROUNDUP((E1889+F1889)*C1889/E1876,0)</f>
        <v>10308</v>
      </c>
    </row>
    <row r="1890" spans="1:9" x14ac:dyDescent="0.25">
      <c r="A1890" s="234" t="s">
        <v>56</v>
      </c>
      <c r="B1890" s="236"/>
      <c r="C1890" s="236"/>
      <c r="D1890" s="236"/>
      <c r="E1890" s="236"/>
      <c r="F1890" s="235"/>
      <c r="G1890" s="52">
        <f>SUM(G1884:G1889)</f>
        <v>15957</v>
      </c>
    </row>
    <row r="1891" spans="1:9" x14ac:dyDescent="0.25">
      <c r="A1891" s="56"/>
      <c r="B1891" s="57"/>
      <c r="C1891" s="57"/>
      <c r="D1891" s="57"/>
      <c r="E1891" s="57"/>
      <c r="F1891" s="57"/>
      <c r="G1891" s="58"/>
    </row>
    <row r="1892" spans="1:9" x14ac:dyDescent="0.25">
      <c r="A1892" s="234" t="s">
        <v>57</v>
      </c>
      <c r="B1892" s="236"/>
      <c r="C1892" s="236"/>
      <c r="D1892" s="236"/>
      <c r="E1892" s="236"/>
      <c r="F1892" s="236"/>
      <c r="G1892" s="235"/>
    </row>
    <row r="1893" spans="1:9" x14ac:dyDescent="0.25">
      <c r="A1893" s="49" t="s">
        <v>35</v>
      </c>
      <c r="B1893" s="234" t="s">
        <v>36</v>
      </c>
      <c r="C1893" s="235"/>
      <c r="D1893" s="49" t="s">
        <v>37</v>
      </c>
      <c r="E1893" s="49" t="s">
        <v>38</v>
      </c>
      <c r="F1893" s="49" t="s">
        <v>39</v>
      </c>
      <c r="G1893" s="49" t="s">
        <v>40</v>
      </c>
    </row>
    <row r="1894" spans="1:9" x14ac:dyDescent="0.25">
      <c r="A1894" s="50" t="s">
        <v>326</v>
      </c>
      <c r="B1894" s="242" t="str">
        <f>VLOOKUP(A1894,'Componentes APUs'!$S$1:$V$10,2,0)</f>
        <v>Juego Llaves</v>
      </c>
      <c r="C1894" s="239"/>
      <c r="D1894" s="50" t="s">
        <v>18</v>
      </c>
      <c r="E1894" s="50">
        <v>0</v>
      </c>
      <c r="F1894" s="51">
        <f>VLOOKUP(A1894,'Componentes APUs'!$S$1:$V$10,4,0)</f>
        <v>9167</v>
      </c>
      <c r="G1894" s="51">
        <f>ROUNDUP(F1894*((E1894/21)/E1876),0)</f>
        <v>0</v>
      </c>
      <c r="I1894" s="91"/>
    </row>
    <row r="1895" spans="1:9" x14ac:dyDescent="0.25">
      <c r="A1895" s="50" t="s">
        <v>58</v>
      </c>
      <c r="B1895" s="242" t="str">
        <f>VLOOKUP(A1895,'Componentes APUs'!$S$1:$V$10,2,0)</f>
        <v>Manila de servicio</v>
      </c>
      <c r="C1895" s="239"/>
      <c r="D1895" s="50" t="s">
        <v>18</v>
      </c>
      <c r="E1895" s="50">
        <v>0</v>
      </c>
      <c r="F1895" s="51">
        <f>VLOOKUP(A1895,'Componentes APUs'!$S$1:$V$10,4,0)</f>
        <v>2333</v>
      </c>
      <c r="G1895" s="51">
        <f>ROUNDUP(F1895*((E1895/21)/E1876),0)</f>
        <v>0</v>
      </c>
    </row>
    <row r="1896" spans="1:9" x14ac:dyDescent="0.25">
      <c r="A1896" s="50" t="s">
        <v>327</v>
      </c>
      <c r="B1896" s="242" t="str">
        <f>VLOOKUP(A1896,'Componentes APUs'!$S$1:$V$10,2,0)</f>
        <v>Tula portaherramientas</v>
      </c>
      <c r="C1896" s="239"/>
      <c r="D1896" s="50" t="s">
        <v>18</v>
      </c>
      <c r="E1896" s="50">
        <v>0</v>
      </c>
      <c r="F1896" s="51">
        <f>VLOOKUP(A1896,'Componentes APUs'!$S$1:$V$10,4,0)</f>
        <v>1250</v>
      </c>
      <c r="G1896" s="51">
        <f>ROUNDUP(F1896*((E1896/21)/E1876),0)</f>
        <v>0</v>
      </c>
    </row>
    <row r="1897" spans="1:9" x14ac:dyDescent="0.25">
      <c r="A1897" s="50" t="s">
        <v>60</v>
      </c>
      <c r="B1897" s="242" t="str">
        <f>VLOOKUP(A1897,'Componentes APUs'!$S$1:$V$10,2,0)</f>
        <v>Agarradoras</v>
      </c>
      <c r="C1897" s="239"/>
      <c r="D1897" s="50" t="s">
        <v>18</v>
      </c>
      <c r="E1897" s="50">
        <v>0</v>
      </c>
      <c r="F1897" s="51">
        <f>VLOOKUP(A1897,'Componentes APUs'!$S$1:$V$10,4,0)</f>
        <v>125000</v>
      </c>
      <c r="G1897" s="51">
        <f>ROUNDUP(F1897*((E1897/21)/E1876),0)</f>
        <v>0</v>
      </c>
    </row>
    <row r="1898" spans="1:9" x14ac:dyDescent="0.25">
      <c r="A1898" s="50" t="s">
        <v>62</v>
      </c>
      <c r="B1898" s="242" t="str">
        <f>VLOOKUP(A1898,'Componentes APUs'!$S$1:$V$10,2,0)</f>
        <v>Templadoras</v>
      </c>
      <c r="C1898" s="239"/>
      <c r="D1898" s="50" t="s">
        <v>18</v>
      </c>
      <c r="E1898" s="50">
        <v>0</v>
      </c>
      <c r="F1898" s="51">
        <f>VLOOKUP(A1898,'Componentes APUs'!$S$1:$V$10,4,0)</f>
        <v>250000</v>
      </c>
      <c r="G1898" s="51">
        <f>ROUNDUP(F1898*((E1898/21)/E1876),0)</f>
        <v>0</v>
      </c>
    </row>
    <row r="1899" spans="1:9" x14ac:dyDescent="0.25">
      <c r="A1899" s="50" t="s">
        <v>328</v>
      </c>
      <c r="B1899" s="242" t="str">
        <f>VLOOKUP(A1899,'Componentes APUs'!$S$1:$V$10,2,0)</f>
        <v>Herramienta Menor</v>
      </c>
      <c r="C1899" s="239"/>
      <c r="D1899" s="50" t="s">
        <v>18</v>
      </c>
      <c r="E1899" s="50">
        <v>1</v>
      </c>
      <c r="F1899" s="51">
        <f>VLOOKUP(A1899,'Componentes APUs'!$S$1:$V$10,4,0)</f>
        <v>75758</v>
      </c>
      <c r="G1899" s="51">
        <f>ROUNDUP(F1899*((E1899/21)/E1876),0)</f>
        <v>301</v>
      </c>
    </row>
    <row r="1900" spans="1:9" x14ac:dyDescent="0.25">
      <c r="A1900" s="234" t="s">
        <v>69</v>
      </c>
      <c r="B1900" s="236"/>
      <c r="C1900" s="236"/>
      <c r="D1900" s="236"/>
      <c r="E1900" s="236"/>
      <c r="F1900" s="235"/>
      <c r="G1900" s="52">
        <f>SUM(G1894:G1899)</f>
        <v>301</v>
      </c>
    </row>
    <row r="1901" spans="1:9" x14ac:dyDescent="0.25">
      <c r="A1901" s="56"/>
      <c r="B1901" s="57"/>
      <c r="C1901" s="57"/>
      <c r="D1901" s="57"/>
      <c r="E1901" s="57"/>
      <c r="F1901" s="57"/>
      <c r="G1901" s="58"/>
    </row>
    <row r="1902" spans="1:9" x14ac:dyDescent="0.25">
      <c r="A1902" s="234" t="s">
        <v>70</v>
      </c>
      <c r="B1902" s="236"/>
      <c r="C1902" s="236"/>
      <c r="D1902" s="236"/>
      <c r="E1902" s="236"/>
      <c r="F1902" s="236"/>
      <c r="G1902" s="235"/>
    </row>
    <row r="1903" spans="1:9" x14ac:dyDescent="0.25">
      <c r="A1903" s="49" t="s">
        <v>35</v>
      </c>
      <c r="B1903" s="234" t="s">
        <v>36</v>
      </c>
      <c r="C1903" s="235"/>
      <c r="D1903" s="49" t="s">
        <v>37</v>
      </c>
      <c r="E1903" s="49" t="s">
        <v>38</v>
      </c>
      <c r="F1903" s="49" t="s">
        <v>39</v>
      </c>
      <c r="G1903" s="49" t="s">
        <v>40</v>
      </c>
    </row>
    <row r="1904" spans="1:9" x14ac:dyDescent="0.25">
      <c r="A1904" s="50" t="s">
        <v>71</v>
      </c>
      <c r="B1904" s="71" t="str">
        <f>VLOOKUP(A1904,'Componentes APUs'!$A$1:$D$14,2,0)</f>
        <v>Camisa indigo sin partes metalicas</v>
      </c>
      <c r="C1904" s="71"/>
      <c r="D1904" s="50" t="str">
        <f>VLOOKUP(A1904,'Componentes APUs'!$A$1:$D$14,3,0)</f>
        <v>U</v>
      </c>
      <c r="E1904" s="50">
        <f>SUM(C1884:C1889)</f>
        <v>1.25</v>
      </c>
      <c r="F1904" s="51">
        <f>VLOOKUP(A1904,'Componentes APUs'!$A$1:$D$14,4,0)</f>
        <v>8585.8585858585866</v>
      </c>
      <c r="G1904" s="51">
        <f>ROUNDUP(F1904*(E1904/21)/E1876,0)</f>
        <v>43</v>
      </c>
      <c r="I1904" s="91"/>
    </row>
    <row r="1905" spans="1:7" x14ac:dyDescent="0.25">
      <c r="A1905" s="69" t="s">
        <v>73</v>
      </c>
      <c r="B1905" s="72" t="str">
        <f>VLOOKUP(A1905,'Componentes APUs'!$A$1:$D$14,2,0)</f>
        <v>Bota de seguridad dielectrica</v>
      </c>
      <c r="C1905" s="73"/>
      <c r="D1905" s="70" t="str">
        <f>VLOOKUP(A1905,'Componentes APUs'!$A$1:$D$14,3,0)</f>
        <v>Par</v>
      </c>
      <c r="E1905" s="50">
        <f>SUM(C1884:C1889)</f>
        <v>1.25</v>
      </c>
      <c r="F1905" s="51">
        <f>VLOOKUP(A1905,'Componentes APUs'!$A$1:$D$14,4,0)</f>
        <v>7500</v>
      </c>
      <c r="G1905" s="51">
        <f>ROUNDUP(F1905*(E1905/21)/E1876,0)</f>
        <v>38</v>
      </c>
    </row>
    <row r="1906" spans="1:7" x14ac:dyDescent="0.25">
      <c r="A1906" s="50" t="s">
        <v>76</v>
      </c>
      <c r="B1906" s="72" t="str">
        <f>VLOOKUP(A1906,'Componentes APUs'!$A$1:$D$14,2,0)</f>
        <v>Casco dielectrico Tipo 1 Clase E con barbuquejo</v>
      </c>
      <c r="C1906" s="73"/>
      <c r="D1906" s="50" t="str">
        <f>VLOOKUP(A1906,'Componentes APUs'!$A$1:$D$14,3,0)</f>
        <v>U</v>
      </c>
      <c r="E1906" s="50">
        <f>C1884+C1885+C1887+C1888+C1889+IF(A1886&lt;&gt;"MO-3",C1886,0)</f>
        <v>1.25</v>
      </c>
      <c r="F1906" s="51">
        <f>VLOOKUP(A1906,'Componentes APUs'!$A$1:$D$14,4,0)</f>
        <v>10101.010101010101</v>
      </c>
      <c r="G1906" s="51">
        <f>ROUNDUP(F1906*(E1906/21)/E1876,0)</f>
        <v>51</v>
      </c>
    </row>
    <row r="1907" spans="1:7" x14ac:dyDescent="0.25">
      <c r="A1907" s="69" t="s">
        <v>77</v>
      </c>
      <c r="B1907" s="72" t="str">
        <f>VLOOKUP(A1907,'Componentes APUs'!$A$1:$D$14,2,0)</f>
        <v>Correa plastica y antiflama</v>
      </c>
      <c r="C1907" s="73"/>
      <c r="D1907" s="50" t="str">
        <f>VLOOKUP(A1907,'Componentes APUs'!$A$1:$D$14,3,0)</f>
        <v>U</v>
      </c>
      <c r="E1907" s="50">
        <f>SUM(C1884:C1889)</f>
        <v>1.25</v>
      </c>
      <c r="F1907" s="51">
        <f>VLOOKUP(A1907,'Componentes APUs'!$A$1:$D$14,4,0)</f>
        <v>3787.878787878788</v>
      </c>
      <c r="G1907" s="51">
        <f>ROUNDUP(F1907*(E1907/21)/E1876,0)</f>
        <v>19</v>
      </c>
    </row>
    <row r="1908" spans="1:7" x14ac:dyDescent="0.25">
      <c r="A1908" s="50" t="s">
        <v>79</v>
      </c>
      <c r="B1908" s="72" t="str">
        <f>VLOOKUP(A1908,'Componentes APUs'!$A$1:$D$14,2,0)</f>
        <v>Gafas protectoras filtro UV</v>
      </c>
      <c r="C1908" s="73"/>
      <c r="D1908" s="50" t="str">
        <f>VLOOKUP(A1908,'Componentes APUs'!$A$1:$D$14,3,0)</f>
        <v>U</v>
      </c>
      <c r="E1908" s="50">
        <f>SUM(C1884:C1889)</f>
        <v>1.25</v>
      </c>
      <c r="F1908" s="51">
        <f>VLOOKUP(A1908,'Componentes APUs'!$A$1:$D$14,4,0)</f>
        <v>2777.7777777777778</v>
      </c>
      <c r="G1908" s="51">
        <f>ROUNDUP(F1908*(E1908/21)/E1876,0)</f>
        <v>14</v>
      </c>
    </row>
    <row r="1909" spans="1:7" x14ac:dyDescent="0.25">
      <c r="A1909" s="69" t="s">
        <v>402</v>
      </c>
      <c r="B1909" s="72" t="str">
        <f>VLOOKUP(A1909,'Componentes APUs'!$A$1:$D$14,2,0)</f>
        <v>Bota de seguridad PVC dielectrica</v>
      </c>
      <c r="C1909" s="73"/>
      <c r="D1909" s="50" t="str">
        <f>VLOOKUP(A1909,'Componentes APUs'!$A$1:$D$14,3,0)</f>
        <v>Par</v>
      </c>
      <c r="E1909" s="50">
        <f>SUM(C1884:C1889)</f>
        <v>1.25</v>
      </c>
      <c r="F1909" s="51">
        <f>VLOOKUP(A1909,'Componentes APUs'!$A$1:$D$14,4,0)</f>
        <v>2916.6666666666665</v>
      </c>
      <c r="G1909" s="51">
        <f>ROUNDUP(F1909*(E1909/21)/E1876,0)</f>
        <v>15</v>
      </c>
    </row>
    <row r="1910" spans="1:7" x14ac:dyDescent="0.25">
      <c r="A1910" s="50" t="s">
        <v>403</v>
      </c>
      <c r="B1910" s="72" t="str">
        <f>VLOOKUP(A1910,'Componentes APUs'!$A$1:$D$14,2,0)</f>
        <v>Capuchon</v>
      </c>
      <c r="C1910" s="73"/>
      <c r="D1910" s="50" t="str">
        <f>VLOOKUP(A1910,'Componentes APUs'!$A$1:$D$14,3,0)</f>
        <v>U</v>
      </c>
      <c r="E1910" s="50">
        <f>SUM(C1884:C1889)</f>
        <v>1.25</v>
      </c>
      <c r="F1910" s="51">
        <f>VLOOKUP(A1910,'Componentes APUs'!$A$1:$D$14,4,0)</f>
        <v>2525.2525252525252</v>
      </c>
      <c r="G1910" s="51">
        <f>ROUNDUP(F1910*(E1910/21)/E1876,0)</f>
        <v>13</v>
      </c>
    </row>
    <row r="1911" spans="1:7" x14ac:dyDescent="0.25">
      <c r="A1911" s="69" t="s">
        <v>81</v>
      </c>
      <c r="B1911" s="72" t="str">
        <f>VLOOKUP(A1911,'Componentes APUs'!$A$1:$D$14,2,0)</f>
        <v>Guantes Protectores  - ingeniero reforzados</v>
      </c>
      <c r="C1911" s="73"/>
      <c r="D1911" s="50" t="str">
        <f>VLOOKUP(A1911,'Componentes APUs'!$A$1:$D$14,3,0)</f>
        <v>Par</v>
      </c>
      <c r="E1911" s="50">
        <f>C1886+C1887+C1889</f>
        <v>1</v>
      </c>
      <c r="F1911" s="51">
        <f>VLOOKUP(A1911,'Componentes APUs'!$A$1:$D$14,4,0)</f>
        <v>2525.2525252525252</v>
      </c>
      <c r="G1911" s="51">
        <f>ROUNDUP(F1911*(E1911/21)/E1876,0)</f>
        <v>11</v>
      </c>
    </row>
    <row r="1912" spans="1:7" x14ac:dyDescent="0.25">
      <c r="A1912" s="50" t="s">
        <v>83</v>
      </c>
      <c r="B1912" s="72" t="str">
        <f>VLOOKUP(A1912,'Componentes APUs'!$A$1:$D$14,2,0)</f>
        <v>Impermeable (pantalon camisa)</v>
      </c>
      <c r="C1912" s="73"/>
      <c r="D1912" s="50" t="str">
        <f>VLOOKUP(A1912,'Componentes APUs'!$A$1:$D$14,3,0)</f>
        <v>U</v>
      </c>
      <c r="E1912" s="50">
        <f>SUM(C1884:C1889)</f>
        <v>1.25</v>
      </c>
      <c r="F1912" s="51">
        <f>VLOOKUP(A1912,'Componentes APUs'!$A$1:$D$14,4,0)</f>
        <v>3750</v>
      </c>
      <c r="G1912" s="51">
        <f>ROUNDUP(F1912*(E1912/21)/E1876,0)</f>
        <v>19</v>
      </c>
    </row>
    <row r="1913" spans="1:7" x14ac:dyDescent="0.25">
      <c r="A1913" s="69" t="s">
        <v>85</v>
      </c>
      <c r="B1913" s="72" t="str">
        <f>VLOOKUP(A1913,'Componentes APUs'!$A$1:$D$14,2,0)</f>
        <v>Jean Dielectrico</v>
      </c>
      <c r="C1913" s="73"/>
      <c r="D1913" s="50" t="str">
        <f>VLOOKUP(A1913,'Componentes APUs'!$A$1:$D$14,3,0)</f>
        <v>U</v>
      </c>
      <c r="E1913" s="50">
        <f>SUM(C1884:C1889)</f>
        <v>1.25</v>
      </c>
      <c r="F1913" s="51">
        <f>VLOOKUP(A1913,'Componentes APUs'!$A$1:$D$14,4,0)</f>
        <v>7575.757575757576</v>
      </c>
      <c r="G1913" s="51">
        <f>ROUNDUP(F1913*(E1913/21)/E1876,0)</f>
        <v>38</v>
      </c>
    </row>
    <row r="1914" spans="1:7" x14ac:dyDescent="0.25">
      <c r="A1914" s="50" t="s">
        <v>87</v>
      </c>
      <c r="B1914" s="72" t="str">
        <f>VLOOKUP(A1914,'Componentes APUs'!$A$1:$D$14,2,0)</f>
        <v>Casco dielectrico Tipo 2 Clase E con barboquejo</v>
      </c>
      <c r="C1914" s="73"/>
      <c r="D1914" s="50" t="str">
        <f>VLOOKUP(A1914,'Componentes APUs'!$A$1:$D$14,3,0)</f>
        <v>U</v>
      </c>
      <c r="E1914" s="53">
        <f>IF(A1886="MO-3",C1886,0)</f>
        <v>0</v>
      </c>
      <c r="F1914" s="51">
        <f>VLOOKUP(A1914,'Componentes APUs'!$A$1:$D$14,4,0)</f>
        <v>7500</v>
      </c>
      <c r="G1914" s="51">
        <f>ROUNDUP(F1914*(E1914/21)/E1876,0)</f>
        <v>0</v>
      </c>
    </row>
    <row r="1915" spans="1:7" x14ac:dyDescent="0.25">
      <c r="A1915" s="69" t="s">
        <v>89</v>
      </c>
      <c r="B1915" s="72" t="str">
        <f>VLOOKUP(A1915,'Componentes APUs'!$A$1:$D$14,2,0)</f>
        <v>Kit de rescate para trabajo en alturas</v>
      </c>
      <c r="C1915" s="73"/>
      <c r="D1915" s="50" t="str">
        <f>VLOOKUP(A1915,'Componentes APUs'!$A$1:$D$14,3,0)</f>
        <v>U</v>
      </c>
      <c r="E1915" s="50">
        <f>IF(AND(A1886="MO-3",C1886=2),1,0)</f>
        <v>0</v>
      </c>
      <c r="F1915" s="51">
        <f>VLOOKUP(A1915,'Componentes APUs'!$A$1:$D$14,4,0)</f>
        <v>37500</v>
      </c>
      <c r="G1915" s="51">
        <f>ROUNDUP(F1915*(E1915/21)/E1876,0)</f>
        <v>0</v>
      </c>
    </row>
    <row r="1916" spans="1:7" x14ac:dyDescent="0.25">
      <c r="A1916" s="50" t="s">
        <v>91</v>
      </c>
      <c r="B1916" s="72" t="str">
        <f>VLOOKUP(A1916,'Componentes APUs'!$A$1:$D$14,2,0)</f>
        <v>Equipo completo para trabajo en alturas con pretales (Arnes dielectrico, 1 mosqueton de seguridad, tie off dielectrico, eslinga de posicionamiento, juego de pretales)</v>
      </c>
      <c r="C1916" s="73"/>
      <c r="D1916" s="50" t="str">
        <f>VLOOKUP(A1916,'Componentes APUs'!$A$1:$D$14,3,0)</f>
        <v>U</v>
      </c>
      <c r="E1916" s="50">
        <f>IF(A1886="MO-3",C1886,0)</f>
        <v>0</v>
      </c>
      <c r="F1916" s="51">
        <f>VLOOKUP(A1916,'Componentes APUs'!$A$1:$D$14,4,0)</f>
        <v>26041.666666666668</v>
      </c>
      <c r="G1916" s="51">
        <f>ROUNDUP(F1916*(E1916/21)/E1876,0)</f>
        <v>0</v>
      </c>
    </row>
    <row r="1917" spans="1:7" x14ac:dyDescent="0.25">
      <c r="A1917" s="234" t="s">
        <v>95</v>
      </c>
      <c r="B1917" s="236"/>
      <c r="C1917" s="236"/>
      <c r="D1917" s="236"/>
      <c r="E1917" s="236"/>
      <c r="F1917" s="235"/>
      <c r="G1917" s="52">
        <f>SUM(G1904:G1916)</f>
        <v>261</v>
      </c>
    </row>
    <row r="1918" spans="1:7" x14ac:dyDescent="0.25">
      <c r="A1918" s="56"/>
      <c r="B1918" s="57"/>
      <c r="C1918" s="57"/>
      <c r="D1918" s="57"/>
      <c r="E1918" s="57"/>
      <c r="F1918" s="57"/>
      <c r="G1918" s="58"/>
    </row>
    <row r="1919" spans="1:7" x14ac:dyDescent="0.25">
      <c r="A1919" s="234" t="s">
        <v>96</v>
      </c>
      <c r="B1919" s="236"/>
      <c r="C1919" s="236"/>
      <c r="D1919" s="236"/>
      <c r="E1919" s="236"/>
      <c r="F1919" s="236"/>
      <c r="G1919" s="235"/>
    </row>
    <row r="1920" spans="1:7" x14ac:dyDescent="0.25">
      <c r="A1920" s="49" t="s">
        <v>35</v>
      </c>
      <c r="B1920" s="234" t="s">
        <v>36</v>
      </c>
      <c r="C1920" s="235"/>
      <c r="D1920" s="49" t="s">
        <v>37</v>
      </c>
      <c r="E1920" s="49" t="s">
        <v>38</v>
      </c>
      <c r="F1920" s="49" t="s">
        <v>39</v>
      </c>
      <c r="G1920" s="49" t="s">
        <v>40</v>
      </c>
    </row>
    <row r="1921" spans="1:7" x14ac:dyDescent="0.25">
      <c r="A1921" s="69" t="s">
        <v>97</v>
      </c>
      <c r="B1921" s="72" t="str">
        <f>VLOOKUP(A1921,'Componentes APUs'!$N$1:$Q$30,2,0)</f>
        <v>Camioneta</v>
      </c>
      <c r="C1921" s="73"/>
      <c r="D1921" s="70" t="str">
        <f>VLOOKUP(A1921,'Componentes APUs'!$N$1:$Q$30,3,0)</f>
        <v>U</v>
      </c>
      <c r="E1921" s="50">
        <v>1</v>
      </c>
      <c r="F1921" s="51">
        <f>VLOOKUP(A1921,'Componentes APUs'!$N$1:$Q$30,4,0)</f>
        <v>5500000</v>
      </c>
      <c r="G1921" s="51">
        <f>IFERROR(ROUNDUP(F1921*(E1921/21)/E1876,0),"-")</f>
        <v>21826</v>
      </c>
    </row>
    <row r="1922" spans="1:7" x14ac:dyDescent="0.25">
      <c r="A1922" s="50" t="s">
        <v>321</v>
      </c>
      <c r="B1922" s="72" t="str">
        <f>VLOOKUP(A1922,'Componentes APUs'!$N$1:$Q$30,2,0)</f>
        <v>Grúa Hidráulica</v>
      </c>
      <c r="C1922" s="73"/>
      <c r="D1922" s="70" t="str">
        <f>VLOOKUP(A1922,'Componentes APUs'!$N$1:$Q$30,3,0)</f>
        <v>U</v>
      </c>
      <c r="E1922" s="50">
        <v>0</v>
      </c>
      <c r="F1922" s="51">
        <f>VLOOKUP(A1922,'Componentes APUs'!$N$1:$Q$30,4,0)</f>
        <v>21000000</v>
      </c>
      <c r="G1922" s="51">
        <f>IFERROR(ROUNDUP(F1922*(E1922/21)/E1876,0),"-")</f>
        <v>0</v>
      </c>
    </row>
    <row r="1923" spans="1:7" x14ac:dyDescent="0.25">
      <c r="A1923" s="69" t="s">
        <v>1379</v>
      </c>
      <c r="B1923" s="72" t="str">
        <f>VLOOKUP(A1923,'Componentes APUs'!$N$1:$Q$30,2,0)</f>
        <v>Dumper de descarga Frontal 2T</v>
      </c>
      <c r="C1923" s="73"/>
      <c r="D1923" s="70" t="str">
        <f>VLOOKUP(A1923,'Componentes APUs'!$N$1:$Q$30,3,0)</f>
        <v>U</v>
      </c>
      <c r="E1923" s="50">
        <v>0</v>
      </c>
      <c r="F1923" s="51">
        <f>VLOOKUP(A1923,'Componentes APUs'!$N$1:$Q$30,4,0)</f>
        <v>4438716.24</v>
      </c>
      <c r="G1923" s="51">
        <f>IFERROR(ROUNDUP(F1923*(E1923/21)/E1876,0),"-")</f>
        <v>0</v>
      </c>
    </row>
    <row r="1924" spans="1:7" x14ac:dyDescent="0.25">
      <c r="A1924" s="50" t="s">
        <v>323</v>
      </c>
      <c r="B1924" s="72" t="str">
        <f>VLOOKUP(A1924,'Componentes APUs'!$N$1:$Q$30,2,0)</f>
        <v>Volqueta</v>
      </c>
      <c r="C1924" s="73"/>
      <c r="D1924" s="70" t="str">
        <f>VLOOKUP(A1924,'Componentes APUs'!$N$1:$Q$30,3,0)</f>
        <v>U</v>
      </c>
      <c r="E1924" s="50">
        <v>0</v>
      </c>
      <c r="F1924" s="51">
        <f>VLOOKUP(A1924,'Componentes APUs'!$N$1:$Q$30,4,0)</f>
        <v>14828184</v>
      </c>
      <c r="G1924" s="51">
        <f>IFERROR(ROUNDUP(F1924*(E1924/21)/E1876,0),"-")</f>
        <v>0</v>
      </c>
    </row>
    <row r="1925" spans="1:7" x14ac:dyDescent="0.25">
      <c r="A1925" s="69" t="s">
        <v>324</v>
      </c>
      <c r="B1925" s="72" t="str">
        <f>VLOOKUP(A1925,'Componentes APUs'!$N$1:$Q$30,2,0)</f>
        <v>Retroexcavadora</v>
      </c>
      <c r="C1925" s="73"/>
      <c r="D1925" s="70" t="str">
        <f>VLOOKUP(A1925,'Componentes APUs'!$N$1:$Q$30,3,0)</f>
        <v>U</v>
      </c>
      <c r="E1925" s="50">
        <v>0</v>
      </c>
      <c r="F1925" s="51">
        <f>VLOOKUP(A1925,'Componentes APUs'!$N$1:$Q$30,4,0)</f>
        <v>46030656</v>
      </c>
      <c r="G1925" s="51">
        <f>IFERROR(ROUNDUP(F1925*(E1925/21)/E1876,0),"-")</f>
        <v>0</v>
      </c>
    </row>
    <row r="1926" spans="1:7" x14ac:dyDescent="0.25">
      <c r="A1926" s="234" t="s">
        <v>99</v>
      </c>
      <c r="B1926" s="236"/>
      <c r="C1926" s="236"/>
      <c r="D1926" s="236"/>
      <c r="E1926" s="236"/>
      <c r="F1926" s="235"/>
      <c r="G1926" s="52">
        <f>SUM(G1921:G1925)</f>
        <v>21826</v>
      </c>
    </row>
    <row r="1927" spans="1:7" x14ac:dyDescent="0.25">
      <c r="A1927" s="56"/>
      <c r="B1927" s="57"/>
      <c r="C1927" s="57"/>
      <c r="D1927" s="57"/>
      <c r="E1927" s="57"/>
      <c r="F1927" s="57"/>
      <c r="G1927" s="58"/>
    </row>
    <row r="1928" spans="1:7" x14ac:dyDescent="0.25">
      <c r="A1928" s="234" t="s">
        <v>1516</v>
      </c>
      <c r="B1928" s="236"/>
      <c r="C1928" s="236"/>
      <c r="D1928" s="236"/>
      <c r="E1928" s="236"/>
      <c r="F1928" s="235"/>
      <c r="G1928" s="52">
        <f>G1926+G1917+G1900+G1890+G1880</f>
        <v>38345</v>
      </c>
    </row>
    <row r="1929" spans="1:7" x14ac:dyDescent="0.25">
      <c r="A1929" s="59"/>
      <c r="B1929" s="60"/>
      <c r="C1929" s="60"/>
      <c r="D1929" s="60"/>
      <c r="E1929" s="57"/>
      <c r="F1929" s="57"/>
      <c r="G1929" s="58"/>
    </row>
    <row r="1930" spans="1:7" x14ac:dyDescent="0.25">
      <c r="A1930" s="64"/>
      <c r="D1930" s="55"/>
      <c r="E1930" s="49" t="s">
        <v>25</v>
      </c>
      <c r="F1930" s="54">
        <v>0.15</v>
      </c>
      <c r="G1930" s="51">
        <f>G1928*F1930</f>
        <v>5751.75</v>
      </c>
    </row>
    <row r="1931" spans="1:7" x14ac:dyDescent="0.25">
      <c r="A1931" s="64"/>
      <c r="D1931" s="55"/>
      <c r="E1931" s="49" t="s">
        <v>26</v>
      </c>
      <c r="F1931" s="54">
        <v>0.05</v>
      </c>
      <c r="G1931" s="51">
        <f>G1928*F1931</f>
        <v>1917.25</v>
      </c>
    </row>
    <row r="1932" spans="1:7" x14ac:dyDescent="0.25">
      <c r="A1932" s="61"/>
      <c r="B1932" s="65"/>
      <c r="C1932" s="65"/>
      <c r="D1932" s="62"/>
      <c r="E1932" s="49" t="s">
        <v>27</v>
      </c>
      <c r="F1932" s="54">
        <v>0.05</v>
      </c>
      <c r="G1932" s="51">
        <f>G1928*F1932</f>
        <v>1917.25</v>
      </c>
    </row>
    <row r="1933" spans="1:7" x14ac:dyDescent="0.25">
      <c r="A1933" s="61"/>
      <c r="B1933" s="62"/>
      <c r="C1933" s="62"/>
      <c r="D1933" s="62"/>
      <c r="E1933" s="62"/>
      <c r="F1933" s="62"/>
      <c r="G1933" s="63"/>
    </row>
    <row r="1934" spans="1:7" x14ac:dyDescent="0.25">
      <c r="A1934" s="234" t="s">
        <v>1517</v>
      </c>
      <c r="B1934" s="236"/>
      <c r="C1934" s="236"/>
      <c r="D1934" s="236"/>
      <c r="E1934" s="236"/>
      <c r="F1934" s="235"/>
      <c r="G1934" s="52">
        <f>G1928+G1930+G1931+G1932</f>
        <v>47931.25</v>
      </c>
    </row>
    <row r="1935" spans="1:7" x14ac:dyDescent="0.25">
      <c r="A1935" s="59"/>
      <c r="B1935" s="60"/>
      <c r="C1935" s="60"/>
      <c r="D1935" s="60"/>
      <c r="E1935" s="57"/>
      <c r="F1935" s="57"/>
      <c r="G1935" s="58"/>
    </row>
    <row r="1936" spans="1:7" x14ac:dyDescent="0.25">
      <c r="A1936" s="64"/>
      <c r="D1936" s="55"/>
      <c r="E1936" s="49" t="s">
        <v>102</v>
      </c>
      <c r="F1936" s="49" t="s">
        <v>103</v>
      </c>
      <c r="G1936" s="51">
        <f>G1932*19%</f>
        <v>364.27750000000003</v>
      </c>
    </row>
    <row r="1937" spans="1:9" x14ac:dyDescent="0.25">
      <c r="A1937" s="61"/>
      <c r="B1937" s="62"/>
      <c r="C1937" s="62"/>
      <c r="D1937" s="62"/>
      <c r="E1937" s="57"/>
      <c r="F1937" s="57"/>
      <c r="G1937" s="58"/>
    </row>
    <row r="1938" spans="1:9" x14ac:dyDescent="0.25">
      <c r="A1938" s="234" t="s">
        <v>104</v>
      </c>
      <c r="B1938" s="236"/>
      <c r="C1938" s="236"/>
      <c r="D1938" s="236"/>
      <c r="E1938" s="236"/>
      <c r="F1938" s="235"/>
      <c r="G1938" s="52">
        <f>G1936+G1934</f>
        <v>48295.527499999997</v>
      </c>
    </row>
    <row r="1940" spans="1:9" x14ac:dyDescent="0.25">
      <c r="A1940" s="74" t="s">
        <v>29</v>
      </c>
      <c r="B1940" s="226" t="s">
        <v>30</v>
      </c>
      <c r="C1940" s="226"/>
      <c r="D1940" s="74" t="s">
        <v>31</v>
      </c>
      <c r="E1940" s="74" t="s">
        <v>32</v>
      </c>
      <c r="F1940" s="74" t="s">
        <v>189</v>
      </c>
      <c r="G1940" s="74" t="s">
        <v>33</v>
      </c>
      <c r="H1940" s="105"/>
    </row>
    <row r="1941" spans="1:9" ht="26.25" customHeight="1" x14ac:dyDescent="0.25">
      <c r="A1941" s="50" t="str">
        <f>Presupuesto!B39</f>
        <v>030_OC</v>
      </c>
      <c r="B1941" s="229" t="str">
        <f>Presupuesto!C39</f>
        <v>FOSO DE TRANSFORMADOR Y CARRILERAS SEGÚN DISEÑO. INCLUYE RIEL DE DESPLAZAMIENTO.</v>
      </c>
      <c r="C1941" s="230"/>
      <c r="D1941" s="50" t="s">
        <v>8</v>
      </c>
      <c r="E1941" s="133">
        <f>1/6</f>
        <v>0.16666666666666666</v>
      </c>
      <c r="F1941" s="50"/>
      <c r="G1941" s="51">
        <f>G2007</f>
        <v>53073970.999499992</v>
      </c>
      <c r="H1941" s="45"/>
    </row>
    <row r="1942" spans="1:9" x14ac:dyDescent="0.25">
      <c r="A1942" s="219" t="s">
        <v>34</v>
      </c>
      <c r="B1942" s="219"/>
      <c r="C1942" s="219"/>
      <c r="D1942" s="219"/>
      <c r="E1942" s="219"/>
      <c r="F1942" s="219"/>
      <c r="G1942" s="219"/>
    </row>
    <row r="1943" spans="1:9" x14ac:dyDescent="0.25">
      <c r="A1943" s="49" t="s">
        <v>35</v>
      </c>
      <c r="B1943" s="219" t="s">
        <v>36</v>
      </c>
      <c r="C1943" s="219"/>
      <c r="D1943" s="49" t="s">
        <v>37</v>
      </c>
      <c r="E1943" s="49" t="s">
        <v>38</v>
      </c>
      <c r="F1943" s="49" t="s">
        <v>39</v>
      </c>
      <c r="G1943" s="49" t="s">
        <v>40</v>
      </c>
    </row>
    <row r="1944" spans="1:9" x14ac:dyDescent="0.25">
      <c r="A1944" s="50" t="str">
        <f>Material!A191</f>
        <v>MA-190</v>
      </c>
      <c r="B1944" s="72" t="str">
        <f>IFERROR(VLOOKUP(A1944,Material!$A:$H,2,0),"-")</f>
        <v>CONCRETO PARA SOLADO 2500 PSI</v>
      </c>
      <c r="C1944" s="76"/>
      <c r="D1944" s="50" t="str">
        <f>IFERROR(VLOOKUP(A1944,Material!$A:$H,4,0),"-")</f>
        <v>M3</v>
      </c>
      <c r="E1944" s="50">
        <v>2</v>
      </c>
      <c r="F1944" s="51">
        <f>IFERROR(VLOOKUP(A1944,Material!$A:$H,3,0),"-")</f>
        <v>760500</v>
      </c>
      <c r="G1944" s="51">
        <f>IFERROR(ROUNDUP(F1944*E1944,0),"-")</f>
        <v>1521000</v>
      </c>
    </row>
    <row r="1945" spans="1:9" x14ac:dyDescent="0.25">
      <c r="A1945" s="50" t="str">
        <f>Material!A460</f>
        <v>MA-459</v>
      </c>
      <c r="B1945" s="72" t="str">
        <f>IFERROR(VLOOKUP(A1945,Material!$A:$H,2,0),"-")</f>
        <v>CONCRETO 4000 PSI</v>
      </c>
      <c r="C1945" s="76"/>
      <c r="D1945" s="50" t="str">
        <f>IFERROR(VLOOKUP(A1945,Material!$A:$H,4,0),"-")</f>
        <v>M3</v>
      </c>
      <c r="E1945" s="50">
        <v>15</v>
      </c>
      <c r="F1945" s="51">
        <f>IFERROR(VLOOKUP(A1945,Material!$A:$H,3,0),"-")</f>
        <v>813410.53161779384</v>
      </c>
      <c r="G1945" s="51">
        <f>IFERROR(ROUNDUP(F1945*E1945,0),"-")</f>
        <v>12201158</v>
      </c>
    </row>
    <row r="1946" spans="1:9" x14ac:dyDescent="0.25">
      <c r="A1946" s="50" t="str">
        <f>Material!A597</f>
        <v>MA-596</v>
      </c>
      <c r="B1946" s="72" t="str">
        <f>IFERROR(VLOOKUP(A1946,Material!$A:$H,2,0),"-")</f>
        <v>ACERO DE REFUERZO FIGURADO</v>
      </c>
      <c r="C1946" s="76"/>
      <c r="D1946" s="50" t="str">
        <f>IFERROR(VLOOKUP(A1946,Material!$A:$H,4,0),"-")</f>
        <v>kG</v>
      </c>
      <c r="E1946" s="50">
        <v>2400</v>
      </c>
      <c r="F1946" s="51">
        <f>IFERROR(VLOOKUP(A1946,Material!$A:$H,3,0),"-")</f>
        <v>5106.4000000000005</v>
      </c>
      <c r="G1946" s="51">
        <f>IFERROR(ROUNDUP(F1946*E1946,0),"-")</f>
        <v>12255360</v>
      </c>
    </row>
    <row r="1947" spans="1:9" x14ac:dyDescent="0.25">
      <c r="A1947" s="50" t="str">
        <f>Material!A218</f>
        <v>MA-217</v>
      </c>
      <c r="B1947" s="72" t="str">
        <f>IFERROR(VLOOKUP(A1947,Material!$A:$H,2,0),"-")</f>
        <v>FORMALETA EN MADERA CON TABLA DE 1"</v>
      </c>
      <c r="C1947" s="76"/>
      <c r="D1947" s="50" t="str">
        <f>IFERROR(VLOOKUP(A1947,Material!$A:$H,4,0),"-")</f>
        <v>M2</v>
      </c>
      <c r="E1947" s="50">
        <f>8*5.5+4*4</f>
        <v>60</v>
      </c>
      <c r="F1947" s="51">
        <f>IFERROR(VLOOKUP(A1947,Material!$A:$H,3,0),"-")</f>
        <v>24691.116165303549</v>
      </c>
      <c r="G1947" s="51">
        <f>IFERROR(ROUNDUP(F1947*E1947,0),"-")</f>
        <v>1481467</v>
      </c>
    </row>
    <row r="1948" spans="1:9" x14ac:dyDescent="0.25">
      <c r="A1948" s="50" t="str">
        <f>Material!A596</f>
        <v>MA-595</v>
      </c>
      <c r="B1948" s="72" t="str">
        <f>IFERROR(VLOOKUP(A1948,Material!$A:$H,2,0),"-")</f>
        <v>RIEL PARA CARGA PESADA</v>
      </c>
      <c r="C1948" s="76"/>
      <c r="D1948" s="50" t="str">
        <f>IFERROR(VLOOKUP(A1948,Material!$A:$H,4,0),"-")</f>
        <v>ML</v>
      </c>
      <c r="E1948" s="50">
        <v>10</v>
      </c>
      <c r="F1948" s="51">
        <f>IFERROR(VLOOKUP(A1948,Material!$A:$H,3,0),"-")</f>
        <v>490840.35000000003</v>
      </c>
      <c r="G1948" s="51">
        <f>IFERROR(ROUNDUP(F1948*E1948,0),"-")</f>
        <v>4908404</v>
      </c>
    </row>
    <row r="1949" spans="1:9" x14ac:dyDescent="0.25">
      <c r="A1949" s="219" t="s">
        <v>41</v>
      </c>
      <c r="B1949" s="219"/>
      <c r="C1949" s="219"/>
      <c r="D1949" s="219"/>
      <c r="E1949" s="219"/>
      <c r="F1949" s="219"/>
      <c r="G1949" s="52">
        <f>SUM(G1944:G1948)</f>
        <v>32367389</v>
      </c>
      <c r="I1949" s="104"/>
    </row>
    <row r="1950" spans="1:9" x14ac:dyDescent="0.25">
      <c r="A1950" s="56"/>
      <c r="B1950" s="57"/>
      <c r="C1950" s="57"/>
      <c r="D1950" s="57"/>
      <c r="E1950" s="57"/>
      <c r="F1950" s="57"/>
      <c r="G1950" s="58"/>
    </row>
    <row r="1951" spans="1:9" x14ac:dyDescent="0.25">
      <c r="A1951" s="219" t="s">
        <v>42</v>
      </c>
      <c r="B1951" s="219"/>
      <c r="C1951" s="219"/>
      <c r="D1951" s="219"/>
      <c r="E1951" s="219"/>
      <c r="F1951" s="219"/>
      <c r="G1951" s="219"/>
    </row>
    <row r="1952" spans="1:9" x14ac:dyDescent="0.25">
      <c r="A1952" s="49" t="s">
        <v>35</v>
      </c>
      <c r="B1952" s="49" t="s">
        <v>36</v>
      </c>
      <c r="C1952" s="49" t="s">
        <v>38</v>
      </c>
      <c r="D1952" s="49" t="s">
        <v>43</v>
      </c>
      <c r="E1952" s="49" t="s">
        <v>44</v>
      </c>
      <c r="F1952" s="49" t="s">
        <v>45</v>
      </c>
      <c r="G1952" s="49" t="s">
        <v>40</v>
      </c>
    </row>
    <row r="1953" spans="1:9" x14ac:dyDescent="0.25">
      <c r="A1953" s="50" t="s">
        <v>319</v>
      </c>
      <c r="B1953" s="68" t="str">
        <f>VLOOKUP(A1953,'Componentes APUs'!$H$1:$L$25,2,0)</f>
        <v>Ingeniero Residente de Obra</v>
      </c>
      <c r="C1953" s="93">
        <v>0.25</v>
      </c>
      <c r="D1953" s="50">
        <f>VLOOKUP(A1953,'Componentes APUs'!$H$1:$L$25,3,0)</f>
        <v>4</v>
      </c>
      <c r="E1953" s="51">
        <f>VLOOKUP(A1953,'Componentes APUs'!$H$1:$L$25,4,0)</f>
        <v>271142.85714285716</v>
      </c>
      <c r="F1953" s="51">
        <f>VLOOKUP(A1953,'Componentes APUs'!$H$1:$L$25,5,0)</f>
        <v>162685.71428571429</v>
      </c>
      <c r="G1953" s="51">
        <f>ROUNDUP((E1953+F1953)*C1953/E1941,0)</f>
        <v>650743</v>
      </c>
      <c r="H1953" s="66"/>
    </row>
    <row r="1954" spans="1:9" x14ac:dyDescent="0.25">
      <c r="A1954" s="50" t="s">
        <v>320</v>
      </c>
      <c r="B1954" s="68" t="str">
        <f>VLOOKUP(A1954,'Componentes APUs'!$H$1:$L$25,2,0)</f>
        <v>Tecnico Supervisor</v>
      </c>
      <c r="C1954" s="93">
        <v>0</v>
      </c>
      <c r="D1954" s="50">
        <f>VLOOKUP(A1954,'Componentes APUs'!$H$1:$L$25,3,0)</f>
        <v>2.2999999999999998</v>
      </c>
      <c r="E1954" s="51">
        <f>VLOOKUP(A1954,'Componentes APUs'!$H$1:$L$25,4,0)</f>
        <v>155907.14285714284</v>
      </c>
      <c r="F1954" s="51">
        <f>VLOOKUP(A1954,'Componentes APUs'!$H$1:$L$25,5,0)</f>
        <v>93544.285714285696</v>
      </c>
      <c r="G1954" s="51">
        <f>ROUNDUP((E1954+F1954)*C1954/E1941,0)</f>
        <v>0</v>
      </c>
    </row>
    <row r="1955" spans="1:9" x14ac:dyDescent="0.25">
      <c r="A1955" s="50" t="s">
        <v>54</v>
      </c>
      <c r="B1955" s="68" t="str">
        <f>VLOOKUP(A1955,'Componentes APUs'!$H$1:$L$25,2,0)</f>
        <v>Maestro de obra civil</v>
      </c>
      <c r="C1955" s="93">
        <v>1</v>
      </c>
      <c r="D1955" s="50">
        <f>VLOOKUP(A1955,'Componentes APUs'!$H$1:$L$25,3,0)</f>
        <v>2.5</v>
      </c>
      <c r="E1955" s="51">
        <f>VLOOKUP(A1955,'Componentes APUs'!$H$1:$L$25,4,0)</f>
        <v>169464.28571428571</v>
      </c>
      <c r="F1955" s="51">
        <f>VLOOKUP(A1955,'Componentes APUs'!$H$1:$L$25,5,0)</f>
        <v>101678.57142857142</v>
      </c>
      <c r="G1955" s="51">
        <f>ROUNDUP((E1955+F1955)*C1955/E1941,0)</f>
        <v>1626858</v>
      </c>
    </row>
    <row r="1956" spans="1:9" x14ac:dyDescent="0.25">
      <c r="A1956" s="50" t="s">
        <v>1110</v>
      </c>
      <c r="B1956" s="68" t="str">
        <f>VLOOKUP(A1956,'Componentes APUs'!$H$1:$L$25,2,0)</f>
        <v>Oficial de Obra Civil</v>
      </c>
      <c r="C1956" s="93">
        <v>1</v>
      </c>
      <c r="D1956" s="50">
        <f>VLOOKUP(A1956,'Componentes APUs'!$H$1:$L$25,3,0)</f>
        <v>1.5</v>
      </c>
      <c r="E1956" s="51">
        <f>VLOOKUP(A1956,'Componentes APUs'!$H$1:$L$25,4,0)</f>
        <v>115964.28571428571</v>
      </c>
      <c r="F1956" s="51">
        <f>VLOOKUP(A1956,'Componentes APUs'!$H$1:$L$25,5,0)</f>
        <v>69578.57142857142</v>
      </c>
      <c r="G1956" s="51">
        <f>ROUNDUP((E1956+F1956)*C1956/E1941,0)</f>
        <v>1113258</v>
      </c>
    </row>
    <row r="1957" spans="1:9" x14ac:dyDescent="0.25">
      <c r="A1957" s="50" t="s">
        <v>50</v>
      </c>
      <c r="B1957" s="68" t="str">
        <f>VLOOKUP(A1957,'Componentes APUs'!$H$1:$L$25,2,0)</f>
        <v>Profesional en SST</v>
      </c>
      <c r="C1957" s="93">
        <v>0.25</v>
      </c>
      <c r="D1957" s="50">
        <f>VLOOKUP(A1957,'Componentes APUs'!$H$1:$L$25,3,0)</f>
        <v>2.5</v>
      </c>
      <c r="E1957" s="51">
        <f>VLOOKUP(A1957,'Componentes APUs'!$H$1:$L$25,4,0)</f>
        <v>169464.28571428571</v>
      </c>
      <c r="F1957" s="51">
        <f>VLOOKUP(A1957,'Componentes APUs'!$H$1:$L$25,5,0)</f>
        <v>101678.57142857142</v>
      </c>
      <c r="G1957" s="51">
        <f>ROUNDUP((E1957+F1957)*C1957/E1941,0)</f>
        <v>406715</v>
      </c>
    </row>
    <row r="1958" spans="1:9" x14ac:dyDescent="0.25">
      <c r="A1958" s="50" t="s">
        <v>1109</v>
      </c>
      <c r="B1958" s="68" t="str">
        <f>VLOOKUP(A1958,'Componentes APUs'!$H$1:$L$25,2,0)</f>
        <v>Ayudante de Obra Civil</v>
      </c>
      <c r="C1958" s="93">
        <v>2</v>
      </c>
      <c r="D1958" s="50">
        <f>VLOOKUP(A1958,'Componentes APUs'!$H$1:$L$25,3,0)</f>
        <v>1</v>
      </c>
      <c r="E1958" s="51">
        <f>VLOOKUP(A1958,'Componentes APUs'!$H$1:$L$25,4,0)</f>
        <v>77309.523809523816</v>
      </c>
      <c r="F1958" s="51">
        <f>VLOOKUP(A1958,'Componentes APUs'!$H$1:$L$25,5,0)</f>
        <v>46385.71428571429</v>
      </c>
      <c r="G1958" s="51">
        <f>ROUNDUP((E1958+F1958)*C1958/E1941,0)</f>
        <v>1484343</v>
      </c>
    </row>
    <row r="1959" spans="1:9" x14ac:dyDescent="0.25">
      <c r="A1959" s="219" t="s">
        <v>56</v>
      </c>
      <c r="B1959" s="219"/>
      <c r="C1959" s="219"/>
      <c r="D1959" s="219"/>
      <c r="E1959" s="219"/>
      <c r="F1959" s="219"/>
      <c r="G1959" s="52">
        <f>SUM(G1953:G1958)</f>
        <v>5281917</v>
      </c>
    </row>
    <row r="1960" spans="1:9" x14ac:dyDescent="0.25">
      <c r="A1960" s="56"/>
      <c r="B1960" s="57"/>
      <c r="C1960" s="57"/>
      <c r="D1960" s="57"/>
      <c r="E1960" s="57"/>
      <c r="F1960" s="57"/>
      <c r="G1960" s="58"/>
    </row>
    <row r="1961" spans="1:9" x14ac:dyDescent="0.25">
      <c r="A1961" s="219" t="s">
        <v>57</v>
      </c>
      <c r="B1961" s="219"/>
      <c r="C1961" s="219"/>
      <c r="D1961" s="219"/>
      <c r="E1961" s="219"/>
      <c r="F1961" s="219"/>
      <c r="G1961" s="219"/>
    </row>
    <row r="1962" spans="1:9" x14ac:dyDescent="0.25">
      <c r="A1962" s="49" t="s">
        <v>35</v>
      </c>
      <c r="B1962" s="219" t="s">
        <v>36</v>
      </c>
      <c r="C1962" s="219"/>
      <c r="D1962" s="49" t="s">
        <v>37</v>
      </c>
      <c r="E1962" s="49" t="s">
        <v>38</v>
      </c>
      <c r="F1962" s="49" t="s">
        <v>39</v>
      </c>
      <c r="G1962" s="49" t="s">
        <v>40</v>
      </c>
    </row>
    <row r="1963" spans="1:9" x14ac:dyDescent="0.25">
      <c r="A1963" s="50" t="s">
        <v>326</v>
      </c>
      <c r="B1963" s="220" t="str">
        <f>VLOOKUP(A1963,'Componentes APUs'!$S$1:$V$10,2,0)</f>
        <v>Juego Llaves</v>
      </c>
      <c r="C1963" s="220"/>
      <c r="D1963" s="50" t="s">
        <v>18</v>
      </c>
      <c r="E1963" s="50">
        <v>0</v>
      </c>
      <c r="F1963" s="51">
        <f>VLOOKUP(A1963,'Componentes APUs'!$S$1:$V$10,4,0)</f>
        <v>9167</v>
      </c>
      <c r="G1963" s="51">
        <f>ROUNDUP(F1963*((E1963/21)/E1941),0)</f>
        <v>0</v>
      </c>
      <c r="I1963" s="91"/>
    </row>
    <row r="1964" spans="1:9" x14ac:dyDescent="0.25">
      <c r="A1964" s="50" t="s">
        <v>58</v>
      </c>
      <c r="B1964" s="220" t="str">
        <f>VLOOKUP(A1964,'Componentes APUs'!$S$1:$V$10,2,0)</f>
        <v>Manila de servicio</v>
      </c>
      <c r="C1964" s="220"/>
      <c r="D1964" s="50" t="s">
        <v>18</v>
      </c>
      <c r="E1964" s="50">
        <v>0</v>
      </c>
      <c r="F1964" s="51">
        <f>VLOOKUP(A1964,'Componentes APUs'!$S$1:$V$10,4,0)</f>
        <v>2333</v>
      </c>
      <c r="G1964" s="51">
        <f>ROUNDUP(F1964*((E1964/21)/E1941),0)</f>
        <v>0</v>
      </c>
    </row>
    <row r="1965" spans="1:9" x14ac:dyDescent="0.25">
      <c r="A1965" s="50" t="s">
        <v>327</v>
      </c>
      <c r="B1965" s="220" t="str">
        <f>VLOOKUP(A1965,'Componentes APUs'!$S$1:$V$10,2,0)</f>
        <v>Tula portaherramientas</v>
      </c>
      <c r="C1965" s="220"/>
      <c r="D1965" s="50" t="s">
        <v>18</v>
      </c>
      <c r="E1965" s="50">
        <v>0</v>
      </c>
      <c r="F1965" s="51">
        <f>VLOOKUP(A1965,'Componentes APUs'!$S$1:$V$10,4,0)</f>
        <v>1250</v>
      </c>
      <c r="G1965" s="51">
        <f>ROUNDUP(F1965*((E1965/21)/E1941),0)</f>
        <v>0</v>
      </c>
    </row>
    <row r="1966" spans="1:9" x14ac:dyDescent="0.25">
      <c r="A1966" s="50" t="s">
        <v>60</v>
      </c>
      <c r="B1966" s="220" t="str">
        <f>VLOOKUP(A1966,'Componentes APUs'!$S$1:$V$10,2,0)</f>
        <v>Agarradoras</v>
      </c>
      <c r="C1966" s="220"/>
      <c r="D1966" s="50" t="s">
        <v>18</v>
      </c>
      <c r="E1966" s="50">
        <v>0</v>
      </c>
      <c r="F1966" s="51">
        <f>VLOOKUP(A1966,'Componentes APUs'!$S$1:$V$10,4,0)</f>
        <v>125000</v>
      </c>
      <c r="G1966" s="51">
        <f>ROUNDUP(F1966*((E1966/21)/E1941),0)</f>
        <v>0</v>
      </c>
    </row>
    <row r="1967" spans="1:9" x14ac:dyDescent="0.25">
      <c r="A1967" s="50" t="s">
        <v>62</v>
      </c>
      <c r="B1967" s="220" t="str">
        <f>VLOOKUP(A1967,'Componentes APUs'!$S$1:$V$10,2,0)</f>
        <v>Templadoras</v>
      </c>
      <c r="C1967" s="220"/>
      <c r="D1967" s="50" t="s">
        <v>18</v>
      </c>
      <c r="E1967" s="50">
        <v>0</v>
      </c>
      <c r="F1967" s="51">
        <f>VLOOKUP(A1967,'Componentes APUs'!$S$1:$V$10,4,0)</f>
        <v>250000</v>
      </c>
      <c r="G1967" s="51">
        <f>ROUNDUP(F1967*((E1967/21)/E1941),0)</f>
        <v>0</v>
      </c>
    </row>
    <row r="1968" spans="1:9" x14ac:dyDescent="0.25">
      <c r="A1968" s="50" t="s">
        <v>328</v>
      </c>
      <c r="B1968" s="220" t="str">
        <f>VLOOKUP(A1968,'Componentes APUs'!$S$1:$V$10,2,0)</f>
        <v>Herramienta Menor</v>
      </c>
      <c r="C1968" s="220"/>
      <c r="D1968" s="50" t="s">
        <v>18</v>
      </c>
      <c r="E1968" s="50">
        <v>1</v>
      </c>
      <c r="F1968" s="51">
        <f>VLOOKUP(A1968,'Componentes APUs'!$S$1:$V$10,4,0)</f>
        <v>75758</v>
      </c>
      <c r="G1968" s="51">
        <f>ROUNDUP(F1968*((E1968/21)/E1941),0)</f>
        <v>21646</v>
      </c>
    </row>
    <row r="1969" spans="1:9" x14ac:dyDescent="0.25">
      <c r="A1969" s="219" t="s">
        <v>69</v>
      </c>
      <c r="B1969" s="219"/>
      <c r="C1969" s="219"/>
      <c r="D1969" s="219"/>
      <c r="E1969" s="219"/>
      <c r="F1969" s="219"/>
      <c r="G1969" s="52">
        <f>SUM(G1963:G1968)</f>
        <v>21646</v>
      </c>
    </row>
    <row r="1970" spans="1:9" x14ac:dyDescent="0.25">
      <c r="A1970" s="56"/>
      <c r="B1970" s="57"/>
      <c r="C1970" s="57"/>
      <c r="D1970" s="57"/>
      <c r="E1970" s="57"/>
      <c r="F1970" s="57"/>
      <c r="G1970" s="58"/>
    </row>
    <row r="1971" spans="1:9" x14ac:dyDescent="0.25">
      <c r="A1971" s="219" t="s">
        <v>70</v>
      </c>
      <c r="B1971" s="219"/>
      <c r="C1971" s="219"/>
      <c r="D1971" s="219"/>
      <c r="E1971" s="219"/>
      <c r="F1971" s="219"/>
      <c r="G1971" s="219"/>
    </row>
    <row r="1972" spans="1:9" x14ac:dyDescent="0.25">
      <c r="A1972" s="49" t="s">
        <v>35</v>
      </c>
      <c r="B1972" s="219" t="s">
        <v>36</v>
      </c>
      <c r="C1972" s="219"/>
      <c r="D1972" s="49" t="s">
        <v>37</v>
      </c>
      <c r="E1972" s="49" t="s">
        <v>38</v>
      </c>
      <c r="F1972" s="49" t="s">
        <v>39</v>
      </c>
      <c r="G1972" s="49" t="s">
        <v>40</v>
      </c>
    </row>
    <row r="1973" spans="1:9" x14ac:dyDescent="0.25">
      <c r="A1973" s="50" t="s">
        <v>71</v>
      </c>
      <c r="B1973" s="71" t="str">
        <f>VLOOKUP(A1973,'Componentes APUs'!$A$1:$D$14,2,0)</f>
        <v>Camisa indigo sin partes metalicas</v>
      </c>
      <c r="C1973" s="71"/>
      <c r="D1973" s="50" t="str">
        <f>VLOOKUP(A1973,'Componentes APUs'!$A$1:$D$14,3,0)</f>
        <v>U</v>
      </c>
      <c r="E1973" s="50">
        <f>SUM(C1953:C1958)</f>
        <v>4.5</v>
      </c>
      <c r="F1973" s="51">
        <f>VLOOKUP(A1973,'Componentes APUs'!$A$1:$D$14,4,0)</f>
        <v>8585.8585858585866</v>
      </c>
      <c r="G1973" s="51">
        <f>ROUNDUP(F1973*(E1973/21)/E1941,0)</f>
        <v>11039</v>
      </c>
      <c r="I1973" s="91"/>
    </row>
    <row r="1974" spans="1:9" x14ac:dyDescent="0.25">
      <c r="A1974" s="69" t="s">
        <v>73</v>
      </c>
      <c r="B1974" s="72" t="str">
        <f>VLOOKUP(A1974,'Componentes APUs'!$A$1:$D$14,2,0)</f>
        <v>Bota de seguridad dielectrica</v>
      </c>
      <c r="C1974" s="73"/>
      <c r="D1974" s="70" t="str">
        <f>VLOOKUP(A1974,'Componentes APUs'!$A$1:$D$14,3,0)</f>
        <v>Par</v>
      </c>
      <c r="E1974" s="50">
        <f>SUM(C1953:C1958)</f>
        <v>4.5</v>
      </c>
      <c r="F1974" s="51">
        <f>VLOOKUP(A1974,'Componentes APUs'!$A$1:$D$14,4,0)</f>
        <v>7500</v>
      </c>
      <c r="G1974" s="51">
        <f>ROUNDUP(F1974*(E1974/21)/E1941,0)</f>
        <v>9643</v>
      </c>
    </row>
    <row r="1975" spans="1:9" x14ac:dyDescent="0.25">
      <c r="A1975" s="50" t="s">
        <v>76</v>
      </c>
      <c r="B1975" s="72" t="str">
        <f>VLOOKUP(A1975,'Componentes APUs'!$A$1:$D$14,2,0)</f>
        <v>Casco dielectrico Tipo 1 Clase E con barbuquejo</v>
      </c>
      <c r="C1975" s="73"/>
      <c r="D1975" s="50" t="str">
        <f>VLOOKUP(A1975,'Componentes APUs'!$A$1:$D$14,3,0)</f>
        <v>U</v>
      </c>
      <c r="E1975" s="50">
        <f>C1953+C1954+C1956+C1957+C1958+IF(A1955&lt;&gt;"MO-3",C1955,0)</f>
        <v>4.5</v>
      </c>
      <c r="F1975" s="51">
        <f>VLOOKUP(A1975,'Componentes APUs'!$A$1:$D$14,4,0)</f>
        <v>10101.010101010101</v>
      </c>
      <c r="G1975" s="51">
        <f>ROUNDUP(F1975*(E1975/21)/E1941,0)</f>
        <v>12988</v>
      </c>
    </row>
    <row r="1976" spans="1:9" x14ac:dyDescent="0.25">
      <c r="A1976" s="69" t="s">
        <v>77</v>
      </c>
      <c r="B1976" s="72" t="str">
        <f>VLOOKUP(A1976,'Componentes APUs'!$A$1:$D$14,2,0)</f>
        <v>Correa plastica y antiflama</v>
      </c>
      <c r="C1976" s="73"/>
      <c r="D1976" s="50" t="str">
        <f>VLOOKUP(A1976,'Componentes APUs'!$A$1:$D$14,3,0)</f>
        <v>U</v>
      </c>
      <c r="E1976" s="50">
        <f>SUM(C1953:C1958)</f>
        <v>4.5</v>
      </c>
      <c r="F1976" s="51">
        <f>VLOOKUP(A1976,'Componentes APUs'!$A$1:$D$14,4,0)</f>
        <v>3787.878787878788</v>
      </c>
      <c r="G1976" s="51">
        <f>ROUNDUP(F1976*(E1976/21)/E1941,0)</f>
        <v>4871</v>
      </c>
    </row>
    <row r="1977" spans="1:9" x14ac:dyDescent="0.25">
      <c r="A1977" s="50" t="s">
        <v>79</v>
      </c>
      <c r="B1977" s="72" t="str">
        <f>VLOOKUP(A1977,'Componentes APUs'!$A$1:$D$14,2,0)</f>
        <v>Gafas protectoras filtro UV</v>
      </c>
      <c r="C1977" s="73"/>
      <c r="D1977" s="50" t="str">
        <f>VLOOKUP(A1977,'Componentes APUs'!$A$1:$D$14,3,0)</f>
        <v>U</v>
      </c>
      <c r="E1977" s="50">
        <f>SUM(C1953:C1958)</f>
        <v>4.5</v>
      </c>
      <c r="F1977" s="51">
        <f>VLOOKUP(A1977,'Componentes APUs'!$A$1:$D$14,4,0)</f>
        <v>2777.7777777777778</v>
      </c>
      <c r="G1977" s="51">
        <f>ROUNDUP(F1977*(E1977/21)/E1941,0)</f>
        <v>3572</v>
      </c>
    </row>
    <row r="1978" spans="1:9" x14ac:dyDescent="0.25">
      <c r="A1978" s="69" t="s">
        <v>402</v>
      </c>
      <c r="B1978" s="72" t="str">
        <f>VLOOKUP(A1978,'Componentes APUs'!$A$1:$D$14,2,0)</f>
        <v>Bota de seguridad PVC dielectrica</v>
      </c>
      <c r="C1978" s="73"/>
      <c r="D1978" s="50" t="str">
        <f>VLOOKUP(A1978,'Componentes APUs'!$A$1:$D$14,3,0)</f>
        <v>Par</v>
      </c>
      <c r="E1978" s="50">
        <f>SUM(C1953:C1958)</f>
        <v>4.5</v>
      </c>
      <c r="F1978" s="51">
        <f>VLOOKUP(A1978,'Componentes APUs'!$A$1:$D$14,4,0)</f>
        <v>2916.6666666666665</v>
      </c>
      <c r="G1978" s="51">
        <f>ROUNDUP(F1978*(E1978/21)/E1941,0)</f>
        <v>3750</v>
      </c>
    </row>
    <row r="1979" spans="1:9" x14ac:dyDescent="0.25">
      <c r="A1979" s="50" t="s">
        <v>403</v>
      </c>
      <c r="B1979" s="72" t="str">
        <f>VLOOKUP(A1979,'Componentes APUs'!$A$1:$D$14,2,0)</f>
        <v>Capuchon</v>
      </c>
      <c r="C1979" s="73"/>
      <c r="D1979" s="50" t="str">
        <f>VLOOKUP(A1979,'Componentes APUs'!$A$1:$D$14,3,0)</f>
        <v>U</v>
      </c>
      <c r="E1979" s="50">
        <f>SUM(C1953:C1958)</f>
        <v>4.5</v>
      </c>
      <c r="F1979" s="51">
        <f>VLOOKUP(A1979,'Componentes APUs'!$A$1:$D$14,4,0)</f>
        <v>2525.2525252525252</v>
      </c>
      <c r="G1979" s="51">
        <f>ROUNDUP(F1979*(E1979/21)/E1941,0)</f>
        <v>3247</v>
      </c>
    </row>
    <row r="1980" spans="1:9" x14ac:dyDescent="0.25">
      <c r="A1980" s="69" t="s">
        <v>81</v>
      </c>
      <c r="B1980" s="72" t="str">
        <f>VLOOKUP(A1980,'Componentes APUs'!$A$1:$D$14,2,0)</f>
        <v>Guantes Protectores  - ingeniero reforzados</v>
      </c>
      <c r="C1980" s="73"/>
      <c r="D1980" s="50" t="str">
        <f>VLOOKUP(A1980,'Componentes APUs'!$A$1:$D$14,3,0)</f>
        <v>Par</v>
      </c>
      <c r="E1980" s="50">
        <f>C1955+C1956+C1958</f>
        <v>4</v>
      </c>
      <c r="F1980" s="51">
        <f>VLOOKUP(A1980,'Componentes APUs'!$A$1:$D$14,4,0)</f>
        <v>2525.2525252525252</v>
      </c>
      <c r="G1980" s="51">
        <f>ROUNDUP(F1980*(E1980/21)/E1941,0)</f>
        <v>2887</v>
      </c>
    </row>
    <row r="1981" spans="1:9" x14ac:dyDescent="0.25">
      <c r="A1981" s="50" t="s">
        <v>83</v>
      </c>
      <c r="B1981" s="72" t="str">
        <f>VLOOKUP(A1981,'Componentes APUs'!$A$1:$D$14,2,0)</f>
        <v>Impermeable (pantalon camisa)</v>
      </c>
      <c r="C1981" s="73"/>
      <c r="D1981" s="50" t="str">
        <f>VLOOKUP(A1981,'Componentes APUs'!$A$1:$D$14,3,0)</f>
        <v>U</v>
      </c>
      <c r="E1981" s="50">
        <f>SUM(C1953:C1958)</f>
        <v>4.5</v>
      </c>
      <c r="F1981" s="51">
        <f>VLOOKUP(A1981,'Componentes APUs'!$A$1:$D$14,4,0)</f>
        <v>3750</v>
      </c>
      <c r="G1981" s="51">
        <f>ROUNDUP(F1981*(E1981/21)/E1941,0)</f>
        <v>4822</v>
      </c>
    </row>
    <row r="1982" spans="1:9" x14ac:dyDescent="0.25">
      <c r="A1982" s="69" t="s">
        <v>85</v>
      </c>
      <c r="B1982" s="72" t="str">
        <f>VLOOKUP(A1982,'Componentes APUs'!$A$1:$D$14,2,0)</f>
        <v>Jean Dielectrico</v>
      </c>
      <c r="C1982" s="73"/>
      <c r="D1982" s="50" t="str">
        <f>VLOOKUP(A1982,'Componentes APUs'!$A$1:$D$14,3,0)</f>
        <v>U</v>
      </c>
      <c r="E1982" s="50">
        <f>SUM(C1953:C1958)</f>
        <v>4.5</v>
      </c>
      <c r="F1982" s="51">
        <f>VLOOKUP(A1982,'Componentes APUs'!$A$1:$D$14,4,0)</f>
        <v>7575.757575757576</v>
      </c>
      <c r="G1982" s="51">
        <f>ROUNDUP(F1982*(E1982/21)/E1941,0)</f>
        <v>9741</v>
      </c>
    </row>
    <row r="1983" spans="1:9" x14ac:dyDescent="0.25">
      <c r="A1983" s="50" t="s">
        <v>87</v>
      </c>
      <c r="B1983" s="72" t="str">
        <f>VLOOKUP(A1983,'Componentes APUs'!$A$1:$D$14,2,0)</f>
        <v>Casco dielectrico Tipo 2 Clase E con barboquejo</v>
      </c>
      <c r="C1983" s="73"/>
      <c r="D1983" s="50" t="str">
        <f>VLOOKUP(A1983,'Componentes APUs'!$A$1:$D$14,3,0)</f>
        <v>U</v>
      </c>
      <c r="E1983" s="53">
        <f>IF(A1955="MO-3",C1955,0)</f>
        <v>0</v>
      </c>
      <c r="F1983" s="51">
        <f>VLOOKUP(A1983,'Componentes APUs'!$A$1:$D$14,4,0)</f>
        <v>7500</v>
      </c>
      <c r="G1983" s="51">
        <f>ROUNDUP(F1983*(E1983/21)/E1941,0)</f>
        <v>0</v>
      </c>
    </row>
    <row r="1984" spans="1:9" x14ac:dyDescent="0.25">
      <c r="A1984" s="69" t="s">
        <v>89</v>
      </c>
      <c r="B1984" s="72" t="str">
        <f>VLOOKUP(A1984,'Componentes APUs'!$A$1:$D$14,2,0)</f>
        <v>Kit de rescate para trabajo en alturas</v>
      </c>
      <c r="C1984" s="73"/>
      <c r="D1984" s="50" t="str">
        <f>VLOOKUP(A1984,'Componentes APUs'!$A$1:$D$14,3,0)</f>
        <v>U</v>
      </c>
      <c r="E1984" s="50">
        <f>IF(AND(A1955="MO-3",C1955=2),1,0)</f>
        <v>0</v>
      </c>
      <c r="F1984" s="51">
        <f>VLOOKUP(A1984,'Componentes APUs'!$A$1:$D$14,4,0)</f>
        <v>37500</v>
      </c>
      <c r="G1984" s="51">
        <f>ROUNDUP(F1984*(E1984/21)/E1941,0)</f>
        <v>0</v>
      </c>
    </row>
    <row r="1985" spans="1:7" x14ac:dyDescent="0.25">
      <c r="A1985" s="50" t="s">
        <v>91</v>
      </c>
      <c r="B1985" s="72" t="str">
        <f>VLOOKUP(A1985,'Componentes APUs'!$A$1:$D$14,2,0)</f>
        <v>Equipo completo para trabajo en alturas con pretales (Arnes dielectrico, 1 mosqueton de seguridad, tie off dielectrico, eslinga de posicionamiento, juego de pretales)</v>
      </c>
      <c r="C1985" s="73"/>
      <c r="D1985" s="50" t="str">
        <f>VLOOKUP(A1985,'Componentes APUs'!$A$1:$D$14,3,0)</f>
        <v>U</v>
      </c>
      <c r="E1985" s="50">
        <f>IF(A1955="MO-3",C1955,0)</f>
        <v>0</v>
      </c>
      <c r="F1985" s="51">
        <f>VLOOKUP(A1985,'Componentes APUs'!$A$1:$D$14,4,0)</f>
        <v>26041.666666666668</v>
      </c>
      <c r="G1985" s="51">
        <f>ROUNDUP(F1985*(E1985/21)/E1941,0)</f>
        <v>0</v>
      </c>
    </row>
    <row r="1986" spans="1:7" x14ac:dyDescent="0.25">
      <c r="A1986" s="219" t="s">
        <v>95</v>
      </c>
      <c r="B1986" s="219"/>
      <c r="C1986" s="219"/>
      <c r="D1986" s="219"/>
      <c r="E1986" s="219"/>
      <c r="F1986" s="219"/>
      <c r="G1986" s="52">
        <f>SUM(G1973:G1985)</f>
        <v>66560</v>
      </c>
    </row>
    <row r="1987" spans="1:7" x14ac:dyDescent="0.25">
      <c r="A1987" s="56"/>
      <c r="B1987" s="57"/>
      <c r="C1987" s="57"/>
      <c r="D1987" s="57"/>
      <c r="E1987" s="57"/>
      <c r="F1987" s="57"/>
      <c r="G1987" s="58"/>
    </row>
    <row r="1988" spans="1:7" x14ac:dyDescent="0.25">
      <c r="A1988" s="219" t="s">
        <v>96</v>
      </c>
      <c r="B1988" s="219"/>
      <c r="C1988" s="219"/>
      <c r="D1988" s="219"/>
      <c r="E1988" s="219"/>
      <c r="F1988" s="219"/>
      <c r="G1988" s="219"/>
    </row>
    <row r="1989" spans="1:7" x14ac:dyDescent="0.25">
      <c r="A1989" s="49" t="s">
        <v>35</v>
      </c>
      <c r="B1989" s="225" t="s">
        <v>36</v>
      </c>
      <c r="C1989" s="225"/>
      <c r="D1989" s="49" t="s">
        <v>37</v>
      </c>
      <c r="E1989" s="49" t="s">
        <v>38</v>
      </c>
      <c r="F1989" s="49" t="s">
        <v>39</v>
      </c>
      <c r="G1989" s="49" t="s">
        <v>40</v>
      </c>
    </row>
    <row r="1990" spans="1:7" x14ac:dyDescent="0.25">
      <c r="A1990" s="69" t="s">
        <v>97</v>
      </c>
      <c r="B1990" s="72" t="str">
        <f>VLOOKUP(A1990,'Componentes APUs'!$N$1:$Q$30,2,0)</f>
        <v>Camioneta</v>
      </c>
      <c r="C1990" s="73"/>
      <c r="D1990" s="70" t="str">
        <f>VLOOKUP(A1990,'Componentes APUs'!$N$1:$Q$30,3,0)</f>
        <v>U</v>
      </c>
      <c r="E1990" s="50">
        <v>1</v>
      </c>
      <c r="F1990" s="51">
        <f>VLOOKUP(A1990,'Componentes APUs'!$N$1:$Q$30,4,0)</f>
        <v>5500000</v>
      </c>
      <c r="G1990" s="51">
        <f>IFERROR(ROUNDUP(F1990*(E1990/21)/E1941,0),"-")</f>
        <v>1571429</v>
      </c>
    </row>
    <row r="1991" spans="1:7" x14ac:dyDescent="0.25">
      <c r="A1991" s="50" t="s">
        <v>2211</v>
      </c>
      <c r="B1991" s="72" t="str">
        <f>VLOOKUP(A1991,'Componentes APUs'!$N$1:$Q$30,2,0)</f>
        <v>Vibrocompactador, potencia 153 HP, peso 10 ton</v>
      </c>
      <c r="C1991" s="73"/>
      <c r="D1991" s="70" t="str">
        <f>VLOOKUP(A1991,'Componentes APUs'!$N$1:$Q$30,3,0)</f>
        <v>U</v>
      </c>
      <c r="E1991" s="50">
        <v>0.25</v>
      </c>
      <c r="F1991" s="51">
        <f>VLOOKUP(A1991,'Componentes APUs'!$N$1:$Q$30,4,0)</f>
        <v>39069013.554216914</v>
      </c>
      <c r="G1991" s="51">
        <f>IFERROR(ROUNDUP(F1991*(E1991/21)/E1941,0),"-")</f>
        <v>2790644</v>
      </c>
    </row>
    <row r="1992" spans="1:7" x14ac:dyDescent="0.25">
      <c r="A1992" s="69" t="s">
        <v>1473</v>
      </c>
      <c r="B1992" s="72" t="str">
        <f>VLOOKUP(A1992,'Componentes APUs'!$N$1:$Q$30,2,0)</f>
        <v>Concretera</v>
      </c>
      <c r="C1992" s="73"/>
      <c r="D1992" s="70" t="str">
        <f>VLOOKUP(A1992,'Componentes APUs'!$N$1:$Q$30,3,0)</f>
        <v>U</v>
      </c>
      <c r="E1992" s="50">
        <v>0.25</v>
      </c>
      <c r="F1992" s="51">
        <f>VLOOKUP(A1992,'Componentes APUs'!$N$1:$Q$30,4,0)</f>
        <v>550704</v>
      </c>
      <c r="G1992" s="51">
        <f>IFERROR(ROUNDUP(F1992*(E1992/21)/E1941,0),"-")</f>
        <v>39336</v>
      </c>
    </row>
    <row r="1993" spans="1:7" x14ac:dyDescent="0.25">
      <c r="A1993" s="50" t="s">
        <v>323</v>
      </c>
      <c r="B1993" s="72" t="str">
        <f>VLOOKUP(A1993,'Componentes APUs'!$N$1:$Q$30,2,0)</f>
        <v>Volqueta</v>
      </c>
      <c r="C1993" s="73"/>
      <c r="D1993" s="70" t="str">
        <f>VLOOKUP(A1993,'Componentes APUs'!$N$1:$Q$30,3,0)</f>
        <v>U</v>
      </c>
      <c r="E1993" s="50">
        <v>0</v>
      </c>
      <c r="F1993" s="51">
        <f>VLOOKUP(A1993,'Componentes APUs'!$N$1:$Q$30,4,0)</f>
        <v>14828184</v>
      </c>
      <c r="G1993" s="51">
        <f>IFERROR(ROUNDUP(F1993*(E1993/21)/E1941,0),"-")</f>
        <v>0</v>
      </c>
    </row>
    <row r="1994" spans="1:7" x14ac:dyDescent="0.25">
      <c r="A1994" s="69" t="s">
        <v>324</v>
      </c>
      <c r="B1994" s="72" t="str">
        <f>VLOOKUP(A1994,'Componentes APUs'!$N$1:$Q$30,2,0)</f>
        <v>Retroexcavadora</v>
      </c>
      <c r="C1994" s="73"/>
      <c r="D1994" s="70" t="str">
        <f>VLOOKUP(A1994,'Componentes APUs'!$N$1:$Q$30,3,0)</f>
        <v>U</v>
      </c>
      <c r="E1994" s="50">
        <v>0</v>
      </c>
      <c r="F1994" s="51">
        <f>VLOOKUP(A1994,'Componentes APUs'!$N$1:$Q$30,4,0)</f>
        <v>46030656</v>
      </c>
      <c r="G1994" s="51">
        <f>IFERROR(ROUNDUP(F1994*(E1994/21)/E1941,0),"-")</f>
        <v>0</v>
      </c>
    </row>
    <row r="1995" spans="1:7" x14ac:dyDescent="0.25">
      <c r="A1995" s="219" t="s">
        <v>99</v>
      </c>
      <c r="B1995" s="219"/>
      <c r="C1995" s="219"/>
      <c r="D1995" s="219"/>
      <c r="E1995" s="219"/>
      <c r="F1995" s="219"/>
      <c r="G1995" s="52">
        <f>SUM(G1990:G1994)</f>
        <v>4401409</v>
      </c>
    </row>
    <row r="1996" spans="1:7" x14ac:dyDescent="0.25">
      <c r="A1996" s="56"/>
      <c r="B1996" s="57"/>
      <c r="C1996" s="57"/>
      <c r="D1996" s="57"/>
      <c r="E1996" s="57"/>
      <c r="F1996" s="57"/>
      <c r="G1996" s="58"/>
    </row>
    <row r="1997" spans="1:7" x14ac:dyDescent="0.25">
      <c r="A1997" s="219" t="s">
        <v>1516</v>
      </c>
      <c r="B1997" s="219"/>
      <c r="C1997" s="219"/>
      <c r="D1997" s="219"/>
      <c r="E1997" s="219"/>
      <c r="F1997" s="219"/>
      <c r="G1997" s="52">
        <f>G1995+G1986+G1969+G1959+G1949</f>
        <v>42138921</v>
      </c>
    </row>
    <row r="1998" spans="1:7" x14ac:dyDescent="0.25">
      <c r="A1998" s="59"/>
      <c r="B1998" s="60"/>
      <c r="C1998" s="60"/>
      <c r="D1998" s="60"/>
      <c r="E1998" s="57"/>
      <c r="F1998" s="57"/>
      <c r="G1998" s="58"/>
    </row>
    <row r="1999" spans="1:7" x14ac:dyDescent="0.25">
      <c r="A1999" s="64"/>
      <c r="D1999" s="55"/>
      <c r="E1999" s="49" t="s">
        <v>25</v>
      </c>
      <c r="F1999" s="54">
        <v>0.15</v>
      </c>
      <c r="G1999" s="51">
        <f>G1997*F1999</f>
        <v>6320838.1499999994</v>
      </c>
    </row>
    <row r="2000" spans="1:7" x14ac:dyDescent="0.25">
      <c r="A2000" s="64"/>
      <c r="D2000" s="55"/>
      <c r="E2000" s="49" t="s">
        <v>26</v>
      </c>
      <c r="F2000" s="54">
        <v>0.05</v>
      </c>
      <c r="G2000" s="51">
        <f>G1997*F2000</f>
        <v>2106946.0500000003</v>
      </c>
    </row>
    <row r="2001" spans="1:13" x14ac:dyDescent="0.25">
      <c r="A2001" s="61"/>
      <c r="B2001" s="65"/>
      <c r="C2001" s="65"/>
      <c r="D2001" s="62"/>
      <c r="E2001" s="49" t="s">
        <v>27</v>
      </c>
      <c r="F2001" s="54">
        <v>0.05</v>
      </c>
      <c r="G2001" s="51">
        <f>G1997*F2001</f>
        <v>2106946.0500000003</v>
      </c>
    </row>
    <row r="2002" spans="1:13" x14ac:dyDescent="0.25">
      <c r="A2002" s="61"/>
      <c r="B2002" s="62"/>
      <c r="C2002" s="62"/>
      <c r="D2002" s="62"/>
      <c r="E2002" s="62"/>
      <c r="F2002" s="62"/>
      <c r="G2002" s="63"/>
    </row>
    <row r="2003" spans="1:13" x14ac:dyDescent="0.25">
      <c r="A2003" s="219" t="s">
        <v>1517</v>
      </c>
      <c r="B2003" s="219"/>
      <c r="C2003" s="219"/>
      <c r="D2003" s="219"/>
      <c r="E2003" s="219"/>
      <c r="F2003" s="219"/>
      <c r="G2003" s="52">
        <f>G1997+G1999+G2000+G2001</f>
        <v>52673651.249999993</v>
      </c>
    </row>
    <row r="2004" spans="1:13" x14ac:dyDescent="0.25">
      <c r="A2004" s="59"/>
      <c r="B2004" s="60"/>
      <c r="C2004" s="60"/>
      <c r="D2004" s="60"/>
      <c r="E2004" s="57"/>
      <c r="F2004" s="57"/>
      <c r="G2004" s="58"/>
    </row>
    <row r="2005" spans="1:13" x14ac:dyDescent="0.25">
      <c r="A2005" s="64"/>
      <c r="D2005" s="55"/>
      <c r="E2005" s="49" t="s">
        <v>102</v>
      </c>
      <c r="F2005" s="49" t="s">
        <v>103</v>
      </c>
      <c r="G2005" s="51">
        <f>G2001*19%</f>
        <v>400319.74950000003</v>
      </c>
    </row>
    <row r="2006" spans="1:13" x14ac:dyDescent="0.25">
      <c r="A2006" s="61"/>
      <c r="B2006" s="62"/>
      <c r="C2006" s="62"/>
      <c r="D2006" s="62"/>
      <c r="E2006" s="57"/>
      <c r="F2006" s="57"/>
      <c r="G2006" s="58"/>
    </row>
    <row r="2007" spans="1:13" x14ac:dyDescent="0.25">
      <c r="A2007" s="219" t="s">
        <v>104</v>
      </c>
      <c r="B2007" s="219"/>
      <c r="C2007" s="219"/>
      <c r="D2007" s="219"/>
      <c r="E2007" s="219"/>
      <c r="F2007" s="219"/>
      <c r="G2007" s="52">
        <f>G2005+G2003</f>
        <v>53073970.999499992</v>
      </c>
    </row>
    <row r="2009" spans="1:13" x14ac:dyDescent="0.25">
      <c r="A2009" s="74" t="s">
        <v>29</v>
      </c>
      <c r="B2009" s="226" t="s">
        <v>30</v>
      </c>
      <c r="C2009" s="226"/>
      <c r="D2009" s="74" t="s">
        <v>31</v>
      </c>
      <c r="E2009" s="74" t="s">
        <v>32</v>
      </c>
      <c r="F2009" s="74" t="s">
        <v>189</v>
      </c>
      <c r="G2009" s="74" t="s">
        <v>33</v>
      </c>
      <c r="H2009" s="105"/>
    </row>
    <row r="2010" spans="1:13" ht="27" customHeight="1" x14ac:dyDescent="0.25">
      <c r="A2010" s="50" t="str">
        <f>Presupuesto!B40</f>
        <v>031_OC</v>
      </c>
      <c r="B2010" s="229" t="str">
        <f>Presupuesto!C40</f>
        <v>CARRILERA DE 1,2*0,4 M, PARA TRANSFORMADOR SEGÚN DISEÑO. INCLUYE RIEL DE DESPLAZAMIENTO.</v>
      </c>
      <c r="C2010" s="230"/>
      <c r="D2010" s="50" t="s">
        <v>114</v>
      </c>
      <c r="E2010" s="107">
        <v>6</v>
      </c>
      <c r="F2010" s="50"/>
      <c r="G2010" s="51">
        <f>G2075</f>
        <v>2024379.2359999998</v>
      </c>
      <c r="H2010" s="66"/>
    </row>
    <row r="2011" spans="1:13" x14ac:dyDescent="0.25">
      <c r="A2011" s="219" t="s">
        <v>34</v>
      </c>
      <c r="B2011" s="219"/>
      <c r="C2011" s="219"/>
      <c r="D2011" s="219"/>
      <c r="E2011" s="219"/>
      <c r="F2011" s="219"/>
      <c r="G2011" s="219"/>
      <c r="H2011" s="92"/>
    </row>
    <row r="2012" spans="1:13" x14ac:dyDescent="0.25">
      <c r="A2012" s="49" t="s">
        <v>35</v>
      </c>
      <c r="B2012" s="219" t="s">
        <v>36</v>
      </c>
      <c r="C2012" s="219"/>
      <c r="D2012" s="49" t="s">
        <v>37</v>
      </c>
      <c r="E2012" s="49" t="s">
        <v>38</v>
      </c>
      <c r="F2012" s="49" t="s">
        <v>39</v>
      </c>
      <c r="G2012" s="49" t="s">
        <v>40</v>
      </c>
      <c r="H2012" s="92"/>
      <c r="K2012" s="23"/>
      <c r="L2012" s="23"/>
    </row>
    <row r="2013" spans="1:13" x14ac:dyDescent="0.25">
      <c r="A2013" s="50" t="str">
        <f>Material!A596</f>
        <v>MA-595</v>
      </c>
      <c r="B2013" s="72" t="str">
        <f>IFERROR(VLOOKUP(A2013,Material!$A:$H,2,0),"-")</f>
        <v>RIEL PARA CARGA PESADA</v>
      </c>
      <c r="C2013" s="76"/>
      <c r="D2013" s="50" t="str">
        <f>IFERROR(VLOOKUP(A2013,Material!$A:$H,4,0),"-")</f>
        <v>ML</v>
      </c>
      <c r="E2013" s="107">
        <v>1</v>
      </c>
      <c r="F2013" s="51">
        <f>IFERROR(VLOOKUP(A2013,Material!$A:$H,3,0),"-")</f>
        <v>490840.35000000003</v>
      </c>
      <c r="G2013" s="51">
        <f t="shared" ref="G2013:G2016" si="26">IFERROR(ROUNDUP(F2013*E2013,0),"-")</f>
        <v>490841</v>
      </c>
      <c r="H2013" s="112"/>
      <c r="I2013" s="110"/>
      <c r="J2013" s="113"/>
      <c r="K2013" s="114"/>
      <c r="L2013" s="115"/>
      <c r="M2013" s="115"/>
    </row>
    <row r="2014" spans="1:13" x14ac:dyDescent="0.25">
      <c r="A2014" s="50" t="str">
        <f>Material!A218</f>
        <v>MA-217</v>
      </c>
      <c r="B2014" s="72" t="str">
        <f>IFERROR(VLOOKUP(A2014,Material!$A:$H,2,0),"-")</f>
        <v>FORMALETA EN MADERA CON TABLA DE 1"</v>
      </c>
      <c r="C2014" s="76"/>
      <c r="D2014" s="50" t="str">
        <f>IFERROR(VLOOKUP(A2014,Material!$A:$H,4,0),"-")</f>
        <v>M2</v>
      </c>
      <c r="E2014" s="107">
        <f>0.4*1.2*1*2</f>
        <v>0.96</v>
      </c>
      <c r="F2014" s="51">
        <f>IFERROR(VLOOKUP(A2014,Material!$A:$H,3,0),"-")</f>
        <v>24691.116165303549</v>
      </c>
      <c r="G2014" s="51">
        <f t="shared" si="26"/>
        <v>23704</v>
      </c>
      <c r="H2014" s="112"/>
      <c r="I2014" s="110"/>
      <c r="J2014" s="113"/>
      <c r="K2014" s="114"/>
      <c r="L2014" s="115"/>
      <c r="M2014" s="115"/>
    </row>
    <row r="2015" spans="1:13" x14ac:dyDescent="0.25">
      <c r="A2015" s="50" t="str">
        <f>Material!A15</f>
        <v>MA-14</v>
      </c>
      <c r="B2015" s="72" t="str">
        <f>IFERROR(VLOOKUP(A2015,Material!$A:$H,2,0),"-")</f>
        <v>CONCRETO DE 3000 PSI</v>
      </c>
      <c r="C2015" s="76"/>
      <c r="D2015" s="50" t="str">
        <f>IFERROR(VLOOKUP(A2015,Material!$A:$H,4,0),"-")</f>
        <v>M3</v>
      </c>
      <c r="E2015" s="107">
        <f>0.4*1.2*1</f>
        <v>0.48</v>
      </c>
      <c r="F2015" s="51">
        <f>IFERROR(VLOOKUP(A2015,Material!$A:$H,3,0),"-")</f>
        <v>620227.23330691375</v>
      </c>
      <c r="G2015" s="51">
        <f t="shared" si="26"/>
        <v>297710</v>
      </c>
      <c r="H2015" s="112"/>
      <c r="I2015" s="110"/>
      <c r="J2015" s="113"/>
      <c r="K2015" s="114"/>
      <c r="L2015" s="115"/>
      <c r="M2015" s="115"/>
    </row>
    <row r="2016" spans="1:13" x14ac:dyDescent="0.25">
      <c r="A2016" s="50" t="str">
        <f>Material!A587</f>
        <v>MA-586</v>
      </c>
      <c r="B2016" s="72" t="str">
        <f>IFERROR(VLOOKUP(A2016,Material!$A:$H,2,0),"-")</f>
        <v>ACERO Fy= 420 MPa</v>
      </c>
      <c r="C2016" s="76"/>
      <c r="D2016" s="50" t="str">
        <f>IFERROR(VLOOKUP(A2016,Material!$A:$H,4,0),"-")</f>
        <v>KG</v>
      </c>
      <c r="E2016" s="53">
        <f>0.48*200</f>
        <v>96</v>
      </c>
      <c r="F2016" s="51">
        <f>IFERROR(VLOOKUP(A2016,Material!$A:$H,3,0),"-")</f>
        <v>6962.8</v>
      </c>
      <c r="G2016" s="51">
        <f t="shared" si="26"/>
        <v>668429</v>
      </c>
      <c r="H2016" s="112"/>
      <c r="I2016" s="110"/>
      <c r="J2016" s="113"/>
      <c r="K2016" s="114"/>
      <c r="L2016" s="115"/>
      <c r="M2016" s="115"/>
    </row>
    <row r="2017" spans="1:9" x14ac:dyDescent="0.25">
      <c r="A2017" s="219" t="s">
        <v>41</v>
      </c>
      <c r="B2017" s="219"/>
      <c r="C2017" s="219"/>
      <c r="D2017" s="219"/>
      <c r="E2017" s="219"/>
      <c r="F2017" s="219"/>
      <c r="G2017" s="52">
        <f>SUM(G2013:G2016)</f>
        <v>1480684</v>
      </c>
      <c r="I2017" s="104"/>
    </row>
    <row r="2018" spans="1:9" x14ac:dyDescent="0.25">
      <c r="A2018" s="56"/>
      <c r="B2018" s="57"/>
      <c r="C2018" s="57"/>
      <c r="D2018" s="57"/>
      <c r="E2018" s="57"/>
      <c r="F2018" s="57"/>
      <c r="G2018" s="58"/>
    </row>
    <row r="2019" spans="1:9" x14ac:dyDescent="0.25">
      <c r="A2019" s="219" t="s">
        <v>42</v>
      </c>
      <c r="B2019" s="219"/>
      <c r="C2019" s="219"/>
      <c r="D2019" s="219"/>
      <c r="E2019" s="219"/>
      <c r="F2019" s="219"/>
      <c r="G2019" s="219"/>
    </row>
    <row r="2020" spans="1:9" x14ac:dyDescent="0.25">
      <c r="A2020" s="49" t="s">
        <v>35</v>
      </c>
      <c r="B2020" s="49" t="s">
        <v>36</v>
      </c>
      <c r="C2020" s="49" t="s">
        <v>38</v>
      </c>
      <c r="D2020" s="49" t="s">
        <v>43</v>
      </c>
      <c r="E2020" s="49" t="s">
        <v>44</v>
      </c>
      <c r="F2020" s="49" t="s">
        <v>45</v>
      </c>
      <c r="G2020" s="49" t="s">
        <v>40</v>
      </c>
    </row>
    <row r="2021" spans="1:9" x14ac:dyDescent="0.25">
      <c r="A2021" s="50" t="s">
        <v>319</v>
      </c>
      <c r="B2021" s="68" t="str">
        <f>VLOOKUP(A2021,'Componentes APUs'!$H$1:$L$25,2,0)</f>
        <v>Ingeniero Residente de Obra</v>
      </c>
      <c r="C2021" s="93">
        <v>0.25</v>
      </c>
      <c r="D2021" s="50">
        <f>VLOOKUP(A2021,'Componentes APUs'!$H$1:$L$25,3,0)</f>
        <v>4</v>
      </c>
      <c r="E2021" s="51">
        <f>VLOOKUP(A2021,'Componentes APUs'!$H$1:$L$25,4,0)</f>
        <v>271142.85714285716</v>
      </c>
      <c r="F2021" s="51">
        <f>VLOOKUP(A2021,'Componentes APUs'!$H$1:$L$25,5,0)</f>
        <v>162685.71428571429</v>
      </c>
      <c r="G2021" s="51">
        <f>ROUNDUP((E2021+F2021)*C2021/E2010,0)</f>
        <v>18077</v>
      </c>
      <c r="H2021" s="66"/>
    </row>
    <row r="2022" spans="1:9" x14ac:dyDescent="0.25">
      <c r="A2022" s="50" t="s">
        <v>320</v>
      </c>
      <c r="B2022" s="68" t="str">
        <f>VLOOKUP(A2022,'Componentes APUs'!$H$1:$L$25,2,0)</f>
        <v>Tecnico Supervisor</v>
      </c>
      <c r="C2022" s="93">
        <v>0</v>
      </c>
      <c r="D2022" s="50">
        <f>VLOOKUP(A2022,'Componentes APUs'!$H$1:$L$25,3,0)</f>
        <v>2.2999999999999998</v>
      </c>
      <c r="E2022" s="51">
        <f>VLOOKUP(A2022,'Componentes APUs'!$H$1:$L$25,4,0)</f>
        <v>155907.14285714284</v>
      </c>
      <c r="F2022" s="51">
        <f>VLOOKUP(A2022,'Componentes APUs'!$H$1:$L$25,5,0)</f>
        <v>93544.285714285696</v>
      </c>
      <c r="G2022" s="51">
        <f>ROUNDUP((E2022+F2022)*C2022/E2010,0)</f>
        <v>0</v>
      </c>
    </row>
    <row r="2023" spans="1:9" x14ac:dyDescent="0.25">
      <c r="A2023" s="50" t="s">
        <v>54</v>
      </c>
      <c r="B2023" s="68" t="str">
        <f>VLOOKUP(A2023,'Componentes APUs'!$H$1:$L$25,2,0)</f>
        <v>Maestro de obra civil</v>
      </c>
      <c r="C2023" s="93">
        <v>0</v>
      </c>
      <c r="D2023" s="50">
        <f>VLOOKUP(A2023,'Componentes APUs'!$H$1:$L$25,3,0)</f>
        <v>2.5</v>
      </c>
      <c r="E2023" s="51">
        <f>VLOOKUP(A2023,'Componentes APUs'!$H$1:$L$25,4,0)</f>
        <v>169464.28571428571</v>
      </c>
      <c r="F2023" s="51">
        <f>VLOOKUP(A2023,'Componentes APUs'!$H$1:$L$25,5,0)</f>
        <v>101678.57142857142</v>
      </c>
      <c r="G2023" s="51">
        <f>ROUNDUP((E2023+F2023)*C2023/E2010,0)</f>
        <v>0</v>
      </c>
    </row>
    <row r="2024" spans="1:9" x14ac:dyDescent="0.25">
      <c r="A2024" s="50" t="s">
        <v>1110</v>
      </c>
      <c r="B2024" s="68" t="str">
        <f>VLOOKUP(A2024,'Componentes APUs'!$H$1:$L$25,2,0)</f>
        <v>Oficial de Obra Civil</v>
      </c>
      <c r="C2024" s="93">
        <v>1</v>
      </c>
      <c r="D2024" s="50">
        <f>VLOOKUP(A2024,'Componentes APUs'!$H$1:$L$25,3,0)</f>
        <v>1.5</v>
      </c>
      <c r="E2024" s="51">
        <f>VLOOKUP(A2024,'Componentes APUs'!$H$1:$L$25,4,0)</f>
        <v>115964.28571428571</v>
      </c>
      <c r="F2024" s="51">
        <f>VLOOKUP(A2024,'Componentes APUs'!$H$1:$L$25,5,0)</f>
        <v>69578.57142857142</v>
      </c>
      <c r="G2024" s="51">
        <f>ROUNDUP((E2024+F2024)*C2024/E2010,0)</f>
        <v>30924</v>
      </c>
    </row>
    <row r="2025" spans="1:9" x14ac:dyDescent="0.25">
      <c r="A2025" s="50" t="s">
        <v>50</v>
      </c>
      <c r="B2025" s="68" t="str">
        <f>VLOOKUP(A2025,'Componentes APUs'!$H$1:$L$25,2,0)</f>
        <v>Profesional en SST</v>
      </c>
      <c r="C2025" s="93">
        <v>0.25</v>
      </c>
      <c r="D2025" s="50">
        <f>VLOOKUP(A2025,'Componentes APUs'!$H$1:$L$25,3,0)</f>
        <v>2.5</v>
      </c>
      <c r="E2025" s="51">
        <f>VLOOKUP(A2025,'Componentes APUs'!$H$1:$L$25,4,0)</f>
        <v>169464.28571428571</v>
      </c>
      <c r="F2025" s="51">
        <f>VLOOKUP(A2025,'Componentes APUs'!$H$1:$L$25,5,0)</f>
        <v>101678.57142857142</v>
      </c>
      <c r="G2025" s="51">
        <f>ROUNDUP((E2025+F2025)*C2025/E2010,0)</f>
        <v>11298</v>
      </c>
    </row>
    <row r="2026" spans="1:9" x14ac:dyDescent="0.25">
      <c r="A2026" s="50" t="s">
        <v>1109</v>
      </c>
      <c r="B2026" s="68" t="str">
        <f>VLOOKUP(A2026,'Componentes APUs'!$H$1:$L$25,2,0)</f>
        <v>Ayudante de Obra Civil</v>
      </c>
      <c r="C2026" s="93">
        <v>2</v>
      </c>
      <c r="D2026" s="50">
        <f>VLOOKUP(A2026,'Componentes APUs'!$H$1:$L$25,3,0)</f>
        <v>1</v>
      </c>
      <c r="E2026" s="51">
        <f>VLOOKUP(A2026,'Componentes APUs'!$H$1:$L$25,4,0)</f>
        <v>77309.523809523816</v>
      </c>
      <c r="F2026" s="51">
        <f>VLOOKUP(A2026,'Componentes APUs'!$H$1:$L$25,5,0)</f>
        <v>46385.71428571429</v>
      </c>
      <c r="G2026" s="51">
        <f>ROUNDUP((E2026+F2026)*C2026/E2010,0)</f>
        <v>41232</v>
      </c>
    </row>
    <row r="2027" spans="1:9" x14ac:dyDescent="0.25">
      <c r="A2027" s="219" t="s">
        <v>56</v>
      </c>
      <c r="B2027" s="219"/>
      <c r="C2027" s="219"/>
      <c r="D2027" s="219"/>
      <c r="E2027" s="219"/>
      <c r="F2027" s="219"/>
      <c r="G2027" s="52">
        <f>SUM(G2021:G2026)</f>
        <v>101531</v>
      </c>
    </row>
    <row r="2028" spans="1:9" x14ac:dyDescent="0.25">
      <c r="A2028" s="56"/>
      <c r="B2028" s="57"/>
      <c r="C2028" s="57"/>
      <c r="D2028" s="57"/>
      <c r="E2028" s="57"/>
      <c r="F2028" s="57"/>
      <c r="G2028" s="58"/>
    </row>
    <row r="2029" spans="1:9" x14ac:dyDescent="0.25">
      <c r="A2029" s="219" t="s">
        <v>57</v>
      </c>
      <c r="B2029" s="219"/>
      <c r="C2029" s="219"/>
      <c r="D2029" s="219"/>
      <c r="E2029" s="219"/>
      <c r="F2029" s="219"/>
      <c r="G2029" s="219"/>
    </row>
    <row r="2030" spans="1:9" x14ac:dyDescent="0.25">
      <c r="A2030" s="49" t="s">
        <v>35</v>
      </c>
      <c r="B2030" s="219" t="s">
        <v>36</v>
      </c>
      <c r="C2030" s="219"/>
      <c r="D2030" s="49" t="s">
        <v>37</v>
      </c>
      <c r="E2030" s="49" t="s">
        <v>38</v>
      </c>
      <c r="F2030" s="49" t="s">
        <v>39</v>
      </c>
      <c r="G2030" s="49" t="s">
        <v>40</v>
      </c>
    </row>
    <row r="2031" spans="1:9" x14ac:dyDescent="0.25">
      <c r="A2031" s="50" t="s">
        <v>326</v>
      </c>
      <c r="B2031" s="220" t="str">
        <f>VLOOKUP(A2031,'Componentes APUs'!$S$1:$V$10,2,0)</f>
        <v>Juego Llaves</v>
      </c>
      <c r="C2031" s="220"/>
      <c r="D2031" s="50" t="s">
        <v>18</v>
      </c>
      <c r="E2031" s="50">
        <v>0</v>
      </c>
      <c r="F2031" s="51">
        <f>VLOOKUP(A2031,'Componentes APUs'!$S$1:$V$10,4,0)</f>
        <v>9167</v>
      </c>
      <c r="G2031" s="51">
        <f>ROUNDUP(F2031*((E2031/21)/E2010),0)</f>
        <v>0</v>
      </c>
      <c r="I2031" s="91"/>
    </row>
    <row r="2032" spans="1:9" x14ac:dyDescent="0.25">
      <c r="A2032" s="50" t="s">
        <v>58</v>
      </c>
      <c r="B2032" s="220" t="str">
        <f>VLOOKUP(A2032,'Componentes APUs'!$S$1:$V$10,2,0)</f>
        <v>Manila de servicio</v>
      </c>
      <c r="C2032" s="220"/>
      <c r="D2032" s="50" t="s">
        <v>18</v>
      </c>
      <c r="E2032" s="50">
        <v>0</v>
      </c>
      <c r="F2032" s="51">
        <f>VLOOKUP(A2032,'Componentes APUs'!$S$1:$V$10,4,0)</f>
        <v>2333</v>
      </c>
      <c r="G2032" s="51">
        <f>ROUNDUP(F2032*((E2032/21)/E2010),0)</f>
        <v>0</v>
      </c>
    </row>
    <row r="2033" spans="1:9" x14ac:dyDescent="0.25">
      <c r="A2033" s="50" t="s">
        <v>327</v>
      </c>
      <c r="B2033" s="220" t="str">
        <f>VLOOKUP(A2033,'Componentes APUs'!$S$1:$V$10,2,0)</f>
        <v>Tula portaherramientas</v>
      </c>
      <c r="C2033" s="220"/>
      <c r="D2033" s="50" t="s">
        <v>18</v>
      </c>
      <c r="E2033" s="50">
        <v>0</v>
      </c>
      <c r="F2033" s="51">
        <f>VLOOKUP(A2033,'Componentes APUs'!$S$1:$V$10,4,0)</f>
        <v>1250</v>
      </c>
      <c r="G2033" s="51">
        <f>ROUNDUP(F2033*((E2033/21)/E2010),0)</f>
        <v>0</v>
      </c>
    </row>
    <row r="2034" spans="1:9" x14ac:dyDescent="0.25">
      <c r="A2034" s="50" t="s">
        <v>60</v>
      </c>
      <c r="B2034" s="220" t="str">
        <f>VLOOKUP(A2034,'Componentes APUs'!$S$1:$V$10,2,0)</f>
        <v>Agarradoras</v>
      </c>
      <c r="C2034" s="220"/>
      <c r="D2034" s="50" t="s">
        <v>18</v>
      </c>
      <c r="E2034" s="50">
        <v>0</v>
      </c>
      <c r="F2034" s="51">
        <f>VLOOKUP(A2034,'Componentes APUs'!$S$1:$V$10,4,0)</f>
        <v>125000</v>
      </c>
      <c r="G2034" s="51">
        <f>ROUNDUP(F2034*((E2034/21)/E2010),0)</f>
        <v>0</v>
      </c>
    </row>
    <row r="2035" spans="1:9" x14ac:dyDescent="0.25">
      <c r="A2035" s="50" t="s">
        <v>62</v>
      </c>
      <c r="B2035" s="220" t="str">
        <f>VLOOKUP(A2035,'Componentes APUs'!$S$1:$V$10,2,0)</f>
        <v>Templadoras</v>
      </c>
      <c r="C2035" s="220"/>
      <c r="D2035" s="50" t="s">
        <v>18</v>
      </c>
      <c r="E2035" s="50">
        <v>0</v>
      </c>
      <c r="F2035" s="51">
        <f>VLOOKUP(A2035,'Componentes APUs'!$S$1:$V$10,4,0)</f>
        <v>250000</v>
      </c>
      <c r="G2035" s="51">
        <f>ROUNDUP(F2035*((E2035/21)/E2010),0)</f>
        <v>0</v>
      </c>
    </row>
    <row r="2036" spans="1:9" x14ac:dyDescent="0.25">
      <c r="A2036" s="50" t="s">
        <v>328</v>
      </c>
      <c r="B2036" s="220" t="str">
        <f>VLOOKUP(A2036,'Componentes APUs'!$S$1:$V$10,2,0)</f>
        <v>Herramienta Menor</v>
      </c>
      <c r="C2036" s="220"/>
      <c r="D2036" s="50" t="s">
        <v>18</v>
      </c>
      <c r="E2036" s="50">
        <v>3</v>
      </c>
      <c r="F2036" s="51">
        <f>VLOOKUP(A2036,'Componentes APUs'!$S$1:$V$10,4,0)</f>
        <v>75758</v>
      </c>
      <c r="G2036" s="51">
        <f>ROUNDUP(F2036*((E2036/21)/E2010),0)</f>
        <v>1804</v>
      </c>
    </row>
    <row r="2037" spans="1:9" x14ac:dyDescent="0.25">
      <c r="A2037" s="219" t="s">
        <v>69</v>
      </c>
      <c r="B2037" s="219"/>
      <c r="C2037" s="219"/>
      <c r="D2037" s="219"/>
      <c r="E2037" s="219"/>
      <c r="F2037" s="219"/>
      <c r="G2037" s="52">
        <f>SUM(G2031:G2036)</f>
        <v>1804</v>
      </c>
    </row>
    <row r="2038" spans="1:9" x14ac:dyDescent="0.25">
      <c r="A2038" s="56"/>
      <c r="B2038" s="57"/>
      <c r="C2038" s="57"/>
      <c r="D2038" s="57"/>
      <c r="E2038" s="57"/>
      <c r="F2038" s="57"/>
      <c r="G2038" s="58"/>
    </row>
    <row r="2039" spans="1:9" x14ac:dyDescent="0.25">
      <c r="A2039" s="219" t="s">
        <v>70</v>
      </c>
      <c r="B2039" s="219"/>
      <c r="C2039" s="219"/>
      <c r="D2039" s="219"/>
      <c r="E2039" s="219"/>
      <c r="F2039" s="219"/>
      <c r="G2039" s="219"/>
    </row>
    <row r="2040" spans="1:9" x14ac:dyDescent="0.25">
      <c r="A2040" s="49" t="s">
        <v>35</v>
      </c>
      <c r="B2040" s="219" t="s">
        <v>36</v>
      </c>
      <c r="C2040" s="219"/>
      <c r="D2040" s="49" t="s">
        <v>37</v>
      </c>
      <c r="E2040" s="49" t="s">
        <v>38</v>
      </c>
      <c r="F2040" s="49" t="s">
        <v>39</v>
      </c>
      <c r="G2040" s="49" t="s">
        <v>40</v>
      </c>
    </row>
    <row r="2041" spans="1:9" x14ac:dyDescent="0.25">
      <c r="A2041" s="50" t="s">
        <v>71</v>
      </c>
      <c r="B2041" s="71" t="str">
        <f>VLOOKUP(A2041,'Componentes APUs'!$A$1:$D$14,2,0)</f>
        <v>Camisa indigo sin partes metalicas</v>
      </c>
      <c r="C2041" s="71"/>
      <c r="D2041" s="50" t="str">
        <f>VLOOKUP(A2041,'Componentes APUs'!$A$1:$D$14,3,0)</f>
        <v>U</v>
      </c>
      <c r="E2041" s="50">
        <f>SUM(C2021:C2026)</f>
        <v>3.5</v>
      </c>
      <c r="F2041" s="51">
        <f>VLOOKUP(A2041,'Componentes APUs'!$A$1:$D$14,4,0)</f>
        <v>8585.8585858585866</v>
      </c>
      <c r="G2041" s="51">
        <f>ROUNDUP(F2041*(E2041/21)/E2010,0)</f>
        <v>239</v>
      </c>
      <c r="I2041" s="91"/>
    </row>
    <row r="2042" spans="1:9" x14ac:dyDescent="0.25">
      <c r="A2042" s="69" t="s">
        <v>73</v>
      </c>
      <c r="B2042" s="72" t="str">
        <f>VLOOKUP(A2042,'Componentes APUs'!$A$1:$D$14,2,0)</f>
        <v>Bota de seguridad dielectrica</v>
      </c>
      <c r="C2042" s="73"/>
      <c r="D2042" s="70" t="str">
        <f>VLOOKUP(A2042,'Componentes APUs'!$A$1:$D$14,3,0)</f>
        <v>Par</v>
      </c>
      <c r="E2042" s="50">
        <f>SUM(C2021:C2026)</f>
        <v>3.5</v>
      </c>
      <c r="F2042" s="51">
        <f>VLOOKUP(A2042,'Componentes APUs'!$A$1:$D$14,4,0)</f>
        <v>7500</v>
      </c>
      <c r="G2042" s="51">
        <f>ROUNDUP(F2042*(E2042/21)/E2010,0)</f>
        <v>209</v>
      </c>
    </row>
    <row r="2043" spans="1:9" x14ac:dyDescent="0.25">
      <c r="A2043" s="50" t="s">
        <v>76</v>
      </c>
      <c r="B2043" s="72" t="str">
        <f>VLOOKUP(A2043,'Componentes APUs'!$A$1:$D$14,2,0)</f>
        <v>Casco dielectrico Tipo 1 Clase E con barbuquejo</v>
      </c>
      <c r="C2043" s="73"/>
      <c r="D2043" s="50" t="str">
        <f>VLOOKUP(A2043,'Componentes APUs'!$A$1:$D$14,3,0)</f>
        <v>U</v>
      </c>
      <c r="E2043" s="50">
        <f>C2021+C2022+C2024+C2025+C2026+IF(A2023&lt;&gt;"MO-3",C2023,0)</f>
        <v>3.5</v>
      </c>
      <c r="F2043" s="51">
        <f>VLOOKUP(A2043,'Componentes APUs'!$A$1:$D$14,4,0)</f>
        <v>10101.010101010101</v>
      </c>
      <c r="G2043" s="51">
        <f>ROUNDUP(F2043*(E2043/21)/E2010,0)</f>
        <v>281</v>
      </c>
    </row>
    <row r="2044" spans="1:9" x14ac:dyDescent="0.25">
      <c r="A2044" s="69" t="s">
        <v>77</v>
      </c>
      <c r="B2044" s="72" t="str">
        <f>VLOOKUP(A2044,'Componentes APUs'!$A$1:$D$14,2,0)</f>
        <v>Correa plastica y antiflama</v>
      </c>
      <c r="C2044" s="73"/>
      <c r="D2044" s="50" t="str">
        <f>VLOOKUP(A2044,'Componentes APUs'!$A$1:$D$14,3,0)</f>
        <v>U</v>
      </c>
      <c r="E2044" s="50">
        <f>SUM(C2021:C2026)</f>
        <v>3.5</v>
      </c>
      <c r="F2044" s="51">
        <f>VLOOKUP(A2044,'Componentes APUs'!$A$1:$D$14,4,0)</f>
        <v>3787.878787878788</v>
      </c>
      <c r="G2044" s="51">
        <f>ROUNDUP(F2044*(E2044/21)/E2010,0)</f>
        <v>106</v>
      </c>
    </row>
    <row r="2045" spans="1:9" x14ac:dyDescent="0.25">
      <c r="A2045" s="50" t="s">
        <v>79</v>
      </c>
      <c r="B2045" s="72" t="str">
        <f>VLOOKUP(A2045,'Componentes APUs'!$A$1:$D$14,2,0)</f>
        <v>Gafas protectoras filtro UV</v>
      </c>
      <c r="C2045" s="73"/>
      <c r="D2045" s="50" t="str">
        <f>VLOOKUP(A2045,'Componentes APUs'!$A$1:$D$14,3,0)</f>
        <v>U</v>
      </c>
      <c r="E2045" s="50">
        <f>SUM(C2021:C2026)</f>
        <v>3.5</v>
      </c>
      <c r="F2045" s="51">
        <f>VLOOKUP(A2045,'Componentes APUs'!$A$1:$D$14,4,0)</f>
        <v>2777.7777777777778</v>
      </c>
      <c r="G2045" s="51">
        <f>ROUNDUP(F2045*(E2045/21)/E2010,0)</f>
        <v>78</v>
      </c>
    </row>
    <row r="2046" spans="1:9" x14ac:dyDescent="0.25">
      <c r="A2046" s="69" t="s">
        <v>402</v>
      </c>
      <c r="B2046" s="72" t="str">
        <f>VLOOKUP(A2046,'Componentes APUs'!$A$1:$D$14,2,0)</f>
        <v>Bota de seguridad PVC dielectrica</v>
      </c>
      <c r="C2046" s="73"/>
      <c r="D2046" s="50" t="str">
        <f>VLOOKUP(A2046,'Componentes APUs'!$A$1:$D$14,3,0)</f>
        <v>Par</v>
      </c>
      <c r="E2046" s="50">
        <f>SUM(C2021:C2026)</f>
        <v>3.5</v>
      </c>
      <c r="F2046" s="51">
        <f>VLOOKUP(A2046,'Componentes APUs'!$A$1:$D$14,4,0)</f>
        <v>2916.6666666666665</v>
      </c>
      <c r="G2046" s="51">
        <f>ROUNDUP(F2046*(E2046/21)/E2010,0)</f>
        <v>82</v>
      </c>
    </row>
    <row r="2047" spans="1:9" x14ac:dyDescent="0.25">
      <c r="A2047" s="50" t="s">
        <v>403</v>
      </c>
      <c r="B2047" s="72" t="str">
        <f>VLOOKUP(A2047,'Componentes APUs'!$A$1:$D$14,2,0)</f>
        <v>Capuchon</v>
      </c>
      <c r="C2047" s="73"/>
      <c r="D2047" s="50" t="str">
        <f>VLOOKUP(A2047,'Componentes APUs'!$A$1:$D$14,3,0)</f>
        <v>U</v>
      </c>
      <c r="E2047" s="50">
        <f>SUM(C2021:C2026)</f>
        <v>3.5</v>
      </c>
      <c r="F2047" s="51">
        <f>VLOOKUP(A2047,'Componentes APUs'!$A$1:$D$14,4,0)</f>
        <v>2525.2525252525252</v>
      </c>
      <c r="G2047" s="51">
        <f>ROUNDUP(F2047*(E2047/21)/E2010,0)</f>
        <v>71</v>
      </c>
    </row>
    <row r="2048" spans="1:9" x14ac:dyDescent="0.25">
      <c r="A2048" s="69" t="s">
        <v>81</v>
      </c>
      <c r="B2048" s="72" t="str">
        <f>VLOOKUP(A2048,'Componentes APUs'!$A$1:$D$14,2,0)</f>
        <v>Guantes Protectores  - ingeniero reforzados</v>
      </c>
      <c r="C2048" s="73"/>
      <c r="D2048" s="50" t="str">
        <f>VLOOKUP(A2048,'Componentes APUs'!$A$1:$D$14,3,0)</f>
        <v>Par</v>
      </c>
      <c r="E2048" s="50">
        <f>C2023+C2024+C2026</f>
        <v>3</v>
      </c>
      <c r="F2048" s="51">
        <f>VLOOKUP(A2048,'Componentes APUs'!$A$1:$D$14,4,0)</f>
        <v>2525.2525252525252</v>
      </c>
      <c r="G2048" s="51">
        <f>ROUNDUP(F2048*(E2048/21)/E2010,0)</f>
        <v>61</v>
      </c>
    </row>
    <row r="2049" spans="1:7" x14ac:dyDescent="0.25">
      <c r="A2049" s="50" t="s">
        <v>83</v>
      </c>
      <c r="B2049" s="72" t="str">
        <f>VLOOKUP(A2049,'Componentes APUs'!$A$1:$D$14,2,0)</f>
        <v>Impermeable (pantalon camisa)</v>
      </c>
      <c r="C2049" s="73"/>
      <c r="D2049" s="50" t="str">
        <f>VLOOKUP(A2049,'Componentes APUs'!$A$1:$D$14,3,0)</f>
        <v>U</v>
      </c>
      <c r="E2049" s="50">
        <f>SUM(C2021:C2026)</f>
        <v>3.5</v>
      </c>
      <c r="F2049" s="51">
        <f>VLOOKUP(A2049,'Componentes APUs'!$A$1:$D$14,4,0)</f>
        <v>3750</v>
      </c>
      <c r="G2049" s="51">
        <f>ROUNDUP(F2049*(E2049/21)/E2010,0)</f>
        <v>105</v>
      </c>
    </row>
    <row r="2050" spans="1:7" x14ac:dyDescent="0.25">
      <c r="A2050" s="69" t="s">
        <v>85</v>
      </c>
      <c r="B2050" s="72" t="str">
        <f>VLOOKUP(A2050,'Componentes APUs'!$A$1:$D$14,2,0)</f>
        <v>Jean Dielectrico</v>
      </c>
      <c r="C2050" s="73"/>
      <c r="D2050" s="50" t="str">
        <f>VLOOKUP(A2050,'Componentes APUs'!$A$1:$D$14,3,0)</f>
        <v>U</v>
      </c>
      <c r="E2050" s="50">
        <f>SUM(C2021:C2026)</f>
        <v>3.5</v>
      </c>
      <c r="F2050" s="51">
        <f>VLOOKUP(A2050,'Componentes APUs'!$A$1:$D$14,4,0)</f>
        <v>7575.757575757576</v>
      </c>
      <c r="G2050" s="51">
        <f>ROUNDUP(F2050*(E2050/21)/E2010,0)</f>
        <v>211</v>
      </c>
    </row>
    <row r="2051" spans="1:7" x14ac:dyDescent="0.25">
      <c r="A2051" s="50" t="s">
        <v>87</v>
      </c>
      <c r="B2051" s="72" t="str">
        <f>VLOOKUP(A2051,'Componentes APUs'!$A$1:$D$14,2,0)</f>
        <v>Casco dielectrico Tipo 2 Clase E con barboquejo</v>
      </c>
      <c r="C2051" s="73"/>
      <c r="D2051" s="50" t="str">
        <f>VLOOKUP(A2051,'Componentes APUs'!$A$1:$D$14,3,0)</f>
        <v>U</v>
      </c>
      <c r="E2051" s="53">
        <f>IF(A2023="MO-3",C2023,0)</f>
        <v>0</v>
      </c>
      <c r="F2051" s="51">
        <f>VLOOKUP(A2051,'Componentes APUs'!$A$1:$D$14,4,0)</f>
        <v>7500</v>
      </c>
      <c r="G2051" s="51">
        <f>ROUNDUP(F2051*(E2051/21)/E2010,0)</f>
        <v>0</v>
      </c>
    </row>
    <row r="2052" spans="1:7" x14ac:dyDescent="0.25">
      <c r="A2052" s="69" t="s">
        <v>89</v>
      </c>
      <c r="B2052" s="72" t="str">
        <f>VLOOKUP(A2052,'Componentes APUs'!$A$1:$D$14,2,0)</f>
        <v>Kit de rescate para trabajo en alturas</v>
      </c>
      <c r="C2052" s="73"/>
      <c r="D2052" s="50" t="str">
        <f>VLOOKUP(A2052,'Componentes APUs'!$A$1:$D$14,3,0)</f>
        <v>U</v>
      </c>
      <c r="E2052" s="50">
        <f>IF(AND(A2023="MO-3",C2023=2),1,0)</f>
        <v>0</v>
      </c>
      <c r="F2052" s="51">
        <f>VLOOKUP(A2052,'Componentes APUs'!$A$1:$D$14,4,0)</f>
        <v>37500</v>
      </c>
      <c r="G2052" s="51">
        <f>ROUNDUP(F2052*(E2052/21)/E2010,0)</f>
        <v>0</v>
      </c>
    </row>
    <row r="2053" spans="1:7" x14ac:dyDescent="0.25">
      <c r="A2053" s="50" t="s">
        <v>91</v>
      </c>
      <c r="B2053" s="72" t="str">
        <f>VLOOKUP(A2053,'Componentes APUs'!$A$1:$D$14,2,0)</f>
        <v>Equipo completo para trabajo en alturas con pretales (Arnes dielectrico, 1 mosqueton de seguridad, tie off dielectrico, eslinga de posicionamiento, juego de pretales)</v>
      </c>
      <c r="C2053" s="73"/>
      <c r="D2053" s="50" t="str">
        <f>VLOOKUP(A2053,'Componentes APUs'!$A$1:$D$14,3,0)</f>
        <v>U</v>
      </c>
      <c r="E2053" s="50">
        <f>IF(A2023="MO-3",C2023,0)</f>
        <v>0</v>
      </c>
      <c r="F2053" s="51">
        <f>VLOOKUP(A2053,'Componentes APUs'!$A$1:$D$14,4,0)</f>
        <v>26041.666666666668</v>
      </c>
      <c r="G2053" s="51">
        <f>ROUNDUP(F2053*(E2053/21)/E2010,0)</f>
        <v>0</v>
      </c>
    </row>
    <row r="2054" spans="1:7" x14ac:dyDescent="0.25">
      <c r="A2054" s="219" t="s">
        <v>95</v>
      </c>
      <c r="B2054" s="219"/>
      <c r="C2054" s="219"/>
      <c r="D2054" s="219"/>
      <c r="E2054" s="219"/>
      <c r="F2054" s="219"/>
      <c r="G2054" s="52">
        <f>SUM(G2041:G2053)</f>
        <v>1443</v>
      </c>
    </row>
    <row r="2055" spans="1:7" x14ac:dyDescent="0.25">
      <c r="A2055" s="56"/>
      <c r="B2055" s="57"/>
      <c r="C2055" s="57"/>
      <c r="D2055" s="57"/>
      <c r="E2055" s="57"/>
      <c r="F2055" s="57"/>
      <c r="G2055" s="58"/>
    </row>
    <row r="2056" spans="1:7" x14ac:dyDescent="0.25">
      <c r="A2056" s="219" t="s">
        <v>96</v>
      </c>
      <c r="B2056" s="219"/>
      <c r="C2056" s="219"/>
      <c r="D2056" s="219"/>
      <c r="E2056" s="219"/>
      <c r="F2056" s="219"/>
      <c r="G2056" s="219"/>
    </row>
    <row r="2057" spans="1:7" x14ac:dyDescent="0.25">
      <c r="A2057" s="49" t="s">
        <v>35</v>
      </c>
      <c r="B2057" s="225" t="s">
        <v>36</v>
      </c>
      <c r="C2057" s="225"/>
      <c r="D2057" s="49" t="s">
        <v>37</v>
      </c>
      <c r="E2057" s="49" t="s">
        <v>38</v>
      </c>
      <c r="F2057" s="49" t="s">
        <v>39</v>
      </c>
      <c r="G2057" s="49" t="s">
        <v>40</v>
      </c>
    </row>
    <row r="2058" spans="1:7" x14ac:dyDescent="0.25">
      <c r="A2058" s="69" t="s">
        <v>97</v>
      </c>
      <c r="B2058" s="72" t="str">
        <f>VLOOKUP(A2058,'Componentes APUs'!$N$1:$Q$30,2,0)</f>
        <v>Camioneta</v>
      </c>
      <c r="C2058" s="73"/>
      <c r="D2058" s="70" t="str">
        <f>VLOOKUP(A2058,'Componentes APUs'!$N$1:$Q$30,3,0)</f>
        <v>U</v>
      </c>
      <c r="E2058" s="50">
        <v>0.5</v>
      </c>
      <c r="F2058" s="51">
        <f>VLOOKUP(A2058,'Componentes APUs'!$N$1:$Q$30,4,0)</f>
        <v>5500000</v>
      </c>
      <c r="G2058" s="51">
        <f>IFERROR(ROUNDUP(F2058*(E2058/21)/E2010,0),"-")</f>
        <v>21826</v>
      </c>
    </row>
    <row r="2059" spans="1:7" x14ac:dyDescent="0.25">
      <c r="A2059" s="50" t="s">
        <v>1473</v>
      </c>
      <c r="B2059" s="72" t="str">
        <f>VLOOKUP(A2059,'Componentes APUs'!$N$1:$Q$30,2,0)</f>
        <v>Concretera</v>
      </c>
      <c r="C2059" s="73"/>
      <c r="D2059" s="70" t="str">
        <f>VLOOKUP(A2059,'Componentes APUs'!$N$1:$Q$30,3,0)</f>
        <v>U</v>
      </c>
      <c r="E2059" s="50">
        <v>0</v>
      </c>
      <c r="F2059" s="51">
        <f>VLOOKUP(A2059,'Componentes APUs'!$N$1:$Q$30,4,0)</f>
        <v>550704</v>
      </c>
      <c r="G2059" s="51">
        <f>IFERROR(ROUNDUP(F2059*(E2059/21)/E2010,0),"-")</f>
        <v>0</v>
      </c>
    </row>
    <row r="2060" spans="1:7" x14ac:dyDescent="0.25">
      <c r="A2060" s="69" t="s">
        <v>1379</v>
      </c>
      <c r="B2060" s="72" t="str">
        <f>VLOOKUP(A2060,'Componentes APUs'!$N$1:$Q$30,2,0)</f>
        <v>Dumper de descarga Frontal 2T</v>
      </c>
      <c r="C2060" s="73"/>
      <c r="D2060" s="70" t="str">
        <f>VLOOKUP(A2060,'Componentes APUs'!$N$1:$Q$30,3,0)</f>
        <v>U</v>
      </c>
      <c r="E2060" s="50">
        <v>0</v>
      </c>
      <c r="F2060" s="51">
        <f>VLOOKUP(A2060,'Componentes APUs'!$N$1:$Q$30,4,0)</f>
        <v>4438716.24</v>
      </c>
      <c r="G2060" s="51">
        <f>IFERROR(ROUNDUP(F2060*(E2060/21)/E2010,0),"-")</f>
        <v>0</v>
      </c>
    </row>
    <row r="2061" spans="1:7" x14ac:dyDescent="0.25">
      <c r="A2061" s="50" t="s">
        <v>323</v>
      </c>
      <c r="B2061" s="72" t="str">
        <f>VLOOKUP(A2061,'Componentes APUs'!$N$1:$Q$30,2,0)</f>
        <v>Volqueta</v>
      </c>
      <c r="C2061" s="73"/>
      <c r="D2061" s="70" t="str">
        <f>VLOOKUP(A2061,'Componentes APUs'!$N$1:$Q$30,3,0)</f>
        <v>U</v>
      </c>
      <c r="E2061" s="50">
        <v>0</v>
      </c>
      <c r="F2061" s="51">
        <f>VLOOKUP(A2061,'Componentes APUs'!$N$1:$Q$30,4,0)</f>
        <v>14828184</v>
      </c>
      <c r="G2061" s="51">
        <f>IFERROR(ROUNDUP(F2061*(E2061/21)/E2010,0),"-")</f>
        <v>0</v>
      </c>
    </row>
    <row r="2062" spans="1:7" x14ac:dyDescent="0.25">
      <c r="A2062" s="69" t="s">
        <v>324</v>
      </c>
      <c r="B2062" s="72" t="str">
        <f>VLOOKUP(A2062,'Componentes APUs'!$N$1:$Q$30,2,0)</f>
        <v>Retroexcavadora</v>
      </c>
      <c r="C2062" s="73"/>
      <c r="D2062" s="70" t="str">
        <f>VLOOKUP(A2062,'Componentes APUs'!$N$1:$Q$30,3,0)</f>
        <v>U</v>
      </c>
      <c r="E2062" s="50">
        <v>0</v>
      </c>
      <c r="F2062" s="51">
        <f>VLOOKUP(A2062,'Componentes APUs'!$N$1:$Q$30,4,0)</f>
        <v>46030656</v>
      </c>
      <c r="G2062" s="51">
        <f>IFERROR(ROUNDUP(F2062*(E2062/21)/E2010,0),"-")</f>
        <v>0</v>
      </c>
    </row>
    <row r="2063" spans="1:7" x14ac:dyDescent="0.25">
      <c r="A2063" s="219" t="s">
        <v>99</v>
      </c>
      <c r="B2063" s="219"/>
      <c r="C2063" s="219"/>
      <c r="D2063" s="219"/>
      <c r="E2063" s="219"/>
      <c r="F2063" s="219"/>
      <c r="G2063" s="52">
        <f>SUM(G2058:G2062)</f>
        <v>21826</v>
      </c>
    </row>
    <row r="2064" spans="1:7" x14ac:dyDescent="0.25">
      <c r="A2064" s="56"/>
      <c r="B2064" s="57"/>
      <c r="C2064" s="57"/>
      <c r="D2064" s="57"/>
      <c r="E2064" s="57"/>
      <c r="F2064" s="57"/>
      <c r="G2064" s="58"/>
    </row>
    <row r="2065" spans="1:8" x14ac:dyDescent="0.25">
      <c r="A2065" s="219" t="s">
        <v>100</v>
      </c>
      <c r="B2065" s="219"/>
      <c r="C2065" s="219"/>
      <c r="D2065" s="219"/>
      <c r="E2065" s="219"/>
      <c r="F2065" s="219"/>
      <c r="G2065" s="52">
        <f>G2063+G2054+G2037+G2027+G2017</f>
        <v>1607288</v>
      </c>
    </row>
    <row r="2066" spans="1:8" x14ac:dyDescent="0.25">
      <c r="A2066" s="59"/>
      <c r="B2066" s="60"/>
      <c r="C2066" s="60"/>
      <c r="D2066" s="60"/>
      <c r="E2066" s="57"/>
      <c r="F2066" s="57"/>
      <c r="G2066" s="58"/>
    </row>
    <row r="2067" spans="1:8" x14ac:dyDescent="0.25">
      <c r="A2067" s="64"/>
      <c r="D2067" s="55"/>
      <c r="E2067" s="49" t="s">
        <v>25</v>
      </c>
      <c r="F2067" s="54">
        <v>0.15</v>
      </c>
      <c r="G2067" s="51">
        <f>G2065*F2067</f>
        <v>241093.19999999998</v>
      </c>
    </row>
    <row r="2068" spans="1:8" x14ac:dyDescent="0.25">
      <c r="A2068" s="64"/>
      <c r="D2068" s="55"/>
      <c r="E2068" s="49" t="s">
        <v>26</v>
      </c>
      <c r="F2068" s="54">
        <v>0.05</v>
      </c>
      <c r="G2068" s="51">
        <f>G2065*F2068</f>
        <v>80364.400000000009</v>
      </c>
    </row>
    <row r="2069" spans="1:8" x14ac:dyDescent="0.25">
      <c r="A2069" s="61"/>
      <c r="B2069" s="65"/>
      <c r="C2069" s="65"/>
      <c r="D2069" s="62"/>
      <c r="E2069" s="49" t="s">
        <v>27</v>
      </c>
      <c r="F2069" s="54">
        <v>0.05</v>
      </c>
      <c r="G2069" s="51">
        <f>G2065*F2069</f>
        <v>80364.400000000009</v>
      </c>
    </row>
    <row r="2070" spans="1:8" x14ac:dyDescent="0.25">
      <c r="A2070" s="61"/>
      <c r="B2070" s="62"/>
      <c r="C2070" s="62"/>
      <c r="D2070" s="62"/>
      <c r="E2070" s="62"/>
      <c r="F2070" s="62"/>
      <c r="G2070" s="63"/>
    </row>
    <row r="2071" spans="1:8" x14ac:dyDescent="0.25">
      <c r="A2071" s="219" t="s">
        <v>101</v>
      </c>
      <c r="B2071" s="219"/>
      <c r="C2071" s="219"/>
      <c r="D2071" s="219"/>
      <c r="E2071" s="219"/>
      <c r="F2071" s="219"/>
      <c r="G2071" s="52">
        <f>G2065+G2067+G2068+G2069</f>
        <v>2009109.9999999998</v>
      </c>
    </row>
    <row r="2072" spans="1:8" x14ac:dyDescent="0.25">
      <c r="A2072" s="59"/>
      <c r="B2072" s="60"/>
      <c r="C2072" s="60"/>
      <c r="D2072" s="60"/>
      <c r="E2072" s="57"/>
      <c r="F2072" s="57"/>
      <c r="G2072" s="58"/>
    </row>
    <row r="2073" spans="1:8" x14ac:dyDescent="0.25">
      <c r="A2073" s="64"/>
      <c r="D2073" s="55"/>
      <c r="E2073" s="49" t="s">
        <v>102</v>
      </c>
      <c r="F2073" s="49" t="s">
        <v>103</v>
      </c>
      <c r="G2073" s="51">
        <f>G2069*19%</f>
        <v>15269.236000000003</v>
      </c>
    </row>
    <row r="2074" spans="1:8" x14ac:dyDescent="0.25">
      <c r="A2074" s="61"/>
      <c r="B2074" s="62"/>
      <c r="C2074" s="62"/>
      <c r="D2074" s="62"/>
      <c r="E2074" s="57"/>
      <c r="F2074" s="57"/>
      <c r="G2074" s="58"/>
    </row>
    <row r="2075" spans="1:8" x14ac:dyDescent="0.25">
      <c r="A2075" s="219" t="s">
        <v>104</v>
      </c>
      <c r="B2075" s="219"/>
      <c r="C2075" s="219"/>
      <c r="D2075" s="219"/>
      <c r="E2075" s="219"/>
      <c r="F2075" s="219"/>
      <c r="G2075" s="52">
        <f>G2073+G2071</f>
        <v>2024379.2359999998</v>
      </c>
    </row>
    <row r="2077" spans="1:8" x14ac:dyDescent="0.25">
      <c r="A2077" s="74" t="s">
        <v>29</v>
      </c>
      <c r="B2077" s="226" t="s">
        <v>30</v>
      </c>
      <c r="C2077" s="226"/>
      <c r="D2077" s="74" t="s">
        <v>31</v>
      </c>
      <c r="E2077" s="74" t="s">
        <v>32</v>
      </c>
      <c r="F2077" s="74" t="s">
        <v>189</v>
      </c>
      <c r="G2077" s="74" t="s">
        <v>33</v>
      </c>
      <c r="H2077" s="105"/>
    </row>
    <row r="2078" spans="1:8" ht="51" customHeight="1" x14ac:dyDescent="0.25">
      <c r="A2078" s="50" t="str">
        <f>Presupuesto!B41</f>
        <v>032_OC</v>
      </c>
      <c r="B2078" s="229" t="str">
        <f>Presupuesto!C41</f>
        <v>TRAMPA DE ACEITE PARA TRANSFORMADOR DE 6,5 M3 ( DETALLE SEGÚN PLANOS). INCLUYE CAMARA PARA LA VÁLVULA. IMPERMEABILIZACIÓN INTEGRAL, TAPAS Y ACCESORIOS.</v>
      </c>
      <c r="C2078" s="230"/>
      <c r="D2078" s="50" t="s">
        <v>8</v>
      </c>
      <c r="E2078" s="50">
        <f>1/4</f>
        <v>0.25</v>
      </c>
      <c r="F2078" s="50"/>
      <c r="G2078" s="51">
        <f>G2145</f>
        <v>34985179.361000001</v>
      </c>
      <c r="H2078" s="45"/>
    </row>
    <row r="2079" spans="1:8" x14ac:dyDescent="0.25">
      <c r="A2079" s="219" t="s">
        <v>34</v>
      </c>
      <c r="B2079" s="219"/>
      <c r="C2079" s="219"/>
      <c r="D2079" s="219"/>
      <c r="E2079" s="219"/>
      <c r="F2079" s="219"/>
      <c r="G2079" s="219"/>
    </row>
    <row r="2080" spans="1:8" x14ac:dyDescent="0.25">
      <c r="A2080" s="49" t="s">
        <v>35</v>
      </c>
      <c r="B2080" s="219" t="s">
        <v>36</v>
      </c>
      <c r="C2080" s="219"/>
      <c r="D2080" s="49" t="s">
        <v>37</v>
      </c>
      <c r="E2080" s="49" t="s">
        <v>38</v>
      </c>
      <c r="F2080" s="49" t="s">
        <v>39</v>
      </c>
      <c r="G2080" s="49" t="s">
        <v>40</v>
      </c>
    </row>
    <row r="2081" spans="1:9" x14ac:dyDescent="0.25">
      <c r="A2081" s="50" t="str">
        <f>Material!A15</f>
        <v>MA-14</v>
      </c>
      <c r="B2081" s="72" t="str">
        <f>IFERROR(VLOOKUP(A2081,Material!$A:$H,2,0),"-")</f>
        <v>CONCRETO DE 3000 PSI</v>
      </c>
      <c r="C2081" s="76"/>
      <c r="D2081" s="50" t="str">
        <f>IFERROR(VLOOKUP(A2081,Material!$A:$H,4,0),"-")</f>
        <v>M3</v>
      </c>
      <c r="E2081" s="50">
        <v>10</v>
      </c>
      <c r="F2081" s="51">
        <f>IFERROR(VLOOKUP(A2081,Material!$A:$H,3,0),"-")</f>
        <v>620227.23330691375</v>
      </c>
      <c r="G2081" s="51">
        <f t="shared" ref="G2081:G2086" si="27">IFERROR(ROUNDUP(F2081*E2081,0),"-")</f>
        <v>6202273</v>
      </c>
    </row>
    <row r="2082" spans="1:9" x14ac:dyDescent="0.25">
      <c r="A2082" s="50" t="str">
        <f>Material!A218</f>
        <v>MA-217</v>
      </c>
      <c r="B2082" s="72" t="str">
        <f>IFERROR(VLOOKUP(A2082,Material!$A:$H,2,0),"-")</f>
        <v>FORMALETA EN MADERA CON TABLA DE 1"</v>
      </c>
      <c r="C2082" s="76"/>
      <c r="D2082" s="50" t="str">
        <f>IFERROR(VLOOKUP(A2082,Material!$A:$H,4,0),"-")</f>
        <v>M2</v>
      </c>
      <c r="E2082" s="53">
        <f>13.1*2.7+13.1*2.5+9</f>
        <v>77.12</v>
      </c>
      <c r="F2082" s="51">
        <f>IFERROR(VLOOKUP(A2082,Material!$A:$H,3,0),"-")</f>
        <v>24691.116165303549</v>
      </c>
      <c r="G2082" s="51">
        <f t="shared" si="27"/>
        <v>1904179</v>
      </c>
    </row>
    <row r="2083" spans="1:9" x14ac:dyDescent="0.25">
      <c r="A2083" s="50" t="str">
        <f>Material!A597</f>
        <v>MA-596</v>
      </c>
      <c r="B2083" s="72" t="str">
        <f>IFERROR(VLOOKUP(A2083,Material!$A:$H,2,0),"-")</f>
        <v>ACERO DE REFUERZO FIGURADO</v>
      </c>
      <c r="C2083" s="76"/>
      <c r="D2083" s="50" t="str">
        <f>IFERROR(VLOOKUP(A2083,Material!$A:$H,4,0),"-")</f>
        <v>kG</v>
      </c>
      <c r="E2083" s="50">
        <f>E2081*200</f>
        <v>2000</v>
      </c>
      <c r="F2083" s="51">
        <f>IFERROR(VLOOKUP(A2083,Material!$A:$H,3,0),"-")</f>
        <v>5106.4000000000005</v>
      </c>
      <c r="G2083" s="51">
        <f t="shared" si="27"/>
        <v>10212800</v>
      </c>
    </row>
    <row r="2084" spans="1:9" x14ac:dyDescent="0.25">
      <c r="A2084" s="50" t="str">
        <f>Material!A532</f>
        <v>MA-531</v>
      </c>
      <c r="B2084" s="72" t="str">
        <f>IFERROR(VLOOKUP(A2084,Material!$A:$H,2,0),"-")</f>
        <v>TUBO ACERO NEGRO C40 ASTM-53 DE 6"</v>
      </c>
      <c r="C2084" s="76"/>
      <c r="D2084" s="50" t="str">
        <f>IFERROR(VLOOKUP(A2084,Material!$A:$H,4,0),"-")</f>
        <v>ML</v>
      </c>
      <c r="E2084" s="50">
        <v>6</v>
      </c>
      <c r="F2084" s="51">
        <f>IFERROR(VLOOKUP(A2084,Material!$A:$H,3,0),"-")</f>
        <v>256021.13333333336</v>
      </c>
      <c r="G2084" s="51">
        <f t="shared" si="27"/>
        <v>1536127</v>
      </c>
      <c r="H2084" s="92"/>
    </row>
    <row r="2085" spans="1:9" x14ac:dyDescent="0.25">
      <c r="A2085" s="50" t="str">
        <f>Material!A533</f>
        <v>MA-532</v>
      </c>
      <c r="B2085" s="72" t="str">
        <f>IFERROR(VLOOKUP(A2085,Material!$A:$H,2,0),"-")</f>
        <v>TUBO PRESIÓN 4"</v>
      </c>
      <c r="C2085" s="76"/>
      <c r="D2085" s="50" t="str">
        <f>IFERROR(VLOOKUP(A2085,Material!$A:$H,4,0),"-")</f>
        <v>ML</v>
      </c>
      <c r="E2085" s="50">
        <v>2.5</v>
      </c>
      <c r="F2085" s="51">
        <f>IFERROR(VLOOKUP(A2085,Material!$A:$H,3,0),"-")</f>
        <v>95095</v>
      </c>
      <c r="G2085" s="51">
        <f t="shared" si="27"/>
        <v>237738</v>
      </c>
      <c r="H2085" s="92"/>
    </row>
    <row r="2086" spans="1:9" x14ac:dyDescent="0.25">
      <c r="A2086" s="50" t="str">
        <f>Material!A534</f>
        <v>MA-533</v>
      </c>
      <c r="B2086" s="72" t="str">
        <f>IFERROR(VLOOKUP(A2086,Material!$A:$H,2,0),"-")</f>
        <v>VÁLVULA DE HIERRO 6"</v>
      </c>
      <c r="C2086" s="76"/>
      <c r="D2086" s="50" t="str">
        <f>IFERROR(VLOOKUP(A2086,Material!$A:$H,4,0),"-")</f>
        <v>UN</v>
      </c>
      <c r="E2086" s="50">
        <v>1</v>
      </c>
      <c r="F2086" s="51">
        <f>IFERROR(VLOOKUP(A2086,Material!$A:$H,3,0),"-")</f>
        <v>1605748.3</v>
      </c>
      <c r="G2086" s="51">
        <f t="shared" si="27"/>
        <v>1605749</v>
      </c>
      <c r="H2086" s="92"/>
    </row>
    <row r="2087" spans="1:9" x14ac:dyDescent="0.25">
      <c r="A2087" s="219" t="s">
        <v>41</v>
      </c>
      <c r="B2087" s="219"/>
      <c r="C2087" s="219"/>
      <c r="D2087" s="219"/>
      <c r="E2087" s="219"/>
      <c r="F2087" s="219"/>
      <c r="G2087" s="52">
        <f>SUM(G2081:G2086)</f>
        <v>21698866</v>
      </c>
      <c r="I2087" s="104"/>
    </row>
    <row r="2088" spans="1:9" x14ac:dyDescent="0.25">
      <c r="A2088" s="56"/>
      <c r="B2088" s="57"/>
      <c r="C2088" s="57"/>
      <c r="D2088" s="57"/>
      <c r="E2088" s="57"/>
      <c r="F2088" s="57"/>
      <c r="G2088" s="58"/>
    </row>
    <row r="2089" spans="1:9" x14ac:dyDescent="0.25">
      <c r="A2089" s="219" t="s">
        <v>42</v>
      </c>
      <c r="B2089" s="219"/>
      <c r="C2089" s="219"/>
      <c r="D2089" s="219"/>
      <c r="E2089" s="219"/>
      <c r="F2089" s="219"/>
      <c r="G2089" s="219"/>
    </row>
    <row r="2090" spans="1:9" x14ac:dyDescent="0.25">
      <c r="A2090" s="49" t="s">
        <v>35</v>
      </c>
      <c r="B2090" s="49" t="s">
        <v>36</v>
      </c>
      <c r="C2090" s="49" t="s">
        <v>38</v>
      </c>
      <c r="D2090" s="49" t="s">
        <v>43</v>
      </c>
      <c r="E2090" s="49" t="s">
        <v>44</v>
      </c>
      <c r="F2090" s="49" t="s">
        <v>45</v>
      </c>
      <c r="G2090" s="49" t="s">
        <v>40</v>
      </c>
    </row>
    <row r="2091" spans="1:9" x14ac:dyDescent="0.25">
      <c r="A2091" s="50" t="s">
        <v>319</v>
      </c>
      <c r="B2091" s="68" t="str">
        <f>VLOOKUP(A2091,'Componentes APUs'!$H$1:$L$25,2,0)</f>
        <v>Ingeniero Residente de Obra</v>
      </c>
      <c r="C2091" s="93">
        <v>0</v>
      </c>
      <c r="D2091" s="50">
        <f>VLOOKUP(A2091,'Componentes APUs'!$H$1:$L$25,3,0)</f>
        <v>4</v>
      </c>
      <c r="E2091" s="51">
        <f>VLOOKUP(A2091,'Componentes APUs'!$H$1:$L$25,4,0)</f>
        <v>271142.85714285716</v>
      </c>
      <c r="F2091" s="51">
        <f>VLOOKUP(A2091,'Componentes APUs'!$H$1:$L$25,5,0)</f>
        <v>162685.71428571429</v>
      </c>
      <c r="G2091" s="51">
        <f>ROUNDUP((E2091+F2091)*C2091/E2078,0)</f>
        <v>0</v>
      </c>
      <c r="H2091" s="66"/>
    </row>
    <row r="2092" spans="1:9" x14ac:dyDescent="0.25">
      <c r="A2092" s="50" t="s">
        <v>320</v>
      </c>
      <c r="B2092" s="68" t="str">
        <f>VLOOKUP(A2092,'Componentes APUs'!$H$1:$L$25,2,0)</f>
        <v>Tecnico Supervisor</v>
      </c>
      <c r="C2092" s="93">
        <v>0</v>
      </c>
      <c r="D2092" s="50">
        <f>VLOOKUP(A2092,'Componentes APUs'!$H$1:$L$25,3,0)</f>
        <v>2.2999999999999998</v>
      </c>
      <c r="E2092" s="51">
        <f>VLOOKUP(A2092,'Componentes APUs'!$H$1:$L$25,4,0)</f>
        <v>155907.14285714284</v>
      </c>
      <c r="F2092" s="51">
        <f>VLOOKUP(A2092,'Componentes APUs'!$H$1:$L$25,5,0)</f>
        <v>93544.285714285696</v>
      </c>
      <c r="G2092" s="51">
        <f>ROUNDUP((E2092+F2092)*C2092/E2078,0)</f>
        <v>0</v>
      </c>
    </row>
    <row r="2093" spans="1:9" x14ac:dyDescent="0.25">
      <c r="A2093" s="50" t="s">
        <v>54</v>
      </c>
      <c r="B2093" s="68" t="str">
        <f>VLOOKUP(A2093,'Componentes APUs'!$H$1:$L$25,2,0)</f>
        <v>Maestro de obra civil</v>
      </c>
      <c r="C2093" s="93">
        <v>1</v>
      </c>
      <c r="D2093" s="50">
        <f>VLOOKUP(A2093,'Componentes APUs'!$H$1:$L$25,3,0)</f>
        <v>2.5</v>
      </c>
      <c r="E2093" s="51">
        <f>VLOOKUP(A2093,'Componentes APUs'!$H$1:$L$25,4,0)</f>
        <v>169464.28571428571</v>
      </c>
      <c r="F2093" s="51">
        <f>VLOOKUP(A2093,'Componentes APUs'!$H$1:$L$25,5,0)</f>
        <v>101678.57142857142</v>
      </c>
      <c r="G2093" s="51">
        <f>ROUNDUP((E2093+F2093)*C2093/E2078,0)</f>
        <v>1084572</v>
      </c>
    </row>
    <row r="2094" spans="1:9" x14ac:dyDescent="0.25">
      <c r="A2094" s="50" t="s">
        <v>1110</v>
      </c>
      <c r="B2094" s="68" t="str">
        <f>VLOOKUP(A2094,'Componentes APUs'!$H$1:$L$25,2,0)</f>
        <v>Oficial de Obra Civil</v>
      </c>
      <c r="C2094" s="93">
        <v>1</v>
      </c>
      <c r="D2094" s="50">
        <f>VLOOKUP(A2094,'Componentes APUs'!$H$1:$L$25,3,0)</f>
        <v>1.5</v>
      </c>
      <c r="E2094" s="51">
        <f>VLOOKUP(A2094,'Componentes APUs'!$H$1:$L$25,4,0)</f>
        <v>115964.28571428571</v>
      </c>
      <c r="F2094" s="51">
        <f>VLOOKUP(A2094,'Componentes APUs'!$H$1:$L$25,5,0)</f>
        <v>69578.57142857142</v>
      </c>
      <c r="G2094" s="51">
        <f>ROUNDUP((E2094+F2094)*C2094/E2078,0)</f>
        <v>742172</v>
      </c>
    </row>
    <row r="2095" spans="1:9" x14ac:dyDescent="0.25">
      <c r="A2095" s="50" t="s">
        <v>50</v>
      </c>
      <c r="B2095" s="68" t="str">
        <f>VLOOKUP(A2095,'Componentes APUs'!$H$1:$L$25,2,0)</f>
        <v>Profesional en SST</v>
      </c>
      <c r="C2095" s="93">
        <v>0.25</v>
      </c>
      <c r="D2095" s="50">
        <f>VLOOKUP(A2095,'Componentes APUs'!$H$1:$L$25,3,0)</f>
        <v>2.5</v>
      </c>
      <c r="E2095" s="51">
        <f>VLOOKUP(A2095,'Componentes APUs'!$H$1:$L$25,4,0)</f>
        <v>169464.28571428571</v>
      </c>
      <c r="F2095" s="51">
        <f>VLOOKUP(A2095,'Componentes APUs'!$H$1:$L$25,5,0)</f>
        <v>101678.57142857142</v>
      </c>
      <c r="G2095" s="51">
        <f>ROUNDUP((E2095+F2095)*C2095/E2078,0)</f>
        <v>271143</v>
      </c>
    </row>
    <row r="2096" spans="1:9" x14ac:dyDescent="0.25">
      <c r="A2096" s="50" t="s">
        <v>1109</v>
      </c>
      <c r="B2096" s="68" t="str">
        <f>VLOOKUP(A2096,'Componentes APUs'!$H$1:$L$25,2,0)</f>
        <v>Ayudante de Obra Civil</v>
      </c>
      <c r="C2096" s="93">
        <v>2</v>
      </c>
      <c r="D2096" s="50">
        <f>VLOOKUP(A2096,'Componentes APUs'!$H$1:$L$25,3,0)</f>
        <v>1</v>
      </c>
      <c r="E2096" s="51">
        <f>VLOOKUP(A2096,'Componentes APUs'!$H$1:$L$25,4,0)</f>
        <v>77309.523809523816</v>
      </c>
      <c r="F2096" s="51">
        <f>VLOOKUP(A2096,'Componentes APUs'!$H$1:$L$25,5,0)</f>
        <v>46385.71428571429</v>
      </c>
      <c r="G2096" s="51">
        <f>ROUNDUP((E2096+F2096)*C2096/E2078,0)</f>
        <v>989562</v>
      </c>
    </row>
    <row r="2097" spans="1:9" x14ac:dyDescent="0.25">
      <c r="A2097" s="219" t="s">
        <v>56</v>
      </c>
      <c r="B2097" s="219"/>
      <c r="C2097" s="219"/>
      <c r="D2097" s="219"/>
      <c r="E2097" s="219"/>
      <c r="F2097" s="219"/>
      <c r="G2097" s="52">
        <f>SUM(G2091:G2096)</f>
        <v>3087449</v>
      </c>
    </row>
    <row r="2098" spans="1:9" x14ac:dyDescent="0.25">
      <c r="A2098" s="56"/>
      <c r="B2098" s="57"/>
      <c r="C2098" s="57"/>
      <c r="D2098" s="57"/>
      <c r="E2098" s="57"/>
      <c r="F2098" s="57"/>
      <c r="G2098" s="58"/>
    </row>
    <row r="2099" spans="1:9" x14ac:dyDescent="0.25">
      <c r="A2099" s="219" t="s">
        <v>57</v>
      </c>
      <c r="B2099" s="219"/>
      <c r="C2099" s="219"/>
      <c r="D2099" s="219"/>
      <c r="E2099" s="219"/>
      <c r="F2099" s="219"/>
      <c r="G2099" s="219"/>
    </row>
    <row r="2100" spans="1:9" x14ac:dyDescent="0.25">
      <c r="A2100" s="49" t="s">
        <v>35</v>
      </c>
      <c r="B2100" s="219" t="s">
        <v>36</v>
      </c>
      <c r="C2100" s="219"/>
      <c r="D2100" s="49" t="s">
        <v>37</v>
      </c>
      <c r="E2100" s="49" t="s">
        <v>38</v>
      </c>
      <c r="F2100" s="49" t="s">
        <v>39</v>
      </c>
      <c r="G2100" s="49" t="s">
        <v>40</v>
      </c>
    </row>
    <row r="2101" spans="1:9" x14ac:dyDescent="0.25">
      <c r="A2101" s="50" t="s">
        <v>326</v>
      </c>
      <c r="B2101" s="220" t="str">
        <f>VLOOKUP(A2101,'Componentes APUs'!$S$1:$V$10,2,0)</f>
        <v>Juego Llaves</v>
      </c>
      <c r="C2101" s="220"/>
      <c r="D2101" s="50" t="s">
        <v>18</v>
      </c>
      <c r="E2101" s="50">
        <v>0</v>
      </c>
      <c r="F2101" s="51">
        <f>VLOOKUP(A2101,'Componentes APUs'!$S$1:$V$10,4,0)</f>
        <v>9167</v>
      </c>
      <c r="G2101" s="51">
        <f>ROUNDUP(F2101*((E2101/21)/E2078),0)</f>
        <v>0</v>
      </c>
      <c r="I2101" s="91"/>
    </row>
    <row r="2102" spans="1:9" x14ac:dyDescent="0.25">
      <c r="A2102" s="50" t="s">
        <v>58</v>
      </c>
      <c r="B2102" s="220" t="str">
        <f>VLOOKUP(A2102,'Componentes APUs'!$S$1:$V$10,2,0)</f>
        <v>Manila de servicio</v>
      </c>
      <c r="C2102" s="220"/>
      <c r="D2102" s="50" t="s">
        <v>18</v>
      </c>
      <c r="E2102" s="50">
        <v>0</v>
      </c>
      <c r="F2102" s="51">
        <f>VLOOKUP(A2102,'Componentes APUs'!$S$1:$V$10,4,0)</f>
        <v>2333</v>
      </c>
      <c r="G2102" s="51">
        <f>ROUNDUP(F2102*((E2102/21)/E2078),0)</f>
        <v>0</v>
      </c>
    </row>
    <row r="2103" spans="1:9" x14ac:dyDescent="0.25">
      <c r="A2103" s="50" t="s">
        <v>327</v>
      </c>
      <c r="B2103" s="220" t="str">
        <f>VLOOKUP(A2103,'Componentes APUs'!$S$1:$V$10,2,0)</f>
        <v>Tula portaherramientas</v>
      </c>
      <c r="C2103" s="220"/>
      <c r="D2103" s="50" t="s">
        <v>18</v>
      </c>
      <c r="E2103" s="50">
        <v>0</v>
      </c>
      <c r="F2103" s="51">
        <f>VLOOKUP(A2103,'Componentes APUs'!$S$1:$V$10,4,0)</f>
        <v>1250</v>
      </c>
      <c r="G2103" s="51">
        <f>ROUNDUP(F2103*((E2103/21)/E2078),0)</f>
        <v>0</v>
      </c>
    </row>
    <row r="2104" spans="1:9" x14ac:dyDescent="0.25">
      <c r="A2104" s="50" t="s">
        <v>60</v>
      </c>
      <c r="B2104" s="220" t="str">
        <f>VLOOKUP(A2104,'Componentes APUs'!$S$1:$V$10,2,0)</f>
        <v>Agarradoras</v>
      </c>
      <c r="C2104" s="220"/>
      <c r="D2104" s="50" t="s">
        <v>18</v>
      </c>
      <c r="E2104" s="50">
        <v>0</v>
      </c>
      <c r="F2104" s="51">
        <f>VLOOKUP(A2104,'Componentes APUs'!$S$1:$V$10,4,0)</f>
        <v>125000</v>
      </c>
      <c r="G2104" s="51">
        <f>ROUNDUP(F2104*((E2104/21)/E2078),0)</f>
        <v>0</v>
      </c>
    </row>
    <row r="2105" spans="1:9" x14ac:dyDescent="0.25">
      <c r="A2105" s="50" t="s">
        <v>62</v>
      </c>
      <c r="B2105" s="220" t="str">
        <f>VLOOKUP(A2105,'Componentes APUs'!$S$1:$V$10,2,0)</f>
        <v>Templadoras</v>
      </c>
      <c r="C2105" s="220"/>
      <c r="D2105" s="50" t="s">
        <v>18</v>
      </c>
      <c r="E2105" s="50">
        <v>0</v>
      </c>
      <c r="F2105" s="51">
        <f>VLOOKUP(A2105,'Componentes APUs'!$S$1:$V$10,4,0)</f>
        <v>250000</v>
      </c>
      <c r="G2105" s="51">
        <f>ROUNDUP(F2105*((E2105/21)/E2078),0)</f>
        <v>0</v>
      </c>
    </row>
    <row r="2106" spans="1:9" x14ac:dyDescent="0.25">
      <c r="A2106" s="50" t="s">
        <v>328</v>
      </c>
      <c r="B2106" s="220" t="str">
        <f>VLOOKUP(A2106,'Componentes APUs'!$S$1:$V$10,2,0)</f>
        <v>Herramienta Menor</v>
      </c>
      <c r="C2106" s="220"/>
      <c r="D2106" s="50" t="s">
        <v>18</v>
      </c>
      <c r="E2106" s="50">
        <v>1</v>
      </c>
      <c r="F2106" s="51">
        <f>VLOOKUP(A2106,'Componentes APUs'!$S$1:$V$10,4,0)</f>
        <v>75758</v>
      </c>
      <c r="G2106" s="51">
        <f>ROUNDUP(F2106*((E2106/21)/E2078),0)</f>
        <v>14431</v>
      </c>
    </row>
    <row r="2107" spans="1:9" x14ac:dyDescent="0.25">
      <c r="A2107" s="219" t="s">
        <v>69</v>
      </c>
      <c r="B2107" s="219"/>
      <c r="C2107" s="219"/>
      <c r="D2107" s="219"/>
      <c r="E2107" s="219"/>
      <c r="F2107" s="219"/>
      <c r="G2107" s="52">
        <f>SUM(G2101:G2106)</f>
        <v>14431</v>
      </c>
    </row>
    <row r="2108" spans="1:9" x14ac:dyDescent="0.25">
      <c r="A2108" s="56"/>
      <c r="B2108" s="57"/>
      <c r="C2108" s="57"/>
      <c r="D2108" s="57"/>
      <c r="E2108" s="57"/>
      <c r="F2108" s="57"/>
      <c r="G2108" s="58"/>
    </row>
    <row r="2109" spans="1:9" x14ac:dyDescent="0.25">
      <c r="A2109" s="219" t="s">
        <v>70</v>
      </c>
      <c r="B2109" s="219"/>
      <c r="C2109" s="219"/>
      <c r="D2109" s="219"/>
      <c r="E2109" s="219"/>
      <c r="F2109" s="219"/>
      <c r="G2109" s="219"/>
    </row>
    <row r="2110" spans="1:9" x14ac:dyDescent="0.25">
      <c r="A2110" s="49" t="s">
        <v>35</v>
      </c>
      <c r="B2110" s="219" t="s">
        <v>36</v>
      </c>
      <c r="C2110" s="219"/>
      <c r="D2110" s="49" t="s">
        <v>37</v>
      </c>
      <c r="E2110" s="49" t="s">
        <v>38</v>
      </c>
      <c r="F2110" s="49" t="s">
        <v>39</v>
      </c>
      <c r="G2110" s="49" t="s">
        <v>40</v>
      </c>
    </row>
    <row r="2111" spans="1:9" x14ac:dyDescent="0.25">
      <c r="A2111" s="50" t="s">
        <v>71</v>
      </c>
      <c r="B2111" s="71" t="str">
        <f>VLOOKUP(A2111,'Componentes APUs'!$A$1:$D$14,2,0)</f>
        <v>Camisa indigo sin partes metalicas</v>
      </c>
      <c r="C2111" s="71"/>
      <c r="D2111" s="50" t="str">
        <f>VLOOKUP(A2111,'Componentes APUs'!$A$1:$D$14,3,0)</f>
        <v>U</v>
      </c>
      <c r="E2111" s="50">
        <f>SUM(C2091:C2096)</f>
        <v>4.25</v>
      </c>
      <c r="F2111" s="51">
        <f>VLOOKUP(A2111,'Componentes APUs'!$A$1:$D$14,4,0)</f>
        <v>8585.8585858585866</v>
      </c>
      <c r="G2111" s="51">
        <f>ROUNDUP(F2111*(E2111/21)/E2078,0)</f>
        <v>6951</v>
      </c>
      <c r="I2111" s="91"/>
    </row>
    <row r="2112" spans="1:9" x14ac:dyDescent="0.25">
      <c r="A2112" s="69" t="s">
        <v>73</v>
      </c>
      <c r="B2112" s="72" t="str">
        <f>VLOOKUP(A2112,'Componentes APUs'!$A$1:$D$14,2,0)</f>
        <v>Bota de seguridad dielectrica</v>
      </c>
      <c r="C2112" s="73"/>
      <c r="D2112" s="70" t="str">
        <f>VLOOKUP(A2112,'Componentes APUs'!$A$1:$D$14,3,0)</f>
        <v>Par</v>
      </c>
      <c r="E2112" s="50">
        <f>SUM(C2091:C2096)</f>
        <v>4.25</v>
      </c>
      <c r="F2112" s="51">
        <f>VLOOKUP(A2112,'Componentes APUs'!$A$1:$D$14,4,0)</f>
        <v>7500</v>
      </c>
      <c r="G2112" s="51">
        <f>ROUNDUP(F2112*(E2112/21)/E2078,0)</f>
        <v>6072</v>
      </c>
    </row>
    <row r="2113" spans="1:7" x14ac:dyDescent="0.25">
      <c r="A2113" s="50" t="s">
        <v>76</v>
      </c>
      <c r="B2113" s="72" t="str">
        <f>VLOOKUP(A2113,'Componentes APUs'!$A$1:$D$14,2,0)</f>
        <v>Casco dielectrico Tipo 1 Clase E con barbuquejo</v>
      </c>
      <c r="C2113" s="73"/>
      <c r="D2113" s="50" t="str">
        <f>VLOOKUP(A2113,'Componentes APUs'!$A$1:$D$14,3,0)</f>
        <v>U</v>
      </c>
      <c r="E2113" s="50">
        <f>C2091+C2092+C2094+C2095+C2096+IF(A2093&lt;&gt;"MO-3",C2093,0)</f>
        <v>4.25</v>
      </c>
      <c r="F2113" s="51">
        <f>VLOOKUP(A2113,'Componentes APUs'!$A$1:$D$14,4,0)</f>
        <v>10101.010101010101</v>
      </c>
      <c r="G2113" s="51">
        <f>ROUNDUP(F2113*(E2113/21)/E2078,0)</f>
        <v>8178</v>
      </c>
    </row>
    <row r="2114" spans="1:7" x14ac:dyDescent="0.25">
      <c r="A2114" s="69" t="s">
        <v>77</v>
      </c>
      <c r="B2114" s="72" t="str">
        <f>VLOOKUP(A2114,'Componentes APUs'!$A$1:$D$14,2,0)</f>
        <v>Correa plastica y antiflama</v>
      </c>
      <c r="C2114" s="73"/>
      <c r="D2114" s="50" t="str">
        <f>VLOOKUP(A2114,'Componentes APUs'!$A$1:$D$14,3,0)</f>
        <v>U</v>
      </c>
      <c r="E2114" s="50">
        <f>SUM(C2091:C2096)</f>
        <v>4.25</v>
      </c>
      <c r="F2114" s="51">
        <f>VLOOKUP(A2114,'Componentes APUs'!$A$1:$D$14,4,0)</f>
        <v>3787.878787878788</v>
      </c>
      <c r="G2114" s="51">
        <f>ROUNDUP(F2114*(E2114/21)/E2078,0)</f>
        <v>3067</v>
      </c>
    </row>
    <row r="2115" spans="1:7" x14ac:dyDescent="0.25">
      <c r="A2115" s="50" t="s">
        <v>79</v>
      </c>
      <c r="B2115" s="72" t="str">
        <f>VLOOKUP(A2115,'Componentes APUs'!$A$1:$D$14,2,0)</f>
        <v>Gafas protectoras filtro UV</v>
      </c>
      <c r="C2115" s="73"/>
      <c r="D2115" s="50" t="str">
        <f>VLOOKUP(A2115,'Componentes APUs'!$A$1:$D$14,3,0)</f>
        <v>U</v>
      </c>
      <c r="E2115" s="50">
        <f>SUM(C2091:C2096)</f>
        <v>4.25</v>
      </c>
      <c r="F2115" s="51">
        <f>VLOOKUP(A2115,'Componentes APUs'!$A$1:$D$14,4,0)</f>
        <v>2777.7777777777778</v>
      </c>
      <c r="G2115" s="51">
        <f>ROUNDUP(F2115*(E2115/21)/E2078,0)</f>
        <v>2249</v>
      </c>
    </row>
    <row r="2116" spans="1:7" x14ac:dyDescent="0.25">
      <c r="A2116" s="69" t="s">
        <v>402</v>
      </c>
      <c r="B2116" s="72" t="str">
        <f>VLOOKUP(A2116,'Componentes APUs'!$A$1:$D$14,2,0)</f>
        <v>Bota de seguridad PVC dielectrica</v>
      </c>
      <c r="C2116" s="73"/>
      <c r="D2116" s="50" t="str">
        <f>VLOOKUP(A2116,'Componentes APUs'!$A$1:$D$14,3,0)</f>
        <v>Par</v>
      </c>
      <c r="E2116" s="50">
        <f>SUM(C2091:C2096)</f>
        <v>4.25</v>
      </c>
      <c r="F2116" s="51">
        <f>VLOOKUP(A2116,'Componentes APUs'!$A$1:$D$14,4,0)</f>
        <v>2916.6666666666665</v>
      </c>
      <c r="G2116" s="51">
        <f>ROUNDUP(F2116*(E2116/21)/E2078,0)</f>
        <v>2362</v>
      </c>
    </row>
    <row r="2117" spans="1:7" x14ac:dyDescent="0.25">
      <c r="A2117" s="50" t="s">
        <v>403</v>
      </c>
      <c r="B2117" s="72" t="str">
        <f>VLOOKUP(A2117,'Componentes APUs'!$A$1:$D$14,2,0)</f>
        <v>Capuchon</v>
      </c>
      <c r="C2117" s="73"/>
      <c r="D2117" s="50" t="str">
        <f>VLOOKUP(A2117,'Componentes APUs'!$A$1:$D$14,3,0)</f>
        <v>U</v>
      </c>
      <c r="E2117" s="50">
        <f>SUM(C2091:C2096)</f>
        <v>4.25</v>
      </c>
      <c r="F2117" s="51">
        <f>VLOOKUP(A2117,'Componentes APUs'!$A$1:$D$14,4,0)</f>
        <v>2525.2525252525252</v>
      </c>
      <c r="G2117" s="51">
        <f>ROUNDUP(F2117*(E2117/21)/E2078,0)</f>
        <v>2045</v>
      </c>
    </row>
    <row r="2118" spans="1:7" x14ac:dyDescent="0.25">
      <c r="A2118" s="69" t="s">
        <v>81</v>
      </c>
      <c r="B2118" s="72" t="str">
        <f>VLOOKUP(A2118,'Componentes APUs'!$A$1:$D$14,2,0)</f>
        <v>Guantes Protectores  - ingeniero reforzados</v>
      </c>
      <c r="C2118" s="73"/>
      <c r="D2118" s="50" t="str">
        <f>VLOOKUP(A2118,'Componentes APUs'!$A$1:$D$14,3,0)</f>
        <v>Par</v>
      </c>
      <c r="E2118" s="50">
        <f>C2093+C2094+C2096</f>
        <v>4</v>
      </c>
      <c r="F2118" s="51">
        <f>VLOOKUP(A2118,'Componentes APUs'!$A$1:$D$14,4,0)</f>
        <v>2525.2525252525252</v>
      </c>
      <c r="G2118" s="51">
        <f>ROUNDUP(F2118*(E2118/21)/E2078,0)</f>
        <v>1925</v>
      </c>
    </row>
    <row r="2119" spans="1:7" x14ac:dyDescent="0.25">
      <c r="A2119" s="50" t="s">
        <v>83</v>
      </c>
      <c r="B2119" s="72" t="str">
        <f>VLOOKUP(A2119,'Componentes APUs'!$A$1:$D$14,2,0)</f>
        <v>Impermeable (pantalon camisa)</v>
      </c>
      <c r="C2119" s="73"/>
      <c r="D2119" s="50" t="str">
        <f>VLOOKUP(A2119,'Componentes APUs'!$A$1:$D$14,3,0)</f>
        <v>U</v>
      </c>
      <c r="E2119" s="50">
        <f>SUM(C2091:C2096)</f>
        <v>4.25</v>
      </c>
      <c r="F2119" s="51">
        <f>VLOOKUP(A2119,'Componentes APUs'!$A$1:$D$14,4,0)</f>
        <v>3750</v>
      </c>
      <c r="G2119" s="51">
        <f>ROUNDUP(F2119*(E2119/21)/E2078,0)</f>
        <v>3036</v>
      </c>
    </row>
    <row r="2120" spans="1:7" x14ac:dyDescent="0.25">
      <c r="A2120" s="69" t="s">
        <v>85</v>
      </c>
      <c r="B2120" s="72" t="str">
        <f>VLOOKUP(A2120,'Componentes APUs'!$A$1:$D$14,2,0)</f>
        <v>Jean Dielectrico</v>
      </c>
      <c r="C2120" s="73"/>
      <c r="D2120" s="50" t="str">
        <f>VLOOKUP(A2120,'Componentes APUs'!$A$1:$D$14,3,0)</f>
        <v>U</v>
      </c>
      <c r="E2120" s="50">
        <f>SUM(C2091:C2096)</f>
        <v>4.25</v>
      </c>
      <c r="F2120" s="51">
        <f>VLOOKUP(A2120,'Componentes APUs'!$A$1:$D$14,4,0)</f>
        <v>7575.757575757576</v>
      </c>
      <c r="G2120" s="51">
        <f>ROUNDUP(F2120*(E2120/21)/E2078,0)</f>
        <v>6133</v>
      </c>
    </row>
    <row r="2121" spans="1:7" x14ac:dyDescent="0.25">
      <c r="A2121" s="50" t="s">
        <v>87</v>
      </c>
      <c r="B2121" s="72" t="str">
        <f>VLOOKUP(A2121,'Componentes APUs'!$A$1:$D$14,2,0)</f>
        <v>Casco dielectrico Tipo 2 Clase E con barboquejo</v>
      </c>
      <c r="C2121" s="73"/>
      <c r="D2121" s="50" t="str">
        <f>VLOOKUP(A2121,'Componentes APUs'!$A$1:$D$14,3,0)</f>
        <v>U</v>
      </c>
      <c r="E2121" s="53">
        <f>IF(A2093="MO-3",C2093,0)</f>
        <v>0</v>
      </c>
      <c r="F2121" s="51">
        <f>VLOOKUP(A2121,'Componentes APUs'!$A$1:$D$14,4,0)</f>
        <v>7500</v>
      </c>
      <c r="G2121" s="51">
        <f>ROUNDUP(F2121*(E2121/21)/E2078,0)</f>
        <v>0</v>
      </c>
    </row>
    <row r="2122" spans="1:7" x14ac:dyDescent="0.25">
      <c r="A2122" s="69" t="s">
        <v>89</v>
      </c>
      <c r="B2122" s="72" t="str">
        <f>VLOOKUP(A2122,'Componentes APUs'!$A$1:$D$14,2,0)</f>
        <v>Kit de rescate para trabajo en alturas</v>
      </c>
      <c r="C2122" s="73"/>
      <c r="D2122" s="50" t="str">
        <f>VLOOKUP(A2122,'Componentes APUs'!$A$1:$D$14,3,0)</f>
        <v>U</v>
      </c>
      <c r="E2122" s="50">
        <f>IF(AND(A2093="MO-3",C2093=2),1,0)</f>
        <v>0</v>
      </c>
      <c r="F2122" s="51">
        <f>VLOOKUP(A2122,'Componentes APUs'!$A$1:$D$14,4,0)</f>
        <v>37500</v>
      </c>
      <c r="G2122" s="51">
        <f>ROUNDUP(F2122*(E2122/21)/E2078,0)</f>
        <v>0</v>
      </c>
    </row>
    <row r="2123" spans="1:7" x14ac:dyDescent="0.25">
      <c r="A2123" s="50" t="s">
        <v>91</v>
      </c>
      <c r="B2123" s="72" t="str">
        <f>VLOOKUP(A2123,'Componentes APUs'!$A$1:$D$14,2,0)</f>
        <v>Equipo completo para trabajo en alturas con pretales (Arnes dielectrico, 1 mosqueton de seguridad, tie off dielectrico, eslinga de posicionamiento, juego de pretales)</v>
      </c>
      <c r="C2123" s="73"/>
      <c r="D2123" s="50" t="str">
        <f>VLOOKUP(A2123,'Componentes APUs'!$A$1:$D$14,3,0)</f>
        <v>U</v>
      </c>
      <c r="E2123" s="50">
        <f>IF(A2093="MO-3",C2093,0)</f>
        <v>0</v>
      </c>
      <c r="F2123" s="51">
        <f>VLOOKUP(A2123,'Componentes APUs'!$A$1:$D$14,4,0)</f>
        <v>26041.666666666668</v>
      </c>
      <c r="G2123" s="51">
        <f>ROUNDUP(F2123*(E2123/21)/E2078,0)</f>
        <v>0</v>
      </c>
    </row>
    <row r="2124" spans="1:7" x14ac:dyDescent="0.25">
      <c r="A2124" s="219" t="s">
        <v>95</v>
      </c>
      <c r="B2124" s="219"/>
      <c r="C2124" s="219"/>
      <c r="D2124" s="219"/>
      <c r="E2124" s="219"/>
      <c r="F2124" s="219"/>
      <c r="G2124" s="52">
        <f>SUM(G2111:G2123)</f>
        <v>42018</v>
      </c>
    </row>
    <row r="2125" spans="1:7" x14ac:dyDescent="0.25">
      <c r="A2125" s="56"/>
      <c r="B2125" s="57"/>
      <c r="C2125" s="57"/>
      <c r="D2125" s="57"/>
      <c r="E2125" s="57"/>
      <c r="F2125" s="57"/>
      <c r="G2125" s="58"/>
    </row>
    <row r="2126" spans="1:7" x14ac:dyDescent="0.25">
      <c r="A2126" s="219" t="s">
        <v>96</v>
      </c>
      <c r="B2126" s="219"/>
      <c r="C2126" s="219"/>
      <c r="D2126" s="219"/>
      <c r="E2126" s="219"/>
      <c r="F2126" s="219"/>
      <c r="G2126" s="219"/>
    </row>
    <row r="2127" spans="1:7" x14ac:dyDescent="0.25">
      <c r="A2127" s="49" t="s">
        <v>35</v>
      </c>
      <c r="B2127" s="225" t="s">
        <v>36</v>
      </c>
      <c r="C2127" s="225"/>
      <c r="D2127" s="49" t="s">
        <v>37</v>
      </c>
      <c r="E2127" s="49" t="s">
        <v>38</v>
      </c>
      <c r="F2127" s="49" t="s">
        <v>39</v>
      </c>
      <c r="G2127" s="49" t="s">
        <v>40</v>
      </c>
    </row>
    <row r="2128" spans="1:7" x14ac:dyDescent="0.25">
      <c r="A2128" s="69" t="s">
        <v>97</v>
      </c>
      <c r="B2128" s="72" t="str">
        <f>VLOOKUP(A2128,'Componentes APUs'!$N$1:$Q$30,2,0)</f>
        <v>Camioneta</v>
      </c>
      <c r="C2128" s="73"/>
      <c r="D2128" s="70" t="str">
        <f>VLOOKUP(A2128,'Componentes APUs'!$N$1:$Q$30,3,0)</f>
        <v>U</v>
      </c>
      <c r="E2128" s="50">
        <v>1</v>
      </c>
      <c r="F2128" s="51">
        <f>VLOOKUP(A2128,'Componentes APUs'!$N$1:$Q$30,4,0)</f>
        <v>5500000</v>
      </c>
      <c r="G2128" s="51">
        <f>IFERROR(ROUNDUP(F2128*(E2128/21)/E2078,0),"-")</f>
        <v>1047620</v>
      </c>
    </row>
    <row r="2129" spans="1:7" x14ac:dyDescent="0.25">
      <c r="A2129" s="50" t="s">
        <v>2211</v>
      </c>
      <c r="B2129" s="72" t="str">
        <f>VLOOKUP(A2129,'Componentes APUs'!$N$1:$Q$30,2,0)</f>
        <v>Vibrocompactador, potencia 153 HP, peso 10 ton</v>
      </c>
      <c r="C2129" s="73"/>
      <c r="D2129" s="70" t="str">
        <f>VLOOKUP(A2129,'Componentes APUs'!$N$1:$Q$30,3,0)</f>
        <v>U</v>
      </c>
      <c r="E2129" s="50">
        <v>0.25</v>
      </c>
      <c r="F2129" s="51">
        <f>VLOOKUP(A2129,'Componentes APUs'!$N$1:$Q$30,4,0)</f>
        <v>39069013.554216914</v>
      </c>
      <c r="G2129" s="51">
        <f>IFERROR(ROUNDUP(F2129*(E2129/21)/E2078,0),"-")</f>
        <v>1860430</v>
      </c>
    </row>
    <row r="2130" spans="1:7" x14ac:dyDescent="0.25">
      <c r="A2130" s="69" t="s">
        <v>1473</v>
      </c>
      <c r="B2130" s="72" t="str">
        <f>VLOOKUP(A2130,'Componentes APUs'!$N$1:$Q$30,2,0)</f>
        <v>Concretera</v>
      </c>
      <c r="C2130" s="73"/>
      <c r="D2130" s="70" t="str">
        <f>VLOOKUP(A2130,'Componentes APUs'!$N$1:$Q$30,3,0)</f>
        <v>U</v>
      </c>
      <c r="E2130" s="50">
        <v>0.25</v>
      </c>
      <c r="F2130" s="51">
        <f>VLOOKUP(A2130,'Componentes APUs'!$N$1:$Q$30,4,0)</f>
        <v>550704</v>
      </c>
      <c r="G2130" s="51">
        <f>IFERROR(ROUNDUP(F2130*(E2130/21)/E2078,0),"-")</f>
        <v>26224</v>
      </c>
    </row>
    <row r="2131" spans="1:7" x14ac:dyDescent="0.25">
      <c r="A2131" s="50" t="s">
        <v>323</v>
      </c>
      <c r="B2131" s="72" t="str">
        <f>VLOOKUP(A2131,'Componentes APUs'!$N$1:$Q$30,2,0)</f>
        <v>Volqueta</v>
      </c>
      <c r="C2131" s="73"/>
      <c r="D2131" s="70" t="str">
        <f>VLOOKUP(A2131,'Componentes APUs'!$N$1:$Q$30,3,0)</f>
        <v>U</v>
      </c>
      <c r="E2131" s="50">
        <v>0</v>
      </c>
      <c r="F2131" s="51">
        <f>VLOOKUP(A2131,'Componentes APUs'!$N$1:$Q$30,4,0)</f>
        <v>14828184</v>
      </c>
      <c r="G2131" s="51">
        <f>IFERROR(ROUNDUP(F2131*(E2131/21)/E2078,0),"-")</f>
        <v>0</v>
      </c>
    </row>
    <row r="2132" spans="1:7" x14ac:dyDescent="0.25">
      <c r="A2132" s="69" t="s">
        <v>324</v>
      </c>
      <c r="B2132" s="72" t="str">
        <f>VLOOKUP(A2132,'Componentes APUs'!$N$1:$Q$30,2,0)</f>
        <v>Retroexcavadora</v>
      </c>
      <c r="C2132" s="73"/>
      <c r="D2132" s="70" t="str">
        <f>VLOOKUP(A2132,'Componentes APUs'!$N$1:$Q$30,3,0)</f>
        <v>U</v>
      </c>
      <c r="E2132" s="50">
        <v>0</v>
      </c>
      <c r="F2132" s="51">
        <f>VLOOKUP(A2132,'Componentes APUs'!$N$1:$Q$30,4,0)</f>
        <v>46030656</v>
      </c>
      <c r="G2132" s="51">
        <f>IFERROR(ROUNDUP(F2132*(E2132/21)/E2078,0),"-")</f>
        <v>0</v>
      </c>
    </row>
    <row r="2133" spans="1:7" x14ac:dyDescent="0.25">
      <c r="A2133" s="219" t="s">
        <v>99</v>
      </c>
      <c r="B2133" s="219"/>
      <c r="C2133" s="219"/>
      <c r="D2133" s="219"/>
      <c r="E2133" s="219"/>
      <c r="F2133" s="219"/>
      <c r="G2133" s="52">
        <f>SUM(G2128:G2132)</f>
        <v>2934274</v>
      </c>
    </row>
    <row r="2134" spans="1:7" x14ac:dyDescent="0.25">
      <c r="A2134" s="56"/>
      <c r="B2134" s="57"/>
      <c r="C2134" s="57"/>
      <c r="D2134" s="57"/>
      <c r="E2134" s="57"/>
      <c r="F2134" s="57"/>
      <c r="G2134" s="58"/>
    </row>
    <row r="2135" spans="1:7" x14ac:dyDescent="0.25">
      <c r="A2135" s="219" t="s">
        <v>1516</v>
      </c>
      <c r="B2135" s="219"/>
      <c r="C2135" s="219"/>
      <c r="D2135" s="219"/>
      <c r="E2135" s="219"/>
      <c r="F2135" s="219"/>
      <c r="G2135" s="52">
        <f>G2133+G2124+G2107+G2097+G2087</f>
        <v>27777038</v>
      </c>
    </row>
    <row r="2136" spans="1:7" x14ac:dyDescent="0.25">
      <c r="A2136" s="59"/>
      <c r="B2136" s="60"/>
      <c r="C2136" s="60"/>
      <c r="D2136" s="60"/>
      <c r="E2136" s="57"/>
      <c r="F2136" s="57"/>
      <c r="G2136" s="58"/>
    </row>
    <row r="2137" spans="1:7" x14ac:dyDescent="0.25">
      <c r="A2137" s="64"/>
      <c r="D2137" s="55"/>
      <c r="E2137" s="49" t="s">
        <v>25</v>
      </c>
      <c r="F2137" s="54">
        <v>0.15</v>
      </c>
      <c r="G2137" s="51">
        <f>G2135*F2137</f>
        <v>4166555.6999999997</v>
      </c>
    </row>
    <row r="2138" spans="1:7" x14ac:dyDescent="0.25">
      <c r="A2138" s="64"/>
      <c r="D2138" s="55"/>
      <c r="E2138" s="49" t="s">
        <v>26</v>
      </c>
      <c r="F2138" s="54">
        <v>0.05</v>
      </c>
      <c r="G2138" s="51">
        <f>G2135*F2138</f>
        <v>1388851.9000000001</v>
      </c>
    </row>
    <row r="2139" spans="1:7" x14ac:dyDescent="0.25">
      <c r="A2139" s="61"/>
      <c r="B2139" s="65"/>
      <c r="C2139" s="65"/>
      <c r="D2139" s="62"/>
      <c r="E2139" s="49" t="s">
        <v>27</v>
      </c>
      <c r="F2139" s="54">
        <v>0.05</v>
      </c>
      <c r="G2139" s="51">
        <f>G2135*F2139</f>
        <v>1388851.9000000001</v>
      </c>
    </row>
    <row r="2140" spans="1:7" x14ac:dyDescent="0.25">
      <c r="A2140" s="61"/>
      <c r="B2140" s="62"/>
      <c r="C2140" s="62"/>
      <c r="D2140" s="62"/>
      <c r="E2140" s="62"/>
      <c r="F2140" s="62"/>
      <c r="G2140" s="63"/>
    </row>
    <row r="2141" spans="1:7" x14ac:dyDescent="0.25">
      <c r="A2141" s="219" t="s">
        <v>1517</v>
      </c>
      <c r="B2141" s="219"/>
      <c r="C2141" s="219"/>
      <c r="D2141" s="219"/>
      <c r="E2141" s="219"/>
      <c r="F2141" s="219"/>
      <c r="G2141" s="52">
        <f>G2135+G2137+G2138+G2139</f>
        <v>34721297.5</v>
      </c>
    </row>
    <row r="2142" spans="1:7" x14ac:dyDescent="0.25">
      <c r="A2142" s="59"/>
      <c r="B2142" s="60"/>
      <c r="C2142" s="60"/>
      <c r="D2142" s="60"/>
      <c r="E2142" s="57"/>
      <c r="F2142" s="57"/>
      <c r="G2142" s="58"/>
    </row>
    <row r="2143" spans="1:7" x14ac:dyDescent="0.25">
      <c r="A2143" s="64"/>
      <c r="D2143" s="55"/>
      <c r="E2143" s="49" t="s">
        <v>102</v>
      </c>
      <c r="F2143" s="49" t="s">
        <v>103</v>
      </c>
      <c r="G2143" s="51">
        <f>G2139*19%</f>
        <v>263881.86100000003</v>
      </c>
    </row>
    <row r="2144" spans="1:7" x14ac:dyDescent="0.25">
      <c r="A2144" s="61"/>
      <c r="B2144" s="62"/>
      <c r="C2144" s="62"/>
      <c r="D2144" s="62"/>
      <c r="E2144" s="57"/>
      <c r="F2144" s="57"/>
      <c r="G2144" s="58"/>
    </row>
    <row r="2145" spans="1:9" x14ac:dyDescent="0.25">
      <c r="A2145" s="219" t="s">
        <v>104</v>
      </c>
      <c r="B2145" s="219"/>
      <c r="C2145" s="219"/>
      <c r="D2145" s="219"/>
      <c r="E2145" s="219"/>
      <c r="F2145" s="219"/>
      <c r="G2145" s="52">
        <f>G2143+G2141</f>
        <v>34985179.361000001</v>
      </c>
    </row>
    <row r="2147" spans="1:9" x14ac:dyDescent="0.25">
      <c r="A2147" s="74" t="s">
        <v>29</v>
      </c>
      <c r="B2147" s="226" t="s">
        <v>30</v>
      </c>
      <c r="C2147" s="226"/>
      <c r="D2147" s="74" t="s">
        <v>31</v>
      </c>
      <c r="E2147" s="74" t="s">
        <v>32</v>
      </c>
      <c r="F2147" s="74" t="s">
        <v>189</v>
      </c>
      <c r="G2147" s="74" t="s">
        <v>33</v>
      </c>
      <c r="H2147" s="105"/>
    </row>
    <row r="2148" spans="1:9" ht="27" customHeight="1" x14ac:dyDescent="0.25">
      <c r="A2148" s="50" t="str">
        <f>Presupuesto!B42</f>
        <v>033_OC</v>
      </c>
      <c r="B2148" s="229" t="str">
        <f>Presupuesto!C42</f>
        <v>MURO CORTAFUEGO DE (5 METROS DE ALTO X 5,6 METROS LARGO Y 15CM ESPESOR)</v>
      </c>
      <c r="C2148" s="230"/>
      <c r="D2148" s="50" t="s">
        <v>8</v>
      </c>
      <c r="E2148" s="133">
        <v>0.3</v>
      </c>
      <c r="F2148" s="50"/>
      <c r="G2148" s="51">
        <f>G2213</f>
        <v>13145799.502000002</v>
      </c>
      <c r="H2148" s="45"/>
    </row>
    <row r="2149" spans="1:9" x14ac:dyDescent="0.25">
      <c r="A2149" s="219" t="s">
        <v>34</v>
      </c>
      <c r="B2149" s="219"/>
      <c r="C2149" s="219"/>
      <c r="D2149" s="219"/>
      <c r="E2149" s="219"/>
      <c r="F2149" s="219"/>
      <c r="G2149" s="219"/>
    </row>
    <row r="2150" spans="1:9" x14ac:dyDescent="0.25">
      <c r="A2150" s="49" t="s">
        <v>35</v>
      </c>
      <c r="B2150" s="219" t="s">
        <v>36</v>
      </c>
      <c r="C2150" s="219"/>
      <c r="D2150" s="49" t="s">
        <v>37</v>
      </c>
      <c r="E2150" s="49" t="s">
        <v>38</v>
      </c>
      <c r="F2150" s="49" t="s">
        <v>39</v>
      </c>
      <c r="G2150" s="49" t="s">
        <v>40</v>
      </c>
    </row>
    <row r="2151" spans="1:9" x14ac:dyDescent="0.25">
      <c r="A2151" s="50" t="str">
        <f>Material!A15</f>
        <v>MA-14</v>
      </c>
      <c r="B2151" s="72" t="str">
        <f>IFERROR(VLOOKUP(A2151,Material!$A:$H,2,0),"-")</f>
        <v>CONCRETO DE 3000 PSI</v>
      </c>
      <c r="C2151" s="76"/>
      <c r="D2151" s="50" t="str">
        <f>IFERROR(VLOOKUP(A2151,Material!$A:$H,4,0),"-")</f>
        <v>M3</v>
      </c>
      <c r="E2151" s="50">
        <f>5*5.6*0.15</f>
        <v>4.2</v>
      </c>
      <c r="F2151" s="51">
        <f>IFERROR(VLOOKUP(A2151,Material!$A:$H,3,0),"-")</f>
        <v>620227.23330691375</v>
      </c>
      <c r="G2151" s="51">
        <f>IFERROR(ROUNDUP(F2151*E2151,0),"-")</f>
        <v>2604955</v>
      </c>
    </row>
    <row r="2152" spans="1:9" x14ac:dyDescent="0.25">
      <c r="A2152" s="50" t="str">
        <f>Material!A597</f>
        <v>MA-596</v>
      </c>
      <c r="B2152" s="72" t="str">
        <f>IFERROR(VLOOKUP(A2152,Material!$A:$H,2,0),"-")</f>
        <v>ACERO DE REFUERZO FIGURADO</v>
      </c>
      <c r="C2152" s="76"/>
      <c r="D2152" s="50" t="str">
        <f>IFERROR(VLOOKUP(A2152,Material!$A:$H,4,0),"-")</f>
        <v>kG</v>
      </c>
      <c r="E2152" s="50">
        <f>E2151*200</f>
        <v>840</v>
      </c>
      <c r="F2152" s="51">
        <f>IFERROR(VLOOKUP(A2152,Material!$A:$H,3,0),"-")</f>
        <v>5106.4000000000005</v>
      </c>
      <c r="G2152" s="51">
        <f>IFERROR(ROUNDUP(F2152*E2152,0),"-")</f>
        <v>4289376</v>
      </c>
    </row>
    <row r="2153" spans="1:9" x14ac:dyDescent="0.25">
      <c r="A2153" s="50" t="str">
        <f>Material!A218</f>
        <v>MA-217</v>
      </c>
      <c r="B2153" s="72" t="str">
        <f>IFERROR(VLOOKUP(A2153,Material!$A:$H,2,0),"-")</f>
        <v>FORMALETA EN MADERA CON TABLA DE 1"</v>
      </c>
      <c r="C2153" s="76"/>
      <c r="D2153" s="50" t="str">
        <f>IFERROR(VLOOKUP(A2153,Material!$A:$H,4,0),"-")</f>
        <v>M2</v>
      </c>
      <c r="E2153" s="50">
        <v>56</v>
      </c>
      <c r="F2153" s="51">
        <f>IFERROR(VLOOKUP(A2153,Material!$A:$H,3,0),"-")</f>
        <v>24691.116165303549</v>
      </c>
      <c r="G2153" s="51">
        <f>IFERROR(ROUNDUP(F2153*E2153,0),"-")</f>
        <v>1382703</v>
      </c>
    </row>
    <row r="2154" spans="1:9" x14ac:dyDescent="0.25">
      <c r="A2154" s="50"/>
      <c r="B2154" s="72"/>
      <c r="C2154" s="76"/>
      <c r="D2154" s="50"/>
      <c r="E2154" s="50"/>
      <c r="F2154" s="51"/>
      <c r="G2154" s="51"/>
      <c r="H2154" s="92"/>
    </row>
    <row r="2155" spans="1:9" x14ac:dyDescent="0.25">
      <c r="A2155" s="219" t="s">
        <v>41</v>
      </c>
      <c r="B2155" s="219"/>
      <c r="C2155" s="219"/>
      <c r="D2155" s="219"/>
      <c r="E2155" s="219"/>
      <c r="F2155" s="219"/>
      <c r="G2155" s="52">
        <f>SUM(G2151:G2154)</f>
        <v>8277034</v>
      </c>
      <c r="I2155" s="104"/>
    </row>
    <row r="2156" spans="1:9" x14ac:dyDescent="0.25">
      <c r="A2156" s="56"/>
      <c r="B2156" s="57"/>
      <c r="C2156" s="57"/>
      <c r="D2156" s="57"/>
      <c r="E2156" s="57"/>
      <c r="F2156" s="57"/>
      <c r="G2156" s="58"/>
    </row>
    <row r="2157" spans="1:9" x14ac:dyDescent="0.25">
      <c r="A2157" s="219" t="s">
        <v>42</v>
      </c>
      <c r="B2157" s="219"/>
      <c r="C2157" s="219"/>
      <c r="D2157" s="219"/>
      <c r="E2157" s="219"/>
      <c r="F2157" s="219"/>
      <c r="G2157" s="219"/>
    </row>
    <row r="2158" spans="1:9" x14ac:dyDescent="0.25">
      <c r="A2158" s="49" t="s">
        <v>35</v>
      </c>
      <c r="B2158" s="49" t="s">
        <v>36</v>
      </c>
      <c r="C2158" s="49" t="s">
        <v>38</v>
      </c>
      <c r="D2158" s="49" t="s">
        <v>43</v>
      </c>
      <c r="E2158" s="49" t="s">
        <v>44</v>
      </c>
      <c r="F2158" s="49" t="s">
        <v>45</v>
      </c>
      <c r="G2158" s="49" t="s">
        <v>40</v>
      </c>
    </row>
    <row r="2159" spans="1:9" x14ac:dyDescent="0.25">
      <c r="A2159" s="50" t="s">
        <v>319</v>
      </c>
      <c r="B2159" s="68" t="str">
        <f>VLOOKUP(A2159,'Componentes APUs'!$H$1:$L$25,2,0)</f>
        <v>Ingeniero Residente de Obra</v>
      </c>
      <c r="C2159" s="93">
        <v>0</v>
      </c>
      <c r="D2159" s="50">
        <f>VLOOKUP(A2159,'Componentes APUs'!$H$1:$L$25,3,0)</f>
        <v>4</v>
      </c>
      <c r="E2159" s="51">
        <f>VLOOKUP(A2159,'Componentes APUs'!$H$1:$L$25,4,0)</f>
        <v>271142.85714285716</v>
      </c>
      <c r="F2159" s="51">
        <f>VLOOKUP(A2159,'Componentes APUs'!$H$1:$L$25,5,0)</f>
        <v>162685.71428571429</v>
      </c>
      <c r="G2159" s="51">
        <f>ROUNDUP((E2159+F2159)*C2159/E2148,0)</f>
        <v>0</v>
      </c>
      <c r="H2159" s="66"/>
    </row>
    <row r="2160" spans="1:9" x14ac:dyDescent="0.25">
      <c r="A2160" s="50" t="s">
        <v>320</v>
      </c>
      <c r="B2160" s="68" t="str">
        <f>VLOOKUP(A2160,'Componentes APUs'!$H$1:$L$25,2,0)</f>
        <v>Tecnico Supervisor</v>
      </c>
      <c r="C2160" s="93">
        <v>0</v>
      </c>
      <c r="D2160" s="50">
        <f>VLOOKUP(A2160,'Componentes APUs'!$H$1:$L$25,3,0)</f>
        <v>2.2999999999999998</v>
      </c>
      <c r="E2160" s="51">
        <f>VLOOKUP(A2160,'Componentes APUs'!$H$1:$L$25,4,0)</f>
        <v>155907.14285714284</v>
      </c>
      <c r="F2160" s="51">
        <f>VLOOKUP(A2160,'Componentes APUs'!$H$1:$L$25,5,0)</f>
        <v>93544.285714285696</v>
      </c>
      <c r="G2160" s="51">
        <f>ROUNDUP((E2160+F2160)*C2160/E2148,0)</f>
        <v>0</v>
      </c>
    </row>
    <row r="2161" spans="1:9" x14ac:dyDescent="0.25">
      <c r="A2161" s="50" t="s">
        <v>54</v>
      </c>
      <c r="B2161" s="68" t="str">
        <f>VLOOKUP(A2161,'Componentes APUs'!$H$1:$L$25,2,0)</f>
        <v>Maestro de obra civil</v>
      </c>
      <c r="C2161" s="93">
        <v>0</v>
      </c>
      <c r="D2161" s="50">
        <f>VLOOKUP(A2161,'Componentes APUs'!$H$1:$L$25,3,0)</f>
        <v>2.5</v>
      </c>
      <c r="E2161" s="51">
        <f>VLOOKUP(A2161,'Componentes APUs'!$H$1:$L$25,4,0)</f>
        <v>169464.28571428571</v>
      </c>
      <c r="F2161" s="51">
        <f>VLOOKUP(A2161,'Componentes APUs'!$H$1:$L$25,5,0)</f>
        <v>101678.57142857142</v>
      </c>
      <c r="G2161" s="51">
        <f>ROUNDUP((E2161+F2161)*C2161/E2148,0)</f>
        <v>0</v>
      </c>
    </row>
    <row r="2162" spans="1:9" x14ac:dyDescent="0.25">
      <c r="A2162" s="50" t="s">
        <v>1110</v>
      </c>
      <c r="B2162" s="68" t="str">
        <f>VLOOKUP(A2162,'Componentes APUs'!$H$1:$L$25,2,0)</f>
        <v>Oficial de Obra Civil</v>
      </c>
      <c r="C2162" s="93">
        <v>1</v>
      </c>
      <c r="D2162" s="50">
        <f>VLOOKUP(A2162,'Componentes APUs'!$H$1:$L$25,3,0)</f>
        <v>1.5</v>
      </c>
      <c r="E2162" s="51">
        <f>VLOOKUP(A2162,'Componentes APUs'!$H$1:$L$25,4,0)</f>
        <v>115964.28571428571</v>
      </c>
      <c r="F2162" s="51">
        <f>VLOOKUP(A2162,'Componentes APUs'!$H$1:$L$25,5,0)</f>
        <v>69578.57142857142</v>
      </c>
      <c r="G2162" s="51">
        <f>ROUNDUP((E2162+F2162)*C2162/E2148,0)</f>
        <v>618477</v>
      </c>
    </row>
    <row r="2163" spans="1:9" x14ac:dyDescent="0.25">
      <c r="A2163" s="50" t="s">
        <v>50</v>
      </c>
      <c r="B2163" s="68" t="str">
        <f>VLOOKUP(A2163,'Componentes APUs'!$H$1:$L$25,2,0)</f>
        <v>Profesional en SST</v>
      </c>
      <c r="C2163" s="93">
        <v>0.25</v>
      </c>
      <c r="D2163" s="50">
        <f>VLOOKUP(A2163,'Componentes APUs'!$H$1:$L$25,3,0)</f>
        <v>2.5</v>
      </c>
      <c r="E2163" s="51">
        <f>VLOOKUP(A2163,'Componentes APUs'!$H$1:$L$25,4,0)</f>
        <v>169464.28571428571</v>
      </c>
      <c r="F2163" s="51">
        <f>VLOOKUP(A2163,'Componentes APUs'!$H$1:$L$25,5,0)</f>
        <v>101678.57142857142</v>
      </c>
      <c r="G2163" s="51">
        <f>ROUNDUP((E2163+F2163)*C2163/E2148,0)</f>
        <v>225953</v>
      </c>
    </row>
    <row r="2164" spans="1:9" x14ac:dyDescent="0.25">
      <c r="A2164" s="50" t="s">
        <v>1109</v>
      </c>
      <c r="B2164" s="68" t="str">
        <f>VLOOKUP(A2164,'Componentes APUs'!$H$1:$L$25,2,0)</f>
        <v>Ayudante de Obra Civil</v>
      </c>
      <c r="C2164" s="93">
        <v>1</v>
      </c>
      <c r="D2164" s="50">
        <f>VLOOKUP(A2164,'Componentes APUs'!$H$1:$L$25,3,0)</f>
        <v>1</v>
      </c>
      <c r="E2164" s="51">
        <f>VLOOKUP(A2164,'Componentes APUs'!$H$1:$L$25,4,0)</f>
        <v>77309.523809523816</v>
      </c>
      <c r="F2164" s="51">
        <f>VLOOKUP(A2164,'Componentes APUs'!$H$1:$L$25,5,0)</f>
        <v>46385.71428571429</v>
      </c>
      <c r="G2164" s="51">
        <f>ROUNDUP((E2164+F2164)*C2164/E2148,0)</f>
        <v>412318</v>
      </c>
    </row>
    <row r="2165" spans="1:9" x14ac:dyDescent="0.25">
      <c r="A2165" s="219" t="s">
        <v>56</v>
      </c>
      <c r="B2165" s="219"/>
      <c r="C2165" s="219"/>
      <c r="D2165" s="219"/>
      <c r="E2165" s="219"/>
      <c r="F2165" s="219"/>
      <c r="G2165" s="52">
        <f>SUM(G2159:G2164)</f>
        <v>1256748</v>
      </c>
    </row>
    <row r="2166" spans="1:9" x14ac:dyDescent="0.25">
      <c r="A2166" s="56"/>
      <c r="B2166" s="57"/>
      <c r="C2166" s="57"/>
      <c r="D2166" s="57"/>
      <c r="E2166" s="57"/>
      <c r="F2166" s="57"/>
      <c r="G2166" s="58"/>
    </row>
    <row r="2167" spans="1:9" x14ac:dyDescent="0.25">
      <c r="A2167" s="219" t="s">
        <v>57</v>
      </c>
      <c r="B2167" s="219"/>
      <c r="C2167" s="219"/>
      <c r="D2167" s="219"/>
      <c r="E2167" s="219"/>
      <c r="F2167" s="219"/>
      <c r="G2167" s="219"/>
    </row>
    <row r="2168" spans="1:9" x14ac:dyDescent="0.25">
      <c r="A2168" s="49" t="s">
        <v>35</v>
      </c>
      <c r="B2168" s="219" t="s">
        <v>36</v>
      </c>
      <c r="C2168" s="219"/>
      <c r="D2168" s="49" t="s">
        <v>37</v>
      </c>
      <c r="E2168" s="49" t="s">
        <v>38</v>
      </c>
      <c r="F2168" s="49" t="s">
        <v>39</v>
      </c>
      <c r="G2168" s="49" t="s">
        <v>40</v>
      </c>
    </row>
    <row r="2169" spans="1:9" x14ac:dyDescent="0.25">
      <c r="A2169" s="50" t="s">
        <v>326</v>
      </c>
      <c r="B2169" s="220" t="str">
        <f>VLOOKUP(A2169,'Componentes APUs'!$S$1:$V$10,2,0)</f>
        <v>Juego Llaves</v>
      </c>
      <c r="C2169" s="220"/>
      <c r="D2169" s="50" t="s">
        <v>18</v>
      </c>
      <c r="E2169" s="50">
        <v>0</v>
      </c>
      <c r="F2169" s="51">
        <f>VLOOKUP(A2169,'Componentes APUs'!$S$1:$V$10,4,0)</f>
        <v>9167</v>
      </c>
      <c r="G2169" s="51">
        <f>ROUNDUP(F2169*((E2169/21)/E2148),0)</f>
        <v>0</v>
      </c>
      <c r="I2169" s="91"/>
    </row>
    <row r="2170" spans="1:9" x14ac:dyDescent="0.25">
      <c r="A2170" s="50" t="s">
        <v>58</v>
      </c>
      <c r="B2170" s="220" t="str">
        <f>VLOOKUP(A2170,'Componentes APUs'!$S$1:$V$10,2,0)</f>
        <v>Manila de servicio</v>
      </c>
      <c r="C2170" s="220"/>
      <c r="D2170" s="50" t="s">
        <v>18</v>
      </c>
      <c r="E2170" s="50">
        <v>0</v>
      </c>
      <c r="F2170" s="51">
        <f>VLOOKUP(A2170,'Componentes APUs'!$S$1:$V$10,4,0)</f>
        <v>2333</v>
      </c>
      <c r="G2170" s="51">
        <f>ROUNDUP(F2170*((E2170/21)/E2148),0)</f>
        <v>0</v>
      </c>
    </row>
    <row r="2171" spans="1:9" x14ac:dyDescent="0.25">
      <c r="A2171" s="50" t="s">
        <v>327</v>
      </c>
      <c r="B2171" s="220" t="str">
        <f>VLOOKUP(A2171,'Componentes APUs'!$S$1:$V$10,2,0)</f>
        <v>Tula portaherramientas</v>
      </c>
      <c r="C2171" s="220"/>
      <c r="D2171" s="50" t="s">
        <v>18</v>
      </c>
      <c r="E2171" s="50">
        <v>0</v>
      </c>
      <c r="F2171" s="51">
        <f>VLOOKUP(A2171,'Componentes APUs'!$S$1:$V$10,4,0)</f>
        <v>1250</v>
      </c>
      <c r="G2171" s="51">
        <f>ROUNDUP(F2171*((E2171/21)/E2148),0)</f>
        <v>0</v>
      </c>
    </row>
    <row r="2172" spans="1:9" x14ac:dyDescent="0.25">
      <c r="A2172" s="50" t="s">
        <v>60</v>
      </c>
      <c r="B2172" s="220" t="str">
        <f>VLOOKUP(A2172,'Componentes APUs'!$S$1:$V$10,2,0)</f>
        <v>Agarradoras</v>
      </c>
      <c r="C2172" s="220"/>
      <c r="D2172" s="50" t="s">
        <v>18</v>
      </c>
      <c r="E2172" s="50">
        <v>0</v>
      </c>
      <c r="F2172" s="51">
        <f>VLOOKUP(A2172,'Componentes APUs'!$S$1:$V$10,4,0)</f>
        <v>125000</v>
      </c>
      <c r="G2172" s="51">
        <f>ROUNDUP(F2172*((E2172/21)/E2148),0)</f>
        <v>0</v>
      </c>
    </row>
    <row r="2173" spans="1:9" x14ac:dyDescent="0.25">
      <c r="A2173" s="50" t="s">
        <v>62</v>
      </c>
      <c r="B2173" s="220" t="str">
        <f>VLOOKUP(A2173,'Componentes APUs'!$S$1:$V$10,2,0)</f>
        <v>Templadoras</v>
      </c>
      <c r="C2173" s="220"/>
      <c r="D2173" s="50" t="s">
        <v>18</v>
      </c>
      <c r="E2173" s="50">
        <v>0</v>
      </c>
      <c r="F2173" s="51">
        <f>VLOOKUP(A2173,'Componentes APUs'!$S$1:$V$10,4,0)</f>
        <v>250000</v>
      </c>
      <c r="G2173" s="51">
        <f>ROUNDUP(F2173*((E2173/21)/E2148),0)</f>
        <v>0</v>
      </c>
    </row>
    <row r="2174" spans="1:9" x14ac:dyDescent="0.25">
      <c r="A2174" s="50" t="s">
        <v>328</v>
      </c>
      <c r="B2174" s="220" t="str">
        <f>VLOOKUP(A2174,'Componentes APUs'!$S$1:$V$10,2,0)</f>
        <v>Herramienta Menor</v>
      </c>
      <c r="C2174" s="220"/>
      <c r="D2174" s="50" t="s">
        <v>18</v>
      </c>
      <c r="E2174" s="50">
        <v>1</v>
      </c>
      <c r="F2174" s="51">
        <f>VLOOKUP(A2174,'Componentes APUs'!$S$1:$V$10,4,0)</f>
        <v>75758</v>
      </c>
      <c r="G2174" s="51">
        <f>ROUNDUP(F2174*((E2174/21)/E2148),0)</f>
        <v>12026</v>
      </c>
    </row>
    <row r="2175" spans="1:9" x14ac:dyDescent="0.25">
      <c r="A2175" s="219" t="s">
        <v>69</v>
      </c>
      <c r="B2175" s="219"/>
      <c r="C2175" s="219"/>
      <c r="D2175" s="219"/>
      <c r="E2175" s="219"/>
      <c r="F2175" s="219"/>
      <c r="G2175" s="52">
        <f>SUM(G2169:G2174)</f>
        <v>12026</v>
      </c>
    </row>
    <row r="2176" spans="1:9" x14ac:dyDescent="0.25">
      <c r="A2176" s="56"/>
      <c r="B2176" s="57"/>
      <c r="C2176" s="57"/>
      <c r="D2176" s="57"/>
      <c r="E2176" s="57"/>
      <c r="F2176" s="57"/>
      <c r="G2176" s="58"/>
    </row>
    <row r="2177" spans="1:9" x14ac:dyDescent="0.25">
      <c r="A2177" s="219" t="s">
        <v>70</v>
      </c>
      <c r="B2177" s="219"/>
      <c r="C2177" s="219"/>
      <c r="D2177" s="219"/>
      <c r="E2177" s="219"/>
      <c r="F2177" s="219"/>
      <c r="G2177" s="219"/>
    </row>
    <row r="2178" spans="1:9" x14ac:dyDescent="0.25">
      <c r="A2178" s="49" t="s">
        <v>35</v>
      </c>
      <c r="B2178" s="219" t="s">
        <v>36</v>
      </c>
      <c r="C2178" s="219"/>
      <c r="D2178" s="49" t="s">
        <v>37</v>
      </c>
      <c r="E2178" s="49" t="s">
        <v>38</v>
      </c>
      <c r="F2178" s="49" t="s">
        <v>39</v>
      </c>
      <c r="G2178" s="49" t="s">
        <v>40</v>
      </c>
    </row>
    <row r="2179" spans="1:9" x14ac:dyDescent="0.25">
      <c r="A2179" s="50" t="s">
        <v>71</v>
      </c>
      <c r="B2179" s="71" t="str">
        <f>VLOOKUP(A2179,'Componentes APUs'!$A$1:$D$14,2,0)</f>
        <v>Camisa indigo sin partes metalicas</v>
      </c>
      <c r="C2179" s="71"/>
      <c r="D2179" s="50" t="str">
        <f>VLOOKUP(A2179,'Componentes APUs'!$A$1:$D$14,3,0)</f>
        <v>U</v>
      </c>
      <c r="E2179" s="50">
        <f>SUM(C2159:C2164)</f>
        <v>2.25</v>
      </c>
      <c r="F2179" s="51">
        <f>VLOOKUP(A2179,'Componentes APUs'!$A$1:$D$14,4,0)</f>
        <v>8585.8585858585866</v>
      </c>
      <c r="G2179" s="51">
        <f>ROUNDUP(F2179*(E2179/21)/E2148,0)</f>
        <v>3067</v>
      </c>
      <c r="I2179" s="91"/>
    </row>
    <row r="2180" spans="1:9" x14ac:dyDescent="0.25">
      <c r="A2180" s="69" t="s">
        <v>73</v>
      </c>
      <c r="B2180" s="72" t="str">
        <f>VLOOKUP(A2180,'Componentes APUs'!$A$1:$D$14,2,0)</f>
        <v>Bota de seguridad dielectrica</v>
      </c>
      <c r="C2180" s="73"/>
      <c r="D2180" s="70" t="str">
        <f>VLOOKUP(A2180,'Componentes APUs'!$A$1:$D$14,3,0)</f>
        <v>Par</v>
      </c>
      <c r="E2180" s="50">
        <f>SUM(C2159:C2164)</f>
        <v>2.25</v>
      </c>
      <c r="F2180" s="51">
        <f>VLOOKUP(A2180,'Componentes APUs'!$A$1:$D$14,4,0)</f>
        <v>7500</v>
      </c>
      <c r="G2180" s="51">
        <f>ROUNDUP(F2180*(E2180/21)/E2148,0)</f>
        <v>2679</v>
      </c>
    </row>
    <row r="2181" spans="1:9" x14ac:dyDescent="0.25">
      <c r="A2181" s="50" t="s">
        <v>76</v>
      </c>
      <c r="B2181" s="72" t="str">
        <f>VLOOKUP(A2181,'Componentes APUs'!$A$1:$D$14,2,0)</f>
        <v>Casco dielectrico Tipo 1 Clase E con barbuquejo</v>
      </c>
      <c r="C2181" s="73"/>
      <c r="D2181" s="50" t="str">
        <f>VLOOKUP(A2181,'Componentes APUs'!$A$1:$D$14,3,0)</f>
        <v>U</v>
      </c>
      <c r="E2181" s="50">
        <f>C2159+C2160+C2162+C2163+C2164+IF(A2161&lt;&gt;"MO-3",C2161,0)</f>
        <v>2.25</v>
      </c>
      <c r="F2181" s="51">
        <f>VLOOKUP(A2181,'Componentes APUs'!$A$1:$D$14,4,0)</f>
        <v>10101.010101010101</v>
      </c>
      <c r="G2181" s="51">
        <f>ROUNDUP(F2181*(E2181/21)/E2148,0)</f>
        <v>3608</v>
      </c>
    </row>
    <row r="2182" spans="1:9" x14ac:dyDescent="0.25">
      <c r="A2182" s="69" t="s">
        <v>77</v>
      </c>
      <c r="B2182" s="72" t="str">
        <f>VLOOKUP(A2182,'Componentes APUs'!$A$1:$D$14,2,0)</f>
        <v>Correa plastica y antiflama</v>
      </c>
      <c r="C2182" s="73"/>
      <c r="D2182" s="50" t="str">
        <f>VLOOKUP(A2182,'Componentes APUs'!$A$1:$D$14,3,0)</f>
        <v>U</v>
      </c>
      <c r="E2182" s="50">
        <f>SUM(C2159:C2164)</f>
        <v>2.25</v>
      </c>
      <c r="F2182" s="51">
        <f>VLOOKUP(A2182,'Componentes APUs'!$A$1:$D$14,4,0)</f>
        <v>3787.878787878788</v>
      </c>
      <c r="G2182" s="51">
        <f>ROUNDUP(F2182*(E2182/21)/E2148,0)</f>
        <v>1353</v>
      </c>
    </row>
    <row r="2183" spans="1:9" x14ac:dyDescent="0.25">
      <c r="A2183" s="50" t="s">
        <v>79</v>
      </c>
      <c r="B2183" s="72" t="str">
        <f>VLOOKUP(A2183,'Componentes APUs'!$A$1:$D$14,2,0)</f>
        <v>Gafas protectoras filtro UV</v>
      </c>
      <c r="C2183" s="73"/>
      <c r="D2183" s="50" t="str">
        <f>VLOOKUP(A2183,'Componentes APUs'!$A$1:$D$14,3,0)</f>
        <v>U</v>
      </c>
      <c r="E2183" s="50">
        <f>SUM(C2159:C2164)</f>
        <v>2.25</v>
      </c>
      <c r="F2183" s="51">
        <f>VLOOKUP(A2183,'Componentes APUs'!$A$1:$D$14,4,0)</f>
        <v>2777.7777777777778</v>
      </c>
      <c r="G2183" s="51">
        <f>ROUNDUP(F2183*(E2183/21)/E2148,0)</f>
        <v>993</v>
      </c>
    </row>
    <row r="2184" spans="1:9" x14ac:dyDescent="0.25">
      <c r="A2184" s="69" t="s">
        <v>402</v>
      </c>
      <c r="B2184" s="72" t="str">
        <f>VLOOKUP(A2184,'Componentes APUs'!$A$1:$D$14,2,0)</f>
        <v>Bota de seguridad PVC dielectrica</v>
      </c>
      <c r="C2184" s="73"/>
      <c r="D2184" s="50" t="str">
        <f>VLOOKUP(A2184,'Componentes APUs'!$A$1:$D$14,3,0)</f>
        <v>Par</v>
      </c>
      <c r="E2184" s="50">
        <f>SUM(C2159:C2164)</f>
        <v>2.25</v>
      </c>
      <c r="F2184" s="51">
        <f>VLOOKUP(A2184,'Componentes APUs'!$A$1:$D$14,4,0)</f>
        <v>2916.6666666666665</v>
      </c>
      <c r="G2184" s="51">
        <f>ROUNDUP(F2184*(E2184/21)/E2148,0)</f>
        <v>1042</v>
      </c>
    </row>
    <row r="2185" spans="1:9" x14ac:dyDescent="0.25">
      <c r="A2185" s="50" t="s">
        <v>403</v>
      </c>
      <c r="B2185" s="72" t="str">
        <f>VLOOKUP(A2185,'Componentes APUs'!$A$1:$D$14,2,0)</f>
        <v>Capuchon</v>
      </c>
      <c r="C2185" s="73"/>
      <c r="D2185" s="50" t="str">
        <f>VLOOKUP(A2185,'Componentes APUs'!$A$1:$D$14,3,0)</f>
        <v>U</v>
      </c>
      <c r="E2185" s="50">
        <f>SUM(C2159:C2164)</f>
        <v>2.25</v>
      </c>
      <c r="F2185" s="51">
        <f>VLOOKUP(A2185,'Componentes APUs'!$A$1:$D$14,4,0)</f>
        <v>2525.2525252525252</v>
      </c>
      <c r="G2185" s="51">
        <f>ROUNDUP(F2185*(E2185/21)/E2148,0)</f>
        <v>902</v>
      </c>
    </row>
    <row r="2186" spans="1:9" x14ac:dyDescent="0.25">
      <c r="A2186" s="69" t="s">
        <v>81</v>
      </c>
      <c r="B2186" s="72" t="str">
        <f>VLOOKUP(A2186,'Componentes APUs'!$A$1:$D$14,2,0)</f>
        <v>Guantes Protectores  - ingeniero reforzados</v>
      </c>
      <c r="C2186" s="73"/>
      <c r="D2186" s="50" t="str">
        <f>VLOOKUP(A2186,'Componentes APUs'!$A$1:$D$14,3,0)</f>
        <v>Par</v>
      </c>
      <c r="E2186" s="50">
        <f>C2161+C2162+C2164</f>
        <v>2</v>
      </c>
      <c r="F2186" s="51">
        <f>VLOOKUP(A2186,'Componentes APUs'!$A$1:$D$14,4,0)</f>
        <v>2525.2525252525252</v>
      </c>
      <c r="G2186" s="51">
        <f>ROUNDUP(F2186*(E2186/21)/E2148,0)</f>
        <v>802</v>
      </c>
    </row>
    <row r="2187" spans="1:9" x14ac:dyDescent="0.25">
      <c r="A2187" s="50" t="s">
        <v>83</v>
      </c>
      <c r="B2187" s="72" t="str">
        <f>VLOOKUP(A2187,'Componentes APUs'!$A$1:$D$14,2,0)</f>
        <v>Impermeable (pantalon camisa)</v>
      </c>
      <c r="C2187" s="73"/>
      <c r="D2187" s="50" t="str">
        <f>VLOOKUP(A2187,'Componentes APUs'!$A$1:$D$14,3,0)</f>
        <v>U</v>
      </c>
      <c r="E2187" s="50">
        <f>SUM(C2159:C2164)</f>
        <v>2.25</v>
      </c>
      <c r="F2187" s="51">
        <f>VLOOKUP(A2187,'Componentes APUs'!$A$1:$D$14,4,0)</f>
        <v>3750</v>
      </c>
      <c r="G2187" s="51">
        <f>ROUNDUP(F2187*(E2187/21)/E2148,0)</f>
        <v>1340</v>
      </c>
    </row>
    <row r="2188" spans="1:9" x14ac:dyDescent="0.25">
      <c r="A2188" s="69" t="s">
        <v>85</v>
      </c>
      <c r="B2188" s="72" t="str">
        <f>VLOOKUP(A2188,'Componentes APUs'!$A$1:$D$14,2,0)</f>
        <v>Jean Dielectrico</v>
      </c>
      <c r="C2188" s="73"/>
      <c r="D2188" s="50" t="str">
        <f>VLOOKUP(A2188,'Componentes APUs'!$A$1:$D$14,3,0)</f>
        <v>U</v>
      </c>
      <c r="E2188" s="50">
        <f>SUM(C2159:C2164)</f>
        <v>2.25</v>
      </c>
      <c r="F2188" s="51">
        <f>VLOOKUP(A2188,'Componentes APUs'!$A$1:$D$14,4,0)</f>
        <v>7575.757575757576</v>
      </c>
      <c r="G2188" s="51">
        <f>ROUNDUP(F2188*(E2188/21)/E2148,0)</f>
        <v>2706</v>
      </c>
    </row>
    <row r="2189" spans="1:9" x14ac:dyDescent="0.25">
      <c r="A2189" s="50" t="s">
        <v>87</v>
      </c>
      <c r="B2189" s="72" t="str">
        <f>VLOOKUP(A2189,'Componentes APUs'!$A$1:$D$14,2,0)</f>
        <v>Casco dielectrico Tipo 2 Clase E con barboquejo</v>
      </c>
      <c r="C2189" s="73"/>
      <c r="D2189" s="50" t="str">
        <f>VLOOKUP(A2189,'Componentes APUs'!$A$1:$D$14,3,0)</f>
        <v>U</v>
      </c>
      <c r="E2189" s="53">
        <f>IF(A2161="MO-3",C2161,0)</f>
        <v>0</v>
      </c>
      <c r="F2189" s="51">
        <f>VLOOKUP(A2189,'Componentes APUs'!$A$1:$D$14,4,0)</f>
        <v>7500</v>
      </c>
      <c r="G2189" s="51">
        <f>ROUNDUP(F2189*(E2189/21)/E2148,0)</f>
        <v>0</v>
      </c>
    </row>
    <row r="2190" spans="1:9" x14ac:dyDescent="0.25">
      <c r="A2190" s="69" t="s">
        <v>89</v>
      </c>
      <c r="B2190" s="72" t="str">
        <f>VLOOKUP(A2190,'Componentes APUs'!$A$1:$D$14,2,0)</f>
        <v>Kit de rescate para trabajo en alturas</v>
      </c>
      <c r="C2190" s="73"/>
      <c r="D2190" s="50" t="str">
        <f>VLOOKUP(A2190,'Componentes APUs'!$A$1:$D$14,3,0)</f>
        <v>U</v>
      </c>
      <c r="E2190" s="50">
        <f>IF(AND(A2161="MO-3",C2161=2),1,0)</f>
        <v>0</v>
      </c>
      <c r="F2190" s="51">
        <f>VLOOKUP(A2190,'Componentes APUs'!$A$1:$D$14,4,0)</f>
        <v>37500</v>
      </c>
      <c r="G2190" s="51">
        <f>ROUNDUP(F2190*(E2190/21)/E2148,0)</f>
        <v>0</v>
      </c>
    </row>
    <row r="2191" spans="1:9" x14ac:dyDescent="0.25">
      <c r="A2191" s="50" t="s">
        <v>91</v>
      </c>
      <c r="B2191" s="72" t="str">
        <f>VLOOKUP(A2191,'Componentes APUs'!$A$1:$D$14,2,0)</f>
        <v>Equipo completo para trabajo en alturas con pretales (Arnes dielectrico, 1 mosqueton de seguridad, tie off dielectrico, eslinga de posicionamiento, juego de pretales)</v>
      </c>
      <c r="C2191" s="73"/>
      <c r="D2191" s="50" t="str">
        <f>VLOOKUP(A2191,'Componentes APUs'!$A$1:$D$14,3,0)</f>
        <v>U</v>
      </c>
      <c r="E2191" s="50">
        <f>IF(A2161="MO-3",C2161,0)</f>
        <v>0</v>
      </c>
      <c r="F2191" s="51">
        <f>VLOOKUP(A2191,'Componentes APUs'!$A$1:$D$14,4,0)</f>
        <v>26041.666666666668</v>
      </c>
      <c r="G2191" s="51">
        <f>ROUNDUP(F2191*(E2191/21)/E2148,0)</f>
        <v>0</v>
      </c>
    </row>
    <row r="2192" spans="1:9" x14ac:dyDescent="0.25">
      <c r="A2192" s="219" t="s">
        <v>95</v>
      </c>
      <c r="B2192" s="219"/>
      <c r="C2192" s="219"/>
      <c r="D2192" s="219"/>
      <c r="E2192" s="219"/>
      <c r="F2192" s="219"/>
      <c r="G2192" s="52">
        <f>SUM(G2179:G2191)</f>
        <v>18492</v>
      </c>
    </row>
    <row r="2193" spans="1:7" x14ac:dyDescent="0.25">
      <c r="A2193" s="56"/>
      <c r="B2193" s="57"/>
      <c r="C2193" s="57"/>
      <c r="D2193" s="57"/>
      <c r="E2193" s="57"/>
      <c r="F2193" s="57"/>
      <c r="G2193" s="58"/>
    </row>
    <row r="2194" spans="1:7" x14ac:dyDescent="0.25">
      <c r="A2194" s="219" t="s">
        <v>96</v>
      </c>
      <c r="B2194" s="219"/>
      <c r="C2194" s="219"/>
      <c r="D2194" s="219"/>
      <c r="E2194" s="219"/>
      <c r="F2194" s="219"/>
      <c r="G2194" s="219"/>
    </row>
    <row r="2195" spans="1:7" x14ac:dyDescent="0.25">
      <c r="A2195" s="49" t="s">
        <v>35</v>
      </c>
      <c r="B2195" s="225" t="s">
        <v>36</v>
      </c>
      <c r="C2195" s="225"/>
      <c r="D2195" s="49" t="s">
        <v>37</v>
      </c>
      <c r="E2195" s="49" t="s">
        <v>38</v>
      </c>
      <c r="F2195" s="49" t="s">
        <v>39</v>
      </c>
      <c r="G2195" s="49" t="s">
        <v>40</v>
      </c>
    </row>
    <row r="2196" spans="1:7" x14ac:dyDescent="0.25">
      <c r="A2196" s="69" t="s">
        <v>97</v>
      </c>
      <c r="B2196" s="72" t="str">
        <f>VLOOKUP(A2196,'Componentes APUs'!$N$1:$Q$30,2,0)</f>
        <v>Camioneta</v>
      </c>
      <c r="C2196" s="73"/>
      <c r="D2196" s="70" t="str">
        <f>VLOOKUP(A2196,'Componentes APUs'!$N$1:$Q$30,3,0)</f>
        <v>U</v>
      </c>
      <c r="E2196" s="50">
        <v>1</v>
      </c>
      <c r="F2196" s="51">
        <f>VLOOKUP(A2196,'Componentes APUs'!$N$1:$Q$30,4,0)</f>
        <v>5500000</v>
      </c>
      <c r="G2196" s="51">
        <f>IFERROR(ROUNDUP(F2196*(E2196/21)/E2148,0),"-")</f>
        <v>873016</v>
      </c>
    </row>
    <row r="2197" spans="1:7" x14ac:dyDescent="0.25">
      <c r="A2197" s="50" t="s">
        <v>321</v>
      </c>
      <c r="B2197" s="72" t="str">
        <f>VLOOKUP(A2197,'Componentes APUs'!$N$1:$Q$30,2,0)</f>
        <v>Grúa Hidráulica</v>
      </c>
      <c r="C2197" s="73"/>
      <c r="D2197" s="70" t="str">
        <f>VLOOKUP(A2197,'Componentes APUs'!$N$1:$Q$30,3,0)</f>
        <v>U</v>
      </c>
      <c r="E2197" s="50">
        <v>0</v>
      </c>
      <c r="F2197" s="51">
        <f>VLOOKUP(A2197,'Componentes APUs'!$N$1:$Q$30,4,0)</f>
        <v>21000000</v>
      </c>
      <c r="G2197" s="51">
        <f>IFERROR(ROUNDUP(F2197*(E2197/21)/E2148,0),"-")</f>
        <v>0</v>
      </c>
    </row>
    <row r="2198" spans="1:7" x14ac:dyDescent="0.25">
      <c r="A2198" s="69" t="s">
        <v>1379</v>
      </c>
      <c r="B2198" s="72" t="str">
        <f>VLOOKUP(A2198,'Componentes APUs'!$N$1:$Q$30,2,0)</f>
        <v>Dumper de descarga Frontal 2T</v>
      </c>
      <c r="C2198" s="73"/>
      <c r="D2198" s="70" t="str">
        <f>VLOOKUP(A2198,'Componentes APUs'!$N$1:$Q$30,3,0)</f>
        <v>U</v>
      </c>
      <c r="E2198" s="50">
        <v>0</v>
      </c>
      <c r="F2198" s="51">
        <f>VLOOKUP(A2198,'Componentes APUs'!$N$1:$Q$30,4,0)</f>
        <v>4438716.24</v>
      </c>
      <c r="G2198" s="51">
        <f>IFERROR(ROUNDUP(F2198*(E2198/21)/E2148,0),"-")</f>
        <v>0</v>
      </c>
    </row>
    <row r="2199" spans="1:7" x14ac:dyDescent="0.25">
      <c r="A2199" s="50" t="s">
        <v>323</v>
      </c>
      <c r="B2199" s="72" t="str">
        <f>VLOOKUP(A2199,'Componentes APUs'!$N$1:$Q$30,2,0)</f>
        <v>Volqueta</v>
      </c>
      <c r="C2199" s="73"/>
      <c r="D2199" s="70" t="str">
        <f>VLOOKUP(A2199,'Componentes APUs'!$N$1:$Q$30,3,0)</f>
        <v>U</v>
      </c>
      <c r="E2199" s="50">
        <v>0</v>
      </c>
      <c r="F2199" s="51">
        <f>VLOOKUP(A2199,'Componentes APUs'!$N$1:$Q$30,4,0)</f>
        <v>14828184</v>
      </c>
      <c r="G2199" s="51">
        <f>IFERROR(ROUNDUP(F2199*(E2199/21)/E2148,0),"-")</f>
        <v>0</v>
      </c>
    </row>
    <row r="2200" spans="1:7" x14ac:dyDescent="0.25">
      <c r="A2200" s="69" t="s">
        <v>324</v>
      </c>
      <c r="B2200" s="72" t="str">
        <f>VLOOKUP(A2200,'Componentes APUs'!$N$1:$Q$30,2,0)</f>
        <v>Retroexcavadora</v>
      </c>
      <c r="C2200" s="73"/>
      <c r="D2200" s="70" t="str">
        <f>VLOOKUP(A2200,'Componentes APUs'!$N$1:$Q$30,3,0)</f>
        <v>U</v>
      </c>
      <c r="E2200" s="50">
        <v>0</v>
      </c>
      <c r="F2200" s="51">
        <f>VLOOKUP(A2200,'Componentes APUs'!$N$1:$Q$30,4,0)</f>
        <v>46030656</v>
      </c>
      <c r="G2200" s="51">
        <f>IFERROR(ROUNDUP(F2200*(E2200/21)/E2148,0),"-")</f>
        <v>0</v>
      </c>
    </row>
    <row r="2201" spans="1:7" x14ac:dyDescent="0.25">
      <c r="A2201" s="219" t="s">
        <v>99</v>
      </c>
      <c r="B2201" s="219"/>
      <c r="C2201" s="219"/>
      <c r="D2201" s="219"/>
      <c r="E2201" s="219"/>
      <c r="F2201" s="219"/>
      <c r="G2201" s="52">
        <f>SUM(G2196:G2200)</f>
        <v>873016</v>
      </c>
    </row>
    <row r="2202" spans="1:7" x14ac:dyDescent="0.25">
      <c r="A2202" s="56"/>
      <c r="B2202" s="57"/>
      <c r="C2202" s="57"/>
      <c r="D2202" s="57"/>
      <c r="E2202" s="57"/>
      <c r="F2202" s="57"/>
      <c r="G2202" s="58"/>
    </row>
    <row r="2203" spans="1:7" x14ac:dyDescent="0.25">
      <c r="A2203" s="219" t="s">
        <v>1516</v>
      </c>
      <c r="B2203" s="219"/>
      <c r="C2203" s="219"/>
      <c r="D2203" s="219"/>
      <c r="E2203" s="219"/>
      <c r="F2203" s="219"/>
      <c r="G2203" s="52">
        <f>G2201+G2192+G2175+G2165+G2155</f>
        <v>10437316</v>
      </c>
    </row>
    <row r="2204" spans="1:7" x14ac:dyDescent="0.25">
      <c r="A2204" s="59"/>
      <c r="B2204" s="60"/>
      <c r="C2204" s="60"/>
      <c r="D2204" s="60"/>
      <c r="E2204" s="57"/>
      <c r="F2204" s="57"/>
      <c r="G2204" s="58"/>
    </row>
    <row r="2205" spans="1:7" x14ac:dyDescent="0.25">
      <c r="A2205" s="64"/>
      <c r="D2205" s="55"/>
      <c r="E2205" s="49" t="s">
        <v>25</v>
      </c>
      <c r="F2205" s="54">
        <v>0.15</v>
      </c>
      <c r="G2205" s="51">
        <f>G2203*F2205</f>
        <v>1565597.4</v>
      </c>
    </row>
    <row r="2206" spans="1:7" x14ac:dyDescent="0.25">
      <c r="A2206" s="64"/>
      <c r="D2206" s="55"/>
      <c r="E2206" s="49" t="s">
        <v>26</v>
      </c>
      <c r="F2206" s="54">
        <v>0.05</v>
      </c>
      <c r="G2206" s="51">
        <f>G2203*F2206</f>
        <v>521865.80000000005</v>
      </c>
    </row>
    <row r="2207" spans="1:7" x14ac:dyDescent="0.25">
      <c r="A2207" s="61"/>
      <c r="B2207" s="65"/>
      <c r="C2207" s="65"/>
      <c r="D2207" s="62"/>
      <c r="E2207" s="49" t="s">
        <v>27</v>
      </c>
      <c r="F2207" s="54">
        <v>0.05</v>
      </c>
      <c r="G2207" s="51">
        <f>G2203*F2207</f>
        <v>521865.80000000005</v>
      </c>
    </row>
    <row r="2208" spans="1:7" x14ac:dyDescent="0.25">
      <c r="A2208" s="61"/>
      <c r="B2208" s="62"/>
      <c r="C2208" s="62"/>
      <c r="D2208" s="62"/>
      <c r="E2208" s="62"/>
      <c r="F2208" s="62"/>
      <c r="G2208" s="63"/>
    </row>
    <row r="2209" spans="1:9" x14ac:dyDescent="0.25">
      <c r="A2209" s="219" t="s">
        <v>1517</v>
      </c>
      <c r="B2209" s="219"/>
      <c r="C2209" s="219"/>
      <c r="D2209" s="219"/>
      <c r="E2209" s="219"/>
      <c r="F2209" s="219"/>
      <c r="G2209" s="52">
        <f>G2203+G2205+G2206+G2207</f>
        <v>13046645.000000002</v>
      </c>
    </row>
    <row r="2210" spans="1:9" x14ac:dyDescent="0.25">
      <c r="A2210" s="59"/>
      <c r="B2210" s="60"/>
      <c r="C2210" s="60"/>
      <c r="D2210" s="60"/>
      <c r="E2210" s="57"/>
      <c r="F2210" s="57"/>
      <c r="G2210" s="58"/>
    </row>
    <row r="2211" spans="1:9" x14ac:dyDescent="0.25">
      <c r="A2211" s="64"/>
      <c r="D2211" s="55"/>
      <c r="E2211" s="49" t="s">
        <v>102</v>
      </c>
      <c r="F2211" s="49" t="s">
        <v>103</v>
      </c>
      <c r="G2211" s="51">
        <f>G2207*19%</f>
        <v>99154.502000000008</v>
      </c>
    </row>
    <row r="2212" spans="1:9" x14ac:dyDescent="0.25">
      <c r="A2212" s="61"/>
      <c r="B2212" s="62"/>
      <c r="C2212" s="62"/>
      <c r="D2212" s="62"/>
      <c r="E2212" s="57"/>
      <c r="F2212" s="57"/>
      <c r="G2212" s="58"/>
    </row>
    <row r="2213" spans="1:9" x14ac:dyDescent="0.25">
      <c r="A2213" s="219" t="s">
        <v>104</v>
      </c>
      <c r="B2213" s="219"/>
      <c r="C2213" s="219"/>
      <c r="D2213" s="219"/>
      <c r="E2213" s="219"/>
      <c r="F2213" s="219"/>
      <c r="G2213" s="52">
        <f>G2211+G2209</f>
        <v>13145799.502000002</v>
      </c>
    </row>
    <row r="2215" spans="1:9" x14ac:dyDescent="0.25">
      <c r="A2215" s="74" t="s">
        <v>29</v>
      </c>
      <c r="B2215" s="237" t="s">
        <v>30</v>
      </c>
      <c r="C2215" s="238"/>
      <c r="D2215" s="74" t="s">
        <v>31</v>
      </c>
      <c r="E2215" s="74" t="s">
        <v>32</v>
      </c>
      <c r="F2215" s="74" t="s">
        <v>189</v>
      </c>
      <c r="G2215" s="74" t="s">
        <v>33</v>
      </c>
      <c r="H2215" s="105"/>
    </row>
    <row r="2216" spans="1:9" ht="30" customHeight="1" x14ac:dyDescent="0.25">
      <c r="A2216" s="50" t="str">
        <f>Presupuesto!B43</f>
        <v>034_OC</v>
      </c>
      <c r="B2216" s="229" t="str">
        <f>Presupuesto!C43</f>
        <v>SOLADO EN CONCRETO PREMEZCLADO DE 2000 PSI  INCLUYE SUMINISTRO Y COLOCACION</v>
      </c>
      <c r="C2216" s="230"/>
      <c r="D2216" s="50" t="s">
        <v>113</v>
      </c>
      <c r="E2216" s="107">
        <v>8.5</v>
      </c>
      <c r="F2216" s="50"/>
      <c r="G2216" s="51">
        <f>G2281</f>
        <v>822248.20149999997</v>
      </c>
      <c r="H2216" s="45"/>
    </row>
    <row r="2217" spans="1:9" x14ac:dyDescent="0.25">
      <c r="A2217" s="234" t="s">
        <v>34</v>
      </c>
      <c r="B2217" s="236"/>
      <c r="C2217" s="236"/>
      <c r="D2217" s="236"/>
      <c r="E2217" s="236"/>
      <c r="F2217" s="236"/>
      <c r="G2217" s="235"/>
    </row>
    <row r="2218" spans="1:9" x14ac:dyDescent="0.25">
      <c r="A2218" s="49" t="s">
        <v>35</v>
      </c>
      <c r="B2218" s="234" t="s">
        <v>36</v>
      </c>
      <c r="C2218" s="235"/>
      <c r="D2218" s="49" t="s">
        <v>37</v>
      </c>
      <c r="E2218" s="49" t="s">
        <v>38</v>
      </c>
      <c r="F2218" s="49" t="s">
        <v>39</v>
      </c>
      <c r="G2218" s="49" t="s">
        <v>40</v>
      </c>
    </row>
    <row r="2219" spans="1:9" x14ac:dyDescent="0.25">
      <c r="A2219" s="50" t="str">
        <f>Material!A584</f>
        <v>MA-583</v>
      </c>
      <c r="B2219" s="72" t="str">
        <f>IFERROR(VLOOKUP(A2219,Material!$A:$H,2,0),"-")</f>
        <v>CONCRETO 13.8 MPa</v>
      </c>
      <c r="C2219" s="76"/>
      <c r="D2219" s="50" t="str">
        <f>IFERROR(VLOOKUP(A2219,Material!$A:$H,4,0),"-")</f>
        <v>M3</v>
      </c>
      <c r="E2219" s="107">
        <v>1.05</v>
      </c>
      <c r="F2219" s="51">
        <f>IFERROR(VLOOKUP(A2219,Material!$A:$H,3,0),"-")</f>
        <v>562030.30000000005</v>
      </c>
      <c r="G2219" s="51">
        <f>IFERROR(ROUNDUP(F2219*E2219,0),"-")</f>
        <v>590132</v>
      </c>
      <c r="H2219" s="106"/>
    </row>
    <row r="2220" spans="1:9" x14ac:dyDescent="0.25">
      <c r="A2220" s="50"/>
      <c r="B2220" s="72" t="str">
        <f>IFERROR(VLOOKUP(A2220,Material!$A:$H,2,0),"-")</f>
        <v>-</v>
      </c>
      <c r="C2220" s="76"/>
      <c r="D2220" s="50" t="str">
        <f>IFERROR(VLOOKUP(A2220,Material!$A:$H,4,0),"-")</f>
        <v>-</v>
      </c>
      <c r="E2220" s="107"/>
      <c r="F2220" s="51" t="str">
        <f>IFERROR(VLOOKUP(A2220,Material!$A:$H,3,0),"-")</f>
        <v>-</v>
      </c>
      <c r="G2220" s="51" t="str">
        <f>IFERROR(ROUNDUP(F2220*E2220,0),"-")</f>
        <v>-</v>
      </c>
      <c r="H2220" s="106"/>
    </row>
    <row r="2221" spans="1:9" x14ac:dyDescent="0.25">
      <c r="A2221" s="50"/>
      <c r="B2221" s="72" t="str">
        <f>IFERROR(VLOOKUP(A2221,Material!$A:$H,2,0),"-")</f>
        <v>-</v>
      </c>
      <c r="C2221" s="76"/>
      <c r="D2221" s="50" t="str">
        <f>IFERROR(VLOOKUP(A2221,Material!$A:$H,4,0),"-")</f>
        <v>-</v>
      </c>
      <c r="E2221" s="107"/>
      <c r="F2221" s="51" t="str">
        <f>IFERROR(VLOOKUP(A2221,Material!$A:$H,3,0),"-")</f>
        <v>-</v>
      </c>
      <c r="G2221" s="51" t="str">
        <f>IFERROR(ROUNDUP(F2221*E2221,0),"-")</f>
        <v>-</v>
      </c>
      <c r="H2221" s="106"/>
    </row>
    <row r="2222" spans="1:9" x14ac:dyDescent="0.25">
      <c r="A2222" s="50"/>
      <c r="B2222" s="72" t="str">
        <f>IFERROR(VLOOKUP(A2222,Material!$A:$H,2,0),"-")</f>
        <v>-</v>
      </c>
      <c r="C2222" s="76"/>
      <c r="D2222" s="50" t="str">
        <f>IFERROR(VLOOKUP(A2222,Material!$A:$H,4,0),"-")</f>
        <v>-</v>
      </c>
      <c r="E2222" s="107"/>
      <c r="F2222" s="51" t="str">
        <f>IFERROR(VLOOKUP(A2222,Material!$A:$H,3,0),"-")</f>
        <v>-</v>
      </c>
      <c r="G2222" s="51" t="str">
        <f>IFERROR(ROUNDUP(F2222*E2222,0),"-")</f>
        <v>-</v>
      </c>
      <c r="H2222" s="106"/>
    </row>
    <row r="2223" spans="1:9" x14ac:dyDescent="0.25">
      <c r="A2223" s="234" t="s">
        <v>41</v>
      </c>
      <c r="B2223" s="236"/>
      <c r="C2223" s="236"/>
      <c r="D2223" s="236"/>
      <c r="E2223" s="236"/>
      <c r="F2223" s="235"/>
      <c r="G2223" s="52">
        <f>SUM(G2219:G2222)</f>
        <v>590132</v>
      </c>
      <c r="I2223" s="104"/>
    </row>
    <row r="2224" spans="1:9" x14ac:dyDescent="0.25">
      <c r="A2224" s="56"/>
      <c r="B2224" s="57"/>
      <c r="C2224" s="57"/>
      <c r="D2224" s="57"/>
      <c r="E2224" s="57"/>
      <c r="F2224" s="57"/>
      <c r="G2224" s="58"/>
    </row>
    <row r="2225" spans="1:9" x14ac:dyDescent="0.25">
      <c r="A2225" s="234" t="s">
        <v>42</v>
      </c>
      <c r="B2225" s="236"/>
      <c r="C2225" s="236"/>
      <c r="D2225" s="236"/>
      <c r="E2225" s="236"/>
      <c r="F2225" s="236"/>
      <c r="G2225" s="235"/>
    </row>
    <row r="2226" spans="1:9" x14ac:dyDescent="0.25">
      <c r="A2226" s="49" t="s">
        <v>35</v>
      </c>
      <c r="B2226" s="49" t="s">
        <v>36</v>
      </c>
      <c r="C2226" s="49" t="s">
        <v>38</v>
      </c>
      <c r="D2226" s="49" t="s">
        <v>43</v>
      </c>
      <c r="E2226" s="49" t="s">
        <v>44</v>
      </c>
      <c r="F2226" s="49" t="s">
        <v>45</v>
      </c>
      <c r="G2226" s="49" t="s">
        <v>40</v>
      </c>
    </row>
    <row r="2227" spans="1:9" x14ac:dyDescent="0.25">
      <c r="A2227" s="50" t="s">
        <v>319</v>
      </c>
      <c r="B2227" s="68" t="str">
        <f>VLOOKUP(A2227,'Componentes APUs'!$H$1:$L$25,2,0)</f>
        <v>Ingeniero Residente de Obra</v>
      </c>
      <c r="C2227" s="93">
        <v>0</v>
      </c>
      <c r="D2227" s="50">
        <f>VLOOKUP(A2227,'Componentes APUs'!$H$1:$L$25,3,0)</f>
        <v>4</v>
      </c>
      <c r="E2227" s="51">
        <f>VLOOKUP(A2227,'Componentes APUs'!$H$1:$L$25,4,0)</f>
        <v>271142.85714285716</v>
      </c>
      <c r="F2227" s="51">
        <f>VLOOKUP(A2227,'Componentes APUs'!$H$1:$L$25,5,0)</f>
        <v>162685.71428571429</v>
      </c>
      <c r="G2227" s="51">
        <f>ROUNDUP((E2227+F2227)*C2227/E2216,0)</f>
        <v>0</v>
      </c>
      <c r="H2227" s="66"/>
    </row>
    <row r="2228" spans="1:9" x14ac:dyDescent="0.25">
      <c r="A2228" s="50" t="s">
        <v>320</v>
      </c>
      <c r="B2228" s="68" t="str">
        <f>VLOOKUP(A2228,'Componentes APUs'!$H$1:$L$25,2,0)</f>
        <v>Tecnico Supervisor</v>
      </c>
      <c r="C2228" s="93">
        <v>0</v>
      </c>
      <c r="D2228" s="50">
        <f>VLOOKUP(A2228,'Componentes APUs'!$H$1:$L$25,3,0)</f>
        <v>2.2999999999999998</v>
      </c>
      <c r="E2228" s="51">
        <f>VLOOKUP(A2228,'Componentes APUs'!$H$1:$L$25,4,0)</f>
        <v>155907.14285714284</v>
      </c>
      <c r="F2228" s="51">
        <f>VLOOKUP(A2228,'Componentes APUs'!$H$1:$L$25,5,0)</f>
        <v>93544.285714285696</v>
      </c>
      <c r="G2228" s="51">
        <f>ROUNDUP((E2228+F2228)*C2228/E2216,0)</f>
        <v>0</v>
      </c>
    </row>
    <row r="2229" spans="1:9" x14ac:dyDescent="0.25">
      <c r="A2229" s="50" t="s">
        <v>54</v>
      </c>
      <c r="B2229" s="68" t="str">
        <f>VLOOKUP(A2229,'Componentes APUs'!$H$1:$L$25,2,0)</f>
        <v>Maestro de obra civil</v>
      </c>
      <c r="C2229" s="93">
        <v>0</v>
      </c>
      <c r="D2229" s="50">
        <f>VLOOKUP(A2229,'Componentes APUs'!$H$1:$L$25,3,0)</f>
        <v>2.5</v>
      </c>
      <c r="E2229" s="51">
        <f>VLOOKUP(A2229,'Componentes APUs'!$H$1:$L$25,4,0)</f>
        <v>169464.28571428571</v>
      </c>
      <c r="F2229" s="51">
        <f>VLOOKUP(A2229,'Componentes APUs'!$H$1:$L$25,5,0)</f>
        <v>101678.57142857142</v>
      </c>
      <c r="G2229" s="51">
        <f>ROUNDUP((E2229+F2229)*C2229/E2216,0)</f>
        <v>0</v>
      </c>
    </row>
    <row r="2230" spans="1:9" x14ac:dyDescent="0.25">
      <c r="A2230" s="50" t="s">
        <v>1110</v>
      </c>
      <c r="B2230" s="68" t="str">
        <f>VLOOKUP(A2230,'Componentes APUs'!$H$1:$L$25,2,0)</f>
        <v>Oficial de Obra Civil</v>
      </c>
      <c r="C2230" s="93">
        <v>1</v>
      </c>
      <c r="D2230" s="50">
        <f>VLOOKUP(A2230,'Componentes APUs'!$H$1:$L$25,3,0)</f>
        <v>1.5</v>
      </c>
      <c r="E2230" s="51">
        <f>VLOOKUP(A2230,'Componentes APUs'!$H$1:$L$25,4,0)</f>
        <v>115964.28571428571</v>
      </c>
      <c r="F2230" s="51">
        <f>VLOOKUP(A2230,'Componentes APUs'!$H$1:$L$25,5,0)</f>
        <v>69578.57142857142</v>
      </c>
      <c r="G2230" s="51">
        <f>ROUNDUP((E2230+F2230)*C2230/E2216,0)</f>
        <v>21829</v>
      </c>
    </row>
    <row r="2231" spans="1:9" x14ac:dyDescent="0.25">
      <c r="A2231" s="50" t="s">
        <v>50</v>
      </c>
      <c r="B2231" s="68" t="str">
        <f>VLOOKUP(A2231,'Componentes APUs'!$H$1:$L$25,2,0)</f>
        <v>Profesional en SST</v>
      </c>
      <c r="C2231" s="93">
        <v>0.25</v>
      </c>
      <c r="D2231" s="50">
        <f>VLOOKUP(A2231,'Componentes APUs'!$H$1:$L$25,3,0)</f>
        <v>2.5</v>
      </c>
      <c r="E2231" s="51">
        <f>VLOOKUP(A2231,'Componentes APUs'!$H$1:$L$25,4,0)</f>
        <v>169464.28571428571</v>
      </c>
      <c r="F2231" s="51">
        <f>VLOOKUP(A2231,'Componentes APUs'!$H$1:$L$25,5,0)</f>
        <v>101678.57142857142</v>
      </c>
      <c r="G2231" s="51">
        <f>ROUNDUP((E2231+F2231)*C2231/E2216,0)</f>
        <v>7975</v>
      </c>
    </row>
    <row r="2232" spans="1:9" x14ac:dyDescent="0.25">
      <c r="A2232" s="50" t="s">
        <v>1109</v>
      </c>
      <c r="B2232" s="68" t="str">
        <f>VLOOKUP(A2232,'Componentes APUs'!$H$1:$L$25,2,0)</f>
        <v>Ayudante de Obra Civil</v>
      </c>
      <c r="C2232" s="93">
        <v>2</v>
      </c>
      <c r="D2232" s="50">
        <f>VLOOKUP(A2232,'Componentes APUs'!$H$1:$L$25,3,0)</f>
        <v>1</v>
      </c>
      <c r="E2232" s="51">
        <f>VLOOKUP(A2232,'Componentes APUs'!$H$1:$L$25,4,0)</f>
        <v>77309.523809523816</v>
      </c>
      <c r="F2232" s="51">
        <f>VLOOKUP(A2232,'Componentes APUs'!$H$1:$L$25,5,0)</f>
        <v>46385.71428571429</v>
      </c>
      <c r="G2232" s="51">
        <f>ROUNDUP((E2232+F2232)*C2232/E2216,0)</f>
        <v>29105</v>
      </c>
    </row>
    <row r="2233" spans="1:9" x14ac:dyDescent="0.25">
      <c r="A2233" s="234" t="s">
        <v>56</v>
      </c>
      <c r="B2233" s="236"/>
      <c r="C2233" s="236"/>
      <c r="D2233" s="236"/>
      <c r="E2233" s="236"/>
      <c r="F2233" s="235"/>
      <c r="G2233" s="52">
        <f>SUM(G2227:G2232)</f>
        <v>58909</v>
      </c>
    </row>
    <row r="2234" spans="1:9" x14ac:dyDescent="0.25">
      <c r="A2234" s="56"/>
      <c r="B2234" s="57"/>
      <c r="C2234" s="57"/>
      <c r="D2234" s="57"/>
      <c r="E2234" s="57"/>
      <c r="F2234" s="57"/>
      <c r="G2234" s="58"/>
    </row>
    <row r="2235" spans="1:9" x14ac:dyDescent="0.25">
      <c r="A2235" s="234" t="s">
        <v>57</v>
      </c>
      <c r="B2235" s="236"/>
      <c r="C2235" s="236"/>
      <c r="D2235" s="236"/>
      <c r="E2235" s="236"/>
      <c r="F2235" s="236"/>
      <c r="G2235" s="235"/>
    </row>
    <row r="2236" spans="1:9" x14ac:dyDescent="0.25">
      <c r="A2236" s="49" t="s">
        <v>35</v>
      </c>
      <c r="B2236" s="234" t="s">
        <v>36</v>
      </c>
      <c r="C2236" s="235"/>
      <c r="D2236" s="49" t="s">
        <v>37</v>
      </c>
      <c r="E2236" s="49" t="s">
        <v>38</v>
      </c>
      <c r="F2236" s="49" t="s">
        <v>39</v>
      </c>
      <c r="G2236" s="49" t="s">
        <v>40</v>
      </c>
    </row>
    <row r="2237" spans="1:9" x14ac:dyDescent="0.25">
      <c r="A2237" s="50" t="s">
        <v>326</v>
      </c>
      <c r="B2237" s="242" t="str">
        <f>VLOOKUP(A2237,'Componentes APUs'!$S$1:$V$10,2,0)</f>
        <v>Juego Llaves</v>
      </c>
      <c r="C2237" s="239"/>
      <c r="D2237" s="50" t="s">
        <v>18</v>
      </c>
      <c r="E2237" s="50">
        <v>0</v>
      </c>
      <c r="F2237" s="51">
        <f>VLOOKUP(A2237,'Componentes APUs'!$S$1:$V$10,4,0)</f>
        <v>9167</v>
      </c>
      <c r="G2237" s="51">
        <f>ROUNDUP(F2237*((E2237/21)/E2216),0)</f>
        <v>0</v>
      </c>
      <c r="I2237" s="91"/>
    </row>
    <row r="2238" spans="1:9" x14ac:dyDescent="0.25">
      <c r="A2238" s="50" t="s">
        <v>58</v>
      </c>
      <c r="B2238" s="242" t="str">
        <f>VLOOKUP(A2238,'Componentes APUs'!$S$1:$V$10,2,0)</f>
        <v>Manila de servicio</v>
      </c>
      <c r="C2238" s="239"/>
      <c r="D2238" s="50" t="s">
        <v>18</v>
      </c>
      <c r="E2238" s="50">
        <v>0</v>
      </c>
      <c r="F2238" s="51">
        <f>VLOOKUP(A2238,'Componentes APUs'!$S$1:$V$10,4,0)</f>
        <v>2333</v>
      </c>
      <c r="G2238" s="51">
        <f>ROUNDUP(F2238*((E2238/21)/E2216),0)</f>
        <v>0</v>
      </c>
    </row>
    <row r="2239" spans="1:9" x14ac:dyDescent="0.25">
      <c r="A2239" s="50" t="s">
        <v>327</v>
      </c>
      <c r="B2239" s="242" t="str">
        <f>VLOOKUP(A2239,'Componentes APUs'!$S$1:$V$10,2,0)</f>
        <v>Tula portaherramientas</v>
      </c>
      <c r="C2239" s="239"/>
      <c r="D2239" s="50" t="s">
        <v>18</v>
      </c>
      <c r="E2239" s="50">
        <v>0</v>
      </c>
      <c r="F2239" s="51">
        <f>VLOOKUP(A2239,'Componentes APUs'!$S$1:$V$10,4,0)</f>
        <v>1250</v>
      </c>
      <c r="G2239" s="51">
        <f>ROUNDUP(F2239*((E2239/21)/E2216),0)</f>
        <v>0</v>
      </c>
    </row>
    <row r="2240" spans="1:9" x14ac:dyDescent="0.25">
      <c r="A2240" s="50" t="s">
        <v>60</v>
      </c>
      <c r="B2240" s="242" t="str">
        <f>VLOOKUP(A2240,'Componentes APUs'!$S$1:$V$10,2,0)</f>
        <v>Agarradoras</v>
      </c>
      <c r="C2240" s="239"/>
      <c r="D2240" s="50" t="s">
        <v>18</v>
      </c>
      <c r="E2240" s="50">
        <v>0</v>
      </c>
      <c r="F2240" s="51">
        <f>VLOOKUP(A2240,'Componentes APUs'!$S$1:$V$10,4,0)</f>
        <v>125000</v>
      </c>
      <c r="G2240" s="51">
        <f>ROUNDUP(F2240*((E2240/21)/E2216),0)</f>
        <v>0</v>
      </c>
    </row>
    <row r="2241" spans="1:9" x14ac:dyDescent="0.25">
      <c r="A2241" s="50" t="s">
        <v>62</v>
      </c>
      <c r="B2241" s="242" t="str">
        <f>VLOOKUP(A2241,'Componentes APUs'!$S$1:$V$10,2,0)</f>
        <v>Templadoras</v>
      </c>
      <c r="C2241" s="239"/>
      <c r="D2241" s="50" t="s">
        <v>18</v>
      </c>
      <c r="E2241" s="50">
        <v>0</v>
      </c>
      <c r="F2241" s="51">
        <f>VLOOKUP(A2241,'Componentes APUs'!$S$1:$V$10,4,0)</f>
        <v>250000</v>
      </c>
      <c r="G2241" s="51">
        <f>ROUNDUP(F2241*((E2241/21)/E2216),0)</f>
        <v>0</v>
      </c>
    </row>
    <row r="2242" spans="1:9" x14ac:dyDescent="0.25">
      <c r="A2242" s="50" t="s">
        <v>328</v>
      </c>
      <c r="B2242" s="242" t="str">
        <f>VLOOKUP(A2242,'Componentes APUs'!$S$1:$V$10,2,0)</f>
        <v>Herramienta Menor</v>
      </c>
      <c r="C2242" s="239"/>
      <c r="D2242" s="50" t="s">
        <v>18</v>
      </c>
      <c r="E2242" s="50">
        <v>1</v>
      </c>
      <c r="F2242" s="51">
        <f>VLOOKUP(A2242,'Componentes APUs'!$S$1:$V$10,4,0)</f>
        <v>75758</v>
      </c>
      <c r="G2242" s="51">
        <f>ROUNDUP(F2242*((E2242/21)/E2216),0)</f>
        <v>425</v>
      </c>
    </row>
    <row r="2243" spans="1:9" x14ac:dyDescent="0.25">
      <c r="A2243" s="234" t="s">
        <v>69</v>
      </c>
      <c r="B2243" s="236"/>
      <c r="C2243" s="236"/>
      <c r="D2243" s="236"/>
      <c r="E2243" s="236"/>
      <c r="F2243" s="235"/>
      <c r="G2243" s="52">
        <f>SUM(G2237:G2242)</f>
        <v>425</v>
      </c>
    </row>
    <row r="2244" spans="1:9" x14ac:dyDescent="0.25">
      <c r="A2244" s="56"/>
      <c r="B2244" s="57"/>
      <c r="C2244" s="57"/>
      <c r="D2244" s="57"/>
      <c r="E2244" s="57"/>
      <c r="F2244" s="57"/>
      <c r="G2244" s="58"/>
    </row>
    <row r="2245" spans="1:9" x14ac:dyDescent="0.25">
      <c r="A2245" s="234" t="s">
        <v>70</v>
      </c>
      <c r="B2245" s="236"/>
      <c r="C2245" s="236"/>
      <c r="D2245" s="236"/>
      <c r="E2245" s="236"/>
      <c r="F2245" s="236"/>
      <c r="G2245" s="235"/>
    </row>
    <row r="2246" spans="1:9" x14ac:dyDescent="0.25">
      <c r="A2246" s="49" t="s">
        <v>35</v>
      </c>
      <c r="B2246" s="234" t="s">
        <v>36</v>
      </c>
      <c r="C2246" s="235"/>
      <c r="D2246" s="49" t="s">
        <v>37</v>
      </c>
      <c r="E2246" s="49" t="s">
        <v>38</v>
      </c>
      <c r="F2246" s="49" t="s">
        <v>39</v>
      </c>
      <c r="G2246" s="49" t="s">
        <v>40</v>
      </c>
    </row>
    <row r="2247" spans="1:9" x14ac:dyDescent="0.25">
      <c r="A2247" s="50" t="s">
        <v>71</v>
      </c>
      <c r="B2247" s="71" t="str">
        <f>VLOOKUP(A2247,'Componentes APUs'!$A$1:$D$14,2,0)</f>
        <v>Camisa indigo sin partes metalicas</v>
      </c>
      <c r="C2247" s="71"/>
      <c r="D2247" s="50" t="str">
        <f>VLOOKUP(A2247,'Componentes APUs'!$A$1:$D$14,3,0)</f>
        <v>U</v>
      </c>
      <c r="E2247" s="50">
        <f>SUM(C2227:C2232)</f>
        <v>3.25</v>
      </c>
      <c r="F2247" s="51">
        <f>VLOOKUP(A2247,'Componentes APUs'!$A$1:$D$14,4,0)</f>
        <v>8585.8585858585866</v>
      </c>
      <c r="G2247" s="51">
        <f>ROUNDUP(F2247*(E2247/21)/E2216,0)</f>
        <v>157</v>
      </c>
      <c r="I2247" s="91"/>
    </row>
    <row r="2248" spans="1:9" x14ac:dyDescent="0.25">
      <c r="A2248" s="69" t="s">
        <v>73</v>
      </c>
      <c r="B2248" s="72" t="str">
        <f>VLOOKUP(A2248,'Componentes APUs'!$A$1:$D$14,2,0)</f>
        <v>Bota de seguridad dielectrica</v>
      </c>
      <c r="C2248" s="73"/>
      <c r="D2248" s="70" t="str">
        <f>VLOOKUP(A2248,'Componentes APUs'!$A$1:$D$14,3,0)</f>
        <v>Par</v>
      </c>
      <c r="E2248" s="50">
        <f>SUM(C2227:C2232)</f>
        <v>3.25</v>
      </c>
      <c r="F2248" s="51">
        <f>VLOOKUP(A2248,'Componentes APUs'!$A$1:$D$14,4,0)</f>
        <v>7500</v>
      </c>
      <c r="G2248" s="51">
        <f>ROUNDUP(F2248*(E2248/21)/E2216,0)</f>
        <v>137</v>
      </c>
    </row>
    <row r="2249" spans="1:9" x14ac:dyDescent="0.25">
      <c r="A2249" s="50" t="s">
        <v>76</v>
      </c>
      <c r="B2249" s="72" t="str">
        <f>VLOOKUP(A2249,'Componentes APUs'!$A$1:$D$14,2,0)</f>
        <v>Casco dielectrico Tipo 1 Clase E con barbuquejo</v>
      </c>
      <c r="C2249" s="73"/>
      <c r="D2249" s="50" t="str">
        <f>VLOOKUP(A2249,'Componentes APUs'!$A$1:$D$14,3,0)</f>
        <v>U</v>
      </c>
      <c r="E2249" s="50">
        <f>C2227+C2228+C2230+C2231+C2232+IF(A2229&lt;&gt;"MO-3",C2229,0)</f>
        <v>3.25</v>
      </c>
      <c r="F2249" s="51">
        <f>VLOOKUP(A2249,'Componentes APUs'!$A$1:$D$14,4,0)</f>
        <v>10101.010101010101</v>
      </c>
      <c r="G2249" s="51">
        <f>ROUNDUP(F2249*(E2249/21)/E2216,0)</f>
        <v>184</v>
      </c>
    </row>
    <row r="2250" spans="1:9" x14ac:dyDescent="0.25">
      <c r="A2250" s="69" t="s">
        <v>77</v>
      </c>
      <c r="B2250" s="72" t="str">
        <f>VLOOKUP(A2250,'Componentes APUs'!$A$1:$D$14,2,0)</f>
        <v>Correa plastica y antiflama</v>
      </c>
      <c r="C2250" s="73"/>
      <c r="D2250" s="50" t="str">
        <f>VLOOKUP(A2250,'Componentes APUs'!$A$1:$D$14,3,0)</f>
        <v>U</v>
      </c>
      <c r="E2250" s="50">
        <f>SUM(C2227:C2232)</f>
        <v>3.25</v>
      </c>
      <c r="F2250" s="51">
        <f>VLOOKUP(A2250,'Componentes APUs'!$A$1:$D$14,4,0)</f>
        <v>3787.878787878788</v>
      </c>
      <c r="G2250" s="51">
        <f>ROUNDUP(F2250*(E2250/21)/E2216,0)</f>
        <v>69</v>
      </c>
    </row>
    <row r="2251" spans="1:9" x14ac:dyDescent="0.25">
      <c r="A2251" s="50" t="s">
        <v>79</v>
      </c>
      <c r="B2251" s="72" t="str">
        <f>VLOOKUP(A2251,'Componentes APUs'!$A$1:$D$14,2,0)</f>
        <v>Gafas protectoras filtro UV</v>
      </c>
      <c r="C2251" s="73"/>
      <c r="D2251" s="50" t="str">
        <f>VLOOKUP(A2251,'Componentes APUs'!$A$1:$D$14,3,0)</f>
        <v>U</v>
      </c>
      <c r="E2251" s="50">
        <f>SUM(C2227:C2232)</f>
        <v>3.25</v>
      </c>
      <c r="F2251" s="51">
        <f>VLOOKUP(A2251,'Componentes APUs'!$A$1:$D$14,4,0)</f>
        <v>2777.7777777777778</v>
      </c>
      <c r="G2251" s="51">
        <f>ROUNDUP(F2251*(E2251/21)/E2216,0)</f>
        <v>51</v>
      </c>
    </row>
    <row r="2252" spans="1:9" x14ac:dyDescent="0.25">
      <c r="A2252" s="69" t="s">
        <v>402</v>
      </c>
      <c r="B2252" s="72" t="str">
        <f>VLOOKUP(A2252,'Componentes APUs'!$A$1:$D$14,2,0)</f>
        <v>Bota de seguridad PVC dielectrica</v>
      </c>
      <c r="C2252" s="73"/>
      <c r="D2252" s="50" t="str">
        <f>VLOOKUP(A2252,'Componentes APUs'!$A$1:$D$14,3,0)</f>
        <v>Par</v>
      </c>
      <c r="E2252" s="50">
        <f>SUM(C2227:C2232)</f>
        <v>3.25</v>
      </c>
      <c r="F2252" s="51">
        <f>VLOOKUP(A2252,'Componentes APUs'!$A$1:$D$14,4,0)</f>
        <v>2916.6666666666665</v>
      </c>
      <c r="G2252" s="51">
        <f>ROUNDUP(F2252*(E2252/21)/E2216,0)</f>
        <v>54</v>
      </c>
    </row>
    <row r="2253" spans="1:9" x14ac:dyDescent="0.25">
      <c r="A2253" s="50" t="s">
        <v>403</v>
      </c>
      <c r="B2253" s="72" t="str">
        <f>VLOOKUP(A2253,'Componentes APUs'!$A$1:$D$14,2,0)</f>
        <v>Capuchon</v>
      </c>
      <c r="C2253" s="73"/>
      <c r="D2253" s="50" t="str">
        <f>VLOOKUP(A2253,'Componentes APUs'!$A$1:$D$14,3,0)</f>
        <v>U</v>
      </c>
      <c r="E2253" s="50">
        <f>SUM(C2227:C2232)</f>
        <v>3.25</v>
      </c>
      <c r="F2253" s="51">
        <f>VLOOKUP(A2253,'Componentes APUs'!$A$1:$D$14,4,0)</f>
        <v>2525.2525252525252</v>
      </c>
      <c r="G2253" s="51">
        <f>ROUNDUP(F2253*(E2253/21)/E2216,0)</f>
        <v>46</v>
      </c>
    </row>
    <row r="2254" spans="1:9" x14ac:dyDescent="0.25">
      <c r="A2254" s="69" t="s">
        <v>81</v>
      </c>
      <c r="B2254" s="72" t="str">
        <f>VLOOKUP(A2254,'Componentes APUs'!$A$1:$D$14,2,0)</f>
        <v>Guantes Protectores  - ingeniero reforzados</v>
      </c>
      <c r="C2254" s="73"/>
      <c r="D2254" s="50" t="str">
        <f>VLOOKUP(A2254,'Componentes APUs'!$A$1:$D$14,3,0)</f>
        <v>Par</v>
      </c>
      <c r="E2254" s="50">
        <f>C2229+C2230+C2232</f>
        <v>3</v>
      </c>
      <c r="F2254" s="51">
        <f>VLOOKUP(A2254,'Componentes APUs'!$A$1:$D$14,4,0)</f>
        <v>2525.2525252525252</v>
      </c>
      <c r="G2254" s="51">
        <f>ROUNDUP(F2254*(E2254/21)/E2216,0)</f>
        <v>43</v>
      </c>
    </row>
    <row r="2255" spans="1:9" x14ac:dyDescent="0.25">
      <c r="A2255" s="50" t="s">
        <v>83</v>
      </c>
      <c r="B2255" s="72" t="str">
        <f>VLOOKUP(A2255,'Componentes APUs'!$A$1:$D$14,2,0)</f>
        <v>Impermeable (pantalon camisa)</v>
      </c>
      <c r="C2255" s="73"/>
      <c r="D2255" s="50" t="str">
        <f>VLOOKUP(A2255,'Componentes APUs'!$A$1:$D$14,3,0)</f>
        <v>U</v>
      </c>
      <c r="E2255" s="50">
        <f>SUM(C2227:C2232)</f>
        <v>3.25</v>
      </c>
      <c r="F2255" s="51">
        <f>VLOOKUP(A2255,'Componentes APUs'!$A$1:$D$14,4,0)</f>
        <v>3750</v>
      </c>
      <c r="G2255" s="51">
        <f>ROUNDUP(F2255*(E2255/21)/E2216,0)</f>
        <v>69</v>
      </c>
    </row>
    <row r="2256" spans="1:9" x14ac:dyDescent="0.25">
      <c r="A2256" s="69" t="s">
        <v>85</v>
      </c>
      <c r="B2256" s="72" t="str">
        <f>VLOOKUP(A2256,'Componentes APUs'!$A$1:$D$14,2,0)</f>
        <v>Jean Dielectrico</v>
      </c>
      <c r="C2256" s="73"/>
      <c r="D2256" s="50" t="str">
        <f>VLOOKUP(A2256,'Componentes APUs'!$A$1:$D$14,3,0)</f>
        <v>U</v>
      </c>
      <c r="E2256" s="50">
        <f>SUM(C2227:C2232)</f>
        <v>3.25</v>
      </c>
      <c r="F2256" s="51">
        <f>VLOOKUP(A2256,'Componentes APUs'!$A$1:$D$14,4,0)</f>
        <v>7575.757575757576</v>
      </c>
      <c r="G2256" s="51">
        <f>ROUNDUP(F2256*(E2256/21)/E2216,0)</f>
        <v>138</v>
      </c>
    </row>
    <row r="2257" spans="1:7" x14ac:dyDescent="0.25">
      <c r="A2257" s="50" t="s">
        <v>87</v>
      </c>
      <c r="B2257" s="72" t="str">
        <f>VLOOKUP(A2257,'Componentes APUs'!$A$1:$D$14,2,0)</f>
        <v>Casco dielectrico Tipo 2 Clase E con barboquejo</v>
      </c>
      <c r="C2257" s="73"/>
      <c r="D2257" s="50" t="str">
        <f>VLOOKUP(A2257,'Componentes APUs'!$A$1:$D$14,3,0)</f>
        <v>U</v>
      </c>
      <c r="E2257" s="53">
        <f>IF(A2229="MO-3",C2229,0)</f>
        <v>0</v>
      </c>
      <c r="F2257" s="51">
        <f>VLOOKUP(A2257,'Componentes APUs'!$A$1:$D$14,4,0)</f>
        <v>7500</v>
      </c>
      <c r="G2257" s="51">
        <f>ROUNDUP(F2257*(E2257/21)/E2216,0)</f>
        <v>0</v>
      </c>
    </row>
    <row r="2258" spans="1:7" x14ac:dyDescent="0.25">
      <c r="A2258" s="69" t="s">
        <v>89</v>
      </c>
      <c r="B2258" s="72" t="str">
        <f>VLOOKUP(A2258,'Componentes APUs'!$A$1:$D$14,2,0)</f>
        <v>Kit de rescate para trabajo en alturas</v>
      </c>
      <c r="C2258" s="73"/>
      <c r="D2258" s="50" t="str">
        <f>VLOOKUP(A2258,'Componentes APUs'!$A$1:$D$14,3,0)</f>
        <v>U</v>
      </c>
      <c r="E2258" s="50">
        <f>IF(AND(A2229="MO-3",C2229=2),1,0)</f>
        <v>0</v>
      </c>
      <c r="F2258" s="51">
        <f>VLOOKUP(A2258,'Componentes APUs'!$A$1:$D$14,4,0)</f>
        <v>37500</v>
      </c>
      <c r="G2258" s="51">
        <f>ROUNDUP(F2258*(E2258/21)/E2216,0)</f>
        <v>0</v>
      </c>
    </row>
    <row r="2259" spans="1:7" x14ac:dyDescent="0.25">
      <c r="A2259" s="50" t="s">
        <v>91</v>
      </c>
      <c r="B2259" s="72" t="str">
        <f>VLOOKUP(A2259,'Componentes APUs'!$A$1:$D$14,2,0)</f>
        <v>Equipo completo para trabajo en alturas con pretales (Arnes dielectrico, 1 mosqueton de seguridad, tie off dielectrico, eslinga de posicionamiento, juego de pretales)</v>
      </c>
      <c r="C2259" s="73"/>
      <c r="D2259" s="50" t="str">
        <f>VLOOKUP(A2259,'Componentes APUs'!$A$1:$D$14,3,0)</f>
        <v>U</v>
      </c>
      <c r="E2259" s="50">
        <f>IF(A2229="MO-3",C2229,0)</f>
        <v>0</v>
      </c>
      <c r="F2259" s="51">
        <f>VLOOKUP(A2259,'Componentes APUs'!$A$1:$D$14,4,0)</f>
        <v>26041.666666666668</v>
      </c>
      <c r="G2259" s="51">
        <f>ROUNDUP(F2259*(E2259/21)/E2216,0)</f>
        <v>0</v>
      </c>
    </row>
    <row r="2260" spans="1:7" x14ac:dyDescent="0.25">
      <c r="A2260" s="234" t="s">
        <v>95</v>
      </c>
      <c r="B2260" s="236"/>
      <c r="C2260" s="236"/>
      <c r="D2260" s="236"/>
      <c r="E2260" s="236"/>
      <c r="F2260" s="235"/>
      <c r="G2260" s="52">
        <f>SUM(G2247:G2259)</f>
        <v>948</v>
      </c>
    </row>
    <row r="2261" spans="1:7" x14ac:dyDescent="0.25">
      <c r="A2261" s="56"/>
      <c r="B2261" s="57"/>
      <c r="C2261" s="57"/>
      <c r="D2261" s="57"/>
      <c r="E2261" s="57"/>
      <c r="F2261" s="57"/>
      <c r="G2261" s="58"/>
    </row>
    <row r="2262" spans="1:7" x14ac:dyDescent="0.25">
      <c r="A2262" s="234" t="s">
        <v>96</v>
      </c>
      <c r="B2262" s="236"/>
      <c r="C2262" s="236"/>
      <c r="D2262" s="236"/>
      <c r="E2262" s="236"/>
      <c r="F2262" s="236"/>
      <c r="G2262" s="235"/>
    </row>
    <row r="2263" spans="1:7" x14ac:dyDescent="0.25">
      <c r="A2263" s="49" t="s">
        <v>35</v>
      </c>
      <c r="B2263" s="234" t="s">
        <v>36</v>
      </c>
      <c r="C2263" s="235"/>
      <c r="D2263" s="49" t="s">
        <v>37</v>
      </c>
      <c r="E2263" s="49" t="s">
        <v>38</v>
      </c>
      <c r="F2263" s="49" t="s">
        <v>39</v>
      </c>
      <c r="G2263" s="49" t="s">
        <v>40</v>
      </c>
    </row>
    <row r="2264" spans="1:7" x14ac:dyDescent="0.25">
      <c r="A2264" s="69" t="s">
        <v>97</v>
      </c>
      <c r="B2264" s="72" t="str">
        <f>VLOOKUP(A2264,'Componentes APUs'!$N$1:$Q$30,2,0)</f>
        <v>Camioneta</v>
      </c>
      <c r="C2264" s="73"/>
      <c r="D2264" s="70" t="str">
        <f>VLOOKUP(A2264,'Componentes APUs'!$N$1:$Q$30,3,0)</f>
        <v>U</v>
      </c>
      <c r="E2264" s="50">
        <v>0</v>
      </c>
      <c r="F2264" s="51">
        <f>VLOOKUP(A2264,'Componentes APUs'!$N$1:$Q$30,4,0)</f>
        <v>5500000</v>
      </c>
      <c r="G2264" s="51">
        <f>IFERROR(ROUNDUP(F2264*(E2264/21)/E2216,0),"-")</f>
        <v>0</v>
      </c>
    </row>
    <row r="2265" spans="1:7" x14ac:dyDescent="0.25">
      <c r="A2265" s="50" t="s">
        <v>2567</v>
      </c>
      <c r="B2265" s="72" t="str">
        <f>VLOOKUP(A2265,'Componentes APUs'!$N$1:$Q$30,2,0)</f>
        <v>CARRETA BUGGIE, PALA, ZAPAPICO</v>
      </c>
      <c r="C2265" s="73"/>
      <c r="D2265" s="70" t="str">
        <f>VLOOKUP(A2265,'Componentes APUs'!$N$1:$Q$30,3,0)</f>
        <v>U</v>
      </c>
      <c r="E2265" s="50">
        <v>6.0000000000000001E-3</v>
      </c>
      <c r="F2265" s="51">
        <f>VLOOKUP(A2265,'Componentes APUs'!$N$1:$Q$30,4,0)</f>
        <v>72077040</v>
      </c>
      <c r="G2265" s="51">
        <f>IFERROR(ROUNDUP(F2265*(E2265/21)/E2216,0),"-")</f>
        <v>2423</v>
      </c>
    </row>
    <row r="2266" spans="1:7" x14ac:dyDescent="0.25">
      <c r="A2266" s="69" t="s">
        <v>1379</v>
      </c>
      <c r="B2266" s="72" t="str">
        <f>VLOOKUP(A2266,'Componentes APUs'!$N$1:$Q$30,2,0)</f>
        <v>Dumper de descarga Frontal 2T</v>
      </c>
      <c r="C2266" s="73"/>
      <c r="D2266" s="70" t="str">
        <f>VLOOKUP(A2266,'Componentes APUs'!$N$1:$Q$30,3,0)</f>
        <v>U</v>
      </c>
      <c r="E2266" s="50">
        <v>0</v>
      </c>
      <c r="F2266" s="51">
        <f>VLOOKUP(A2266,'Componentes APUs'!$N$1:$Q$30,4,0)</f>
        <v>4438716.24</v>
      </c>
      <c r="G2266" s="51">
        <f>IFERROR(ROUNDUP(F2266*(E2266/21)/E2216,0),"-")</f>
        <v>0</v>
      </c>
    </row>
    <row r="2267" spans="1:7" x14ac:dyDescent="0.25">
      <c r="A2267" s="50" t="s">
        <v>323</v>
      </c>
      <c r="B2267" s="72" t="str">
        <f>VLOOKUP(A2267,'Componentes APUs'!$N$1:$Q$30,2,0)</f>
        <v>Volqueta</v>
      </c>
      <c r="C2267" s="73"/>
      <c r="D2267" s="70" t="str">
        <f>VLOOKUP(A2267,'Componentes APUs'!$N$1:$Q$30,3,0)</f>
        <v>U</v>
      </c>
      <c r="E2267" s="50">
        <v>0</v>
      </c>
      <c r="F2267" s="51">
        <f>VLOOKUP(A2267,'Componentes APUs'!$N$1:$Q$30,4,0)</f>
        <v>14828184</v>
      </c>
      <c r="G2267" s="51">
        <f>IFERROR(ROUNDUP(F2267*(E2267/21)/E2216,0),"-")</f>
        <v>0</v>
      </c>
    </row>
    <row r="2268" spans="1:7" x14ac:dyDescent="0.25">
      <c r="A2268" s="69" t="s">
        <v>324</v>
      </c>
      <c r="B2268" s="72" t="str">
        <f>VLOOKUP(A2268,'Componentes APUs'!$N$1:$Q$30,2,0)</f>
        <v>Retroexcavadora</v>
      </c>
      <c r="C2268" s="73"/>
      <c r="D2268" s="70" t="str">
        <f>VLOOKUP(A2268,'Componentes APUs'!$N$1:$Q$30,3,0)</f>
        <v>U</v>
      </c>
      <c r="E2268" s="50">
        <v>0</v>
      </c>
      <c r="F2268" s="51">
        <f>VLOOKUP(A2268,'Componentes APUs'!$N$1:$Q$30,4,0)</f>
        <v>46030656</v>
      </c>
      <c r="G2268" s="51">
        <f>IFERROR(ROUNDUP(F2268*(E2268/21)/E2216,0),"-")</f>
        <v>0</v>
      </c>
    </row>
    <row r="2269" spans="1:7" x14ac:dyDescent="0.25">
      <c r="A2269" s="234" t="s">
        <v>99</v>
      </c>
      <c r="B2269" s="236"/>
      <c r="C2269" s="236"/>
      <c r="D2269" s="236"/>
      <c r="E2269" s="236"/>
      <c r="F2269" s="235"/>
      <c r="G2269" s="52">
        <f>SUM(G2264:G2268)</f>
        <v>2423</v>
      </c>
    </row>
    <row r="2270" spans="1:7" x14ac:dyDescent="0.25">
      <c r="A2270" s="56"/>
      <c r="B2270" s="57"/>
      <c r="C2270" s="57"/>
      <c r="D2270" s="57"/>
      <c r="E2270" s="57"/>
      <c r="F2270" s="57"/>
      <c r="G2270" s="58"/>
    </row>
    <row r="2271" spans="1:7" x14ac:dyDescent="0.25">
      <c r="A2271" s="234" t="s">
        <v>100</v>
      </c>
      <c r="B2271" s="236"/>
      <c r="C2271" s="236"/>
      <c r="D2271" s="236"/>
      <c r="E2271" s="236"/>
      <c r="F2271" s="235"/>
      <c r="G2271" s="52">
        <f>G2269+G2260+G2243+G2233+G2223</f>
        <v>652837</v>
      </c>
    </row>
    <row r="2272" spans="1:7" x14ac:dyDescent="0.25">
      <c r="A2272" s="59"/>
      <c r="B2272" s="60"/>
      <c r="C2272" s="60"/>
      <c r="D2272" s="60"/>
      <c r="E2272" s="57"/>
      <c r="F2272" s="57"/>
      <c r="G2272" s="58"/>
    </row>
    <row r="2273" spans="1:8" x14ac:dyDescent="0.25">
      <c r="A2273" s="64"/>
      <c r="D2273" s="55"/>
      <c r="E2273" s="49" t="s">
        <v>25</v>
      </c>
      <c r="F2273" s="54">
        <v>0.15</v>
      </c>
      <c r="G2273" s="51">
        <f>G2271*F2273</f>
        <v>97925.55</v>
      </c>
    </row>
    <row r="2274" spans="1:8" x14ac:dyDescent="0.25">
      <c r="A2274" s="64"/>
      <c r="D2274" s="55"/>
      <c r="E2274" s="49" t="s">
        <v>26</v>
      </c>
      <c r="F2274" s="54">
        <v>0.05</v>
      </c>
      <c r="G2274" s="51">
        <f>G2271*F2274</f>
        <v>32641.850000000002</v>
      </c>
    </row>
    <row r="2275" spans="1:8" x14ac:dyDescent="0.25">
      <c r="A2275" s="61"/>
      <c r="B2275" s="65"/>
      <c r="C2275" s="65"/>
      <c r="D2275" s="62"/>
      <c r="E2275" s="49" t="s">
        <v>27</v>
      </c>
      <c r="F2275" s="54">
        <v>0.05</v>
      </c>
      <c r="G2275" s="51">
        <f>G2271*F2275</f>
        <v>32641.850000000002</v>
      </c>
    </row>
    <row r="2276" spans="1:8" x14ac:dyDescent="0.25">
      <c r="A2276" s="61"/>
      <c r="B2276" s="62"/>
      <c r="C2276" s="62"/>
      <c r="D2276" s="62"/>
      <c r="E2276" s="62"/>
      <c r="F2276" s="62"/>
      <c r="G2276" s="63"/>
    </row>
    <row r="2277" spans="1:8" x14ac:dyDescent="0.25">
      <c r="A2277" s="234" t="s">
        <v>101</v>
      </c>
      <c r="B2277" s="236"/>
      <c r="C2277" s="236"/>
      <c r="D2277" s="236"/>
      <c r="E2277" s="236"/>
      <c r="F2277" s="235"/>
      <c r="G2277" s="52">
        <f>G2271+G2273+G2274+G2275</f>
        <v>816046.25</v>
      </c>
    </row>
    <row r="2278" spans="1:8" x14ac:dyDescent="0.25">
      <c r="A2278" s="59"/>
      <c r="B2278" s="60"/>
      <c r="C2278" s="60"/>
      <c r="D2278" s="60"/>
      <c r="E2278" s="57"/>
      <c r="F2278" s="57"/>
      <c r="G2278" s="58"/>
    </row>
    <row r="2279" spans="1:8" x14ac:dyDescent="0.25">
      <c r="A2279" s="64"/>
      <c r="D2279" s="55"/>
      <c r="E2279" s="49" t="s">
        <v>102</v>
      </c>
      <c r="F2279" s="49" t="s">
        <v>103</v>
      </c>
      <c r="G2279" s="51">
        <f>G2275*19%</f>
        <v>6201.9515000000001</v>
      </c>
    </row>
    <row r="2280" spans="1:8" x14ac:dyDescent="0.25">
      <c r="A2280" s="61"/>
      <c r="B2280" s="62"/>
      <c r="C2280" s="62"/>
      <c r="D2280" s="62"/>
      <c r="E2280" s="57"/>
      <c r="F2280" s="57"/>
      <c r="G2280" s="58"/>
    </row>
    <row r="2281" spans="1:8" x14ac:dyDescent="0.25">
      <c r="A2281" s="234" t="s">
        <v>104</v>
      </c>
      <c r="B2281" s="236"/>
      <c r="C2281" s="236"/>
      <c r="D2281" s="236"/>
      <c r="E2281" s="236"/>
      <c r="F2281" s="235"/>
      <c r="G2281" s="52">
        <f>G2279+G2277</f>
        <v>822248.20149999997</v>
      </c>
    </row>
    <row r="2283" spans="1:8" x14ac:dyDescent="0.25">
      <c r="A2283" s="74" t="s">
        <v>29</v>
      </c>
      <c r="B2283" s="226" t="s">
        <v>30</v>
      </c>
      <c r="C2283" s="226"/>
      <c r="D2283" s="74" t="s">
        <v>31</v>
      </c>
      <c r="E2283" s="74" t="s">
        <v>32</v>
      </c>
      <c r="F2283" s="74" t="s">
        <v>189</v>
      </c>
      <c r="G2283" s="74" t="s">
        <v>33</v>
      </c>
      <c r="H2283" s="105"/>
    </row>
    <row r="2284" spans="1:8" ht="25.5" customHeight="1" x14ac:dyDescent="0.25">
      <c r="A2284" s="50" t="str">
        <f>Presupuesto!B47</f>
        <v>029_OC</v>
      </c>
      <c r="B2284" s="229" t="str">
        <f>Presupuesto!C47</f>
        <v>EXCAVACION MANUAL EN MATERIAL COMÚN</v>
      </c>
      <c r="C2284" s="230"/>
      <c r="D2284" s="50" t="s">
        <v>108</v>
      </c>
      <c r="E2284" s="107">
        <v>13</v>
      </c>
      <c r="F2284" s="50"/>
      <c r="G2284" s="51">
        <f>G2348</f>
        <v>30107.088</v>
      </c>
      <c r="H2284" s="45"/>
    </row>
    <row r="2285" spans="1:8" x14ac:dyDescent="0.25">
      <c r="A2285" s="219" t="s">
        <v>34</v>
      </c>
      <c r="B2285" s="219"/>
      <c r="C2285" s="219"/>
      <c r="D2285" s="219"/>
      <c r="E2285" s="219"/>
      <c r="F2285" s="219"/>
      <c r="G2285" s="219"/>
    </row>
    <row r="2286" spans="1:8" x14ac:dyDescent="0.25">
      <c r="A2286" s="49" t="s">
        <v>35</v>
      </c>
      <c r="B2286" s="219" t="s">
        <v>36</v>
      </c>
      <c r="C2286" s="219"/>
      <c r="D2286" s="49" t="s">
        <v>37</v>
      </c>
      <c r="E2286" s="49" t="s">
        <v>38</v>
      </c>
      <c r="F2286" s="49" t="s">
        <v>39</v>
      </c>
      <c r="G2286" s="49" t="s">
        <v>40</v>
      </c>
    </row>
    <row r="2287" spans="1:8" x14ac:dyDescent="0.25">
      <c r="A2287" s="50"/>
      <c r="B2287" s="72" t="str">
        <f>IFERROR(VLOOKUP(A2287,Material!$A:$H,2,0),"-")</f>
        <v>-</v>
      </c>
      <c r="C2287" s="76"/>
      <c r="D2287" s="50" t="str">
        <f>IFERROR(VLOOKUP(A2287,Material!$A:$H,4,0),"-")</f>
        <v>-</v>
      </c>
      <c r="E2287" s="107"/>
      <c r="F2287" s="51" t="str">
        <f>IFERROR(VLOOKUP(A2287,Material!$A:$H,3,0),"-")</f>
        <v>-</v>
      </c>
      <c r="G2287" s="51" t="str">
        <f t="shared" ref="G2287:G2289" si="28">IFERROR(ROUNDUP(F2287*E2287,0),"-")</f>
        <v>-</v>
      </c>
      <c r="H2287" s="106"/>
    </row>
    <row r="2288" spans="1:8" x14ac:dyDescent="0.25">
      <c r="A2288" s="50"/>
      <c r="B2288" s="72" t="str">
        <f>IFERROR(VLOOKUP(A2288,Material!$A:$H,2,0),"-")</f>
        <v>-</v>
      </c>
      <c r="C2288" s="76"/>
      <c r="D2288" s="50" t="str">
        <f>IFERROR(VLOOKUP(A2288,Material!$A:$H,4,0),"-")</f>
        <v>-</v>
      </c>
      <c r="E2288" s="107"/>
      <c r="F2288" s="51" t="str">
        <f>IFERROR(VLOOKUP(A2288,Material!$A:$H,3,0),"-")</f>
        <v>-</v>
      </c>
      <c r="G2288" s="51" t="str">
        <f t="shared" si="28"/>
        <v>-</v>
      </c>
      <c r="H2288" s="106"/>
    </row>
    <row r="2289" spans="1:9" x14ac:dyDescent="0.25">
      <c r="A2289" s="50"/>
      <c r="B2289" s="72" t="str">
        <f>IFERROR(VLOOKUP(A2289,Material!$A:$H,2,0),"-")</f>
        <v>-</v>
      </c>
      <c r="C2289" s="76"/>
      <c r="D2289" s="50" t="str">
        <f>IFERROR(VLOOKUP(A2289,Material!$A:$H,4,0),"-")</f>
        <v>-</v>
      </c>
      <c r="E2289" s="107"/>
      <c r="F2289" s="51" t="str">
        <f>IFERROR(VLOOKUP(A2289,Material!$A:$H,3,0),"-")</f>
        <v>-</v>
      </c>
      <c r="G2289" s="51" t="str">
        <f t="shared" si="28"/>
        <v>-</v>
      </c>
      <c r="H2289" s="106"/>
    </row>
    <row r="2290" spans="1:9" x14ac:dyDescent="0.25">
      <c r="A2290" s="219" t="s">
        <v>41</v>
      </c>
      <c r="B2290" s="219"/>
      <c r="C2290" s="219"/>
      <c r="D2290" s="219"/>
      <c r="E2290" s="219"/>
      <c r="F2290" s="219"/>
      <c r="G2290" s="52">
        <f>SUM(G2287:G2289)</f>
        <v>0</v>
      </c>
      <c r="I2290" s="104"/>
    </row>
    <row r="2291" spans="1:9" x14ac:dyDescent="0.25">
      <c r="A2291" s="56"/>
      <c r="B2291" s="57"/>
      <c r="C2291" s="57"/>
      <c r="D2291" s="57"/>
      <c r="E2291" s="57"/>
      <c r="F2291" s="57"/>
      <c r="G2291" s="58"/>
    </row>
    <row r="2292" spans="1:9" x14ac:dyDescent="0.25">
      <c r="A2292" s="219" t="s">
        <v>42</v>
      </c>
      <c r="B2292" s="219"/>
      <c r="C2292" s="219"/>
      <c r="D2292" s="219"/>
      <c r="E2292" s="219"/>
      <c r="F2292" s="219"/>
      <c r="G2292" s="219"/>
    </row>
    <row r="2293" spans="1:9" x14ac:dyDescent="0.25">
      <c r="A2293" s="49" t="s">
        <v>35</v>
      </c>
      <c r="B2293" s="49" t="s">
        <v>36</v>
      </c>
      <c r="C2293" s="49" t="s">
        <v>38</v>
      </c>
      <c r="D2293" s="49" t="s">
        <v>43</v>
      </c>
      <c r="E2293" s="49" t="s">
        <v>44</v>
      </c>
      <c r="F2293" s="49" t="s">
        <v>45</v>
      </c>
      <c r="G2293" s="49" t="s">
        <v>40</v>
      </c>
    </row>
    <row r="2294" spans="1:9" x14ac:dyDescent="0.25">
      <c r="A2294" s="50" t="s">
        <v>319</v>
      </c>
      <c r="B2294" s="68" t="str">
        <f>VLOOKUP(A2294,'Componentes APUs'!$H$1:$L$25,2,0)</f>
        <v>Ingeniero Residente de Obra</v>
      </c>
      <c r="C2294" s="93">
        <v>0</v>
      </c>
      <c r="D2294" s="50">
        <f>VLOOKUP(A2294,'Componentes APUs'!$H$1:$L$25,3,0)</f>
        <v>4</v>
      </c>
      <c r="E2294" s="51">
        <f>VLOOKUP(A2294,'Componentes APUs'!$H$1:$L$25,4,0)</f>
        <v>271142.85714285716</v>
      </c>
      <c r="F2294" s="51">
        <f>VLOOKUP(A2294,'Componentes APUs'!$H$1:$L$25,5,0)</f>
        <v>162685.71428571429</v>
      </c>
      <c r="G2294" s="51">
        <f>ROUNDUP((E2294+F2294)*C2294/E2284,0)</f>
        <v>0</v>
      </c>
      <c r="H2294" s="66"/>
    </row>
    <row r="2295" spans="1:9" x14ac:dyDescent="0.25">
      <c r="A2295" s="50" t="s">
        <v>320</v>
      </c>
      <c r="B2295" s="68" t="str">
        <f>VLOOKUP(A2295,'Componentes APUs'!$H$1:$L$25,2,0)</f>
        <v>Tecnico Supervisor</v>
      </c>
      <c r="C2295" s="93">
        <v>0</v>
      </c>
      <c r="D2295" s="50">
        <f>VLOOKUP(A2295,'Componentes APUs'!$H$1:$L$25,3,0)</f>
        <v>2.2999999999999998</v>
      </c>
      <c r="E2295" s="51">
        <f>VLOOKUP(A2295,'Componentes APUs'!$H$1:$L$25,4,0)</f>
        <v>155907.14285714284</v>
      </c>
      <c r="F2295" s="51">
        <f>VLOOKUP(A2295,'Componentes APUs'!$H$1:$L$25,5,0)</f>
        <v>93544.285714285696</v>
      </c>
      <c r="G2295" s="51">
        <f>ROUNDUP((E2295+F2295)*C2295/E2284,0)</f>
        <v>0</v>
      </c>
    </row>
    <row r="2296" spans="1:9" x14ac:dyDescent="0.25">
      <c r="A2296" s="50" t="s">
        <v>54</v>
      </c>
      <c r="B2296" s="68" t="str">
        <f>VLOOKUP(A2296,'Componentes APUs'!$H$1:$L$25,2,0)</f>
        <v>Maestro de obra civil</v>
      </c>
      <c r="C2296" s="93">
        <v>0</v>
      </c>
      <c r="D2296" s="50">
        <f>VLOOKUP(A2296,'Componentes APUs'!$H$1:$L$25,3,0)</f>
        <v>2.5</v>
      </c>
      <c r="E2296" s="51">
        <f>VLOOKUP(A2296,'Componentes APUs'!$H$1:$L$25,4,0)</f>
        <v>169464.28571428571</v>
      </c>
      <c r="F2296" s="51">
        <f>VLOOKUP(A2296,'Componentes APUs'!$H$1:$L$25,5,0)</f>
        <v>101678.57142857142</v>
      </c>
      <c r="G2296" s="51">
        <f>ROUNDUP((E2296+F2296)*C2296/E2284,0)</f>
        <v>0</v>
      </c>
    </row>
    <row r="2297" spans="1:9" x14ac:dyDescent="0.25">
      <c r="A2297" s="50" t="s">
        <v>1110</v>
      </c>
      <c r="B2297" s="68" t="str">
        <f>VLOOKUP(A2297,'Componentes APUs'!$H$1:$L$25,2,0)</f>
        <v>Oficial de Obra Civil</v>
      </c>
      <c r="C2297" s="93">
        <v>0.25</v>
      </c>
      <c r="D2297" s="50">
        <f>VLOOKUP(A2297,'Componentes APUs'!$H$1:$L$25,3,0)</f>
        <v>1.5</v>
      </c>
      <c r="E2297" s="51">
        <f>VLOOKUP(A2297,'Componentes APUs'!$H$1:$L$25,4,0)</f>
        <v>115964.28571428571</v>
      </c>
      <c r="F2297" s="51">
        <f>VLOOKUP(A2297,'Componentes APUs'!$H$1:$L$25,5,0)</f>
        <v>69578.57142857142</v>
      </c>
      <c r="G2297" s="51">
        <f>ROUNDUP((E2297+F2297)*C2297/E2284,0)</f>
        <v>3569</v>
      </c>
    </row>
    <row r="2298" spans="1:9" x14ac:dyDescent="0.25">
      <c r="A2298" s="50" t="s">
        <v>50</v>
      </c>
      <c r="B2298" s="68" t="str">
        <f>VLOOKUP(A2298,'Componentes APUs'!$H$1:$L$25,2,0)</f>
        <v>Profesional en SST</v>
      </c>
      <c r="C2298" s="93">
        <v>0.25</v>
      </c>
      <c r="D2298" s="50">
        <f>VLOOKUP(A2298,'Componentes APUs'!$H$1:$L$25,3,0)</f>
        <v>2.5</v>
      </c>
      <c r="E2298" s="51">
        <f>VLOOKUP(A2298,'Componentes APUs'!$H$1:$L$25,4,0)</f>
        <v>169464.28571428571</v>
      </c>
      <c r="F2298" s="51">
        <f>VLOOKUP(A2298,'Componentes APUs'!$H$1:$L$25,5,0)</f>
        <v>101678.57142857142</v>
      </c>
      <c r="G2298" s="51">
        <f>ROUNDUP((E2298+F2298)*C2298/E2284,0)</f>
        <v>5215</v>
      </c>
    </row>
    <row r="2299" spans="1:9" x14ac:dyDescent="0.25">
      <c r="A2299" s="50" t="s">
        <v>1109</v>
      </c>
      <c r="B2299" s="68" t="str">
        <f>VLOOKUP(A2299,'Componentes APUs'!$H$1:$L$25,2,0)</f>
        <v>Ayudante de Obra Civil</v>
      </c>
      <c r="C2299" s="93">
        <v>1</v>
      </c>
      <c r="D2299" s="50">
        <f>VLOOKUP(A2299,'Componentes APUs'!$H$1:$L$25,3,0)</f>
        <v>1</v>
      </c>
      <c r="E2299" s="51">
        <f>VLOOKUP(A2299,'Componentes APUs'!$H$1:$L$25,4,0)</f>
        <v>77309.523809523816</v>
      </c>
      <c r="F2299" s="51">
        <f>VLOOKUP(A2299,'Componentes APUs'!$H$1:$L$25,5,0)</f>
        <v>46385.71428571429</v>
      </c>
      <c r="G2299" s="51">
        <f>ROUNDUP((E2299+F2299)*C2299/E2284,0)</f>
        <v>9516</v>
      </c>
    </row>
    <row r="2300" spans="1:9" x14ac:dyDescent="0.25">
      <c r="A2300" s="219" t="s">
        <v>56</v>
      </c>
      <c r="B2300" s="219"/>
      <c r="C2300" s="219"/>
      <c r="D2300" s="219"/>
      <c r="E2300" s="219"/>
      <c r="F2300" s="219"/>
      <c r="G2300" s="52">
        <f>SUM(G2294:G2299)</f>
        <v>18300</v>
      </c>
    </row>
    <row r="2301" spans="1:9" x14ac:dyDescent="0.25">
      <c r="A2301" s="56"/>
      <c r="B2301" s="57"/>
      <c r="C2301" s="57"/>
      <c r="D2301" s="57"/>
      <c r="E2301" s="57"/>
      <c r="F2301" s="57"/>
      <c r="G2301" s="58"/>
    </row>
    <row r="2302" spans="1:9" x14ac:dyDescent="0.25">
      <c r="A2302" s="219" t="s">
        <v>57</v>
      </c>
      <c r="B2302" s="219"/>
      <c r="C2302" s="219"/>
      <c r="D2302" s="219"/>
      <c r="E2302" s="219"/>
      <c r="F2302" s="219"/>
      <c r="G2302" s="219"/>
    </row>
    <row r="2303" spans="1:9" x14ac:dyDescent="0.25">
      <c r="A2303" s="49" t="s">
        <v>35</v>
      </c>
      <c r="B2303" s="219" t="s">
        <v>36</v>
      </c>
      <c r="C2303" s="219"/>
      <c r="D2303" s="49" t="s">
        <v>37</v>
      </c>
      <c r="E2303" s="49" t="s">
        <v>38</v>
      </c>
      <c r="F2303" s="49" t="s">
        <v>39</v>
      </c>
      <c r="G2303" s="49" t="s">
        <v>40</v>
      </c>
    </row>
    <row r="2304" spans="1:9" x14ac:dyDescent="0.25">
      <c r="A2304" s="50" t="s">
        <v>326</v>
      </c>
      <c r="B2304" s="220" t="str">
        <f>VLOOKUP(A2304,'Componentes APUs'!$S$1:$V$10,2,0)</f>
        <v>Juego Llaves</v>
      </c>
      <c r="C2304" s="220"/>
      <c r="D2304" s="50" t="s">
        <v>18</v>
      </c>
      <c r="E2304" s="50">
        <v>0</v>
      </c>
      <c r="F2304" s="51">
        <f>VLOOKUP(A2304,'Componentes APUs'!$S$1:$V$10,4,0)</f>
        <v>9167</v>
      </c>
      <c r="G2304" s="51">
        <f>ROUNDUP(F2304*((E2304/21)/E2284),0)</f>
        <v>0</v>
      </c>
      <c r="I2304" s="91"/>
    </row>
    <row r="2305" spans="1:9" x14ac:dyDescent="0.25">
      <c r="A2305" s="50" t="s">
        <v>58</v>
      </c>
      <c r="B2305" s="220" t="str">
        <f>VLOOKUP(A2305,'Componentes APUs'!$S$1:$V$10,2,0)</f>
        <v>Manila de servicio</v>
      </c>
      <c r="C2305" s="220"/>
      <c r="D2305" s="50" t="s">
        <v>18</v>
      </c>
      <c r="E2305" s="50">
        <v>0</v>
      </c>
      <c r="F2305" s="51">
        <f>VLOOKUP(A2305,'Componentes APUs'!$S$1:$V$10,4,0)</f>
        <v>2333</v>
      </c>
      <c r="G2305" s="51">
        <f>ROUNDUP(F2305*((E2305/21)/E2284),0)</f>
        <v>0</v>
      </c>
    </row>
    <row r="2306" spans="1:9" x14ac:dyDescent="0.25">
      <c r="A2306" s="50" t="s">
        <v>327</v>
      </c>
      <c r="B2306" s="220" t="str">
        <f>VLOOKUP(A2306,'Componentes APUs'!$S$1:$V$10,2,0)</f>
        <v>Tula portaherramientas</v>
      </c>
      <c r="C2306" s="220"/>
      <c r="D2306" s="50" t="s">
        <v>18</v>
      </c>
      <c r="E2306" s="50">
        <v>0</v>
      </c>
      <c r="F2306" s="51">
        <f>VLOOKUP(A2306,'Componentes APUs'!$S$1:$V$10,4,0)</f>
        <v>1250</v>
      </c>
      <c r="G2306" s="51">
        <f>ROUNDUP(F2306*((E2306/21)/E2284),0)</f>
        <v>0</v>
      </c>
    </row>
    <row r="2307" spans="1:9" x14ac:dyDescent="0.25">
      <c r="A2307" s="50" t="s">
        <v>60</v>
      </c>
      <c r="B2307" s="220" t="str">
        <f>VLOOKUP(A2307,'Componentes APUs'!$S$1:$V$10,2,0)</f>
        <v>Agarradoras</v>
      </c>
      <c r="C2307" s="220"/>
      <c r="D2307" s="50" t="s">
        <v>18</v>
      </c>
      <c r="E2307" s="50">
        <v>0</v>
      </c>
      <c r="F2307" s="51">
        <f>VLOOKUP(A2307,'Componentes APUs'!$S$1:$V$10,4,0)</f>
        <v>125000</v>
      </c>
      <c r="G2307" s="51">
        <f>ROUNDUP(F2307*((E2307/21)/E2284),0)</f>
        <v>0</v>
      </c>
    </row>
    <row r="2308" spans="1:9" x14ac:dyDescent="0.25">
      <c r="A2308" s="50" t="s">
        <v>62</v>
      </c>
      <c r="B2308" s="220" t="str">
        <f>VLOOKUP(A2308,'Componentes APUs'!$S$1:$V$10,2,0)</f>
        <v>Templadoras</v>
      </c>
      <c r="C2308" s="220"/>
      <c r="D2308" s="50" t="s">
        <v>18</v>
      </c>
      <c r="E2308" s="50">
        <v>0</v>
      </c>
      <c r="F2308" s="51">
        <f>VLOOKUP(A2308,'Componentes APUs'!$S$1:$V$10,4,0)</f>
        <v>250000</v>
      </c>
      <c r="G2308" s="51">
        <f>ROUNDUP(F2308*((E2308/21)/E2284),0)</f>
        <v>0</v>
      </c>
    </row>
    <row r="2309" spans="1:9" x14ac:dyDescent="0.25">
      <c r="A2309" s="50" t="s">
        <v>328</v>
      </c>
      <c r="B2309" s="220" t="str">
        <f>VLOOKUP(A2309,'Componentes APUs'!$S$1:$V$10,2,0)</f>
        <v>Herramienta Menor</v>
      </c>
      <c r="C2309" s="220"/>
      <c r="D2309" s="50" t="s">
        <v>18</v>
      </c>
      <c r="E2309" s="50">
        <v>1</v>
      </c>
      <c r="F2309" s="51">
        <f>VLOOKUP(A2309,'Componentes APUs'!$S$1:$V$10,4,0)</f>
        <v>75758</v>
      </c>
      <c r="G2309" s="51">
        <f>ROUNDUP(F2309*((E2309/21)/E2284),0)</f>
        <v>278</v>
      </c>
    </row>
    <row r="2310" spans="1:9" x14ac:dyDescent="0.25">
      <c r="A2310" s="219" t="s">
        <v>69</v>
      </c>
      <c r="B2310" s="219"/>
      <c r="C2310" s="219"/>
      <c r="D2310" s="219"/>
      <c r="E2310" s="219"/>
      <c r="F2310" s="219"/>
      <c r="G2310" s="52">
        <f>SUM(G2304:G2309)</f>
        <v>278</v>
      </c>
    </row>
    <row r="2311" spans="1:9" x14ac:dyDescent="0.25">
      <c r="A2311" s="56"/>
      <c r="B2311" s="57"/>
      <c r="C2311" s="57"/>
      <c r="D2311" s="57"/>
      <c r="E2311" s="57"/>
      <c r="F2311" s="57"/>
      <c r="G2311" s="58"/>
    </row>
    <row r="2312" spans="1:9" x14ac:dyDescent="0.25">
      <c r="A2312" s="219" t="s">
        <v>70</v>
      </c>
      <c r="B2312" s="219"/>
      <c r="C2312" s="219"/>
      <c r="D2312" s="219"/>
      <c r="E2312" s="219"/>
      <c r="F2312" s="219"/>
      <c r="G2312" s="219"/>
    </row>
    <row r="2313" spans="1:9" x14ac:dyDescent="0.25">
      <c r="A2313" s="49" t="s">
        <v>35</v>
      </c>
      <c r="B2313" s="219" t="s">
        <v>36</v>
      </c>
      <c r="C2313" s="219"/>
      <c r="D2313" s="49" t="s">
        <v>37</v>
      </c>
      <c r="E2313" s="49" t="s">
        <v>38</v>
      </c>
      <c r="F2313" s="49" t="s">
        <v>39</v>
      </c>
      <c r="G2313" s="49" t="s">
        <v>40</v>
      </c>
    </row>
    <row r="2314" spans="1:9" x14ac:dyDescent="0.25">
      <c r="A2314" s="50" t="s">
        <v>71</v>
      </c>
      <c r="B2314" s="71" t="str">
        <f>VLOOKUP(A2314,'Componentes APUs'!$A$1:$D$14,2,0)</f>
        <v>Camisa indigo sin partes metalicas</v>
      </c>
      <c r="C2314" s="71"/>
      <c r="D2314" s="50" t="str">
        <f>VLOOKUP(A2314,'Componentes APUs'!$A$1:$D$14,3,0)</f>
        <v>U</v>
      </c>
      <c r="E2314" s="50">
        <f>SUM(C2294:C2299)</f>
        <v>1.5</v>
      </c>
      <c r="F2314" s="51">
        <f>VLOOKUP(A2314,'Componentes APUs'!$A$1:$D$14,4,0)</f>
        <v>8585.8585858585866</v>
      </c>
      <c r="G2314" s="51">
        <f>ROUNDUP(F2314*(E2314/21)/E2284,0)</f>
        <v>48</v>
      </c>
      <c r="I2314" s="91"/>
    </row>
    <row r="2315" spans="1:9" x14ac:dyDescent="0.25">
      <c r="A2315" s="69" t="s">
        <v>73</v>
      </c>
      <c r="B2315" s="72" t="str">
        <f>VLOOKUP(A2315,'Componentes APUs'!$A$1:$D$14,2,0)</f>
        <v>Bota de seguridad dielectrica</v>
      </c>
      <c r="C2315" s="73"/>
      <c r="D2315" s="70" t="str">
        <f>VLOOKUP(A2315,'Componentes APUs'!$A$1:$D$14,3,0)</f>
        <v>Par</v>
      </c>
      <c r="E2315" s="50">
        <f>SUM(C2294:C2299)</f>
        <v>1.5</v>
      </c>
      <c r="F2315" s="51">
        <f>VLOOKUP(A2315,'Componentes APUs'!$A$1:$D$14,4,0)</f>
        <v>7500</v>
      </c>
      <c r="G2315" s="51">
        <f>ROUNDUP(F2315*(E2315/21)/E2284,0)</f>
        <v>42</v>
      </c>
    </row>
    <row r="2316" spans="1:9" x14ac:dyDescent="0.25">
      <c r="A2316" s="50" t="s">
        <v>76</v>
      </c>
      <c r="B2316" s="72" t="str">
        <f>VLOOKUP(A2316,'Componentes APUs'!$A$1:$D$14,2,0)</f>
        <v>Casco dielectrico Tipo 1 Clase E con barbuquejo</v>
      </c>
      <c r="C2316" s="73"/>
      <c r="D2316" s="50" t="str">
        <f>VLOOKUP(A2316,'Componentes APUs'!$A$1:$D$14,3,0)</f>
        <v>U</v>
      </c>
      <c r="E2316" s="50">
        <f>C2294+C2295+C2297+C2298+C2299+IF(A2296&lt;&gt;"MO-3",C2296,0)</f>
        <v>1.5</v>
      </c>
      <c r="F2316" s="51">
        <f>VLOOKUP(A2316,'Componentes APUs'!$A$1:$D$14,4,0)</f>
        <v>10101.010101010101</v>
      </c>
      <c r="G2316" s="51">
        <f>ROUNDUP(F2316*(E2316/21)/E2284,0)</f>
        <v>56</v>
      </c>
    </row>
    <row r="2317" spans="1:9" x14ac:dyDescent="0.25">
      <c r="A2317" s="69" t="s">
        <v>77</v>
      </c>
      <c r="B2317" s="72" t="str">
        <f>VLOOKUP(A2317,'Componentes APUs'!$A$1:$D$14,2,0)</f>
        <v>Correa plastica y antiflama</v>
      </c>
      <c r="C2317" s="73"/>
      <c r="D2317" s="50" t="str">
        <f>VLOOKUP(A2317,'Componentes APUs'!$A$1:$D$14,3,0)</f>
        <v>U</v>
      </c>
      <c r="E2317" s="50">
        <f>SUM(C2294:C2299)</f>
        <v>1.5</v>
      </c>
      <c r="F2317" s="51">
        <f>VLOOKUP(A2317,'Componentes APUs'!$A$1:$D$14,4,0)</f>
        <v>3787.878787878788</v>
      </c>
      <c r="G2317" s="51">
        <f>ROUNDUP(F2317*(E2317/21)/E2284,0)</f>
        <v>21</v>
      </c>
    </row>
    <row r="2318" spans="1:9" x14ac:dyDescent="0.25">
      <c r="A2318" s="50" t="s">
        <v>79</v>
      </c>
      <c r="B2318" s="72" t="str">
        <f>VLOOKUP(A2318,'Componentes APUs'!$A$1:$D$14,2,0)</f>
        <v>Gafas protectoras filtro UV</v>
      </c>
      <c r="C2318" s="73"/>
      <c r="D2318" s="50" t="str">
        <f>VLOOKUP(A2318,'Componentes APUs'!$A$1:$D$14,3,0)</f>
        <v>U</v>
      </c>
      <c r="E2318" s="50">
        <f>SUM(C2294:C2299)</f>
        <v>1.5</v>
      </c>
      <c r="F2318" s="51">
        <f>VLOOKUP(A2318,'Componentes APUs'!$A$1:$D$14,4,0)</f>
        <v>2777.7777777777778</v>
      </c>
      <c r="G2318" s="51">
        <f>ROUNDUP(F2318*(E2318/21)/E2284,0)</f>
        <v>16</v>
      </c>
    </row>
    <row r="2319" spans="1:9" x14ac:dyDescent="0.25">
      <c r="A2319" s="69" t="s">
        <v>402</v>
      </c>
      <c r="B2319" s="72" t="str">
        <f>VLOOKUP(A2319,'Componentes APUs'!$A$1:$D$14,2,0)</f>
        <v>Bota de seguridad PVC dielectrica</v>
      </c>
      <c r="C2319" s="73"/>
      <c r="D2319" s="50" t="str">
        <f>VLOOKUP(A2319,'Componentes APUs'!$A$1:$D$14,3,0)</f>
        <v>Par</v>
      </c>
      <c r="E2319" s="50">
        <f>SUM(C2294:C2299)</f>
        <v>1.5</v>
      </c>
      <c r="F2319" s="51">
        <f>VLOOKUP(A2319,'Componentes APUs'!$A$1:$D$14,4,0)</f>
        <v>2916.6666666666665</v>
      </c>
      <c r="G2319" s="51">
        <f>ROUNDUP(F2319*(E2319/21)/E2284,0)</f>
        <v>17</v>
      </c>
    </row>
    <row r="2320" spans="1:9" x14ac:dyDescent="0.25">
      <c r="A2320" s="50" t="s">
        <v>403</v>
      </c>
      <c r="B2320" s="72" t="str">
        <f>VLOOKUP(A2320,'Componentes APUs'!$A$1:$D$14,2,0)</f>
        <v>Capuchon</v>
      </c>
      <c r="C2320" s="73"/>
      <c r="D2320" s="50" t="str">
        <f>VLOOKUP(A2320,'Componentes APUs'!$A$1:$D$14,3,0)</f>
        <v>U</v>
      </c>
      <c r="E2320" s="50">
        <f>SUM(C2294:C2299)</f>
        <v>1.5</v>
      </c>
      <c r="F2320" s="51">
        <f>VLOOKUP(A2320,'Componentes APUs'!$A$1:$D$14,4,0)</f>
        <v>2525.2525252525252</v>
      </c>
      <c r="G2320" s="51">
        <f>ROUNDUP(F2320*(E2320/21)/E2284,0)</f>
        <v>14</v>
      </c>
    </row>
    <row r="2321" spans="1:7" x14ac:dyDescent="0.25">
      <c r="A2321" s="69" t="s">
        <v>81</v>
      </c>
      <c r="B2321" s="72" t="str">
        <f>VLOOKUP(A2321,'Componentes APUs'!$A$1:$D$14,2,0)</f>
        <v>Guantes Protectores  - ingeniero reforzados</v>
      </c>
      <c r="C2321" s="73"/>
      <c r="D2321" s="50" t="str">
        <f>VLOOKUP(A2321,'Componentes APUs'!$A$1:$D$14,3,0)</f>
        <v>Par</v>
      </c>
      <c r="E2321" s="50">
        <f>C2296+C2297+C2299</f>
        <v>1.25</v>
      </c>
      <c r="F2321" s="51">
        <f>VLOOKUP(A2321,'Componentes APUs'!$A$1:$D$14,4,0)</f>
        <v>2525.2525252525252</v>
      </c>
      <c r="G2321" s="51">
        <f>ROUNDUP(F2321*(E2321/21)/E2284,0)</f>
        <v>12</v>
      </c>
    </row>
    <row r="2322" spans="1:7" x14ac:dyDescent="0.25">
      <c r="A2322" s="50" t="s">
        <v>83</v>
      </c>
      <c r="B2322" s="72" t="str">
        <f>VLOOKUP(A2322,'Componentes APUs'!$A$1:$D$14,2,0)</f>
        <v>Impermeable (pantalon camisa)</v>
      </c>
      <c r="C2322" s="73"/>
      <c r="D2322" s="50" t="str">
        <f>VLOOKUP(A2322,'Componentes APUs'!$A$1:$D$14,3,0)</f>
        <v>U</v>
      </c>
      <c r="E2322" s="50">
        <f>SUM(C2294:C2299)</f>
        <v>1.5</v>
      </c>
      <c r="F2322" s="51">
        <f>VLOOKUP(A2322,'Componentes APUs'!$A$1:$D$14,4,0)</f>
        <v>3750</v>
      </c>
      <c r="G2322" s="51">
        <f>ROUNDUP(F2322*(E2322/21)/E2284,0)</f>
        <v>21</v>
      </c>
    </row>
    <row r="2323" spans="1:7" x14ac:dyDescent="0.25">
      <c r="A2323" s="69" t="s">
        <v>85</v>
      </c>
      <c r="B2323" s="72" t="str">
        <f>VLOOKUP(A2323,'Componentes APUs'!$A$1:$D$14,2,0)</f>
        <v>Jean Dielectrico</v>
      </c>
      <c r="C2323" s="73"/>
      <c r="D2323" s="50" t="str">
        <f>VLOOKUP(A2323,'Componentes APUs'!$A$1:$D$14,3,0)</f>
        <v>U</v>
      </c>
      <c r="E2323" s="50">
        <f>SUM(C2294:C2299)</f>
        <v>1.5</v>
      </c>
      <c r="F2323" s="51">
        <f>VLOOKUP(A2323,'Componentes APUs'!$A$1:$D$14,4,0)</f>
        <v>7575.757575757576</v>
      </c>
      <c r="G2323" s="51">
        <f>ROUNDUP(F2323*(E2323/21)/E2284,0)</f>
        <v>42</v>
      </c>
    </row>
    <row r="2324" spans="1:7" x14ac:dyDescent="0.25">
      <c r="A2324" s="50" t="s">
        <v>87</v>
      </c>
      <c r="B2324" s="72" t="str">
        <f>VLOOKUP(A2324,'Componentes APUs'!$A$1:$D$14,2,0)</f>
        <v>Casco dielectrico Tipo 2 Clase E con barboquejo</v>
      </c>
      <c r="C2324" s="73"/>
      <c r="D2324" s="50" t="str">
        <f>VLOOKUP(A2324,'Componentes APUs'!$A$1:$D$14,3,0)</f>
        <v>U</v>
      </c>
      <c r="E2324" s="53">
        <f>IF(A2296="MO-3",C2296,0)</f>
        <v>0</v>
      </c>
      <c r="F2324" s="51">
        <f>VLOOKUP(A2324,'Componentes APUs'!$A$1:$D$14,4,0)</f>
        <v>7500</v>
      </c>
      <c r="G2324" s="51">
        <f>ROUNDUP(F2324*(E2324/21)/E2284,0)</f>
        <v>0</v>
      </c>
    </row>
    <row r="2325" spans="1:7" x14ac:dyDescent="0.25">
      <c r="A2325" s="69" t="s">
        <v>89</v>
      </c>
      <c r="B2325" s="72" t="str">
        <f>VLOOKUP(A2325,'Componentes APUs'!$A$1:$D$14,2,0)</f>
        <v>Kit de rescate para trabajo en alturas</v>
      </c>
      <c r="C2325" s="73"/>
      <c r="D2325" s="50" t="str">
        <f>VLOOKUP(A2325,'Componentes APUs'!$A$1:$D$14,3,0)</f>
        <v>U</v>
      </c>
      <c r="E2325" s="50">
        <f>IF(AND(A2296="MO-3",C2296=2),1,0)</f>
        <v>0</v>
      </c>
      <c r="F2325" s="51">
        <f>VLOOKUP(A2325,'Componentes APUs'!$A$1:$D$14,4,0)</f>
        <v>37500</v>
      </c>
      <c r="G2325" s="51">
        <f>ROUNDUP(F2325*(E2325/21)/E2284,0)</f>
        <v>0</v>
      </c>
    </row>
    <row r="2326" spans="1:7" x14ac:dyDescent="0.25">
      <c r="A2326" s="50" t="s">
        <v>91</v>
      </c>
      <c r="B2326" s="72" t="str">
        <f>VLOOKUP(A2326,'Componentes APUs'!$A$1:$D$14,2,0)</f>
        <v>Equipo completo para trabajo en alturas con pretales (Arnes dielectrico, 1 mosqueton de seguridad, tie off dielectrico, eslinga de posicionamiento, juego de pretales)</v>
      </c>
      <c r="C2326" s="73"/>
      <c r="D2326" s="50" t="str">
        <f>VLOOKUP(A2326,'Componentes APUs'!$A$1:$D$14,3,0)</f>
        <v>U</v>
      </c>
      <c r="E2326" s="50">
        <f>IF(A2296="MO-3",C2296,0)</f>
        <v>0</v>
      </c>
      <c r="F2326" s="51">
        <f>VLOOKUP(A2326,'Componentes APUs'!$A$1:$D$14,4,0)</f>
        <v>26041.666666666668</v>
      </c>
      <c r="G2326" s="51">
        <f>ROUNDUP(F2326*(E2326/21)/E2284,0)</f>
        <v>0</v>
      </c>
    </row>
    <row r="2327" spans="1:7" x14ac:dyDescent="0.25">
      <c r="A2327" s="219" t="s">
        <v>95</v>
      </c>
      <c r="B2327" s="219"/>
      <c r="C2327" s="219"/>
      <c r="D2327" s="219"/>
      <c r="E2327" s="219"/>
      <c r="F2327" s="219"/>
      <c r="G2327" s="52">
        <f>SUM(G2314:G2326)</f>
        <v>289</v>
      </c>
    </row>
    <row r="2328" spans="1:7" x14ac:dyDescent="0.25">
      <c r="A2328" s="56"/>
      <c r="B2328" s="57"/>
      <c r="C2328" s="57"/>
      <c r="D2328" s="57"/>
      <c r="E2328" s="57"/>
      <c r="F2328" s="57"/>
      <c r="G2328" s="58"/>
    </row>
    <row r="2329" spans="1:7" x14ac:dyDescent="0.25">
      <c r="A2329" s="219" t="s">
        <v>96</v>
      </c>
      <c r="B2329" s="219"/>
      <c r="C2329" s="219"/>
      <c r="D2329" s="219"/>
      <c r="E2329" s="219"/>
      <c r="F2329" s="219"/>
      <c r="G2329" s="219"/>
    </row>
    <row r="2330" spans="1:7" x14ac:dyDescent="0.25">
      <c r="A2330" s="49" t="s">
        <v>35</v>
      </c>
      <c r="B2330" s="225" t="s">
        <v>36</v>
      </c>
      <c r="C2330" s="225"/>
      <c r="D2330" s="49" t="s">
        <v>37</v>
      </c>
      <c r="E2330" s="49" t="s">
        <v>38</v>
      </c>
      <c r="F2330" s="49" t="s">
        <v>39</v>
      </c>
      <c r="G2330" s="49" t="s">
        <v>40</v>
      </c>
    </row>
    <row r="2331" spans="1:7" x14ac:dyDescent="0.25">
      <c r="A2331" s="69" t="s">
        <v>97</v>
      </c>
      <c r="B2331" s="72" t="str">
        <f>VLOOKUP(A2331,'Componentes APUs'!$N$1:$Q$30,2,0)</f>
        <v>Camioneta</v>
      </c>
      <c r="C2331" s="73"/>
      <c r="D2331" s="70" t="str">
        <f>VLOOKUP(A2331,'Componentes APUs'!$N$1:$Q$30,3,0)</f>
        <v>U</v>
      </c>
      <c r="E2331" s="50">
        <v>0.25</v>
      </c>
      <c r="F2331" s="51">
        <f>VLOOKUP(A2331,'Componentes APUs'!$N$1:$Q$30,4,0)</f>
        <v>5500000</v>
      </c>
      <c r="G2331" s="51">
        <f>IFERROR(ROUNDUP(F2331*(E2331/21)/E2284,0),"-")</f>
        <v>5037</v>
      </c>
    </row>
    <row r="2332" spans="1:7" x14ac:dyDescent="0.25">
      <c r="A2332" s="50" t="s">
        <v>321</v>
      </c>
      <c r="B2332" s="72" t="str">
        <f>VLOOKUP(A2332,'Componentes APUs'!$N$1:$Q$30,2,0)</f>
        <v>Grúa Hidráulica</v>
      </c>
      <c r="C2332" s="73"/>
      <c r="D2332" s="70" t="str">
        <f>VLOOKUP(A2332,'Componentes APUs'!$N$1:$Q$30,3,0)</f>
        <v>U</v>
      </c>
      <c r="E2332" s="50">
        <v>0</v>
      </c>
      <c r="F2332" s="51">
        <f>VLOOKUP(A2332,'Componentes APUs'!$N$1:$Q$30,4,0)</f>
        <v>21000000</v>
      </c>
      <c r="G2332" s="51">
        <f>IFERROR(ROUNDUP(F2332*(E2332/21)/E2284,0),"-")</f>
        <v>0</v>
      </c>
    </row>
    <row r="2333" spans="1:7" x14ac:dyDescent="0.25">
      <c r="A2333" s="69" t="s">
        <v>1379</v>
      </c>
      <c r="B2333" s="72" t="str">
        <f>VLOOKUP(A2333,'Componentes APUs'!$N$1:$Q$30,2,0)</f>
        <v>Dumper de descarga Frontal 2T</v>
      </c>
      <c r="C2333" s="73"/>
      <c r="D2333" s="70" t="str">
        <f>VLOOKUP(A2333,'Componentes APUs'!$N$1:$Q$30,3,0)</f>
        <v>U</v>
      </c>
      <c r="E2333" s="50">
        <v>0</v>
      </c>
      <c r="F2333" s="51">
        <f>VLOOKUP(A2333,'Componentes APUs'!$N$1:$Q$30,4,0)</f>
        <v>4438716.24</v>
      </c>
      <c r="G2333" s="51">
        <f>IFERROR(ROUNDUP(F2333*(E2333/21)/E2284,0),"-")</f>
        <v>0</v>
      </c>
    </row>
    <row r="2334" spans="1:7" x14ac:dyDescent="0.25">
      <c r="A2334" s="50" t="s">
        <v>323</v>
      </c>
      <c r="B2334" s="72" t="str">
        <f>VLOOKUP(A2334,'Componentes APUs'!$N$1:$Q$30,2,0)</f>
        <v>Volqueta</v>
      </c>
      <c r="C2334" s="73"/>
      <c r="D2334" s="70" t="str">
        <f>VLOOKUP(A2334,'Componentes APUs'!$N$1:$Q$30,3,0)</f>
        <v>U</v>
      </c>
      <c r="E2334" s="50">
        <v>0</v>
      </c>
      <c r="F2334" s="51">
        <f>VLOOKUP(A2334,'Componentes APUs'!$N$1:$Q$30,4,0)</f>
        <v>14828184</v>
      </c>
      <c r="G2334" s="51">
        <f>IFERROR(ROUNDUP(F2334*(E2334/21)/E2284,0),"-")</f>
        <v>0</v>
      </c>
    </row>
    <row r="2335" spans="1:7" x14ac:dyDescent="0.25">
      <c r="A2335" s="69" t="s">
        <v>324</v>
      </c>
      <c r="B2335" s="72" t="str">
        <f>VLOOKUP(A2335,'Componentes APUs'!$N$1:$Q$30,2,0)</f>
        <v>Retroexcavadora</v>
      </c>
      <c r="C2335" s="73"/>
      <c r="D2335" s="70" t="str">
        <f>VLOOKUP(A2335,'Componentes APUs'!$N$1:$Q$30,3,0)</f>
        <v>U</v>
      </c>
      <c r="E2335" s="50">
        <v>0</v>
      </c>
      <c r="F2335" s="51">
        <f>VLOOKUP(A2335,'Componentes APUs'!$N$1:$Q$30,4,0)</f>
        <v>46030656</v>
      </c>
      <c r="G2335" s="51">
        <f>IFERROR(ROUNDUP(F2335*(E2335/21)/E2284,0),"-")</f>
        <v>0</v>
      </c>
    </row>
    <row r="2336" spans="1:7" x14ac:dyDescent="0.25">
      <c r="A2336" s="219" t="s">
        <v>99</v>
      </c>
      <c r="B2336" s="219"/>
      <c r="C2336" s="219"/>
      <c r="D2336" s="219"/>
      <c r="E2336" s="219"/>
      <c r="F2336" s="219"/>
      <c r="G2336" s="52">
        <f>SUM(G2331:G2335)</f>
        <v>5037</v>
      </c>
    </row>
    <row r="2337" spans="1:8" x14ac:dyDescent="0.25">
      <c r="A2337" s="56"/>
      <c r="B2337" s="57"/>
      <c r="C2337" s="57"/>
      <c r="D2337" s="57"/>
      <c r="E2337" s="57"/>
      <c r="F2337" s="57"/>
      <c r="G2337" s="58"/>
    </row>
    <row r="2338" spans="1:8" x14ac:dyDescent="0.25">
      <c r="A2338" s="219" t="s">
        <v>1516</v>
      </c>
      <c r="B2338" s="219"/>
      <c r="C2338" s="219"/>
      <c r="D2338" s="219"/>
      <c r="E2338" s="219"/>
      <c r="F2338" s="219"/>
      <c r="G2338" s="52">
        <f>G2336+G2327+G2310+G2300+G2290</f>
        <v>23904</v>
      </c>
    </row>
    <row r="2339" spans="1:8" x14ac:dyDescent="0.25">
      <c r="A2339" s="59"/>
      <c r="B2339" s="60"/>
      <c r="C2339" s="60"/>
      <c r="D2339" s="60"/>
      <c r="E2339" s="57"/>
      <c r="F2339" s="57"/>
      <c r="G2339" s="58"/>
    </row>
    <row r="2340" spans="1:8" x14ac:dyDescent="0.25">
      <c r="A2340" s="64"/>
      <c r="D2340" s="55"/>
      <c r="E2340" s="49" t="s">
        <v>25</v>
      </c>
      <c r="F2340" s="54">
        <v>0.15</v>
      </c>
      <c r="G2340" s="51">
        <f>G2338*F2340</f>
        <v>3585.6</v>
      </c>
    </row>
    <row r="2341" spans="1:8" x14ac:dyDescent="0.25">
      <c r="A2341" s="64"/>
      <c r="D2341" s="55"/>
      <c r="E2341" s="49" t="s">
        <v>26</v>
      </c>
      <c r="F2341" s="54">
        <v>0.05</v>
      </c>
      <c r="G2341" s="51">
        <f>G2338*F2341</f>
        <v>1195.2</v>
      </c>
    </row>
    <row r="2342" spans="1:8" x14ac:dyDescent="0.25">
      <c r="A2342" s="61"/>
      <c r="B2342" s="65"/>
      <c r="C2342" s="65"/>
      <c r="D2342" s="62"/>
      <c r="E2342" s="49" t="s">
        <v>27</v>
      </c>
      <c r="F2342" s="54">
        <v>0.05</v>
      </c>
      <c r="G2342" s="51">
        <f>G2338*F2342</f>
        <v>1195.2</v>
      </c>
    </row>
    <row r="2343" spans="1:8" x14ac:dyDescent="0.25">
      <c r="A2343" s="61"/>
      <c r="B2343" s="62"/>
      <c r="C2343" s="62"/>
      <c r="D2343" s="62"/>
      <c r="E2343" s="62"/>
      <c r="F2343" s="62"/>
      <c r="G2343" s="63"/>
    </row>
    <row r="2344" spans="1:8" x14ac:dyDescent="0.25">
      <c r="A2344" s="219" t="s">
        <v>1517</v>
      </c>
      <c r="B2344" s="219"/>
      <c r="C2344" s="219"/>
      <c r="D2344" s="219"/>
      <c r="E2344" s="219"/>
      <c r="F2344" s="219"/>
      <c r="G2344" s="52">
        <f>G2338+G2340+G2341+G2342</f>
        <v>29880</v>
      </c>
    </row>
    <row r="2345" spans="1:8" x14ac:dyDescent="0.25">
      <c r="A2345" s="59"/>
      <c r="B2345" s="60"/>
      <c r="C2345" s="60"/>
      <c r="D2345" s="60"/>
      <c r="E2345" s="57"/>
      <c r="F2345" s="57"/>
      <c r="G2345" s="58"/>
    </row>
    <row r="2346" spans="1:8" x14ac:dyDescent="0.25">
      <c r="A2346" s="64"/>
      <c r="D2346" s="55"/>
      <c r="E2346" s="49" t="s">
        <v>102</v>
      </c>
      <c r="F2346" s="49" t="s">
        <v>103</v>
      </c>
      <c r="G2346" s="51">
        <f>G2342*19%</f>
        <v>227.08800000000002</v>
      </c>
    </row>
    <row r="2347" spans="1:8" x14ac:dyDescent="0.25">
      <c r="A2347" s="61"/>
      <c r="B2347" s="62"/>
      <c r="C2347" s="62"/>
      <c r="D2347" s="62"/>
      <c r="E2347" s="57"/>
      <c r="F2347" s="57"/>
      <c r="G2347" s="58"/>
    </row>
    <row r="2348" spans="1:8" x14ac:dyDescent="0.25">
      <c r="A2348" s="219" t="s">
        <v>104</v>
      </c>
      <c r="B2348" s="219"/>
      <c r="C2348" s="219"/>
      <c r="D2348" s="219"/>
      <c r="E2348" s="219"/>
      <c r="F2348" s="219"/>
      <c r="G2348" s="52">
        <f>G2346+G2344</f>
        <v>30107.088</v>
      </c>
    </row>
    <row r="2350" spans="1:8" x14ac:dyDescent="0.25">
      <c r="A2350" s="74" t="s">
        <v>29</v>
      </c>
      <c r="B2350" s="226" t="s">
        <v>30</v>
      </c>
      <c r="C2350" s="226"/>
      <c r="D2350" s="74" t="s">
        <v>31</v>
      </c>
      <c r="E2350" s="74" t="s">
        <v>32</v>
      </c>
      <c r="F2350" s="74" t="s">
        <v>189</v>
      </c>
      <c r="G2350" s="74" t="s">
        <v>33</v>
      </c>
      <c r="H2350" s="105"/>
    </row>
    <row r="2351" spans="1:8" ht="43.5" customHeight="1" x14ac:dyDescent="0.25">
      <c r="A2351" s="50" t="str">
        <f>Presupuesto!B48</f>
        <v>036_OC</v>
      </c>
      <c r="B2351" s="229" t="str">
        <f>Presupuesto!C48</f>
        <v>SISTEMA DE FILTRO TIPO DREN FRANCES (50X60 CM) CON TUBERÍA PVC Ø6" PERFORADA Y CORRUGADA, GRAVA Y GEOTEXTIL NT 1600.</v>
      </c>
      <c r="C2351" s="230"/>
      <c r="D2351" s="50" t="s">
        <v>108</v>
      </c>
      <c r="E2351" s="107">
        <v>7</v>
      </c>
      <c r="F2351" s="50"/>
      <c r="G2351" s="51">
        <f>G2415</f>
        <v>251907.55699999997</v>
      </c>
      <c r="H2351" s="45"/>
    </row>
    <row r="2352" spans="1:8" x14ac:dyDescent="0.25">
      <c r="A2352" s="219" t="s">
        <v>34</v>
      </c>
      <c r="B2352" s="219"/>
      <c r="C2352" s="219"/>
      <c r="D2352" s="219"/>
      <c r="E2352" s="219"/>
      <c r="F2352" s="219"/>
      <c r="G2352" s="219"/>
    </row>
    <row r="2353" spans="1:9" x14ac:dyDescent="0.25">
      <c r="A2353" s="49" t="s">
        <v>35</v>
      </c>
      <c r="B2353" s="219" t="s">
        <v>36</v>
      </c>
      <c r="C2353" s="219"/>
      <c r="D2353" s="49" t="s">
        <v>37</v>
      </c>
      <c r="E2353" s="49" t="s">
        <v>38</v>
      </c>
      <c r="F2353" s="49" t="s">
        <v>39</v>
      </c>
      <c r="G2353" s="49" t="s">
        <v>40</v>
      </c>
    </row>
    <row r="2354" spans="1:9" x14ac:dyDescent="0.25">
      <c r="A2354" s="50" t="str">
        <f>Material!A515</f>
        <v>MA-514</v>
      </c>
      <c r="B2354" s="72" t="str">
        <f>IFERROR(VLOOKUP(A2354,Material!$A:$H,2,0),"-")</f>
        <v>TUBERIA HDPE 6" CORRUGADA PERFORADA</v>
      </c>
      <c r="C2354" s="76"/>
      <c r="D2354" s="50" t="str">
        <f>IFERROR(VLOOKUP(A2354,Material!$A:$H,4,0),"-")</f>
        <v>UN</v>
      </c>
      <c r="E2354" s="107">
        <v>1</v>
      </c>
      <c r="F2354" s="51">
        <f>IFERROR(VLOOKUP(A2354,Material!$A:$H,3,0),"-")</f>
        <v>40687.4</v>
      </c>
      <c r="G2354" s="51">
        <f t="shared" ref="G2354:G2356" si="29">IFERROR(ROUNDUP(F2354*E2354,0),"-")</f>
        <v>40688</v>
      </c>
      <c r="H2354" s="106"/>
    </row>
    <row r="2355" spans="1:9" x14ac:dyDescent="0.25">
      <c r="A2355" s="50" t="str">
        <f>Material!A514</f>
        <v>MA-513</v>
      </c>
      <c r="B2355" s="72" t="str">
        <f>IFERROR(VLOOKUP(A2355,Material!$A:$H,2,0),"-")</f>
        <v>MALLA GEOTEXTIL NT 1600</v>
      </c>
      <c r="C2355" s="76"/>
      <c r="D2355" s="50" t="str">
        <f>IFERROR(VLOOKUP(A2355,Material!$A:$H,4,0),"-")</f>
        <v>M2</v>
      </c>
      <c r="E2355" s="107">
        <v>2.2000000000000002</v>
      </c>
      <c r="F2355" s="51">
        <f>IFERROR(VLOOKUP(A2355,Material!$A:$H,3,0),"-")</f>
        <v>4790.5</v>
      </c>
      <c r="G2355" s="51">
        <f t="shared" si="29"/>
        <v>10540</v>
      </c>
      <c r="H2355" s="106"/>
    </row>
    <row r="2356" spans="1:9" x14ac:dyDescent="0.25">
      <c r="A2356" s="50" t="str">
        <f>Material!A277</f>
        <v>MA-276</v>
      </c>
      <c r="B2356" s="72" t="str">
        <f>IFERROR(VLOOKUP(A2356,Material!$A:$H,2,0),"-")</f>
        <v>GRAVA CANTERA 20 MM diámetro</v>
      </c>
      <c r="C2356" s="76"/>
      <c r="D2356" s="50" t="str">
        <f>IFERROR(VLOOKUP(A2356,Material!$A:$H,4,0),"-")</f>
        <v>M3</v>
      </c>
      <c r="E2356" s="107">
        <v>0.25</v>
      </c>
      <c r="F2356" s="51">
        <f>IFERROR(VLOOKUP(A2356,Material!$A:$H,3,0),"-")</f>
        <v>88270</v>
      </c>
      <c r="G2356" s="51">
        <f t="shared" si="29"/>
        <v>22068</v>
      </c>
      <c r="H2356" s="106"/>
    </row>
    <row r="2357" spans="1:9" x14ac:dyDescent="0.25">
      <c r="A2357" s="219" t="s">
        <v>41</v>
      </c>
      <c r="B2357" s="219"/>
      <c r="C2357" s="219"/>
      <c r="D2357" s="219"/>
      <c r="E2357" s="219"/>
      <c r="F2357" s="219"/>
      <c r="G2357" s="52">
        <f>SUM(G2354:G2356)</f>
        <v>73296</v>
      </c>
      <c r="I2357" s="104"/>
    </row>
    <row r="2358" spans="1:9" x14ac:dyDescent="0.25">
      <c r="A2358" s="56"/>
      <c r="B2358" s="57"/>
      <c r="C2358" s="57"/>
      <c r="D2358" s="57"/>
      <c r="E2358" s="57"/>
      <c r="F2358" s="57"/>
      <c r="G2358" s="58"/>
    </row>
    <row r="2359" spans="1:9" x14ac:dyDescent="0.25">
      <c r="A2359" s="219" t="s">
        <v>42</v>
      </c>
      <c r="B2359" s="219"/>
      <c r="C2359" s="219"/>
      <c r="D2359" s="219"/>
      <c r="E2359" s="219"/>
      <c r="F2359" s="219"/>
      <c r="G2359" s="219"/>
    </row>
    <row r="2360" spans="1:9" x14ac:dyDescent="0.25">
      <c r="A2360" s="49" t="s">
        <v>35</v>
      </c>
      <c r="B2360" s="49" t="s">
        <v>36</v>
      </c>
      <c r="C2360" s="49" t="s">
        <v>38</v>
      </c>
      <c r="D2360" s="49" t="s">
        <v>43</v>
      </c>
      <c r="E2360" s="49" t="s">
        <v>44</v>
      </c>
      <c r="F2360" s="49" t="s">
        <v>45</v>
      </c>
      <c r="G2360" s="49" t="s">
        <v>40</v>
      </c>
    </row>
    <row r="2361" spans="1:9" x14ac:dyDescent="0.25">
      <c r="A2361" s="50" t="s">
        <v>319</v>
      </c>
      <c r="B2361" s="68" t="str">
        <f>VLOOKUP(A2361,'Componentes APUs'!$H$1:$L$25,2,0)</f>
        <v>Ingeniero Residente de Obra</v>
      </c>
      <c r="C2361" s="93">
        <v>0.25</v>
      </c>
      <c r="D2361" s="50">
        <f>VLOOKUP(A2361,'Componentes APUs'!$H$1:$L$25,3,0)</f>
        <v>4</v>
      </c>
      <c r="E2361" s="51">
        <f>VLOOKUP(A2361,'Componentes APUs'!$H$1:$L$25,4,0)</f>
        <v>271142.85714285716</v>
      </c>
      <c r="F2361" s="51">
        <f>VLOOKUP(A2361,'Componentes APUs'!$H$1:$L$25,5,0)</f>
        <v>162685.71428571429</v>
      </c>
      <c r="G2361" s="51">
        <f>ROUNDUP((E2361+F2361)*C2361/E2351,0)</f>
        <v>15494</v>
      </c>
      <c r="H2361" s="66"/>
    </row>
    <row r="2362" spans="1:9" x14ac:dyDescent="0.25">
      <c r="A2362" s="50" t="s">
        <v>320</v>
      </c>
      <c r="B2362" s="68" t="str">
        <f>VLOOKUP(A2362,'Componentes APUs'!$H$1:$L$25,2,0)</f>
        <v>Tecnico Supervisor</v>
      </c>
      <c r="C2362" s="93">
        <v>0</v>
      </c>
      <c r="D2362" s="50">
        <f>VLOOKUP(A2362,'Componentes APUs'!$H$1:$L$25,3,0)</f>
        <v>2.2999999999999998</v>
      </c>
      <c r="E2362" s="51">
        <f>VLOOKUP(A2362,'Componentes APUs'!$H$1:$L$25,4,0)</f>
        <v>155907.14285714284</v>
      </c>
      <c r="F2362" s="51">
        <f>VLOOKUP(A2362,'Componentes APUs'!$H$1:$L$25,5,0)</f>
        <v>93544.285714285696</v>
      </c>
      <c r="G2362" s="51">
        <f>ROUNDUP((E2362+F2362)*C2362/E2351,0)</f>
        <v>0</v>
      </c>
    </row>
    <row r="2363" spans="1:9" x14ac:dyDescent="0.25">
      <c r="A2363" s="50" t="s">
        <v>54</v>
      </c>
      <c r="B2363" s="68" t="str">
        <f>VLOOKUP(A2363,'Componentes APUs'!$H$1:$L$25,2,0)</f>
        <v>Maestro de obra civil</v>
      </c>
      <c r="C2363" s="93">
        <v>0</v>
      </c>
      <c r="D2363" s="50">
        <f>VLOOKUP(A2363,'Componentes APUs'!$H$1:$L$25,3,0)</f>
        <v>2.5</v>
      </c>
      <c r="E2363" s="51">
        <f>VLOOKUP(A2363,'Componentes APUs'!$H$1:$L$25,4,0)</f>
        <v>169464.28571428571</v>
      </c>
      <c r="F2363" s="51">
        <f>VLOOKUP(A2363,'Componentes APUs'!$H$1:$L$25,5,0)</f>
        <v>101678.57142857142</v>
      </c>
      <c r="G2363" s="51">
        <f>ROUNDUP((E2363+F2363)*C2363/E2351,0)</f>
        <v>0</v>
      </c>
    </row>
    <row r="2364" spans="1:9" x14ac:dyDescent="0.25">
      <c r="A2364" s="50" t="s">
        <v>1110</v>
      </c>
      <c r="B2364" s="68" t="str">
        <f>VLOOKUP(A2364,'Componentes APUs'!$H$1:$L$25,2,0)</f>
        <v>Oficial de Obra Civil</v>
      </c>
      <c r="C2364" s="93">
        <v>1</v>
      </c>
      <c r="D2364" s="50">
        <f>VLOOKUP(A2364,'Componentes APUs'!$H$1:$L$25,3,0)</f>
        <v>1.5</v>
      </c>
      <c r="E2364" s="51">
        <f>VLOOKUP(A2364,'Componentes APUs'!$H$1:$L$25,4,0)</f>
        <v>115964.28571428571</v>
      </c>
      <c r="F2364" s="51">
        <f>VLOOKUP(A2364,'Componentes APUs'!$H$1:$L$25,5,0)</f>
        <v>69578.57142857142</v>
      </c>
      <c r="G2364" s="51">
        <f>ROUNDUP((E2364+F2364)*C2364/E2351,0)</f>
        <v>26507</v>
      </c>
    </row>
    <row r="2365" spans="1:9" x14ac:dyDescent="0.25">
      <c r="A2365" s="50" t="s">
        <v>50</v>
      </c>
      <c r="B2365" s="68" t="str">
        <f>VLOOKUP(A2365,'Componentes APUs'!$H$1:$L$25,2,0)</f>
        <v>Profesional en SST</v>
      </c>
      <c r="C2365" s="93">
        <v>0.25</v>
      </c>
      <c r="D2365" s="50">
        <f>VLOOKUP(A2365,'Componentes APUs'!$H$1:$L$25,3,0)</f>
        <v>2.5</v>
      </c>
      <c r="E2365" s="51">
        <f>VLOOKUP(A2365,'Componentes APUs'!$H$1:$L$25,4,0)</f>
        <v>169464.28571428571</v>
      </c>
      <c r="F2365" s="51">
        <f>VLOOKUP(A2365,'Componentes APUs'!$H$1:$L$25,5,0)</f>
        <v>101678.57142857142</v>
      </c>
      <c r="G2365" s="51">
        <f>ROUNDUP((E2365+F2365)*C2365/E2351,0)</f>
        <v>9684</v>
      </c>
    </row>
    <row r="2366" spans="1:9" x14ac:dyDescent="0.25">
      <c r="A2366" s="50" t="s">
        <v>1109</v>
      </c>
      <c r="B2366" s="68" t="str">
        <f>VLOOKUP(A2366,'Componentes APUs'!$H$1:$L$25,2,0)</f>
        <v>Ayudante de Obra Civil</v>
      </c>
      <c r="C2366" s="93">
        <v>2</v>
      </c>
      <c r="D2366" s="50">
        <f>VLOOKUP(A2366,'Componentes APUs'!$H$1:$L$25,3,0)</f>
        <v>1</v>
      </c>
      <c r="E2366" s="51">
        <f>VLOOKUP(A2366,'Componentes APUs'!$H$1:$L$25,4,0)</f>
        <v>77309.523809523816</v>
      </c>
      <c r="F2366" s="51">
        <f>VLOOKUP(A2366,'Componentes APUs'!$H$1:$L$25,5,0)</f>
        <v>46385.71428571429</v>
      </c>
      <c r="G2366" s="51">
        <f>ROUNDUP((E2366+F2366)*C2366/E2351,0)</f>
        <v>35342</v>
      </c>
    </row>
    <row r="2367" spans="1:9" x14ac:dyDescent="0.25">
      <c r="A2367" s="219" t="s">
        <v>56</v>
      </c>
      <c r="B2367" s="219"/>
      <c r="C2367" s="219"/>
      <c r="D2367" s="219"/>
      <c r="E2367" s="219"/>
      <c r="F2367" s="219"/>
      <c r="G2367" s="52">
        <f>SUM(G2361:G2366)</f>
        <v>87027</v>
      </c>
    </row>
    <row r="2368" spans="1:9" x14ac:dyDescent="0.25">
      <c r="A2368" s="56"/>
      <c r="B2368" s="57"/>
      <c r="C2368" s="57"/>
      <c r="D2368" s="57"/>
      <c r="E2368" s="57"/>
      <c r="F2368" s="57"/>
      <c r="G2368" s="58"/>
    </row>
    <row r="2369" spans="1:9" x14ac:dyDescent="0.25">
      <c r="A2369" s="219" t="s">
        <v>57</v>
      </c>
      <c r="B2369" s="219"/>
      <c r="C2369" s="219"/>
      <c r="D2369" s="219"/>
      <c r="E2369" s="219"/>
      <c r="F2369" s="219"/>
      <c r="G2369" s="219"/>
    </row>
    <row r="2370" spans="1:9" x14ac:dyDescent="0.25">
      <c r="A2370" s="49" t="s">
        <v>35</v>
      </c>
      <c r="B2370" s="219" t="s">
        <v>36</v>
      </c>
      <c r="C2370" s="219"/>
      <c r="D2370" s="49" t="s">
        <v>37</v>
      </c>
      <c r="E2370" s="49" t="s">
        <v>38</v>
      </c>
      <c r="F2370" s="49" t="s">
        <v>39</v>
      </c>
      <c r="G2370" s="49" t="s">
        <v>40</v>
      </c>
    </row>
    <row r="2371" spans="1:9" x14ac:dyDescent="0.25">
      <c r="A2371" s="50" t="s">
        <v>326</v>
      </c>
      <c r="B2371" s="220" t="str">
        <f>VLOOKUP(A2371,'Componentes APUs'!$S$1:$V$10,2,0)</f>
        <v>Juego Llaves</v>
      </c>
      <c r="C2371" s="220"/>
      <c r="D2371" s="50" t="s">
        <v>18</v>
      </c>
      <c r="E2371" s="50">
        <v>0</v>
      </c>
      <c r="F2371" s="51">
        <f>VLOOKUP(A2371,'Componentes APUs'!$S$1:$V$10,4,0)</f>
        <v>9167</v>
      </c>
      <c r="G2371" s="51">
        <f>ROUNDUP(F2371*((E2371/21)/E2351),0)</f>
        <v>0</v>
      </c>
      <c r="I2371" s="91"/>
    </row>
    <row r="2372" spans="1:9" x14ac:dyDescent="0.25">
      <c r="A2372" s="50" t="s">
        <v>58</v>
      </c>
      <c r="B2372" s="220" t="str">
        <f>VLOOKUP(A2372,'Componentes APUs'!$S$1:$V$10,2,0)</f>
        <v>Manila de servicio</v>
      </c>
      <c r="C2372" s="220"/>
      <c r="D2372" s="50" t="s">
        <v>18</v>
      </c>
      <c r="E2372" s="50">
        <v>0</v>
      </c>
      <c r="F2372" s="51">
        <f>VLOOKUP(A2372,'Componentes APUs'!$S$1:$V$10,4,0)</f>
        <v>2333</v>
      </c>
      <c r="G2372" s="51">
        <f>ROUNDUP(F2372*((E2372/21)/E2351),0)</f>
        <v>0</v>
      </c>
    </row>
    <row r="2373" spans="1:9" x14ac:dyDescent="0.25">
      <c r="A2373" s="50" t="s">
        <v>327</v>
      </c>
      <c r="B2373" s="220" t="str">
        <f>VLOOKUP(A2373,'Componentes APUs'!$S$1:$V$10,2,0)</f>
        <v>Tula portaherramientas</v>
      </c>
      <c r="C2373" s="220"/>
      <c r="D2373" s="50" t="s">
        <v>18</v>
      </c>
      <c r="E2373" s="50">
        <v>0</v>
      </c>
      <c r="F2373" s="51">
        <f>VLOOKUP(A2373,'Componentes APUs'!$S$1:$V$10,4,0)</f>
        <v>1250</v>
      </c>
      <c r="G2373" s="51">
        <f>ROUNDUP(F2373*((E2373/21)/E2351),0)</f>
        <v>0</v>
      </c>
    </row>
    <row r="2374" spans="1:9" x14ac:dyDescent="0.25">
      <c r="A2374" s="50" t="s">
        <v>60</v>
      </c>
      <c r="B2374" s="220" t="str">
        <f>VLOOKUP(A2374,'Componentes APUs'!$S$1:$V$10,2,0)</f>
        <v>Agarradoras</v>
      </c>
      <c r="C2374" s="220"/>
      <c r="D2374" s="50" t="s">
        <v>18</v>
      </c>
      <c r="E2374" s="50">
        <v>0</v>
      </c>
      <c r="F2374" s="51">
        <f>VLOOKUP(A2374,'Componentes APUs'!$S$1:$V$10,4,0)</f>
        <v>125000</v>
      </c>
      <c r="G2374" s="51">
        <f>ROUNDUP(F2374*((E2374/21)/E2351),0)</f>
        <v>0</v>
      </c>
    </row>
    <row r="2375" spans="1:9" x14ac:dyDescent="0.25">
      <c r="A2375" s="50" t="s">
        <v>62</v>
      </c>
      <c r="B2375" s="220" t="str">
        <f>VLOOKUP(A2375,'Componentes APUs'!$S$1:$V$10,2,0)</f>
        <v>Templadoras</v>
      </c>
      <c r="C2375" s="220"/>
      <c r="D2375" s="50" t="s">
        <v>18</v>
      </c>
      <c r="E2375" s="50">
        <v>0</v>
      </c>
      <c r="F2375" s="51">
        <f>VLOOKUP(A2375,'Componentes APUs'!$S$1:$V$10,4,0)</f>
        <v>250000</v>
      </c>
      <c r="G2375" s="51">
        <f>ROUNDUP(F2375*((E2375/21)/E2351),0)</f>
        <v>0</v>
      </c>
    </row>
    <row r="2376" spans="1:9" x14ac:dyDescent="0.25">
      <c r="A2376" s="50" t="s">
        <v>328</v>
      </c>
      <c r="B2376" s="220" t="str">
        <f>VLOOKUP(A2376,'Componentes APUs'!$S$1:$V$10,2,0)</f>
        <v>Herramienta Menor</v>
      </c>
      <c r="C2376" s="220"/>
      <c r="D2376" s="50" t="s">
        <v>18</v>
      </c>
      <c r="E2376" s="50">
        <v>2</v>
      </c>
      <c r="F2376" s="51">
        <f>VLOOKUP(A2376,'Componentes APUs'!$S$1:$V$10,4,0)</f>
        <v>75758</v>
      </c>
      <c r="G2376" s="51">
        <f>ROUNDUP(F2376*((E2376/21)/E2351),0)</f>
        <v>1031</v>
      </c>
    </row>
    <row r="2377" spans="1:9" x14ac:dyDescent="0.25">
      <c r="A2377" s="219" t="s">
        <v>69</v>
      </c>
      <c r="B2377" s="219"/>
      <c r="C2377" s="219"/>
      <c r="D2377" s="219"/>
      <c r="E2377" s="219"/>
      <c r="F2377" s="219"/>
      <c r="G2377" s="52">
        <f>SUM(G2371:G2376)</f>
        <v>1031</v>
      </c>
    </row>
    <row r="2378" spans="1:9" x14ac:dyDescent="0.25">
      <c r="A2378" s="56"/>
      <c r="B2378" s="57"/>
      <c r="C2378" s="57"/>
      <c r="D2378" s="57"/>
      <c r="E2378" s="57"/>
      <c r="F2378" s="57"/>
      <c r="G2378" s="58"/>
    </row>
    <row r="2379" spans="1:9" x14ac:dyDescent="0.25">
      <c r="A2379" s="219" t="s">
        <v>70</v>
      </c>
      <c r="B2379" s="219"/>
      <c r="C2379" s="219"/>
      <c r="D2379" s="219"/>
      <c r="E2379" s="219"/>
      <c r="F2379" s="219"/>
      <c r="G2379" s="219"/>
    </row>
    <row r="2380" spans="1:9" x14ac:dyDescent="0.25">
      <c r="A2380" s="49" t="s">
        <v>35</v>
      </c>
      <c r="B2380" s="219" t="s">
        <v>36</v>
      </c>
      <c r="C2380" s="219"/>
      <c r="D2380" s="49" t="s">
        <v>37</v>
      </c>
      <c r="E2380" s="49" t="s">
        <v>38</v>
      </c>
      <c r="F2380" s="49" t="s">
        <v>39</v>
      </c>
      <c r="G2380" s="49" t="s">
        <v>40</v>
      </c>
    </row>
    <row r="2381" spans="1:9" x14ac:dyDescent="0.25">
      <c r="A2381" s="50" t="s">
        <v>71</v>
      </c>
      <c r="B2381" s="71" t="str">
        <f>VLOOKUP(A2381,'Componentes APUs'!$A$1:$D$14,2,0)</f>
        <v>Camisa indigo sin partes metalicas</v>
      </c>
      <c r="C2381" s="71"/>
      <c r="D2381" s="50" t="str">
        <f>VLOOKUP(A2381,'Componentes APUs'!$A$1:$D$14,3,0)</f>
        <v>U</v>
      </c>
      <c r="E2381" s="50">
        <f>SUM(C2361:C2366)</f>
        <v>3.5</v>
      </c>
      <c r="F2381" s="51">
        <f>VLOOKUP(A2381,'Componentes APUs'!$A$1:$D$14,4,0)</f>
        <v>8585.8585858585866</v>
      </c>
      <c r="G2381" s="51">
        <f>ROUNDUP(F2381*(E2381/21)/E2351,0)</f>
        <v>205</v>
      </c>
      <c r="I2381" s="91"/>
    </row>
    <row r="2382" spans="1:9" x14ac:dyDescent="0.25">
      <c r="A2382" s="69" t="s">
        <v>73</v>
      </c>
      <c r="B2382" s="72" t="str">
        <f>VLOOKUP(A2382,'Componentes APUs'!$A$1:$D$14,2,0)</f>
        <v>Bota de seguridad dielectrica</v>
      </c>
      <c r="C2382" s="73"/>
      <c r="D2382" s="70" t="str">
        <f>VLOOKUP(A2382,'Componentes APUs'!$A$1:$D$14,3,0)</f>
        <v>Par</v>
      </c>
      <c r="E2382" s="50">
        <f>SUM(C2361:C2366)</f>
        <v>3.5</v>
      </c>
      <c r="F2382" s="51">
        <f>VLOOKUP(A2382,'Componentes APUs'!$A$1:$D$14,4,0)</f>
        <v>7500</v>
      </c>
      <c r="G2382" s="51">
        <f>ROUNDUP(F2382*(E2382/21)/E2351,0)</f>
        <v>179</v>
      </c>
    </row>
    <row r="2383" spans="1:9" x14ac:dyDescent="0.25">
      <c r="A2383" s="50" t="s">
        <v>76</v>
      </c>
      <c r="B2383" s="72" t="str">
        <f>VLOOKUP(A2383,'Componentes APUs'!$A$1:$D$14,2,0)</f>
        <v>Casco dielectrico Tipo 1 Clase E con barbuquejo</v>
      </c>
      <c r="C2383" s="73"/>
      <c r="D2383" s="50" t="str">
        <f>VLOOKUP(A2383,'Componentes APUs'!$A$1:$D$14,3,0)</f>
        <v>U</v>
      </c>
      <c r="E2383" s="50">
        <f>C2361+C2362+C2364+C2365+C2366+IF(A2363&lt;&gt;"MO-3",C2363,0)</f>
        <v>3.5</v>
      </c>
      <c r="F2383" s="51">
        <f>VLOOKUP(A2383,'Componentes APUs'!$A$1:$D$14,4,0)</f>
        <v>10101.010101010101</v>
      </c>
      <c r="G2383" s="51">
        <f>ROUNDUP(F2383*(E2383/21)/E2351,0)</f>
        <v>241</v>
      </c>
    </row>
    <row r="2384" spans="1:9" x14ac:dyDescent="0.25">
      <c r="A2384" s="69" t="s">
        <v>77</v>
      </c>
      <c r="B2384" s="72" t="str">
        <f>VLOOKUP(A2384,'Componentes APUs'!$A$1:$D$14,2,0)</f>
        <v>Correa plastica y antiflama</v>
      </c>
      <c r="C2384" s="73"/>
      <c r="D2384" s="50" t="str">
        <f>VLOOKUP(A2384,'Componentes APUs'!$A$1:$D$14,3,0)</f>
        <v>U</v>
      </c>
      <c r="E2384" s="50">
        <f>SUM(C2361:C2366)</f>
        <v>3.5</v>
      </c>
      <c r="F2384" s="51">
        <f>VLOOKUP(A2384,'Componentes APUs'!$A$1:$D$14,4,0)</f>
        <v>3787.878787878788</v>
      </c>
      <c r="G2384" s="51">
        <f>ROUNDUP(F2384*(E2384/21)/E2351,0)</f>
        <v>91</v>
      </c>
    </row>
    <row r="2385" spans="1:7" x14ac:dyDescent="0.25">
      <c r="A2385" s="50" t="s">
        <v>79</v>
      </c>
      <c r="B2385" s="72" t="str">
        <f>VLOOKUP(A2385,'Componentes APUs'!$A$1:$D$14,2,0)</f>
        <v>Gafas protectoras filtro UV</v>
      </c>
      <c r="C2385" s="73"/>
      <c r="D2385" s="50" t="str">
        <f>VLOOKUP(A2385,'Componentes APUs'!$A$1:$D$14,3,0)</f>
        <v>U</v>
      </c>
      <c r="E2385" s="50">
        <f>SUM(C2361:C2366)</f>
        <v>3.5</v>
      </c>
      <c r="F2385" s="51">
        <f>VLOOKUP(A2385,'Componentes APUs'!$A$1:$D$14,4,0)</f>
        <v>2777.7777777777778</v>
      </c>
      <c r="G2385" s="51">
        <f>ROUNDUP(F2385*(E2385/21)/E2351,0)</f>
        <v>67</v>
      </c>
    </row>
    <row r="2386" spans="1:7" x14ac:dyDescent="0.25">
      <c r="A2386" s="69" t="s">
        <v>402</v>
      </c>
      <c r="B2386" s="72" t="str">
        <f>VLOOKUP(A2386,'Componentes APUs'!$A$1:$D$14,2,0)</f>
        <v>Bota de seguridad PVC dielectrica</v>
      </c>
      <c r="C2386" s="73"/>
      <c r="D2386" s="50" t="str">
        <f>VLOOKUP(A2386,'Componentes APUs'!$A$1:$D$14,3,0)</f>
        <v>Par</v>
      </c>
      <c r="E2386" s="50">
        <f>SUM(C2361:C2366)</f>
        <v>3.5</v>
      </c>
      <c r="F2386" s="51">
        <f>VLOOKUP(A2386,'Componentes APUs'!$A$1:$D$14,4,0)</f>
        <v>2916.6666666666665</v>
      </c>
      <c r="G2386" s="51">
        <f>ROUNDUP(F2386*(E2386/21)/E2351,0)</f>
        <v>70</v>
      </c>
    </row>
    <row r="2387" spans="1:7" x14ac:dyDescent="0.25">
      <c r="A2387" s="50" t="s">
        <v>403</v>
      </c>
      <c r="B2387" s="72" t="str">
        <f>VLOOKUP(A2387,'Componentes APUs'!$A$1:$D$14,2,0)</f>
        <v>Capuchon</v>
      </c>
      <c r="C2387" s="73"/>
      <c r="D2387" s="50" t="str">
        <f>VLOOKUP(A2387,'Componentes APUs'!$A$1:$D$14,3,0)</f>
        <v>U</v>
      </c>
      <c r="E2387" s="50">
        <f>SUM(C2361:C2366)</f>
        <v>3.5</v>
      </c>
      <c r="F2387" s="51">
        <f>VLOOKUP(A2387,'Componentes APUs'!$A$1:$D$14,4,0)</f>
        <v>2525.2525252525252</v>
      </c>
      <c r="G2387" s="51">
        <f>ROUNDUP(F2387*(E2387/21)/E2351,0)</f>
        <v>61</v>
      </c>
    </row>
    <row r="2388" spans="1:7" x14ac:dyDescent="0.25">
      <c r="A2388" s="69" t="s">
        <v>81</v>
      </c>
      <c r="B2388" s="72" t="str">
        <f>VLOOKUP(A2388,'Componentes APUs'!$A$1:$D$14,2,0)</f>
        <v>Guantes Protectores  - ingeniero reforzados</v>
      </c>
      <c r="C2388" s="73"/>
      <c r="D2388" s="50" t="str">
        <f>VLOOKUP(A2388,'Componentes APUs'!$A$1:$D$14,3,0)</f>
        <v>Par</v>
      </c>
      <c r="E2388" s="50">
        <f>C2363+C2364+C2366</f>
        <v>3</v>
      </c>
      <c r="F2388" s="51">
        <f>VLOOKUP(A2388,'Componentes APUs'!$A$1:$D$14,4,0)</f>
        <v>2525.2525252525252</v>
      </c>
      <c r="G2388" s="51">
        <f>ROUNDUP(F2388*(E2388/21)/E2351,0)</f>
        <v>52</v>
      </c>
    </row>
    <row r="2389" spans="1:7" x14ac:dyDescent="0.25">
      <c r="A2389" s="50" t="s">
        <v>83</v>
      </c>
      <c r="B2389" s="72" t="str">
        <f>VLOOKUP(A2389,'Componentes APUs'!$A$1:$D$14,2,0)</f>
        <v>Impermeable (pantalon camisa)</v>
      </c>
      <c r="C2389" s="73"/>
      <c r="D2389" s="50" t="str">
        <f>VLOOKUP(A2389,'Componentes APUs'!$A$1:$D$14,3,0)</f>
        <v>U</v>
      </c>
      <c r="E2389" s="50">
        <f>SUM(C2361:C2366)</f>
        <v>3.5</v>
      </c>
      <c r="F2389" s="51">
        <f>VLOOKUP(A2389,'Componentes APUs'!$A$1:$D$14,4,0)</f>
        <v>3750</v>
      </c>
      <c r="G2389" s="51">
        <f>ROUNDUP(F2389*(E2389/21)/E2351,0)</f>
        <v>90</v>
      </c>
    </row>
    <row r="2390" spans="1:7" x14ac:dyDescent="0.25">
      <c r="A2390" s="69" t="s">
        <v>85</v>
      </c>
      <c r="B2390" s="72" t="str">
        <f>VLOOKUP(A2390,'Componentes APUs'!$A$1:$D$14,2,0)</f>
        <v>Jean Dielectrico</v>
      </c>
      <c r="C2390" s="73"/>
      <c r="D2390" s="50" t="str">
        <f>VLOOKUP(A2390,'Componentes APUs'!$A$1:$D$14,3,0)</f>
        <v>U</v>
      </c>
      <c r="E2390" s="50">
        <f>SUM(C2361:C2366)</f>
        <v>3.5</v>
      </c>
      <c r="F2390" s="51">
        <f>VLOOKUP(A2390,'Componentes APUs'!$A$1:$D$14,4,0)</f>
        <v>7575.757575757576</v>
      </c>
      <c r="G2390" s="51">
        <f>ROUNDUP(F2390*(E2390/21)/E2351,0)</f>
        <v>181</v>
      </c>
    </row>
    <row r="2391" spans="1:7" x14ac:dyDescent="0.25">
      <c r="A2391" s="50" t="s">
        <v>87</v>
      </c>
      <c r="B2391" s="72" t="str">
        <f>VLOOKUP(A2391,'Componentes APUs'!$A$1:$D$14,2,0)</f>
        <v>Casco dielectrico Tipo 2 Clase E con barboquejo</v>
      </c>
      <c r="C2391" s="73"/>
      <c r="D2391" s="50" t="str">
        <f>VLOOKUP(A2391,'Componentes APUs'!$A$1:$D$14,3,0)</f>
        <v>U</v>
      </c>
      <c r="E2391" s="53">
        <f>IF(A2363="MO-3",C2363,0)</f>
        <v>0</v>
      </c>
      <c r="F2391" s="51">
        <f>VLOOKUP(A2391,'Componentes APUs'!$A$1:$D$14,4,0)</f>
        <v>7500</v>
      </c>
      <c r="G2391" s="51">
        <f>ROUNDUP(F2391*(E2391/21)/E2351,0)</f>
        <v>0</v>
      </c>
    </row>
    <row r="2392" spans="1:7" x14ac:dyDescent="0.25">
      <c r="A2392" s="69" t="s">
        <v>89</v>
      </c>
      <c r="B2392" s="72" t="str">
        <f>VLOOKUP(A2392,'Componentes APUs'!$A$1:$D$14,2,0)</f>
        <v>Kit de rescate para trabajo en alturas</v>
      </c>
      <c r="C2392" s="73"/>
      <c r="D2392" s="50" t="str">
        <f>VLOOKUP(A2392,'Componentes APUs'!$A$1:$D$14,3,0)</f>
        <v>U</v>
      </c>
      <c r="E2392" s="50">
        <f>IF(AND(A2363="MO-3",C2363=2),1,0)</f>
        <v>0</v>
      </c>
      <c r="F2392" s="51">
        <f>VLOOKUP(A2392,'Componentes APUs'!$A$1:$D$14,4,0)</f>
        <v>37500</v>
      </c>
      <c r="G2392" s="51">
        <f>ROUNDUP(F2392*(E2392/21)/E2351,0)</f>
        <v>0</v>
      </c>
    </row>
    <row r="2393" spans="1:7" x14ac:dyDescent="0.25">
      <c r="A2393" s="50" t="s">
        <v>91</v>
      </c>
      <c r="B2393" s="72" t="str">
        <f>VLOOKUP(A2393,'Componentes APUs'!$A$1:$D$14,2,0)</f>
        <v>Equipo completo para trabajo en alturas con pretales (Arnes dielectrico, 1 mosqueton de seguridad, tie off dielectrico, eslinga de posicionamiento, juego de pretales)</v>
      </c>
      <c r="C2393" s="73"/>
      <c r="D2393" s="50" t="str">
        <f>VLOOKUP(A2393,'Componentes APUs'!$A$1:$D$14,3,0)</f>
        <v>U</v>
      </c>
      <c r="E2393" s="50">
        <f>IF(A2363="MO-3",C2363,0)</f>
        <v>0</v>
      </c>
      <c r="F2393" s="51">
        <f>VLOOKUP(A2393,'Componentes APUs'!$A$1:$D$14,4,0)</f>
        <v>26041.666666666668</v>
      </c>
      <c r="G2393" s="51">
        <f>ROUNDUP(F2393*(E2393/21)/E2351,0)</f>
        <v>0</v>
      </c>
    </row>
    <row r="2394" spans="1:7" x14ac:dyDescent="0.25">
      <c r="A2394" s="219" t="s">
        <v>95</v>
      </c>
      <c r="B2394" s="219"/>
      <c r="C2394" s="219"/>
      <c r="D2394" s="219"/>
      <c r="E2394" s="219"/>
      <c r="F2394" s="219"/>
      <c r="G2394" s="52">
        <f>SUM(G2381:G2393)</f>
        <v>1237</v>
      </c>
    </row>
    <row r="2395" spans="1:7" x14ac:dyDescent="0.25">
      <c r="A2395" s="56"/>
      <c r="B2395" s="57"/>
      <c r="C2395" s="57"/>
      <c r="D2395" s="57"/>
      <c r="E2395" s="57"/>
      <c r="F2395" s="57"/>
      <c r="G2395" s="58"/>
    </row>
    <row r="2396" spans="1:7" x14ac:dyDescent="0.25">
      <c r="A2396" s="219" t="s">
        <v>96</v>
      </c>
      <c r="B2396" s="219"/>
      <c r="C2396" s="219"/>
      <c r="D2396" s="219"/>
      <c r="E2396" s="219"/>
      <c r="F2396" s="219"/>
      <c r="G2396" s="219"/>
    </row>
    <row r="2397" spans="1:7" x14ac:dyDescent="0.25">
      <c r="A2397" s="49" t="s">
        <v>35</v>
      </c>
      <c r="B2397" s="225" t="s">
        <v>36</v>
      </c>
      <c r="C2397" s="225"/>
      <c r="D2397" s="49" t="s">
        <v>37</v>
      </c>
      <c r="E2397" s="49" t="s">
        <v>38</v>
      </c>
      <c r="F2397" s="49" t="s">
        <v>39</v>
      </c>
      <c r="G2397" s="49" t="s">
        <v>40</v>
      </c>
    </row>
    <row r="2398" spans="1:7" x14ac:dyDescent="0.25">
      <c r="A2398" s="69" t="s">
        <v>97</v>
      </c>
      <c r="B2398" s="72" t="str">
        <f>VLOOKUP(A2398,'Componentes APUs'!$N$1:$Q$30,2,0)</f>
        <v>Camioneta</v>
      </c>
      <c r="C2398" s="73"/>
      <c r="D2398" s="70" t="str">
        <f>VLOOKUP(A2398,'Componentes APUs'!$N$1:$Q$30,3,0)</f>
        <v>U</v>
      </c>
      <c r="E2398" s="50">
        <v>1</v>
      </c>
      <c r="F2398" s="51">
        <f>VLOOKUP(A2398,'Componentes APUs'!$N$1:$Q$30,4,0)</f>
        <v>5500000</v>
      </c>
      <c r="G2398" s="51">
        <f>IFERROR(ROUNDUP(F2398*(E2398/21)/E2351,0),"-")</f>
        <v>37415</v>
      </c>
    </row>
    <row r="2399" spans="1:7" x14ac:dyDescent="0.25">
      <c r="A2399" s="50" t="s">
        <v>321</v>
      </c>
      <c r="B2399" s="72" t="str">
        <f>VLOOKUP(A2399,'Componentes APUs'!$N$1:$Q$30,2,0)</f>
        <v>Grúa Hidráulica</v>
      </c>
      <c r="C2399" s="73"/>
      <c r="D2399" s="70" t="str">
        <f>VLOOKUP(A2399,'Componentes APUs'!$N$1:$Q$30,3,0)</f>
        <v>U</v>
      </c>
      <c r="E2399" s="50">
        <v>0</v>
      </c>
      <c r="F2399" s="51">
        <f>VLOOKUP(A2399,'Componentes APUs'!$N$1:$Q$30,4,0)</f>
        <v>21000000</v>
      </c>
      <c r="G2399" s="51">
        <f>IFERROR(ROUNDUP(F2399*(E2399/21)/E2351,0),"-")</f>
        <v>0</v>
      </c>
    </row>
    <row r="2400" spans="1:7" x14ac:dyDescent="0.25">
      <c r="A2400" s="69" t="s">
        <v>1379</v>
      </c>
      <c r="B2400" s="72" t="str">
        <f>VLOOKUP(A2400,'Componentes APUs'!$N$1:$Q$30,2,0)</f>
        <v>Dumper de descarga Frontal 2T</v>
      </c>
      <c r="C2400" s="73"/>
      <c r="D2400" s="70" t="str">
        <f>VLOOKUP(A2400,'Componentes APUs'!$N$1:$Q$30,3,0)</f>
        <v>U</v>
      </c>
      <c r="E2400" s="50">
        <v>0</v>
      </c>
      <c r="F2400" s="51">
        <f>VLOOKUP(A2400,'Componentes APUs'!$N$1:$Q$30,4,0)</f>
        <v>4438716.24</v>
      </c>
      <c r="G2400" s="51">
        <f>IFERROR(ROUNDUP(F2400*(E2400/21)/E2351,0),"-")</f>
        <v>0</v>
      </c>
    </row>
    <row r="2401" spans="1:7" x14ac:dyDescent="0.25">
      <c r="A2401" s="50" t="s">
        <v>323</v>
      </c>
      <c r="B2401" s="72" t="str">
        <f>VLOOKUP(A2401,'Componentes APUs'!$N$1:$Q$30,2,0)</f>
        <v>Volqueta</v>
      </c>
      <c r="C2401" s="73"/>
      <c r="D2401" s="70" t="str">
        <f>VLOOKUP(A2401,'Componentes APUs'!$N$1:$Q$30,3,0)</f>
        <v>U</v>
      </c>
      <c r="E2401" s="50">
        <v>0</v>
      </c>
      <c r="F2401" s="51">
        <f>VLOOKUP(A2401,'Componentes APUs'!$N$1:$Q$30,4,0)</f>
        <v>14828184</v>
      </c>
      <c r="G2401" s="51">
        <f>IFERROR(ROUNDUP(F2401*(E2401/21)/E2351,0),"-")</f>
        <v>0</v>
      </c>
    </row>
    <row r="2402" spans="1:7" x14ac:dyDescent="0.25">
      <c r="A2402" s="69" t="s">
        <v>324</v>
      </c>
      <c r="B2402" s="72" t="str">
        <f>VLOOKUP(A2402,'Componentes APUs'!$N$1:$Q$30,2,0)</f>
        <v>Retroexcavadora</v>
      </c>
      <c r="C2402" s="73"/>
      <c r="D2402" s="70" t="str">
        <f>VLOOKUP(A2402,'Componentes APUs'!$N$1:$Q$30,3,0)</f>
        <v>U</v>
      </c>
      <c r="E2402" s="50">
        <v>0</v>
      </c>
      <c r="F2402" s="51">
        <f>VLOOKUP(A2402,'Componentes APUs'!$N$1:$Q$30,4,0)</f>
        <v>46030656</v>
      </c>
      <c r="G2402" s="51">
        <f>IFERROR(ROUNDUP(F2402*(E2402/21)/E2351,0),"-")</f>
        <v>0</v>
      </c>
    </row>
    <row r="2403" spans="1:7" x14ac:dyDescent="0.25">
      <c r="A2403" s="219" t="s">
        <v>99</v>
      </c>
      <c r="B2403" s="219"/>
      <c r="C2403" s="219"/>
      <c r="D2403" s="219"/>
      <c r="E2403" s="219"/>
      <c r="F2403" s="219"/>
      <c r="G2403" s="52">
        <f>SUM(G2398:G2402)</f>
        <v>37415</v>
      </c>
    </row>
    <row r="2404" spans="1:7" x14ac:dyDescent="0.25">
      <c r="A2404" s="56"/>
      <c r="B2404" s="57"/>
      <c r="C2404" s="57"/>
      <c r="D2404" s="57"/>
      <c r="E2404" s="57"/>
      <c r="F2404" s="57"/>
      <c r="G2404" s="58"/>
    </row>
    <row r="2405" spans="1:7" x14ac:dyDescent="0.25">
      <c r="A2405" s="219" t="s">
        <v>1516</v>
      </c>
      <c r="B2405" s="219"/>
      <c r="C2405" s="219"/>
      <c r="D2405" s="219"/>
      <c r="E2405" s="219"/>
      <c r="F2405" s="219"/>
      <c r="G2405" s="52">
        <f>G2403+G2394+G2377+G2367+G2357</f>
        <v>200006</v>
      </c>
    </row>
    <row r="2406" spans="1:7" x14ac:dyDescent="0.25">
      <c r="A2406" s="59"/>
      <c r="B2406" s="60"/>
      <c r="C2406" s="60"/>
      <c r="D2406" s="60"/>
      <c r="E2406" s="57"/>
      <c r="F2406" s="57"/>
      <c r="G2406" s="58"/>
    </row>
    <row r="2407" spans="1:7" x14ac:dyDescent="0.25">
      <c r="A2407" s="64"/>
      <c r="D2407" s="55"/>
      <c r="E2407" s="49" t="s">
        <v>25</v>
      </c>
      <c r="F2407" s="54">
        <v>0.15</v>
      </c>
      <c r="G2407" s="51">
        <f>G2405*F2407</f>
        <v>30000.899999999998</v>
      </c>
    </row>
    <row r="2408" spans="1:7" x14ac:dyDescent="0.25">
      <c r="A2408" s="64"/>
      <c r="D2408" s="55"/>
      <c r="E2408" s="49" t="s">
        <v>26</v>
      </c>
      <c r="F2408" s="54">
        <v>0.05</v>
      </c>
      <c r="G2408" s="51">
        <f>G2405*F2408</f>
        <v>10000.300000000001</v>
      </c>
    </row>
    <row r="2409" spans="1:7" x14ac:dyDescent="0.25">
      <c r="A2409" s="61"/>
      <c r="B2409" s="65"/>
      <c r="C2409" s="65"/>
      <c r="D2409" s="62"/>
      <c r="E2409" s="49" t="s">
        <v>27</v>
      </c>
      <c r="F2409" s="54">
        <v>0.05</v>
      </c>
      <c r="G2409" s="51">
        <f>G2405*F2409</f>
        <v>10000.300000000001</v>
      </c>
    </row>
    <row r="2410" spans="1:7" x14ac:dyDescent="0.25">
      <c r="A2410" s="61"/>
      <c r="B2410" s="62"/>
      <c r="C2410" s="62"/>
      <c r="D2410" s="62"/>
      <c r="E2410" s="62"/>
      <c r="F2410" s="62"/>
      <c r="G2410" s="63"/>
    </row>
    <row r="2411" spans="1:7" x14ac:dyDescent="0.25">
      <c r="A2411" s="219" t="s">
        <v>1517</v>
      </c>
      <c r="B2411" s="219"/>
      <c r="C2411" s="219"/>
      <c r="D2411" s="219"/>
      <c r="E2411" s="219"/>
      <c r="F2411" s="219"/>
      <c r="G2411" s="52">
        <f>G2405+G2407+G2408+G2409</f>
        <v>250007.49999999997</v>
      </c>
    </row>
    <row r="2412" spans="1:7" x14ac:dyDescent="0.25">
      <c r="A2412" s="59"/>
      <c r="B2412" s="60"/>
      <c r="C2412" s="60"/>
      <c r="D2412" s="60"/>
      <c r="E2412" s="57"/>
      <c r="F2412" s="57"/>
      <c r="G2412" s="58"/>
    </row>
    <row r="2413" spans="1:7" x14ac:dyDescent="0.25">
      <c r="A2413" s="64"/>
      <c r="D2413" s="55"/>
      <c r="E2413" s="49" t="s">
        <v>102</v>
      </c>
      <c r="F2413" s="49" t="s">
        <v>103</v>
      </c>
      <c r="G2413" s="51">
        <f>G2409*19%</f>
        <v>1900.0570000000002</v>
      </c>
    </row>
    <row r="2414" spans="1:7" x14ac:dyDescent="0.25">
      <c r="A2414" s="61"/>
      <c r="B2414" s="62"/>
      <c r="C2414" s="62"/>
      <c r="D2414" s="62"/>
      <c r="E2414" s="57"/>
      <c r="F2414" s="57"/>
      <c r="G2414" s="58"/>
    </row>
    <row r="2415" spans="1:7" x14ac:dyDescent="0.25">
      <c r="A2415" s="219" t="s">
        <v>104</v>
      </c>
      <c r="B2415" s="219"/>
      <c r="C2415" s="219"/>
      <c r="D2415" s="219"/>
      <c r="E2415" s="219"/>
      <c r="F2415" s="219"/>
      <c r="G2415" s="52">
        <f>G2413+G2411</f>
        <v>251907.55699999997</v>
      </c>
    </row>
    <row r="2417" spans="1:10" x14ac:dyDescent="0.25">
      <c r="A2417" s="74" t="s">
        <v>29</v>
      </c>
      <c r="B2417" s="226" t="s">
        <v>30</v>
      </c>
      <c r="C2417" s="226"/>
      <c r="D2417" s="74" t="s">
        <v>31</v>
      </c>
      <c r="E2417" s="74" t="s">
        <v>32</v>
      </c>
      <c r="F2417" s="74" t="s">
        <v>189</v>
      </c>
      <c r="G2417" s="74" t="s">
        <v>33</v>
      </c>
      <c r="H2417" s="105"/>
    </row>
    <row r="2418" spans="1:10" ht="24.75" customHeight="1" x14ac:dyDescent="0.25">
      <c r="A2418" s="50" t="str">
        <f>Presupuesto!B49</f>
        <v>037_OC</v>
      </c>
      <c r="B2418" s="229" t="str">
        <f>Presupuesto!C49</f>
        <v xml:space="preserve">RELLENO Y COMPACTACIÓN 50CM DE ANCHO HASTA 1.5M PROFUNDIDAD. PARA INSTALACIÓN DE TUBERÍA Ø6". </v>
      </c>
      <c r="C2418" s="230"/>
      <c r="D2418" s="50" t="s">
        <v>114</v>
      </c>
      <c r="E2418" s="107">
        <v>17</v>
      </c>
      <c r="F2418" s="50"/>
      <c r="G2418" s="51">
        <f>G2482</f>
        <v>134688.41099999999</v>
      </c>
      <c r="H2418" s="45"/>
    </row>
    <row r="2419" spans="1:10" x14ac:dyDescent="0.25">
      <c r="A2419" s="219" t="s">
        <v>34</v>
      </c>
      <c r="B2419" s="219"/>
      <c r="C2419" s="219"/>
      <c r="D2419" s="219"/>
      <c r="E2419" s="219"/>
      <c r="F2419" s="219"/>
      <c r="G2419" s="219"/>
    </row>
    <row r="2420" spans="1:10" x14ac:dyDescent="0.25">
      <c r="A2420" s="49" t="s">
        <v>35</v>
      </c>
      <c r="B2420" s="219" t="s">
        <v>36</v>
      </c>
      <c r="C2420" s="219"/>
      <c r="D2420" s="49" t="s">
        <v>37</v>
      </c>
      <c r="E2420" s="49" t="s">
        <v>38</v>
      </c>
      <c r="F2420" s="49" t="s">
        <v>39</v>
      </c>
      <c r="G2420" s="49" t="s">
        <v>40</v>
      </c>
    </row>
    <row r="2421" spans="1:10" x14ac:dyDescent="0.25">
      <c r="A2421" s="50" t="str">
        <f>Material!A199</f>
        <v>MA-198</v>
      </c>
      <c r="B2421" s="72" t="str">
        <f>IFERROR(VLOOKUP(A2421,Material!$A:$H,2,0),"-")</f>
        <v>ARENA</v>
      </c>
      <c r="C2421" s="76"/>
      <c r="D2421" s="50" t="str">
        <f>IFERROR(VLOOKUP(A2421,Material!$A:$H,4,0),"-")</f>
        <v>M3</v>
      </c>
      <c r="E2421" s="107">
        <f>0.5</f>
        <v>0.5</v>
      </c>
      <c r="F2421" s="51">
        <f>IFERROR(VLOOKUP(A2421,Material!$A:$H,3,0),"-")</f>
        <v>60000</v>
      </c>
      <c r="G2421" s="51">
        <f t="shared" ref="G2421:G2423" si="30">IFERROR(ROUNDUP(F2421*E2421,0),"-")</f>
        <v>30000</v>
      </c>
      <c r="H2421" s="92"/>
      <c r="I2421" s="91"/>
      <c r="J2421" s="91"/>
    </row>
    <row r="2422" spans="1:10" x14ac:dyDescent="0.25">
      <c r="A2422" s="50" t="str">
        <f>Material!A479</f>
        <v>MA-478</v>
      </c>
      <c r="B2422" s="72" t="str">
        <f>IFERROR(VLOOKUP(A2422,Material!$A:$H,2,0),"-")</f>
        <v>AFIRMADO</v>
      </c>
      <c r="C2422" s="76"/>
      <c r="D2422" s="50" t="str">
        <f>IFERROR(VLOOKUP(A2422,Material!$A:$H,4,0),"-")</f>
        <v>M3</v>
      </c>
      <c r="E2422" s="107">
        <f>0.5</f>
        <v>0.5</v>
      </c>
      <c r="F2422" s="51">
        <f>IFERROR(VLOOKUP(A2422,Material!$A:$H,3,0),"-")</f>
        <v>65000</v>
      </c>
      <c r="G2422" s="51">
        <f t="shared" si="30"/>
        <v>32500</v>
      </c>
      <c r="H2422" s="92"/>
      <c r="I2422" s="91"/>
    </row>
    <row r="2423" spans="1:10" x14ac:dyDescent="0.25">
      <c r="A2423" s="50"/>
      <c r="B2423" s="72" t="str">
        <f>IFERROR(VLOOKUP(A2423,Material!$A:$H,2,0),"-")</f>
        <v>-</v>
      </c>
      <c r="C2423" s="76"/>
      <c r="D2423" s="50" t="str">
        <f>IFERROR(VLOOKUP(A2423,Material!$A:$H,4,0),"-")</f>
        <v>-</v>
      </c>
      <c r="E2423" s="107"/>
      <c r="F2423" s="51" t="str">
        <f>IFERROR(VLOOKUP(A2423,Material!$A:$H,3,0),"-")</f>
        <v>-</v>
      </c>
      <c r="G2423" s="51" t="str">
        <f t="shared" si="30"/>
        <v>-</v>
      </c>
      <c r="H2423" s="106"/>
      <c r="I2423" s="130"/>
    </row>
    <row r="2424" spans="1:10" x14ac:dyDescent="0.25">
      <c r="A2424" s="219" t="s">
        <v>41</v>
      </c>
      <c r="B2424" s="219"/>
      <c r="C2424" s="219"/>
      <c r="D2424" s="219"/>
      <c r="E2424" s="219"/>
      <c r="F2424" s="219"/>
      <c r="G2424" s="52">
        <f>SUM(G2421:G2423)</f>
        <v>62500</v>
      </c>
      <c r="I2424" s="129"/>
    </row>
    <row r="2425" spans="1:10" x14ac:dyDescent="0.25">
      <c r="A2425" s="56"/>
      <c r="B2425" s="57"/>
      <c r="C2425" s="57"/>
      <c r="D2425" s="57"/>
      <c r="E2425" s="57"/>
      <c r="F2425" s="57"/>
      <c r="G2425" s="58"/>
    </row>
    <row r="2426" spans="1:10" x14ac:dyDescent="0.25">
      <c r="A2426" s="219" t="s">
        <v>42</v>
      </c>
      <c r="B2426" s="219"/>
      <c r="C2426" s="219"/>
      <c r="D2426" s="219"/>
      <c r="E2426" s="219"/>
      <c r="F2426" s="219"/>
      <c r="G2426" s="219"/>
    </row>
    <row r="2427" spans="1:10" x14ac:dyDescent="0.25">
      <c r="A2427" s="49" t="s">
        <v>35</v>
      </c>
      <c r="B2427" s="49" t="s">
        <v>36</v>
      </c>
      <c r="C2427" s="49" t="s">
        <v>38</v>
      </c>
      <c r="D2427" s="49" t="s">
        <v>43</v>
      </c>
      <c r="E2427" s="49" t="s">
        <v>44</v>
      </c>
      <c r="F2427" s="49" t="s">
        <v>45</v>
      </c>
      <c r="G2427" s="49" t="s">
        <v>40</v>
      </c>
    </row>
    <row r="2428" spans="1:10" x14ac:dyDescent="0.25">
      <c r="A2428" s="50" t="s">
        <v>319</v>
      </c>
      <c r="B2428" s="68" t="str">
        <f>VLOOKUP(A2428,'Componentes APUs'!$H$1:$L$25,2,0)</f>
        <v>Ingeniero Residente de Obra</v>
      </c>
      <c r="C2428" s="93">
        <v>0</v>
      </c>
      <c r="D2428" s="50">
        <f>VLOOKUP(A2428,'Componentes APUs'!$H$1:$L$25,3,0)</f>
        <v>4</v>
      </c>
      <c r="E2428" s="51">
        <f>VLOOKUP(A2428,'Componentes APUs'!$H$1:$L$25,4,0)</f>
        <v>271142.85714285716</v>
      </c>
      <c r="F2428" s="51">
        <f>VLOOKUP(A2428,'Componentes APUs'!$H$1:$L$25,5,0)</f>
        <v>162685.71428571429</v>
      </c>
      <c r="G2428" s="51">
        <f>ROUNDUP((E2428+F2428)*C2428/E2418,0)</f>
        <v>0</v>
      </c>
      <c r="H2428" s="66"/>
    </row>
    <row r="2429" spans="1:10" x14ac:dyDescent="0.25">
      <c r="A2429" s="50" t="s">
        <v>320</v>
      </c>
      <c r="B2429" s="68" t="str">
        <f>VLOOKUP(A2429,'Componentes APUs'!$H$1:$L$25,2,0)</f>
        <v>Tecnico Supervisor</v>
      </c>
      <c r="C2429" s="93">
        <v>0</v>
      </c>
      <c r="D2429" s="50">
        <f>VLOOKUP(A2429,'Componentes APUs'!$H$1:$L$25,3,0)</f>
        <v>2.2999999999999998</v>
      </c>
      <c r="E2429" s="51">
        <f>VLOOKUP(A2429,'Componentes APUs'!$H$1:$L$25,4,0)</f>
        <v>155907.14285714284</v>
      </c>
      <c r="F2429" s="51">
        <f>VLOOKUP(A2429,'Componentes APUs'!$H$1:$L$25,5,0)</f>
        <v>93544.285714285696</v>
      </c>
      <c r="G2429" s="51">
        <f>ROUNDUP((E2429+F2429)*C2429/E2418,0)</f>
        <v>0</v>
      </c>
    </row>
    <row r="2430" spans="1:10" x14ac:dyDescent="0.25">
      <c r="A2430" s="50" t="s">
        <v>54</v>
      </c>
      <c r="B2430" s="68" t="str">
        <f>VLOOKUP(A2430,'Componentes APUs'!$H$1:$L$25,2,0)</f>
        <v>Maestro de obra civil</v>
      </c>
      <c r="C2430" s="93">
        <v>0</v>
      </c>
      <c r="D2430" s="50">
        <f>VLOOKUP(A2430,'Componentes APUs'!$H$1:$L$25,3,0)</f>
        <v>2.5</v>
      </c>
      <c r="E2430" s="51">
        <f>VLOOKUP(A2430,'Componentes APUs'!$H$1:$L$25,4,0)</f>
        <v>169464.28571428571</v>
      </c>
      <c r="F2430" s="51">
        <f>VLOOKUP(A2430,'Componentes APUs'!$H$1:$L$25,5,0)</f>
        <v>101678.57142857142</v>
      </c>
      <c r="G2430" s="51">
        <f>ROUNDUP((E2430+F2430)*C2430/E2418,0)</f>
        <v>0</v>
      </c>
    </row>
    <row r="2431" spans="1:10" x14ac:dyDescent="0.25">
      <c r="A2431" s="50" t="s">
        <v>1110</v>
      </c>
      <c r="B2431" s="68" t="str">
        <f>VLOOKUP(A2431,'Componentes APUs'!$H$1:$L$25,2,0)</f>
        <v>Oficial de Obra Civil</v>
      </c>
      <c r="C2431" s="93">
        <v>0.25</v>
      </c>
      <c r="D2431" s="50">
        <f>VLOOKUP(A2431,'Componentes APUs'!$H$1:$L$25,3,0)</f>
        <v>1.5</v>
      </c>
      <c r="E2431" s="51">
        <f>VLOOKUP(A2431,'Componentes APUs'!$H$1:$L$25,4,0)</f>
        <v>115964.28571428571</v>
      </c>
      <c r="F2431" s="51">
        <f>VLOOKUP(A2431,'Componentes APUs'!$H$1:$L$25,5,0)</f>
        <v>69578.57142857142</v>
      </c>
      <c r="G2431" s="51">
        <f>ROUNDUP((E2431+F2431)*C2431/E2418,0)</f>
        <v>2729</v>
      </c>
    </row>
    <row r="2432" spans="1:10" x14ac:dyDescent="0.25">
      <c r="A2432" s="50" t="s">
        <v>50</v>
      </c>
      <c r="B2432" s="68" t="str">
        <f>VLOOKUP(A2432,'Componentes APUs'!$H$1:$L$25,2,0)</f>
        <v>Profesional en SST</v>
      </c>
      <c r="C2432" s="93">
        <v>0.25</v>
      </c>
      <c r="D2432" s="50">
        <f>VLOOKUP(A2432,'Componentes APUs'!$H$1:$L$25,3,0)</f>
        <v>2.5</v>
      </c>
      <c r="E2432" s="51">
        <f>VLOOKUP(A2432,'Componentes APUs'!$H$1:$L$25,4,0)</f>
        <v>169464.28571428571</v>
      </c>
      <c r="F2432" s="51">
        <f>VLOOKUP(A2432,'Componentes APUs'!$H$1:$L$25,5,0)</f>
        <v>101678.57142857142</v>
      </c>
      <c r="G2432" s="51">
        <f>ROUNDUP((E2432+F2432)*C2432/E2418,0)</f>
        <v>3988</v>
      </c>
    </row>
    <row r="2433" spans="1:9" x14ac:dyDescent="0.25">
      <c r="A2433" s="50" t="s">
        <v>1109</v>
      </c>
      <c r="B2433" s="68" t="str">
        <f>VLOOKUP(A2433,'Componentes APUs'!$H$1:$L$25,2,0)</f>
        <v>Ayudante de Obra Civil</v>
      </c>
      <c r="C2433" s="93">
        <v>1</v>
      </c>
      <c r="D2433" s="50">
        <f>VLOOKUP(A2433,'Componentes APUs'!$H$1:$L$25,3,0)</f>
        <v>1</v>
      </c>
      <c r="E2433" s="51">
        <f>VLOOKUP(A2433,'Componentes APUs'!$H$1:$L$25,4,0)</f>
        <v>77309.523809523816</v>
      </c>
      <c r="F2433" s="51">
        <f>VLOOKUP(A2433,'Componentes APUs'!$H$1:$L$25,5,0)</f>
        <v>46385.71428571429</v>
      </c>
      <c r="G2433" s="51">
        <f>ROUNDUP((E2433+F2433)*C2433/E2418,0)</f>
        <v>7277</v>
      </c>
    </row>
    <row r="2434" spans="1:9" x14ac:dyDescent="0.25">
      <c r="A2434" s="219" t="s">
        <v>56</v>
      </c>
      <c r="B2434" s="219"/>
      <c r="C2434" s="219"/>
      <c r="D2434" s="219"/>
      <c r="E2434" s="219"/>
      <c r="F2434" s="219"/>
      <c r="G2434" s="52">
        <f>SUM(G2428:G2433)</f>
        <v>13994</v>
      </c>
      <c r="H2434" s="66"/>
    </row>
    <row r="2435" spans="1:9" x14ac:dyDescent="0.25">
      <c r="A2435" s="56"/>
      <c r="B2435" s="57"/>
      <c r="C2435" s="57"/>
      <c r="D2435" s="57"/>
      <c r="E2435" s="57"/>
      <c r="F2435" s="57"/>
      <c r="G2435" s="58"/>
    </row>
    <row r="2436" spans="1:9" x14ac:dyDescent="0.25">
      <c r="A2436" s="219" t="s">
        <v>57</v>
      </c>
      <c r="B2436" s="219"/>
      <c r="C2436" s="219"/>
      <c r="D2436" s="219"/>
      <c r="E2436" s="219"/>
      <c r="F2436" s="219"/>
      <c r="G2436" s="219"/>
    </row>
    <row r="2437" spans="1:9" x14ac:dyDescent="0.25">
      <c r="A2437" s="49" t="s">
        <v>35</v>
      </c>
      <c r="B2437" s="219" t="s">
        <v>36</v>
      </c>
      <c r="C2437" s="219"/>
      <c r="D2437" s="49" t="s">
        <v>37</v>
      </c>
      <c r="E2437" s="49" t="s">
        <v>38</v>
      </c>
      <c r="F2437" s="49" t="s">
        <v>39</v>
      </c>
      <c r="G2437" s="49" t="s">
        <v>40</v>
      </c>
    </row>
    <row r="2438" spans="1:9" x14ac:dyDescent="0.25">
      <c r="A2438" s="50" t="s">
        <v>326</v>
      </c>
      <c r="B2438" s="220" t="str">
        <f>VLOOKUP(A2438,'Componentes APUs'!$S$1:$V$10,2,0)</f>
        <v>Juego Llaves</v>
      </c>
      <c r="C2438" s="220"/>
      <c r="D2438" s="50" t="s">
        <v>18</v>
      </c>
      <c r="E2438" s="50">
        <v>0</v>
      </c>
      <c r="F2438" s="51">
        <f>VLOOKUP(A2438,'Componentes APUs'!$S$1:$V$10,4,0)</f>
        <v>9167</v>
      </c>
      <c r="G2438" s="51">
        <f>ROUNDUP(F2438*((E2438/21)/E2418),0)</f>
        <v>0</v>
      </c>
      <c r="I2438" s="91"/>
    </row>
    <row r="2439" spans="1:9" x14ac:dyDescent="0.25">
      <c r="A2439" s="50" t="s">
        <v>58</v>
      </c>
      <c r="B2439" s="220" t="str">
        <f>VLOOKUP(A2439,'Componentes APUs'!$S$1:$V$10,2,0)</f>
        <v>Manila de servicio</v>
      </c>
      <c r="C2439" s="220"/>
      <c r="D2439" s="50" t="s">
        <v>18</v>
      </c>
      <c r="E2439" s="50">
        <v>0</v>
      </c>
      <c r="F2439" s="51">
        <f>VLOOKUP(A2439,'Componentes APUs'!$S$1:$V$10,4,0)</f>
        <v>2333</v>
      </c>
      <c r="G2439" s="51">
        <f>ROUNDUP(F2439*((E2439/21)/E2418),0)</f>
        <v>0</v>
      </c>
    </row>
    <row r="2440" spans="1:9" x14ac:dyDescent="0.25">
      <c r="A2440" s="50" t="s">
        <v>327</v>
      </c>
      <c r="B2440" s="220" t="str">
        <f>VLOOKUP(A2440,'Componentes APUs'!$S$1:$V$10,2,0)</f>
        <v>Tula portaherramientas</v>
      </c>
      <c r="C2440" s="220"/>
      <c r="D2440" s="50" t="s">
        <v>18</v>
      </c>
      <c r="E2440" s="50">
        <v>0</v>
      </c>
      <c r="F2440" s="51">
        <f>VLOOKUP(A2440,'Componentes APUs'!$S$1:$V$10,4,0)</f>
        <v>1250</v>
      </c>
      <c r="G2440" s="51">
        <f>ROUNDUP(F2440*((E2440/21)/E2418),0)</f>
        <v>0</v>
      </c>
    </row>
    <row r="2441" spans="1:9" x14ac:dyDescent="0.25">
      <c r="A2441" s="50" t="s">
        <v>60</v>
      </c>
      <c r="B2441" s="220" t="str">
        <f>VLOOKUP(A2441,'Componentes APUs'!$S$1:$V$10,2,0)</f>
        <v>Agarradoras</v>
      </c>
      <c r="C2441" s="220"/>
      <c r="D2441" s="50" t="s">
        <v>18</v>
      </c>
      <c r="E2441" s="50">
        <v>0</v>
      </c>
      <c r="F2441" s="51">
        <f>VLOOKUP(A2441,'Componentes APUs'!$S$1:$V$10,4,0)</f>
        <v>125000</v>
      </c>
      <c r="G2441" s="51">
        <f>ROUNDUP(F2441*((E2441/21)/E2418),0)</f>
        <v>0</v>
      </c>
    </row>
    <row r="2442" spans="1:9" x14ac:dyDescent="0.25">
      <c r="A2442" s="50" t="s">
        <v>62</v>
      </c>
      <c r="B2442" s="220" t="str">
        <f>VLOOKUP(A2442,'Componentes APUs'!$S$1:$V$10,2,0)</f>
        <v>Templadoras</v>
      </c>
      <c r="C2442" s="220"/>
      <c r="D2442" s="50" t="s">
        <v>18</v>
      </c>
      <c r="E2442" s="50">
        <v>0</v>
      </c>
      <c r="F2442" s="51">
        <f>VLOOKUP(A2442,'Componentes APUs'!$S$1:$V$10,4,0)</f>
        <v>250000</v>
      </c>
      <c r="G2442" s="51">
        <f>ROUNDUP(F2442*((E2442/21)/E2418),0)</f>
        <v>0</v>
      </c>
    </row>
    <row r="2443" spans="1:9" x14ac:dyDescent="0.25">
      <c r="A2443" s="50" t="s">
        <v>328</v>
      </c>
      <c r="B2443" s="220" t="str">
        <f>VLOOKUP(A2443,'Componentes APUs'!$S$1:$V$10,2,0)</f>
        <v>Herramienta Menor</v>
      </c>
      <c r="C2443" s="220"/>
      <c r="D2443" s="50" t="s">
        <v>18</v>
      </c>
      <c r="E2443" s="50">
        <v>1</v>
      </c>
      <c r="F2443" s="51">
        <f>VLOOKUP(A2443,'Componentes APUs'!$S$1:$V$10,4,0)</f>
        <v>75758</v>
      </c>
      <c r="G2443" s="51">
        <f>ROUNDUP(F2443*((E2443/21)/E2418),0)</f>
        <v>213</v>
      </c>
    </row>
    <row r="2444" spans="1:9" x14ac:dyDescent="0.25">
      <c r="A2444" s="219" t="s">
        <v>69</v>
      </c>
      <c r="B2444" s="219"/>
      <c r="C2444" s="219"/>
      <c r="D2444" s="219"/>
      <c r="E2444" s="219"/>
      <c r="F2444" s="219"/>
      <c r="G2444" s="52">
        <f>SUM(G2438:G2443)</f>
        <v>213</v>
      </c>
    </row>
    <row r="2445" spans="1:9" x14ac:dyDescent="0.25">
      <c r="A2445" s="56"/>
      <c r="B2445" s="57"/>
      <c r="C2445" s="57"/>
      <c r="D2445" s="57"/>
      <c r="E2445" s="57"/>
      <c r="F2445" s="57"/>
      <c r="G2445" s="58"/>
    </row>
    <row r="2446" spans="1:9" x14ac:dyDescent="0.25">
      <c r="A2446" s="219" t="s">
        <v>70</v>
      </c>
      <c r="B2446" s="219"/>
      <c r="C2446" s="219"/>
      <c r="D2446" s="219"/>
      <c r="E2446" s="219"/>
      <c r="F2446" s="219"/>
      <c r="G2446" s="219"/>
    </row>
    <row r="2447" spans="1:9" x14ac:dyDescent="0.25">
      <c r="A2447" s="49" t="s">
        <v>35</v>
      </c>
      <c r="B2447" s="219" t="s">
        <v>36</v>
      </c>
      <c r="C2447" s="219"/>
      <c r="D2447" s="49" t="s">
        <v>37</v>
      </c>
      <c r="E2447" s="49" t="s">
        <v>38</v>
      </c>
      <c r="F2447" s="49" t="s">
        <v>39</v>
      </c>
      <c r="G2447" s="49" t="s">
        <v>40</v>
      </c>
    </row>
    <row r="2448" spans="1:9" x14ac:dyDescent="0.25">
      <c r="A2448" s="50" t="s">
        <v>71</v>
      </c>
      <c r="B2448" s="71" t="str">
        <f>VLOOKUP(A2448,'Componentes APUs'!$A$1:$D$14,2,0)</f>
        <v>Camisa indigo sin partes metalicas</v>
      </c>
      <c r="C2448" s="71"/>
      <c r="D2448" s="50" t="str">
        <f>VLOOKUP(A2448,'Componentes APUs'!$A$1:$D$14,3,0)</f>
        <v>U</v>
      </c>
      <c r="E2448" s="50">
        <f>SUM(C2428:C2433)</f>
        <v>1.5</v>
      </c>
      <c r="F2448" s="51">
        <f>VLOOKUP(A2448,'Componentes APUs'!$A$1:$D$14,4,0)</f>
        <v>8585.8585858585866</v>
      </c>
      <c r="G2448" s="51">
        <f>ROUNDUP(F2448*(E2448/21)/E2418,0)</f>
        <v>37</v>
      </c>
      <c r="I2448" s="91"/>
    </row>
    <row r="2449" spans="1:7" x14ac:dyDescent="0.25">
      <c r="A2449" s="69" t="s">
        <v>73</v>
      </c>
      <c r="B2449" s="72" t="str">
        <f>VLOOKUP(A2449,'Componentes APUs'!$A$1:$D$14,2,0)</f>
        <v>Bota de seguridad dielectrica</v>
      </c>
      <c r="C2449" s="73"/>
      <c r="D2449" s="70" t="str">
        <f>VLOOKUP(A2449,'Componentes APUs'!$A$1:$D$14,3,0)</f>
        <v>Par</v>
      </c>
      <c r="E2449" s="50">
        <f>SUM(C2428:C2433)</f>
        <v>1.5</v>
      </c>
      <c r="F2449" s="51">
        <f>VLOOKUP(A2449,'Componentes APUs'!$A$1:$D$14,4,0)</f>
        <v>7500</v>
      </c>
      <c r="G2449" s="51">
        <f>ROUNDUP(F2449*(E2449/21)/E2418,0)</f>
        <v>32</v>
      </c>
    </row>
    <row r="2450" spans="1:7" x14ac:dyDescent="0.25">
      <c r="A2450" s="50" t="s">
        <v>76</v>
      </c>
      <c r="B2450" s="72" t="str">
        <f>VLOOKUP(A2450,'Componentes APUs'!$A$1:$D$14,2,0)</f>
        <v>Casco dielectrico Tipo 1 Clase E con barbuquejo</v>
      </c>
      <c r="C2450" s="73"/>
      <c r="D2450" s="50" t="str">
        <f>VLOOKUP(A2450,'Componentes APUs'!$A$1:$D$14,3,0)</f>
        <v>U</v>
      </c>
      <c r="E2450" s="50">
        <f>C2428+C2429+C2431+C2432+C2433+IF(A2430&lt;&gt;"MO-3",C2430,0)</f>
        <v>1.5</v>
      </c>
      <c r="F2450" s="51">
        <f>VLOOKUP(A2450,'Componentes APUs'!$A$1:$D$14,4,0)</f>
        <v>10101.010101010101</v>
      </c>
      <c r="G2450" s="51">
        <f>ROUNDUP(F2450*(E2450/21)/E2418,0)</f>
        <v>43</v>
      </c>
    </row>
    <row r="2451" spans="1:7" x14ac:dyDescent="0.25">
      <c r="A2451" s="69" t="s">
        <v>77</v>
      </c>
      <c r="B2451" s="72" t="str">
        <f>VLOOKUP(A2451,'Componentes APUs'!$A$1:$D$14,2,0)</f>
        <v>Correa plastica y antiflama</v>
      </c>
      <c r="C2451" s="73"/>
      <c r="D2451" s="50" t="str">
        <f>VLOOKUP(A2451,'Componentes APUs'!$A$1:$D$14,3,0)</f>
        <v>U</v>
      </c>
      <c r="E2451" s="50">
        <f>SUM(C2428:C2433)</f>
        <v>1.5</v>
      </c>
      <c r="F2451" s="51">
        <f>VLOOKUP(A2451,'Componentes APUs'!$A$1:$D$14,4,0)</f>
        <v>3787.878787878788</v>
      </c>
      <c r="G2451" s="51">
        <f>ROUNDUP(F2451*(E2451/21)/E2418,0)</f>
        <v>16</v>
      </c>
    </row>
    <row r="2452" spans="1:7" x14ac:dyDescent="0.25">
      <c r="A2452" s="50" t="s">
        <v>79</v>
      </c>
      <c r="B2452" s="72" t="str">
        <f>VLOOKUP(A2452,'Componentes APUs'!$A$1:$D$14,2,0)</f>
        <v>Gafas protectoras filtro UV</v>
      </c>
      <c r="C2452" s="73"/>
      <c r="D2452" s="50" t="str">
        <f>VLOOKUP(A2452,'Componentes APUs'!$A$1:$D$14,3,0)</f>
        <v>U</v>
      </c>
      <c r="E2452" s="50">
        <f>SUM(C2428:C2433)</f>
        <v>1.5</v>
      </c>
      <c r="F2452" s="51">
        <f>VLOOKUP(A2452,'Componentes APUs'!$A$1:$D$14,4,0)</f>
        <v>2777.7777777777778</v>
      </c>
      <c r="G2452" s="51">
        <f>ROUNDUP(F2452*(E2452/21)/E2418,0)</f>
        <v>12</v>
      </c>
    </row>
    <row r="2453" spans="1:7" x14ac:dyDescent="0.25">
      <c r="A2453" s="69" t="s">
        <v>402</v>
      </c>
      <c r="B2453" s="72" t="str">
        <f>VLOOKUP(A2453,'Componentes APUs'!$A$1:$D$14,2,0)</f>
        <v>Bota de seguridad PVC dielectrica</v>
      </c>
      <c r="C2453" s="73"/>
      <c r="D2453" s="50" t="str">
        <f>VLOOKUP(A2453,'Componentes APUs'!$A$1:$D$14,3,0)</f>
        <v>Par</v>
      </c>
      <c r="E2453" s="50">
        <f>SUM(C2428:C2433)</f>
        <v>1.5</v>
      </c>
      <c r="F2453" s="51">
        <f>VLOOKUP(A2453,'Componentes APUs'!$A$1:$D$14,4,0)</f>
        <v>2916.6666666666665</v>
      </c>
      <c r="G2453" s="51">
        <f>ROUNDUP(F2453*(E2453/21)/E2418,0)</f>
        <v>13</v>
      </c>
    </row>
    <row r="2454" spans="1:7" x14ac:dyDescent="0.25">
      <c r="A2454" s="50" t="s">
        <v>403</v>
      </c>
      <c r="B2454" s="72" t="str">
        <f>VLOOKUP(A2454,'Componentes APUs'!$A$1:$D$14,2,0)</f>
        <v>Capuchon</v>
      </c>
      <c r="C2454" s="73"/>
      <c r="D2454" s="50" t="str">
        <f>VLOOKUP(A2454,'Componentes APUs'!$A$1:$D$14,3,0)</f>
        <v>U</v>
      </c>
      <c r="E2454" s="50">
        <f>SUM(C2428:C2433)</f>
        <v>1.5</v>
      </c>
      <c r="F2454" s="51">
        <f>VLOOKUP(A2454,'Componentes APUs'!$A$1:$D$14,4,0)</f>
        <v>2525.2525252525252</v>
      </c>
      <c r="G2454" s="51">
        <f>ROUNDUP(F2454*(E2454/21)/E2418,0)</f>
        <v>11</v>
      </c>
    </row>
    <row r="2455" spans="1:7" x14ac:dyDescent="0.25">
      <c r="A2455" s="69" t="s">
        <v>81</v>
      </c>
      <c r="B2455" s="72" t="str">
        <f>VLOOKUP(A2455,'Componentes APUs'!$A$1:$D$14,2,0)</f>
        <v>Guantes Protectores  - ingeniero reforzados</v>
      </c>
      <c r="C2455" s="73"/>
      <c r="D2455" s="50" t="str">
        <f>VLOOKUP(A2455,'Componentes APUs'!$A$1:$D$14,3,0)</f>
        <v>Par</v>
      </c>
      <c r="E2455" s="50">
        <f>C2430+C2431+C2433</f>
        <v>1.25</v>
      </c>
      <c r="F2455" s="51">
        <f>VLOOKUP(A2455,'Componentes APUs'!$A$1:$D$14,4,0)</f>
        <v>2525.2525252525252</v>
      </c>
      <c r="G2455" s="51">
        <f>ROUNDUP(F2455*(E2455/21)/E2418,0)</f>
        <v>9</v>
      </c>
    </row>
    <row r="2456" spans="1:7" x14ac:dyDescent="0.25">
      <c r="A2456" s="50" t="s">
        <v>83</v>
      </c>
      <c r="B2456" s="72" t="str">
        <f>VLOOKUP(A2456,'Componentes APUs'!$A$1:$D$14,2,0)</f>
        <v>Impermeable (pantalon camisa)</v>
      </c>
      <c r="C2456" s="73"/>
      <c r="D2456" s="50" t="str">
        <f>VLOOKUP(A2456,'Componentes APUs'!$A$1:$D$14,3,0)</f>
        <v>U</v>
      </c>
      <c r="E2456" s="50">
        <f>SUM(C2428:C2433)</f>
        <v>1.5</v>
      </c>
      <c r="F2456" s="51">
        <f>VLOOKUP(A2456,'Componentes APUs'!$A$1:$D$14,4,0)</f>
        <v>3750</v>
      </c>
      <c r="G2456" s="51">
        <f>ROUNDUP(F2456*(E2456/21)/E2418,0)</f>
        <v>16</v>
      </c>
    </row>
    <row r="2457" spans="1:7" x14ac:dyDescent="0.25">
      <c r="A2457" s="69" t="s">
        <v>85</v>
      </c>
      <c r="B2457" s="72" t="str">
        <f>VLOOKUP(A2457,'Componentes APUs'!$A$1:$D$14,2,0)</f>
        <v>Jean Dielectrico</v>
      </c>
      <c r="C2457" s="73"/>
      <c r="D2457" s="50" t="str">
        <f>VLOOKUP(A2457,'Componentes APUs'!$A$1:$D$14,3,0)</f>
        <v>U</v>
      </c>
      <c r="E2457" s="50">
        <f>SUM(C2428:C2433)</f>
        <v>1.5</v>
      </c>
      <c r="F2457" s="51">
        <f>VLOOKUP(A2457,'Componentes APUs'!$A$1:$D$14,4,0)</f>
        <v>7575.757575757576</v>
      </c>
      <c r="G2457" s="51">
        <f>ROUNDUP(F2457*(E2457/21)/E2418,0)</f>
        <v>32</v>
      </c>
    </row>
    <row r="2458" spans="1:7" x14ac:dyDescent="0.25">
      <c r="A2458" s="50" t="s">
        <v>87</v>
      </c>
      <c r="B2458" s="72" t="str">
        <f>VLOOKUP(A2458,'Componentes APUs'!$A$1:$D$14,2,0)</f>
        <v>Casco dielectrico Tipo 2 Clase E con barboquejo</v>
      </c>
      <c r="C2458" s="73"/>
      <c r="D2458" s="50" t="str">
        <f>VLOOKUP(A2458,'Componentes APUs'!$A$1:$D$14,3,0)</f>
        <v>U</v>
      </c>
      <c r="E2458" s="53">
        <f>IF(A2430="MO-3",C2430,0)</f>
        <v>0</v>
      </c>
      <c r="F2458" s="51">
        <f>VLOOKUP(A2458,'Componentes APUs'!$A$1:$D$14,4,0)</f>
        <v>7500</v>
      </c>
      <c r="G2458" s="51">
        <f>ROUNDUP(F2458*(E2458/21)/E2418,0)</f>
        <v>0</v>
      </c>
    </row>
    <row r="2459" spans="1:7" x14ac:dyDescent="0.25">
      <c r="A2459" s="69" t="s">
        <v>89</v>
      </c>
      <c r="B2459" s="72" t="str">
        <f>VLOOKUP(A2459,'Componentes APUs'!$A$1:$D$14,2,0)</f>
        <v>Kit de rescate para trabajo en alturas</v>
      </c>
      <c r="C2459" s="73"/>
      <c r="D2459" s="50" t="str">
        <f>VLOOKUP(A2459,'Componentes APUs'!$A$1:$D$14,3,0)</f>
        <v>U</v>
      </c>
      <c r="E2459" s="50">
        <f>IF(AND(A2430="MO-3",C2430=2),1,0)</f>
        <v>0</v>
      </c>
      <c r="F2459" s="51">
        <f>VLOOKUP(A2459,'Componentes APUs'!$A$1:$D$14,4,0)</f>
        <v>37500</v>
      </c>
      <c r="G2459" s="51">
        <f>ROUNDUP(F2459*(E2459/21)/E2418,0)</f>
        <v>0</v>
      </c>
    </row>
    <row r="2460" spans="1:7" x14ac:dyDescent="0.25">
      <c r="A2460" s="50" t="s">
        <v>91</v>
      </c>
      <c r="B2460" s="72" t="str">
        <f>VLOOKUP(A2460,'Componentes APUs'!$A$1:$D$14,2,0)</f>
        <v>Equipo completo para trabajo en alturas con pretales (Arnes dielectrico, 1 mosqueton de seguridad, tie off dielectrico, eslinga de posicionamiento, juego de pretales)</v>
      </c>
      <c r="C2460" s="73"/>
      <c r="D2460" s="50" t="str">
        <f>VLOOKUP(A2460,'Componentes APUs'!$A$1:$D$14,3,0)</f>
        <v>U</v>
      </c>
      <c r="E2460" s="50">
        <f>IF(A2430="MO-3",C2430,0)</f>
        <v>0</v>
      </c>
      <c r="F2460" s="51">
        <f>VLOOKUP(A2460,'Componentes APUs'!$A$1:$D$14,4,0)</f>
        <v>26041.666666666668</v>
      </c>
      <c r="G2460" s="51">
        <f>ROUNDUP(F2460*(E2460/21)/E2418,0)</f>
        <v>0</v>
      </c>
    </row>
    <row r="2461" spans="1:7" x14ac:dyDescent="0.25">
      <c r="A2461" s="219" t="s">
        <v>95</v>
      </c>
      <c r="B2461" s="219"/>
      <c r="C2461" s="219"/>
      <c r="D2461" s="219"/>
      <c r="E2461" s="219"/>
      <c r="F2461" s="219"/>
      <c r="G2461" s="52">
        <f>SUM(G2448:G2460)</f>
        <v>221</v>
      </c>
    </row>
    <row r="2462" spans="1:7" x14ac:dyDescent="0.25">
      <c r="A2462" s="56"/>
      <c r="B2462" s="57"/>
      <c r="C2462" s="57"/>
      <c r="D2462" s="57"/>
      <c r="E2462" s="57"/>
      <c r="F2462" s="57"/>
      <c r="G2462" s="58"/>
    </row>
    <row r="2463" spans="1:7" x14ac:dyDescent="0.25">
      <c r="A2463" s="219" t="s">
        <v>96</v>
      </c>
      <c r="B2463" s="219"/>
      <c r="C2463" s="219"/>
      <c r="D2463" s="219"/>
      <c r="E2463" s="219"/>
      <c r="F2463" s="219"/>
      <c r="G2463" s="219"/>
    </row>
    <row r="2464" spans="1:7" x14ac:dyDescent="0.25">
      <c r="A2464" s="49" t="s">
        <v>35</v>
      </c>
      <c r="B2464" s="225" t="s">
        <v>36</v>
      </c>
      <c r="C2464" s="225"/>
      <c r="D2464" s="49" t="s">
        <v>37</v>
      </c>
      <c r="E2464" s="49" t="s">
        <v>38</v>
      </c>
      <c r="F2464" s="49" t="s">
        <v>39</v>
      </c>
      <c r="G2464" s="49" t="s">
        <v>40</v>
      </c>
    </row>
    <row r="2465" spans="1:7" x14ac:dyDescent="0.25">
      <c r="A2465" s="69" t="s">
        <v>97</v>
      </c>
      <c r="B2465" s="72" t="str">
        <f>VLOOKUP(A2465,'Componentes APUs'!$N$1:$Q$30,2,0)</f>
        <v>Camioneta</v>
      </c>
      <c r="C2465" s="73"/>
      <c r="D2465" s="70" t="str">
        <f>VLOOKUP(A2465,'Componentes APUs'!$N$1:$Q$30,3,0)</f>
        <v>U</v>
      </c>
      <c r="E2465" s="50">
        <v>0.25</v>
      </c>
      <c r="F2465" s="51">
        <f>VLOOKUP(A2465,'Componentes APUs'!$N$1:$Q$30,4,0)</f>
        <v>5500000</v>
      </c>
      <c r="G2465" s="51">
        <f>IFERROR(ROUNDUP(F2465*(E2465/21)/E2418,0),"-")</f>
        <v>3852</v>
      </c>
    </row>
    <row r="2466" spans="1:7" x14ac:dyDescent="0.25">
      <c r="A2466" s="50" t="s">
        <v>1570</v>
      </c>
      <c r="B2466" s="72" t="str">
        <f>VLOOKUP(A2466,'Componentes APUs'!$N$1:$Q$30,2,0)</f>
        <v>Rodillo Vibrante Tándem Autopropulsado, De 2300 Kg, Anchura De Trabajo 105 Cm</v>
      </c>
      <c r="C2466" s="73"/>
      <c r="D2466" s="70" t="str">
        <f>VLOOKUP(A2466,'Componentes APUs'!$N$1:$Q$30,3,0)</f>
        <v>U</v>
      </c>
      <c r="E2466" s="50">
        <v>1</v>
      </c>
      <c r="F2466" s="51">
        <f>VLOOKUP(A2466,'Componentes APUs'!$N$1:$Q$30,4,0)</f>
        <v>4899216</v>
      </c>
      <c r="G2466" s="51">
        <f>IFERROR(ROUNDUP(F2466*(E2466/21)/E2418,0),"-")</f>
        <v>13724</v>
      </c>
    </row>
    <row r="2467" spans="1:7" x14ac:dyDescent="0.25">
      <c r="A2467" s="69" t="s">
        <v>1379</v>
      </c>
      <c r="B2467" s="72" t="str">
        <f>VLOOKUP(A2467,'Componentes APUs'!$N$1:$Q$30,2,0)</f>
        <v>Dumper de descarga Frontal 2T</v>
      </c>
      <c r="C2467" s="73"/>
      <c r="D2467" s="70" t="str">
        <f>VLOOKUP(A2467,'Componentes APUs'!$N$1:$Q$30,3,0)</f>
        <v>U</v>
      </c>
      <c r="E2467" s="50">
        <v>1</v>
      </c>
      <c r="F2467" s="51">
        <f>VLOOKUP(A2467,'Componentes APUs'!$N$1:$Q$30,4,0)</f>
        <v>4438716.24</v>
      </c>
      <c r="G2467" s="51">
        <f>IFERROR(ROUNDUP(F2467*(E2467/21)/E2418,0),"-")</f>
        <v>12434</v>
      </c>
    </row>
    <row r="2468" spans="1:7" x14ac:dyDescent="0.25">
      <c r="A2468" s="50" t="s">
        <v>323</v>
      </c>
      <c r="B2468" s="72" t="str">
        <f>VLOOKUP(A2468,'Componentes APUs'!$N$1:$Q$30,2,0)</f>
        <v>Volqueta</v>
      </c>
      <c r="C2468" s="73"/>
      <c r="D2468" s="70" t="str">
        <f>VLOOKUP(A2468,'Componentes APUs'!$N$1:$Q$30,3,0)</f>
        <v>U</v>
      </c>
      <c r="E2468" s="50">
        <v>0</v>
      </c>
      <c r="F2468" s="51">
        <f>VLOOKUP(A2468,'Componentes APUs'!$N$1:$Q$30,4,0)</f>
        <v>14828184</v>
      </c>
      <c r="G2468" s="51">
        <f>IFERROR(ROUNDUP(F2468*(E2468/21)/E2418,0),"-")</f>
        <v>0</v>
      </c>
    </row>
    <row r="2469" spans="1:7" x14ac:dyDescent="0.25">
      <c r="A2469" s="69" t="s">
        <v>324</v>
      </c>
      <c r="B2469" s="72" t="str">
        <f>VLOOKUP(A2469,'Componentes APUs'!$N$1:$Q$30,2,0)</f>
        <v>Retroexcavadora</v>
      </c>
      <c r="C2469" s="73"/>
      <c r="D2469" s="70" t="str">
        <f>VLOOKUP(A2469,'Componentes APUs'!$N$1:$Q$30,3,0)</f>
        <v>U</v>
      </c>
      <c r="E2469" s="50">
        <v>0</v>
      </c>
      <c r="F2469" s="51">
        <f>VLOOKUP(A2469,'Componentes APUs'!$N$1:$Q$30,4,0)</f>
        <v>46030656</v>
      </c>
      <c r="G2469" s="51">
        <f>IFERROR(ROUNDUP(F2469*(E2469/21)/E2418,0),"-")</f>
        <v>0</v>
      </c>
    </row>
    <row r="2470" spans="1:7" x14ac:dyDescent="0.25">
      <c r="A2470" s="219" t="s">
        <v>99</v>
      </c>
      <c r="B2470" s="219"/>
      <c r="C2470" s="219"/>
      <c r="D2470" s="219"/>
      <c r="E2470" s="219"/>
      <c r="F2470" s="219"/>
      <c r="G2470" s="52">
        <f>SUM(G2465:G2469)</f>
        <v>30010</v>
      </c>
    </row>
    <row r="2471" spans="1:7" x14ac:dyDescent="0.25">
      <c r="A2471" s="56"/>
      <c r="B2471" s="57"/>
      <c r="C2471" s="57"/>
      <c r="D2471" s="57"/>
      <c r="E2471" s="57"/>
      <c r="F2471" s="57"/>
      <c r="G2471" s="58"/>
    </row>
    <row r="2472" spans="1:7" x14ac:dyDescent="0.25">
      <c r="A2472" s="219" t="s">
        <v>1516</v>
      </c>
      <c r="B2472" s="219"/>
      <c r="C2472" s="219"/>
      <c r="D2472" s="219"/>
      <c r="E2472" s="219"/>
      <c r="F2472" s="219"/>
      <c r="G2472" s="52">
        <f>G2470+G2461+G2444+G2434+G2424</f>
        <v>106938</v>
      </c>
    </row>
    <row r="2473" spans="1:7" x14ac:dyDescent="0.25">
      <c r="A2473" s="59"/>
      <c r="B2473" s="60"/>
      <c r="C2473" s="60"/>
      <c r="D2473" s="60"/>
      <c r="E2473" s="57"/>
      <c r="F2473" s="57"/>
      <c r="G2473" s="58"/>
    </row>
    <row r="2474" spans="1:7" x14ac:dyDescent="0.25">
      <c r="A2474" s="64"/>
      <c r="D2474" s="55"/>
      <c r="E2474" s="49" t="s">
        <v>25</v>
      </c>
      <c r="F2474" s="54">
        <v>0.15</v>
      </c>
      <c r="G2474" s="51">
        <f>G2472*F2474</f>
        <v>16040.699999999999</v>
      </c>
    </row>
    <row r="2475" spans="1:7" x14ac:dyDescent="0.25">
      <c r="A2475" s="64"/>
      <c r="D2475" s="55"/>
      <c r="E2475" s="49" t="s">
        <v>26</v>
      </c>
      <c r="F2475" s="54">
        <v>0.05</v>
      </c>
      <c r="G2475" s="51">
        <f>G2472*F2475</f>
        <v>5346.9000000000005</v>
      </c>
    </row>
    <row r="2476" spans="1:7" x14ac:dyDescent="0.25">
      <c r="A2476" s="61"/>
      <c r="B2476" s="65"/>
      <c r="C2476" s="65"/>
      <c r="D2476" s="62"/>
      <c r="E2476" s="49" t="s">
        <v>27</v>
      </c>
      <c r="F2476" s="54">
        <v>0.05</v>
      </c>
      <c r="G2476" s="51">
        <f>G2472*F2476</f>
        <v>5346.9000000000005</v>
      </c>
    </row>
    <row r="2477" spans="1:7" x14ac:dyDescent="0.25">
      <c r="A2477" s="61"/>
      <c r="B2477" s="62"/>
      <c r="C2477" s="62"/>
      <c r="D2477" s="62"/>
      <c r="E2477" s="62"/>
      <c r="F2477" s="62"/>
      <c r="G2477" s="63"/>
    </row>
    <row r="2478" spans="1:7" x14ac:dyDescent="0.25">
      <c r="A2478" s="219" t="s">
        <v>1517</v>
      </c>
      <c r="B2478" s="219"/>
      <c r="C2478" s="219"/>
      <c r="D2478" s="219"/>
      <c r="E2478" s="219"/>
      <c r="F2478" s="219"/>
      <c r="G2478" s="52">
        <f>G2472+G2474+G2475+G2476</f>
        <v>133672.5</v>
      </c>
    </row>
    <row r="2479" spans="1:7" x14ac:dyDescent="0.25">
      <c r="A2479" s="59"/>
      <c r="B2479" s="60"/>
      <c r="C2479" s="60"/>
      <c r="D2479" s="60"/>
      <c r="E2479" s="57"/>
      <c r="F2479" s="57"/>
      <c r="G2479" s="58"/>
    </row>
    <row r="2480" spans="1:7" x14ac:dyDescent="0.25">
      <c r="A2480" s="64"/>
      <c r="D2480" s="55"/>
      <c r="E2480" s="49" t="s">
        <v>102</v>
      </c>
      <c r="F2480" s="49" t="s">
        <v>103</v>
      </c>
      <c r="G2480" s="51">
        <f>G2476*19%</f>
        <v>1015.9110000000002</v>
      </c>
    </row>
    <row r="2481" spans="1:9" x14ac:dyDescent="0.25">
      <c r="A2481" s="61"/>
      <c r="B2481" s="62"/>
      <c r="C2481" s="62"/>
      <c r="D2481" s="62"/>
      <c r="E2481" s="57"/>
      <c r="F2481" s="57"/>
      <c r="G2481" s="58"/>
    </row>
    <row r="2482" spans="1:9" x14ac:dyDescent="0.25">
      <c r="A2482" s="219" t="s">
        <v>104</v>
      </c>
      <c r="B2482" s="219"/>
      <c r="C2482" s="219"/>
      <c r="D2482" s="219"/>
      <c r="E2482" s="219"/>
      <c r="F2482" s="219"/>
      <c r="G2482" s="52">
        <f>G2480+G2478</f>
        <v>134688.41099999999</v>
      </c>
    </row>
    <row r="2484" spans="1:9" x14ac:dyDescent="0.25">
      <c r="A2484" s="74" t="s">
        <v>29</v>
      </c>
      <c r="B2484" s="226" t="s">
        <v>30</v>
      </c>
      <c r="C2484" s="226"/>
      <c r="D2484" s="74" t="s">
        <v>31</v>
      </c>
      <c r="E2484" s="74" t="s">
        <v>32</v>
      </c>
      <c r="F2484" s="74" t="s">
        <v>189</v>
      </c>
      <c r="G2484" s="74" t="s">
        <v>33</v>
      </c>
      <c r="H2484" s="105"/>
    </row>
    <row r="2485" spans="1:9" ht="42" customHeight="1" x14ac:dyDescent="0.25">
      <c r="A2485" s="50" t="str">
        <f>Presupuesto!B50</f>
        <v>038_OC</v>
      </c>
      <c r="B2485" s="229" t="str">
        <f>Presupuesto!C50</f>
        <v>CAJA DE INSPECCIÓN DE 80X80 CM INTERNOS EN CONCRETO REFORZADO E INCLUYE TAPA EN CONCRETO REFORZADO CON MANIJA, HASTA 1.5 METROS DE PROFUNDIDAD</v>
      </c>
      <c r="C2485" s="230"/>
      <c r="D2485" s="50" t="s">
        <v>18</v>
      </c>
      <c r="E2485" s="107">
        <v>3</v>
      </c>
      <c r="F2485" s="50"/>
      <c r="G2485" s="51">
        <f>G2554</f>
        <v>1419025.7509999997</v>
      </c>
      <c r="H2485" s="45"/>
    </row>
    <row r="2486" spans="1:9" x14ac:dyDescent="0.25">
      <c r="A2486" s="219" t="s">
        <v>34</v>
      </c>
      <c r="B2486" s="219"/>
      <c r="C2486" s="219"/>
      <c r="D2486" s="219"/>
      <c r="E2486" s="219"/>
      <c r="F2486" s="219"/>
      <c r="G2486" s="219"/>
    </row>
    <row r="2487" spans="1:9" x14ac:dyDescent="0.25">
      <c r="A2487" s="49" t="s">
        <v>35</v>
      </c>
      <c r="B2487" s="219" t="s">
        <v>36</v>
      </c>
      <c r="C2487" s="219"/>
      <c r="D2487" s="49" t="s">
        <v>37</v>
      </c>
      <c r="E2487" s="49" t="s">
        <v>38</v>
      </c>
      <c r="F2487" s="49" t="s">
        <v>39</v>
      </c>
      <c r="G2487" s="49" t="s">
        <v>40</v>
      </c>
    </row>
    <row r="2488" spans="1:9" x14ac:dyDescent="0.25">
      <c r="A2488" s="50" t="str">
        <f>Material!A460</f>
        <v>MA-459</v>
      </c>
      <c r="B2488" s="72" t="str">
        <f>IFERROR(VLOOKUP(A2488,Material!$A:$H,2,0),"-")</f>
        <v>CONCRETO 4000 PSI</v>
      </c>
      <c r="C2488" s="76"/>
      <c r="D2488" s="50" t="str">
        <f>IFERROR(VLOOKUP(A2488,Material!$A:$H,4,0),"-")</f>
        <v>M3</v>
      </c>
      <c r="E2488" s="96">
        <v>0.37</v>
      </c>
      <c r="F2488" s="51">
        <f>IFERROR(VLOOKUP(A2488,Material!$A:$H,3,0),"-")</f>
        <v>813410.53161779384</v>
      </c>
      <c r="G2488" s="51">
        <f t="shared" ref="G2488" si="31">IFERROR(ROUNDUP(F2488*E2488,0),"-")</f>
        <v>300962</v>
      </c>
      <c r="H2488" s="106"/>
    </row>
    <row r="2489" spans="1:9" x14ac:dyDescent="0.25">
      <c r="A2489" s="50" t="str">
        <f>Material!A461</f>
        <v>MA-460</v>
      </c>
      <c r="B2489" s="72" t="str">
        <f>IFERROR(VLOOKUP(A2489,Material!$A:$H,2,0),"-")</f>
        <v>LADRILLO TOLETE 20 X 10 X 6 cm</v>
      </c>
      <c r="C2489" s="76"/>
      <c r="D2489" s="50" t="str">
        <f>IFERROR(VLOOKUP(A2489,Material!$A:$H,4,0),"-")</f>
        <v>UN</v>
      </c>
      <c r="E2489" s="53">
        <v>413</v>
      </c>
      <c r="F2489" s="51">
        <f>IFERROR(VLOOKUP(A2489,Material!$A:$H,3,0),"-")</f>
        <v>1170</v>
      </c>
      <c r="G2489" s="51">
        <f>IFERROR(ROUNDUP(F2489*E2489,0),"-")</f>
        <v>483210</v>
      </c>
      <c r="H2489" s="106"/>
    </row>
    <row r="2490" spans="1:9" x14ac:dyDescent="0.25">
      <c r="A2490" s="50" t="str">
        <f>Material!A282</f>
        <v>MA-281</v>
      </c>
      <c r="B2490" s="72" t="str">
        <f>IFERROR(VLOOKUP(A2490,Material!$A:$H,2,0),"-")</f>
        <v>AGUA</v>
      </c>
      <c r="C2490" s="76"/>
      <c r="D2490" s="50" t="str">
        <f>IFERROR(VLOOKUP(A2490,Material!$A:$H,4,0),"-")</f>
        <v>M3</v>
      </c>
      <c r="E2490" s="107">
        <v>4.7E-2</v>
      </c>
      <c r="F2490" s="51">
        <f>IFERROR(VLOOKUP(A2490,Material!$A:$H,3,0),"-")</f>
        <v>94.9</v>
      </c>
      <c r="G2490" s="51">
        <f>IFERROR(ROUNDUP(F2490*E2490,0),"-")</f>
        <v>5</v>
      </c>
      <c r="H2490" s="106"/>
    </row>
    <row r="2491" spans="1:9" x14ac:dyDescent="0.25">
      <c r="A2491" s="50" t="str">
        <f>Material!A361</f>
        <v>MA-360</v>
      </c>
      <c r="B2491" s="254" t="str">
        <f>IFERROR(VLOOKUP(A2491,Material!$A:$H,2,0),"-")</f>
        <v>ARENA DE CANTERA, PARA MORTERO PREPARADO EN OBRA</v>
      </c>
      <c r="C2491" s="255"/>
      <c r="D2491" s="50" t="str">
        <f>IFERROR(VLOOKUP(A2491,Material!$A:$H,4,0),"-")</f>
        <v>T</v>
      </c>
      <c r="E2491" s="107">
        <v>0.371</v>
      </c>
      <c r="F2491" s="51">
        <f>IFERROR(VLOOKUP(A2491,Material!$A:$H,3,0),"-")</f>
        <v>58500</v>
      </c>
      <c r="G2491" s="51">
        <f t="shared" ref="G2491:G2493" si="32">IFERROR(ROUNDUP(F2491*E2491,0),"-")</f>
        <v>21704</v>
      </c>
      <c r="H2491" s="106"/>
    </row>
    <row r="2492" spans="1:9" x14ac:dyDescent="0.25">
      <c r="A2492" s="50" t="str">
        <f>Material!A311</f>
        <v>MA-310</v>
      </c>
      <c r="B2492" s="72" t="str">
        <f>IFERROR(VLOOKUP(A2492,Material!$A:$H,2,0),"-")</f>
        <v>CEMENTO GRIS</v>
      </c>
      <c r="C2492" s="76"/>
      <c r="D2492" s="50" t="str">
        <f>IFERROR(VLOOKUP(A2492,Material!$A:$H,4,0),"-")</f>
        <v>KG</v>
      </c>
      <c r="E2492" s="107">
        <v>75.129000000000005</v>
      </c>
      <c r="F2492" s="51">
        <f>IFERROR(VLOOKUP(A2492,Material!$A:$H,3,0),"-")</f>
        <v>845</v>
      </c>
      <c r="G2492" s="51">
        <f t="shared" si="32"/>
        <v>63485</v>
      </c>
      <c r="H2492" s="106"/>
    </row>
    <row r="2493" spans="1:9" x14ac:dyDescent="0.25">
      <c r="A2493" s="50" t="str">
        <f>Material!A457</f>
        <v>MA-456</v>
      </c>
      <c r="B2493" s="221" t="str">
        <f>IFERROR(VLOOKUP(A2493,Material!$A:$H,2,0),"-")</f>
        <v>MALLA ELECTROSOLDADA H 15x15 CM DIÁM 6MM (2.35 x 6 M) XX-188</v>
      </c>
      <c r="C2493" s="222"/>
      <c r="D2493" s="50" t="str">
        <f>IFERROR(VLOOKUP(A2493,Material!$A:$H,4,0),"-")</f>
        <v>KG</v>
      </c>
      <c r="E2493" s="107">
        <v>1.7</v>
      </c>
      <c r="F2493" s="51">
        <f>IFERROR(VLOOKUP(A2493,Material!$A:$H,3,0),"-")</f>
        <v>5749.9000000000005</v>
      </c>
      <c r="G2493" s="51">
        <f t="shared" si="32"/>
        <v>9775</v>
      </c>
      <c r="H2493" s="106"/>
    </row>
    <row r="2494" spans="1:9" ht="27" customHeight="1" x14ac:dyDescent="0.25">
      <c r="A2494" s="50" t="str">
        <f>Material!A516</f>
        <v>MA-515</v>
      </c>
      <c r="B2494" s="221" t="str">
        <f>IFERROR(VLOOKUP(A2494,Material!$A:$H,2,0),"-")</f>
        <v>ADITIVO HIDRÓFUGO PARA IMPERMEABILIZACIÓN DE MORTEROS U CONCRETOS</v>
      </c>
      <c r="C2494" s="222"/>
      <c r="D2494" s="50" t="str">
        <f>IFERROR(VLOOKUP(A2494,Material!$A:$H,4,0),"-")</f>
        <v>KG</v>
      </c>
      <c r="E2494" s="107">
        <v>0.73399999999999999</v>
      </c>
      <c r="F2494" s="51">
        <f>IFERROR(VLOOKUP(A2494,Material!$A:$H,3,0),"-")</f>
        <v>5183.1000000000004</v>
      </c>
      <c r="G2494" s="51">
        <f t="shared" ref="G2494:G2495" si="33">IFERROR(ROUNDUP(F2494*E2494,0),"-")</f>
        <v>3805</v>
      </c>
      <c r="H2494" s="106"/>
    </row>
    <row r="2495" spans="1:9" ht="27" customHeight="1" x14ac:dyDescent="0.25">
      <c r="A2495" s="50" t="str">
        <f>Material!A517</f>
        <v>MA-516</v>
      </c>
      <c r="B2495" s="221" t="str">
        <f>IFERROR(VLOOKUP(A2495,Material!$A:$H,2,0),"-")</f>
        <v>TABLERO CERÁMICO HUECO MACHIHEMBRADO, PARA REVESTIR</v>
      </c>
      <c r="C2495" s="222"/>
      <c r="D2495" s="50" t="str">
        <f>IFERROR(VLOOKUP(A2495,Material!$A:$H,4,0),"-")</f>
        <v>UN</v>
      </c>
      <c r="E2495" s="107">
        <v>3.5</v>
      </c>
      <c r="F2495" s="51">
        <f>IFERROR(VLOOKUP(A2495,Material!$A:$H,3,0),"-")</f>
        <v>5066.1000000000004</v>
      </c>
      <c r="G2495" s="51">
        <f t="shared" si="33"/>
        <v>17732</v>
      </c>
      <c r="H2495" s="106"/>
    </row>
    <row r="2496" spans="1:9" x14ac:dyDescent="0.25">
      <c r="A2496" s="219" t="s">
        <v>41</v>
      </c>
      <c r="B2496" s="219"/>
      <c r="C2496" s="219"/>
      <c r="D2496" s="219"/>
      <c r="E2496" s="219"/>
      <c r="F2496" s="219"/>
      <c r="G2496" s="52">
        <f>SUM(G2488:G2495)</f>
        <v>900678</v>
      </c>
      <c r="I2496" s="104"/>
    </row>
    <row r="2497" spans="1:9" x14ac:dyDescent="0.25">
      <c r="A2497" s="56"/>
      <c r="B2497" s="57"/>
      <c r="C2497" s="57"/>
      <c r="D2497" s="57"/>
      <c r="E2497" s="57"/>
      <c r="F2497" s="57"/>
      <c r="G2497" s="58"/>
    </row>
    <row r="2498" spans="1:9" x14ac:dyDescent="0.25">
      <c r="A2498" s="219" t="s">
        <v>42</v>
      </c>
      <c r="B2498" s="219"/>
      <c r="C2498" s="219"/>
      <c r="D2498" s="219"/>
      <c r="E2498" s="219"/>
      <c r="F2498" s="219"/>
      <c r="G2498" s="219"/>
    </row>
    <row r="2499" spans="1:9" x14ac:dyDescent="0.25">
      <c r="A2499" s="49" t="s">
        <v>35</v>
      </c>
      <c r="B2499" s="49" t="s">
        <v>36</v>
      </c>
      <c r="C2499" s="49" t="s">
        <v>38</v>
      </c>
      <c r="D2499" s="49" t="s">
        <v>43</v>
      </c>
      <c r="E2499" s="49" t="s">
        <v>44</v>
      </c>
      <c r="F2499" s="49" t="s">
        <v>45</v>
      </c>
      <c r="G2499" s="49" t="s">
        <v>40</v>
      </c>
    </row>
    <row r="2500" spans="1:9" x14ac:dyDescent="0.25">
      <c r="A2500" s="50" t="s">
        <v>319</v>
      </c>
      <c r="B2500" s="68" t="str">
        <f>VLOOKUP(A2500,'Componentes APUs'!$H$1:$L$25,2,0)</f>
        <v>Ingeniero Residente de Obra</v>
      </c>
      <c r="C2500" s="93">
        <v>0</v>
      </c>
      <c r="D2500" s="50">
        <f>VLOOKUP(A2500,'Componentes APUs'!$H$1:$L$25,3,0)</f>
        <v>4</v>
      </c>
      <c r="E2500" s="51">
        <f>VLOOKUP(A2500,'Componentes APUs'!$H$1:$L$25,4,0)</f>
        <v>271142.85714285716</v>
      </c>
      <c r="F2500" s="51">
        <f>VLOOKUP(A2500,'Componentes APUs'!$H$1:$L$25,5,0)</f>
        <v>162685.71428571429</v>
      </c>
      <c r="G2500" s="51">
        <f>ROUNDUP((E2500+F2500)*C2500/E2485,0)</f>
        <v>0</v>
      </c>
      <c r="H2500" s="66"/>
    </row>
    <row r="2501" spans="1:9" x14ac:dyDescent="0.25">
      <c r="A2501" s="50" t="s">
        <v>320</v>
      </c>
      <c r="B2501" s="68" t="str">
        <f>VLOOKUP(A2501,'Componentes APUs'!$H$1:$L$25,2,0)</f>
        <v>Tecnico Supervisor</v>
      </c>
      <c r="C2501" s="93">
        <v>0</v>
      </c>
      <c r="D2501" s="50">
        <f>VLOOKUP(A2501,'Componentes APUs'!$H$1:$L$25,3,0)</f>
        <v>2.2999999999999998</v>
      </c>
      <c r="E2501" s="51">
        <f>VLOOKUP(A2501,'Componentes APUs'!$H$1:$L$25,4,0)</f>
        <v>155907.14285714284</v>
      </c>
      <c r="F2501" s="51">
        <f>VLOOKUP(A2501,'Componentes APUs'!$H$1:$L$25,5,0)</f>
        <v>93544.285714285696</v>
      </c>
      <c r="G2501" s="51">
        <f>ROUNDUP((E2501+F2501)*C2501/E2485,0)</f>
        <v>0</v>
      </c>
    </row>
    <row r="2502" spans="1:9" x14ac:dyDescent="0.25">
      <c r="A2502" s="50" t="s">
        <v>54</v>
      </c>
      <c r="B2502" s="68" t="str">
        <f>VLOOKUP(A2502,'Componentes APUs'!$H$1:$L$25,2,0)</f>
        <v>Maestro de obra civil</v>
      </c>
      <c r="C2502" s="93">
        <v>0</v>
      </c>
      <c r="D2502" s="50">
        <f>VLOOKUP(A2502,'Componentes APUs'!$H$1:$L$25,3,0)</f>
        <v>2.5</v>
      </c>
      <c r="E2502" s="51">
        <f>VLOOKUP(A2502,'Componentes APUs'!$H$1:$L$25,4,0)</f>
        <v>169464.28571428571</v>
      </c>
      <c r="F2502" s="51">
        <f>VLOOKUP(A2502,'Componentes APUs'!$H$1:$L$25,5,0)</f>
        <v>101678.57142857142</v>
      </c>
      <c r="G2502" s="51">
        <f>ROUNDUP((E2502+F2502)*C2502/E2485,0)</f>
        <v>0</v>
      </c>
    </row>
    <row r="2503" spans="1:9" x14ac:dyDescent="0.25">
      <c r="A2503" s="50" t="s">
        <v>1110</v>
      </c>
      <c r="B2503" s="68" t="str">
        <f>VLOOKUP(A2503,'Componentes APUs'!$H$1:$L$25,2,0)</f>
        <v>Oficial de Obra Civil</v>
      </c>
      <c r="C2503" s="93">
        <v>1</v>
      </c>
      <c r="D2503" s="50">
        <f>VLOOKUP(A2503,'Componentes APUs'!$H$1:$L$25,3,0)</f>
        <v>1.5</v>
      </c>
      <c r="E2503" s="51">
        <f>VLOOKUP(A2503,'Componentes APUs'!$H$1:$L$25,4,0)</f>
        <v>115964.28571428571</v>
      </c>
      <c r="F2503" s="51">
        <f>VLOOKUP(A2503,'Componentes APUs'!$H$1:$L$25,5,0)</f>
        <v>69578.57142857142</v>
      </c>
      <c r="G2503" s="51">
        <f>ROUNDUP((E2503+F2503)*C2503/E2485,0)</f>
        <v>61848</v>
      </c>
    </row>
    <row r="2504" spans="1:9" x14ac:dyDescent="0.25">
      <c r="A2504" s="50" t="s">
        <v>50</v>
      </c>
      <c r="B2504" s="68" t="str">
        <f>VLOOKUP(A2504,'Componentes APUs'!$H$1:$L$25,2,0)</f>
        <v>Profesional en SST</v>
      </c>
      <c r="C2504" s="93">
        <v>0.25</v>
      </c>
      <c r="D2504" s="50">
        <f>VLOOKUP(A2504,'Componentes APUs'!$H$1:$L$25,3,0)</f>
        <v>2.5</v>
      </c>
      <c r="E2504" s="51">
        <f>VLOOKUP(A2504,'Componentes APUs'!$H$1:$L$25,4,0)</f>
        <v>169464.28571428571</v>
      </c>
      <c r="F2504" s="51">
        <f>VLOOKUP(A2504,'Componentes APUs'!$H$1:$L$25,5,0)</f>
        <v>101678.57142857142</v>
      </c>
      <c r="G2504" s="51">
        <f>ROUNDUP((E2504+F2504)*C2504/E2485,0)</f>
        <v>22596</v>
      </c>
    </row>
    <row r="2505" spans="1:9" x14ac:dyDescent="0.25">
      <c r="A2505" s="50" t="s">
        <v>1109</v>
      </c>
      <c r="B2505" s="68" t="str">
        <f>VLOOKUP(A2505,'Componentes APUs'!$H$1:$L$25,2,0)</f>
        <v>Ayudante de Obra Civil</v>
      </c>
      <c r="C2505" s="93">
        <v>1</v>
      </c>
      <c r="D2505" s="50">
        <f>VLOOKUP(A2505,'Componentes APUs'!$H$1:$L$25,3,0)</f>
        <v>1</v>
      </c>
      <c r="E2505" s="51">
        <f>VLOOKUP(A2505,'Componentes APUs'!$H$1:$L$25,4,0)</f>
        <v>77309.523809523816</v>
      </c>
      <c r="F2505" s="51">
        <f>VLOOKUP(A2505,'Componentes APUs'!$H$1:$L$25,5,0)</f>
        <v>46385.71428571429</v>
      </c>
      <c r="G2505" s="51">
        <f>ROUNDUP((E2505+F2505)*C2505/E2485,0)</f>
        <v>41232</v>
      </c>
    </row>
    <row r="2506" spans="1:9" x14ac:dyDescent="0.25">
      <c r="A2506" s="219" t="s">
        <v>56</v>
      </c>
      <c r="B2506" s="219"/>
      <c r="C2506" s="219"/>
      <c r="D2506" s="219"/>
      <c r="E2506" s="219"/>
      <c r="F2506" s="219"/>
      <c r="G2506" s="52">
        <f>SUM(G2500:G2505)</f>
        <v>125676</v>
      </c>
    </row>
    <row r="2507" spans="1:9" x14ac:dyDescent="0.25">
      <c r="A2507" s="56"/>
      <c r="B2507" s="57"/>
      <c r="C2507" s="57"/>
      <c r="D2507" s="57"/>
      <c r="E2507" s="57"/>
      <c r="F2507" s="57"/>
      <c r="G2507" s="58"/>
    </row>
    <row r="2508" spans="1:9" x14ac:dyDescent="0.25">
      <c r="A2508" s="219" t="s">
        <v>57</v>
      </c>
      <c r="B2508" s="219"/>
      <c r="C2508" s="219"/>
      <c r="D2508" s="219"/>
      <c r="E2508" s="219"/>
      <c r="F2508" s="219"/>
      <c r="G2508" s="219"/>
    </row>
    <row r="2509" spans="1:9" x14ac:dyDescent="0.25">
      <c r="A2509" s="49" t="s">
        <v>35</v>
      </c>
      <c r="B2509" s="219" t="s">
        <v>36</v>
      </c>
      <c r="C2509" s="219"/>
      <c r="D2509" s="49" t="s">
        <v>37</v>
      </c>
      <c r="E2509" s="49" t="s">
        <v>38</v>
      </c>
      <c r="F2509" s="49" t="s">
        <v>39</v>
      </c>
      <c r="G2509" s="49" t="s">
        <v>40</v>
      </c>
    </row>
    <row r="2510" spans="1:9" x14ac:dyDescent="0.25">
      <c r="A2510" s="50" t="s">
        <v>326</v>
      </c>
      <c r="B2510" s="220" t="str">
        <f>VLOOKUP(A2510,'Componentes APUs'!$S$1:$V$10,2,0)</f>
        <v>Juego Llaves</v>
      </c>
      <c r="C2510" s="220"/>
      <c r="D2510" s="50" t="s">
        <v>18</v>
      </c>
      <c r="E2510" s="50">
        <v>0</v>
      </c>
      <c r="F2510" s="51">
        <f>VLOOKUP(A2510,'Componentes APUs'!$S$1:$V$10,4,0)</f>
        <v>9167</v>
      </c>
      <c r="G2510" s="51">
        <f>ROUNDUP(F2510*((E2510/21)/E2485),0)</f>
        <v>0</v>
      </c>
      <c r="I2510" s="91"/>
    </row>
    <row r="2511" spans="1:9" x14ac:dyDescent="0.25">
      <c r="A2511" s="50" t="s">
        <v>58</v>
      </c>
      <c r="B2511" s="220" t="str">
        <f>VLOOKUP(A2511,'Componentes APUs'!$S$1:$V$10,2,0)</f>
        <v>Manila de servicio</v>
      </c>
      <c r="C2511" s="220"/>
      <c r="D2511" s="50" t="s">
        <v>18</v>
      </c>
      <c r="E2511" s="50">
        <v>0</v>
      </c>
      <c r="F2511" s="51">
        <f>VLOOKUP(A2511,'Componentes APUs'!$S$1:$V$10,4,0)</f>
        <v>2333</v>
      </c>
      <c r="G2511" s="51">
        <f>ROUNDUP(F2511*((E2511/21)/E2485),0)</f>
        <v>0</v>
      </c>
    </row>
    <row r="2512" spans="1:9" x14ac:dyDescent="0.25">
      <c r="A2512" s="50" t="s">
        <v>327</v>
      </c>
      <c r="B2512" s="220" t="str">
        <f>VLOOKUP(A2512,'Componentes APUs'!$S$1:$V$10,2,0)</f>
        <v>Tula portaherramientas</v>
      </c>
      <c r="C2512" s="220"/>
      <c r="D2512" s="50" t="s">
        <v>18</v>
      </c>
      <c r="E2512" s="50">
        <v>0</v>
      </c>
      <c r="F2512" s="51">
        <f>VLOOKUP(A2512,'Componentes APUs'!$S$1:$V$10,4,0)</f>
        <v>1250</v>
      </c>
      <c r="G2512" s="51">
        <f>ROUNDUP(F2512*((E2512/21)/E2485),0)</f>
        <v>0</v>
      </c>
    </row>
    <row r="2513" spans="1:9" x14ac:dyDescent="0.25">
      <c r="A2513" s="50" t="s">
        <v>60</v>
      </c>
      <c r="B2513" s="220" t="str">
        <f>VLOOKUP(A2513,'Componentes APUs'!$S$1:$V$10,2,0)</f>
        <v>Agarradoras</v>
      </c>
      <c r="C2513" s="220"/>
      <c r="D2513" s="50" t="s">
        <v>18</v>
      </c>
      <c r="E2513" s="50">
        <v>0</v>
      </c>
      <c r="F2513" s="51">
        <f>VLOOKUP(A2513,'Componentes APUs'!$S$1:$V$10,4,0)</f>
        <v>125000</v>
      </c>
      <c r="G2513" s="51">
        <f>ROUNDUP(F2513*((E2513/21)/E2485),0)</f>
        <v>0</v>
      </c>
    </row>
    <row r="2514" spans="1:9" x14ac:dyDescent="0.25">
      <c r="A2514" s="50" t="s">
        <v>62</v>
      </c>
      <c r="B2514" s="220" t="str">
        <f>VLOOKUP(A2514,'Componentes APUs'!$S$1:$V$10,2,0)</f>
        <v>Templadoras</v>
      </c>
      <c r="C2514" s="220"/>
      <c r="D2514" s="50" t="s">
        <v>18</v>
      </c>
      <c r="E2514" s="50">
        <v>0</v>
      </c>
      <c r="F2514" s="51">
        <f>VLOOKUP(A2514,'Componentes APUs'!$S$1:$V$10,4,0)</f>
        <v>250000</v>
      </c>
      <c r="G2514" s="51">
        <f>ROUNDUP(F2514*((E2514/21)/E2485),0)</f>
        <v>0</v>
      </c>
    </row>
    <row r="2515" spans="1:9" x14ac:dyDescent="0.25">
      <c r="A2515" s="50" t="s">
        <v>328</v>
      </c>
      <c r="B2515" s="220" t="str">
        <f>VLOOKUP(A2515,'Componentes APUs'!$S$1:$V$10,2,0)</f>
        <v>Herramienta Menor</v>
      </c>
      <c r="C2515" s="220"/>
      <c r="D2515" s="50" t="s">
        <v>18</v>
      </c>
      <c r="E2515" s="50">
        <v>2</v>
      </c>
      <c r="F2515" s="51">
        <f>VLOOKUP(A2515,'Componentes APUs'!$S$1:$V$10,4,0)</f>
        <v>75758</v>
      </c>
      <c r="G2515" s="51">
        <f>ROUNDUP(F2515*((E2515/21)/E2485),0)</f>
        <v>2406</v>
      </c>
    </row>
    <row r="2516" spans="1:9" x14ac:dyDescent="0.25">
      <c r="A2516" s="219" t="s">
        <v>69</v>
      </c>
      <c r="B2516" s="219"/>
      <c r="C2516" s="219"/>
      <c r="D2516" s="219"/>
      <c r="E2516" s="219"/>
      <c r="F2516" s="219"/>
      <c r="G2516" s="52">
        <f>SUM(G2510:G2515)</f>
        <v>2406</v>
      </c>
    </row>
    <row r="2517" spans="1:9" x14ac:dyDescent="0.25">
      <c r="A2517" s="56"/>
      <c r="B2517" s="57"/>
      <c r="C2517" s="57"/>
      <c r="D2517" s="57"/>
      <c r="E2517" s="57"/>
      <c r="F2517" s="57"/>
      <c r="G2517" s="58"/>
    </row>
    <row r="2518" spans="1:9" x14ac:dyDescent="0.25">
      <c r="A2518" s="219" t="s">
        <v>70</v>
      </c>
      <c r="B2518" s="219"/>
      <c r="C2518" s="219"/>
      <c r="D2518" s="219"/>
      <c r="E2518" s="219"/>
      <c r="F2518" s="219"/>
      <c r="G2518" s="219"/>
    </row>
    <row r="2519" spans="1:9" x14ac:dyDescent="0.25">
      <c r="A2519" s="49" t="s">
        <v>35</v>
      </c>
      <c r="B2519" s="219" t="s">
        <v>36</v>
      </c>
      <c r="C2519" s="219"/>
      <c r="D2519" s="49" t="s">
        <v>37</v>
      </c>
      <c r="E2519" s="49" t="s">
        <v>38</v>
      </c>
      <c r="F2519" s="49" t="s">
        <v>39</v>
      </c>
      <c r="G2519" s="49" t="s">
        <v>40</v>
      </c>
    </row>
    <row r="2520" spans="1:9" x14ac:dyDescent="0.25">
      <c r="A2520" s="50" t="s">
        <v>71</v>
      </c>
      <c r="B2520" s="71" t="str">
        <f>VLOOKUP(A2520,'Componentes APUs'!$A$1:$D$14,2,0)</f>
        <v>Camisa indigo sin partes metalicas</v>
      </c>
      <c r="C2520" s="71"/>
      <c r="D2520" s="50" t="str">
        <f>VLOOKUP(A2520,'Componentes APUs'!$A$1:$D$14,3,0)</f>
        <v>U</v>
      </c>
      <c r="E2520" s="50">
        <f>SUM(C2500:C2505)</f>
        <v>2.25</v>
      </c>
      <c r="F2520" s="51">
        <f>VLOOKUP(A2520,'Componentes APUs'!$A$1:$D$14,4,0)</f>
        <v>8585.8585858585866</v>
      </c>
      <c r="G2520" s="51">
        <f>ROUNDUP(F2520*(E2520/21)/E2485,0)</f>
        <v>307</v>
      </c>
      <c r="I2520" s="91"/>
    </row>
    <row r="2521" spans="1:9" x14ac:dyDescent="0.25">
      <c r="A2521" s="69" t="s">
        <v>73</v>
      </c>
      <c r="B2521" s="72" t="str">
        <f>VLOOKUP(A2521,'Componentes APUs'!$A$1:$D$14,2,0)</f>
        <v>Bota de seguridad dielectrica</v>
      </c>
      <c r="C2521" s="73"/>
      <c r="D2521" s="70" t="str">
        <f>VLOOKUP(A2521,'Componentes APUs'!$A$1:$D$14,3,0)</f>
        <v>Par</v>
      </c>
      <c r="E2521" s="50">
        <f>SUM(C2500:C2505)</f>
        <v>2.25</v>
      </c>
      <c r="F2521" s="51">
        <f>VLOOKUP(A2521,'Componentes APUs'!$A$1:$D$14,4,0)</f>
        <v>7500</v>
      </c>
      <c r="G2521" s="51">
        <f>ROUNDUP(F2521*(E2521/21)/E2485,0)</f>
        <v>268</v>
      </c>
    </row>
    <row r="2522" spans="1:9" x14ac:dyDescent="0.25">
      <c r="A2522" s="50" t="s">
        <v>76</v>
      </c>
      <c r="B2522" s="72" t="str">
        <f>VLOOKUP(A2522,'Componentes APUs'!$A$1:$D$14,2,0)</f>
        <v>Casco dielectrico Tipo 1 Clase E con barbuquejo</v>
      </c>
      <c r="C2522" s="73"/>
      <c r="D2522" s="50" t="str">
        <f>VLOOKUP(A2522,'Componentes APUs'!$A$1:$D$14,3,0)</f>
        <v>U</v>
      </c>
      <c r="E2522" s="50">
        <f>C2500+C2501+C2503+C2504+C2505+IF(A2502&lt;&gt;"MO-3",C2502,0)</f>
        <v>2.25</v>
      </c>
      <c r="F2522" s="51">
        <f>VLOOKUP(A2522,'Componentes APUs'!$A$1:$D$14,4,0)</f>
        <v>10101.010101010101</v>
      </c>
      <c r="G2522" s="51">
        <f>ROUNDUP(F2522*(E2522/21)/E2485,0)</f>
        <v>361</v>
      </c>
    </row>
    <row r="2523" spans="1:9" x14ac:dyDescent="0.25">
      <c r="A2523" s="69" t="s">
        <v>77</v>
      </c>
      <c r="B2523" s="72" t="str">
        <f>VLOOKUP(A2523,'Componentes APUs'!$A$1:$D$14,2,0)</f>
        <v>Correa plastica y antiflama</v>
      </c>
      <c r="C2523" s="73"/>
      <c r="D2523" s="50" t="str">
        <f>VLOOKUP(A2523,'Componentes APUs'!$A$1:$D$14,3,0)</f>
        <v>U</v>
      </c>
      <c r="E2523" s="50">
        <f>SUM(C2500:C2505)</f>
        <v>2.25</v>
      </c>
      <c r="F2523" s="51">
        <f>VLOOKUP(A2523,'Componentes APUs'!$A$1:$D$14,4,0)</f>
        <v>3787.878787878788</v>
      </c>
      <c r="G2523" s="51">
        <f>ROUNDUP(F2523*(E2523/21)/E2485,0)</f>
        <v>136</v>
      </c>
    </row>
    <row r="2524" spans="1:9" x14ac:dyDescent="0.25">
      <c r="A2524" s="50" t="s">
        <v>79</v>
      </c>
      <c r="B2524" s="72" t="str">
        <f>VLOOKUP(A2524,'Componentes APUs'!$A$1:$D$14,2,0)</f>
        <v>Gafas protectoras filtro UV</v>
      </c>
      <c r="C2524" s="73"/>
      <c r="D2524" s="50" t="str">
        <f>VLOOKUP(A2524,'Componentes APUs'!$A$1:$D$14,3,0)</f>
        <v>U</v>
      </c>
      <c r="E2524" s="50">
        <f>SUM(C2500:C2505)</f>
        <v>2.25</v>
      </c>
      <c r="F2524" s="51">
        <f>VLOOKUP(A2524,'Componentes APUs'!$A$1:$D$14,4,0)</f>
        <v>2777.7777777777778</v>
      </c>
      <c r="G2524" s="51">
        <f>ROUNDUP(F2524*(E2524/21)/E2485,0)</f>
        <v>100</v>
      </c>
    </row>
    <row r="2525" spans="1:9" x14ac:dyDescent="0.25">
      <c r="A2525" s="69" t="s">
        <v>402</v>
      </c>
      <c r="B2525" s="72" t="str">
        <f>VLOOKUP(A2525,'Componentes APUs'!$A$1:$D$14,2,0)</f>
        <v>Bota de seguridad PVC dielectrica</v>
      </c>
      <c r="C2525" s="73"/>
      <c r="D2525" s="50" t="str">
        <f>VLOOKUP(A2525,'Componentes APUs'!$A$1:$D$14,3,0)</f>
        <v>Par</v>
      </c>
      <c r="E2525" s="50">
        <f>SUM(C2500:C2505)</f>
        <v>2.25</v>
      </c>
      <c r="F2525" s="51">
        <f>VLOOKUP(A2525,'Componentes APUs'!$A$1:$D$14,4,0)</f>
        <v>2916.6666666666665</v>
      </c>
      <c r="G2525" s="51">
        <f>ROUNDUP(F2525*(E2525/21)/E2485,0)</f>
        <v>105</v>
      </c>
    </row>
    <row r="2526" spans="1:9" x14ac:dyDescent="0.25">
      <c r="A2526" s="50" t="s">
        <v>403</v>
      </c>
      <c r="B2526" s="72" t="str">
        <f>VLOOKUP(A2526,'Componentes APUs'!$A$1:$D$14,2,0)</f>
        <v>Capuchon</v>
      </c>
      <c r="C2526" s="73"/>
      <c r="D2526" s="50" t="str">
        <f>VLOOKUP(A2526,'Componentes APUs'!$A$1:$D$14,3,0)</f>
        <v>U</v>
      </c>
      <c r="E2526" s="50">
        <f>SUM(C2500:C2505)</f>
        <v>2.25</v>
      </c>
      <c r="F2526" s="51">
        <f>VLOOKUP(A2526,'Componentes APUs'!$A$1:$D$14,4,0)</f>
        <v>2525.2525252525252</v>
      </c>
      <c r="G2526" s="51">
        <f>ROUNDUP(F2526*(E2526/21)/E2485,0)</f>
        <v>91</v>
      </c>
    </row>
    <row r="2527" spans="1:9" x14ac:dyDescent="0.25">
      <c r="A2527" s="69" t="s">
        <v>81</v>
      </c>
      <c r="B2527" s="72" t="str">
        <f>VLOOKUP(A2527,'Componentes APUs'!$A$1:$D$14,2,0)</f>
        <v>Guantes Protectores  - ingeniero reforzados</v>
      </c>
      <c r="C2527" s="73"/>
      <c r="D2527" s="50" t="str">
        <f>VLOOKUP(A2527,'Componentes APUs'!$A$1:$D$14,3,0)</f>
        <v>Par</v>
      </c>
      <c r="E2527" s="50">
        <f>C2502+C2503+C2505</f>
        <v>2</v>
      </c>
      <c r="F2527" s="51">
        <f>VLOOKUP(A2527,'Componentes APUs'!$A$1:$D$14,4,0)</f>
        <v>2525.2525252525252</v>
      </c>
      <c r="G2527" s="51">
        <f>ROUNDUP(F2527*(E2527/21)/E2485,0)</f>
        <v>81</v>
      </c>
    </row>
    <row r="2528" spans="1:9" x14ac:dyDescent="0.25">
      <c r="A2528" s="50" t="s">
        <v>83</v>
      </c>
      <c r="B2528" s="72" t="str">
        <f>VLOOKUP(A2528,'Componentes APUs'!$A$1:$D$14,2,0)</f>
        <v>Impermeable (pantalon camisa)</v>
      </c>
      <c r="C2528" s="73"/>
      <c r="D2528" s="50" t="str">
        <f>VLOOKUP(A2528,'Componentes APUs'!$A$1:$D$14,3,0)</f>
        <v>U</v>
      </c>
      <c r="E2528" s="50">
        <f>SUM(C2500:C2505)</f>
        <v>2.25</v>
      </c>
      <c r="F2528" s="51">
        <f>VLOOKUP(A2528,'Componentes APUs'!$A$1:$D$14,4,0)</f>
        <v>3750</v>
      </c>
      <c r="G2528" s="51">
        <f>ROUNDUP(F2528*(E2528/21)/E2485,0)</f>
        <v>134</v>
      </c>
    </row>
    <row r="2529" spans="1:7" x14ac:dyDescent="0.25">
      <c r="A2529" s="69" t="s">
        <v>85</v>
      </c>
      <c r="B2529" s="72" t="str">
        <f>VLOOKUP(A2529,'Componentes APUs'!$A$1:$D$14,2,0)</f>
        <v>Jean Dielectrico</v>
      </c>
      <c r="C2529" s="73"/>
      <c r="D2529" s="50" t="str">
        <f>VLOOKUP(A2529,'Componentes APUs'!$A$1:$D$14,3,0)</f>
        <v>U</v>
      </c>
      <c r="E2529" s="50">
        <f>SUM(C2500:C2505)</f>
        <v>2.25</v>
      </c>
      <c r="F2529" s="51">
        <f>VLOOKUP(A2529,'Componentes APUs'!$A$1:$D$14,4,0)</f>
        <v>7575.757575757576</v>
      </c>
      <c r="G2529" s="51">
        <f>ROUNDUP(F2529*(E2529/21)/E2485,0)</f>
        <v>271</v>
      </c>
    </row>
    <row r="2530" spans="1:7" x14ac:dyDescent="0.25">
      <c r="A2530" s="50" t="s">
        <v>87</v>
      </c>
      <c r="B2530" s="72" t="str">
        <f>VLOOKUP(A2530,'Componentes APUs'!$A$1:$D$14,2,0)</f>
        <v>Casco dielectrico Tipo 2 Clase E con barboquejo</v>
      </c>
      <c r="C2530" s="73"/>
      <c r="D2530" s="50" t="str">
        <f>VLOOKUP(A2530,'Componentes APUs'!$A$1:$D$14,3,0)</f>
        <v>U</v>
      </c>
      <c r="E2530" s="53">
        <f>IF(A2502="MO-3",C2502,0)</f>
        <v>0</v>
      </c>
      <c r="F2530" s="51">
        <f>VLOOKUP(A2530,'Componentes APUs'!$A$1:$D$14,4,0)</f>
        <v>7500</v>
      </c>
      <c r="G2530" s="51">
        <f>ROUNDUP(F2530*(E2530/21)/E2485,0)</f>
        <v>0</v>
      </c>
    </row>
    <row r="2531" spans="1:7" x14ac:dyDescent="0.25">
      <c r="A2531" s="69" t="s">
        <v>89</v>
      </c>
      <c r="B2531" s="72" t="str">
        <f>VLOOKUP(A2531,'Componentes APUs'!$A$1:$D$14,2,0)</f>
        <v>Kit de rescate para trabajo en alturas</v>
      </c>
      <c r="C2531" s="73"/>
      <c r="D2531" s="50" t="str">
        <f>VLOOKUP(A2531,'Componentes APUs'!$A$1:$D$14,3,0)</f>
        <v>U</v>
      </c>
      <c r="E2531" s="50">
        <f>IF(AND(A2502="MO-3",C2502=2),1,0)</f>
        <v>0</v>
      </c>
      <c r="F2531" s="51">
        <f>VLOOKUP(A2531,'Componentes APUs'!$A$1:$D$14,4,0)</f>
        <v>37500</v>
      </c>
      <c r="G2531" s="51">
        <f>ROUNDUP(F2531*(E2531/21)/E2485,0)</f>
        <v>0</v>
      </c>
    </row>
    <row r="2532" spans="1:7" x14ac:dyDescent="0.25">
      <c r="A2532" s="50" t="s">
        <v>91</v>
      </c>
      <c r="B2532" s="72" t="str">
        <f>VLOOKUP(A2532,'Componentes APUs'!$A$1:$D$14,2,0)</f>
        <v>Equipo completo para trabajo en alturas con pretales (Arnes dielectrico, 1 mosqueton de seguridad, tie off dielectrico, eslinga de posicionamiento, juego de pretales)</v>
      </c>
      <c r="C2532" s="73"/>
      <c r="D2532" s="50" t="str">
        <f>VLOOKUP(A2532,'Componentes APUs'!$A$1:$D$14,3,0)</f>
        <v>U</v>
      </c>
      <c r="E2532" s="50">
        <f>IF(A2502="MO-3",C2502,0)</f>
        <v>0</v>
      </c>
      <c r="F2532" s="51">
        <f>VLOOKUP(A2532,'Componentes APUs'!$A$1:$D$14,4,0)</f>
        <v>26041.666666666668</v>
      </c>
      <c r="G2532" s="51">
        <f>ROUNDUP(F2532*(E2532/21)/E2485,0)</f>
        <v>0</v>
      </c>
    </row>
    <row r="2533" spans="1:7" x14ac:dyDescent="0.25">
      <c r="A2533" s="219" t="s">
        <v>95</v>
      </c>
      <c r="B2533" s="219"/>
      <c r="C2533" s="219"/>
      <c r="D2533" s="219"/>
      <c r="E2533" s="219"/>
      <c r="F2533" s="219"/>
      <c r="G2533" s="52">
        <f>SUM(G2520:G2532)</f>
        <v>1854</v>
      </c>
    </row>
    <row r="2534" spans="1:7" x14ac:dyDescent="0.25">
      <c r="A2534" s="56"/>
      <c r="B2534" s="57"/>
      <c r="C2534" s="57"/>
      <c r="D2534" s="57"/>
      <c r="E2534" s="57"/>
      <c r="F2534" s="57"/>
      <c r="G2534" s="58"/>
    </row>
    <row r="2535" spans="1:7" x14ac:dyDescent="0.25">
      <c r="A2535" s="219" t="s">
        <v>96</v>
      </c>
      <c r="B2535" s="219"/>
      <c r="C2535" s="219"/>
      <c r="D2535" s="219"/>
      <c r="E2535" s="219"/>
      <c r="F2535" s="219"/>
      <c r="G2535" s="219"/>
    </row>
    <row r="2536" spans="1:7" x14ac:dyDescent="0.25">
      <c r="A2536" s="49" t="s">
        <v>35</v>
      </c>
      <c r="B2536" s="225" t="s">
        <v>36</v>
      </c>
      <c r="C2536" s="225"/>
      <c r="D2536" s="49" t="s">
        <v>37</v>
      </c>
      <c r="E2536" s="49" t="s">
        <v>38</v>
      </c>
      <c r="F2536" s="49" t="s">
        <v>39</v>
      </c>
      <c r="G2536" s="49" t="s">
        <v>40</v>
      </c>
    </row>
    <row r="2537" spans="1:7" x14ac:dyDescent="0.25">
      <c r="A2537" s="69" t="s">
        <v>97</v>
      </c>
      <c r="B2537" s="72" t="str">
        <f>VLOOKUP(A2537,'Componentes APUs'!$N$1:$Q$30,2,0)</f>
        <v>Camioneta</v>
      </c>
      <c r="C2537" s="73"/>
      <c r="D2537" s="70" t="str">
        <f>VLOOKUP(A2537,'Componentes APUs'!$N$1:$Q$30,3,0)</f>
        <v>U</v>
      </c>
      <c r="E2537" s="50">
        <v>1</v>
      </c>
      <c r="F2537" s="51">
        <f>VLOOKUP(A2537,'Componentes APUs'!$N$1:$Q$30,4,0)</f>
        <v>5500000</v>
      </c>
      <c r="G2537" s="51">
        <f>IFERROR(ROUNDUP(F2537*(E2537/21)/E2485,0),"-")</f>
        <v>87302</v>
      </c>
    </row>
    <row r="2538" spans="1:7" x14ac:dyDescent="0.25">
      <c r="A2538" s="50" t="s">
        <v>1473</v>
      </c>
      <c r="B2538" s="72" t="str">
        <f>VLOOKUP(A2538,'Componentes APUs'!$N$1:$Q$30,2,0)</f>
        <v>Concretera</v>
      </c>
      <c r="C2538" s="73"/>
      <c r="D2538" s="70" t="str">
        <f>VLOOKUP(A2538,'Componentes APUs'!$N$1:$Q$30,3,0)</f>
        <v>U</v>
      </c>
      <c r="E2538" s="50">
        <v>1</v>
      </c>
      <c r="F2538" s="51">
        <f>VLOOKUP(A2538,'Componentes APUs'!$N$1:$Q$30,4,0)</f>
        <v>550704</v>
      </c>
      <c r="G2538" s="51">
        <f>IFERROR(ROUNDUP(F2538*(E2538/21)/E2485,0),"-")</f>
        <v>8742</v>
      </c>
    </row>
    <row r="2539" spans="1:7" x14ac:dyDescent="0.25">
      <c r="A2539" s="69" t="s">
        <v>1379</v>
      </c>
      <c r="B2539" s="72" t="str">
        <f>VLOOKUP(A2539,'Componentes APUs'!$N$1:$Q$30,2,0)</f>
        <v>Dumper de descarga Frontal 2T</v>
      </c>
      <c r="C2539" s="73"/>
      <c r="D2539" s="70" t="str">
        <f>VLOOKUP(A2539,'Componentes APUs'!$N$1:$Q$30,3,0)</f>
        <v>U</v>
      </c>
      <c r="E2539" s="50">
        <v>0</v>
      </c>
      <c r="F2539" s="51">
        <f>VLOOKUP(A2539,'Componentes APUs'!$N$1:$Q$30,4,0)</f>
        <v>4438716.24</v>
      </c>
      <c r="G2539" s="51">
        <f>IFERROR(ROUNDUP(F2539*(E2539/21)/E2485,0),"-")</f>
        <v>0</v>
      </c>
    </row>
    <row r="2540" spans="1:7" x14ac:dyDescent="0.25">
      <c r="A2540" s="50" t="s">
        <v>323</v>
      </c>
      <c r="B2540" s="72" t="str">
        <f>VLOOKUP(A2540,'Componentes APUs'!$N$1:$Q$30,2,0)</f>
        <v>Volqueta</v>
      </c>
      <c r="C2540" s="73"/>
      <c r="D2540" s="70" t="str">
        <f>VLOOKUP(A2540,'Componentes APUs'!$N$1:$Q$30,3,0)</f>
        <v>U</v>
      </c>
      <c r="E2540" s="50">
        <v>0</v>
      </c>
      <c r="F2540" s="51">
        <f>VLOOKUP(A2540,'Componentes APUs'!$N$1:$Q$30,4,0)</f>
        <v>14828184</v>
      </c>
      <c r="G2540" s="51">
        <f>IFERROR(ROUNDUP(F2540*(E2540/21)/E2485,0),"-")</f>
        <v>0</v>
      </c>
    </row>
    <row r="2541" spans="1:7" x14ac:dyDescent="0.25">
      <c r="A2541" s="69" t="s">
        <v>324</v>
      </c>
      <c r="B2541" s="72" t="str">
        <f>VLOOKUP(A2541,'Componentes APUs'!$N$1:$Q$30,2,0)</f>
        <v>Retroexcavadora</v>
      </c>
      <c r="C2541" s="73"/>
      <c r="D2541" s="70" t="str">
        <f>VLOOKUP(A2541,'Componentes APUs'!$N$1:$Q$30,3,0)</f>
        <v>U</v>
      </c>
      <c r="E2541" s="50">
        <v>0</v>
      </c>
      <c r="F2541" s="51">
        <f>VLOOKUP(A2541,'Componentes APUs'!$N$1:$Q$30,4,0)</f>
        <v>46030656</v>
      </c>
      <c r="G2541" s="51">
        <f>IFERROR(ROUNDUP(F2541*(E2541/21)/E2485,0),"-")</f>
        <v>0</v>
      </c>
    </row>
    <row r="2542" spans="1:7" x14ac:dyDescent="0.25">
      <c r="A2542" s="219" t="s">
        <v>99</v>
      </c>
      <c r="B2542" s="219"/>
      <c r="C2542" s="219"/>
      <c r="D2542" s="219"/>
      <c r="E2542" s="219"/>
      <c r="F2542" s="219"/>
      <c r="G2542" s="52">
        <f>SUM(G2537:G2541)</f>
        <v>96044</v>
      </c>
    </row>
    <row r="2543" spans="1:7" x14ac:dyDescent="0.25">
      <c r="A2543" s="56"/>
      <c r="B2543" s="57"/>
      <c r="C2543" s="57"/>
      <c r="D2543" s="57"/>
      <c r="E2543" s="57"/>
      <c r="F2543" s="57"/>
      <c r="G2543" s="58"/>
    </row>
    <row r="2544" spans="1:7" x14ac:dyDescent="0.25">
      <c r="A2544" s="219" t="s">
        <v>1516</v>
      </c>
      <c r="B2544" s="219"/>
      <c r="C2544" s="219"/>
      <c r="D2544" s="219"/>
      <c r="E2544" s="219"/>
      <c r="F2544" s="219"/>
      <c r="G2544" s="52">
        <f>G2542+G2533+G2516+G2506+G2496</f>
        <v>1126658</v>
      </c>
    </row>
    <row r="2545" spans="1:8" x14ac:dyDescent="0.25">
      <c r="A2545" s="59"/>
      <c r="B2545" s="60"/>
      <c r="C2545" s="60"/>
      <c r="D2545" s="60"/>
      <c r="E2545" s="57"/>
      <c r="F2545" s="57"/>
      <c r="G2545" s="58"/>
    </row>
    <row r="2546" spans="1:8" x14ac:dyDescent="0.25">
      <c r="A2546" s="64"/>
      <c r="D2546" s="55"/>
      <c r="E2546" s="49" t="s">
        <v>25</v>
      </c>
      <c r="F2546" s="54">
        <v>0.15</v>
      </c>
      <c r="G2546" s="51">
        <f>G2544*F2546</f>
        <v>168998.69999999998</v>
      </c>
    </row>
    <row r="2547" spans="1:8" x14ac:dyDescent="0.25">
      <c r="A2547" s="64"/>
      <c r="D2547" s="55"/>
      <c r="E2547" s="49" t="s">
        <v>26</v>
      </c>
      <c r="F2547" s="54">
        <v>0.05</v>
      </c>
      <c r="G2547" s="51">
        <f>G2544*F2547</f>
        <v>56332.9</v>
      </c>
    </row>
    <row r="2548" spans="1:8" x14ac:dyDescent="0.25">
      <c r="A2548" s="61"/>
      <c r="B2548" s="65"/>
      <c r="C2548" s="65"/>
      <c r="D2548" s="62"/>
      <c r="E2548" s="49" t="s">
        <v>27</v>
      </c>
      <c r="F2548" s="54">
        <v>0.05</v>
      </c>
      <c r="G2548" s="51">
        <f>G2544*F2548</f>
        <v>56332.9</v>
      </c>
    </row>
    <row r="2549" spans="1:8" x14ac:dyDescent="0.25">
      <c r="A2549" s="61"/>
      <c r="B2549" s="62"/>
      <c r="C2549" s="62"/>
      <c r="D2549" s="62"/>
      <c r="E2549" s="62"/>
      <c r="F2549" s="62"/>
      <c r="G2549" s="63"/>
    </row>
    <row r="2550" spans="1:8" x14ac:dyDescent="0.25">
      <c r="A2550" s="219" t="s">
        <v>1517</v>
      </c>
      <c r="B2550" s="219"/>
      <c r="C2550" s="219"/>
      <c r="D2550" s="219"/>
      <c r="E2550" s="219"/>
      <c r="F2550" s="219"/>
      <c r="G2550" s="52">
        <f>G2544+G2546+G2547+G2548</f>
        <v>1408322.4999999998</v>
      </c>
    </row>
    <row r="2551" spans="1:8" x14ac:dyDescent="0.25">
      <c r="A2551" s="59"/>
      <c r="B2551" s="60"/>
      <c r="C2551" s="60"/>
      <c r="D2551" s="60"/>
      <c r="E2551" s="57"/>
      <c r="F2551" s="57"/>
      <c r="G2551" s="58"/>
    </row>
    <row r="2552" spans="1:8" x14ac:dyDescent="0.25">
      <c r="A2552" s="64"/>
      <c r="D2552" s="55"/>
      <c r="E2552" s="49" t="s">
        <v>102</v>
      </c>
      <c r="F2552" s="49" t="s">
        <v>103</v>
      </c>
      <c r="G2552" s="51">
        <f>G2548*19%</f>
        <v>10703.251</v>
      </c>
    </row>
    <row r="2553" spans="1:8" x14ac:dyDescent="0.25">
      <c r="A2553" s="61"/>
      <c r="B2553" s="62"/>
      <c r="C2553" s="62"/>
      <c r="D2553" s="62"/>
      <c r="E2553" s="57"/>
      <c r="F2553" s="57"/>
      <c r="G2553" s="58"/>
    </row>
    <row r="2554" spans="1:8" x14ac:dyDescent="0.25">
      <c r="A2554" s="219" t="s">
        <v>104</v>
      </c>
      <c r="B2554" s="219"/>
      <c r="C2554" s="219"/>
      <c r="D2554" s="219"/>
      <c r="E2554" s="219"/>
      <c r="F2554" s="219"/>
      <c r="G2554" s="52">
        <f>G2552+G2550</f>
        <v>1419025.7509999997</v>
      </c>
    </row>
    <row r="2556" spans="1:8" x14ac:dyDescent="0.25">
      <c r="A2556" s="74" t="s">
        <v>29</v>
      </c>
      <c r="B2556" s="226" t="s">
        <v>30</v>
      </c>
      <c r="C2556" s="226"/>
      <c r="D2556" s="74" t="s">
        <v>31</v>
      </c>
      <c r="E2556" s="74" t="s">
        <v>32</v>
      </c>
      <c r="F2556" s="74" t="s">
        <v>189</v>
      </c>
      <c r="G2556" s="74" t="s">
        <v>33</v>
      </c>
      <c r="H2556" s="105"/>
    </row>
    <row r="2557" spans="1:8" ht="40.5" customHeight="1" x14ac:dyDescent="0.25">
      <c r="A2557" s="50" t="str">
        <f>Presupuesto!B51</f>
        <v>039_OC</v>
      </c>
      <c r="B2557" s="229" t="str">
        <f>Presupuesto!C51</f>
        <v>CAJA DE INSPECCIÓN DE 100X100 CM INTERNOS EN CONCRETO REFORZADO E INCLUYE TAPA EN CONCRETO REFORZADO CON MANIJA, HASTA 1.5 METROS DE PROFUNDIDAD</v>
      </c>
      <c r="C2557" s="230"/>
      <c r="D2557" s="50" t="s">
        <v>18</v>
      </c>
      <c r="E2557" s="107">
        <v>3</v>
      </c>
      <c r="F2557" s="50"/>
      <c r="G2557" s="51">
        <f>G2626</f>
        <v>1700161.2649999999</v>
      </c>
      <c r="H2557" s="45"/>
    </row>
    <row r="2558" spans="1:8" x14ac:dyDescent="0.25">
      <c r="A2558" s="219" t="s">
        <v>34</v>
      </c>
      <c r="B2558" s="219"/>
      <c r="C2558" s="219"/>
      <c r="D2558" s="219"/>
      <c r="E2558" s="219"/>
      <c r="F2558" s="219"/>
      <c r="G2558" s="219"/>
    </row>
    <row r="2559" spans="1:8" x14ac:dyDescent="0.25">
      <c r="A2559" s="49" t="s">
        <v>35</v>
      </c>
      <c r="B2559" s="219" t="s">
        <v>36</v>
      </c>
      <c r="C2559" s="219"/>
      <c r="D2559" s="49" t="s">
        <v>37</v>
      </c>
      <c r="E2559" s="49" t="s">
        <v>38</v>
      </c>
      <c r="F2559" s="49" t="s">
        <v>39</v>
      </c>
      <c r="G2559" s="49" t="s">
        <v>40</v>
      </c>
    </row>
    <row r="2560" spans="1:8" x14ac:dyDescent="0.25">
      <c r="A2560" s="50" t="str">
        <f>Material!A460</f>
        <v>MA-459</v>
      </c>
      <c r="B2560" s="72" t="str">
        <f>IFERROR(VLOOKUP(A2560,Material!$A:$H,2,0),"-")</f>
        <v>CONCRETO 4000 PSI</v>
      </c>
      <c r="C2560" s="76"/>
      <c r="D2560" s="50" t="str">
        <f>IFERROR(VLOOKUP(A2560,Material!$A:$H,4,0),"-")</f>
        <v>M3</v>
      </c>
      <c r="E2560" s="96">
        <v>0.498</v>
      </c>
      <c r="F2560" s="51">
        <f>IFERROR(VLOOKUP(A2560,Material!$A:$H,3,0),"-")</f>
        <v>813410.53161779384</v>
      </c>
      <c r="G2560" s="51">
        <f t="shared" ref="G2560" si="34">IFERROR(ROUNDUP(F2560*E2560,0),"-")</f>
        <v>405079</v>
      </c>
      <c r="H2560" s="106"/>
    </row>
    <row r="2561" spans="1:9" x14ac:dyDescent="0.25">
      <c r="A2561" s="50" t="str">
        <f>Material!A461</f>
        <v>MA-460</v>
      </c>
      <c r="B2561" s="72" t="str">
        <f>IFERROR(VLOOKUP(A2561,Material!$A:$H,2,0),"-")</f>
        <v>LADRILLO TOLETE 20 X 10 X 6 cm</v>
      </c>
      <c r="C2561" s="76"/>
      <c r="D2561" s="50" t="str">
        <f>IFERROR(VLOOKUP(A2561,Material!$A:$H,4,0),"-")</f>
        <v>UN</v>
      </c>
      <c r="E2561" s="53">
        <v>496</v>
      </c>
      <c r="F2561" s="51">
        <f>IFERROR(VLOOKUP(A2561,Material!$A:$H,3,0),"-")</f>
        <v>1170</v>
      </c>
      <c r="G2561" s="51">
        <f>IFERROR(ROUNDUP(F2561*E2561,0),"-")</f>
        <v>580320</v>
      </c>
      <c r="H2561" s="106"/>
    </row>
    <row r="2562" spans="1:9" x14ac:dyDescent="0.25">
      <c r="A2562" s="50" t="str">
        <f>Material!A282</f>
        <v>MA-281</v>
      </c>
      <c r="B2562" s="72" t="str">
        <f>IFERROR(VLOOKUP(A2562,Material!$A:$H,2,0),"-")</f>
        <v>AGUA</v>
      </c>
      <c r="C2562" s="76"/>
      <c r="D2562" s="50" t="str">
        <f>IFERROR(VLOOKUP(A2562,Material!$A:$H,4,0),"-")</f>
        <v>M3</v>
      </c>
      <c r="E2562" s="96">
        <v>5.8000000000000003E-2</v>
      </c>
      <c r="F2562" s="51">
        <f>IFERROR(VLOOKUP(A2562,Material!$A:$H,3,0),"-")</f>
        <v>94.9</v>
      </c>
      <c r="G2562" s="51">
        <f>IFERROR(ROUNDUP(F2562*E2562,0),"-")</f>
        <v>6</v>
      </c>
      <c r="H2562" s="106"/>
    </row>
    <row r="2563" spans="1:9" x14ac:dyDescent="0.25">
      <c r="A2563" s="50" t="str">
        <f>Material!A361</f>
        <v>MA-360</v>
      </c>
      <c r="B2563" s="72" t="str">
        <f>IFERROR(VLOOKUP(A2563,Material!$A:$H,2,0),"-")</f>
        <v>ARENA DE CANTERA, PARA MORTERO PREPARADO EN OBRA</v>
      </c>
      <c r="C2563" s="76"/>
      <c r="D2563" s="50" t="str">
        <f>IFERROR(VLOOKUP(A2563,Material!$A:$H,4,0),"-")</f>
        <v>T</v>
      </c>
      <c r="E2563" s="96">
        <v>0.45600000000000002</v>
      </c>
      <c r="F2563" s="51">
        <f>IFERROR(VLOOKUP(A2563,Material!$A:$H,3,0),"-")</f>
        <v>58500</v>
      </c>
      <c r="G2563" s="51">
        <f>IFERROR(ROUNDUP(F2563*E2563,0),"-")</f>
        <v>26676</v>
      </c>
      <c r="H2563" s="106"/>
    </row>
    <row r="2564" spans="1:9" x14ac:dyDescent="0.25">
      <c r="A2564" s="50" t="str">
        <f>Material!A311</f>
        <v>MA-310</v>
      </c>
      <c r="B2564" s="72" t="str">
        <f>IFERROR(VLOOKUP(A2564,Material!$A:$H,2,0),"-")</f>
        <v>CEMENTO GRIS</v>
      </c>
      <c r="C2564" s="76"/>
      <c r="D2564" s="50" t="str">
        <f>IFERROR(VLOOKUP(A2564,Material!$A:$H,4,0),"-")</f>
        <v>KG</v>
      </c>
      <c r="E2564" s="107">
        <v>93.378</v>
      </c>
      <c r="F2564" s="51">
        <f>IFERROR(VLOOKUP(A2564,Material!$A:$H,3,0),"-")</f>
        <v>845</v>
      </c>
      <c r="G2564" s="51">
        <f t="shared" ref="G2564:G2567" si="35">IFERROR(ROUNDUP(F2564*E2564,0),"-")</f>
        <v>78905</v>
      </c>
      <c r="H2564" s="106"/>
    </row>
    <row r="2565" spans="1:9" ht="26.25" customHeight="1" x14ac:dyDescent="0.25">
      <c r="A2565" s="50" t="str">
        <f>Material!A457</f>
        <v>MA-456</v>
      </c>
      <c r="B2565" s="221" t="str">
        <f>IFERROR(VLOOKUP(A2565,Material!$A:$H,2,0),"-")</f>
        <v>MALLA ELECTROSOLDADA H 15x15 CM DIÁM 6MM (2.35 x 6 M) XX-188</v>
      </c>
      <c r="C2565" s="222"/>
      <c r="D2565" s="50" t="str">
        <f>IFERROR(VLOOKUP(A2565,Material!$A:$H,4,0),"-")</f>
        <v>KG</v>
      </c>
      <c r="E2565" s="107">
        <v>1.3460000000000001</v>
      </c>
      <c r="F2565" s="51">
        <f>IFERROR(VLOOKUP(A2565,Material!$A:$H,3,0),"-")</f>
        <v>5749.9000000000005</v>
      </c>
      <c r="G2565" s="51">
        <f t="shared" si="35"/>
        <v>7740</v>
      </c>
      <c r="H2565" s="106"/>
    </row>
    <row r="2566" spans="1:9" ht="27" customHeight="1" x14ac:dyDescent="0.25">
      <c r="A2566" s="50" t="str">
        <f>Material!A516</f>
        <v>MA-515</v>
      </c>
      <c r="B2566" s="221" t="str">
        <f>IFERROR(VLOOKUP(A2566,Material!$A:$H,2,0),"-")</f>
        <v>ADITIVO HIDRÓFUGO PARA IMPERMEABILIZACIÓN DE MORTEROS U CONCRETOS</v>
      </c>
      <c r="C2566" s="222"/>
      <c r="D2566" s="50" t="str">
        <f>IFERROR(VLOOKUP(A2566,Material!$A:$H,4,0),"-")</f>
        <v>KG</v>
      </c>
      <c r="E2566" s="107">
        <v>0.94499999999999995</v>
      </c>
      <c r="F2566" s="51">
        <f>IFERROR(VLOOKUP(A2566,Material!$A:$H,3,0),"-")</f>
        <v>5183.1000000000004</v>
      </c>
      <c r="G2566" s="51">
        <f t="shared" si="35"/>
        <v>4899</v>
      </c>
      <c r="H2566" s="106"/>
    </row>
    <row r="2567" spans="1:9" ht="24.75" customHeight="1" x14ac:dyDescent="0.25">
      <c r="A2567" s="50" t="str">
        <f>Material!A517</f>
        <v>MA-516</v>
      </c>
      <c r="B2567" s="221" t="str">
        <f>IFERROR(VLOOKUP(A2567,Material!$A:$H,2,0),"-")</f>
        <v>TABLERO CERÁMICO HUECO MACHIHEMBRADO, PARA REVESTIR</v>
      </c>
      <c r="C2567" s="222"/>
      <c r="D2567" s="50" t="str">
        <f>IFERROR(VLOOKUP(A2567,Material!$A:$H,4,0),"-")</f>
        <v>UN</v>
      </c>
      <c r="E2567" s="107">
        <v>4</v>
      </c>
      <c r="F2567" s="51">
        <f>IFERROR(VLOOKUP(A2567,Material!$A:$H,3,0),"-")</f>
        <v>5066.1000000000004</v>
      </c>
      <c r="G2567" s="51">
        <f t="shared" si="35"/>
        <v>20265</v>
      </c>
      <c r="H2567" s="106"/>
    </row>
    <row r="2568" spans="1:9" x14ac:dyDescent="0.25">
      <c r="A2568" s="219" t="s">
        <v>41</v>
      </c>
      <c r="B2568" s="219"/>
      <c r="C2568" s="219"/>
      <c r="D2568" s="219"/>
      <c r="E2568" s="219"/>
      <c r="F2568" s="219"/>
      <c r="G2568" s="52">
        <f>SUM(G2560:G2567)</f>
        <v>1123890</v>
      </c>
      <c r="I2568" s="104"/>
    </row>
    <row r="2569" spans="1:9" x14ac:dyDescent="0.25">
      <c r="A2569" s="56"/>
      <c r="B2569" s="57"/>
      <c r="C2569" s="57"/>
      <c r="D2569" s="57"/>
      <c r="E2569" s="57"/>
      <c r="F2569" s="57"/>
      <c r="G2569" s="58"/>
    </row>
    <row r="2570" spans="1:9" x14ac:dyDescent="0.25">
      <c r="A2570" s="219" t="s">
        <v>42</v>
      </c>
      <c r="B2570" s="219"/>
      <c r="C2570" s="219"/>
      <c r="D2570" s="219"/>
      <c r="E2570" s="219"/>
      <c r="F2570" s="219"/>
      <c r="G2570" s="219"/>
    </row>
    <row r="2571" spans="1:9" x14ac:dyDescent="0.25">
      <c r="A2571" s="49" t="s">
        <v>35</v>
      </c>
      <c r="B2571" s="49" t="s">
        <v>36</v>
      </c>
      <c r="C2571" s="49" t="s">
        <v>38</v>
      </c>
      <c r="D2571" s="49" t="s">
        <v>43</v>
      </c>
      <c r="E2571" s="49" t="s">
        <v>44</v>
      </c>
      <c r="F2571" s="49" t="s">
        <v>45</v>
      </c>
      <c r="G2571" s="49" t="s">
        <v>40</v>
      </c>
    </row>
    <row r="2572" spans="1:9" x14ac:dyDescent="0.25">
      <c r="A2572" s="50" t="s">
        <v>319</v>
      </c>
      <c r="B2572" s="68" t="str">
        <f>VLOOKUP(A2572,'Componentes APUs'!$H$1:$L$25,2,0)</f>
        <v>Ingeniero Residente de Obra</v>
      </c>
      <c r="C2572" s="93">
        <v>0</v>
      </c>
      <c r="D2572" s="50">
        <f>VLOOKUP(A2572,'Componentes APUs'!$H$1:$L$25,3,0)</f>
        <v>4</v>
      </c>
      <c r="E2572" s="51">
        <f>VLOOKUP(A2572,'Componentes APUs'!$H$1:$L$25,4,0)</f>
        <v>271142.85714285716</v>
      </c>
      <c r="F2572" s="51">
        <f>VLOOKUP(A2572,'Componentes APUs'!$H$1:$L$25,5,0)</f>
        <v>162685.71428571429</v>
      </c>
      <c r="G2572" s="51">
        <f>ROUNDUP((E2572+F2572)*C2572/E2557,0)</f>
        <v>0</v>
      </c>
      <c r="H2572" s="66"/>
    </row>
    <row r="2573" spans="1:9" x14ac:dyDescent="0.25">
      <c r="A2573" s="50" t="s">
        <v>320</v>
      </c>
      <c r="B2573" s="68" t="str">
        <f>VLOOKUP(A2573,'Componentes APUs'!$H$1:$L$25,2,0)</f>
        <v>Tecnico Supervisor</v>
      </c>
      <c r="C2573" s="93">
        <v>0</v>
      </c>
      <c r="D2573" s="50">
        <f>VLOOKUP(A2573,'Componentes APUs'!$H$1:$L$25,3,0)</f>
        <v>2.2999999999999998</v>
      </c>
      <c r="E2573" s="51">
        <f>VLOOKUP(A2573,'Componentes APUs'!$H$1:$L$25,4,0)</f>
        <v>155907.14285714284</v>
      </c>
      <c r="F2573" s="51">
        <f>VLOOKUP(A2573,'Componentes APUs'!$H$1:$L$25,5,0)</f>
        <v>93544.285714285696</v>
      </c>
      <c r="G2573" s="51">
        <f>ROUNDUP((E2573+F2573)*C2573/E2557,0)</f>
        <v>0</v>
      </c>
    </row>
    <row r="2574" spans="1:9" x14ac:dyDescent="0.25">
      <c r="A2574" s="50" t="s">
        <v>54</v>
      </c>
      <c r="B2574" s="68" t="str">
        <f>VLOOKUP(A2574,'Componentes APUs'!$H$1:$L$25,2,0)</f>
        <v>Maestro de obra civil</v>
      </c>
      <c r="C2574" s="93">
        <v>0</v>
      </c>
      <c r="D2574" s="50">
        <f>VLOOKUP(A2574,'Componentes APUs'!$H$1:$L$25,3,0)</f>
        <v>2.5</v>
      </c>
      <c r="E2574" s="51">
        <f>VLOOKUP(A2574,'Componentes APUs'!$H$1:$L$25,4,0)</f>
        <v>169464.28571428571</v>
      </c>
      <c r="F2574" s="51">
        <f>VLOOKUP(A2574,'Componentes APUs'!$H$1:$L$25,5,0)</f>
        <v>101678.57142857142</v>
      </c>
      <c r="G2574" s="51">
        <f>ROUNDUP((E2574+F2574)*C2574/E2557,0)</f>
        <v>0</v>
      </c>
    </row>
    <row r="2575" spans="1:9" x14ac:dyDescent="0.25">
      <c r="A2575" s="50" t="s">
        <v>1110</v>
      </c>
      <c r="B2575" s="68" t="str">
        <f>VLOOKUP(A2575,'Componentes APUs'!$H$1:$L$25,2,0)</f>
        <v>Oficial de Obra Civil</v>
      </c>
      <c r="C2575" s="93">
        <v>1</v>
      </c>
      <c r="D2575" s="50">
        <f>VLOOKUP(A2575,'Componentes APUs'!$H$1:$L$25,3,0)</f>
        <v>1.5</v>
      </c>
      <c r="E2575" s="51">
        <f>VLOOKUP(A2575,'Componentes APUs'!$H$1:$L$25,4,0)</f>
        <v>115964.28571428571</v>
      </c>
      <c r="F2575" s="51">
        <f>VLOOKUP(A2575,'Componentes APUs'!$H$1:$L$25,5,0)</f>
        <v>69578.57142857142</v>
      </c>
      <c r="G2575" s="51">
        <f>ROUNDUP((E2575+F2575)*C2575/E2557,0)</f>
        <v>61848</v>
      </c>
    </row>
    <row r="2576" spans="1:9" x14ac:dyDescent="0.25">
      <c r="A2576" s="50" t="s">
        <v>50</v>
      </c>
      <c r="B2576" s="68" t="str">
        <f>VLOOKUP(A2576,'Componentes APUs'!$H$1:$L$25,2,0)</f>
        <v>Profesional en SST</v>
      </c>
      <c r="C2576" s="93">
        <v>0.25</v>
      </c>
      <c r="D2576" s="50">
        <f>VLOOKUP(A2576,'Componentes APUs'!$H$1:$L$25,3,0)</f>
        <v>2.5</v>
      </c>
      <c r="E2576" s="51">
        <f>VLOOKUP(A2576,'Componentes APUs'!$H$1:$L$25,4,0)</f>
        <v>169464.28571428571</v>
      </c>
      <c r="F2576" s="51">
        <f>VLOOKUP(A2576,'Componentes APUs'!$H$1:$L$25,5,0)</f>
        <v>101678.57142857142</v>
      </c>
      <c r="G2576" s="51">
        <f>ROUNDUP((E2576+F2576)*C2576/E2557,0)</f>
        <v>22596</v>
      </c>
    </row>
    <row r="2577" spans="1:9" x14ac:dyDescent="0.25">
      <c r="A2577" s="50" t="s">
        <v>1109</v>
      </c>
      <c r="B2577" s="68" t="str">
        <f>VLOOKUP(A2577,'Componentes APUs'!$H$1:$L$25,2,0)</f>
        <v>Ayudante de Obra Civil</v>
      </c>
      <c r="C2577" s="93">
        <v>1</v>
      </c>
      <c r="D2577" s="50">
        <f>VLOOKUP(A2577,'Componentes APUs'!$H$1:$L$25,3,0)</f>
        <v>1</v>
      </c>
      <c r="E2577" s="51">
        <f>VLOOKUP(A2577,'Componentes APUs'!$H$1:$L$25,4,0)</f>
        <v>77309.523809523816</v>
      </c>
      <c r="F2577" s="51">
        <f>VLOOKUP(A2577,'Componentes APUs'!$H$1:$L$25,5,0)</f>
        <v>46385.71428571429</v>
      </c>
      <c r="G2577" s="51">
        <f>ROUNDUP((E2577+F2577)*C2577/E2557,0)</f>
        <v>41232</v>
      </c>
    </row>
    <row r="2578" spans="1:9" x14ac:dyDescent="0.25">
      <c r="A2578" s="219" t="s">
        <v>56</v>
      </c>
      <c r="B2578" s="219"/>
      <c r="C2578" s="219"/>
      <c r="D2578" s="219"/>
      <c r="E2578" s="219"/>
      <c r="F2578" s="219"/>
      <c r="G2578" s="52">
        <f>SUM(G2572:G2577)</f>
        <v>125676</v>
      </c>
    </row>
    <row r="2579" spans="1:9" x14ac:dyDescent="0.25">
      <c r="A2579" s="56"/>
      <c r="B2579" s="57"/>
      <c r="C2579" s="57"/>
      <c r="D2579" s="57"/>
      <c r="E2579" s="57"/>
      <c r="F2579" s="57"/>
      <c r="G2579" s="58"/>
    </row>
    <row r="2580" spans="1:9" x14ac:dyDescent="0.25">
      <c r="A2580" s="219" t="s">
        <v>57</v>
      </c>
      <c r="B2580" s="219"/>
      <c r="C2580" s="219"/>
      <c r="D2580" s="219"/>
      <c r="E2580" s="219"/>
      <c r="F2580" s="219"/>
      <c r="G2580" s="219"/>
    </row>
    <row r="2581" spans="1:9" x14ac:dyDescent="0.25">
      <c r="A2581" s="49" t="s">
        <v>35</v>
      </c>
      <c r="B2581" s="219" t="s">
        <v>36</v>
      </c>
      <c r="C2581" s="219"/>
      <c r="D2581" s="49" t="s">
        <v>37</v>
      </c>
      <c r="E2581" s="49" t="s">
        <v>38</v>
      </c>
      <c r="F2581" s="49" t="s">
        <v>39</v>
      </c>
      <c r="G2581" s="49" t="s">
        <v>40</v>
      </c>
    </row>
    <row r="2582" spans="1:9" x14ac:dyDescent="0.25">
      <c r="A2582" s="50" t="s">
        <v>326</v>
      </c>
      <c r="B2582" s="220" t="str">
        <f>VLOOKUP(A2582,'Componentes APUs'!$S$1:$V$10,2,0)</f>
        <v>Juego Llaves</v>
      </c>
      <c r="C2582" s="220"/>
      <c r="D2582" s="50" t="s">
        <v>18</v>
      </c>
      <c r="E2582" s="50">
        <v>0</v>
      </c>
      <c r="F2582" s="51">
        <f>VLOOKUP(A2582,'Componentes APUs'!$S$1:$V$10,4,0)</f>
        <v>9167</v>
      </c>
      <c r="G2582" s="51">
        <f>ROUNDUP(F2582*((E2582/21)/E2557),0)</f>
        <v>0</v>
      </c>
      <c r="I2582" s="91"/>
    </row>
    <row r="2583" spans="1:9" x14ac:dyDescent="0.25">
      <c r="A2583" s="50" t="s">
        <v>58</v>
      </c>
      <c r="B2583" s="220" t="str">
        <f>VLOOKUP(A2583,'Componentes APUs'!$S$1:$V$10,2,0)</f>
        <v>Manila de servicio</v>
      </c>
      <c r="C2583" s="220"/>
      <c r="D2583" s="50" t="s">
        <v>18</v>
      </c>
      <c r="E2583" s="50">
        <v>0</v>
      </c>
      <c r="F2583" s="51">
        <f>VLOOKUP(A2583,'Componentes APUs'!$S$1:$V$10,4,0)</f>
        <v>2333</v>
      </c>
      <c r="G2583" s="51">
        <f>ROUNDUP(F2583*((E2583/21)/E2557),0)</f>
        <v>0</v>
      </c>
    </row>
    <row r="2584" spans="1:9" x14ac:dyDescent="0.25">
      <c r="A2584" s="50" t="s">
        <v>327</v>
      </c>
      <c r="B2584" s="220" t="str">
        <f>VLOOKUP(A2584,'Componentes APUs'!$S$1:$V$10,2,0)</f>
        <v>Tula portaherramientas</v>
      </c>
      <c r="C2584" s="220"/>
      <c r="D2584" s="50" t="s">
        <v>18</v>
      </c>
      <c r="E2584" s="50">
        <v>0</v>
      </c>
      <c r="F2584" s="51">
        <f>VLOOKUP(A2584,'Componentes APUs'!$S$1:$V$10,4,0)</f>
        <v>1250</v>
      </c>
      <c r="G2584" s="51">
        <f>ROUNDUP(F2584*((E2584/21)/E2557),0)</f>
        <v>0</v>
      </c>
    </row>
    <row r="2585" spans="1:9" x14ac:dyDescent="0.25">
      <c r="A2585" s="50" t="s">
        <v>60</v>
      </c>
      <c r="B2585" s="220" t="str">
        <f>VLOOKUP(A2585,'Componentes APUs'!$S$1:$V$10,2,0)</f>
        <v>Agarradoras</v>
      </c>
      <c r="C2585" s="220"/>
      <c r="D2585" s="50" t="s">
        <v>18</v>
      </c>
      <c r="E2585" s="50">
        <v>0</v>
      </c>
      <c r="F2585" s="51">
        <f>VLOOKUP(A2585,'Componentes APUs'!$S$1:$V$10,4,0)</f>
        <v>125000</v>
      </c>
      <c r="G2585" s="51">
        <f>ROUNDUP(F2585*((E2585/21)/E2557),0)</f>
        <v>0</v>
      </c>
    </row>
    <row r="2586" spans="1:9" x14ac:dyDescent="0.25">
      <c r="A2586" s="50" t="s">
        <v>62</v>
      </c>
      <c r="B2586" s="220" t="str">
        <f>VLOOKUP(A2586,'Componentes APUs'!$S$1:$V$10,2,0)</f>
        <v>Templadoras</v>
      </c>
      <c r="C2586" s="220"/>
      <c r="D2586" s="50" t="s">
        <v>18</v>
      </c>
      <c r="E2586" s="50">
        <v>0</v>
      </c>
      <c r="F2586" s="51">
        <f>VLOOKUP(A2586,'Componentes APUs'!$S$1:$V$10,4,0)</f>
        <v>250000</v>
      </c>
      <c r="G2586" s="51">
        <f>ROUNDUP(F2586*((E2586/21)/E2557),0)</f>
        <v>0</v>
      </c>
    </row>
    <row r="2587" spans="1:9" x14ac:dyDescent="0.25">
      <c r="A2587" s="50" t="s">
        <v>328</v>
      </c>
      <c r="B2587" s="220" t="str">
        <f>VLOOKUP(A2587,'Componentes APUs'!$S$1:$V$10,2,0)</f>
        <v>Herramienta Menor</v>
      </c>
      <c r="C2587" s="220"/>
      <c r="D2587" s="50" t="s">
        <v>18</v>
      </c>
      <c r="E2587" s="50">
        <v>2</v>
      </c>
      <c r="F2587" s="51">
        <f>VLOOKUP(A2587,'Componentes APUs'!$S$1:$V$10,4,0)</f>
        <v>75758</v>
      </c>
      <c r="G2587" s="51">
        <f>ROUNDUP(F2587*((E2587/21)/E2557),0)</f>
        <v>2406</v>
      </c>
    </row>
    <row r="2588" spans="1:9" x14ac:dyDescent="0.25">
      <c r="A2588" s="219" t="s">
        <v>69</v>
      </c>
      <c r="B2588" s="219"/>
      <c r="C2588" s="219"/>
      <c r="D2588" s="219"/>
      <c r="E2588" s="219"/>
      <c r="F2588" s="219"/>
      <c r="G2588" s="52">
        <f>SUM(G2582:G2587)</f>
        <v>2406</v>
      </c>
    </row>
    <row r="2589" spans="1:9" x14ac:dyDescent="0.25">
      <c r="A2589" s="56"/>
      <c r="B2589" s="57"/>
      <c r="C2589" s="57"/>
      <c r="D2589" s="57"/>
      <c r="E2589" s="57"/>
      <c r="F2589" s="57"/>
      <c r="G2589" s="58"/>
    </row>
    <row r="2590" spans="1:9" x14ac:dyDescent="0.25">
      <c r="A2590" s="219" t="s">
        <v>70</v>
      </c>
      <c r="B2590" s="219"/>
      <c r="C2590" s="219"/>
      <c r="D2590" s="219"/>
      <c r="E2590" s="219"/>
      <c r="F2590" s="219"/>
      <c r="G2590" s="219"/>
    </row>
    <row r="2591" spans="1:9" x14ac:dyDescent="0.25">
      <c r="A2591" s="49" t="s">
        <v>35</v>
      </c>
      <c r="B2591" s="219" t="s">
        <v>36</v>
      </c>
      <c r="C2591" s="219"/>
      <c r="D2591" s="49" t="s">
        <v>37</v>
      </c>
      <c r="E2591" s="49" t="s">
        <v>38</v>
      </c>
      <c r="F2591" s="49" t="s">
        <v>39</v>
      </c>
      <c r="G2591" s="49" t="s">
        <v>40</v>
      </c>
    </row>
    <row r="2592" spans="1:9" x14ac:dyDescent="0.25">
      <c r="A2592" s="50" t="s">
        <v>71</v>
      </c>
      <c r="B2592" s="71" t="str">
        <f>VLOOKUP(A2592,'Componentes APUs'!$A$1:$D$14,2,0)</f>
        <v>Camisa indigo sin partes metalicas</v>
      </c>
      <c r="C2592" s="71"/>
      <c r="D2592" s="50" t="str">
        <f>VLOOKUP(A2592,'Componentes APUs'!$A$1:$D$14,3,0)</f>
        <v>U</v>
      </c>
      <c r="E2592" s="50">
        <f>SUM(C2572:C2577)</f>
        <v>2.25</v>
      </c>
      <c r="F2592" s="51">
        <f>VLOOKUP(A2592,'Componentes APUs'!$A$1:$D$14,4,0)</f>
        <v>8585.8585858585866</v>
      </c>
      <c r="G2592" s="51">
        <f>ROUNDUP(F2592*(E2592/21)/E2557,0)</f>
        <v>307</v>
      </c>
      <c r="I2592" s="91"/>
    </row>
    <row r="2593" spans="1:7" x14ac:dyDescent="0.25">
      <c r="A2593" s="69" t="s">
        <v>73</v>
      </c>
      <c r="B2593" s="72" t="str">
        <f>VLOOKUP(A2593,'Componentes APUs'!$A$1:$D$14,2,0)</f>
        <v>Bota de seguridad dielectrica</v>
      </c>
      <c r="C2593" s="73"/>
      <c r="D2593" s="70" t="str">
        <f>VLOOKUP(A2593,'Componentes APUs'!$A$1:$D$14,3,0)</f>
        <v>Par</v>
      </c>
      <c r="E2593" s="50">
        <f>SUM(C2572:C2577)</f>
        <v>2.25</v>
      </c>
      <c r="F2593" s="51">
        <f>VLOOKUP(A2593,'Componentes APUs'!$A$1:$D$14,4,0)</f>
        <v>7500</v>
      </c>
      <c r="G2593" s="51">
        <f>ROUNDUP(F2593*(E2593/21)/E2557,0)</f>
        <v>268</v>
      </c>
    </row>
    <row r="2594" spans="1:7" x14ac:dyDescent="0.25">
      <c r="A2594" s="50" t="s">
        <v>76</v>
      </c>
      <c r="B2594" s="72" t="str">
        <f>VLOOKUP(A2594,'Componentes APUs'!$A$1:$D$14,2,0)</f>
        <v>Casco dielectrico Tipo 1 Clase E con barbuquejo</v>
      </c>
      <c r="C2594" s="73"/>
      <c r="D2594" s="50" t="str">
        <f>VLOOKUP(A2594,'Componentes APUs'!$A$1:$D$14,3,0)</f>
        <v>U</v>
      </c>
      <c r="E2594" s="50">
        <f>C2572+C2573+C2575+C2576+C2577+IF(A2574&lt;&gt;"MO-3",C2574,0)</f>
        <v>2.25</v>
      </c>
      <c r="F2594" s="51">
        <f>VLOOKUP(A2594,'Componentes APUs'!$A$1:$D$14,4,0)</f>
        <v>10101.010101010101</v>
      </c>
      <c r="G2594" s="51">
        <f>ROUNDUP(F2594*(E2594/21)/E2557,0)</f>
        <v>361</v>
      </c>
    </row>
    <row r="2595" spans="1:7" x14ac:dyDescent="0.25">
      <c r="A2595" s="69" t="s">
        <v>77</v>
      </c>
      <c r="B2595" s="72" t="str">
        <f>VLOOKUP(A2595,'Componentes APUs'!$A$1:$D$14,2,0)</f>
        <v>Correa plastica y antiflama</v>
      </c>
      <c r="C2595" s="73"/>
      <c r="D2595" s="50" t="str">
        <f>VLOOKUP(A2595,'Componentes APUs'!$A$1:$D$14,3,0)</f>
        <v>U</v>
      </c>
      <c r="E2595" s="50">
        <f>SUM(C2572:C2577)</f>
        <v>2.25</v>
      </c>
      <c r="F2595" s="51">
        <f>VLOOKUP(A2595,'Componentes APUs'!$A$1:$D$14,4,0)</f>
        <v>3787.878787878788</v>
      </c>
      <c r="G2595" s="51">
        <f>ROUNDUP(F2595*(E2595/21)/E2557,0)</f>
        <v>136</v>
      </c>
    </row>
    <row r="2596" spans="1:7" x14ac:dyDescent="0.25">
      <c r="A2596" s="50" t="s">
        <v>79</v>
      </c>
      <c r="B2596" s="72" t="str">
        <f>VLOOKUP(A2596,'Componentes APUs'!$A$1:$D$14,2,0)</f>
        <v>Gafas protectoras filtro UV</v>
      </c>
      <c r="C2596" s="73"/>
      <c r="D2596" s="50" t="str">
        <f>VLOOKUP(A2596,'Componentes APUs'!$A$1:$D$14,3,0)</f>
        <v>U</v>
      </c>
      <c r="E2596" s="50">
        <f>SUM(C2572:C2577)</f>
        <v>2.25</v>
      </c>
      <c r="F2596" s="51">
        <f>VLOOKUP(A2596,'Componentes APUs'!$A$1:$D$14,4,0)</f>
        <v>2777.7777777777778</v>
      </c>
      <c r="G2596" s="51">
        <f>ROUNDUP(F2596*(E2596/21)/E2557,0)</f>
        <v>100</v>
      </c>
    </row>
    <row r="2597" spans="1:7" x14ac:dyDescent="0.25">
      <c r="A2597" s="69" t="s">
        <v>402</v>
      </c>
      <c r="B2597" s="72" t="str">
        <f>VLOOKUP(A2597,'Componentes APUs'!$A$1:$D$14,2,0)</f>
        <v>Bota de seguridad PVC dielectrica</v>
      </c>
      <c r="C2597" s="73"/>
      <c r="D2597" s="50" t="str">
        <f>VLOOKUP(A2597,'Componentes APUs'!$A$1:$D$14,3,0)</f>
        <v>Par</v>
      </c>
      <c r="E2597" s="50">
        <f>SUM(C2572:C2577)</f>
        <v>2.25</v>
      </c>
      <c r="F2597" s="51">
        <f>VLOOKUP(A2597,'Componentes APUs'!$A$1:$D$14,4,0)</f>
        <v>2916.6666666666665</v>
      </c>
      <c r="G2597" s="51">
        <f>ROUNDUP(F2597*(E2597/21)/E2557,0)</f>
        <v>105</v>
      </c>
    </row>
    <row r="2598" spans="1:7" x14ac:dyDescent="0.25">
      <c r="A2598" s="50" t="s">
        <v>403</v>
      </c>
      <c r="B2598" s="72" t="str">
        <f>VLOOKUP(A2598,'Componentes APUs'!$A$1:$D$14,2,0)</f>
        <v>Capuchon</v>
      </c>
      <c r="C2598" s="73"/>
      <c r="D2598" s="50" t="str">
        <f>VLOOKUP(A2598,'Componentes APUs'!$A$1:$D$14,3,0)</f>
        <v>U</v>
      </c>
      <c r="E2598" s="50">
        <f>SUM(C2572:C2577)</f>
        <v>2.25</v>
      </c>
      <c r="F2598" s="51">
        <f>VLOOKUP(A2598,'Componentes APUs'!$A$1:$D$14,4,0)</f>
        <v>2525.2525252525252</v>
      </c>
      <c r="G2598" s="51">
        <f>ROUNDUP(F2598*(E2598/21)/E2557,0)</f>
        <v>91</v>
      </c>
    </row>
    <row r="2599" spans="1:7" x14ac:dyDescent="0.25">
      <c r="A2599" s="69" t="s">
        <v>81</v>
      </c>
      <c r="B2599" s="72" t="str">
        <f>VLOOKUP(A2599,'Componentes APUs'!$A$1:$D$14,2,0)</f>
        <v>Guantes Protectores  - ingeniero reforzados</v>
      </c>
      <c r="C2599" s="73"/>
      <c r="D2599" s="50" t="str">
        <f>VLOOKUP(A2599,'Componentes APUs'!$A$1:$D$14,3,0)</f>
        <v>Par</v>
      </c>
      <c r="E2599" s="50">
        <f>C2574+C2575+C2577</f>
        <v>2</v>
      </c>
      <c r="F2599" s="51">
        <f>VLOOKUP(A2599,'Componentes APUs'!$A$1:$D$14,4,0)</f>
        <v>2525.2525252525252</v>
      </c>
      <c r="G2599" s="51">
        <f>ROUNDUP(F2599*(E2599/21)/E2557,0)</f>
        <v>81</v>
      </c>
    </row>
    <row r="2600" spans="1:7" x14ac:dyDescent="0.25">
      <c r="A2600" s="50" t="s">
        <v>83</v>
      </c>
      <c r="B2600" s="72" t="str">
        <f>VLOOKUP(A2600,'Componentes APUs'!$A$1:$D$14,2,0)</f>
        <v>Impermeable (pantalon camisa)</v>
      </c>
      <c r="C2600" s="73"/>
      <c r="D2600" s="50" t="str">
        <f>VLOOKUP(A2600,'Componentes APUs'!$A$1:$D$14,3,0)</f>
        <v>U</v>
      </c>
      <c r="E2600" s="50">
        <f>SUM(C2572:C2577)</f>
        <v>2.25</v>
      </c>
      <c r="F2600" s="51">
        <f>VLOOKUP(A2600,'Componentes APUs'!$A$1:$D$14,4,0)</f>
        <v>3750</v>
      </c>
      <c r="G2600" s="51">
        <f>ROUNDUP(F2600*(E2600/21)/E2557,0)</f>
        <v>134</v>
      </c>
    </row>
    <row r="2601" spans="1:7" x14ac:dyDescent="0.25">
      <c r="A2601" s="69" t="s">
        <v>85</v>
      </c>
      <c r="B2601" s="72" t="str">
        <f>VLOOKUP(A2601,'Componentes APUs'!$A$1:$D$14,2,0)</f>
        <v>Jean Dielectrico</v>
      </c>
      <c r="C2601" s="73"/>
      <c r="D2601" s="50" t="str">
        <f>VLOOKUP(A2601,'Componentes APUs'!$A$1:$D$14,3,0)</f>
        <v>U</v>
      </c>
      <c r="E2601" s="50">
        <f>SUM(C2572:C2577)</f>
        <v>2.25</v>
      </c>
      <c r="F2601" s="51">
        <f>VLOOKUP(A2601,'Componentes APUs'!$A$1:$D$14,4,0)</f>
        <v>7575.757575757576</v>
      </c>
      <c r="G2601" s="51">
        <f>ROUNDUP(F2601*(E2601/21)/E2557,0)</f>
        <v>271</v>
      </c>
    </row>
    <row r="2602" spans="1:7" x14ac:dyDescent="0.25">
      <c r="A2602" s="50" t="s">
        <v>87</v>
      </c>
      <c r="B2602" s="72" t="str">
        <f>VLOOKUP(A2602,'Componentes APUs'!$A$1:$D$14,2,0)</f>
        <v>Casco dielectrico Tipo 2 Clase E con barboquejo</v>
      </c>
      <c r="C2602" s="73"/>
      <c r="D2602" s="50" t="str">
        <f>VLOOKUP(A2602,'Componentes APUs'!$A$1:$D$14,3,0)</f>
        <v>U</v>
      </c>
      <c r="E2602" s="53">
        <f>IF(A2574="MO-3",C2574,0)</f>
        <v>0</v>
      </c>
      <c r="F2602" s="51">
        <f>VLOOKUP(A2602,'Componentes APUs'!$A$1:$D$14,4,0)</f>
        <v>7500</v>
      </c>
      <c r="G2602" s="51">
        <f>ROUNDUP(F2602*(E2602/21)/E2557,0)</f>
        <v>0</v>
      </c>
    </row>
    <row r="2603" spans="1:7" x14ac:dyDescent="0.25">
      <c r="A2603" s="69" t="s">
        <v>89</v>
      </c>
      <c r="B2603" s="72" t="str">
        <f>VLOOKUP(A2603,'Componentes APUs'!$A$1:$D$14,2,0)</f>
        <v>Kit de rescate para trabajo en alturas</v>
      </c>
      <c r="C2603" s="73"/>
      <c r="D2603" s="50" t="str">
        <f>VLOOKUP(A2603,'Componentes APUs'!$A$1:$D$14,3,0)</f>
        <v>U</v>
      </c>
      <c r="E2603" s="50">
        <f>IF(AND(A2574="MO-3",C2574=2),1,0)</f>
        <v>0</v>
      </c>
      <c r="F2603" s="51">
        <f>VLOOKUP(A2603,'Componentes APUs'!$A$1:$D$14,4,0)</f>
        <v>37500</v>
      </c>
      <c r="G2603" s="51">
        <f>ROUNDUP(F2603*(E2603/21)/E2557,0)</f>
        <v>0</v>
      </c>
    </row>
    <row r="2604" spans="1:7" x14ac:dyDescent="0.25">
      <c r="A2604" s="50" t="s">
        <v>91</v>
      </c>
      <c r="B2604" s="72" t="str">
        <f>VLOOKUP(A2604,'Componentes APUs'!$A$1:$D$14,2,0)</f>
        <v>Equipo completo para trabajo en alturas con pretales (Arnes dielectrico, 1 mosqueton de seguridad, tie off dielectrico, eslinga de posicionamiento, juego de pretales)</v>
      </c>
      <c r="C2604" s="73"/>
      <c r="D2604" s="50" t="str">
        <f>VLOOKUP(A2604,'Componentes APUs'!$A$1:$D$14,3,0)</f>
        <v>U</v>
      </c>
      <c r="E2604" s="50">
        <f>IF(A2574="MO-3",C2574,0)</f>
        <v>0</v>
      </c>
      <c r="F2604" s="51">
        <f>VLOOKUP(A2604,'Componentes APUs'!$A$1:$D$14,4,0)</f>
        <v>26041.666666666668</v>
      </c>
      <c r="G2604" s="51">
        <f>ROUNDUP(F2604*(E2604/21)/E2557,0)</f>
        <v>0</v>
      </c>
    </row>
    <row r="2605" spans="1:7" x14ac:dyDescent="0.25">
      <c r="A2605" s="219" t="s">
        <v>95</v>
      </c>
      <c r="B2605" s="219"/>
      <c r="C2605" s="219"/>
      <c r="D2605" s="219"/>
      <c r="E2605" s="219"/>
      <c r="F2605" s="219"/>
      <c r="G2605" s="52">
        <f>SUM(G2592:G2604)</f>
        <v>1854</v>
      </c>
    </row>
    <row r="2606" spans="1:7" x14ac:dyDescent="0.25">
      <c r="A2606" s="56"/>
      <c r="B2606" s="57"/>
      <c r="C2606" s="57"/>
      <c r="D2606" s="57"/>
      <c r="E2606" s="57"/>
      <c r="F2606" s="57"/>
      <c r="G2606" s="58"/>
    </row>
    <row r="2607" spans="1:7" x14ac:dyDescent="0.25">
      <c r="A2607" s="219" t="s">
        <v>96</v>
      </c>
      <c r="B2607" s="219"/>
      <c r="C2607" s="219"/>
      <c r="D2607" s="219"/>
      <c r="E2607" s="219"/>
      <c r="F2607" s="219"/>
      <c r="G2607" s="219"/>
    </row>
    <row r="2608" spans="1:7" x14ac:dyDescent="0.25">
      <c r="A2608" s="49" t="s">
        <v>35</v>
      </c>
      <c r="B2608" s="225" t="s">
        <v>36</v>
      </c>
      <c r="C2608" s="225"/>
      <c r="D2608" s="49" t="s">
        <v>37</v>
      </c>
      <c r="E2608" s="49" t="s">
        <v>38</v>
      </c>
      <c r="F2608" s="49" t="s">
        <v>39</v>
      </c>
      <c r="G2608" s="49" t="s">
        <v>40</v>
      </c>
    </row>
    <row r="2609" spans="1:7" x14ac:dyDescent="0.25">
      <c r="A2609" s="69" t="s">
        <v>97</v>
      </c>
      <c r="B2609" s="72" t="str">
        <f>VLOOKUP(A2609,'Componentes APUs'!$N$1:$Q$30,2,0)</f>
        <v>Camioneta</v>
      </c>
      <c r="C2609" s="73"/>
      <c r="D2609" s="70" t="str">
        <f>VLOOKUP(A2609,'Componentes APUs'!$N$1:$Q$30,3,0)</f>
        <v>U</v>
      </c>
      <c r="E2609" s="50">
        <v>1</v>
      </c>
      <c r="F2609" s="51">
        <f>VLOOKUP(A2609,'Componentes APUs'!$N$1:$Q$30,4,0)</f>
        <v>5500000</v>
      </c>
      <c r="G2609" s="51">
        <f>IFERROR(ROUNDUP(F2609*(E2609/21)/E2557,0),"-")</f>
        <v>87302</v>
      </c>
    </row>
    <row r="2610" spans="1:7" x14ac:dyDescent="0.25">
      <c r="A2610" s="50" t="s">
        <v>1473</v>
      </c>
      <c r="B2610" s="72" t="str">
        <f>VLOOKUP(A2610,'Componentes APUs'!$N$1:$Q$30,2,0)</f>
        <v>Concretera</v>
      </c>
      <c r="C2610" s="73"/>
      <c r="D2610" s="70" t="str">
        <f>VLOOKUP(A2610,'Componentes APUs'!$N$1:$Q$30,3,0)</f>
        <v>U</v>
      </c>
      <c r="E2610" s="50">
        <v>1</v>
      </c>
      <c r="F2610" s="51">
        <f>VLOOKUP(A2610,'Componentes APUs'!$N$1:$Q$30,4,0)</f>
        <v>550704</v>
      </c>
      <c r="G2610" s="51">
        <f>IFERROR(ROUNDUP(F2610*(E2610/21)/E2557,0),"-")</f>
        <v>8742</v>
      </c>
    </row>
    <row r="2611" spans="1:7" x14ac:dyDescent="0.25">
      <c r="A2611" s="69" t="s">
        <v>1379</v>
      </c>
      <c r="B2611" s="72" t="str">
        <f>VLOOKUP(A2611,'Componentes APUs'!$N$1:$Q$30,2,0)</f>
        <v>Dumper de descarga Frontal 2T</v>
      </c>
      <c r="C2611" s="73"/>
      <c r="D2611" s="70" t="str">
        <f>VLOOKUP(A2611,'Componentes APUs'!$N$1:$Q$30,3,0)</f>
        <v>U</v>
      </c>
      <c r="E2611" s="50">
        <v>0</v>
      </c>
      <c r="F2611" s="51">
        <f>VLOOKUP(A2611,'Componentes APUs'!$N$1:$Q$30,4,0)</f>
        <v>4438716.24</v>
      </c>
      <c r="G2611" s="51">
        <f>IFERROR(ROUNDUP(F2611*(E2611/21)/E2557,0),"-")</f>
        <v>0</v>
      </c>
    </row>
    <row r="2612" spans="1:7" x14ac:dyDescent="0.25">
      <c r="A2612" s="50" t="s">
        <v>323</v>
      </c>
      <c r="B2612" s="72" t="str">
        <f>VLOOKUP(A2612,'Componentes APUs'!$N$1:$Q$30,2,0)</f>
        <v>Volqueta</v>
      </c>
      <c r="C2612" s="73"/>
      <c r="D2612" s="70" t="str">
        <f>VLOOKUP(A2612,'Componentes APUs'!$N$1:$Q$30,3,0)</f>
        <v>U</v>
      </c>
      <c r="E2612" s="50">
        <v>0</v>
      </c>
      <c r="F2612" s="51">
        <f>VLOOKUP(A2612,'Componentes APUs'!$N$1:$Q$30,4,0)</f>
        <v>14828184</v>
      </c>
      <c r="G2612" s="51">
        <f>IFERROR(ROUNDUP(F2612*(E2612/21)/E2557,0),"-")</f>
        <v>0</v>
      </c>
    </row>
    <row r="2613" spans="1:7" x14ac:dyDescent="0.25">
      <c r="A2613" s="69" t="s">
        <v>324</v>
      </c>
      <c r="B2613" s="72" t="str">
        <f>VLOOKUP(A2613,'Componentes APUs'!$N$1:$Q$30,2,0)</f>
        <v>Retroexcavadora</v>
      </c>
      <c r="C2613" s="73"/>
      <c r="D2613" s="70" t="str">
        <f>VLOOKUP(A2613,'Componentes APUs'!$N$1:$Q$30,3,0)</f>
        <v>U</v>
      </c>
      <c r="E2613" s="50">
        <v>0</v>
      </c>
      <c r="F2613" s="51">
        <f>VLOOKUP(A2613,'Componentes APUs'!$N$1:$Q$30,4,0)</f>
        <v>46030656</v>
      </c>
      <c r="G2613" s="51">
        <f>IFERROR(ROUNDUP(F2613*(E2613/21)/E2557,0),"-")</f>
        <v>0</v>
      </c>
    </row>
    <row r="2614" spans="1:7" x14ac:dyDescent="0.25">
      <c r="A2614" s="219" t="s">
        <v>99</v>
      </c>
      <c r="B2614" s="219"/>
      <c r="C2614" s="219"/>
      <c r="D2614" s="219"/>
      <c r="E2614" s="219"/>
      <c r="F2614" s="219"/>
      <c r="G2614" s="52">
        <f>SUM(G2609:G2613)</f>
        <v>96044</v>
      </c>
    </row>
    <row r="2615" spans="1:7" x14ac:dyDescent="0.25">
      <c r="A2615" s="56"/>
      <c r="B2615" s="57"/>
      <c r="C2615" s="57"/>
      <c r="D2615" s="57"/>
      <c r="E2615" s="57"/>
      <c r="F2615" s="57"/>
      <c r="G2615" s="58"/>
    </row>
    <row r="2616" spans="1:7" x14ac:dyDescent="0.25">
      <c r="A2616" s="219" t="s">
        <v>1516</v>
      </c>
      <c r="B2616" s="219"/>
      <c r="C2616" s="219"/>
      <c r="D2616" s="219"/>
      <c r="E2616" s="219"/>
      <c r="F2616" s="219"/>
      <c r="G2616" s="52">
        <f>G2614+G2605+G2588+G2578+G2568</f>
        <v>1349870</v>
      </c>
    </row>
    <row r="2617" spans="1:7" x14ac:dyDescent="0.25">
      <c r="A2617" s="59"/>
      <c r="B2617" s="60"/>
      <c r="C2617" s="60"/>
      <c r="D2617" s="60"/>
      <c r="E2617" s="57"/>
      <c r="F2617" s="57"/>
      <c r="G2617" s="58"/>
    </row>
    <row r="2618" spans="1:7" x14ac:dyDescent="0.25">
      <c r="A2618" s="64"/>
      <c r="D2618" s="55"/>
      <c r="E2618" s="49" t="s">
        <v>25</v>
      </c>
      <c r="F2618" s="54">
        <v>0.15</v>
      </c>
      <c r="G2618" s="51">
        <f>G2616*F2618</f>
        <v>202480.5</v>
      </c>
    </row>
    <row r="2619" spans="1:7" x14ac:dyDescent="0.25">
      <c r="A2619" s="64"/>
      <c r="D2619" s="55"/>
      <c r="E2619" s="49" t="s">
        <v>26</v>
      </c>
      <c r="F2619" s="54">
        <v>0.05</v>
      </c>
      <c r="G2619" s="51">
        <f>G2616*F2619</f>
        <v>67493.5</v>
      </c>
    </row>
    <row r="2620" spans="1:7" x14ac:dyDescent="0.25">
      <c r="A2620" s="61"/>
      <c r="B2620" s="65"/>
      <c r="C2620" s="65"/>
      <c r="D2620" s="62"/>
      <c r="E2620" s="49" t="s">
        <v>27</v>
      </c>
      <c r="F2620" s="54">
        <v>0.05</v>
      </c>
      <c r="G2620" s="51">
        <f>G2616*F2620</f>
        <v>67493.5</v>
      </c>
    </row>
    <row r="2621" spans="1:7" x14ac:dyDescent="0.25">
      <c r="A2621" s="61"/>
      <c r="B2621" s="62"/>
      <c r="C2621" s="62"/>
      <c r="D2621" s="62"/>
      <c r="E2621" s="62"/>
      <c r="F2621" s="62"/>
      <c r="G2621" s="63"/>
    </row>
    <row r="2622" spans="1:7" x14ac:dyDescent="0.25">
      <c r="A2622" s="219" t="s">
        <v>1517</v>
      </c>
      <c r="B2622" s="219"/>
      <c r="C2622" s="219"/>
      <c r="D2622" s="219"/>
      <c r="E2622" s="219"/>
      <c r="F2622" s="219"/>
      <c r="G2622" s="52">
        <f>G2616+G2618+G2619+G2620</f>
        <v>1687337.5</v>
      </c>
    </row>
    <row r="2623" spans="1:7" x14ac:dyDescent="0.25">
      <c r="A2623" s="59"/>
      <c r="B2623" s="60"/>
      <c r="C2623" s="60"/>
      <c r="D2623" s="60"/>
      <c r="E2623" s="57"/>
      <c r="F2623" s="57"/>
      <c r="G2623" s="58"/>
    </row>
    <row r="2624" spans="1:7" x14ac:dyDescent="0.25">
      <c r="A2624" s="64"/>
      <c r="D2624" s="55"/>
      <c r="E2624" s="49" t="s">
        <v>102</v>
      </c>
      <c r="F2624" s="49" t="s">
        <v>103</v>
      </c>
      <c r="G2624" s="51">
        <f>G2620*19%</f>
        <v>12823.764999999999</v>
      </c>
    </row>
    <row r="2625" spans="1:9" x14ac:dyDescent="0.25">
      <c r="A2625" s="61"/>
      <c r="B2625" s="62"/>
      <c r="C2625" s="62"/>
      <c r="D2625" s="62"/>
      <c r="E2625" s="57"/>
      <c r="F2625" s="57"/>
      <c r="G2625" s="58"/>
    </row>
    <row r="2626" spans="1:9" x14ac:dyDescent="0.25">
      <c r="A2626" s="219" t="s">
        <v>104</v>
      </c>
      <c r="B2626" s="219"/>
      <c r="C2626" s="219"/>
      <c r="D2626" s="219"/>
      <c r="E2626" s="219"/>
      <c r="F2626" s="219"/>
      <c r="G2626" s="52">
        <f>G2624+G2622</f>
        <v>1700161.2649999999</v>
      </c>
    </row>
    <row r="2628" spans="1:9" x14ac:dyDescent="0.25">
      <c r="A2628" s="74" t="s">
        <v>29</v>
      </c>
      <c r="B2628" s="226" t="s">
        <v>30</v>
      </c>
      <c r="C2628" s="226"/>
      <c r="D2628" s="74" t="s">
        <v>31</v>
      </c>
      <c r="E2628" s="74" t="s">
        <v>32</v>
      </c>
      <c r="F2628" s="74" t="s">
        <v>189</v>
      </c>
      <c r="G2628" s="74" t="s">
        <v>33</v>
      </c>
      <c r="H2628" s="105"/>
    </row>
    <row r="2629" spans="1:9" ht="24" customHeight="1" x14ac:dyDescent="0.25">
      <c r="A2629" s="50" t="str">
        <f>Presupuesto!B52</f>
        <v>040_OC</v>
      </c>
      <c r="B2629" s="229" t="str">
        <f>Presupuesto!C52</f>
        <v>CONO CÁM INSP C20.7MPA D=1.2 T24"</v>
      </c>
      <c r="C2629" s="230"/>
      <c r="D2629" s="50" t="s">
        <v>18</v>
      </c>
      <c r="E2629" s="107">
        <v>2.5</v>
      </c>
      <c r="F2629" s="50"/>
      <c r="G2629" s="51">
        <f>G2692</f>
        <v>853476.24450000015</v>
      </c>
      <c r="H2629" s="45"/>
    </row>
    <row r="2630" spans="1:9" x14ac:dyDescent="0.25">
      <c r="A2630" s="219" t="s">
        <v>34</v>
      </c>
      <c r="B2630" s="219"/>
      <c r="C2630" s="219"/>
      <c r="D2630" s="219"/>
      <c r="E2630" s="219"/>
      <c r="F2630" s="219"/>
      <c r="G2630" s="219"/>
    </row>
    <row r="2631" spans="1:9" x14ac:dyDescent="0.25">
      <c r="A2631" s="49" t="s">
        <v>35</v>
      </c>
      <c r="B2631" s="219" t="s">
        <v>36</v>
      </c>
      <c r="C2631" s="219"/>
      <c r="D2631" s="49" t="s">
        <v>37</v>
      </c>
      <c r="E2631" s="49" t="s">
        <v>38</v>
      </c>
      <c r="F2631" s="49" t="s">
        <v>39</v>
      </c>
      <c r="G2631" s="49" t="s">
        <v>40</v>
      </c>
    </row>
    <row r="2632" spans="1:9" x14ac:dyDescent="0.25">
      <c r="A2632" s="50" t="str">
        <f>Material!A660</f>
        <v>MA-659</v>
      </c>
      <c r="B2632" s="72" t="str">
        <f>IFERROR(VLOOKUP(A2632,Material!$A:$H,2,0),"-")</f>
        <v>CONC SIMPLE 20.7 MPa  (m3)</v>
      </c>
      <c r="C2632" s="76"/>
      <c r="D2632" s="50" t="str">
        <f>IFERROR(VLOOKUP(A2632,Material!$A:$H,4,0),"-")</f>
        <v>M3</v>
      </c>
      <c r="E2632" s="96">
        <v>0.47123889803846897</v>
      </c>
      <c r="F2632" s="51">
        <f>IFERROR(VLOOKUP(A2632,Material!$A:$H,3,0),"-")</f>
        <v>784030</v>
      </c>
      <c r="G2632" s="51">
        <f t="shared" ref="G2632" si="36">IFERROR(ROUNDUP(F2632*E2632,0),"-")</f>
        <v>369466</v>
      </c>
      <c r="H2632" s="106"/>
    </row>
    <row r="2633" spans="1:9" ht="25.5" customHeight="1" x14ac:dyDescent="0.25">
      <c r="A2633" s="50" t="str">
        <f>Material!A661</f>
        <v>MA-660</v>
      </c>
      <c r="B2633" s="221" t="str">
        <f>IFERROR(VLOOKUP(A2633,Material!$A:$H,2,0),"-")</f>
        <v>FORMALETA METÁLICA PARA CONO DE CÁMARA DE INSPECCIÓN Ø=1.20 MTS</v>
      </c>
      <c r="C2633" s="222"/>
      <c r="D2633" s="50" t="str">
        <f>IFERROR(VLOOKUP(A2633,Material!$A:$H,4,0),"-")</f>
        <v>DIA</v>
      </c>
      <c r="E2633" s="53">
        <v>3</v>
      </c>
      <c r="F2633" s="51">
        <f>IFERROR(VLOOKUP(A2633,Material!$A:$H,3,0),"-")</f>
        <v>26366.704000000002</v>
      </c>
      <c r="G2633" s="51">
        <f>IFERROR(ROUNDUP(F2633*E2633,0),"-")</f>
        <v>79101</v>
      </c>
      <c r="H2633" s="106"/>
    </row>
    <row r="2634" spans="1:9" x14ac:dyDescent="0.25">
      <c r="A2634" s="219" t="s">
        <v>41</v>
      </c>
      <c r="B2634" s="219"/>
      <c r="C2634" s="219"/>
      <c r="D2634" s="219"/>
      <c r="E2634" s="219"/>
      <c r="F2634" s="219"/>
      <c r="G2634" s="52">
        <f>SUM(G2632:G2633)</f>
        <v>448567</v>
      </c>
      <c r="I2634" s="104"/>
    </row>
    <row r="2635" spans="1:9" x14ac:dyDescent="0.25">
      <c r="A2635" s="56"/>
      <c r="B2635" s="57"/>
      <c r="C2635" s="57"/>
      <c r="D2635" s="57"/>
      <c r="E2635" s="57"/>
      <c r="F2635" s="57"/>
      <c r="G2635" s="58"/>
    </row>
    <row r="2636" spans="1:9" x14ac:dyDescent="0.25">
      <c r="A2636" s="219" t="s">
        <v>42</v>
      </c>
      <c r="B2636" s="219"/>
      <c r="C2636" s="219"/>
      <c r="D2636" s="219"/>
      <c r="E2636" s="219"/>
      <c r="F2636" s="219"/>
      <c r="G2636" s="219"/>
    </row>
    <row r="2637" spans="1:9" x14ac:dyDescent="0.25">
      <c r="A2637" s="49" t="s">
        <v>35</v>
      </c>
      <c r="B2637" s="49" t="s">
        <v>36</v>
      </c>
      <c r="C2637" s="49" t="s">
        <v>38</v>
      </c>
      <c r="D2637" s="49" t="s">
        <v>43</v>
      </c>
      <c r="E2637" s="49" t="s">
        <v>44</v>
      </c>
      <c r="F2637" s="49" t="s">
        <v>45</v>
      </c>
      <c r="G2637" s="49" t="s">
        <v>40</v>
      </c>
    </row>
    <row r="2638" spans="1:9" x14ac:dyDescent="0.25">
      <c r="A2638" s="50" t="s">
        <v>319</v>
      </c>
      <c r="B2638" s="68" t="str">
        <f>VLOOKUP(A2638,'Componentes APUs'!$H$1:$L$25,2,0)</f>
        <v>Ingeniero Residente de Obra</v>
      </c>
      <c r="C2638" s="93">
        <v>0</v>
      </c>
      <c r="D2638" s="50">
        <f>VLOOKUP(A2638,'Componentes APUs'!$H$1:$L$25,3,0)</f>
        <v>4</v>
      </c>
      <c r="E2638" s="51">
        <f>VLOOKUP(A2638,'Componentes APUs'!$H$1:$L$25,4,0)</f>
        <v>271142.85714285716</v>
      </c>
      <c r="F2638" s="51">
        <f>VLOOKUP(A2638,'Componentes APUs'!$H$1:$L$25,5,0)</f>
        <v>162685.71428571429</v>
      </c>
      <c r="G2638" s="51">
        <f>ROUNDUP((E2638+F2638)*C2638/E2629,0)</f>
        <v>0</v>
      </c>
      <c r="H2638" s="66"/>
    </row>
    <row r="2639" spans="1:9" x14ac:dyDescent="0.25">
      <c r="A2639" s="50" t="s">
        <v>320</v>
      </c>
      <c r="B2639" s="68" t="str">
        <f>VLOOKUP(A2639,'Componentes APUs'!$H$1:$L$25,2,0)</f>
        <v>Tecnico Supervisor</v>
      </c>
      <c r="C2639" s="93">
        <v>0</v>
      </c>
      <c r="D2639" s="50">
        <f>VLOOKUP(A2639,'Componentes APUs'!$H$1:$L$25,3,0)</f>
        <v>2.2999999999999998</v>
      </c>
      <c r="E2639" s="51">
        <f>VLOOKUP(A2639,'Componentes APUs'!$H$1:$L$25,4,0)</f>
        <v>155907.14285714284</v>
      </c>
      <c r="F2639" s="51">
        <f>VLOOKUP(A2639,'Componentes APUs'!$H$1:$L$25,5,0)</f>
        <v>93544.285714285696</v>
      </c>
      <c r="G2639" s="51">
        <f>ROUNDUP((E2639+F2639)*C2639/E2629,0)</f>
        <v>0</v>
      </c>
    </row>
    <row r="2640" spans="1:9" x14ac:dyDescent="0.25">
      <c r="A2640" s="50" t="s">
        <v>54</v>
      </c>
      <c r="B2640" s="68" t="str">
        <f>VLOOKUP(A2640,'Componentes APUs'!$H$1:$L$25,2,0)</f>
        <v>Maestro de obra civil</v>
      </c>
      <c r="C2640" s="93">
        <v>0</v>
      </c>
      <c r="D2640" s="50">
        <f>VLOOKUP(A2640,'Componentes APUs'!$H$1:$L$25,3,0)</f>
        <v>2.5</v>
      </c>
      <c r="E2640" s="51">
        <f>VLOOKUP(A2640,'Componentes APUs'!$H$1:$L$25,4,0)</f>
        <v>169464.28571428571</v>
      </c>
      <c r="F2640" s="51">
        <f>VLOOKUP(A2640,'Componentes APUs'!$H$1:$L$25,5,0)</f>
        <v>101678.57142857142</v>
      </c>
      <c r="G2640" s="51">
        <f>ROUNDUP((E2640+F2640)*C2640/E2629,0)</f>
        <v>0</v>
      </c>
    </row>
    <row r="2641" spans="1:9" x14ac:dyDescent="0.25">
      <c r="A2641" s="50" t="s">
        <v>1110</v>
      </c>
      <c r="B2641" s="68" t="str">
        <f>VLOOKUP(A2641,'Componentes APUs'!$H$1:$L$25,2,0)</f>
        <v>Oficial de Obra Civil</v>
      </c>
      <c r="C2641" s="93">
        <v>1</v>
      </c>
      <c r="D2641" s="50">
        <f>VLOOKUP(A2641,'Componentes APUs'!$H$1:$L$25,3,0)</f>
        <v>1.5</v>
      </c>
      <c r="E2641" s="51">
        <f>VLOOKUP(A2641,'Componentes APUs'!$H$1:$L$25,4,0)</f>
        <v>115964.28571428571</v>
      </c>
      <c r="F2641" s="51">
        <f>VLOOKUP(A2641,'Componentes APUs'!$H$1:$L$25,5,0)</f>
        <v>69578.57142857142</v>
      </c>
      <c r="G2641" s="51">
        <f>ROUNDUP((E2641+F2641)*C2641/E2629,0)</f>
        <v>74218</v>
      </c>
    </row>
    <row r="2642" spans="1:9" x14ac:dyDescent="0.25">
      <c r="A2642" s="50" t="s">
        <v>50</v>
      </c>
      <c r="B2642" s="68" t="str">
        <f>VLOOKUP(A2642,'Componentes APUs'!$H$1:$L$25,2,0)</f>
        <v>Profesional en SST</v>
      </c>
      <c r="C2642" s="93">
        <v>0.25</v>
      </c>
      <c r="D2642" s="50">
        <f>VLOOKUP(A2642,'Componentes APUs'!$H$1:$L$25,3,0)</f>
        <v>2.5</v>
      </c>
      <c r="E2642" s="51">
        <f>VLOOKUP(A2642,'Componentes APUs'!$H$1:$L$25,4,0)</f>
        <v>169464.28571428571</v>
      </c>
      <c r="F2642" s="51">
        <f>VLOOKUP(A2642,'Componentes APUs'!$H$1:$L$25,5,0)</f>
        <v>101678.57142857142</v>
      </c>
      <c r="G2642" s="51">
        <f>ROUNDUP((E2642+F2642)*C2642/E2629,0)</f>
        <v>27115</v>
      </c>
    </row>
    <row r="2643" spans="1:9" x14ac:dyDescent="0.25">
      <c r="A2643" s="50" t="s">
        <v>1109</v>
      </c>
      <c r="B2643" s="68" t="str">
        <f>VLOOKUP(A2643,'Componentes APUs'!$H$1:$L$25,2,0)</f>
        <v>Ayudante de Obra Civil</v>
      </c>
      <c r="C2643" s="93">
        <v>1</v>
      </c>
      <c r="D2643" s="50">
        <f>VLOOKUP(A2643,'Componentes APUs'!$H$1:$L$25,3,0)</f>
        <v>1</v>
      </c>
      <c r="E2643" s="51">
        <f>VLOOKUP(A2643,'Componentes APUs'!$H$1:$L$25,4,0)</f>
        <v>77309.523809523816</v>
      </c>
      <c r="F2643" s="51">
        <f>VLOOKUP(A2643,'Componentes APUs'!$H$1:$L$25,5,0)</f>
        <v>46385.71428571429</v>
      </c>
      <c r="G2643" s="51">
        <f>ROUNDUP((E2643+F2643)*C2643/E2629,0)</f>
        <v>49479</v>
      </c>
    </row>
    <row r="2644" spans="1:9" x14ac:dyDescent="0.25">
      <c r="A2644" s="219" t="s">
        <v>56</v>
      </c>
      <c r="B2644" s="219"/>
      <c r="C2644" s="219"/>
      <c r="D2644" s="219"/>
      <c r="E2644" s="219"/>
      <c r="F2644" s="219"/>
      <c r="G2644" s="52">
        <f>SUM(G2638:G2643)</f>
        <v>150812</v>
      </c>
    </row>
    <row r="2645" spans="1:9" x14ac:dyDescent="0.25">
      <c r="A2645" s="56"/>
      <c r="B2645" s="57"/>
      <c r="C2645" s="57"/>
      <c r="D2645" s="57"/>
      <c r="E2645" s="57"/>
      <c r="F2645" s="57"/>
      <c r="G2645" s="58"/>
    </row>
    <row r="2646" spans="1:9" x14ac:dyDescent="0.25">
      <c r="A2646" s="219" t="s">
        <v>57</v>
      </c>
      <c r="B2646" s="219"/>
      <c r="C2646" s="219"/>
      <c r="D2646" s="219"/>
      <c r="E2646" s="219"/>
      <c r="F2646" s="219"/>
      <c r="G2646" s="219"/>
    </row>
    <row r="2647" spans="1:9" x14ac:dyDescent="0.25">
      <c r="A2647" s="49" t="s">
        <v>35</v>
      </c>
      <c r="B2647" s="219" t="s">
        <v>36</v>
      </c>
      <c r="C2647" s="219"/>
      <c r="D2647" s="49" t="s">
        <v>37</v>
      </c>
      <c r="E2647" s="49" t="s">
        <v>38</v>
      </c>
      <c r="F2647" s="49" t="s">
        <v>39</v>
      </c>
      <c r="G2647" s="49" t="s">
        <v>40</v>
      </c>
    </row>
    <row r="2648" spans="1:9" x14ac:dyDescent="0.25">
      <c r="A2648" s="50" t="s">
        <v>326</v>
      </c>
      <c r="B2648" s="220" t="str">
        <f>VLOOKUP(A2648,'Componentes APUs'!$S$1:$V$10,2,0)</f>
        <v>Juego Llaves</v>
      </c>
      <c r="C2648" s="220"/>
      <c r="D2648" s="50" t="s">
        <v>18</v>
      </c>
      <c r="E2648" s="50">
        <v>0</v>
      </c>
      <c r="F2648" s="51">
        <f>VLOOKUP(A2648,'Componentes APUs'!$S$1:$V$10,4,0)</f>
        <v>9167</v>
      </c>
      <c r="G2648" s="51">
        <f>ROUNDUP(F2648*((E2648/21)/E2629),0)</f>
        <v>0</v>
      </c>
      <c r="I2648" s="91"/>
    </row>
    <row r="2649" spans="1:9" x14ac:dyDescent="0.25">
      <c r="A2649" s="50" t="s">
        <v>58</v>
      </c>
      <c r="B2649" s="220" t="str">
        <f>VLOOKUP(A2649,'Componentes APUs'!$S$1:$V$10,2,0)</f>
        <v>Manila de servicio</v>
      </c>
      <c r="C2649" s="220"/>
      <c r="D2649" s="50" t="s">
        <v>18</v>
      </c>
      <c r="E2649" s="50">
        <v>0</v>
      </c>
      <c r="F2649" s="51">
        <f>VLOOKUP(A2649,'Componentes APUs'!$S$1:$V$10,4,0)</f>
        <v>2333</v>
      </c>
      <c r="G2649" s="51">
        <f>ROUNDUP(F2649*((E2649/21)/E2629),0)</f>
        <v>0</v>
      </c>
    </row>
    <row r="2650" spans="1:9" x14ac:dyDescent="0.25">
      <c r="A2650" s="50" t="s">
        <v>327</v>
      </c>
      <c r="B2650" s="220" t="str">
        <f>VLOOKUP(A2650,'Componentes APUs'!$S$1:$V$10,2,0)</f>
        <v>Tula portaherramientas</v>
      </c>
      <c r="C2650" s="220"/>
      <c r="D2650" s="50" t="s">
        <v>18</v>
      </c>
      <c r="E2650" s="50">
        <v>0</v>
      </c>
      <c r="F2650" s="51">
        <f>VLOOKUP(A2650,'Componentes APUs'!$S$1:$V$10,4,0)</f>
        <v>1250</v>
      </c>
      <c r="G2650" s="51">
        <f>ROUNDUP(F2650*((E2650/21)/E2629),0)</f>
        <v>0</v>
      </c>
    </row>
    <row r="2651" spans="1:9" x14ac:dyDescent="0.25">
      <c r="A2651" s="50" t="s">
        <v>60</v>
      </c>
      <c r="B2651" s="220" t="str">
        <f>VLOOKUP(A2651,'Componentes APUs'!$S$1:$V$10,2,0)</f>
        <v>Agarradoras</v>
      </c>
      <c r="C2651" s="220"/>
      <c r="D2651" s="50" t="s">
        <v>18</v>
      </c>
      <c r="E2651" s="50">
        <v>0</v>
      </c>
      <c r="F2651" s="51">
        <f>VLOOKUP(A2651,'Componentes APUs'!$S$1:$V$10,4,0)</f>
        <v>125000</v>
      </c>
      <c r="G2651" s="51">
        <f>ROUNDUP(F2651*((E2651/21)/E2629),0)</f>
        <v>0</v>
      </c>
    </row>
    <row r="2652" spans="1:9" x14ac:dyDescent="0.25">
      <c r="A2652" s="50" t="s">
        <v>62</v>
      </c>
      <c r="B2652" s="220" t="str">
        <f>VLOOKUP(A2652,'Componentes APUs'!$S$1:$V$10,2,0)</f>
        <v>Templadoras</v>
      </c>
      <c r="C2652" s="220"/>
      <c r="D2652" s="50" t="s">
        <v>18</v>
      </c>
      <c r="E2652" s="50">
        <v>0</v>
      </c>
      <c r="F2652" s="51">
        <f>VLOOKUP(A2652,'Componentes APUs'!$S$1:$V$10,4,0)</f>
        <v>250000</v>
      </c>
      <c r="G2652" s="51">
        <f>ROUNDUP(F2652*((E2652/21)/E2629),0)</f>
        <v>0</v>
      </c>
    </row>
    <row r="2653" spans="1:9" x14ac:dyDescent="0.25">
      <c r="A2653" s="50" t="s">
        <v>328</v>
      </c>
      <c r="B2653" s="220" t="str">
        <f>VLOOKUP(A2653,'Componentes APUs'!$S$1:$V$10,2,0)</f>
        <v>Herramienta Menor</v>
      </c>
      <c r="C2653" s="220"/>
      <c r="D2653" s="50" t="s">
        <v>18</v>
      </c>
      <c r="E2653" s="50">
        <v>5</v>
      </c>
      <c r="F2653" s="51">
        <f>VLOOKUP(A2653,'Componentes APUs'!$S$1:$V$10,4,0)</f>
        <v>75758</v>
      </c>
      <c r="G2653" s="51">
        <f>ROUNDUP(F2653*((E2653/21)/E2629),0)</f>
        <v>7216</v>
      </c>
    </row>
    <row r="2654" spans="1:9" x14ac:dyDescent="0.25">
      <c r="A2654" s="219" t="s">
        <v>69</v>
      </c>
      <c r="B2654" s="219"/>
      <c r="C2654" s="219"/>
      <c r="D2654" s="219"/>
      <c r="E2654" s="219"/>
      <c r="F2654" s="219"/>
      <c r="G2654" s="52">
        <f>SUM(G2648:G2653)</f>
        <v>7216</v>
      </c>
    </row>
    <row r="2655" spans="1:9" x14ac:dyDescent="0.25">
      <c r="A2655" s="56"/>
      <c r="B2655" s="57"/>
      <c r="C2655" s="57"/>
      <c r="D2655" s="57"/>
      <c r="E2655" s="57"/>
      <c r="F2655" s="57"/>
      <c r="G2655" s="58"/>
    </row>
    <row r="2656" spans="1:9" x14ac:dyDescent="0.25">
      <c r="A2656" s="219" t="s">
        <v>70</v>
      </c>
      <c r="B2656" s="219"/>
      <c r="C2656" s="219"/>
      <c r="D2656" s="219"/>
      <c r="E2656" s="219"/>
      <c r="F2656" s="219"/>
      <c r="G2656" s="219"/>
    </row>
    <row r="2657" spans="1:9" x14ac:dyDescent="0.25">
      <c r="A2657" s="49" t="s">
        <v>35</v>
      </c>
      <c r="B2657" s="219" t="s">
        <v>36</v>
      </c>
      <c r="C2657" s="219"/>
      <c r="D2657" s="49" t="s">
        <v>37</v>
      </c>
      <c r="E2657" s="49" t="s">
        <v>38</v>
      </c>
      <c r="F2657" s="49" t="s">
        <v>39</v>
      </c>
      <c r="G2657" s="49" t="s">
        <v>40</v>
      </c>
    </row>
    <row r="2658" spans="1:9" x14ac:dyDescent="0.25">
      <c r="A2658" s="50" t="s">
        <v>71</v>
      </c>
      <c r="B2658" s="71" t="str">
        <f>VLOOKUP(A2658,'Componentes APUs'!$A$1:$D$14,2,0)</f>
        <v>Camisa indigo sin partes metalicas</v>
      </c>
      <c r="C2658" s="71"/>
      <c r="D2658" s="50" t="str">
        <f>VLOOKUP(A2658,'Componentes APUs'!$A$1:$D$14,3,0)</f>
        <v>U</v>
      </c>
      <c r="E2658" s="50">
        <f>SUM(C2638:C2643)</f>
        <v>2.25</v>
      </c>
      <c r="F2658" s="51">
        <f>VLOOKUP(A2658,'Componentes APUs'!$A$1:$D$14,4,0)</f>
        <v>8585.8585858585866</v>
      </c>
      <c r="G2658" s="51">
        <f>ROUNDUP(F2658*(E2658/21)/E2629,0)</f>
        <v>368</v>
      </c>
      <c r="I2658" s="91"/>
    </row>
    <row r="2659" spans="1:9" x14ac:dyDescent="0.25">
      <c r="A2659" s="69" t="s">
        <v>73</v>
      </c>
      <c r="B2659" s="72" t="str">
        <f>VLOOKUP(A2659,'Componentes APUs'!$A$1:$D$14,2,0)</f>
        <v>Bota de seguridad dielectrica</v>
      </c>
      <c r="C2659" s="73"/>
      <c r="D2659" s="70" t="str">
        <f>VLOOKUP(A2659,'Componentes APUs'!$A$1:$D$14,3,0)</f>
        <v>Par</v>
      </c>
      <c r="E2659" s="50">
        <f>SUM(C2638:C2643)</f>
        <v>2.25</v>
      </c>
      <c r="F2659" s="51">
        <f>VLOOKUP(A2659,'Componentes APUs'!$A$1:$D$14,4,0)</f>
        <v>7500</v>
      </c>
      <c r="G2659" s="51">
        <f>ROUNDUP(F2659*(E2659/21)/E2629,0)</f>
        <v>322</v>
      </c>
    </row>
    <row r="2660" spans="1:9" x14ac:dyDescent="0.25">
      <c r="A2660" s="50" t="s">
        <v>76</v>
      </c>
      <c r="B2660" s="72" t="str">
        <f>VLOOKUP(A2660,'Componentes APUs'!$A$1:$D$14,2,0)</f>
        <v>Casco dielectrico Tipo 1 Clase E con barbuquejo</v>
      </c>
      <c r="C2660" s="73"/>
      <c r="D2660" s="50" t="str">
        <f>VLOOKUP(A2660,'Componentes APUs'!$A$1:$D$14,3,0)</f>
        <v>U</v>
      </c>
      <c r="E2660" s="50">
        <f>C2638+C2639+C2641+C2642+C2643+IF(A2640&lt;&gt;"MO-3",C2640,0)</f>
        <v>2.25</v>
      </c>
      <c r="F2660" s="51">
        <f>VLOOKUP(A2660,'Componentes APUs'!$A$1:$D$14,4,0)</f>
        <v>10101.010101010101</v>
      </c>
      <c r="G2660" s="51">
        <f>ROUNDUP(F2660*(E2660/21)/E2629,0)</f>
        <v>433</v>
      </c>
    </row>
    <row r="2661" spans="1:9" x14ac:dyDescent="0.25">
      <c r="A2661" s="69" t="s">
        <v>77</v>
      </c>
      <c r="B2661" s="72" t="str">
        <f>VLOOKUP(A2661,'Componentes APUs'!$A$1:$D$14,2,0)</f>
        <v>Correa plastica y antiflama</v>
      </c>
      <c r="C2661" s="73"/>
      <c r="D2661" s="50" t="str">
        <f>VLOOKUP(A2661,'Componentes APUs'!$A$1:$D$14,3,0)</f>
        <v>U</v>
      </c>
      <c r="E2661" s="50">
        <f>SUM(C2638:C2643)</f>
        <v>2.25</v>
      </c>
      <c r="F2661" s="51">
        <f>VLOOKUP(A2661,'Componentes APUs'!$A$1:$D$14,4,0)</f>
        <v>3787.878787878788</v>
      </c>
      <c r="G2661" s="51">
        <f>ROUNDUP(F2661*(E2661/21)/E2629,0)</f>
        <v>163</v>
      </c>
    </row>
    <row r="2662" spans="1:9" x14ac:dyDescent="0.25">
      <c r="A2662" s="50" t="s">
        <v>79</v>
      </c>
      <c r="B2662" s="72" t="str">
        <f>VLOOKUP(A2662,'Componentes APUs'!$A$1:$D$14,2,0)</f>
        <v>Gafas protectoras filtro UV</v>
      </c>
      <c r="C2662" s="73"/>
      <c r="D2662" s="50" t="str">
        <f>VLOOKUP(A2662,'Componentes APUs'!$A$1:$D$14,3,0)</f>
        <v>U</v>
      </c>
      <c r="E2662" s="50">
        <f>SUM(C2638:C2643)</f>
        <v>2.25</v>
      </c>
      <c r="F2662" s="51">
        <f>VLOOKUP(A2662,'Componentes APUs'!$A$1:$D$14,4,0)</f>
        <v>2777.7777777777778</v>
      </c>
      <c r="G2662" s="51">
        <f>ROUNDUP(F2662*(E2662/21)/E2629,0)</f>
        <v>120</v>
      </c>
    </row>
    <row r="2663" spans="1:9" x14ac:dyDescent="0.25">
      <c r="A2663" s="69" t="s">
        <v>402</v>
      </c>
      <c r="B2663" s="72" t="str">
        <f>VLOOKUP(A2663,'Componentes APUs'!$A$1:$D$14,2,0)</f>
        <v>Bota de seguridad PVC dielectrica</v>
      </c>
      <c r="C2663" s="73"/>
      <c r="D2663" s="50" t="str">
        <f>VLOOKUP(A2663,'Componentes APUs'!$A$1:$D$14,3,0)</f>
        <v>Par</v>
      </c>
      <c r="E2663" s="50">
        <f>SUM(C2638:C2643)</f>
        <v>2.25</v>
      </c>
      <c r="F2663" s="51">
        <f>VLOOKUP(A2663,'Componentes APUs'!$A$1:$D$14,4,0)</f>
        <v>2916.6666666666665</v>
      </c>
      <c r="G2663" s="51">
        <f>ROUNDUP(F2663*(E2663/21)/E2629,0)</f>
        <v>125</v>
      </c>
    </row>
    <row r="2664" spans="1:9" x14ac:dyDescent="0.25">
      <c r="A2664" s="50" t="s">
        <v>403</v>
      </c>
      <c r="B2664" s="72" t="str">
        <f>VLOOKUP(A2664,'Componentes APUs'!$A$1:$D$14,2,0)</f>
        <v>Capuchon</v>
      </c>
      <c r="C2664" s="73"/>
      <c r="D2664" s="50" t="str">
        <f>VLOOKUP(A2664,'Componentes APUs'!$A$1:$D$14,3,0)</f>
        <v>U</v>
      </c>
      <c r="E2664" s="50">
        <f>SUM(C2638:C2643)</f>
        <v>2.25</v>
      </c>
      <c r="F2664" s="51">
        <f>VLOOKUP(A2664,'Componentes APUs'!$A$1:$D$14,4,0)</f>
        <v>2525.2525252525252</v>
      </c>
      <c r="G2664" s="51">
        <f>ROUNDUP(F2664*(E2664/21)/E2629,0)</f>
        <v>109</v>
      </c>
    </row>
    <row r="2665" spans="1:9" x14ac:dyDescent="0.25">
      <c r="A2665" s="69" t="s">
        <v>81</v>
      </c>
      <c r="B2665" s="72" t="str">
        <f>VLOOKUP(A2665,'Componentes APUs'!$A$1:$D$14,2,0)</f>
        <v>Guantes Protectores  - ingeniero reforzados</v>
      </c>
      <c r="C2665" s="73"/>
      <c r="D2665" s="50" t="str">
        <f>VLOOKUP(A2665,'Componentes APUs'!$A$1:$D$14,3,0)</f>
        <v>Par</v>
      </c>
      <c r="E2665" s="50">
        <f>C2640+C2641+C2643</f>
        <v>2</v>
      </c>
      <c r="F2665" s="51">
        <f>VLOOKUP(A2665,'Componentes APUs'!$A$1:$D$14,4,0)</f>
        <v>2525.2525252525252</v>
      </c>
      <c r="G2665" s="51">
        <f>ROUNDUP(F2665*(E2665/21)/E2629,0)</f>
        <v>97</v>
      </c>
    </row>
    <row r="2666" spans="1:9" x14ac:dyDescent="0.25">
      <c r="A2666" s="50" t="s">
        <v>83</v>
      </c>
      <c r="B2666" s="72" t="str">
        <f>VLOOKUP(A2666,'Componentes APUs'!$A$1:$D$14,2,0)</f>
        <v>Impermeable (pantalon camisa)</v>
      </c>
      <c r="C2666" s="73"/>
      <c r="D2666" s="50" t="str">
        <f>VLOOKUP(A2666,'Componentes APUs'!$A$1:$D$14,3,0)</f>
        <v>U</v>
      </c>
      <c r="E2666" s="50">
        <f>SUM(C2638:C2643)</f>
        <v>2.25</v>
      </c>
      <c r="F2666" s="51">
        <f>VLOOKUP(A2666,'Componentes APUs'!$A$1:$D$14,4,0)</f>
        <v>3750</v>
      </c>
      <c r="G2666" s="51">
        <f>ROUNDUP(F2666*(E2666/21)/E2629,0)</f>
        <v>161</v>
      </c>
    </row>
    <row r="2667" spans="1:9" x14ac:dyDescent="0.25">
      <c r="A2667" s="69" t="s">
        <v>85</v>
      </c>
      <c r="B2667" s="72" t="str">
        <f>VLOOKUP(A2667,'Componentes APUs'!$A$1:$D$14,2,0)</f>
        <v>Jean Dielectrico</v>
      </c>
      <c r="C2667" s="73"/>
      <c r="D2667" s="50" t="str">
        <f>VLOOKUP(A2667,'Componentes APUs'!$A$1:$D$14,3,0)</f>
        <v>U</v>
      </c>
      <c r="E2667" s="50">
        <f>SUM(C2638:C2643)</f>
        <v>2.25</v>
      </c>
      <c r="F2667" s="51">
        <f>VLOOKUP(A2667,'Componentes APUs'!$A$1:$D$14,4,0)</f>
        <v>7575.757575757576</v>
      </c>
      <c r="G2667" s="51">
        <f>ROUNDUP(F2667*(E2667/21)/E2629,0)</f>
        <v>325</v>
      </c>
    </row>
    <row r="2668" spans="1:9" x14ac:dyDescent="0.25">
      <c r="A2668" s="50" t="s">
        <v>87</v>
      </c>
      <c r="B2668" s="72" t="str">
        <f>VLOOKUP(A2668,'Componentes APUs'!$A$1:$D$14,2,0)</f>
        <v>Casco dielectrico Tipo 2 Clase E con barboquejo</v>
      </c>
      <c r="C2668" s="73"/>
      <c r="D2668" s="50" t="str">
        <f>VLOOKUP(A2668,'Componentes APUs'!$A$1:$D$14,3,0)</f>
        <v>U</v>
      </c>
      <c r="E2668" s="53">
        <f>IF(A2640="MO-3",C2640,0)</f>
        <v>0</v>
      </c>
      <c r="F2668" s="51">
        <f>VLOOKUP(A2668,'Componentes APUs'!$A$1:$D$14,4,0)</f>
        <v>7500</v>
      </c>
      <c r="G2668" s="51">
        <f>ROUNDUP(F2668*(E2668/21)/E2629,0)</f>
        <v>0</v>
      </c>
    </row>
    <row r="2669" spans="1:9" x14ac:dyDescent="0.25">
      <c r="A2669" s="69" t="s">
        <v>89</v>
      </c>
      <c r="B2669" s="72" t="str">
        <f>VLOOKUP(A2669,'Componentes APUs'!$A$1:$D$14,2,0)</f>
        <v>Kit de rescate para trabajo en alturas</v>
      </c>
      <c r="C2669" s="73"/>
      <c r="D2669" s="50" t="str">
        <f>VLOOKUP(A2669,'Componentes APUs'!$A$1:$D$14,3,0)</f>
        <v>U</v>
      </c>
      <c r="E2669" s="50">
        <f>IF(AND(A2640="MO-3",C2640=2),1,0)</f>
        <v>0</v>
      </c>
      <c r="F2669" s="51">
        <f>VLOOKUP(A2669,'Componentes APUs'!$A$1:$D$14,4,0)</f>
        <v>37500</v>
      </c>
      <c r="G2669" s="51">
        <f>ROUNDUP(F2669*(E2669/21)/E2629,0)</f>
        <v>0</v>
      </c>
    </row>
    <row r="2670" spans="1:9" x14ac:dyDescent="0.25">
      <c r="A2670" s="50" t="s">
        <v>91</v>
      </c>
      <c r="B2670" s="72" t="str">
        <f>VLOOKUP(A2670,'Componentes APUs'!$A$1:$D$14,2,0)</f>
        <v>Equipo completo para trabajo en alturas con pretales (Arnes dielectrico, 1 mosqueton de seguridad, tie off dielectrico, eslinga de posicionamiento, juego de pretales)</v>
      </c>
      <c r="C2670" s="73"/>
      <c r="D2670" s="50" t="str">
        <f>VLOOKUP(A2670,'Componentes APUs'!$A$1:$D$14,3,0)</f>
        <v>U</v>
      </c>
      <c r="E2670" s="50">
        <f>IF(A2640="MO-3",C2640,0)</f>
        <v>0</v>
      </c>
      <c r="F2670" s="51">
        <f>VLOOKUP(A2670,'Componentes APUs'!$A$1:$D$14,4,0)</f>
        <v>26041.666666666668</v>
      </c>
      <c r="G2670" s="51">
        <f>ROUNDUP(F2670*(E2670/21)/E2629,0)</f>
        <v>0</v>
      </c>
    </row>
    <row r="2671" spans="1:9" x14ac:dyDescent="0.25">
      <c r="A2671" s="219" t="s">
        <v>95</v>
      </c>
      <c r="B2671" s="219"/>
      <c r="C2671" s="219"/>
      <c r="D2671" s="219"/>
      <c r="E2671" s="219"/>
      <c r="F2671" s="219"/>
      <c r="G2671" s="52">
        <f>SUM(G2658:G2670)</f>
        <v>2223</v>
      </c>
    </row>
    <row r="2672" spans="1:9" x14ac:dyDescent="0.25">
      <c r="A2672" s="56"/>
      <c r="B2672" s="57"/>
      <c r="C2672" s="57"/>
      <c r="D2672" s="57"/>
      <c r="E2672" s="57"/>
      <c r="F2672" s="57"/>
      <c r="G2672" s="58"/>
    </row>
    <row r="2673" spans="1:7" x14ac:dyDescent="0.25">
      <c r="A2673" s="219" t="s">
        <v>96</v>
      </c>
      <c r="B2673" s="219"/>
      <c r="C2673" s="219"/>
      <c r="D2673" s="219"/>
      <c r="E2673" s="219"/>
      <c r="F2673" s="219"/>
      <c r="G2673" s="219"/>
    </row>
    <row r="2674" spans="1:7" x14ac:dyDescent="0.25">
      <c r="A2674" s="49" t="s">
        <v>35</v>
      </c>
      <c r="B2674" s="225" t="s">
        <v>36</v>
      </c>
      <c r="C2674" s="225"/>
      <c r="D2674" s="49" t="s">
        <v>37</v>
      </c>
      <c r="E2674" s="49" t="s">
        <v>38</v>
      </c>
      <c r="F2674" s="49" t="s">
        <v>39</v>
      </c>
      <c r="G2674" s="49" t="s">
        <v>40</v>
      </c>
    </row>
    <row r="2675" spans="1:7" x14ac:dyDescent="0.25">
      <c r="A2675" s="69" t="s">
        <v>97</v>
      </c>
      <c r="B2675" s="72" t="str">
        <f>VLOOKUP(A2675,'Componentes APUs'!$N$1:$Q$30,2,0)</f>
        <v>Camioneta</v>
      </c>
      <c r="C2675" s="73"/>
      <c r="D2675" s="70" t="str">
        <f>VLOOKUP(A2675,'Componentes APUs'!$N$1:$Q$30,3,0)</f>
        <v>U</v>
      </c>
      <c r="E2675" s="50">
        <v>0.5</v>
      </c>
      <c r="F2675" s="51">
        <f>VLOOKUP(A2675,'Componentes APUs'!$N$1:$Q$30,4,0)</f>
        <v>5500000</v>
      </c>
      <c r="G2675" s="51">
        <f>IFERROR(ROUNDUP(F2675*(E2675/21)/E2629,0),"-")</f>
        <v>52381</v>
      </c>
    </row>
    <row r="2676" spans="1:7" x14ac:dyDescent="0.25">
      <c r="A2676" s="50" t="s">
        <v>2198</v>
      </c>
      <c r="B2676" s="72" t="str">
        <f>VLOOKUP(A2676,'Componentes APUs'!$N$1:$Q$30,2,0)</f>
        <v>Cargador: potencia en el volante 125 hp, clasificación de rpm del motor 2300</v>
      </c>
      <c r="C2676" s="73"/>
      <c r="D2676" s="70" t="str">
        <f>VLOOKUP(A2676,'Componentes APUs'!$N$1:$Q$30,3,0)</f>
        <v>U</v>
      </c>
      <c r="E2676" s="50">
        <v>0.02</v>
      </c>
      <c r="F2676" s="51">
        <f>VLOOKUP(A2676,'Componentes APUs'!$N$1:$Q$30,4,0)</f>
        <v>43132190.963855445</v>
      </c>
      <c r="G2676" s="51">
        <f>IFERROR(ROUNDUP(F2676*(E2676/21)/E2629,0),"-")</f>
        <v>16432</v>
      </c>
    </row>
    <row r="2677" spans="1:7" x14ac:dyDescent="0.25">
      <c r="A2677" s="69" t="s">
        <v>1379</v>
      </c>
      <c r="B2677" s="72" t="str">
        <f>VLOOKUP(A2677,'Componentes APUs'!$N$1:$Q$30,2,0)</f>
        <v>Dumper de descarga Frontal 2T</v>
      </c>
      <c r="C2677" s="73"/>
      <c r="D2677" s="70" t="str">
        <f>VLOOKUP(A2677,'Componentes APUs'!$N$1:$Q$30,3,0)</f>
        <v>U</v>
      </c>
      <c r="E2677" s="50">
        <v>0</v>
      </c>
      <c r="F2677" s="51">
        <f>VLOOKUP(A2677,'Componentes APUs'!$N$1:$Q$30,4,0)</f>
        <v>4438716.24</v>
      </c>
      <c r="G2677" s="51">
        <f>IFERROR(ROUNDUP(F2677*(E2677/21)/E2629,0),"-")</f>
        <v>0</v>
      </c>
    </row>
    <row r="2678" spans="1:7" x14ac:dyDescent="0.25">
      <c r="A2678" s="50" t="s">
        <v>323</v>
      </c>
      <c r="B2678" s="72" t="str">
        <f>VLOOKUP(A2678,'Componentes APUs'!$N$1:$Q$30,2,0)</f>
        <v>Volqueta</v>
      </c>
      <c r="C2678" s="73"/>
      <c r="D2678" s="70" t="str">
        <f>VLOOKUP(A2678,'Componentes APUs'!$N$1:$Q$30,3,0)</f>
        <v>U</v>
      </c>
      <c r="E2678" s="50">
        <v>0</v>
      </c>
      <c r="F2678" s="51">
        <f>VLOOKUP(A2678,'Componentes APUs'!$N$1:$Q$30,4,0)</f>
        <v>14828184</v>
      </c>
      <c r="G2678" s="51">
        <f>IFERROR(ROUNDUP(F2678*(E2678/21)/E2629,0),"-")</f>
        <v>0</v>
      </c>
    </row>
    <row r="2679" spans="1:7" x14ac:dyDescent="0.25">
      <c r="A2679" s="69" t="s">
        <v>324</v>
      </c>
      <c r="B2679" s="72" t="str">
        <f>VLOOKUP(A2679,'Componentes APUs'!$N$1:$Q$30,2,0)</f>
        <v>Retroexcavadora</v>
      </c>
      <c r="C2679" s="73"/>
      <c r="D2679" s="70" t="str">
        <f>VLOOKUP(A2679,'Componentes APUs'!$N$1:$Q$30,3,0)</f>
        <v>U</v>
      </c>
      <c r="E2679" s="50">
        <v>0</v>
      </c>
      <c r="F2679" s="51">
        <f>VLOOKUP(A2679,'Componentes APUs'!$N$1:$Q$30,4,0)</f>
        <v>46030656</v>
      </c>
      <c r="G2679" s="51">
        <f>IFERROR(ROUNDUP(F2679*(E2679/21)/E2629,0),"-")</f>
        <v>0</v>
      </c>
    </row>
    <row r="2680" spans="1:7" x14ac:dyDescent="0.25">
      <c r="A2680" s="219" t="s">
        <v>99</v>
      </c>
      <c r="B2680" s="219"/>
      <c r="C2680" s="219"/>
      <c r="D2680" s="219"/>
      <c r="E2680" s="219"/>
      <c r="F2680" s="219"/>
      <c r="G2680" s="52">
        <f>SUM(G2675:G2679)</f>
        <v>68813</v>
      </c>
    </row>
    <row r="2681" spans="1:7" x14ac:dyDescent="0.25">
      <c r="A2681" s="56"/>
      <c r="B2681" s="57"/>
      <c r="C2681" s="57"/>
      <c r="D2681" s="57"/>
      <c r="E2681" s="57"/>
      <c r="F2681" s="57"/>
      <c r="G2681" s="58"/>
    </row>
    <row r="2682" spans="1:7" x14ac:dyDescent="0.25">
      <c r="A2682" s="219" t="s">
        <v>1516</v>
      </c>
      <c r="B2682" s="219"/>
      <c r="C2682" s="219"/>
      <c r="D2682" s="219"/>
      <c r="E2682" s="219"/>
      <c r="F2682" s="219"/>
      <c r="G2682" s="52">
        <f>G2680+G2671+G2654+G2644+G2634</f>
        <v>677631</v>
      </c>
    </row>
    <row r="2683" spans="1:7" x14ac:dyDescent="0.25">
      <c r="A2683" s="59"/>
      <c r="B2683" s="60"/>
      <c r="C2683" s="60"/>
      <c r="D2683" s="60"/>
      <c r="E2683" s="57"/>
      <c r="F2683" s="57"/>
      <c r="G2683" s="58"/>
    </row>
    <row r="2684" spans="1:7" x14ac:dyDescent="0.25">
      <c r="A2684" s="64"/>
      <c r="D2684" s="55"/>
      <c r="E2684" s="49" t="s">
        <v>25</v>
      </c>
      <c r="F2684" s="54">
        <v>0.15</v>
      </c>
      <c r="G2684" s="51">
        <f>G2682*F2684</f>
        <v>101644.65</v>
      </c>
    </row>
    <row r="2685" spans="1:7" x14ac:dyDescent="0.25">
      <c r="A2685" s="64"/>
      <c r="D2685" s="55"/>
      <c r="E2685" s="49" t="s">
        <v>26</v>
      </c>
      <c r="F2685" s="54">
        <v>0.05</v>
      </c>
      <c r="G2685" s="51">
        <f>G2682*F2685</f>
        <v>33881.550000000003</v>
      </c>
    </row>
    <row r="2686" spans="1:7" x14ac:dyDescent="0.25">
      <c r="A2686" s="61"/>
      <c r="B2686" s="65"/>
      <c r="C2686" s="65"/>
      <c r="D2686" s="62"/>
      <c r="E2686" s="49" t="s">
        <v>27</v>
      </c>
      <c r="F2686" s="54">
        <v>0.05</v>
      </c>
      <c r="G2686" s="51">
        <f>G2682*F2686</f>
        <v>33881.550000000003</v>
      </c>
    </row>
    <row r="2687" spans="1:7" x14ac:dyDescent="0.25">
      <c r="A2687" s="61"/>
      <c r="B2687" s="62"/>
      <c r="C2687" s="62"/>
      <c r="D2687" s="62"/>
      <c r="E2687" s="62"/>
      <c r="F2687" s="62"/>
      <c r="G2687" s="63"/>
    </row>
    <row r="2688" spans="1:7" x14ac:dyDescent="0.25">
      <c r="A2688" s="219" t="s">
        <v>1517</v>
      </c>
      <c r="B2688" s="219"/>
      <c r="C2688" s="219"/>
      <c r="D2688" s="219"/>
      <c r="E2688" s="219"/>
      <c r="F2688" s="219"/>
      <c r="G2688" s="52">
        <f>G2682+G2684+G2685+G2686</f>
        <v>847038.75000000012</v>
      </c>
    </row>
    <row r="2689" spans="1:9" x14ac:dyDescent="0.25">
      <c r="A2689" s="59"/>
      <c r="B2689" s="60"/>
      <c r="C2689" s="60"/>
      <c r="D2689" s="60"/>
      <c r="E2689" s="57"/>
      <c r="F2689" s="57"/>
      <c r="G2689" s="58"/>
    </row>
    <row r="2690" spans="1:9" x14ac:dyDescent="0.25">
      <c r="A2690" s="64"/>
      <c r="D2690" s="55"/>
      <c r="E2690" s="49" t="s">
        <v>102</v>
      </c>
      <c r="F2690" s="49" t="s">
        <v>103</v>
      </c>
      <c r="G2690" s="51">
        <f>G2686*19%</f>
        <v>6437.4945000000007</v>
      </c>
    </row>
    <row r="2691" spans="1:9" x14ac:dyDescent="0.25">
      <c r="A2691" s="61"/>
      <c r="B2691" s="62"/>
      <c r="C2691" s="62"/>
      <c r="D2691" s="62"/>
      <c r="E2691" s="57"/>
      <c r="F2691" s="57"/>
      <c r="G2691" s="58"/>
    </row>
    <row r="2692" spans="1:9" x14ac:dyDescent="0.25">
      <c r="A2692" s="219" t="s">
        <v>104</v>
      </c>
      <c r="B2692" s="219"/>
      <c r="C2692" s="219"/>
      <c r="D2692" s="219"/>
      <c r="E2692" s="219"/>
      <c r="F2692" s="219"/>
      <c r="G2692" s="52">
        <f>G2690+G2688</f>
        <v>853476.24450000015</v>
      </c>
    </row>
    <row r="2694" spans="1:9" x14ac:dyDescent="0.25">
      <c r="A2694" s="74" t="s">
        <v>29</v>
      </c>
      <c r="B2694" s="226" t="s">
        <v>30</v>
      </c>
      <c r="C2694" s="226"/>
      <c r="D2694" s="74" t="s">
        <v>31</v>
      </c>
      <c r="E2694" s="74" t="s">
        <v>32</v>
      </c>
      <c r="F2694" s="74" t="s">
        <v>189</v>
      </c>
      <c r="G2694" s="74" t="s">
        <v>33</v>
      </c>
      <c r="H2694" s="105"/>
    </row>
    <row r="2695" spans="1:9" ht="24" customHeight="1" x14ac:dyDescent="0.25">
      <c r="A2695" s="50" t="str">
        <f>Presupuesto!B53</f>
        <v>041_OC</v>
      </c>
      <c r="B2695" s="229" t="str">
        <f>Presupuesto!C53</f>
        <v>CUERPO CÁMARA DE INSPECCIÓN   C20.7MPA</v>
      </c>
      <c r="C2695" s="230"/>
      <c r="D2695" s="50" t="s">
        <v>18</v>
      </c>
      <c r="E2695" s="107">
        <v>2</v>
      </c>
      <c r="F2695" s="50"/>
      <c r="G2695" s="51">
        <f>G2758</f>
        <v>1445701.9609999997</v>
      </c>
      <c r="H2695" s="45"/>
    </row>
    <row r="2696" spans="1:9" x14ac:dyDescent="0.25">
      <c r="A2696" s="219" t="s">
        <v>34</v>
      </c>
      <c r="B2696" s="219"/>
      <c r="C2696" s="219"/>
      <c r="D2696" s="219"/>
      <c r="E2696" s="219"/>
      <c r="F2696" s="219"/>
      <c r="G2696" s="219"/>
    </row>
    <row r="2697" spans="1:9" x14ac:dyDescent="0.25">
      <c r="A2697" s="49" t="s">
        <v>35</v>
      </c>
      <c r="B2697" s="219" t="s">
        <v>36</v>
      </c>
      <c r="C2697" s="219"/>
      <c r="D2697" s="49" t="s">
        <v>37</v>
      </c>
      <c r="E2697" s="49" t="s">
        <v>38</v>
      </c>
      <c r="F2697" s="49" t="s">
        <v>39</v>
      </c>
      <c r="G2697" s="49" t="s">
        <v>40</v>
      </c>
    </row>
    <row r="2698" spans="1:9" x14ac:dyDescent="0.25">
      <c r="A2698" s="50" t="str">
        <f>Material!A660</f>
        <v>MA-659</v>
      </c>
      <c r="B2698" s="72" t="str">
        <f>IFERROR(VLOOKUP(A2698,Material!$A:$H,2,0),"-")</f>
        <v>CONC SIMPLE 20.7 MPa  (m3)</v>
      </c>
      <c r="C2698" s="76"/>
      <c r="D2698" s="50" t="str">
        <f>IFERROR(VLOOKUP(A2698,Material!$A:$H,4,0),"-")</f>
        <v>M3</v>
      </c>
      <c r="E2698" s="96">
        <v>1</v>
      </c>
      <c r="F2698" s="51">
        <f>IFERROR(VLOOKUP(A2698,Material!$A:$H,3,0),"-")</f>
        <v>784030</v>
      </c>
      <c r="G2698" s="51">
        <f t="shared" ref="G2698" si="37">IFERROR(ROUNDUP(F2698*E2698,0),"-")</f>
        <v>784030</v>
      </c>
      <c r="H2698" s="106"/>
    </row>
    <row r="2699" spans="1:9" ht="26.25" customHeight="1" x14ac:dyDescent="0.25">
      <c r="A2699" s="50" t="str">
        <f>Material!A661</f>
        <v>MA-660</v>
      </c>
      <c r="B2699" s="232" t="str">
        <f>IFERROR(VLOOKUP(A2699,Material!$A:$H,2,0),"-")</f>
        <v>FORMALETA METÁLICA PARA CONO DE CÁMARA DE INSPECCIÓN Ø=1.20 MTS</v>
      </c>
      <c r="C2699" s="233"/>
      <c r="D2699" s="50" t="str">
        <f>IFERROR(VLOOKUP(A2699,Material!$A:$H,4,0),"-")</f>
        <v>DIA</v>
      </c>
      <c r="E2699" s="53">
        <v>3</v>
      </c>
      <c r="F2699" s="51">
        <f>IFERROR(VLOOKUP(A2699,Material!$A:$H,3,0),"-")</f>
        <v>26366.704000000002</v>
      </c>
      <c r="G2699" s="51">
        <f>IFERROR(ROUNDUP(F2699*E2699,0),"-")</f>
        <v>79101</v>
      </c>
      <c r="H2699" s="106"/>
    </row>
    <row r="2700" spans="1:9" x14ac:dyDescent="0.25">
      <c r="A2700" s="219" t="s">
        <v>41</v>
      </c>
      <c r="B2700" s="219"/>
      <c r="C2700" s="219"/>
      <c r="D2700" s="219"/>
      <c r="E2700" s="219"/>
      <c r="F2700" s="219"/>
      <c r="G2700" s="52">
        <f>SUM(G2698:G2699)</f>
        <v>863131</v>
      </c>
      <c r="I2700" s="104"/>
    </row>
    <row r="2701" spans="1:9" x14ac:dyDescent="0.25">
      <c r="A2701" s="56"/>
      <c r="B2701" s="57"/>
      <c r="C2701" s="57"/>
      <c r="D2701" s="57"/>
      <c r="E2701" s="57"/>
      <c r="F2701" s="57"/>
      <c r="G2701" s="58"/>
    </row>
    <row r="2702" spans="1:9" x14ac:dyDescent="0.25">
      <c r="A2702" s="219" t="s">
        <v>42</v>
      </c>
      <c r="B2702" s="219"/>
      <c r="C2702" s="219"/>
      <c r="D2702" s="219"/>
      <c r="E2702" s="219"/>
      <c r="F2702" s="219"/>
      <c r="G2702" s="219"/>
    </row>
    <row r="2703" spans="1:9" x14ac:dyDescent="0.25">
      <c r="A2703" s="49" t="s">
        <v>35</v>
      </c>
      <c r="B2703" s="49" t="s">
        <v>36</v>
      </c>
      <c r="C2703" s="49" t="s">
        <v>38</v>
      </c>
      <c r="D2703" s="49" t="s">
        <v>43</v>
      </c>
      <c r="E2703" s="49" t="s">
        <v>44</v>
      </c>
      <c r="F2703" s="49" t="s">
        <v>45</v>
      </c>
      <c r="G2703" s="49" t="s">
        <v>40</v>
      </c>
    </row>
    <row r="2704" spans="1:9" x14ac:dyDescent="0.25">
      <c r="A2704" s="50" t="s">
        <v>319</v>
      </c>
      <c r="B2704" s="68" t="str">
        <f>VLOOKUP(A2704,'Componentes APUs'!$H$1:$L$25,2,0)</f>
        <v>Ingeniero Residente de Obra</v>
      </c>
      <c r="C2704" s="93">
        <v>0</v>
      </c>
      <c r="D2704" s="50">
        <f>VLOOKUP(A2704,'Componentes APUs'!$H$1:$L$25,3,0)</f>
        <v>4</v>
      </c>
      <c r="E2704" s="51">
        <f>VLOOKUP(A2704,'Componentes APUs'!$H$1:$L$25,4,0)</f>
        <v>271142.85714285716</v>
      </c>
      <c r="F2704" s="51">
        <f>VLOOKUP(A2704,'Componentes APUs'!$H$1:$L$25,5,0)</f>
        <v>162685.71428571429</v>
      </c>
      <c r="G2704" s="51">
        <f>ROUNDUP((E2704+F2704)*C2704/E2695,0)</f>
        <v>0</v>
      </c>
      <c r="H2704" s="66"/>
    </row>
    <row r="2705" spans="1:9" x14ac:dyDescent="0.25">
      <c r="A2705" s="50" t="s">
        <v>320</v>
      </c>
      <c r="B2705" s="68" t="str">
        <f>VLOOKUP(A2705,'Componentes APUs'!$H$1:$L$25,2,0)</f>
        <v>Tecnico Supervisor</v>
      </c>
      <c r="C2705" s="93">
        <v>0</v>
      </c>
      <c r="D2705" s="50">
        <f>VLOOKUP(A2705,'Componentes APUs'!$H$1:$L$25,3,0)</f>
        <v>2.2999999999999998</v>
      </c>
      <c r="E2705" s="51">
        <f>VLOOKUP(A2705,'Componentes APUs'!$H$1:$L$25,4,0)</f>
        <v>155907.14285714284</v>
      </c>
      <c r="F2705" s="51">
        <f>VLOOKUP(A2705,'Componentes APUs'!$H$1:$L$25,5,0)</f>
        <v>93544.285714285696</v>
      </c>
      <c r="G2705" s="51">
        <f>ROUNDUP((E2705+F2705)*C2705/E2695,0)</f>
        <v>0</v>
      </c>
    </row>
    <row r="2706" spans="1:9" x14ac:dyDescent="0.25">
      <c r="A2706" s="50" t="s">
        <v>54</v>
      </c>
      <c r="B2706" s="68" t="str">
        <f>VLOOKUP(A2706,'Componentes APUs'!$H$1:$L$25,2,0)</f>
        <v>Maestro de obra civil</v>
      </c>
      <c r="C2706" s="93">
        <v>0</v>
      </c>
      <c r="D2706" s="50">
        <f>VLOOKUP(A2706,'Componentes APUs'!$H$1:$L$25,3,0)</f>
        <v>2.5</v>
      </c>
      <c r="E2706" s="51">
        <f>VLOOKUP(A2706,'Componentes APUs'!$H$1:$L$25,4,0)</f>
        <v>169464.28571428571</v>
      </c>
      <c r="F2706" s="51">
        <f>VLOOKUP(A2706,'Componentes APUs'!$H$1:$L$25,5,0)</f>
        <v>101678.57142857142</v>
      </c>
      <c r="G2706" s="51">
        <f>ROUNDUP((E2706+F2706)*C2706/E2695,0)</f>
        <v>0</v>
      </c>
    </row>
    <row r="2707" spans="1:9" x14ac:dyDescent="0.25">
      <c r="A2707" s="50" t="s">
        <v>1110</v>
      </c>
      <c r="B2707" s="68" t="str">
        <f>VLOOKUP(A2707,'Componentes APUs'!$H$1:$L$25,2,0)</f>
        <v>Oficial de Obra Civil</v>
      </c>
      <c r="C2707" s="93">
        <v>1</v>
      </c>
      <c r="D2707" s="50">
        <f>VLOOKUP(A2707,'Componentes APUs'!$H$1:$L$25,3,0)</f>
        <v>1.5</v>
      </c>
      <c r="E2707" s="51">
        <f>VLOOKUP(A2707,'Componentes APUs'!$H$1:$L$25,4,0)</f>
        <v>115964.28571428571</v>
      </c>
      <c r="F2707" s="51">
        <f>VLOOKUP(A2707,'Componentes APUs'!$H$1:$L$25,5,0)</f>
        <v>69578.57142857142</v>
      </c>
      <c r="G2707" s="51">
        <f>ROUNDUP((E2707+F2707)*C2707/E2695,0)</f>
        <v>92772</v>
      </c>
    </row>
    <row r="2708" spans="1:9" x14ac:dyDescent="0.25">
      <c r="A2708" s="50" t="s">
        <v>50</v>
      </c>
      <c r="B2708" s="68" t="str">
        <f>VLOOKUP(A2708,'Componentes APUs'!$H$1:$L$25,2,0)</f>
        <v>Profesional en SST</v>
      </c>
      <c r="C2708" s="93">
        <v>0.25</v>
      </c>
      <c r="D2708" s="50">
        <f>VLOOKUP(A2708,'Componentes APUs'!$H$1:$L$25,3,0)</f>
        <v>2.5</v>
      </c>
      <c r="E2708" s="51">
        <f>VLOOKUP(A2708,'Componentes APUs'!$H$1:$L$25,4,0)</f>
        <v>169464.28571428571</v>
      </c>
      <c r="F2708" s="51">
        <f>VLOOKUP(A2708,'Componentes APUs'!$H$1:$L$25,5,0)</f>
        <v>101678.57142857142</v>
      </c>
      <c r="G2708" s="51">
        <f>ROUNDUP((E2708+F2708)*C2708/E2695,0)</f>
        <v>33893</v>
      </c>
    </row>
    <row r="2709" spans="1:9" x14ac:dyDescent="0.25">
      <c r="A2709" s="50" t="s">
        <v>1109</v>
      </c>
      <c r="B2709" s="68" t="str">
        <f>VLOOKUP(A2709,'Componentes APUs'!$H$1:$L$25,2,0)</f>
        <v>Ayudante de Obra Civil</v>
      </c>
      <c r="C2709" s="93">
        <v>1</v>
      </c>
      <c r="D2709" s="50">
        <f>VLOOKUP(A2709,'Componentes APUs'!$H$1:$L$25,3,0)</f>
        <v>1</v>
      </c>
      <c r="E2709" s="51">
        <f>VLOOKUP(A2709,'Componentes APUs'!$H$1:$L$25,4,0)</f>
        <v>77309.523809523816</v>
      </c>
      <c r="F2709" s="51">
        <f>VLOOKUP(A2709,'Componentes APUs'!$H$1:$L$25,5,0)</f>
        <v>46385.71428571429</v>
      </c>
      <c r="G2709" s="51">
        <f>ROUNDUP((E2709+F2709)*C2709/E2695,0)</f>
        <v>61848</v>
      </c>
    </row>
    <row r="2710" spans="1:9" x14ac:dyDescent="0.25">
      <c r="A2710" s="219" t="s">
        <v>56</v>
      </c>
      <c r="B2710" s="219"/>
      <c r="C2710" s="219"/>
      <c r="D2710" s="219"/>
      <c r="E2710" s="219"/>
      <c r="F2710" s="219"/>
      <c r="G2710" s="52">
        <f>SUM(G2704:G2709)</f>
        <v>188513</v>
      </c>
    </row>
    <row r="2711" spans="1:9" x14ac:dyDescent="0.25">
      <c r="A2711" s="56"/>
      <c r="B2711" s="57"/>
      <c r="C2711" s="57"/>
      <c r="D2711" s="57"/>
      <c r="E2711" s="57"/>
      <c r="F2711" s="57"/>
      <c r="G2711" s="58"/>
    </row>
    <row r="2712" spans="1:9" x14ac:dyDescent="0.25">
      <c r="A2712" s="219" t="s">
        <v>57</v>
      </c>
      <c r="B2712" s="219"/>
      <c r="C2712" s="219"/>
      <c r="D2712" s="219"/>
      <c r="E2712" s="219"/>
      <c r="F2712" s="219"/>
      <c r="G2712" s="219"/>
    </row>
    <row r="2713" spans="1:9" x14ac:dyDescent="0.25">
      <c r="A2713" s="49" t="s">
        <v>35</v>
      </c>
      <c r="B2713" s="219" t="s">
        <v>36</v>
      </c>
      <c r="C2713" s="219"/>
      <c r="D2713" s="49" t="s">
        <v>37</v>
      </c>
      <c r="E2713" s="49" t="s">
        <v>38</v>
      </c>
      <c r="F2713" s="49" t="s">
        <v>39</v>
      </c>
      <c r="G2713" s="49" t="s">
        <v>40</v>
      </c>
    </row>
    <row r="2714" spans="1:9" x14ac:dyDescent="0.25">
      <c r="A2714" s="50" t="s">
        <v>326</v>
      </c>
      <c r="B2714" s="220" t="str">
        <f>VLOOKUP(A2714,'Componentes APUs'!$S$1:$V$10,2,0)</f>
        <v>Juego Llaves</v>
      </c>
      <c r="C2714" s="220"/>
      <c r="D2714" s="50" t="s">
        <v>18</v>
      </c>
      <c r="E2714" s="50">
        <v>0</v>
      </c>
      <c r="F2714" s="51">
        <f>VLOOKUP(A2714,'Componentes APUs'!$S$1:$V$10,4,0)</f>
        <v>9167</v>
      </c>
      <c r="G2714" s="51">
        <f>ROUNDUP(F2714*((E2714/21)/E2695),0)</f>
        <v>0</v>
      </c>
      <c r="I2714" s="91"/>
    </row>
    <row r="2715" spans="1:9" x14ac:dyDescent="0.25">
      <c r="A2715" s="50" t="s">
        <v>58</v>
      </c>
      <c r="B2715" s="220" t="str">
        <f>VLOOKUP(A2715,'Componentes APUs'!$S$1:$V$10,2,0)</f>
        <v>Manila de servicio</v>
      </c>
      <c r="C2715" s="220"/>
      <c r="D2715" s="50" t="s">
        <v>18</v>
      </c>
      <c r="E2715" s="50">
        <v>0</v>
      </c>
      <c r="F2715" s="51">
        <f>VLOOKUP(A2715,'Componentes APUs'!$S$1:$V$10,4,0)</f>
        <v>2333</v>
      </c>
      <c r="G2715" s="51">
        <f>ROUNDUP(F2715*((E2715/21)/E2695),0)</f>
        <v>0</v>
      </c>
    </row>
    <row r="2716" spans="1:9" x14ac:dyDescent="0.25">
      <c r="A2716" s="50" t="s">
        <v>327</v>
      </c>
      <c r="B2716" s="220" t="str">
        <f>VLOOKUP(A2716,'Componentes APUs'!$S$1:$V$10,2,0)</f>
        <v>Tula portaherramientas</v>
      </c>
      <c r="C2716" s="220"/>
      <c r="D2716" s="50" t="s">
        <v>18</v>
      </c>
      <c r="E2716" s="50">
        <v>0</v>
      </c>
      <c r="F2716" s="51">
        <f>VLOOKUP(A2716,'Componentes APUs'!$S$1:$V$10,4,0)</f>
        <v>1250</v>
      </c>
      <c r="G2716" s="51">
        <f>ROUNDUP(F2716*((E2716/21)/E2695),0)</f>
        <v>0</v>
      </c>
    </row>
    <row r="2717" spans="1:9" x14ac:dyDescent="0.25">
      <c r="A2717" s="50" t="s">
        <v>60</v>
      </c>
      <c r="B2717" s="220" t="str">
        <f>VLOOKUP(A2717,'Componentes APUs'!$S$1:$V$10,2,0)</f>
        <v>Agarradoras</v>
      </c>
      <c r="C2717" s="220"/>
      <c r="D2717" s="50" t="s">
        <v>18</v>
      </c>
      <c r="E2717" s="50">
        <v>0</v>
      </c>
      <c r="F2717" s="51">
        <f>VLOOKUP(A2717,'Componentes APUs'!$S$1:$V$10,4,0)</f>
        <v>125000</v>
      </c>
      <c r="G2717" s="51">
        <f>ROUNDUP(F2717*((E2717/21)/E2695),0)</f>
        <v>0</v>
      </c>
    </row>
    <row r="2718" spans="1:9" x14ac:dyDescent="0.25">
      <c r="A2718" s="50" t="s">
        <v>62</v>
      </c>
      <c r="B2718" s="220" t="str">
        <f>VLOOKUP(A2718,'Componentes APUs'!$S$1:$V$10,2,0)</f>
        <v>Templadoras</v>
      </c>
      <c r="C2718" s="220"/>
      <c r="D2718" s="50" t="s">
        <v>18</v>
      </c>
      <c r="E2718" s="50">
        <v>0</v>
      </c>
      <c r="F2718" s="51">
        <f>VLOOKUP(A2718,'Componentes APUs'!$S$1:$V$10,4,0)</f>
        <v>250000</v>
      </c>
      <c r="G2718" s="51">
        <f>ROUNDUP(F2718*((E2718/21)/E2695),0)</f>
        <v>0</v>
      </c>
    </row>
    <row r="2719" spans="1:9" x14ac:dyDescent="0.25">
      <c r="A2719" s="50" t="s">
        <v>328</v>
      </c>
      <c r="B2719" s="220" t="str">
        <f>VLOOKUP(A2719,'Componentes APUs'!$S$1:$V$10,2,0)</f>
        <v>Herramienta Menor</v>
      </c>
      <c r="C2719" s="220"/>
      <c r="D2719" s="50" t="s">
        <v>18</v>
      </c>
      <c r="E2719" s="50">
        <v>5</v>
      </c>
      <c r="F2719" s="51">
        <f>VLOOKUP(A2719,'Componentes APUs'!$S$1:$V$10,4,0)</f>
        <v>75758</v>
      </c>
      <c r="G2719" s="51">
        <f>ROUNDUP(F2719*((E2719/21)/E2695),0)</f>
        <v>9019</v>
      </c>
    </row>
    <row r="2720" spans="1:9" x14ac:dyDescent="0.25">
      <c r="A2720" s="219" t="s">
        <v>69</v>
      </c>
      <c r="B2720" s="219"/>
      <c r="C2720" s="219"/>
      <c r="D2720" s="219"/>
      <c r="E2720" s="219"/>
      <c r="F2720" s="219"/>
      <c r="G2720" s="52">
        <f>SUM(G2714:G2719)</f>
        <v>9019</v>
      </c>
    </row>
    <row r="2721" spans="1:9" x14ac:dyDescent="0.25">
      <c r="A2721" s="56"/>
      <c r="B2721" s="57"/>
      <c r="C2721" s="57"/>
      <c r="D2721" s="57"/>
      <c r="E2721" s="57"/>
      <c r="F2721" s="57"/>
      <c r="G2721" s="58"/>
    </row>
    <row r="2722" spans="1:9" x14ac:dyDescent="0.25">
      <c r="A2722" s="219" t="s">
        <v>70</v>
      </c>
      <c r="B2722" s="219"/>
      <c r="C2722" s="219"/>
      <c r="D2722" s="219"/>
      <c r="E2722" s="219"/>
      <c r="F2722" s="219"/>
      <c r="G2722" s="219"/>
    </row>
    <row r="2723" spans="1:9" x14ac:dyDescent="0.25">
      <c r="A2723" s="49" t="s">
        <v>35</v>
      </c>
      <c r="B2723" s="219" t="s">
        <v>36</v>
      </c>
      <c r="C2723" s="219"/>
      <c r="D2723" s="49" t="s">
        <v>37</v>
      </c>
      <c r="E2723" s="49" t="s">
        <v>38</v>
      </c>
      <c r="F2723" s="49" t="s">
        <v>39</v>
      </c>
      <c r="G2723" s="49" t="s">
        <v>40</v>
      </c>
    </row>
    <row r="2724" spans="1:9" x14ac:dyDescent="0.25">
      <c r="A2724" s="50" t="s">
        <v>71</v>
      </c>
      <c r="B2724" s="71" t="str">
        <f>VLOOKUP(A2724,'Componentes APUs'!$A$1:$D$14,2,0)</f>
        <v>Camisa indigo sin partes metalicas</v>
      </c>
      <c r="C2724" s="71"/>
      <c r="D2724" s="50" t="str">
        <f>VLOOKUP(A2724,'Componentes APUs'!$A$1:$D$14,3,0)</f>
        <v>U</v>
      </c>
      <c r="E2724" s="50">
        <f>SUM(C2704:C2709)</f>
        <v>2.25</v>
      </c>
      <c r="F2724" s="51">
        <f>VLOOKUP(A2724,'Componentes APUs'!$A$1:$D$14,4,0)</f>
        <v>8585.8585858585866</v>
      </c>
      <c r="G2724" s="51">
        <f>ROUNDUP(F2724*(E2724/21)/E2695,0)</f>
        <v>460</v>
      </c>
      <c r="I2724" s="91"/>
    </row>
    <row r="2725" spans="1:9" x14ac:dyDescent="0.25">
      <c r="A2725" s="69" t="s">
        <v>73</v>
      </c>
      <c r="B2725" s="72" t="str">
        <f>VLOOKUP(A2725,'Componentes APUs'!$A$1:$D$14,2,0)</f>
        <v>Bota de seguridad dielectrica</v>
      </c>
      <c r="C2725" s="73"/>
      <c r="D2725" s="70" t="str">
        <f>VLOOKUP(A2725,'Componentes APUs'!$A$1:$D$14,3,0)</f>
        <v>Par</v>
      </c>
      <c r="E2725" s="50">
        <f>SUM(C2704:C2709)</f>
        <v>2.25</v>
      </c>
      <c r="F2725" s="51">
        <f>VLOOKUP(A2725,'Componentes APUs'!$A$1:$D$14,4,0)</f>
        <v>7500</v>
      </c>
      <c r="G2725" s="51">
        <f>ROUNDUP(F2725*(E2725/21)/E2695,0)</f>
        <v>402</v>
      </c>
    </row>
    <row r="2726" spans="1:9" x14ac:dyDescent="0.25">
      <c r="A2726" s="50" t="s">
        <v>76</v>
      </c>
      <c r="B2726" s="72" t="str">
        <f>VLOOKUP(A2726,'Componentes APUs'!$A$1:$D$14,2,0)</f>
        <v>Casco dielectrico Tipo 1 Clase E con barbuquejo</v>
      </c>
      <c r="C2726" s="73"/>
      <c r="D2726" s="50" t="str">
        <f>VLOOKUP(A2726,'Componentes APUs'!$A$1:$D$14,3,0)</f>
        <v>U</v>
      </c>
      <c r="E2726" s="50">
        <f>C2704+C2705+C2707+C2708+C2709+IF(A2706&lt;&gt;"MO-3",C2706,0)</f>
        <v>2.25</v>
      </c>
      <c r="F2726" s="51">
        <f>VLOOKUP(A2726,'Componentes APUs'!$A$1:$D$14,4,0)</f>
        <v>10101.010101010101</v>
      </c>
      <c r="G2726" s="51">
        <f>ROUNDUP(F2726*(E2726/21)/E2695,0)</f>
        <v>542</v>
      </c>
    </row>
    <row r="2727" spans="1:9" x14ac:dyDescent="0.25">
      <c r="A2727" s="69" t="s">
        <v>77</v>
      </c>
      <c r="B2727" s="72" t="str">
        <f>VLOOKUP(A2727,'Componentes APUs'!$A$1:$D$14,2,0)</f>
        <v>Correa plastica y antiflama</v>
      </c>
      <c r="C2727" s="73"/>
      <c r="D2727" s="50" t="str">
        <f>VLOOKUP(A2727,'Componentes APUs'!$A$1:$D$14,3,0)</f>
        <v>U</v>
      </c>
      <c r="E2727" s="50">
        <f>SUM(C2704:C2709)</f>
        <v>2.25</v>
      </c>
      <c r="F2727" s="51">
        <f>VLOOKUP(A2727,'Componentes APUs'!$A$1:$D$14,4,0)</f>
        <v>3787.878787878788</v>
      </c>
      <c r="G2727" s="51">
        <f>ROUNDUP(F2727*(E2727/21)/E2695,0)</f>
        <v>203</v>
      </c>
    </row>
    <row r="2728" spans="1:9" x14ac:dyDescent="0.25">
      <c r="A2728" s="50" t="s">
        <v>79</v>
      </c>
      <c r="B2728" s="72" t="str">
        <f>VLOOKUP(A2728,'Componentes APUs'!$A$1:$D$14,2,0)</f>
        <v>Gafas protectoras filtro UV</v>
      </c>
      <c r="C2728" s="73"/>
      <c r="D2728" s="50" t="str">
        <f>VLOOKUP(A2728,'Componentes APUs'!$A$1:$D$14,3,0)</f>
        <v>U</v>
      </c>
      <c r="E2728" s="50">
        <f>SUM(C2704:C2709)</f>
        <v>2.25</v>
      </c>
      <c r="F2728" s="51">
        <f>VLOOKUP(A2728,'Componentes APUs'!$A$1:$D$14,4,0)</f>
        <v>2777.7777777777778</v>
      </c>
      <c r="G2728" s="51">
        <f>ROUNDUP(F2728*(E2728/21)/E2695,0)</f>
        <v>149</v>
      </c>
    </row>
    <row r="2729" spans="1:9" x14ac:dyDescent="0.25">
      <c r="A2729" s="69" t="s">
        <v>402</v>
      </c>
      <c r="B2729" s="72" t="str">
        <f>VLOOKUP(A2729,'Componentes APUs'!$A$1:$D$14,2,0)</f>
        <v>Bota de seguridad PVC dielectrica</v>
      </c>
      <c r="C2729" s="73"/>
      <c r="D2729" s="50" t="str">
        <f>VLOOKUP(A2729,'Componentes APUs'!$A$1:$D$14,3,0)</f>
        <v>Par</v>
      </c>
      <c r="E2729" s="50">
        <f>SUM(C2704:C2709)</f>
        <v>2.25</v>
      </c>
      <c r="F2729" s="51">
        <f>VLOOKUP(A2729,'Componentes APUs'!$A$1:$D$14,4,0)</f>
        <v>2916.6666666666665</v>
      </c>
      <c r="G2729" s="51">
        <f>ROUNDUP(F2729*(E2729/21)/E2695,0)</f>
        <v>157</v>
      </c>
    </row>
    <row r="2730" spans="1:9" x14ac:dyDescent="0.25">
      <c r="A2730" s="50" t="s">
        <v>403</v>
      </c>
      <c r="B2730" s="72" t="str">
        <f>VLOOKUP(A2730,'Componentes APUs'!$A$1:$D$14,2,0)</f>
        <v>Capuchon</v>
      </c>
      <c r="C2730" s="73"/>
      <c r="D2730" s="50" t="str">
        <f>VLOOKUP(A2730,'Componentes APUs'!$A$1:$D$14,3,0)</f>
        <v>U</v>
      </c>
      <c r="E2730" s="50">
        <f>SUM(C2704:C2709)</f>
        <v>2.25</v>
      </c>
      <c r="F2730" s="51">
        <f>VLOOKUP(A2730,'Componentes APUs'!$A$1:$D$14,4,0)</f>
        <v>2525.2525252525252</v>
      </c>
      <c r="G2730" s="51">
        <f>ROUNDUP(F2730*(E2730/21)/E2695,0)</f>
        <v>136</v>
      </c>
    </row>
    <row r="2731" spans="1:9" x14ac:dyDescent="0.25">
      <c r="A2731" s="69" t="s">
        <v>81</v>
      </c>
      <c r="B2731" s="72" t="str">
        <f>VLOOKUP(A2731,'Componentes APUs'!$A$1:$D$14,2,0)</f>
        <v>Guantes Protectores  - ingeniero reforzados</v>
      </c>
      <c r="C2731" s="73"/>
      <c r="D2731" s="50" t="str">
        <f>VLOOKUP(A2731,'Componentes APUs'!$A$1:$D$14,3,0)</f>
        <v>Par</v>
      </c>
      <c r="E2731" s="50">
        <f>C2706+C2707+C2709</f>
        <v>2</v>
      </c>
      <c r="F2731" s="51">
        <f>VLOOKUP(A2731,'Componentes APUs'!$A$1:$D$14,4,0)</f>
        <v>2525.2525252525252</v>
      </c>
      <c r="G2731" s="51">
        <f>ROUNDUP(F2731*(E2731/21)/E2695,0)</f>
        <v>121</v>
      </c>
    </row>
    <row r="2732" spans="1:9" x14ac:dyDescent="0.25">
      <c r="A2732" s="50" t="s">
        <v>83</v>
      </c>
      <c r="B2732" s="72" t="str">
        <f>VLOOKUP(A2732,'Componentes APUs'!$A$1:$D$14,2,0)</f>
        <v>Impermeable (pantalon camisa)</v>
      </c>
      <c r="C2732" s="73"/>
      <c r="D2732" s="50" t="str">
        <f>VLOOKUP(A2732,'Componentes APUs'!$A$1:$D$14,3,0)</f>
        <v>U</v>
      </c>
      <c r="E2732" s="50">
        <f>SUM(C2704:C2709)</f>
        <v>2.25</v>
      </c>
      <c r="F2732" s="51">
        <f>VLOOKUP(A2732,'Componentes APUs'!$A$1:$D$14,4,0)</f>
        <v>3750</v>
      </c>
      <c r="G2732" s="51">
        <f>ROUNDUP(F2732*(E2732/21)/E2695,0)</f>
        <v>201</v>
      </c>
    </row>
    <row r="2733" spans="1:9" x14ac:dyDescent="0.25">
      <c r="A2733" s="69" t="s">
        <v>85</v>
      </c>
      <c r="B2733" s="72" t="str">
        <f>VLOOKUP(A2733,'Componentes APUs'!$A$1:$D$14,2,0)</f>
        <v>Jean Dielectrico</v>
      </c>
      <c r="C2733" s="73"/>
      <c r="D2733" s="50" t="str">
        <f>VLOOKUP(A2733,'Componentes APUs'!$A$1:$D$14,3,0)</f>
        <v>U</v>
      </c>
      <c r="E2733" s="50">
        <f>SUM(C2704:C2709)</f>
        <v>2.25</v>
      </c>
      <c r="F2733" s="51">
        <f>VLOOKUP(A2733,'Componentes APUs'!$A$1:$D$14,4,0)</f>
        <v>7575.757575757576</v>
      </c>
      <c r="G2733" s="51">
        <f>ROUNDUP(F2733*(E2733/21)/E2695,0)</f>
        <v>406</v>
      </c>
    </row>
    <row r="2734" spans="1:9" x14ac:dyDescent="0.25">
      <c r="A2734" s="50" t="s">
        <v>87</v>
      </c>
      <c r="B2734" s="72" t="str">
        <f>VLOOKUP(A2734,'Componentes APUs'!$A$1:$D$14,2,0)</f>
        <v>Casco dielectrico Tipo 2 Clase E con barboquejo</v>
      </c>
      <c r="C2734" s="73"/>
      <c r="D2734" s="50" t="str">
        <f>VLOOKUP(A2734,'Componentes APUs'!$A$1:$D$14,3,0)</f>
        <v>U</v>
      </c>
      <c r="E2734" s="53">
        <f>IF(A2706="MO-3",C2706,0)</f>
        <v>0</v>
      </c>
      <c r="F2734" s="51">
        <f>VLOOKUP(A2734,'Componentes APUs'!$A$1:$D$14,4,0)</f>
        <v>7500</v>
      </c>
      <c r="G2734" s="51">
        <f>ROUNDUP(F2734*(E2734/21)/E2695,0)</f>
        <v>0</v>
      </c>
    </row>
    <row r="2735" spans="1:9" x14ac:dyDescent="0.25">
      <c r="A2735" s="69" t="s">
        <v>89</v>
      </c>
      <c r="B2735" s="72" t="str">
        <f>VLOOKUP(A2735,'Componentes APUs'!$A$1:$D$14,2,0)</f>
        <v>Kit de rescate para trabajo en alturas</v>
      </c>
      <c r="C2735" s="73"/>
      <c r="D2735" s="50" t="str">
        <f>VLOOKUP(A2735,'Componentes APUs'!$A$1:$D$14,3,0)</f>
        <v>U</v>
      </c>
      <c r="E2735" s="50">
        <f>IF(AND(A2706="MO-3",C2706=2),1,0)</f>
        <v>0</v>
      </c>
      <c r="F2735" s="51">
        <f>VLOOKUP(A2735,'Componentes APUs'!$A$1:$D$14,4,0)</f>
        <v>37500</v>
      </c>
      <c r="G2735" s="51">
        <f>ROUNDUP(F2735*(E2735/21)/E2695,0)</f>
        <v>0</v>
      </c>
    </row>
    <row r="2736" spans="1:9" x14ac:dyDescent="0.25">
      <c r="A2736" s="50" t="s">
        <v>91</v>
      </c>
      <c r="B2736" s="72" t="str">
        <f>VLOOKUP(A2736,'Componentes APUs'!$A$1:$D$14,2,0)</f>
        <v>Equipo completo para trabajo en alturas con pretales (Arnes dielectrico, 1 mosqueton de seguridad, tie off dielectrico, eslinga de posicionamiento, juego de pretales)</v>
      </c>
      <c r="C2736" s="73"/>
      <c r="D2736" s="50" t="str">
        <f>VLOOKUP(A2736,'Componentes APUs'!$A$1:$D$14,3,0)</f>
        <v>U</v>
      </c>
      <c r="E2736" s="50">
        <f>IF(A2706="MO-3",C2706,0)</f>
        <v>0</v>
      </c>
      <c r="F2736" s="51">
        <f>VLOOKUP(A2736,'Componentes APUs'!$A$1:$D$14,4,0)</f>
        <v>26041.666666666668</v>
      </c>
      <c r="G2736" s="51">
        <f>ROUNDUP(F2736*(E2736/21)/E2695,0)</f>
        <v>0</v>
      </c>
    </row>
    <row r="2737" spans="1:7" x14ac:dyDescent="0.25">
      <c r="A2737" s="219" t="s">
        <v>95</v>
      </c>
      <c r="B2737" s="219"/>
      <c r="C2737" s="219"/>
      <c r="D2737" s="219"/>
      <c r="E2737" s="219"/>
      <c r="F2737" s="219"/>
      <c r="G2737" s="52">
        <f>SUM(G2724:G2736)</f>
        <v>2777</v>
      </c>
    </row>
    <row r="2738" spans="1:7" x14ac:dyDescent="0.25">
      <c r="A2738" s="56"/>
      <c r="B2738" s="57"/>
      <c r="C2738" s="57"/>
      <c r="D2738" s="57"/>
      <c r="E2738" s="57"/>
      <c r="F2738" s="57"/>
      <c r="G2738" s="58"/>
    </row>
    <row r="2739" spans="1:7" x14ac:dyDescent="0.25">
      <c r="A2739" s="219" t="s">
        <v>96</v>
      </c>
      <c r="B2739" s="219"/>
      <c r="C2739" s="219"/>
      <c r="D2739" s="219"/>
      <c r="E2739" s="219"/>
      <c r="F2739" s="219"/>
      <c r="G2739" s="219"/>
    </row>
    <row r="2740" spans="1:7" x14ac:dyDescent="0.25">
      <c r="A2740" s="49" t="s">
        <v>35</v>
      </c>
      <c r="B2740" s="225" t="s">
        <v>36</v>
      </c>
      <c r="C2740" s="225"/>
      <c r="D2740" s="49" t="s">
        <v>37</v>
      </c>
      <c r="E2740" s="49" t="s">
        <v>38</v>
      </c>
      <c r="F2740" s="49" t="s">
        <v>39</v>
      </c>
      <c r="G2740" s="49" t="s">
        <v>40</v>
      </c>
    </row>
    <row r="2741" spans="1:7" x14ac:dyDescent="0.25">
      <c r="A2741" s="69" t="s">
        <v>97</v>
      </c>
      <c r="B2741" s="72" t="str">
        <f>VLOOKUP(A2741,'Componentes APUs'!$N$1:$Q$30,2,0)</f>
        <v>Camioneta</v>
      </c>
      <c r="C2741" s="73"/>
      <c r="D2741" s="70" t="str">
        <f>VLOOKUP(A2741,'Componentes APUs'!$N$1:$Q$30,3,0)</f>
        <v>U</v>
      </c>
      <c r="E2741" s="50">
        <v>0.5</v>
      </c>
      <c r="F2741" s="51">
        <f>VLOOKUP(A2741,'Componentes APUs'!$N$1:$Q$30,4,0)</f>
        <v>5500000</v>
      </c>
      <c r="G2741" s="51">
        <f>IFERROR(ROUNDUP(F2741*(E2741/21)/E2695,0),"-")</f>
        <v>65477</v>
      </c>
    </row>
    <row r="2742" spans="1:7" x14ac:dyDescent="0.25">
      <c r="A2742" s="50" t="s">
        <v>1119</v>
      </c>
      <c r="B2742" s="72" t="str">
        <f>VLOOKUP(A2742,'Componentes APUs'!$N$1:$Q$30,2,0)</f>
        <v>Vibrador de concreto</v>
      </c>
      <c r="C2742" s="73"/>
      <c r="D2742" s="70" t="str">
        <f>VLOOKUP(A2742,'Componentes APUs'!$N$1:$Q$30,3,0)</f>
        <v>U</v>
      </c>
      <c r="E2742" s="50">
        <v>0.6</v>
      </c>
      <c r="F2742" s="51">
        <f>VLOOKUP(A2742,'Componentes APUs'!$N$1:$Q$30,4,0)</f>
        <v>1324470</v>
      </c>
      <c r="G2742" s="51">
        <f>IFERROR(ROUNDUP(F2742*(E2742/21)/E2695,0),"-")</f>
        <v>18921</v>
      </c>
    </row>
    <row r="2743" spans="1:7" x14ac:dyDescent="0.25">
      <c r="A2743" s="69" t="s">
        <v>1379</v>
      </c>
      <c r="B2743" s="72" t="str">
        <f>VLOOKUP(A2743,'Componentes APUs'!$N$1:$Q$30,2,0)</f>
        <v>Dumper de descarga Frontal 2T</v>
      </c>
      <c r="C2743" s="73"/>
      <c r="D2743" s="70" t="str">
        <f>VLOOKUP(A2743,'Componentes APUs'!$N$1:$Q$30,3,0)</f>
        <v>U</v>
      </c>
      <c r="E2743" s="50">
        <v>0</v>
      </c>
      <c r="F2743" s="51">
        <f>VLOOKUP(A2743,'Componentes APUs'!$N$1:$Q$30,4,0)</f>
        <v>4438716.24</v>
      </c>
      <c r="G2743" s="51">
        <f>IFERROR(ROUNDUP(F2743*(E2743/21)/E2695,0),"-")</f>
        <v>0</v>
      </c>
    </row>
    <row r="2744" spans="1:7" x14ac:dyDescent="0.25">
      <c r="A2744" s="50" t="s">
        <v>323</v>
      </c>
      <c r="B2744" s="72" t="str">
        <f>VLOOKUP(A2744,'Componentes APUs'!$N$1:$Q$30,2,0)</f>
        <v>Volqueta</v>
      </c>
      <c r="C2744" s="73"/>
      <c r="D2744" s="70" t="str">
        <f>VLOOKUP(A2744,'Componentes APUs'!$N$1:$Q$30,3,0)</f>
        <v>U</v>
      </c>
      <c r="E2744" s="50">
        <v>0</v>
      </c>
      <c r="F2744" s="51">
        <f>VLOOKUP(A2744,'Componentes APUs'!$N$1:$Q$30,4,0)</f>
        <v>14828184</v>
      </c>
      <c r="G2744" s="51">
        <f>IFERROR(ROUNDUP(F2744*(E2744/21)/E2695,0),"-")</f>
        <v>0</v>
      </c>
    </row>
    <row r="2745" spans="1:7" x14ac:dyDescent="0.25">
      <c r="A2745" s="69" t="s">
        <v>324</v>
      </c>
      <c r="B2745" s="72" t="str">
        <f>VLOOKUP(A2745,'Componentes APUs'!$N$1:$Q$30,2,0)</f>
        <v>Retroexcavadora</v>
      </c>
      <c r="C2745" s="73"/>
      <c r="D2745" s="70" t="str">
        <f>VLOOKUP(A2745,'Componentes APUs'!$N$1:$Q$30,3,0)</f>
        <v>U</v>
      </c>
      <c r="E2745" s="50">
        <v>0</v>
      </c>
      <c r="F2745" s="51">
        <f>VLOOKUP(A2745,'Componentes APUs'!$N$1:$Q$30,4,0)</f>
        <v>46030656</v>
      </c>
      <c r="G2745" s="51">
        <f>IFERROR(ROUNDUP(F2745*(E2745/21)/E2695,0),"-")</f>
        <v>0</v>
      </c>
    </row>
    <row r="2746" spans="1:7" x14ac:dyDescent="0.25">
      <c r="A2746" s="219" t="s">
        <v>99</v>
      </c>
      <c r="B2746" s="219"/>
      <c r="C2746" s="219"/>
      <c r="D2746" s="219"/>
      <c r="E2746" s="219"/>
      <c r="F2746" s="219"/>
      <c r="G2746" s="52">
        <f>SUM(G2741:G2745)</f>
        <v>84398</v>
      </c>
    </row>
    <row r="2747" spans="1:7" x14ac:dyDescent="0.25">
      <c r="A2747" s="56"/>
      <c r="B2747" s="57"/>
      <c r="C2747" s="57"/>
      <c r="D2747" s="57"/>
      <c r="E2747" s="57"/>
      <c r="F2747" s="57"/>
      <c r="G2747" s="58"/>
    </row>
    <row r="2748" spans="1:7" x14ac:dyDescent="0.25">
      <c r="A2748" s="219" t="s">
        <v>1516</v>
      </c>
      <c r="B2748" s="219"/>
      <c r="C2748" s="219"/>
      <c r="D2748" s="219"/>
      <c r="E2748" s="219"/>
      <c r="F2748" s="219"/>
      <c r="G2748" s="52">
        <f>G2746+G2737+G2720+G2710+G2700</f>
        <v>1147838</v>
      </c>
    </row>
    <row r="2749" spans="1:7" x14ac:dyDescent="0.25">
      <c r="A2749" s="59"/>
      <c r="B2749" s="60"/>
      <c r="C2749" s="60"/>
      <c r="D2749" s="60"/>
      <c r="E2749" s="57"/>
      <c r="F2749" s="57"/>
      <c r="G2749" s="58"/>
    </row>
    <row r="2750" spans="1:7" x14ac:dyDescent="0.25">
      <c r="A2750" s="64"/>
      <c r="D2750" s="55"/>
      <c r="E2750" s="49" t="s">
        <v>25</v>
      </c>
      <c r="F2750" s="54">
        <v>0.15</v>
      </c>
      <c r="G2750" s="51">
        <f>G2748*F2750</f>
        <v>172175.69999999998</v>
      </c>
    </row>
    <row r="2751" spans="1:7" x14ac:dyDescent="0.25">
      <c r="A2751" s="64"/>
      <c r="D2751" s="55"/>
      <c r="E2751" s="49" t="s">
        <v>26</v>
      </c>
      <c r="F2751" s="54">
        <v>0.05</v>
      </c>
      <c r="G2751" s="51">
        <f>G2748*F2751</f>
        <v>57391.9</v>
      </c>
    </row>
    <row r="2752" spans="1:7" x14ac:dyDescent="0.25">
      <c r="A2752" s="61"/>
      <c r="B2752" s="65"/>
      <c r="C2752" s="65"/>
      <c r="D2752" s="62"/>
      <c r="E2752" s="49" t="s">
        <v>27</v>
      </c>
      <c r="F2752" s="54">
        <v>0.05</v>
      </c>
      <c r="G2752" s="51">
        <f>G2748*F2752</f>
        <v>57391.9</v>
      </c>
    </row>
    <row r="2753" spans="1:9" x14ac:dyDescent="0.25">
      <c r="A2753" s="61"/>
      <c r="B2753" s="62"/>
      <c r="C2753" s="62"/>
      <c r="D2753" s="62"/>
      <c r="E2753" s="62"/>
      <c r="F2753" s="62"/>
      <c r="G2753" s="63"/>
    </row>
    <row r="2754" spans="1:9" x14ac:dyDescent="0.25">
      <c r="A2754" s="219" t="s">
        <v>1517</v>
      </c>
      <c r="B2754" s="219"/>
      <c r="C2754" s="219"/>
      <c r="D2754" s="219"/>
      <c r="E2754" s="219"/>
      <c r="F2754" s="219"/>
      <c r="G2754" s="52">
        <f>G2748+G2750+G2751+G2752</f>
        <v>1434797.4999999998</v>
      </c>
    </row>
    <row r="2755" spans="1:9" x14ac:dyDescent="0.25">
      <c r="A2755" s="59"/>
      <c r="B2755" s="60"/>
      <c r="C2755" s="60"/>
      <c r="D2755" s="60"/>
      <c r="E2755" s="57"/>
      <c r="F2755" s="57"/>
      <c r="G2755" s="58"/>
    </row>
    <row r="2756" spans="1:9" x14ac:dyDescent="0.25">
      <c r="A2756" s="64"/>
      <c r="D2756" s="55"/>
      <c r="E2756" s="49" t="s">
        <v>102</v>
      </c>
      <c r="F2756" s="49" t="s">
        <v>103</v>
      </c>
      <c r="G2756" s="51">
        <f>G2752*19%</f>
        <v>10904.461000000001</v>
      </c>
    </row>
    <row r="2757" spans="1:9" x14ac:dyDescent="0.25">
      <c r="A2757" s="61"/>
      <c r="B2757" s="62"/>
      <c r="C2757" s="62"/>
      <c r="D2757" s="62"/>
      <c r="E2757" s="57"/>
      <c r="F2757" s="57"/>
      <c r="G2757" s="58"/>
    </row>
    <row r="2758" spans="1:9" x14ac:dyDescent="0.25">
      <c r="A2758" s="219" t="s">
        <v>104</v>
      </c>
      <c r="B2758" s="219"/>
      <c r="C2758" s="219"/>
      <c r="D2758" s="219"/>
      <c r="E2758" s="219"/>
      <c r="F2758" s="219"/>
      <c r="G2758" s="52">
        <f>G2756+G2754</f>
        <v>1445701.9609999997</v>
      </c>
    </row>
    <row r="2760" spans="1:9" x14ac:dyDescent="0.25">
      <c r="A2760" s="74" t="s">
        <v>29</v>
      </c>
      <c r="B2760" s="226" t="s">
        <v>30</v>
      </c>
      <c r="C2760" s="226"/>
      <c r="D2760" s="74" t="s">
        <v>31</v>
      </c>
      <c r="E2760" s="74" t="s">
        <v>32</v>
      </c>
      <c r="F2760" s="74" t="s">
        <v>189</v>
      </c>
      <c r="G2760" s="74" t="s">
        <v>33</v>
      </c>
      <c r="H2760" s="105"/>
    </row>
    <row r="2761" spans="1:9" ht="24" customHeight="1" x14ac:dyDescent="0.25">
      <c r="A2761" s="50" t="str">
        <f>Presupuesto!B54</f>
        <v>042_OC</v>
      </c>
      <c r="B2761" s="229" t="str">
        <f>Presupuesto!C54</f>
        <v>TAPA CÁM ALC C20.7MPA+ARO LÁMINA  (UN)</v>
      </c>
      <c r="C2761" s="230"/>
      <c r="D2761" s="50" t="s">
        <v>18</v>
      </c>
      <c r="E2761" s="107">
        <v>15</v>
      </c>
      <c r="F2761" s="50"/>
      <c r="G2761" s="51">
        <f>G2824</f>
        <v>1375293.392</v>
      </c>
      <c r="H2761" s="45"/>
    </row>
    <row r="2762" spans="1:9" x14ac:dyDescent="0.25">
      <c r="A2762" s="219" t="s">
        <v>34</v>
      </c>
      <c r="B2762" s="219"/>
      <c r="C2762" s="219"/>
      <c r="D2762" s="219"/>
      <c r="E2762" s="219"/>
      <c r="F2762" s="219"/>
      <c r="G2762" s="219"/>
    </row>
    <row r="2763" spans="1:9" x14ac:dyDescent="0.25">
      <c r="A2763" s="49" t="s">
        <v>35</v>
      </c>
      <c r="B2763" s="219" t="s">
        <v>36</v>
      </c>
      <c r="C2763" s="219"/>
      <c r="D2763" s="49" t="s">
        <v>37</v>
      </c>
      <c r="E2763" s="49" t="s">
        <v>38</v>
      </c>
      <c r="F2763" s="49" t="s">
        <v>39</v>
      </c>
      <c r="G2763" s="49" t="s">
        <v>40</v>
      </c>
    </row>
    <row r="2764" spans="1:9" x14ac:dyDescent="0.25">
      <c r="A2764" s="50" t="str">
        <f>Material!A662</f>
        <v>MA-661</v>
      </c>
      <c r="B2764" s="72" t="str">
        <f>IFERROR(VLOOKUP(A2764,Material!$A:$H,2,0),"-")</f>
        <v>TAPA CÁM ALC C20.7MPA+ARO LÁMINA  (UN)</v>
      </c>
      <c r="C2764" s="76"/>
      <c r="D2764" s="50" t="str">
        <f>IFERROR(VLOOKUP(A2764,Material!$A:$H,4,0),"-")</f>
        <v>UN</v>
      </c>
      <c r="E2764" s="96">
        <v>1</v>
      </c>
      <c r="F2764" s="51">
        <f>IFERROR(VLOOKUP(A2764,Material!$A:$H,3,0),"-")</f>
        <v>1065220</v>
      </c>
      <c r="G2764" s="51">
        <f t="shared" ref="G2764" si="38">IFERROR(ROUNDUP(F2764*E2764,0),"-")</f>
        <v>1065220</v>
      </c>
      <c r="H2764" s="106"/>
    </row>
    <row r="2765" spans="1:9" x14ac:dyDescent="0.25">
      <c r="A2765" s="50">
        <f>Material!A727</f>
        <v>0</v>
      </c>
      <c r="B2765" s="72" t="str">
        <f>IFERROR(VLOOKUP(A2765,Material!$A:$H,2,0),"-")</f>
        <v>-</v>
      </c>
      <c r="C2765" s="76"/>
      <c r="D2765" s="50" t="str">
        <f>IFERROR(VLOOKUP(A2765,Material!$A:$H,4,0),"-")</f>
        <v>-</v>
      </c>
      <c r="E2765" s="53">
        <v>3</v>
      </c>
      <c r="F2765" s="51" t="str">
        <f>IFERROR(VLOOKUP(A2765,Material!$A:$H,3,0),"-")</f>
        <v>-</v>
      </c>
      <c r="G2765" s="51" t="str">
        <f>IFERROR(ROUNDUP(F2765*E2765,0),"-")</f>
        <v>-</v>
      </c>
      <c r="H2765" s="106"/>
    </row>
    <row r="2766" spans="1:9" x14ac:dyDescent="0.25">
      <c r="A2766" s="219" t="s">
        <v>41</v>
      </c>
      <c r="B2766" s="219"/>
      <c r="C2766" s="219"/>
      <c r="D2766" s="219"/>
      <c r="E2766" s="219"/>
      <c r="F2766" s="219"/>
      <c r="G2766" s="52">
        <f>SUM(G2764:G2765)</f>
        <v>1065220</v>
      </c>
      <c r="I2766" s="104"/>
    </row>
    <row r="2767" spans="1:9" x14ac:dyDescent="0.25">
      <c r="A2767" s="56"/>
      <c r="B2767" s="57"/>
      <c r="C2767" s="57"/>
      <c r="D2767" s="57"/>
      <c r="E2767" s="57"/>
      <c r="F2767" s="57"/>
      <c r="G2767" s="58"/>
    </row>
    <row r="2768" spans="1:9" x14ac:dyDescent="0.25">
      <c r="A2768" s="219" t="s">
        <v>42</v>
      </c>
      <c r="B2768" s="219"/>
      <c r="C2768" s="219"/>
      <c r="D2768" s="219"/>
      <c r="E2768" s="219"/>
      <c r="F2768" s="219"/>
      <c r="G2768" s="219"/>
    </row>
    <row r="2769" spans="1:9" x14ac:dyDescent="0.25">
      <c r="A2769" s="49" t="s">
        <v>35</v>
      </c>
      <c r="B2769" s="49" t="s">
        <v>36</v>
      </c>
      <c r="C2769" s="49" t="s">
        <v>38</v>
      </c>
      <c r="D2769" s="49" t="s">
        <v>43</v>
      </c>
      <c r="E2769" s="49" t="s">
        <v>44</v>
      </c>
      <c r="F2769" s="49" t="s">
        <v>45</v>
      </c>
      <c r="G2769" s="49" t="s">
        <v>40</v>
      </c>
    </row>
    <row r="2770" spans="1:9" x14ac:dyDescent="0.25">
      <c r="A2770" s="50" t="s">
        <v>319</v>
      </c>
      <c r="B2770" s="68" t="str">
        <f>VLOOKUP(A2770,'Componentes APUs'!$H$1:$L$25,2,0)</f>
        <v>Ingeniero Residente de Obra</v>
      </c>
      <c r="C2770" s="93">
        <v>0</v>
      </c>
      <c r="D2770" s="50">
        <f>VLOOKUP(A2770,'Componentes APUs'!$H$1:$L$25,3,0)</f>
        <v>4</v>
      </c>
      <c r="E2770" s="51">
        <f>VLOOKUP(A2770,'Componentes APUs'!$H$1:$L$25,4,0)</f>
        <v>271142.85714285716</v>
      </c>
      <c r="F2770" s="51">
        <f>VLOOKUP(A2770,'Componentes APUs'!$H$1:$L$25,5,0)</f>
        <v>162685.71428571429</v>
      </c>
      <c r="G2770" s="51">
        <f>ROUNDUP((E2770+F2770)*C2770/E2761,0)</f>
        <v>0</v>
      </c>
      <c r="H2770" s="66"/>
    </row>
    <row r="2771" spans="1:9" x14ac:dyDescent="0.25">
      <c r="A2771" s="50" t="s">
        <v>320</v>
      </c>
      <c r="B2771" s="68" t="str">
        <f>VLOOKUP(A2771,'Componentes APUs'!$H$1:$L$25,2,0)</f>
        <v>Tecnico Supervisor</v>
      </c>
      <c r="C2771" s="93">
        <v>0</v>
      </c>
      <c r="D2771" s="50">
        <f>VLOOKUP(A2771,'Componentes APUs'!$H$1:$L$25,3,0)</f>
        <v>2.2999999999999998</v>
      </c>
      <c r="E2771" s="51">
        <f>VLOOKUP(A2771,'Componentes APUs'!$H$1:$L$25,4,0)</f>
        <v>155907.14285714284</v>
      </c>
      <c r="F2771" s="51">
        <f>VLOOKUP(A2771,'Componentes APUs'!$H$1:$L$25,5,0)</f>
        <v>93544.285714285696</v>
      </c>
      <c r="G2771" s="51">
        <f>ROUNDUP((E2771+F2771)*C2771/E2761,0)</f>
        <v>0</v>
      </c>
    </row>
    <row r="2772" spans="1:9" x14ac:dyDescent="0.25">
      <c r="A2772" s="50" t="s">
        <v>54</v>
      </c>
      <c r="B2772" s="68" t="str">
        <f>VLOOKUP(A2772,'Componentes APUs'!$H$1:$L$25,2,0)</f>
        <v>Maestro de obra civil</v>
      </c>
      <c r="C2772" s="93">
        <v>0</v>
      </c>
      <c r="D2772" s="50">
        <f>VLOOKUP(A2772,'Componentes APUs'!$H$1:$L$25,3,0)</f>
        <v>2.5</v>
      </c>
      <c r="E2772" s="51">
        <f>VLOOKUP(A2772,'Componentes APUs'!$H$1:$L$25,4,0)</f>
        <v>169464.28571428571</v>
      </c>
      <c r="F2772" s="51">
        <f>VLOOKUP(A2772,'Componentes APUs'!$H$1:$L$25,5,0)</f>
        <v>101678.57142857142</v>
      </c>
      <c r="G2772" s="51">
        <f>ROUNDUP((E2772+F2772)*C2772/E2761,0)</f>
        <v>0</v>
      </c>
    </row>
    <row r="2773" spans="1:9" x14ac:dyDescent="0.25">
      <c r="A2773" s="50" t="s">
        <v>1110</v>
      </c>
      <c r="B2773" s="68" t="str">
        <f>VLOOKUP(A2773,'Componentes APUs'!$H$1:$L$25,2,0)</f>
        <v>Oficial de Obra Civil</v>
      </c>
      <c r="C2773" s="93">
        <v>1</v>
      </c>
      <c r="D2773" s="50">
        <f>VLOOKUP(A2773,'Componentes APUs'!$H$1:$L$25,3,0)</f>
        <v>1.5</v>
      </c>
      <c r="E2773" s="51">
        <f>VLOOKUP(A2773,'Componentes APUs'!$H$1:$L$25,4,0)</f>
        <v>115964.28571428571</v>
      </c>
      <c r="F2773" s="51">
        <f>VLOOKUP(A2773,'Componentes APUs'!$H$1:$L$25,5,0)</f>
        <v>69578.57142857142</v>
      </c>
      <c r="G2773" s="51">
        <f>ROUNDUP((E2773+F2773)*C2773/E2761,0)</f>
        <v>12370</v>
      </c>
    </row>
    <row r="2774" spans="1:9" x14ac:dyDescent="0.25">
      <c r="A2774" s="50" t="s">
        <v>50</v>
      </c>
      <c r="B2774" s="68" t="str">
        <f>VLOOKUP(A2774,'Componentes APUs'!$H$1:$L$25,2,0)</f>
        <v>Profesional en SST</v>
      </c>
      <c r="C2774" s="93">
        <v>0.25</v>
      </c>
      <c r="D2774" s="50">
        <f>VLOOKUP(A2774,'Componentes APUs'!$H$1:$L$25,3,0)</f>
        <v>2.5</v>
      </c>
      <c r="E2774" s="51">
        <f>VLOOKUP(A2774,'Componentes APUs'!$H$1:$L$25,4,0)</f>
        <v>169464.28571428571</v>
      </c>
      <c r="F2774" s="51">
        <f>VLOOKUP(A2774,'Componentes APUs'!$H$1:$L$25,5,0)</f>
        <v>101678.57142857142</v>
      </c>
      <c r="G2774" s="51">
        <f>ROUNDUP((E2774+F2774)*C2774/E2761,0)</f>
        <v>4520</v>
      </c>
    </row>
    <row r="2775" spans="1:9" x14ac:dyDescent="0.25">
      <c r="A2775" s="50" t="s">
        <v>1109</v>
      </c>
      <c r="B2775" s="68" t="str">
        <f>VLOOKUP(A2775,'Componentes APUs'!$H$1:$L$25,2,0)</f>
        <v>Ayudante de Obra Civil</v>
      </c>
      <c r="C2775" s="93">
        <v>1</v>
      </c>
      <c r="D2775" s="50">
        <f>VLOOKUP(A2775,'Componentes APUs'!$H$1:$L$25,3,0)</f>
        <v>1</v>
      </c>
      <c r="E2775" s="51">
        <f>VLOOKUP(A2775,'Componentes APUs'!$H$1:$L$25,4,0)</f>
        <v>77309.523809523816</v>
      </c>
      <c r="F2775" s="51">
        <f>VLOOKUP(A2775,'Componentes APUs'!$H$1:$L$25,5,0)</f>
        <v>46385.71428571429</v>
      </c>
      <c r="G2775" s="51">
        <f>ROUNDUP((E2775+F2775)*C2775/E2761,0)</f>
        <v>8247</v>
      </c>
    </row>
    <row r="2776" spans="1:9" x14ac:dyDescent="0.25">
      <c r="A2776" s="219" t="s">
        <v>56</v>
      </c>
      <c r="B2776" s="219"/>
      <c r="C2776" s="219"/>
      <c r="D2776" s="219"/>
      <c r="E2776" s="219"/>
      <c r="F2776" s="219"/>
      <c r="G2776" s="52">
        <f>SUM(G2770:G2775)</f>
        <v>25137</v>
      </c>
    </row>
    <row r="2777" spans="1:9" x14ac:dyDescent="0.25">
      <c r="A2777" s="56"/>
      <c r="B2777" s="57"/>
      <c r="C2777" s="57"/>
      <c r="D2777" s="57"/>
      <c r="E2777" s="57"/>
      <c r="F2777" s="57"/>
      <c r="G2777" s="58"/>
    </row>
    <row r="2778" spans="1:9" x14ac:dyDescent="0.25">
      <c r="A2778" s="219" t="s">
        <v>57</v>
      </c>
      <c r="B2778" s="219"/>
      <c r="C2778" s="219"/>
      <c r="D2778" s="219"/>
      <c r="E2778" s="219"/>
      <c r="F2778" s="219"/>
      <c r="G2778" s="219"/>
    </row>
    <row r="2779" spans="1:9" x14ac:dyDescent="0.25">
      <c r="A2779" s="49" t="s">
        <v>35</v>
      </c>
      <c r="B2779" s="219" t="s">
        <v>36</v>
      </c>
      <c r="C2779" s="219"/>
      <c r="D2779" s="49" t="s">
        <v>37</v>
      </c>
      <c r="E2779" s="49" t="s">
        <v>38</v>
      </c>
      <c r="F2779" s="49" t="s">
        <v>39</v>
      </c>
      <c r="G2779" s="49" t="s">
        <v>40</v>
      </c>
    </row>
    <row r="2780" spans="1:9" x14ac:dyDescent="0.25">
      <c r="A2780" s="50" t="s">
        <v>326</v>
      </c>
      <c r="B2780" s="220" t="str">
        <f>VLOOKUP(A2780,'Componentes APUs'!$S$1:$V$10,2,0)</f>
        <v>Juego Llaves</v>
      </c>
      <c r="C2780" s="220"/>
      <c r="D2780" s="50" t="s">
        <v>18</v>
      </c>
      <c r="E2780" s="50">
        <v>0</v>
      </c>
      <c r="F2780" s="51">
        <f>VLOOKUP(A2780,'Componentes APUs'!$S$1:$V$10,4,0)</f>
        <v>9167</v>
      </c>
      <c r="G2780" s="51">
        <f>ROUNDUP(F2780*((E2780/21)/E2761),0)</f>
        <v>0</v>
      </c>
      <c r="I2780" s="91"/>
    </row>
    <row r="2781" spans="1:9" x14ac:dyDescent="0.25">
      <c r="A2781" s="50" t="s">
        <v>58</v>
      </c>
      <c r="B2781" s="220" t="str">
        <f>VLOOKUP(A2781,'Componentes APUs'!$S$1:$V$10,2,0)</f>
        <v>Manila de servicio</v>
      </c>
      <c r="C2781" s="220"/>
      <c r="D2781" s="50" t="s">
        <v>18</v>
      </c>
      <c r="E2781" s="50">
        <v>0</v>
      </c>
      <c r="F2781" s="51">
        <f>VLOOKUP(A2781,'Componentes APUs'!$S$1:$V$10,4,0)</f>
        <v>2333</v>
      </c>
      <c r="G2781" s="51">
        <f>ROUNDUP(F2781*((E2781/21)/E2761),0)</f>
        <v>0</v>
      </c>
    </row>
    <row r="2782" spans="1:9" x14ac:dyDescent="0.25">
      <c r="A2782" s="50" t="s">
        <v>327</v>
      </c>
      <c r="B2782" s="220" t="str">
        <f>VLOOKUP(A2782,'Componentes APUs'!$S$1:$V$10,2,0)</f>
        <v>Tula portaherramientas</v>
      </c>
      <c r="C2782" s="220"/>
      <c r="D2782" s="50" t="s">
        <v>18</v>
      </c>
      <c r="E2782" s="50">
        <v>0</v>
      </c>
      <c r="F2782" s="51">
        <f>VLOOKUP(A2782,'Componentes APUs'!$S$1:$V$10,4,0)</f>
        <v>1250</v>
      </c>
      <c r="G2782" s="51">
        <f>ROUNDUP(F2782*((E2782/21)/E2761),0)</f>
        <v>0</v>
      </c>
    </row>
    <row r="2783" spans="1:9" x14ac:dyDescent="0.25">
      <c r="A2783" s="50" t="s">
        <v>60</v>
      </c>
      <c r="B2783" s="220" t="str">
        <f>VLOOKUP(A2783,'Componentes APUs'!$S$1:$V$10,2,0)</f>
        <v>Agarradoras</v>
      </c>
      <c r="C2783" s="220"/>
      <c r="D2783" s="50" t="s">
        <v>18</v>
      </c>
      <c r="E2783" s="50">
        <v>0</v>
      </c>
      <c r="F2783" s="51">
        <f>VLOOKUP(A2783,'Componentes APUs'!$S$1:$V$10,4,0)</f>
        <v>125000</v>
      </c>
      <c r="G2783" s="51">
        <f>ROUNDUP(F2783*((E2783/21)/E2761),0)</f>
        <v>0</v>
      </c>
    </row>
    <row r="2784" spans="1:9" x14ac:dyDescent="0.25">
      <c r="A2784" s="50" t="s">
        <v>62</v>
      </c>
      <c r="B2784" s="220" t="str">
        <f>VLOOKUP(A2784,'Componentes APUs'!$S$1:$V$10,2,0)</f>
        <v>Templadoras</v>
      </c>
      <c r="C2784" s="220"/>
      <c r="D2784" s="50" t="s">
        <v>18</v>
      </c>
      <c r="E2784" s="50">
        <v>0</v>
      </c>
      <c r="F2784" s="51">
        <f>VLOOKUP(A2784,'Componentes APUs'!$S$1:$V$10,4,0)</f>
        <v>250000</v>
      </c>
      <c r="G2784" s="51">
        <f>ROUNDUP(F2784*((E2784/21)/E2761),0)</f>
        <v>0</v>
      </c>
    </row>
    <row r="2785" spans="1:9" x14ac:dyDescent="0.25">
      <c r="A2785" s="50" t="s">
        <v>328</v>
      </c>
      <c r="B2785" s="220" t="str">
        <f>VLOOKUP(A2785,'Componentes APUs'!$S$1:$V$10,2,0)</f>
        <v>Herramienta Menor</v>
      </c>
      <c r="C2785" s="220"/>
      <c r="D2785" s="50" t="s">
        <v>18</v>
      </c>
      <c r="E2785" s="50">
        <v>5</v>
      </c>
      <c r="F2785" s="51">
        <f>VLOOKUP(A2785,'Componentes APUs'!$S$1:$V$10,4,0)</f>
        <v>75758</v>
      </c>
      <c r="G2785" s="51">
        <f>ROUNDUP(F2785*((E2785/21)/E2761),0)</f>
        <v>1203</v>
      </c>
    </row>
    <row r="2786" spans="1:9" x14ac:dyDescent="0.25">
      <c r="A2786" s="219" t="s">
        <v>69</v>
      </c>
      <c r="B2786" s="219"/>
      <c r="C2786" s="219"/>
      <c r="D2786" s="219"/>
      <c r="E2786" s="219"/>
      <c r="F2786" s="219"/>
      <c r="G2786" s="52">
        <f>SUM(G2780:G2785)</f>
        <v>1203</v>
      </c>
    </row>
    <row r="2787" spans="1:9" x14ac:dyDescent="0.25">
      <c r="A2787" s="56"/>
      <c r="B2787" s="57"/>
      <c r="C2787" s="57"/>
      <c r="D2787" s="57"/>
      <c r="E2787" s="57"/>
      <c r="F2787" s="57"/>
      <c r="G2787" s="58"/>
    </row>
    <row r="2788" spans="1:9" x14ac:dyDescent="0.25">
      <c r="A2788" s="219" t="s">
        <v>70</v>
      </c>
      <c r="B2788" s="219"/>
      <c r="C2788" s="219"/>
      <c r="D2788" s="219"/>
      <c r="E2788" s="219"/>
      <c r="F2788" s="219"/>
      <c r="G2788" s="219"/>
    </row>
    <row r="2789" spans="1:9" x14ac:dyDescent="0.25">
      <c r="A2789" s="49" t="s">
        <v>35</v>
      </c>
      <c r="B2789" s="219" t="s">
        <v>36</v>
      </c>
      <c r="C2789" s="219"/>
      <c r="D2789" s="49" t="s">
        <v>37</v>
      </c>
      <c r="E2789" s="49" t="s">
        <v>38</v>
      </c>
      <c r="F2789" s="49" t="s">
        <v>39</v>
      </c>
      <c r="G2789" s="49" t="s">
        <v>40</v>
      </c>
    </row>
    <row r="2790" spans="1:9" x14ac:dyDescent="0.25">
      <c r="A2790" s="50" t="s">
        <v>71</v>
      </c>
      <c r="B2790" s="71" t="str">
        <f>VLOOKUP(A2790,'Componentes APUs'!$A$1:$D$14,2,0)</f>
        <v>Camisa indigo sin partes metalicas</v>
      </c>
      <c r="C2790" s="71"/>
      <c r="D2790" s="50" t="str">
        <f>VLOOKUP(A2790,'Componentes APUs'!$A$1:$D$14,3,0)</f>
        <v>U</v>
      </c>
      <c r="E2790" s="50">
        <f>SUM(C2770:C2775)</f>
        <v>2.25</v>
      </c>
      <c r="F2790" s="51">
        <f>VLOOKUP(A2790,'Componentes APUs'!$A$1:$D$14,4,0)</f>
        <v>8585.8585858585866</v>
      </c>
      <c r="G2790" s="51">
        <f>ROUNDUP(F2790*(E2790/21)/E2761,0)</f>
        <v>62</v>
      </c>
      <c r="I2790" s="91"/>
    </row>
    <row r="2791" spans="1:9" x14ac:dyDescent="0.25">
      <c r="A2791" s="69" t="s">
        <v>73</v>
      </c>
      <c r="B2791" s="72" t="str">
        <f>VLOOKUP(A2791,'Componentes APUs'!$A$1:$D$14,2,0)</f>
        <v>Bota de seguridad dielectrica</v>
      </c>
      <c r="C2791" s="73"/>
      <c r="D2791" s="70" t="str">
        <f>VLOOKUP(A2791,'Componentes APUs'!$A$1:$D$14,3,0)</f>
        <v>Par</v>
      </c>
      <c r="E2791" s="50">
        <f>SUM(C2770:C2775)</f>
        <v>2.25</v>
      </c>
      <c r="F2791" s="51">
        <f>VLOOKUP(A2791,'Componentes APUs'!$A$1:$D$14,4,0)</f>
        <v>7500</v>
      </c>
      <c r="G2791" s="51">
        <f>ROUNDUP(F2791*(E2791/21)/E2761,0)</f>
        <v>54</v>
      </c>
    </row>
    <row r="2792" spans="1:9" x14ac:dyDescent="0.25">
      <c r="A2792" s="50" t="s">
        <v>76</v>
      </c>
      <c r="B2792" s="72" t="str">
        <f>VLOOKUP(A2792,'Componentes APUs'!$A$1:$D$14,2,0)</f>
        <v>Casco dielectrico Tipo 1 Clase E con barbuquejo</v>
      </c>
      <c r="C2792" s="73"/>
      <c r="D2792" s="50" t="str">
        <f>VLOOKUP(A2792,'Componentes APUs'!$A$1:$D$14,3,0)</f>
        <v>U</v>
      </c>
      <c r="E2792" s="50">
        <f>C2770+C2771+C2773+C2774+C2775+IF(A2772&lt;&gt;"MO-3",C2772,0)</f>
        <v>2.25</v>
      </c>
      <c r="F2792" s="51">
        <f>VLOOKUP(A2792,'Componentes APUs'!$A$1:$D$14,4,0)</f>
        <v>10101.010101010101</v>
      </c>
      <c r="G2792" s="51">
        <f>ROUNDUP(F2792*(E2792/21)/E2761,0)</f>
        <v>73</v>
      </c>
    </row>
    <row r="2793" spans="1:9" x14ac:dyDescent="0.25">
      <c r="A2793" s="69" t="s">
        <v>77</v>
      </c>
      <c r="B2793" s="72" t="str">
        <f>VLOOKUP(A2793,'Componentes APUs'!$A$1:$D$14,2,0)</f>
        <v>Correa plastica y antiflama</v>
      </c>
      <c r="C2793" s="73"/>
      <c r="D2793" s="50" t="str">
        <f>VLOOKUP(A2793,'Componentes APUs'!$A$1:$D$14,3,0)</f>
        <v>U</v>
      </c>
      <c r="E2793" s="50">
        <f>SUM(C2770:C2775)</f>
        <v>2.25</v>
      </c>
      <c r="F2793" s="51">
        <f>VLOOKUP(A2793,'Componentes APUs'!$A$1:$D$14,4,0)</f>
        <v>3787.878787878788</v>
      </c>
      <c r="G2793" s="51">
        <f>ROUNDUP(F2793*(E2793/21)/E2761,0)</f>
        <v>28</v>
      </c>
    </row>
    <row r="2794" spans="1:9" x14ac:dyDescent="0.25">
      <c r="A2794" s="50" t="s">
        <v>79</v>
      </c>
      <c r="B2794" s="72" t="str">
        <f>VLOOKUP(A2794,'Componentes APUs'!$A$1:$D$14,2,0)</f>
        <v>Gafas protectoras filtro UV</v>
      </c>
      <c r="C2794" s="73"/>
      <c r="D2794" s="50" t="str">
        <f>VLOOKUP(A2794,'Componentes APUs'!$A$1:$D$14,3,0)</f>
        <v>U</v>
      </c>
      <c r="E2794" s="50">
        <f>SUM(C2770:C2775)</f>
        <v>2.25</v>
      </c>
      <c r="F2794" s="51">
        <f>VLOOKUP(A2794,'Componentes APUs'!$A$1:$D$14,4,0)</f>
        <v>2777.7777777777778</v>
      </c>
      <c r="G2794" s="51">
        <f>ROUNDUP(F2794*(E2794/21)/E2761,0)</f>
        <v>20</v>
      </c>
    </row>
    <row r="2795" spans="1:9" x14ac:dyDescent="0.25">
      <c r="A2795" s="69" t="s">
        <v>402</v>
      </c>
      <c r="B2795" s="72" t="str">
        <f>VLOOKUP(A2795,'Componentes APUs'!$A$1:$D$14,2,0)</f>
        <v>Bota de seguridad PVC dielectrica</v>
      </c>
      <c r="C2795" s="73"/>
      <c r="D2795" s="50" t="str">
        <f>VLOOKUP(A2795,'Componentes APUs'!$A$1:$D$14,3,0)</f>
        <v>Par</v>
      </c>
      <c r="E2795" s="50">
        <f>SUM(C2770:C2775)</f>
        <v>2.25</v>
      </c>
      <c r="F2795" s="51">
        <f>VLOOKUP(A2795,'Componentes APUs'!$A$1:$D$14,4,0)</f>
        <v>2916.6666666666665</v>
      </c>
      <c r="G2795" s="51">
        <f>ROUNDUP(F2795*(E2795/21)/E2761,0)</f>
        <v>21</v>
      </c>
    </row>
    <row r="2796" spans="1:9" x14ac:dyDescent="0.25">
      <c r="A2796" s="50" t="s">
        <v>403</v>
      </c>
      <c r="B2796" s="72" t="str">
        <f>VLOOKUP(A2796,'Componentes APUs'!$A$1:$D$14,2,0)</f>
        <v>Capuchon</v>
      </c>
      <c r="C2796" s="73"/>
      <c r="D2796" s="50" t="str">
        <f>VLOOKUP(A2796,'Componentes APUs'!$A$1:$D$14,3,0)</f>
        <v>U</v>
      </c>
      <c r="E2796" s="50">
        <f>SUM(C2770:C2775)</f>
        <v>2.25</v>
      </c>
      <c r="F2796" s="51">
        <f>VLOOKUP(A2796,'Componentes APUs'!$A$1:$D$14,4,0)</f>
        <v>2525.2525252525252</v>
      </c>
      <c r="G2796" s="51">
        <f>ROUNDUP(F2796*(E2796/21)/E2761,0)</f>
        <v>19</v>
      </c>
    </row>
    <row r="2797" spans="1:9" x14ac:dyDescent="0.25">
      <c r="A2797" s="69" t="s">
        <v>81</v>
      </c>
      <c r="B2797" s="72" t="str">
        <f>VLOOKUP(A2797,'Componentes APUs'!$A$1:$D$14,2,0)</f>
        <v>Guantes Protectores  - ingeniero reforzados</v>
      </c>
      <c r="C2797" s="73"/>
      <c r="D2797" s="50" t="str">
        <f>VLOOKUP(A2797,'Componentes APUs'!$A$1:$D$14,3,0)</f>
        <v>Par</v>
      </c>
      <c r="E2797" s="50">
        <f>C2772+C2773+C2775</f>
        <v>2</v>
      </c>
      <c r="F2797" s="51">
        <f>VLOOKUP(A2797,'Componentes APUs'!$A$1:$D$14,4,0)</f>
        <v>2525.2525252525252</v>
      </c>
      <c r="G2797" s="51">
        <f>ROUNDUP(F2797*(E2797/21)/E2761,0)</f>
        <v>17</v>
      </c>
    </row>
    <row r="2798" spans="1:9" x14ac:dyDescent="0.25">
      <c r="A2798" s="50" t="s">
        <v>83</v>
      </c>
      <c r="B2798" s="72" t="str">
        <f>VLOOKUP(A2798,'Componentes APUs'!$A$1:$D$14,2,0)</f>
        <v>Impermeable (pantalon camisa)</v>
      </c>
      <c r="C2798" s="73"/>
      <c r="D2798" s="50" t="str">
        <f>VLOOKUP(A2798,'Componentes APUs'!$A$1:$D$14,3,0)</f>
        <v>U</v>
      </c>
      <c r="E2798" s="50">
        <f>SUM(C2770:C2775)</f>
        <v>2.25</v>
      </c>
      <c r="F2798" s="51">
        <f>VLOOKUP(A2798,'Componentes APUs'!$A$1:$D$14,4,0)</f>
        <v>3750</v>
      </c>
      <c r="G2798" s="51">
        <f>ROUNDUP(F2798*(E2798/21)/E2761,0)</f>
        <v>27</v>
      </c>
    </row>
    <row r="2799" spans="1:9" x14ac:dyDescent="0.25">
      <c r="A2799" s="69" t="s">
        <v>85</v>
      </c>
      <c r="B2799" s="72" t="str">
        <f>VLOOKUP(A2799,'Componentes APUs'!$A$1:$D$14,2,0)</f>
        <v>Jean Dielectrico</v>
      </c>
      <c r="C2799" s="73"/>
      <c r="D2799" s="50" t="str">
        <f>VLOOKUP(A2799,'Componentes APUs'!$A$1:$D$14,3,0)</f>
        <v>U</v>
      </c>
      <c r="E2799" s="50">
        <f>SUM(C2770:C2775)</f>
        <v>2.25</v>
      </c>
      <c r="F2799" s="51">
        <f>VLOOKUP(A2799,'Componentes APUs'!$A$1:$D$14,4,0)</f>
        <v>7575.757575757576</v>
      </c>
      <c r="G2799" s="51">
        <f>ROUNDUP(F2799*(E2799/21)/E2761,0)</f>
        <v>55</v>
      </c>
    </row>
    <row r="2800" spans="1:9" x14ac:dyDescent="0.25">
      <c r="A2800" s="50" t="s">
        <v>87</v>
      </c>
      <c r="B2800" s="72" t="str">
        <f>VLOOKUP(A2800,'Componentes APUs'!$A$1:$D$14,2,0)</f>
        <v>Casco dielectrico Tipo 2 Clase E con barboquejo</v>
      </c>
      <c r="C2800" s="73"/>
      <c r="D2800" s="50" t="str">
        <f>VLOOKUP(A2800,'Componentes APUs'!$A$1:$D$14,3,0)</f>
        <v>U</v>
      </c>
      <c r="E2800" s="53">
        <f>IF(A2772="MO-3",C2772,0)</f>
        <v>0</v>
      </c>
      <c r="F2800" s="51">
        <f>VLOOKUP(A2800,'Componentes APUs'!$A$1:$D$14,4,0)</f>
        <v>7500</v>
      </c>
      <c r="G2800" s="51">
        <f>ROUNDUP(F2800*(E2800/21)/E2761,0)</f>
        <v>0</v>
      </c>
    </row>
    <row r="2801" spans="1:7" x14ac:dyDescent="0.25">
      <c r="A2801" s="69" t="s">
        <v>89</v>
      </c>
      <c r="B2801" s="72" t="str">
        <f>VLOOKUP(A2801,'Componentes APUs'!$A$1:$D$14,2,0)</f>
        <v>Kit de rescate para trabajo en alturas</v>
      </c>
      <c r="C2801" s="73"/>
      <c r="D2801" s="50" t="str">
        <f>VLOOKUP(A2801,'Componentes APUs'!$A$1:$D$14,3,0)</f>
        <v>U</v>
      </c>
      <c r="E2801" s="50">
        <f>IF(AND(A2772="MO-3",C2772=2),1,0)</f>
        <v>0</v>
      </c>
      <c r="F2801" s="51">
        <f>VLOOKUP(A2801,'Componentes APUs'!$A$1:$D$14,4,0)</f>
        <v>37500</v>
      </c>
      <c r="G2801" s="51">
        <f>ROUNDUP(F2801*(E2801/21)/E2761,0)</f>
        <v>0</v>
      </c>
    </row>
    <row r="2802" spans="1:7" x14ac:dyDescent="0.25">
      <c r="A2802" s="50" t="s">
        <v>91</v>
      </c>
      <c r="B2802" s="72" t="str">
        <f>VLOOKUP(A2802,'Componentes APUs'!$A$1:$D$14,2,0)</f>
        <v>Equipo completo para trabajo en alturas con pretales (Arnes dielectrico, 1 mosqueton de seguridad, tie off dielectrico, eslinga de posicionamiento, juego de pretales)</v>
      </c>
      <c r="C2802" s="73"/>
      <c r="D2802" s="50" t="str">
        <f>VLOOKUP(A2802,'Componentes APUs'!$A$1:$D$14,3,0)</f>
        <v>U</v>
      </c>
      <c r="E2802" s="50">
        <f>IF(A2772="MO-3",C2772,0)</f>
        <v>0</v>
      </c>
      <c r="F2802" s="51">
        <f>VLOOKUP(A2802,'Componentes APUs'!$A$1:$D$14,4,0)</f>
        <v>26041.666666666668</v>
      </c>
      <c r="G2802" s="51">
        <f>ROUNDUP(F2802*(E2802/21)/E2761,0)</f>
        <v>0</v>
      </c>
    </row>
    <row r="2803" spans="1:7" x14ac:dyDescent="0.25">
      <c r="A2803" s="219" t="s">
        <v>95</v>
      </c>
      <c r="B2803" s="219"/>
      <c r="C2803" s="219"/>
      <c r="D2803" s="219"/>
      <c r="E2803" s="219"/>
      <c r="F2803" s="219"/>
      <c r="G2803" s="52">
        <f>SUM(G2790:G2802)</f>
        <v>376</v>
      </c>
    </row>
    <row r="2804" spans="1:7" x14ac:dyDescent="0.25">
      <c r="A2804" s="56"/>
      <c r="B2804" s="57"/>
      <c r="C2804" s="57"/>
      <c r="D2804" s="57"/>
      <c r="E2804" s="57"/>
      <c r="F2804" s="57"/>
      <c r="G2804" s="58"/>
    </row>
    <row r="2805" spans="1:7" x14ac:dyDescent="0.25">
      <c r="A2805" s="219" t="s">
        <v>96</v>
      </c>
      <c r="B2805" s="219"/>
      <c r="C2805" s="219"/>
      <c r="D2805" s="219"/>
      <c r="E2805" s="219"/>
      <c r="F2805" s="219"/>
      <c r="G2805" s="219"/>
    </row>
    <row r="2806" spans="1:7" x14ac:dyDescent="0.25">
      <c r="A2806" s="49" t="s">
        <v>35</v>
      </c>
      <c r="B2806" s="225" t="s">
        <v>36</v>
      </c>
      <c r="C2806" s="225"/>
      <c r="D2806" s="49" t="s">
        <v>37</v>
      </c>
      <c r="E2806" s="49" t="s">
        <v>38</v>
      </c>
      <c r="F2806" s="49" t="s">
        <v>39</v>
      </c>
      <c r="G2806" s="49" t="s">
        <v>40</v>
      </c>
    </row>
    <row r="2807" spans="1:7" x14ac:dyDescent="0.25">
      <c r="A2807" s="69" t="s">
        <v>97</v>
      </c>
      <c r="B2807" s="72" t="str">
        <f>VLOOKUP(A2807,'Componentes APUs'!$N$1:$Q$30,2,0)</f>
        <v>Camioneta</v>
      </c>
      <c r="C2807" s="73"/>
      <c r="D2807" s="70" t="str">
        <f>VLOOKUP(A2807,'Componentes APUs'!$N$1:$Q$30,3,0)</f>
        <v>U</v>
      </c>
      <c r="E2807" s="50">
        <v>0</v>
      </c>
      <c r="F2807" s="51">
        <f>VLOOKUP(A2807,'Componentes APUs'!$N$1:$Q$30,4,0)</f>
        <v>5500000</v>
      </c>
      <c r="G2807" s="51">
        <f>IFERROR(ROUNDUP(F2807*(E2807/21)/E2761,0),"-")</f>
        <v>0</v>
      </c>
    </row>
    <row r="2808" spans="1:7" x14ac:dyDescent="0.25">
      <c r="A2808" s="50" t="s">
        <v>1119</v>
      </c>
      <c r="B2808" s="72" t="str">
        <f>VLOOKUP(A2808,'Componentes APUs'!$N$1:$Q$30,2,0)</f>
        <v>Vibrador de concreto</v>
      </c>
      <c r="C2808" s="73"/>
      <c r="D2808" s="70" t="str">
        <f>VLOOKUP(A2808,'Componentes APUs'!$N$1:$Q$30,3,0)</f>
        <v>U</v>
      </c>
      <c r="E2808" s="50">
        <v>0</v>
      </c>
      <c r="F2808" s="51">
        <f>VLOOKUP(A2808,'Componentes APUs'!$N$1:$Q$30,4,0)</f>
        <v>1324470</v>
      </c>
      <c r="G2808" s="51">
        <f>IFERROR(ROUNDUP(F2808*(E2808/21)/E2761,0),"-")</f>
        <v>0</v>
      </c>
    </row>
    <row r="2809" spans="1:7" x14ac:dyDescent="0.25">
      <c r="A2809" s="69" t="s">
        <v>1379</v>
      </c>
      <c r="B2809" s="72" t="str">
        <f>VLOOKUP(A2809,'Componentes APUs'!$N$1:$Q$30,2,0)</f>
        <v>Dumper de descarga Frontal 2T</v>
      </c>
      <c r="C2809" s="73"/>
      <c r="D2809" s="70" t="str">
        <f>VLOOKUP(A2809,'Componentes APUs'!$N$1:$Q$30,3,0)</f>
        <v>U</v>
      </c>
      <c r="E2809" s="50">
        <v>0</v>
      </c>
      <c r="F2809" s="51">
        <f>VLOOKUP(A2809,'Componentes APUs'!$N$1:$Q$30,4,0)</f>
        <v>4438716.24</v>
      </c>
      <c r="G2809" s="51">
        <f>IFERROR(ROUNDUP(F2809*(E2809/21)/E2761,0),"-")</f>
        <v>0</v>
      </c>
    </row>
    <row r="2810" spans="1:7" x14ac:dyDescent="0.25">
      <c r="A2810" s="50" t="s">
        <v>323</v>
      </c>
      <c r="B2810" s="72" t="str">
        <f>VLOOKUP(A2810,'Componentes APUs'!$N$1:$Q$30,2,0)</f>
        <v>Volqueta</v>
      </c>
      <c r="C2810" s="73"/>
      <c r="D2810" s="70" t="str">
        <f>VLOOKUP(A2810,'Componentes APUs'!$N$1:$Q$30,3,0)</f>
        <v>U</v>
      </c>
      <c r="E2810" s="50">
        <v>0</v>
      </c>
      <c r="F2810" s="51">
        <f>VLOOKUP(A2810,'Componentes APUs'!$N$1:$Q$30,4,0)</f>
        <v>14828184</v>
      </c>
      <c r="G2810" s="51">
        <f>IFERROR(ROUNDUP(F2810*(E2810/21)/E2761,0),"-")</f>
        <v>0</v>
      </c>
    </row>
    <row r="2811" spans="1:7" x14ac:dyDescent="0.25">
      <c r="A2811" s="69" t="s">
        <v>324</v>
      </c>
      <c r="B2811" s="72" t="str">
        <f>VLOOKUP(A2811,'Componentes APUs'!$N$1:$Q$30,2,0)</f>
        <v>Retroexcavadora</v>
      </c>
      <c r="C2811" s="73"/>
      <c r="D2811" s="70" t="str">
        <f>VLOOKUP(A2811,'Componentes APUs'!$N$1:$Q$30,3,0)</f>
        <v>U</v>
      </c>
      <c r="E2811" s="50">
        <v>0</v>
      </c>
      <c r="F2811" s="51">
        <f>VLOOKUP(A2811,'Componentes APUs'!$N$1:$Q$30,4,0)</f>
        <v>46030656</v>
      </c>
      <c r="G2811" s="51">
        <f>IFERROR(ROUNDUP(F2811*(E2811/21)/E2761,0),"-")</f>
        <v>0</v>
      </c>
    </row>
    <row r="2812" spans="1:7" x14ac:dyDescent="0.25">
      <c r="A2812" s="219" t="s">
        <v>99</v>
      </c>
      <c r="B2812" s="219"/>
      <c r="C2812" s="219"/>
      <c r="D2812" s="219"/>
      <c r="E2812" s="219"/>
      <c r="F2812" s="219"/>
      <c r="G2812" s="52">
        <f>SUM(G2807:G2811)</f>
        <v>0</v>
      </c>
    </row>
    <row r="2813" spans="1:7" x14ac:dyDescent="0.25">
      <c r="A2813" s="56"/>
      <c r="B2813" s="57"/>
      <c r="C2813" s="57"/>
      <c r="D2813" s="57"/>
      <c r="E2813" s="57"/>
      <c r="F2813" s="57"/>
      <c r="G2813" s="58"/>
    </row>
    <row r="2814" spans="1:7" x14ac:dyDescent="0.25">
      <c r="A2814" s="219" t="s">
        <v>1516</v>
      </c>
      <c r="B2814" s="219"/>
      <c r="C2814" s="219"/>
      <c r="D2814" s="219"/>
      <c r="E2814" s="219"/>
      <c r="F2814" s="219"/>
      <c r="G2814" s="52">
        <f>G2812+G2803+G2786+G2776+G2766</f>
        <v>1091936</v>
      </c>
    </row>
    <row r="2815" spans="1:7" x14ac:dyDescent="0.25">
      <c r="A2815" s="59"/>
      <c r="B2815" s="60"/>
      <c r="C2815" s="60"/>
      <c r="D2815" s="60"/>
      <c r="E2815" s="57"/>
      <c r="F2815" s="57"/>
      <c r="G2815" s="58"/>
    </row>
    <row r="2816" spans="1:7" x14ac:dyDescent="0.25">
      <c r="A2816" s="64"/>
      <c r="D2816" s="55"/>
      <c r="E2816" s="49" t="s">
        <v>25</v>
      </c>
      <c r="F2816" s="54">
        <v>0.15</v>
      </c>
      <c r="G2816" s="51">
        <f>G2814*F2816</f>
        <v>163790.39999999999</v>
      </c>
    </row>
    <row r="2817" spans="1:8" x14ac:dyDescent="0.25">
      <c r="A2817" s="64"/>
      <c r="D2817" s="55"/>
      <c r="E2817" s="49" t="s">
        <v>26</v>
      </c>
      <c r="F2817" s="54">
        <v>0.05</v>
      </c>
      <c r="G2817" s="51">
        <f>G2814*F2817</f>
        <v>54596.800000000003</v>
      </c>
    </row>
    <row r="2818" spans="1:8" x14ac:dyDescent="0.25">
      <c r="A2818" s="61"/>
      <c r="B2818" s="65"/>
      <c r="C2818" s="65"/>
      <c r="D2818" s="62"/>
      <c r="E2818" s="49" t="s">
        <v>27</v>
      </c>
      <c r="F2818" s="54">
        <v>0.05</v>
      </c>
      <c r="G2818" s="51">
        <f>G2814*F2818</f>
        <v>54596.800000000003</v>
      </c>
    </row>
    <row r="2819" spans="1:8" x14ac:dyDescent="0.25">
      <c r="A2819" s="61"/>
      <c r="B2819" s="62"/>
      <c r="C2819" s="62"/>
      <c r="D2819" s="62"/>
      <c r="E2819" s="62"/>
      <c r="F2819" s="62"/>
      <c r="G2819" s="63"/>
    </row>
    <row r="2820" spans="1:8" x14ac:dyDescent="0.25">
      <c r="A2820" s="219" t="s">
        <v>1517</v>
      </c>
      <c r="B2820" s="219"/>
      <c r="C2820" s="219"/>
      <c r="D2820" s="219"/>
      <c r="E2820" s="219"/>
      <c r="F2820" s="219"/>
      <c r="G2820" s="52">
        <f>G2814+G2816+G2817+G2818</f>
        <v>1364920</v>
      </c>
    </row>
    <row r="2821" spans="1:8" x14ac:dyDescent="0.25">
      <c r="A2821" s="59"/>
      <c r="B2821" s="60"/>
      <c r="C2821" s="60"/>
      <c r="D2821" s="60"/>
      <c r="E2821" s="57"/>
      <c r="F2821" s="57"/>
      <c r="G2821" s="58"/>
    </row>
    <row r="2822" spans="1:8" x14ac:dyDescent="0.25">
      <c r="A2822" s="64"/>
      <c r="D2822" s="55"/>
      <c r="E2822" s="49" t="s">
        <v>102</v>
      </c>
      <c r="F2822" s="49" t="s">
        <v>103</v>
      </c>
      <c r="G2822" s="51">
        <f>G2818*19%</f>
        <v>10373.392</v>
      </c>
    </row>
    <row r="2823" spans="1:8" x14ac:dyDescent="0.25">
      <c r="A2823" s="61"/>
      <c r="B2823" s="62"/>
      <c r="C2823" s="62"/>
      <c r="D2823" s="62"/>
      <c r="E2823" s="57"/>
      <c r="F2823" s="57"/>
      <c r="G2823" s="58"/>
    </row>
    <row r="2824" spans="1:8" x14ac:dyDescent="0.25">
      <c r="A2824" s="219" t="s">
        <v>104</v>
      </c>
      <c r="B2824" s="219"/>
      <c r="C2824" s="219"/>
      <c r="D2824" s="219"/>
      <c r="E2824" s="219"/>
      <c r="F2824" s="219"/>
      <c r="G2824" s="52">
        <f>G2822+G2820</f>
        <v>1375293.392</v>
      </c>
    </row>
    <row r="2826" spans="1:8" x14ac:dyDescent="0.25">
      <c r="A2826" s="74" t="s">
        <v>29</v>
      </c>
      <c r="B2826" s="226" t="s">
        <v>30</v>
      </c>
      <c r="C2826" s="226"/>
      <c r="D2826" s="74" t="s">
        <v>31</v>
      </c>
      <c r="E2826" s="74" t="s">
        <v>32</v>
      </c>
      <c r="F2826" s="74" t="s">
        <v>189</v>
      </c>
      <c r="G2826" s="74" t="s">
        <v>33</v>
      </c>
      <c r="H2826" s="105"/>
    </row>
    <row r="2827" spans="1:8" ht="24" customHeight="1" x14ac:dyDescent="0.25">
      <c r="A2827" s="50" t="str">
        <f>Presupuesto!B55</f>
        <v>043_OC</v>
      </c>
      <c r="B2827" s="229" t="str">
        <f>Presupuesto!C55</f>
        <v>REJILLA TRAGATORMENTAS</v>
      </c>
      <c r="C2827" s="230"/>
      <c r="D2827" s="50" t="s">
        <v>18</v>
      </c>
      <c r="E2827" s="107">
        <v>0.5</v>
      </c>
      <c r="F2827" s="50"/>
      <c r="G2827" s="51">
        <f>G2892</f>
        <v>13274802.529999999</v>
      </c>
      <c r="H2827" s="45"/>
    </row>
    <row r="2828" spans="1:8" x14ac:dyDescent="0.25">
      <c r="A2828" s="219" t="s">
        <v>34</v>
      </c>
      <c r="B2828" s="219"/>
      <c r="C2828" s="219"/>
      <c r="D2828" s="219"/>
      <c r="E2828" s="219"/>
      <c r="F2828" s="219"/>
      <c r="G2828" s="219"/>
    </row>
    <row r="2829" spans="1:8" x14ac:dyDescent="0.25">
      <c r="A2829" s="49" t="s">
        <v>35</v>
      </c>
      <c r="B2829" s="219" t="s">
        <v>36</v>
      </c>
      <c r="C2829" s="219"/>
      <c r="D2829" s="49" t="s">
        <v>37</v>
      </c>
      <c r="E2829" s="49" t="s">
        <v>38</v>
      </c>
      <c r="F2829" s="49" t="s">
        <v>39</v>
      </c>
      <c r="G2829" s="49" t="s">
        <v>40</v>
      </c>
    </row>
    <row r="2830" spans="1:8" x14ac:dyDescent="0.25">
      <c r="A2830" s="50" t="str">
        <f>Material!A15</f>
        <v>MA-14</v>
      </c>
      <c r="B2830" s="72" t="str">
        <f>IFERROR(VLOOKUP(A2830,Material!$A:$H,2,0),"-")</f>
        <v>CONCRETO DE 3000 PSI</v>
      </c>
      <c r="C2830" s="76"/>
      <c r="D2830" s="50" t="str">
        <f>IFERROR(VLOOKUP(A2830,Material!$A:$H,4,0),"-")</f>
        <v>M3</v>
      </c>
      <c r="E2830" s="96">
        <f>1*0.8+(0.062+0.065+0.067+0.07+0.072+0.078)*0.5+4.85*0.15*2</f>
        <v>2.4619999999999997</v>
      </c>
      <c r="F2830" s="51">
        <f>IFERROR(VLOOKUP(A2830,Material!$A:$H,3,0),"-")</f>
        <v>620227.23330691375</v>
      </c>
      <c r="G2830" s="51">
        <f t="shared" ref="G2830" si="39">IFERROR(ROUNDUP(F2830*E2830,0),"-")</f>
        <v>1527000</v>
      </c>
      <c r="H2830" s="92"/>
    </row>
    <row r="2831" spans="1:8" x14ac:dyDescent="0.25">
      <c r="A2831" s="50" t="str">
        <f>Material!A604</f>
        <v>MA-603</v>
      </c>
      <c r="B2831" s="72" t="str">
        <f>IFERROR(VLOOKUP(A2831,Material!$A:$H,2,0),"-")</f>
        <v>ACERO Fy= 240 MPa</v>
      </c>
      <c r="C2831" s="76"/>
      <c r="D2831" s="50" t="str">
        <f>IFERROR(VLOOKUP(A2831,Material!$A:$H,4,0),"-")</f>
        <v>KG</v>
      </c>
      <c r="E2831" s="107">
        <f>200*E2830</f>
        <v>492.4</v>
      </c>
      <c r="F2831" s="51">
        <f>IFERROR(VLOOKUP(A2831,Material!$A:$H,3,0),"-")</f>
        <v>7341.1</v>
      </c>
      <c r="G2831" s="51">
        <f>IFERROR(ROUNDUP(F2831*E2831,0),"-")</f>
        <v>3614758</v>
      </c>
      <c r="H2831" s="106"/>
    </row>
    <row r="2832" spans="1:8" x14ac:dyDescent="0.25">
      <c r="A2832" s="50" t="str">
        <f>Material!A663</f>
        <v>MA-662</v>
      </c>
      <c r="B2832" s="72" t="str">
        <f>IFERROR(VLOOKUP(A2832,Material!$A:$H,2,0),"-")</f>
        <v>REJA PARA SUMIDERO EN HIERRO FUNDIDO</v>
      </c>
      <c r="C2832" s="76"/>
      <c r="D2832" s="50" t="str">
        <f>IFERROR(VLOOKUP(A2832,Material!$A:$H,4,0),"-")</f>
        <v>UN</v>
      </c>
      <c r="E2832" s="108">
        <v>5</v>
      </c>
      <c r="F2832" s="51">
        <f>IFERROR(VLOOKUP(A2832,Material!$A:$H,3,0),"-")</f>
        <v>694603</v>
      </c>
      <c r="G2832" s="51">
        <f>IFERROR(ROUNDUP(F2832*E2832,0),"-")</f>
        <v>3473015</v>
      </c>
      <c r="H2832" s="106"/>
    </row>
    <row r="2833" spans="1:9" x14ac:dyDescent="0.25">
      <c r="A2833" s="50" t="str">
        <f>Material!A218</f>
        <v>MA-217</v>
      </c>
      <c r="B2833" s="72" t="str">
        <f>IFERROR(VLOOKUP(A2833,Material!$A:$H,2,0),"-")</f>
        <v>FORMALETA EN MADERA CON TABLA DE 1"</v>
      </c>
      <c r="C2833" s="76"/>
      <c r="D2833" s="50" t="str">
        <f>IFERROR(VLOOKUP(A2833,Material!$A:$H,4,0),"-")</f>
        <v>M2</v>
      </c>
      <c r="E2833" s="53">
        <f>4.85*4+0.8*0.5+(0.5*0.5*13)</f>
        <v>23.049999999999997</v>
      </c>
      <c r="F2833" s="51">
        <f>IFERROR(VLOOKUP(A2833,Material!$A:$H,3,0),"-")</f>
        <v>24691.116165303549</v>
      </c>
      <c r="G2833" s="51">
        <f>IFERROR(ROUNDUP(F2833*E2833,0),"-")</f>
        <v>569131</v>
      </c>
      <c r="H2833" s="92"/>
    </row>
    <row r="2834" spans="1:9" x14ac:dyDescent="0.25">
      <c r="A2834" s="219" t="s">
        <v>41</v>
      </c>
      <c r="B2834" s="219"/>
      <c r="C2834" s="219"/>
      <c r="D2834" s="219"/>
      <c r="E2834" s="219"/>
      <c r="F2834" s="219"/>
      <c r="G2834" s="52">
        <f>SUM(G2830:G2833)</f>
        <v>9183904</v>
      </c>
      <c r="I2834" s="104"/>
    </row>
    <row r="2835" spans="1:9" x14ac:dyDescent="0.25">
      <c r="A2835" s="56"/>
      <c r="B2835" s="57"/>
      <c r="C2835" s="57"/>
      <c r="D2835" s="57"/>
      <c r="E2835" s="57"/>
      <c r="F2835" s="57"/>
      <c r="G2835" s="58"/>
    </row>
    <row r="2836" spans="1:9" x14ac:dyDescent="0.25">
      <c r="A2836" s="219" t="s">
        <v>42</v>
      </c>
      <c r="B2836" s="219"/>
      <c r="C2836" s="219"/>
      <c r="D2836" s="219"/>
      <c r="E2836" s="219"/>
      <c r="F2836" s="219"/>
      <c r="G2836" s="219"/>
    </row>
    <row r="2837" spans="1:9" x14ac:dyDescent="0.25">
      <c r="A2837" s="49" t="s">
        <v>35</v>
      </c>
      <c r="B2837" s="49" t="s">
        <v>36</v>
      </c>
      <c r="C2837" s="49" t="s">
        <v>38</v>
      </c>
      <c r="D2837" s="49" t="s">
        <v>43</v>
      </c>
      <c r="E2837" s="49" t="s">
        <v>44</v>
      </c>
      <c r="F2837" s="49" t="s">
        <v>45</v>
      </c>
      <c r="G2837" s="49" t="s">
        <v>40</v>
      </c>
    </row>
    <row r="2838" spans="1:9" x14ac:dyDescent="0.25">
      <c r="A2838" s="50" t="s">
        <v>319</v>
      </c>
      <c r="B2838" s="68" t="str">
        <f>VLOOKUP(A2838,'Componentes APUs'!$H$1:$L$25,2,0)</f>
        <v>Ingeniero Residente de Obra</v>
      </c>
      <c r="C2838" s="93">
        <v>0</v>
      </c>
      <c r="D2838" s="50">
        <f>VLOOKUP(A2838,'Componentes APUs'!$H$1:$L$25,3,0)</f>
        <v>4</v>
      </c>
      <c r="E2838" s="51">
        <f>VLOOKUP(A2838,'Componentes APUs'!$H$1:$L$25,4,0)</f>
        <v>271142.85714285716</v>
      </c>
      <c r="F2838" s="51">
        <f>VLOOKUP(A2838,'Componentes APUs'!$H$1:$L$25,5,0)</f>
        <v>162685.71428571429</v>
      </c>
      <c r="G2838" s="51">
        <f>ROUNDUP((E2838+F2838)*C2838/E2827,0)</f>
        <v>0</v>
      </c>
      <c r="H2838" s="66"/>
    </row>
    <row r="2839" spans="1:9" x14ac:dyDescent="0.25">
      <c r="A2839" s="50" t="s">
        <v>320</v>
      </c>
      <c r="B2839" s="68" t="str">
        <f>VLOOKUP(A2839,'Componentes APUs'!$H$1:$L$25,2,0)</f>
        <v>Tecnico Supervisor</v>
      </c>
      <c r="C2839" s="93">
        <v>0</v>
      </c>
      <c r="D2839" s="50">
        <f>VLOOKUP(A2839,'Componentes APUs'!$H$1:$L$25,3,0)</f>
        <v>2.2999999999999998</v>
      </c>
      <c r="E2839" s="51">
        <f>VLOOKUP(A2839,'Componentes APUs'!$H$1:$L$25,4,0)</f>
        <v>155907.14285714284</v>
      </c>
      <c r="F2839" s="51">
        <f>VLOOKUP(A2839,'Componentes APUs'!$H$1:$L$25,5,0)</f>
        <v>93544.285714285696</v>
      </c>
      <c r="G2839" s="51">
        <f>ROUNDUP((E2839+F2839)*C2839/E2827,0)</f>
        <v>0</v>
      </c>
    </row>
    <row r="2840" spans="1:9" x14ac:dyDescent="0.25">
      <c r="A2840" s="50" t="s">
        <v>54</v>
      </c>
      <c r="B2840" s="68" t="str">
        <f>VLOOKUP(A2840,'Componentes APUs'!$H$1:$L$25,2,0)</f>
        <v>Maestro de obra civil</v>
      </c>
      <c r="C2840" s="93">
        <v>0</v>
      </c>
      <c r="D2840" s="50">
        <f>VLOOKUP(A2840,'Componentes APUs'!$H$1:$L$25,3,0)</f>
        <v>2.5</v>
      </c>
      <c r="E2840" s="51">
        <f>VLOOKUP(A2840,'Componentes APUs'!$H$1:$L$25,4,0)</f>
        <v>169464.28571428571</v>
      </c>
      <c r="F2840" s="51">
        <f>VLOOKUP(A2840,'Componentes APUs'!$H$1:$L$25,5,0)</f>
        <v>101678.57142857142</v>
      </c>
      <c r="G2840" s="51">
        <f>ROUNDUP((E2840+F2840)*C2840/E2827,0)</f>
        <v>0</v>
      </c>
    </row>
    <row r="2841" spans="1:9" x14ac:dyDescent="0.25">
      <c r="A2841" s="50" t="s">
        <v>1110</v>
      </c>
      <c r="B2841" s="68" t="str">
        <f>VLOOKUP(A2841,'Componentes APUs'!$H$1:$L$25,2,0)</f>
        <v>Oficial de Obra Civil</v>
      </c>
      <c r="C2841" s="93">
        <v>1</v>
      </c>
      <c r="D2841" s="50">
        <f>VLOOKUP(A2841,'Componentes APUs'!$H$1:$L$25,3,0)</f>
        <v>1.5</v>
      </c>
      <c r="E2841" s="51">
        <f>VLOOKUP(A2841,'Componentes APUs'!$H$1:$L$25,4,0)</f>
        <v>115964.28571428571</v>
      </c>
      <c r="F2841" s="51">
        <f>VLOOKUP(A2841,'Componentes APUs'!$H$1:$L$25,5,0)</f>
        <v>69578.57142857142</v>
      </c>
      <c r="G2841" s="51">
        <f>ROUNDUP((E2841+F2841)*C2841/E2827,0)</f>
        <v>371086</v>
      </c>
    </row>
    <row r="2842" spans="1:9" x14ac:dyDescent="0.25">
      <c r="A2842" s="50" t="s">
        <v>50</v>
      </c>
      <c r="B2842" s="68" t="str">
        <f>VLOOKUP(A2842,'Componentes APUs'!$H$1:$L$25,2,0)</f>
        <v>Profesional en SST</v>
      </c>
      <c r="C2842" s="93">
        <v>0.25</v>
      </c>
      <c r="D2842" s="50">
        <f>VLOOKUP(A2842,'Componentes APUs'!$H$1:$L$25,3,0)</f>
        <v>2.5</v>
      </c>
      <c r="E2842" s="51">
        <f>VLOOKUP(A2842,'Componentes APUs'!$H$1:$L$25,4,0)</f>
        <v>169464.28571428571</v>
      </c>
      <c r="F2842" s="51">
        <f>VLOOKUP(A2842,'Componentes APUs'!$H$1:$L$25,5,0)</f>
        <v>101678.57142857142</v>
      </c>
      <c r="G2842" s="51">
        <f>ROUNDUP((E2842+F2842)*C2842/E2827,0)</f>
        <v>135572</v>
      </c>
    </row>
    <row r="2843" spans="1:9" x14ac:dyDescent="0.25">
      <c r="A2843" s="50" t="s">
        <v>1109</v>
      </c>
      <c r="B2843" s="68" t="str">
        <f>VLOOKUP(A2843,'Componentes APUs'!$H$1:$L$25,2,0)</f>
        <v>Ayudante de Obra Civil</v>
      </c>
      <c r="C2843" s="93">
        <v>1</v>
      </c>
      <c r="D2843" s="50">
        <f>VLOOKUP(A2843,'Componentes APUs'!$H$1:$L$25,3,0)</f>
        <v>1</v>
      </c>
      <c r="E2843" s="51">
        <f>VLOOKUP(A2843,'Componentes APUs'!$H$1:$L$25,4,0)</f>
        <v>77309.523809523816</v>
      </c>
      <c r="F2843" s="51">
        <f>VLOOKUP(A2843,'Componentes APUs'!$H$1:$L$25,5,0)</f>
        <v>46385.71428571429</v>
      </c>
      <c r="G2843" s="51">
        <f>ROUNDUP((E2843+F2843)*C2843/E2827,0)</f>
        <v>247391</v>
      </c>
    </row>
    <row r="2844" spans="1:9" x14ac:dyDescent="0.25">
      <c r="A2844" s="219" t="s">
        <v>56</v>
      </c>
      <c r="B2844" s="219"/>
      <c r="C2844" s="219"/>
      <c r="D2844" s="219"/>
      <c r="E2844" s="219"/>
      <c r="F2844" s="219"/>
      <c r="G2844" s="52">
        <f>SUM(G2838:G2843)</f>
        <v>754049</v>
      </c>
    </row>
    <row r="2845" spans="1:9" x14ac:dyDescent="0.25">
      <c r="A2845" s="56"/>
      <c r="B2845" s="57"/>
      <c r="C2845" s="57"/>
      <c r="D2845" s="57"/>
      <c r="E2845" s="57"/>
      <c r="F2845" s="57"/>
      <c r="G2845" s="58"/>
    </row>
    <row r="2846" spans="1:9" x14ac:dyDescent="0.25">
      <c r="A2846" s="219" t="s">
        <v>57</v>
      </c>
      <c r="B2846" s="219"/>
      <c r="C2846" s="219"/>
      <c r="D2846" s="219"/>
      <c r="E2846" s="219"/>
      <c r="F2846" s="219"/>
      <c r="G2846" s="219"/>
    </row>
    <row r="2847" spans="1:9" x14ac:dyDescent="0.25">
      <c r="A2847" s="49" t="s">
        <v>35</v>
      </c>
      <c r="B2847" s="219" t="s">
        <v>36</v>
      </c>
      <c r="C2847" s="219"/>
      <c r="D2847" s="49" t="s">
        <v>37</v>
      </c>
      <c r="E2847" s="49" t="s">
        <v>38</v>
      </c>
      <c r="F2847" s="49" t="s">
        <v>39</v>
      </c>
      <c r="G2847" s="49" t="s">
        <v>40</v>
      </c>
    </row>
    <row r="2848" spans="1:9" x14ac:dyDescent="0.25">
      <c r="A2848" s="50" t="s">
        <v>326</v>
      </c>
      <c r="B2848" s="220" t="str">
        <f>VLOOKUP(A2848,'Componentes APUs'!$S$1:$V$10,2,0)</f>
        <v>Juego Llaves</v>
      </c>
      <c r="C2848" s="220"/>
      <c r="D2848" s="50" t="s">
        <v>18</v>
      </c>
      <c r="E2848" s="50">
        <v>0</v>
      </c>
      <c r="F2848" s="51">
        <f>VLOOKUP(A2848,'Componentes APUs'!$S$1:$V$10,4,0)</f>
        <v>9167</v>
      </c>
      <c r="G2848" s="51">
        <f>ROUNDUP(F2848*((E2848/21)/E2827),0)</f>
        <v>0</v>
      </c>
      <c r="I2848" s="91"/>
    </row>
    <row r="2849" spans="1:9" x14ac:dyDescent="0.25">
      <c r="A2849" s="50" t="s">
        <v>58</v>
      </c>
      <c r="B2849" s="220" t="str">
        <f>VLOOKUP(A2849,'Componentes APUs'!$S$1:$V$10,2,0)</f>
        <v>Manila de servicio</v>
      </c>
      <c r="C2849" s="220"/>
      <c r="D2849" s="50" t="s">
        <v>18</v>
      </c>
      <c r="E2849" s="50">
        <v>0</v>
      </c>
      <c r="F2849" s="51">
        <f>VLOOKUP(A2849,'Componentes APUs'!$S$1:$V$10,4,0)</f>
        <v>2333</v>
      </c>
      <c r="G2849" s="51">
        <f>ROUNDUP(F2849*((E2849/21)/E2827),0)</f>
        <v>0</v>
      </c>
    </row>
    <row r="2850" spans="1:9" x14ac:dyDescent="0.25">
      <c r="A2850" s="50" t="s">
        <v>327</v>
      </c>
      <c r="B2850" s="220" t="str">
        <f>VLOOKUP(A2850,'Componentes APUs'!$S$1:$V$10,2,0)</f>
        <v>Tula portaherramientas</v>
      </c>
      <c r="C2850" s="220"/>
      <c r="D2850" s="50" t="s">
        <v>18</v>
      </c>
      <c r="E2850" s="50">
        <v>0</v>
      </c>
      <c r="F2850" s="51">
        <f>VLOOKUP(A2850,'Componentes APUs'!$S$1:$V$10,4,0)</f>
        <v>1250</v>
      </c>
      <c r="G2850" s="51">
        <f>ROUNDUP(F2850*((E2850/21)/E2827),0)</f>
        <v>0</v>
      </c>
    </row>
    <row r="2851" spans="1:9" x14ac:dyDescent="0.25">
      <c r="A2851" s="50" t="s">
        <v>60</v>
      </c>
      <c r="B2851" s="220" t="str">
        <f>VLOOKUP(A2851,'Componentes APUs'!$S$1:$V$10,2,0)</f>
        <v>Agarradoras</v>
      </c>
      <c r="C2851" s="220"/>
      <c r="D2851" s="50" t="s">
        <v>18</v>
      </c>
      <c r="E2851" s="50">
        <v>0</v>
      </c>
      <c r="F2851" s="51">
        <f>VLOOKUP(A2851,'Componentes APUs'!$S$1:$V$10,4,0)</f>
        <v>125000</v>
      </c>
      <c r="G2851" s="51">
        <f>ROUNDUP(F2851*((E2851/21)/E2827),0)</f>
        <v>0</v>
      </c>
    </row>
    <row r="2852" spans="1:9" x14ac:dyDescent="0.25">
      <c r="A2852" s="50" t="s">
        <v>62</v>
      </c>
      <c r="B2852" s="220" t="str">
        <f>VLOOKUP(A2852,'Componentes APUs'!$S$1:$V$10,2,0)</f>
        <v>Templadoras</v>
      </c>
      <c r="C2852" s="220"/>
      <c r="D2852" s="50" t="s">
        <v>18</v>
      </c>
      <c r="E2852" s="50">
        <v>0</v>
      </c>
      <c r="F2852" s="51">
        <f>VLOOKUP(A2852,'Componentes APUs'!$S$1:$V$10,4,0)</f>
        <v>250000</v>
      </c>
      <c r="G2852" s="51">
        <f>ROUNDUP(F2852*((E2852/21)/E2827),0)</f>
        <v>0</v>
      </c>
    </row>
    <row r="2853" spans="1:9" x14ac:dyDescent="0.25">
      <c r="A2853" s="50" t="s">
        <v>328</v>
      </c>
      <c r="B2853" s="220" t="str">
        <f>VLOOKUP(A2853,'Componentes APUs'!$S$1:$V$10,2,0)</f>
        <v>Herramienta Menor</v>
      </c>
      <c r="C2853" s="220"/>
      <c r="D2853" s="50" t="s">
        <v>18</v>
      </c>
      <c r="E2853" s="50">
        <v>2</v>
      </c>
      <c r="F2853" s="51">
        <f>VLOOKUP(A2853,'Componentes APUs'!$S$1:$V$10,4,0)</f>
        <v>75758</v>
      </c>
      <c r="G2853" s="51">
        <f>ROUNDUP(F2853*((E2853/21)/E2827),0)</f>
        <v>14431</v>
      </c>
    </row>
    <row r="2854" spans="1:9" x14ac:dyDescent="0.25">
      <c r="A2854" s="219" t="s">
        <v>69</v>
      </c>
      <c r="B2854" s="219"/>
      <c r="C2854" s="219"/>
      <c r="D2854" s="219"/>
      <c r="E2854" s="219"/>
      <c r="F2854" s="219"/>
      <c r="G2854" s="52">
        <f>SUM(G2848:G2853)</f>
        <v>14431</v>
      </c>
    </row>
    <row r="2855" spans="1:9" x14ac:dyDescent="0.25">
      <c r="A2855" s="56"/>
      <c r="B2855" s="57"/>
      <c r="C2855" s="57"/>
      <c r="D2855" s="57"/>
      <c r="E2855" s="57"/>
      <c r="F2855" s="57"/>
      <c r="G2855" s="58"/>
    </row>
    <row r="2856" spans="1:9" x14ac:dyDescent="0.25">
      <c r="A2856" s="219" t="s">
        <v>70</v>
      </c>
      <c r="B2856" s="219"/>
      <c r="C2856" s="219"/>
      <c r="D2856" s="219"/>
      <c r="E2856" s="219"/>
      <c r="F2856" s="219"/>
      <c r="G2856" s="219"/>
    </row>
    <row r="2857" spans="1:9" x14ac:dyDescent="0.25">
      <c r="A2857" s="49" t="s">
        <v>35</v>
      </c>
      <c r="B2857" s="219" t="s">
        <v>36</v>
      </c>
      <c r="C2857" s="219"/>
      <c r="D2857" s="49" t="s">
        <v>37</v>
      </c>
      <c r="E2857" s="49" t="s">
        <v>38</v>
      </c>
      <c r="F2857" s="49" t="s">
        <v>39</v>
      </c>
      <c r="G2857" s="49" t="s">
        <v>40</v>
      </c>
    </row>
    <row r="2858" spans="1:9" x14ac:dyDescent="0.25">
      <c r="A2858" s="50" t="s">
        <v>71</v>
      </c>
      <c r="B2858" s="71" t="str">
        <f>VLOOKUP(A2858,'Componentes APUs'!$A$1:$D$14,2,0)</f>
        <v>Camisa indigo sin partes metalicas</v>
      </c>
      <c r="C2858" s="71"/>
      <c r="D2858" s="50" t="str">
        <f>VLOOKUP(A2858,'Componentes APUs'!$A$1:$D$14,3,0)</f>
        <v>U</v>
      </c>
      <c r="E2858" s="50">
        <f>SUM(C2838:C2843)</f>
        <v>2.25</v>
      </c>
      <c r="F2858" s="51">
        <f>VLOOKUP(A2858,'Componentes APUs'!$A$1:$D$14,4,0)</f>
        <v>8585.8585858585866</v>
      </c>
      <c r="G2858" s="51">
        <f>ROUNDUP(F2858*(E2858/21)/E2827,0)</f>
        <v>1840</v>
      </c>
      <c r="I2858" s="91"/>
    </row>
    <row r="2859" spans="1:9" x14ac:dyDescent="0.25">
      <c r="A2859" s="69" t="s">
        <v>73</v>
      </c>
      <c r="B2859" s="72" t="str">
        <f>VLOOKUP(A2859,'Componentes APUs'!$A$1:$D$14,2,0)</f>
        <v>Bota de seguridad dielectrica</v>
      </c>
      <c r="C2859" s="73"/>
      <c r="D2859" s="70" t="str">
        <f>VLOOKUP(A2859,'Componentes APUs'!$A$1:$D$14,3,0)</f>
        <v>Par</v>
      </c>
      <c r="E2859" s="50">
        <f>SUM(C2838:C2843)</f>
        <v>2.25</v>
      </c>
      <c r="F2859" s="51">
        <f>VLOOKUP(A2859,'Componentes APUs'!$A$1:$D$14,4,0)</f>
        <v>7500</v>
      </c>
      <c r="G2859" s="51">
        <f>ROUNDUP(F2859*(E2859/21)/E2827,0)</f>
        <v>1608</v>
      </c>
    </row>
    <row r="2860" spans="1:9" x14ac:dyDescent="0.25">
      <c r="A2860" s="50" t="s">
        <v>76</v>
      </c>
      <c r="B2860" s="72" t="str">
        <f>VLOOKUP(A2860,'Componentes APUs'!$A$1:$D$14,2,0)</f>
        <v>Casco dielectrico Tipo 1 Clase E con barbuquejo</v>
      </c>
      <c r="C2860" s="73"/>
      <c r="D2860" s="50" t="str">
        <f>VLOOKUP(A2860,'Componentes APUs'!$A$1:$D$14,3,0)</f>
        <v>U</v>
      </c>
      <c r="E2860" s="50">
        <f>C2838+C2839+C2841+C2842+C2843+IF(A2840&lt;&gt;"MO-3",C2840,0)</f>
        <v>2.25</v>
      </c>
      <c r="F2860" s="51">
        <f>VLOOKUP(A2860,'Componentes APUs'!$A$1:$D$14,4,0)</f>
        <v>10101.010101010101</v>
      </c>
      <c r="G2860" s="51">
        <f>ROUNDUP(F2860*(E2860/21)/E2827,0)</f>
        <v>2165</v>
      </c>
    </row>
    <row r="2861" spans="1:9" x14ac:dyDescent="0.25">
      <c r="A2861" s="69" t="s">
        <v>77</v>
      </c>
      <c r="B2861" s="72" t="str">
        <f>VLOOKUP(A2861,'Componentes APUs'!$A$1:$D$14,2,0)</f>
        <v>Correa plastica y antiflama</v>
      </c>
      <c r="C2861" s="73"/>
      <c r="D2861" s="50" t="str">
        <f>VLOOKUP(A2861,'Componentes APUs'!$A$1:$D$14,3,0)</f>
        <v>U</v>
      </c>
      <c r="E2861" s="50">
        <f>SUM(C2838:C2843)</f>
        <v>2.25</v>
      </c>
      <c r="F2861" s="51">
        <f>VLOOKUP(A2861,'Componentes APUs'!$A$1:$D$14,4,0)</f>
        <v>3787.878787878788</v>
      </c>
      <c r="G2861" s="51">
        <f>ROUNDUP(F2861*(E2861/21)/E2827,0)</f>
        <v>812</v>
      </c>
    </row>
    <row r="2862" spans="1:9" x14ac:dyDescent="0.25">
      <c r="A2862" s="50" t="s">
        <v>79</v>
      </c>
      <c r="B2862" s="72" t="str">
        <f>VLOOKUP(A2862,'Componentes APUs'!$A$1:$D$14,2,0)</f>
        <v>Gafas protectoras filtro UV</v>
      </c>
      <c r="C2862" s="73"/>
      <c r="D2862" s="50" t="str">
        <f>VLOOKUP(A2862,'Componentes APUs'!$A$1:$D$14,3,0)</f>
        <v>U</v>
      </c>
      <c r="E2862" s="50">
        <f>SUM(C2838:C2843)</f>
        <v>2.25</v>
      </c>
      <c r="F2862" s="51">
        <f>VLOOKUP(A2862,'Componentes APUs'!$A$1:$D$14,4,0)</f>
        <v>2777.7777777777778</v>
      </c>
      <c r="G2862" s="51">
        <f>ROUNDUP(F2862*(E2862/21)/E2827,0)</f>
        <v>596</v>
      </c>
    </row>
    <row r="2863" spans="1:9" x14ac:dyDescent="0.25">
      <c r="A2863" s="69" t="s">
        <v>402</v>
      </c>
      <c r="B2863" s="72" t="str">
        <f>VLOOKUP(A2863,'Componentes APUs'!$A$1:$D$14,2,0)</f>
        <v>Bota de seguridad PVC dielectrica</v>
      </c>
      <c r="C2863" s="73"/>
      <c r="D2863" s="50" t="str">
        <f>VLOOKUP(A2863,'Componentes APUs'!$A$1:$D$14,3,0)</f>
        <v>Par</v>
      </c>
      <c r="E2863" s="50">
        <f>SUM(C2838:C2843)</f>
        <v>2.25</v>
      </c>
      <c r="F2863" s="51">
        <f>VLOOKUP(A2863,'Componentes APUs'!$A$1:$D$14,4,0)</f>
        <v>2916.6666666666665</v>
      </c>
      <c r="G2863" s="51">
        <f>ROUNDUP(F2863*(E2863/21)/E2827,0)</f>
        <v>625</v>
      </c>
    </row>
    <row r="2864" spans="1:9" x14ac:dyDescent="0.25">
      <c r="A2864" s="50" t="s">
        <v>403</v>
      </c>
      <c r="B2864" s="72" t="str">
        <f>VLOOKUP(A2864,'Componentes APUs'!$A$1:$D$14,2,0)</f>
        <v>Capuchon</v>
      </c>
      <c r="C2864" s="73"/>
      <c r="D2864" s="50" t="str">
        <f>VLOOKUP(A2864,'Componentes APUs'!$A$1:$D$14,3,0)</f>
        <v>U</v>
      </c>
      <c r="E2864" s="50">
        <f>SUM(C2838:C2843)</f>
        <v>2.25</v>
      </c>
      <c r="F2864" s="51">
        <f>VLOOKUP(A2864,'Componentes APUs'!$A$1:$D$14,4,0)</f>
        <v>2525.2525252525252</v>
      </c>
      <c r="G2864" s="51">
        <f>ROUNDUP(F2864*(E2864/21)/E2827,0)</f>
        <v>542</v>
      </c>
    </row>
    <row r="2865" spans="1:7" x14ac:dyDescent="0.25">
      <c r="A2865" s="69" t="s">
        <v>81</v>
      </c>
      <c r="B2865" s="72" t="str">
        <f>VLOOKUP(A2865,'Componentes APUs'!$A$1:$D$14,2,0)</f>
        <v>Guantes Protectores  - ingeniero reforzados</v>
      </c>
      <c r="C2865" s="73"/>
      <c r="D2865" s="50" t="str">
        <f>VLOOKUP(A2865,'Componentes APUs'!$A$1:$D$14,3,0)</f>
        <v>Par</v>
      </c>
      <c r="E2865" s="50">
        <f>C2840+C2841+C2843</f>
        <v>2</v>
      </c>
      <c r="F2865" s="51">
        <f>VLOOKUP(A2865,'Componentes APUs'!$A$1:$D$14,4,0)</f>
        <v>2525.2525252525252</v>
      </c>
      <c r="G2865" s="51">
        <f>ROUNDUP(F2865*(E2865/21)/E2827,0)</f>
        <v>482</v>
      </c>
    </row>
    <row r="2866" spans="1:7" x14ac:dyDescent="0.25">
      <c r="A2866" s="50" t="s">
        <v>83</v>
      </c>
      <c r="B2866" s="72" t="str">
        <f>VLOOKUP(A2866,'Componentes APUs'!$A$1:$D$14,2,0)</f>
        <v>Impermeable (pantalon camisa)</v>
      </c>
      <c r="C2866" s="73"/>
      <c r="D2866" s="50" t="str">
        <f>VLOOKUP(A2866,'Componentes APUs'!$A$1:$D$14,3,0)</f>
        <v>U</v>
      </c>
      <c r="E2866" s="50">
        <f>SUM(C2838:C2843)</f>
        <v>2.25</v>
      </c>
      <c r="F2866" s="51">
        <f>VLOOKUP(A2866,'Componentes APUs'!$A$1:$D$14,4,0)</f>
        <v>3750</v>
      </c>
      <c r="G2866" s="51">
        <f>ROUNDUP(F2866*(E2866/21)/E2827,0)</f>
        <v>804</v>
      </c>
    </row>
    <row r="2867" spans="1:7" x14ac:dyDescent="0.25">
      <c r="A2867" s="69" t="s">
        <v>85</v>
      </c>
      <c r="B2867" s="72" t="str">
        <f>VLOOKUP(A2867,'Componentes APUs'!$A$1:$D$14,2,0)</f>
        <v>Jean Dielectrico</v>
      </c>
      <c r="C2867" s="73"/>
      <c r="D2867" s="50" t="str">
        <f>VLOOKUP(A2867,'Componentes APUs'!$A$1:$D$14,3,0)</f>
        <v>U</v>
      </c>
      <c r="E2867" s="50">
        <f>SUM(C2838:C2843)</f>
        <v>2.25</v>
      </c>
      <c r="F2867" s="51">
        <f>VLOOKUP(A2867,'Componentes APUs'!$A$1:$D$14,4,0)</f>
        <v>7575.757575757576</v>
      </c>
      <c r="G2867" s="51">
        <f>ROUNDUP(F2867*(E2867/21)/E2827,0)</f>
        <v>1624</v>
      </c>
    </row>
    <row r="2868" spans="1:7" x14ac:dyDescent="0.25">
      <c r="A2868" s="50" t="s">
        <v>87</v>
      </c>
      <c r="B2868" s="72" t="str">
        <f>VLOOKUP(A2868,'Componentes APUs'!$A$1:$D$14,2,0)</f>
        <v>Casco dielectrico Tipo 2 Clase E con barboquejo</v>
      </c>
      <c r="C2868" s="73"/>
      <c r="D2868" s="50" t="str">
        <f>VLOOKUP(A2868,'Componentes APUs'!$A$1:$D$14,3,0)</f>
        <v>U</v>
      </c>
      <c r="E2868" s="53">
        <f>IF(A2840="MO-3",C2840,0)</f>
        <v>0</v>
      </c>
      <c r="F2868" s="51">
        <f>VLOOKUP(A2868,'Componentes APUs'!$A$1:$D$14,4,0)</f>
        <v>7500</v>
      </c>
      <c r="G2868" s="51">
        <f>ROUNDUP(F2868*(E2868/21)/E2827,0)</f>
        <v>0</v>
      </c>
    </row>
    <row r="2869" spans="1:7" x14ac:dyDescent="0.25">
      <c r="A2869" s="69" t="s">
        <v>89</v>
      </c>
      <c r="B2869" s="72" t="str">
        <f>VLOOKUP(A2869,'Componentes APUs'!$A$1:$D$14,2,0)</f>
        <v>Kit de rescate para trabajo en alturas</v>
      </c>
      <c r="C2869" s="73"/>
      <c r="D2869" s="50" t="str">
        <f>VLOOKUP(A2869,'Componentes APUs'!$A$1:$D$14,3,0)</f>
        <v>U</v>
      </c>
      <c r="E2869" s="50">
        <f>IF(AND(A2840="MO-3",C2840=2),1,0)</f>
        <v>0</v>
      </c>
      <c r="F2869" s="51">
        <f>VLOOKUP(A2869,'Componentes APUs'!$A$1:$D$14,4,0)</f>
        <v>37500</v>
      </c>
      <c r="G2869" s="51">
        <f>ROUNDUP(F2869*(E2869/21)/E2827,0)</f>
        <v>0</v>
      </c>
    </row>
    <row r="2870" spans="1:7" x14ac:dyDescent="0.25">
      <c r="A2870" s="50" t="s">
        <v>91</v>
      </c>
      <c r="B2870" s="72" t="str">
        <f>VLOOKUP(A2870,'Componentes APUs'!$A$1:$D$14,2,0)</f>
        <v>Equipo completo para trabajo en alturas con pretales (Arnes dielectrico, 1 mosqueton de seguridad, tie off dielectrico, eslinga de posicionamiento, juego de pretales)</v>
      </c>
      <c r="C2870" s="73"/>
      <c r="D2870" s="50" t="str">
        <f>VLOOKUP(A2870,'Componentes APUs'!$A$1:$D$14,3,0)</f>
        <v>U</v>
      </c>
      <c r="E2870" s="50">
        <f>IF(A2840="MO-3",C2840,0)</f>
        <v>0</v>
      </c>
      <c r="F2870" s="51">
        <f>VLOOKUP(A2870,'Componentes APUs'!$A$1:$D$14,4,0)</f>
        <v>26041.666666666668</v>
      </c>
      <c r="G2870" s="51">
        <f>ROUNDUP(F2870*(E2870/21)/E2827,0)</f>
        <v>0</v>
      </c>
    </row>
    <row r="2871" spans="1:7" x14ac:dyDescent="0.25">
      <c r="A2871" s="219" t="s">
        <v>95</v>
      </c>
      <c r="B2871" s="219"/>
      <c r="C2871" s="219"/>
      <c r="D2871" s="219"/>
      <c r="E2871" s="219"/>
      <c r="F2871" s="219"/>
      <c r="G2871" s="52">
        <f>SUM(G2858:G2870)</f>
        <v>11098</v>
      </c>
    </row>
    <row r="2872" spans="1:7" x14ac:dyDescent="0.25">
      <c r="A2872" s="56"/>
      <c r="B2872" s="57"/>
      <c r="C2872" s="57"/>
      <c r="D2872" s="57"/>
      <c r="E2872" s="57"/>
      <c r="F2872" s="57"/>
      <c r="G2872" s="58"/>
    </row>
    <row r="2873" spans="1:7" x14ac:dyDescent="0.25">
      <c r="A2873" s="219" t="s">
        <v>96</v>
      </c>
      <c r="B2873" s="219"/>
      <c r="C2873" s="219"/>
      <c r="D2873" s="219"/>
      <c r="E2873" s="219"/>
      <c r="F2873" s="219"/>
      <c r="G2873" s="219"/>
    </row>
    <row r="2874" spans="1:7" x14ac:dyDescent="0.25">
      <c r="A2874" s="49" t="s">
        <v>35</v>
      </c>
      <c r="B2874" s="225" t="s">
        <v>36</v>
      </c>
      <c r="C2874" s="225"/>
      <c r="D2874" s="49" t="s">
        <v>37</v>
      </c>
      <c r="E2874" s="49" t="s">
        <v>38</v>
      </c>
      <c r="F2874" s="49" t="s">
        <v>39</v>
      </c>
      <c r="G2874" s="49" t="s">
        <v>40</v>
      </c>
    </row>
    <row r="2875" spans="1:7" x14ac:dyDescent="0.25">
      <c r="A2875" s="69" t="s">
        <v>97</v>
      </c>
      <c r="B2875" s="72" t="str">
        <f>VLOOKUP(A2875,'Componentes APUs'!$N$1:$Q$30,2,0)</f>
        <v>Camioneta</v>
      </c>
      <c r="C2875" s="73"/>
      <c r="D2875" s="70" t="str">
        <f>VLOOKUP(A2875,'Componentes APUs'!$N$1:$Q$30,3,0)</f>
        <v>U</v>
      </c>
      <c r="E2875" s="50">
        <v>1</v>
      </c>
      <c r="F2875" s="51">
        <f>VLOOKUP(A2875,'Componentes APUs'!$N$1:$Q$30,4,0)</f>
        <v>5500000</v>
      </c>
      <c r="G2875" s="51">
        <f>IFERROR(ROUNDUP(F2875*(E2875/21)/E2827,0),"-")</f>
        <v>523810</v>
      </c>
    </row>
    <row r="2876" spans="1:7" x14ac:dyDescent="0.25">
      <c r="A2876" s="50" t="s">
        <v>1473</v>
      </c>
      <c r="B2876" s="72" t="str">
        <f>VLOOKUP(A2876,'Componentes APUs'!$N$1:$Q$30,2,0)</f>
        <v>Concretera</v>
      </c>
      <c r="C2876" s="73"/>
      <c r="D2876" s="70" t="str">
        <f>VLOOKUP(A2876,'Componentes APUs'!$N$1:$Q$30,3,0)</f>
        <v>U</v>
      </c>
      <c r="E2876" s="50">
        <v>1</v>
      </c>
      <c r="F2876" s="51">
        <f>VLOOKUP(A2876,'Componentes APUs'!$N$1:$Q$30,4,0)</f>
        <v>550704</v>
      </c>
      <c r="G2876" s="51">
        <f>IFERROR(ROUNDUP(F2876*(E2876/21)/E2827,0),"-")</f>
        <v>52448</v>
      </c>
    </row>
    <row r="2877" spans="1:7" x14ac:dyDescent="0.25">
      <c r="A2877" s="69" t="s">
        <v>1379</v>
      </c>
      <c r="B2877" s="72" t="str">
        <f>VLOOKUP(A2877,'Componentes APUs'!$N$1:$Q$30,2,0)</f>
        <v>Dumper de descarga Frontal 2T</v>
      </c>
      <c r="C2877" s="73"/>
      <c r="D2877" s="70" t="str">
        <f>VLOOKUP(A2877,'Componentes APUs'!$N$1:$Q$30,3,0)</f>
        <v>U</v>
      </c>
      <c r="E2877" s="50">
        <v>0</v>
      </c>
      <c r="F2877" s="51">
        <f>VLOOKUP(A2877,'Componentes APUs'!$N$1:$Q$30,4,0)</f>
        <v>4438716.24</v>
      </c>
      <c r="G2877" s="51">
        <f>IFERROR(ROUNDUP(F2877*(E2877/21)/E2827,0),"-")</f>
        <v>0</v>
      </c>
    </row>
    <row r="2878" spans="1:7" x14ac:dyDescent="0.25">
      <c r="A2878" s="50" t="s">
        <v>323</v>
      </c>
      <c r="B2878" s="72" t="str">
        <f>VLOOKUP(A2878,'Componentes APUs'!$N$1:$Q$30,2,0)</f>
        <v>Volqueta</v>
      </c>
      <c r="C2878" s="73"/>
      <c r="D2878" s="70" t="str">
        <f>VLOOKUP(A2878,'Componentes APUs'!$N$1:$Q$30,3,0)</f>
        <v>U</v>
      </c>
      <c r="E2878" s="50">
        <v>0</v>
      </c>
      <c r="F2878" s="51">
        <f>VLOOKUP(A2878,'Componentes APUs'!$N$1:$Q$30,4,0)</f>
        <v>14828184</v>
      </c>
      <c r="G2878" s="51">
        <f>IFERROR(ROUNDUP(F2878*(E2878/21)/E2827,0),"-")</f>
        <v>0</v>
      </c>
    </row>
    <row r="2879" spans="1:7" x14ac:dyDescent="0.25">
      <c r="A2879" s="69" t="s">
        <v>324</v>
      </c>
      <c r="B2879" s="72" t="str">
        <f>VLOOKUP(A2879,'Componentes APUs'!$N$1:$Q$30,2,0)</f>
        <v>Retroexcavadora</v>
      </c>
      <c r="C2879" s="73"/>
      <c r="D2879" s="70" t="str">
        <f>VLOOKUP(A2879,'Componentes APUs'!$N$1:$Q$30,3,0)</f>
        <v>U</v>
      </c>
      <c r="E2879" s="50">
        <v>0</v>
      </c>
      <c r="F2879" s="51">
        <f>VLOOKUP(A2879,'Componentes APUs'!$N$1:$Q$30,4,0)</f>
        <v>46030656</v>
      </c>
      <c r="G2879" s="51">
        <f>IFERROR(ROUNDUP(F2879*(E2879/21)/E2827,0),"-")</f>
        <v>0</v>
      </c>
    </row>
    <row r="2880" spans="1:7" x14ac:dyDescent="0.25">
      <c r="A2880" s="219" t="s">
        <v>99</v>
      </c>
      <c r="B2880" s="219"/>
      <c r="C2880" s="219"/>
      <c r="D2880" s="219"/>
      <c r="E2880" s="219"/>
      <c r="F2880" s="219"/>
      <c r="G2880" s="52">
        <f>SUM(G2875:G2879)</f>
        <v>576258</v>
      </c>
    </row>
    <row r="2881" spans="1:8" x14ac:dyDescent="0.25">
      <c r="A2881" s="56"/>
      <c r="B2881" s="57"/>
      <c r="C2881" s="57"/>
      <c r="D2881" s="57"/>
      <c r="E2881" s="57"/>
      <c r="F2881" s="57"/>
      <c r="G2881" s="58"/>
    </row>
    <row r="2882" spans="1:8" x14ac:dyDescent="0.25">
      <c r="A2882" s="219" t="s">
        <v>1516</v>
      </c>
      <c r="B2882" s="219"/>
      <c r="C2882" s="219"/>
      <c r="D2882" s="219"/>
      <c r="E2882" s="219"/>
      <c r="F2882" s="219"/>
      <c r="G2882" s="52">
        <f>G2880+G2871+G2854+G2844+G2834</f>
        <v>10539740</v>
      </c>
    </row>
    <row r="2883" spans="1:8" x14ac:dyDescent="0.25">
      <c r="A2883" s="59"/>
      <c r="B2883" s="60"/>
      <c r="C2883" s="60"/>
      <c r="D2883" s="60"/>
      <c r="E2883" s="57"/>
      <c r="F2883" s="57"/>
      <c r="G2883" s="58"/>
    </row>
    <row r="2884" spans="1:8" x14ac:dyDescent="0.25">
      <c r="A2884" s="64"/>
      <c r="D2884" s="55"/>
      <c r="E2884" s="49" t="s">
        <v>25</v>
      </c>
      <c r="F2884" s="54">
        <v>0.15</v>
      </c>
      <c r="G2884" s="51">
        <f>G2882*F2884</f>
        <v>1580961</v>
      </c>
    </row>
    <row r="2885" spans="1:8" x14ac:dyDescent="0.25">
      <c r="A2885" s="64"/>
      <c r="D2885" s="55"/>
      <c r="E2885" s="49" t="s">
        <v>26</v>
      </c>
      <c r="F2885" s="54">
        <v>0.05</v>
      </c>
      <c r="G2885" s="51">
        <f>G2882*F2885</f>
        <v>526987</v>
      </c>
    </row>
    <row r="2886" spans="1:8" x14ac:dyDescent="0.25">
      <c r="A2886" s="61"/>
      <c r="B2886" s="65"/>
      <c r="C2886" s="65"/>
      <c r="D2886" s="62"/>
      <c r="E2886" s="49" t="s">
        <v>27</v>
      </c>
      <c r="F2886" s="54">
        <v>0.05</v>
      </c>
      <c r="G2886" s="51">
        <f>G2882*F2886</f>
        <v>526987</v>
      </c>
    </row>
    <row r="2887" spans="1:8" x14ac:dyDescent="0.25">
      <c r="A2887" s="61"/>
      <c r="B2887" s="62"/>
      <c r="C2887" s="62"/>
      <c r="D2887" s="62"/>
      <c r="E2887" s="62"/>
      <c r="F2887" s="62"/>
      <c r="G2887" s="63"/>
    </row>
    <row r="2888" spans="1:8" x14ac:dyDescent="0.25">
      <c r="A2888" s="219" t="s">
        <v>1517</v>
      </c>
      <c r="B2888" s="219"/>
      <c r="C2888" s="219"/>
      <c r="D2888" s="219"/>
      <c r="E2888" s="219"/>
      <c r="F2888" s="219"/>
      <c r="G2888" s="52">
        <f>G2882+G2884+G2885+G2886</f>
        <v>13174675</v>
      </c>
    </row>
    <row r="2889" spans="1:8" x14ac:dyDescent="0.25">
      <c r="A2889" s="59"/>
      <c r="B2889" s="60"/>
      <c r="C2889" s="60"/>
      <c r="D2889" s="60"/>
      <c r="E2889" s="57"/>
      <c r="F2889" s="57"/>
      <c r="G2889" s="58"/>
    </row>
    <row r="2890" spans="1:8" x14ac:dyDescent="0.25">
      <c r="A2890" s="64"/>
      <c r="D2890" s="55"/>
      <c r="E2890" s="49" t="s">
        <v>102</v>
      </c>
      <c r="F2890" s="49" t="s">
        <v>103</v>
      </c>
      <c r="G2890" s="51">
        <f>G2886*19%</f>
        <v>100127.53</v>
      </c>
    </row>
    <row r="2891" spans="1:8" x14ac:dyDescent="0.25">
      <c r="A2891" s="61"/>
      <c r="B2891" s="62"/>
      <c r="C2891" s="62"/>
      <c r="D2891" s="62"/>
      <c r="E2891" s="57"/>
      <c r="F2891" s="57"/>
      <c r="G2891" s="58"/>
    </row>
    <row r="2892" spans="1:8" x14ac:dyDescent="0.25">
      <c r="A2892" s="219" t="s">
        <v>104</v>
      </c>
      <c r="B2892" s="219"/>
      <c r="C2892" s="219"/>
      <c r="D2892" s="219"/>
      <c r="E2892" s="219"/>
      <c r="F2892" s="219"/>
      <c r="G2892" s="52">
        <f>G2890+G2888</f>
        <v>13274802.529999999</v>
      </c>
    </row>
    <row r="2894" spans="1:8" x14ac:dyDescent="0.25">
      <c r="A2894" s="74" t="s">
        <v>29</v>
      </c>
      <c r="B2894" s="226" t="s">
        <v>30</v>
      </c>
      <c r="C2894" s="226"/>
      <c r="D2894" s="74" t="s">
        <v>31</v>
      </c>
      <c r="E2894" s="74" t="s">
        <v>32</v>
      </c>
      <c r="F2894" s="74" t="s">
        <v>189</v>
      </c>
      <c r="G2894" s="74" t="s">
        <v>33</v>
      </c>
      <c r="H2894" s="105"/>
    </row>
    <row r="2895" spans="1:8" ht="30" customHeight="1" x14ac:dyDescent="0.25">
      <c r="A2895" s="50" t="str">
        <f>Presupuesto!B56</f>
        <v>044_OC</v>
      </c>
      <c r="B2895" s="229" t="str">
        <f>Presupuesto!C56</f>
        <v>SUMIDERO VERTICAL SEGÚN (NORMA EPM, NC-AS-IL02-17/NEGC 818-01)</v>
      </c>
      <c r="C2895" s="230"/>
      <c r="D2895" s="50" t="s">
        <v>18</v>
      </c>
      <c r="E2895" s="107">
        <v>0.5</v>
      </c>
      <c r="F2895" s="50"/>
      <c r="G2895" s="51">
        <f>G2962</f>
        <v>7433741.5514999991</v>
      </c>
      <c r="H2895" s="45"/>
    </row>
    <row r="2896" spans="1:8" x14ac:dyDescent="0.25">
      <c r="A2896" s="219" t="s">
        <v>34</v>
      </c>
      <c r="B2896" s="219"/>
      <c r="C2896" s="219"/>
      <c r="D2896" s="219"/>
      <c r="E2896" s="219"/>
      <c r="F2896" s="219"/>
      <c r="G2896" s="219"/>
    </row>
    <row r="2897" spans="1:9" x14ac:dyDescent="0.25">
      <c r="A2897" s="49" t="s">
        <v>35</v>
      </c>
      <c r="B2897" s="219" t="s">
        <v>36</v>
      </c>
      <c r="C2897" s="219"/>
      <c r="D2897" s="49" t="s">
        <v>37</v>
      </c>
      <c r="E2897" s="49" t="s">
        <v>38</v>
      </c>
      <c r="F2897" s="49" t="s">
        <v>39</v>
      </c>
      <c r="G2897" s="49" t="s">
        <v>40</v>
      </c>
    </row>
    <row r="2898" spans="1:9" x14ac:dyDescent="0.25">
      <c r="A2898" s="50" t="str">
        <f>Material!A460</f>
        <v>MA-459</v>
      </c>
      <c r="B2898" s="72" t="str">
        <f>IFERROR(VLOOKUP(A2898,Material!$A:$H,2,0),"-")</f>
        <v>CONCRETO 4000 PSI</v>
      </c>
      <c r="C2898" s="76"/>
      <c r="D2898" s="50" t="str">
        <f>IFERROR(VLOOKUP(A2898,Material!$A:$H,4,0),"-")</f>
        <v>M3</v>
      </c>
      <c r="E2898" s="107">
        <f>1.65*0.2+(1.65-0.77)*1.3+(1.65-0.66)*0.15</f>
        <v>1.6225000000000001</v>
      </c>
      <c r="F2898" s="51">
        <f>IFERROR(VLOOKUP(A2898,Material!$A:$H,3,0),"-")</f>
        <v>813410.53161779384</v>
      </c>
      <c r="G2898" s="51">
        <f t="shared" ref="G2898" si="40">IFERROR(ROUNDUP(F2898*E2898,0),"-")</f>
        <v>1319759</v>
      </c>
      <c r="H2898" s="106"/>
    </row>
    <row r="2899" spans="1:9" x14ac:dyDescent="0.25">
      <c r="A2899" s="50" t="str">
        <f>Material!A604</f>
        <v>MA-603</v>
      </c>
      <c r="B2899" s="72" t="str">
        <f>IFERROR(VLOOKUP(A2899,Material!$A:$H,2,0),"-")</f>
        <v>ACERO Fy= 240 MPa</v>
      </c>
      <c r="C2899" s="76"/>
      <c r="D2899" s="50" t="str">
        <f>IFERROR(VLOOKUP(A2899,Material!$A:$H,4,0),"-")</f>
        <v>KG</v>
      </c>
      <c r="E2899" s="53">
        <f>200*E2898</f>
        <v>324.5</v>
      </c>
      <c r="F2899" s="51">
        <f>IFERROR(VLOOKUP(A2899,Material!$A:$H,3,0),"-")</f>
        <v>7341.1</v>
      </c>
      <c r="G2899" s="51">
        <f>IFERROR(ROUNDUP(F2899*E2899,0),"-")</f>
        <v>2382187</v>
      </c>
      <c r="H2899" s="106"/>
    </row>
    <row r="2900" spans="1:9" x14ac:dyDescent="0.25">
      <c r="A2900" s="50" t="str">
        <f>Material!A482</f>
        <v>MA-481</v>
      </c>
      <c r="B2900" s="72" t="str">
        <f>IFERROR(VLOOKUP(A2900,Material!$A:$H,2,0),"-")</f>
        <v>REJILLA DE ACERO GALVANIZADO 1M</v>
      </c>
      <c r="C2900" s="76"/>
      <c r="D2900" s="50" t="str">
        <f>IFERROR(VLOOKUP(A2900,Material!$A:$H,4,0),"-")</f>
        <v>UN</v>
      </c>
      <c r="E2900" s="107">
        <v>1</v>
      </c>
      <c r="F2900" s="51">
        <f>IFERROR(VLOOKUP(A2900,Material!$A:$H,3,0),"-")</f>
        <v>114635.3</v>
      </c>
      <c r="G2900" s="51">
        <f t="shared" ref="G2900:G2903" si="41">IFERROR(ROUNDUP(F2900*E2900,0),"-")</f>
        <v>114636</v>
      </c>
      <c r="H2900" s="92"/>
    </row>
    <row r="2901" spans="1:9" x14ac:dyDescent="0.25">
      <c r="A2901" s="50" t="str">
        <f>Material!A483</f>
        <v>MA-482</v>
      </c>
      <c r="B2901" s="72" t="str">
        <f>IFERROR(VLOOKUP(A2901,Material!$A:$H,2,0),"-")</f>
        <v>TAPA PARA SUMIDERO</v>
      </c>
      <c r="C2901" s="76"/>
      <c r="D2901" s="50" t="str">
        <f>IFERROR(VLOOKUP(A2901,Material!$A:$H,4,0),"-")</f>
        <v>UN</v>
      </c>
      <c r="E2901" s="107">
        <v>2</v>
      </c>
      <c r="F2901" s="51">
        <f>IFERROR(VLOOKUP(A2901,Material!$A:$H,3,0),"-")</f>
        <v>195000</v>
      </c>
      <c r="G2901" s="51">
        <f t="shared" si="41"/>
        <v>390000</v>
      </c>
      <c r="H2901" s="106"/>
    </row>
    <row r="2902" spans="1:9" x14ac:dyDescent="0.25">
      <c r="A2902" s="50" t="str">
        <f>Material!A218</f>
        <v>MA-217</v>
      </c>
      <c r="B2902" s="72" t="str">
        <f>IFERROR(VLOOKUP(A2902,Material!$A:$H,2,0),"-")</f>
        <v>FORMALETA EN MADERA CON TABLA DE 1"</v>
      </c>
      <c r="C2902" s="76"/>
      <c r="D2902" s="50" t="str">
        <f>IFERROR(VLOOKUP(A2902,Material!$A:$H,4,0),"-")</f>
        <v>M2</v>
      </c>
      <c r="E2902" s="107">
        <f>3.6*1.5+1.65</f>
        <v>7.0500000000000007</v>
      </c>
      <c r="F2902" s="51">
        <f>IFERROR(VLOOKUP(A2902,Material!$A:$H,3,0),"-")</f>
        <v>24691.116165303549</v>
      </c>
      <c r="G2902" s="51">
        <f t="shared" si="41"/>
        <v>174073</v>
      </c>
      <c r="H2902" s="106"/>
    </row>
    <row r="2903" spans="1:9" x14ac:dyDescent="0.25">
      <c r="A2903" s="50"/>
      <c r="B2903" s="72" t="str">
        <f>IFERROR(VLOOKUP(A2903,Material!$A:$H,2,0),"-")</f>
        <v>-</v>
      </c>
      <c r="C2903" s="76"/>
      <c r="D2903" s="50" t="str">
        <f>IFERROR(VLOOKUP(A2903,Material!$A:$H,4,0),"-")</f>
        <v>-</v>
      </c>
      <c r="E2903" s="107"/>
      <c r="F2903" s="51" t="str">
        <f>IFERROR(VLOOKUP(A2903,Material!$A:$H,3,0),"-")</f>
        <v>-</v>
      </c>
      <c r="G2903" s="51" t="str">
        <f t="shared" si="41"/>
        <v>-</v>
      </c>
      <c r="H2903" s="106"/>
    </row>
    <row r="2904" spans="1:9" x14ac:dyDescent="0.25">
      <c r="A2904" s="219" t="s">
        <v>41</v>
      </c>
      <c r="B2904" s="219"/>
      <c r="C2904" s="219"/>
      <c r="D2904" s="219"/>
      <c r="E2904" s="219"/>
      <c r="F2904" s="219"/>
      <c r="G2904" s="52">
        <f>SUM(G2898:G2903)</f>
        <v>4380655</v>
      </c>
      <c r="I2904" s="104"/>
    </row>
    <row r="2905" spans="1:9" x14ac:dyDescent="0.25">
      <c r="A2905" s="56"/>
      <c r="B2905" s="57"/>
      <c r="C2905" s="57"/>
      <c r="D2905" s="57"/>
      <c r="E2905" s="57"/>
      <c r="F2905" s="57"/>
      <c r="G2905" s="58"/>
    </row>
    <row r="2906" spans="1:9" x14ac:dyDescent="0.25">
      <c r="A2906" s="219" t="s">
        <v>42</v>
      </c>
      <c r="B2906" s="219"/>
      <c r="C2906" s="219"/>
      <c r="D2906" s="219"/>
      <c r="E2906" s="219"/>
      <c r="F2906" s="219"/>
      <c r="G2906" s="219"/>
    </row>
    <row r="2907" spans="1:9" x14ac:dyDescent="0.25">
      <c r="A2907" s="49" t="s">
        <v>35</v>
      </c>
      <c r="B2907" s="49" t="s">
        <v>36</v>
      </c>
      <c r="C2907" s="49" t="s">
        <v>38</v>
      </c>
      <c r="D2907" s="49" t="s">
        <v>43</v>
      </c>
      <c r="E2907" s="49" t="s">
        <v>44</v>
      </c>
      <c r="F2907" s="49" t="s">
        <v>45</v>
      </c>
      <c r="G2907" s="49" t="s">
        <v>40</v>
      </c>
    </row>
    <row r="2908" spans="1:9" x14ac:dyDescent="0.25">
      <c r="A2908" s="50" t="s">
        <v>319</v>
      </c>
      <c r="B2908" s="68" t="str">
        <f>VLOOKUP(A2908,'Componentes APUs'!$H$1:$L$25,2,0)</f>
        <v>Ingeniero Residente de Obra</v>
      </c>
      <c r="C2908" s="93">
        <v>0.25</v>
      </c>
      <c r="D2908" s="50">
        <f>VLOOKUP(A2908,'Componentes APUs'!$H$1:$L$25,3,0)</f>
        <v>4</v>
      </c>
      <c r="E2908" s="51">
        <f>VLOOKUP(A2908,'Componentes APUs'!$H$1:$L$25,4,0)</f>
        <v>271142.85714285716</v>
      </c>
      <c r="F2908" s="51">
        <f>VLOOKUP(A2908,'Componentes APUs'!$H$1:$L$25,5,0)</f>
        <v>162685.71428571429</v>
      </c>
      <c r="G2908" s="51">
        <f>ROUNDUP((E2908+F2908)*C2908/E2895,0)</f>
        <v>216915</v>
      </c>
      <c r="H2908" s="66"/>
    </row>
    <row r="2909" spans="1:9" x14ac:dyDescent="0.25">
      <c r="A2909" s="50" t="s">
        <v>320</v>
      </c>
      <c r="B2909" s="68" t="str">
        <f>VLOOKUP(A2909,'Componentes APUs'!$H$1:$L$25,2,0)</f>
        <v>Tecnico Supervisor</v>
      </c>
      <c r="C2909" s="93">
        <v>0</v>
      </c>
      <c r="D2909" s="50">
        <f>VLOOKUP(A2909,'Componentes APUs'!$H$1:$L$25,3,0)</f>
        <v>2.2999999999999998</v>
      </c>
      <c r="E2909" s="51">
        <f>VLOOKUP(A2909,'Componentes APUs'!$H$1:$L$25,4,0)</f>
        <v>155907.14285714284</v>
      </c>
      <c r="F2909" s="51">
        <f>VLOOKUP(A2909,'Componentes APUs'!$H$1:$L$25,5,0)</f>
        <v>93544.285714285696</v>
      </c>
      <c r="G2909" s="51">
        <f>ROUNDUP((E2909+F2909)*C2909/E2895,0)</f>
        <v>0</v>
      </c>
    </row>
    <row r="2910" spans="1:9" x14ac:dyDescent="0.25">
      <c r="A2910" s="50" t="s">
        <v>54</v>
      </c>
      <c r="B2910" s="68" t="str">
        <f>VLOOKUP(A2910,'Componentes APUs'!$H$1:$L$25,2,0)</f>
        <v>Maestro de obra civil</v>
      </c>
      <c r="C2910" s="93">
        <v>0</v>
      </c>
      <c r="D2910" s="50">
        <f>VLOOKUP(A2910,'Componentes APUs'!$H$1:$L$25,3,0)</f>
        <v>2.5</v>
      </c>
      <c r="E2910" s="51">
        <f>VLOOKUP(A2910,'Componentes APUs'!$H$1:$L$25,4,0)</f>
        <v>169464.28571428571</v>
      </c>
      <c r="F2910" s="51">
        <f>VLOOKUP(A2910,'Componentes APUs'!$H$1:$L$25,5,0)</f>
        <v>101678.57142857142</v>
      </c>
      <c r="G2910" s="51">
        <f>ROUNDUP((E2910+F2910)*C2910/E2895,0)</f>
        <v>0</v>
      </c>
    </row>
    <row r="2911" spans="1:9" x14ac:dyDescent="0.25">
      <c r="A2911" s="50" t="s">
        <v>1110</v>
      </c>
      <c r="B2911" s="68" t="str">
        <f>VLOOKUP(A2911,'Componentes APUs'!$H$1:$L$25,2,0)</f>
        <v>Oficial de Obra Civil</v>
      </c>
      <c r="C2911" s="93">
        <v>1</v>
      </c>
      <c r="D2911" s="50">
        <f>VLOOKUP(A2911,'Componentes APUs'!$H$1:$L$25,3,0)</f>
        <v>1.5</v>
      </c>
      <c r="E2911" s="51">
        <f>VLOOKUP(A2911,'Componentes APUs'!$H$1:$L$25,4,0)</f>
        <v>115964.28571428571</v>
      </c>
      <c r="F2911" s="51">
        <f>VLOOKUP(A2911,'Componentes APUs'!$H$1:$L$25,5,0)</f>
        <v>69578.57142857142</v>
      </c>
      <c r="G2911" s="51">
        <f>ROUNDUP((E2911+F2911)*C2911/E2895,0)</f>
        <v>371086</v>
      </c>
    </row>
    <row r="2912" spans="1:9" x14ac:dyDescent="0.25">
      <c r="A2912" s="50" t="s">
        <v>50</v>
      </c>
      <c r="B2912" s="68" t="str">
        <f>VLOOKUP(A2912,'Componentes APUs'!$H$1:$L$25,2,0)</f>
        <v>Profesional en SST</v>
      </c>
      <c r="C2912" s="93">
        <v>0.25</v>
      </c>
      <c r="D2912" s="50">
        <f>VLOOKUP(A2912,'Componentes APUs'!$H$1:$L$25,3,0)</f>
        <v>2.5</v>
      </c>
      <c r="E2912" s="51">
        <f>VLOOKUP(A2912,'Componentes APUs'!$H$1:$L$25,4,0)</f>
        <v>169464.28571428571</v>
      </c>
      <c r="F2912" s="51">
        <f>VLOOKUP(A2912,'Componentes APUs'!$H$1:$L$25,5,0)</f>
        <v>101678.57142857142</v>
      </c>
      <c r="G2912" s="51">
        <f>ROUNDUP((E2912+F2912)*C2912/E2895,0)</f>
        <v>135572</v>
      </c>
    </row>
    <row r="2913" spans="1:9" x14ac:dyDescent="0.25">
      <c r="A2913" s="50" t="s">
        <v>1109</v>
      </c>
      <c r="B2913" s="68" t="str">
        <f>VLOOKUP(A2913,'Componentes APUs'!$H$1:$L$25,2,0)</f>
        <v>Ayudante de Obra Civil</v>
      </c>
      <c r="C2913" s="93">
        <v>1</v>
      </c>
      <c r="D2913" s="50">
        <f>VLOOKUP(A2913,'Componentes APUs'!$H$1:$L$25,3,0)</f>
        <v>1</v>
      </c>
      <c r="E2913" s="51">
        <f>VLOOKUP(A2913,'Componentes APUs'!$H$1:$L$25,4,0)</f>
        <v>77309.523809523816</v>
      </c>
      <c r="F2913" s="51">
        <f>VLOOKUP(A2913,'Componentes APUs'!$H$1:$L$25,5,0)</f>
        <v>46385.71428571429</v>
      </c>
      <c r="G2913" s="51">
        <f>ROUNDUP((E2913+F2913)*C2913/E2895,0)</f>
        <v>247391</v>
      </c>
    </row>
    <row r="2914" spans="1:9" x14ac:dyDescent="0.25">
      <c r="A2914" s="219" t="s">
        <v>56</v>
      </c>
      <c r="B2914" s="219"/>
      <c r="C2914" s="219"/>
      <c r="D2914" s="219"/>
      <c r="E2914" s="219"/>
      <c r="F2914" s="219"/>
      <c r="G2914" s="52">
        <f>SUM(G2908:G2913)</f>
        <v>970964</v>
      </c>
    </row>
    <row r="2915" spans="1:9" x14ac:dyDescent="0.25">
      <c r="A2915" s="56"/>
      <c r="B2915" s="57"/>
      <c r="C2915" s="57"/>
      <c r="D2915" s="57"/>
      <c r="E2915" s="57"/>
      <c r="F2915" s="57"/>
      <c r="G2915" s="58"/>
    </row>
    <row r="2916" spans="1:9" x14ac:dyDescent="0.25">
      <c r="A2916" s="219" t="s">
        <v>57</v>
      </c>
      <c r="B2916" s="219"/>
      <c r="C2916" s="219"/>
      <c r="D2916" s="219"/>
      <c r="E2916" s="219"/>
      <c r="F2916" s="219"/>
      <c r="G2916" s="219"/>
    </row>
    <row r="2917" spans="1:9" x14ac:dyDescent="0.25">
      <c r="A2917" s="49" t="s">
        <v>35</v>
      </c>
      <c r="B2917" s="219" t="s">
        <v>36</v>
      </c>
      <c r="C2917" s="219"/>
      <c r="D2917" s="49" t="s">
        <v>37</v>
      </c>
      <c r="E2917" s="49" t="s">
        <v>38</v>
      </c>
      <c r="F2917" s="49" t="s">
        <v>39</v>
      </c>
      <c r="G2917" s="49" t="s">
        <v>40</v>
      </c>
    </row>
    <row r="2918" spans="1:9" x14ac:dyDescent="0.25">
      <c r="A2918" s="50" t="s">
        <v>326</v>
      </c>
      <c r="B2918" s="220" t="str">
        <f>VLOOKUP(A2918,'Componentes APUs'!$S$1:$V$10,2,0)</f>
        <v>Juego Llaves</v>
      </c>
      <c r="C2918" s="220"/>
      <c r="D2918" s="50" t="s">
        <v>18</v>
      </c>
      <c r="E2918" s="50">
        <v>0</v>
      </c>
      <c r="F2918" s="51">
        <f>VLOOKUP(A2918,'Componentes APUs'!$S$1:$V$10,4,0)</f>
        <v>9167</v>
      </c>
      <c r="G2918" s="51">
        <f>ROUNDUP(F2918*((E2918/21)/E2895),0)</f>
        <v>0</v>
      </c>
      <c r="I2918" s="91"/>
    </row>
    <row r="2919" spans="1:9" x14ac:dyDescent="0.25">
      <c r="A2919" s="50" t="s">
        <v>58</v>
      </c>
      <c r="B2919" s="220" t="str">
        <f>VLOOKUP(A2919,'Componentes APUs'!$S$1:$V$10,2,0)</f>
        <v>Manila de servicio</v>
      </c>
      <c r="C2919" s="220"/>
      <c r="D2919" s="50" t="s">
        <v>18</v>
      </c>
      <c r="E2919" s="50">
        <v>0</v>
      </c>
      <c r="F2919" s="51">
        <f>VLOOKUP(A2919,'Componentes APUs'!$S$1:$V$10,4,0)</f>
        <v>2333</v>
      </c>
      <c r="G2919" s="51">
        <f>ROUNDUP(F2919*((E2919/21)/E2895),0)</f>
        <v>0</v>
      </c>
    </row>
    <row r="2920" spans="1:9" x14ac:dyDescent="0.25">
      <c r="A2920" s="50" t="s">
        <v>327</v>
      </c>
      <c r="B2920" s="220" t="str">
        <f>VLOOKUP(A2920,'Componentes APUs'!$S$1:$V$10,2,0)</f>
        <v>Tula portaherramientas</v>
      </c>
      <c r="C2920" s="220"/>
      <c r="D2920" s="50" t="s">
        <v>18</v>
      </c>
      <c r="E2920" s="50">
        <v>0</v>
      </c>
      <c r="F2920" s="51">
        <f>VLOOKUP(A2920,'Componentes APUs'!$S$1:$V$10,4,0)</f>
        <v>1250</v>
      </c>
      <c r="G2920" s="51">
        <f>ROUNDUP(F2920*((E2920/21)/E2895),0)</f>
        <v>0</v>
      </c>
    </row>
    <row r="2921" spans="1:9" x14ac:dyDescent="0.25">
      <c r="A2921" s="50" t="s">
        <v>60</v>
      </c>
      <c r="B2921" s="220" t="str">
        <f>VLOOKUP(A2921,'Componentes APUs'!$S$1:$V$10,2,0)</f>
        <v>Agarradoras</v>
      </c>
      <c r="C2921" s="220"/>
      <c r="D2921" s="50" t="s">
        <v>18</v>
      </c>
      <c r="E2921" s="50">
        <v>0</v>
      </c>
      <c r="F2921" s="51">
        <f>VLOOKUP(A2921,'Componentes APUs'!$S$1:$V$10,4,0)</f>
        <v>125000</v>
      </c>
      <c r="G2921" s="51">
        <f>ROUNDUP(F2921*((E2921/21)/E2895),0)</f>
        <v>0</v>
      </c>
    </row>
    <row r="2922" spans="1:9" x14ac:dyDescent="0.25">
      <c r="A2922" s="50" t="s">
        <v>62</v>
      </c>
      <c r="B2922" s="220" t="str">
        <f>VLOOKUP(A2922,'Componentes APUs'!$S$1:$V$10,2,0)</f>
        <v>Templadoras</v>
      </c>
      <c r="C2922" s="220"/>
      <c r="D2922" s="50" t="s">
        <v>18</v>
      </c>
      <c r="E2922" s="50">
        <v>0</v>
      </c>
      <c r="F2922" s="51">
        <f>VLOOKUP(A2922,'Componentes APUs'!$S$1:$V$10,4,0)</f>
        <v>250000</v>
      </c>
      <c r="G2922" s="51">
        <f>ROUNDUP(F2922*((E2922/21)/E2895),0)</f>
        <v>0</v>
      </c>
    </row>
    <row r="2923" spans="1:9" x14ac:dyDescent="0.25">
      <c r="A2923" s="50" t="s">
        <v>328</v>
      </c>
      <c r="B2923" s="220" t="str">
        <f>VLOOKUP(A2923,'Componentes APUs'!$S$1:$V$10,2,0)</f>
        <v>Herramienta Menor</v>
      </c>
      <c r="C2923" s="220"/>
      <c r="D2923" s="50" t="s">
        <v>18</v>
      </c>
      <c r="E2923" s="50">
        <v>2</v>
      </c>
      <c r="F2923" s="51">
        <f>VLOOKUP(A2923,'Componentes APUs'!$S$1:$V$10,4,0)</f>
        <v>75758</v>
      </c>
      <c r="G2923" s="51">
        <f>ROUNDUP(F2923*((E2923/21)/E2895),0)</f>
        <v>14431</v>
      </c>
    </row>
    <row r="2924" spans="1:9" x14ac:dyDescent="0.25">
      <c r="A2924" s="219" t="s">
        <v>69</v>
      </c>
      <c r="B2924" s="219"/>
      <c r="C2924" s="219"/>
      <c r="D2924" s="219"/>
      <c r="E2924" s="219"/>
      <c r="F2924" s="219"/>
      <c r="G2924" s="52">
        <f>SUM(G2918:G2923)</f>
        <v>14431</v>
      </c>
    </row>
    <row r="2925" spans="1:9" x14ac:dyDescent="0.25">
      <c r="A2925" s="56"/>
      <c r="B2925" s="57"/>
      <c r="C2925" s="57"/>
      <c r="D2925" s="57"/>
      <c r="E2925" s="57"/>
      <c r="F2925" s="57"/>
      <c r="G2925" s="58"/>
    </row>
    <row r="2926" spans="1:9" x14ac:dyDescent="0.25">
      <c r="A2926" s="219" t="s">
        <v>70</v>
      </c>
      <c r="B2926" s="219"/>
      <c r="C2926" s="219"/>
      <c r="D2926" s="219"/>
      <c r="E2926" s="219"/>
      <c r="F2926" s="219"/>
      <c r="G2926" s="219"/>
    </row>
    <row r="2927" spans="1:9" x14ac:dyDescent="0.25">
      <c r="A2927" s="49" t="s">
        <v>35</v>
      </c>
      <c r="B2927" s="219" t="s">
        <v>36</v>
      </c>
      <c r="C2927" s="219"/>
      <c r="D2927" s="49" t="s">
        <v>37</v>
      </c>
      <c r="E2927" s="49" t="s">
        <v>38</v>
      </c>
      <c r="F2927" s="49" t="s">
        <v>39</v>
      </c>
      <c r="G2927" s="49" t="s">
        <v>40</v>
      </c>
    </row>
    <row r="2928" spans="1:9" x14ac:dyDescent="0.25">
      <c r="A2928" s="50" t="s">
        <v>71</v>
      </c>
      <c r="B2928" s="71" t="str">
        <f>VLOOKUP(A2928,'Componentes APUs'!$A$1:$D$14,2,0)</f>
        <v>Camisa indigo sin partes metalicas</v>
      </c>
      <c r="C2928" s="71"/>
      <c r="D2928" s="50" t="str">
        <f>VLOOKUP(A2928,'Componentes APUs'!$A$1:$D$14,3,0)</f>
        <v>U</v>
      </c>
      <c r="E2928" s="50">
        <f>SUM(C2908:C2913)</f>
        <v>2.5</v>
      </c>
      <c r="F2928" s="51">
        <f>VLOOKUP(A2928,'Componentes APUs'!$A$1:$D$14,4,0)</f>
        <v>8585.8585858585866</v>
      </c>
      <c r="G2928" s="51">
        <f>ROUNDUP(F2928*(E2928/21)/E2895,0)</f>
        <v>2045</v>
      </c>
      <c r="I2928" s="91"/>
    </row>
    <row r="2929" spans="1:7" x14ac:dyDescent="0.25">
      <c r="A2929" s="69" t="s">
        <v>73</v>
      </c>
      <c r="B2929" s="72" t="str">
        <f>VLOOKUP(A2929,'Componentes APUs'!$A$1:$D$14,2,0)</f>
        <v>Bota de seguridad dielectrica</v>
      </c>
      <c r="C2929" s="73"/>
      <c r="D2929" s="70" t="str">
        <f>VLOOKUP(A2929,'Componentes APUs'!$A$1:$D$14,3,0)</f>
        <v>Par</v>
      </c>
      <c r="E2929" s="50">
        <f>SUM(C2908:C2913)</f>
        <v>2.5</v>
      </c>
      <c r="F2929" s="51">
        <f>VLOOKUP(A2929,'Componentes APUs'!$A$1:$D$14,4,0)</f>
        <v>7500</v>
      </c>
      <c r="G2929" s="51">
        <f>ROUNDUP(F2929*(E2929/21)/E2895,0)</f>
        <v>1786</v>
      </c>
    </row>
    <row r="2930" spans="1:7" x14ac:dyDescent="0.25">
      <c r="A2930" s="50" t="s">
        <v>76</v>
      </c>
      <c r="B2930" s="72" t="str">
        <f>VLOOKUP(A2930,'Componentes APUs'!$A$1:$D$14,2,0)</f>
        <v>Casco dielectrico Tipo 1 Clase E con barbuquejo</v>
      </c>
      <c r="C2930" s="73"/>
      <c r="D2930" s="50" t="str">
        <f>VLOOKUP(A2930,'Componentes APUs'!$A$1:$D$14,3,0)</f>
        <v>U</v>
      </c>
      <c r="E2930" s="50">
        <f>C2908+C2909+C2911+C2912+C2913+IF(A2910&lt;&gt;"MO-3",C2910,0)</f>
        <v>2.5</v>
      </c>
      <c r="F2930" s="51">
        <f>VLOOKUP(A2930,'Componentes APUs'!$A$1:$D$14,4,0)</f>
        <v>10101.010101010101</v>
      </c>
      <c r="G2930" s="51">
        <f>ROUNDUP(F2930*(E2930/21)/E2895,0)</f>
        <v>2406</v>
      </c>
    </row>
    <row r="2931" spans="1:7" x14ac:dyDescent="0.25">
      <c r="A2931" s="69" t="s">
        <v>77</v>
      </c>
      <c r="B2931" s="72" t="str">
        <f>VLOOKUP(A2931,'Componentes APUs'!$A$1:$D$14,2,0)</f>
        <v>Correa plastica y antiflama</v>
      </c>
      <c r="C2931" s="73"/>
      <c r="D2931" s="50" t="str">
        <f>VLOOKUP(A2931,'Componentes APUs'!$A$1:$D$14,3,0)</f>
        <v>U</v>
      </c>
      <c r="E2931" s="50">
        <f>SUM(C2908:C2913)</f>
        <v>2.5</v>
      </c>
      <c r="F2931" s="51">
        <f>VLOOKUP(A2931,'Componentes APUs'!$A$1:$D$14,4,0)</f>
        <v>3787.878787878788</v>
      </c>
      <c r="G2931" s="51">
        <f>ROUNDUP(F2931*(E2931/21)/E2895,0)</f>
        <v>902</v>
      </c>
    </row>
    <row r="2932" spans="1:7" x14ac:dyDescent="0.25">
      <c r="A2932" s="50" t="s">
        <v>79</v>
      </c>
      <c r="B2932" s="72" t="str">
        <f>VLOOKUP(A2932,'Componentes APUs'!$A$1:$D$14,2,0)</f>
        <v>Gafas protectoras filtro UV</v>
      </c>
      <c r="C2932" s="73"/>
      <c r="D2932" s="50" t="str">
        <f>VLOOKUP(A2932,'Componentes APUs'!$A$1:$D$14,3,0)</f>
        <v>U</v>
      </c>
      <c r="E2932" s="50">
        <f>SUM(C2908:C2913)</f>
        <v>2.5</v>
      </c>
      <c r="F2932" s="51">
        <f>VLOOKUP(A2932,'Componentes APUs'!$A$1:$D$14,4,0)</f>
        <v>2777.7777777777778</v>
      </c>
      <c r="G2932" s="51">
        <f>ROUNDUP(F2932*(E2932/21)/E2895,0)</f>
        <v>662</v>
      </c>
    </row>
    <row r="2933" spans="1:7" x14ac:dyDescent="0.25">
      <c r="A2933" s="69" t="s">
        <v>402</v>
      </c>
      <c r="B2933" s="72" t="str">
        <f>VLOOKUP(A2933,'Componentes APUs'!$A$1:$D$14,2,0)</f>
        <v>Bota de seguridad PVC dielectrica</v>
      </c>
      <c r="C2933" s="73"/>
      <c r="D2933" s="50" t="str">
        <f>VLOOKUP(A2933,'Componentes APUs'!$A$1:$D$14,3,0)</f>
        <v>Par</v>
      </c>
      <c r="E2933" s="50">
        <f>SUM(C2908:C2913)</f>
        <v>2.5</v>
      </c>
      <c r="F2933" s="51">
        <f>VLOOKUP(A2933,'Componentes APUs'!$A$1:$D$14,4,0)</f>
        <v>2916.6666666666665</v>
      </c>
      <c r="G2933" s="51">
        <f>ROUNDUP(F2933*(E2933/21)/E2895,0)</f>
        <v>695</v>
      </c>
    </row>
    <row r="2934" spans="1:7" x14ac:dyDescent="0.25">
      <c r="A2934" s="50" t="s">
        <v>403</v>
      </c>
      <c r="B2934" s="72" t="str">
        <f>VLOOKUP(A2934,'Componentes APUs'!$A$1:$D$14,2,0)</f>
        <v>Capuchon</v>
      </c>
      <c r="C2934" s="73"/>
      <c r="D2934" s="50" t="str">
        <f>VLOOKUP(A2934,'Componentes APUs'!$A$1:$D$14,3,0)</f>
        <v>U</v>
      </c>
      <c r="E2934" s="50">
        <f>SUM(C2908:C2913)</f>
        <v>2.5</v>
      </c>
      <c r="F2934" s="51">
        <f>VLOOKUP(A2934,'Componentes APUs'!$A$1:$D$14,4,0)</f>
        <v>2525.2525252525252</v>
      </c>
      <c r="G2934" s="51">
        <f>ROUNDUP(F2934*(E2934/21)/E2895,0)</f>
        <v>602</v>
      </c>
    </row>
    <row r="2935" spans="1:7" x14ac:dyDescent="0.25">
      <c r="A2935" s="69" t="s">
        <v>81</v>
      </c>
      <c r="B2935" s="72" t="str">
        <f>VLOOKUP(A2935,'Componentes APUs'!$A$1:$D$14,2,0)</f>
        <v>Guantes Protectores  - ingeniero reforzados</v>
      </c>
      <c r="C2935" s="73"/>
      <c r="D2935" s="50" t="str">
        <f>VLOOKUP(A2935,'Componentes APUs'!$A$1:$D$14,3,0)</f>
        <v>Par</v>
      </c>
      <c r="E2935" s="50">
        <f>C2910+C2911+C2913</f>
        <v>2</v>
      </c>
      <c r="F2935" s="51">
        <f>VLOOKUP(A2935,'Componentes APUs'!$A$1:$D$14,4,0)</f>
        <v>2525.2525252525252</v>
      </c>
      <c r="G2935" s="51">
        <f>ROUNDUP(F2935*(E2935/21)/E2895,0)</f>
        <v>482</v>
      </c>
    </row>
    <row r="2936" spans="1:7" x14ac:dyDescent="0.25">
      <c r="A2936" s="50" t="s">
        <v>83</v>
      </c>
      <c r="B2936" s="72" t="str">
        <f>VLOOKUP(A2936,'Componentes APUs'!$A$1:$D$14,2,0)</f>
        <v>Impermeable (pantalon camisa)</v>
      </c>
      <c r="C2936" s="73"/>
      <c r="D2936" s="50" t="str">
        <f>VLOOKUP(A2936,'Componentes APUs'!$A$1:$D$14,3,0)</f>
        <v>U</v>
      </c>
      <c r="E2936" s="50">
        <f>SUM(C2908:C2913)</f>
        <v>2.5</v>
      </c>
      <c r="F2936" s="51">
        <f>VLOOKUP(A2936,'Componentes APUs'!$A$1:$D$14,4,0)</f>
        <v>3750</v>
      </c>
      <c r="G2936" s="51">
        <f>ROUNDUP(F2936*(E2936/21)/E2895,0)</f>
        <v>893</v>
      </c>
    </row>
    <row r="2937" spans="1:7" x14ac:dyDescent="0.25">
      <c r="A2937" s="69" t="s">
        <v>85</v>
      </c>
      <c r="B2937" s="72" t="str">
        <f>VLOOKUP(A2937,'Componentes APUs'!$A$1:$D$14,2,0)</f>
        <v>Jean Dielectrico</v>
      </c>
      <c r="C2937" s="73"/>
      <c r="D2937" s="50" t="str">
        <f>VLOOKUP(A2937,'Componentes APUs'!$A$1:$D$14,3,0)</f>
        <v>U</v>
      </c>
      <c r="E2937" s="50">
        <f>SUM(C2908:C2913)</f>
        <v>2.5</v>
      </c>
      <c r="F2937" s="51">
        <f>VLOOKUP(A2937,'Componentes APUs'!$A$1:$D$14,4,0)</f>
        <v>7575.757575757576</v>
      </c>
      <c r="G2937" s="51">
        <f>ROUNDUP(F2937*(E2937/21)/E2895,0)</f>
        <v>1804</v>
      </c>
    </row>
    <row r="2938" spans="1:7" x14ac:dyDescent="0.25">
      <c r="A2938" s="50" t="s">
        <v>87</v>
      </c>
      <c r="B2938" s="72" t="str">
        <f>VLOOKUP(A2938,'Componentes APUs'!$A$1:$D$14,2,0)</f>
        <v>Casco dielectrico Tipo 2 Clase E con barboquejo</v>
      </c>
      <c r="C2938" s="73"/>
      <c r="D2938" s="50" t="str">
        <f>VLOOKUP(A2938,'Componentes APUs'!$A$1:$D$14,3,0)</f>
        <v>U</v>
      </c>
      <c r="E2938" s="53">
        <f>IF(A2910="MO-3",C2910,0)</f>
        <v>0</v>
      </c>
      <c r="F2938" s="51">
        <f>VLOOKUP(A2938,'Componentes APUs'!$A$1:$D$14,4,0)</f>
        <v>7500</v>
      </c>
      <c r="G2938" s="51">
        <f>ROUNDUP(F2938*(E2938/21)/E2895,0)</f>
        <v>0</v>
      </c>
    </row>
    <row r="2939" spans="1:7" x14ac:dyDescent="0.25">
      <c r="A2939" s="69" t="s">
        <v>89</v>
      </c>
      <c r="B2939" s="72" t="str">
        <f>VLOOKUP(A2939,'Componentes APUs'!$A$1:$D$14,2,0)</f>
        <v>Kit de rescate para trabajo en alturas</v>
      </c>
      <c r="C2939" s="73"/>
      <c r="D2939" s="50" t="str">
        <f>VLOOKUP(A2939,'Componentes APUs'!$A$1:$D$14,3,0)</f>
        <v>U</v>
      </c>
      <c r="E2939" s="50">
        <f>IF(AND(A2910="MO-3",C2910=2),1,0)</f>
        <v>0</v>
      </c>
      <c r="F2939" s="51">
        <f>VLOOKUP(A2939,'Componentes APUs'!$A$1:$D$14,4,0)</f>
        <v>37500</v>
      </c>
      <c r="G2939" s="51">
        <f>ROUNDUP(F2939*(E2939/21)/E2895,0)</f>
        <v>0</v>
      </c>
    </row>
    <row r="2940" spans="1:7" x14ac:dyDescent="0.25">
      <c r="A2940" s="50" t="s">
        <v>91</v>
      </c>
      <c r="B2940" s="72" t="str">
        <f>VLOOKUP(A2940,'Componentes APUs'!$A$1:$D$14,2,0)</f>
        <v>Equipo completo para trabajo en alturas con pretales (Arnes dielectrico, 1 mosqueton de seguridad, tie off dielectrico, eslinga de posicionamiento, juego de pretales)</v>
      </c>
      <c r="C2940" s="73"/>
      <c r="D2940" s="50" t="str">
        <f>VLOOKUP(A2940,'Componentes APUs'!$A$1:$D$14,3,0)</f>
        <v>U</v>
      </c>
      <c r="E2940" s="50">
        <f>IF(A2910="MO-3",C2910,0)</f>
        <v>0</v>
      </c>
      <c r="F2940" s="51">
        <f>VLOOKUP(A2940,'Componentes APUs'!$A$1:$D$14,4,0)</f>
        <v>26041.666666666668</v>
      </c>
      <c r="G2940" s="51">
        <f>ROUNDUP(F2940*(E2940/21)/E2895,0)</f>
        <v>0</v>
      </c>
    </row>
    <row r="2941" spans="1:7" x14ac:dyDescent="0.25">
      <c r="A2941" s="219" t="s">
        <v>95</v>
      </c>
      <c r="B2941" s="219"/>
      <c r="C2941" s="219"/>
      <c r="D2941" s="219"/>
      <c r="E2941" s="219"/>
      <c r="F2941" s="219"/>
      <c r="G2941" s="52">
        <f>SUM(G2928:G2940)</f>
        <v>12277</v>
      </c>
    </row>
    <row r="2942" spans="1:7" x14ac:dyDescent="0.25">
      <c r="A2942" s="56"/>
      <c r="B2942" s="57"/>
      <c r="C2942" s="57"/>
      <c r="D2942" s="57"/>
      <c r="E2942" s="57"/>
      <c r="F2942" s="57"/>
      <c r="G2942" s="58"/>
    </row>
    <row r="2943" spans="1:7" x14ac:dyDescent="0.25">
      <c r="A2943" s="219" t="s">
        <v>96</v>
      </c>
      <c r="B2943" s="219"/>
      <c r="C2943" s="219"/>
      <c r="D2943" s="219"/>
      <c r="E2943" s="219"/>
      <c r="F2943" s="219"/>
      <c r="G2943" s="219"/>
    </row>
    <row r="2944" spans="1:7" x14ac:dyDescent="0.25">
      <c r="A2944" s="49" t="s">
        <v>35</v>
      </c>
      <c r="B2944" s="225" t="s">
        <v>36</v>
      </c>
      <c r="C2944" s="225"/>
      <c r="D2944" s="49" t="s">
        <v>37</v>
      </c>
      <c r="E2944" s="49" t="s">
        <v>38</v>
      </c>
      <c r="F2944" s="49" t="s">
        <v>39</v>
      </c>
      <c r="G2944" s="49" t="s">
        <v>40</v>
      </c>
    </row>
    <row r="2945" spans="1:7" x14ac:dyDescent="0.25">
      <c r="A2945" s="69" t="s">
        <v>97</v>
      </c>
      <c r="B2945" s="72" t="str">
        <f>VLOOKUP(A2945,'Componentes APUs'!$N$1:$Q$30,2,0)</f>
        <v>Camioneta</v>
      </c>
      <c r="C2945" s="73"/>
      <c r="D2945" s="70" t="str">
        <f>VLOOKUP(A2945,'Componentes APUs'!$N$1:$Q$30,3,0)</f>
        <v>U</v>
      </c>
      <c r="E2945" s="50">
        <v>1</v>
      </c>
      <c r="F2945" s="51">
        <f>VLOOKUP(A2945,'Componentes APUs'!$N$1:$Q$30,4,0)</f>
        <v>5500000</v>
      </c>
      <c r="G2945" s="51">
        <f>IFERROR(ROUNDUP(F2945*(E2945/21)/E2895,0),"-")</f>
        <v>523810</v>
      </c>
    </row>
    <row r="2946" spans="1:7" x14ac:dyDescent="0.25">
      <c r="A2946" s="50" t="s">
        <v>321</v>
      </c>
      <c r="B2946" s="72" t="str">
        <f>VLOOKUP(A2946,'Componentes APUs'!$N$1:$Q$30,2,0)</f>
        <v>Grúa Hidráulica</v>
      </c>
      <c r="C2946" s="73"/>
      <c r="D2946" s="70" t="str">
        <f>VLOOKUP(A2946,'Componentes APUs'!$N$1:$Q$30,3,0)</f>
        <v>U</v>
      </c>
      <c r="E2946" s="50">
        <v>0</v>
      </c>
      <c r="F2946" s="51">
        <f>VLOOKUP(A2946,'Componentes APUs'!$N$1:$Q$30,4,0)</f>
        <v>21000000</v>
      </c>
      <c r="G2946" s="51">
        <f>IFERROR(ROUNDUP(F2946*(E2946/21)/E2895,0),"-")</f>
        <v>0</v>
      </c>
    </row>
    <row r="2947" spans="1:7" x14ac:dyDescent="0.25">
      <c r="A2947" s="69" t="s">
        <v>1379</v>
      </c>
      <c r="B2947" s="72" t="str">
        <f>VLOOKUP(A2947,'Componentes APUs'!$N$1:$Q$30,2,0)</f>
        <v>Dumper de descarga Frontal 2T</v>
      </c>
      <c r="C2947" s="73"/>
      <c r="D2947" s="70" t="str">
        <f>VLOOKUP(A2947,'Componentes APUs'!$N$1:$Q$30,3,0)</f>
        <v>U</v>
      </c>
      <c r="E2947" s="50">
        <v>0</v>
      </c>
      <c r="F2947" s="51">
        <f>VLOOKUP(A2947,'Componentes APUs'!$N$1:$Q$30,4,0)</f>
        <v>4438716.24</v>
      </c>
      <c r="G2947" s="51">
        <f>IFERROR(ROUNDUP(F2947*(E2947/21)/E2895,0),"-")</f>
        <v>0</v>
      </c>
    </row>
    <row r="2948" spans="1:7" x14ac:dyDescent="0.25">
      <c r="A2948" s="50" t="s">
        <v>323</v>
      </c>
      <c r="B2948" s="72" t="str">
        <f>VLOOKUP(A2948,'Componentes APUs'!$N$1:$Q$30,2,0)</f>
        <v>Volqueta</v>
      </c>
      <c r="C2948" s="73"/>
      <c r="D2948" s="70" t="str">
        <f>VLOOKUP(A2948,'Componentes APUs'!$N$1:$Q$30,3,0)</f>
        <v>U</v>
      </c>
      <c r="E2948" s="50">
        <v>0</v>
      </c>
      <c r="F2948" s="51">
        <f>VLOOKUP(A2948,'Componentes APUs'!$N$1:$Q$30,4,0)</f>
        <v>14828184</v>
      </c>
      <c r="G2948" s="51">
        <f>IFERROR(ROUNDUP(F2948*(E2948/21)/E2895,0),"-")</f>
        <v>0</v>
      </c>
    </row>
    <row r="2949" spans="1:7" x14ac:dyDescent="0.25">
      <c r="A2949" s="69" t="s">
        <v>324</v>
      </c>
      <c r="B2949" s="72" t="str">
        <f>VLOOKUP(A2949,'Componentes APUs'!$N$1:$Q$30,2,0)</f>
        <v>Retroexcavadora</v>
      </c>
      <c r="C2949" s="73"/>
      <c r="D2949" s="70" t="str">
        <f>VLOOKUP(A2949,'Componentes APUs'!$N$1:$Q$30,3,0)</f>
        <v>U</v>
      </c>
      <c r="E2949" s="50">
        <v>0</v>
      </c>
      <c r="F2949" s="51">
        <f>VLOOKUP(A2949,'Componentes APUs'!$N$1:$Q$30,4,0)</f>
        <v>46030656</v>
      </c>
      <c r="G2949" s="51">
        <f>IFERROR(ROUNDUP(F2949*(E2949/21)/E2895,0),"-")</f>
        <v>0</v>
      </c>
    </row>
    <row r="2950" spans="1:7" x14ac:dyDescent="0.25">
      <c r="A2950" s="219" t="s">
        <v>99</v>
      </c>
      <c r="B2950" s="219"/>
      <c r="C2950" s="219"/>
      <c r="D2950" s="219"/>
      <c r="E2950" s="219"/>
      <c r="F2950" s="219"/>
      <c r="G2950" s="52">
        <f>SUM(G2945:G2949)</f>
        <v>523810</v>
      </c>
    </row>
    <row r="2951" spans="1:7" x14ac:dyDescent="0.25">
      <c r="A2951" s="56"/>
      <c r="B2951" s="57"/>
      <c r="C2951" s="57"/>
      <c r="D2951" s="57"/>
      <c r="E2951" s="57"/>
      <c r="F2951" s="57"/>
      <c r="G2951" s="58"/>
    </row>
    <row r="2952" spans="1:7" x14ac:dyDescent="0.25">
      <c r="A2952" s="219" t="s">
        <v>1516</v>
      </c>
      <c r="B2952" s="219"/>
      <c r="C2952" s="219"/>
      <c r="D2952" s="219"/>
      <c r="E2952" s="219"/>
      <c r="F2952" s="219"/>
      <c r="G2952" s="52">
        <f>G2950+G2941+G2924+G2914+G2904</f>
        <v>5902137</v>
      </c>
    </row>
    <row r="2953" spans="1:7" x14ac:dyDescent="0.25">
      <c r="A2953" s="59"/>
      <c r="B2953" s="60"/>
      <c r="C2953" s="60"/>
      <c r="D2953" s="60"/>
      <c r="E2953" s="57"/>
      <c r="F2953" s="57"/>
      <c r="G2953" s="58"/>
    </row>
    <row r="2954" spans="1:7" x14ac:dyDescent="0.25">
      <c r="A2954" s="64"/>
      <c r="D2954" s="55"/>
      <c r="E2954" s="49" t="s">
        <v>25</v>
      </c>
      <c r="F2954" s="54">
        <v>0.15</v>
      </c>
      <c r="G2954" s="51">
        <f>G2952*F2954</f>
        <v>885320.54999999993</v>
      </c>
    </row>
    <row r="2955" spans="1:7" x14ac:dyDescent="0.25">
      <c r="A2955" s="64"/>
      <c r="D2955" s="55"/>
      <c r="E2955" s="49" t="s">
        <v>26</v>
      </c>
      <c r="F2955" s="54">
        <v>0.05</v>
      </c>
      <c r="G2955" s="51">
        <f>G2952*F2955</f>
        <v>295106.85000000003</v>
      </c>
    </row>
    <row r="2956" spans="1:7" x14ac:dyDescent="0.25">
      <c r="A2956" s="61"/>
      <c r="B2956" s="65"/>
      <c r="C2956" s="65"/>
      <c r="D2956" s="62"/>
      <c r="E2956" s="49" t="s">
        <v>27</v>
      </c>
      <c r="F2956" s="54">
        <v>0.05</v>
      </c>
      <c r="G2956" s="51">
        <f>G2952*F2956</f>
        <v>295106.85000000003</v>
      </c>
    </row>
    <row r="2957" spans="1:7" x14ac:dyDescent="0.25">
      <c r="A2957" s="61"/>
      <c r="B2957" s="62"/>
      <c r="C2957" s="62"/>
      <c r="D2957" s="62"/>
      <c r="E2957" s="62"/>
      <c r="F2957" s="62"/>
      <c r="G2957" s="63"/>
    </row>
    <row r="2958" spans="1:7" x14ac:dyDescent="0.25">
      <c r="A2958" s="219" t="s">
        <v>1517</v>
      </c>
      <c r="B2958" s="219"/>
      <c r="C2958" s="219"/>
      <c r="D2958" s="219"/>
      <c r="E2958" s="219"/>
      <c r="F2958" s="219"/>
      <c r="G2958" s="52">
        <f>G2952+G2954+G2955+G2956</f>
        <v>7377671.2499999991</v>
      </c>
    </row>
    <row r="2959" spans="1:7" x14ac:dyDescent="0.25">
      <c r="A2959" s="59"/>
      <c r="B2959" s="60"/>
      <c r="C2959" s="60"/>
      <c r="D2959" s="60"/>
      <c r="E2959" s="57"/>
      <c r="F2959" s="57"/>
      <c r="G2959" s="58"/>
    </row>
    <row r="2960" spans="1:7" x14ac:dyDescent="0.25">
      <c r="A2960" s="64"/>
      <c r="D2960" s="55"/>
      <c r="E2960" s="49" t="s">
        <v>102</v>
      </c>
      <c r="F2960" s="49" t="s">
        <v>103</v>
      </c>
      <c r="G2960" s="51">
        <f>G2956*19%</f>
        <v>56070.301500000009</v>
      </c>
    </row>
    <row r="2961" spans="1:7" x14ac:dyDescent="0.25">
      <c r="A2961" s="61"/>
      <c r="B2961" s="62"/>
      <c r="C2961" s="62"/>
      <c r="D2961" s="62"/>
      <c r="E2961" s="57"/>
      <c r="F2961" s="57"/>
      <c r="G2961" s="58"/>
    </row>
    <row r="2962" spans="1:7" x14ac:dyDescent="0.25">
      <c r="A2962" s="219" t="s">
        <v>104</v>
      </c>
      <c r="B2962" s="219"/>
      <c r="C2962" s="219"/>
      <c r="D2962" s="219"/>
      <c r="E2962" s="219"/>
      <c r="F2962" s="219"/>
      <c r="G2962" s="52">
        <f>G2960+G2958</f>
        <v>7433741.5514999991</v>
      </c>
    </row>
    <row r="2964" spans="1:7" x14ac:dyDescent="0.25">
      <c r="A2964" s="74" t="s">
        <v>29</v>
      </c>
      <c r="B2964" s="226" t="s">
        <v>30</v>
      </c>
      <c r="C2964" s="226"/>
      <c r="D2964" s="74" t="s">
        <v>31</v>
      </c>
      <c r="E2964" s="74" t="s">
        <v>32</v>
      </c>
      <c r="F2964" s="74" t="s">
        <v>189</v>
      </c>
      <c r="G2964" s="74" t="s">
        <v>33</v>
      </c>
    </row>
    <row r="2965" spans="1:7" ht="27.75" customHeight="1" x14ac:dyDescent="0.25">
      <c r="A2965" s="50" t="str">
        <f>Presupuesto!B59</f>
        <v>046_OC</v>
      </c>
      <c r="B2965" s="220" t="str">
        <f>Presupuesto!C59</f>
        <v>RELLENO CON MATERIAL DE SITIO, ARENA Y CINTA DE SEÑALIZACIÓN</v>
      </c>
      <c r="C2965" s="220"/>
      <c r="D2965" s="50" t="s">
        <v>108</v>
      </c>
      <c r="E2965" s="93">
        <v>15</v>
      </c>
      <c r="F2965" s="50"/>
      <c r="G2965" s="51">
        <f>G3032</f>
        <v>148906.90650000001</v>
      </c>
    </row>
    <row r="2966" spans="1:7" x14ac:dyDescent="0.25">
      <c r="A2966" s="219" t="s">
        <v>34</v>
      </c>
      <c r="B2966" s="219"/>
      <c r="C2966" s="219"/>
      <c r="D2966" s="219"/>
      <c r="E2966" s="219"/>
      <c r="F2966" s="219"/>
      <c r="G2966" s="219"/>
    </row>
    <row r="2967" spans="1:7" x14ac:dyDescent="0.25">
      <c r="A2967" s="49" t="s">
        <v>35</v>
      </c>
      <c r="B2967" s="219" t="s">
        <v>36</v>
      </c>
      <c r="C2967" s="219"/>
      <c r="D2967" s="49" t="s">
        <v>37</v>
      </c>
      <c r="E2967" s="49" t="s">
        <v>38</v>
      </c>
      <c r="F2967" s="49" t="s">
        <v>39</v>
      </c>
      <c r="G2967" s="49" t="s">
        <v>40</v>
      </c>
    </row>
    <row r="2968" spans="1:7" x14ac:dyDescent="0.25">
      <c r="A2968" s="17" t="str">
        <f>Material!A199</f>
        <v>MA-198</v>
      </c>
      <c r="B2968" s="72" t="str">
        <f>IFERROR(VLOOKUP(A2968,Material!$A:$H,2,0),"-")</f>
        <v>ARENA</v>
      </c>
      <c r="C2968" s="73"/>
      <c r="D2968" s="50" t="str">
        <f>IFERROR(VLOOKUP(A2968,Material!$A:$H,4,0),"-")</f>
        <v>M3</v>
      </c>
      <c r="E2968" s="50">
        <f>0.5*0.6*1</f>
        <v>0.3</v>
      </c>
      <c r="F2968" s="51">
        <f>IFERROR(VLOOKUP(A2968,Material!$A:$H,3,0),"-")</f>
        <v>60000</v>
      </c>
      <c r="G2968" s="51">
        <f t="shared" ref="G2968:G2971" si="42">IFERROR(ROUNDUP(F2968*E2968,0),"-")</f>
        <v>18000</v>
      </c>
    </row>
    <row r="2969" spans="1:7" x14ac:dyDescent="0.25">
      <c r="A2969" s="17" t="str">
        <f>Material!A200</f>
        <v>MA-199</v>
      </c>
      <c r="B2969" s="72" t="str">
        <f>IFERROR(VLOOKUP(A2969,Material!$A:$H,2,0),"-")</f>
        <v>CINTA DE SEÑALIZACIÓN DE SEGURIDAD</v>
      </c>
      <c r="C2969" s="73"/>
      <c r="D2969" s="50" t="str">
        <f>IFERROR(VLOOKUP(A2969,Material!$A:$H,4,0),"-")</f>
        <v>ML</v>
      </c>
      <c r="E2969" s="50">
        <v>1</v>
      </c>
      <c r="F2969" s="51">
        <f>IFERROR(VLOOKUP(A2969,Material!$A:$H,3,0),"-")</f>
        <v>1300</v>
      </c>
      <c r="G2969" s="51">
        <f t="shared" si="42"/>
        <v>1300</v>
      </c>
    </row>
    <row r="2970" spans="1:7" x14ac:dyDescent="0.25">
      <c r="A2970" s="17"/>
      <c r="B2970" s="72" t="str">
        <f>IFERROR(VLOOKUP(A2970,Material!$A:$H,2,0),"-")</f>
        <v>-</v>
      </c>
      <c r="C2970" s="73"/>
      <c r="D2970" s="50" t="str">
        <f>IFERROR(VLOOKUP(A2970,Material!$A:$H,4,0),"-")</f>
        <v>-</v>
      </c>
      <c r="E2970" s="50"/>
      <c r="F2970" s="51" t="str">
        <f>IFERROR(VLOOKUP(A2970,Material!$A:$H,3,0),"-")</f>
        <v>-</v>
      </c>
      <c r="G2970" s="51" t="str">
        <f t="shared" si="42"/>
        <v>-</v>
      </c>
    </row>
    <row r="2971" spans="1:7" x14ac:dyDescent="0.25">
      <c r="A2971" s="17"/>
      <c r="B2971" s="72" t="str">
        <f>IFERROR(VLOOKUP(A2971,Material!$A:$H,2,0),"-")</f>
        <v>-</v>
      </c>
      <c r="C2971" s="73"/>
      <c r="D2971" s="50" t="str">
        <f>IFERROR(VLOOKUP(A2971,Material!$A:$H,4,0),"-")</f>
        <v>-</v>
      </c>
      <c r="E2971" s="50"/>
      <c r="F2971" s="51" t="str">
        <f>IFERROR(VLOOKUP(A2971,Material!$A:$H,3,0),"-")</f>
        <v>-</v>
      </c>
      <c r="G2971" s="51" t="str">
        <f t="shared" si="42"/>
        <v>-</v>
      </c>
    </row>
    <row r="2972" spans="1:7" x14ac:dyDescent="0.25">
      <c r="A2972" s="219" t="s">
        <v>41</v>
      </c>
      <c r="B2972" s="219"/>
      <c r="C2972" s="219"/>
      <c r="D2972" s="219"/>
      <c r="E2972" s="219"/>
      <c r="F2972" s="219"/>
      <c r="G2972" s="52">
        <f>SUM(G2968:G2971)</f>
        <v>19300</v>
      </c>
    </row>
    <row r="2973" spans="1:7" x14ac:dyDescent="0.25">
      <c r="A2973" s="56"/>
      <c r="B2973" s="57"/>
      <c r="C2973" s="57"/>
      <c r="D2973" s="57"/>
      <c r="E2973" s="57"/>
      <c r="F2973" s="57"/>
      <c r="G2973" s="58"/>
    </row>
    <row r="2974" spans="1:7" x14ac:dyDescent="0.25">
      <c r="A2974" s="219" t="s">
        <v>42</v>
      </c>
      <c r="B2974" s="219"/>
      <c r="C2974" s="219"/>
      <c r="D2974" s="219"/>
      <c r="E2974" s="219"/>
      <c r="F2974" s="219"/>
      <c r="G2974" s="219"/>
    </row>
    <row r="2975" spans="1:7" x14ac:dyDescent="0.25">
      <c r="A2975" s="49" t="s">
        <v>35</v>
      </c>
      <c r="B2975" s="49" t="s">
        <v>36</v>
      </c>
      <c r="C2975" s="49" t="s">
        <v>38</v>
      </c>
      <c r="D2975" s="49" t="s">
        <v>43</v>
      </c>
      <c r="E2975" s="49" t="s">
        <v>44</v>
      </c>
      <c r="F2975" s="49" t="s">
        <v>45</v>
      </c>
      <c r="G2975" s="49" t="s">
        <v>40</v>
      </c>
    </row>
    <row r="2976" spans="1:7" x14ac:dyDescent="0.25">
      <c r="A2976" s="50" t="s">
        <v>319</v>
      </c>
      <c r="B2976" s="68" t="str">
        <f>VLOOKUP(A2976,'Componentes APUs'!$H$1:$L$25,2,0)</f>
        <v>Ingeniero Residente de Obra</v>
      </c>
      <c r="C2976" s="93">
        <v>0.25</v>
      </c>
      <c r="D2976" s="50">
        <f>VLOOKUP(A2976,'Componentes APUs'!$H$1:$L$25,3,0)</f>
        <v>4</v>
      </c>
      <c r="E2976" s="51">
        <f>VLOOKUP(A2976,'Componentes APUs'!$H$1:$L$25,4,0)</f>
        <v>271142.85714285716</v>
      </c>
      <c r="F2976" s="51">
        <f>VLOOKUP(A2976,'Componentes APUs'!$H$1:$L$25,5,0)</f>
        <v>162685.71428571429</v>
      </c>
      <c r="G2976" s="51">
        <f>ROUNDUP((E2976+F2976)*C2976/E2965,0)</f>
        <v>7231</v>
      </c>
    </row>
    <row r="2977" spans="1:7" x14ac:dyDescent="0.25">
      <c r="A2977" s="50" t="s">
        <v>320</v>
      </c>
      <c r="B2977" s="68" t="str">
        <f>VLOOKUP(A2977,'Componentes APUs'!$H$1:$L$25,2,0)</f>
        <v>Tecnico Supervisor</v>
      </c>
      <c r="C2977" s="93">
        <v>0</v>
      </c>
      <c r="D2977" s="50">
        <f>VLOOKUP(A2977,'Componentes APUs'!$H$1:$L$25,3,0)</f>
        <v>2.2999999999999998</v>
      </c>
      <c r="E2977" s="51">
        <f>VLOOKUP(A2977,'Componentes APUs'!$H$1:$L$25,4,0)</f>
        <v>155907.14285714284</v>
      </c>
      <c r="F2977" s="51">
        <f>VLOOKUP(A2977,'Componentes APUs'!$H$1:$L$25,5,0)</f>
        <v>93544.285714285696</v>
      </c>
      <c r="G2977" s="51">
        <f>ROUNDUP((E2977+F2977)*C2977/E2965,0)</f>
        <v>0</v>
      </c>
    </row>
    <row r="2978" spans="1:7" x14ac:dyDescent="0.25">
      <c r="A2978" s="50" t="s">
        <v>46</v>
      </c>
      <c r="B2978" s="68" t="str">
        <f>VLOOKUP(A2978,'Componentes APUs'!$H$1:$L$25,2,0)</f>
        <v>Tecnico Liniero</v>
      </c>
      <c r="C2978" s="93">
        <v>0</v>
      </c>
      <c r="D2978" s="50">
        <f>VLOOKUP(A2978,'Componentes APUs'!$H$1:$L$25,3,0)</f>
        <v>2</v>
      </c>
      <c r="E2978" s="51">
        <f>VLOOKUP(A2978,'Componentes APUs'!$H$1:$L$25,4,0)</f>
        <v>154619.04761904763</v>
      </c>
      <c r="F2978" s="51">
        <f>VLOOKUP(A2978,'Componentes APUs'!$H$1:$L$25,5,0)</f>
        <v>92771.42857142858</v>
      </c>
      <c r="G2978" s="51">
        <f>ROUNDUP((E2978+F2978)*C2978/E2965,0)</f>
        <v>0</v>
      </c>
    </row>
    <row r="2979" spans="1:7" x14ac:dyDescent="0.25">
      <c r="A2979" s="50" t="s">
        <v>48</v>
      </c>
      <c r="B2979" s="68" t="str">
        <f>VLOOKUP(A2979,'Componentes APUs'!$H$1:$L$25,2,0)</f>
        <v>Ayudante Calificado</v>
      </c>
      <c r="C2979" s="93">
        <v>0</v>
      </c>
      <c r="D2979" s="50">
        <f>VLOOKUP(A2979,'Componentes APUs'!$H$1:$L$25,3,0)</f>
        <v>1.5</v>
      </c>
      <c r="E2979" s="51">
        <f>VLOOKUP(A2979,'Componentes APUs'!$H$1:$L$25,4,0)</f>
        <v>115964.28571428571</v>
      </c>
      <c r="F2979" s="51">
        <f>VLOOKUP(A2979,'Componentes APUs'!$H$1:$L$25,5,0)</f>
        <v>69578.57142857142</v>
      </c>
      <c r="G2979" s="51">
        <f>ROUNDUP((E2979+F2979)*C2979/E2965,0)</f>
        <v>0</v>
      </c>
    </row>
    <row r="2980" spans="1:7" x14ac:dyDescent="0.25">
      <c r="A2980" s="50" t="s">
        <v>50</v>
      </c>
      <c r="B2980" s="68" t="str">
        <f>VLOOKUP(A2980,'Componentes APUs'!$H$1:$L$25,2,0)</f>
        <v>Profesional en SST</v>
      </c>
      <c r="C2980" s="93">
        <v>0.25</v>
      </c>
      <c r="D2980" s="50">
        <f>VLOOKUP(A2980,'Componentes APUs'!$H$1:$L$25,3,0)</f>
        <v>2.5</v>
      </c>
      <c r="E2980" s="51">
        <f>VLOOKUP(A2980,'Componentes APUs'!$H$1:$L$25,4,0)</f>
        <v>169464.28571428571</v>
      </c>
      <c r="F2980" s="51">
        <f>VLOOKUP(A2980,'Componentes APUs'!$H$1:$L$25,5,0)</f>
        <v>101678.57142857142</v>
      </c>
      <c r="G2980" s="51">
        <f>ROUNDUP((E2980+F2980)*C2980/E2965,0)</f>
        <v>4520</v>
      </c>
    </row>
    <row r="2981" spans="1:7" x14ac:dyDescent="0.25">
      <c r="A2981" s="50" t="s">
        <v>52</v>
      </c>
      <c r="B2981" s="68" t="str">
        <f>VLOOKUP(A2981,'Componentes APUs'!$H$1:$L$25,2,0)</f>
        <v>Ayudante No Calificado</v>
      </c>
      <c r="C2981" s="93">
        <v>0</v>
      </c>
      <c r="D2981" s="50">
        <f>VLOOKUP(A2981,'Componentes APUs'!$H$1:$L$25,3,0)</f>
        <v>1</v>
      </c>
      <c r="E2981" s="51">
        <f>VLOOKUP(A2981,'Componentes APUs'!$H$1:$L$25,4,0)</f>
        <v>77309.523809523816</v>
      </c>
      <c r="F2981" s="51">
        <f>VLOOKUP(A2981,'Componentes APUs'!$H$1:$L$25,5,0)</f>
        <v>46385.71428571429</v>
      </c>
      <c r="G2981" s="51">
        <f>ROUNDUP((E2981+F2981)*C2981/E2965,0)</f>
        <v>0</v>
      </c>
    </row>
    <row r="2982" spans="1:7" x14ac:dyDescent="0.25">
      <c r="A2982" s="50" t="s">
        <v>54</v>
      </c>
      <c r="B2982" s="68" t="str">
        <f>VLOOKUP(A2982,'Componentes APUs'!$H$1:$L$25,2,0)</f>
        <v>Maestro de obra civil</v>
      </c>
      <c r="C2982" s="93">
        <v>0.25</v>
      </c>
      <c r="D2982" s="50">
        <f>VLOOKUP(A2982,'Componentes APUs'!$H$1:$L$25,3,0)</f>
        <v>2.5</v>
      </c>
      <c r="E2982" s="51">
        <f>VLOOKUP(A2982,'Componentes APUs'!$H$1:$L$25,4,0)</f>
        <v>169464.28571428571</v>
      </c>
      <c r="F2982" s="51">
        <f>VLOOKUP(A2982,'Componentes APUs'!$H$1:$L$25,5,0)</f>
        <v>101678.57142857142</v>
      </c>
      <c r="G2982" s="51">
        <f>ROUNDUP((E2982+F2982)*C2982/E2965,0)</f>
        <v>4520</v>
      </c>
    </row>
    <row r="2983" spans="1:7" x14ac:dyDescent="0.25">
      <c r="A2983" s="50" t="s">
        <v>1109</v>
      </c>
      <c r="B2983" s="68" t="str">
        <f>VLOOKUP(A2983,'Componentes APUs'!$H$1:$L$25,2,0)</f>
        <v>Ayudante de Obra Civil</v>
      </c>
      <c r="C2983" s="93">
        <v>2</v>
      </c>
      <c r="D2983" s="50">
        <f>VLOOKUP(A2983,'Componentes APUs'!$H$1:$L$25,3,0)</f>
        <v>1</v>
      </c>
      <c r="E2983" s="51">
        <f>VLOOKUP(A2983,'Componentes APUs'!$H$1:$L$25,4,0)</f>
        <v>77309.523809523816</v>
      </c>
      <c r="F2983" s="51">
        <f>VLOOKUP(A2983,'Componentes APUs'!$H$1:$L$25,5,0)</f>
        <v>46385.71428571429</v>
      </c>
      <c r="G2983" s="51">
        <f>ROUNDUP((E2983+F2983)*C2983/E2965,0)</f>
        <v>16493</v>
      </c>
    </row>
    <row r="2984" spans="1:7" x14ac:dyDescent="0.25">
      <c r="A2984" s="219" t="s">
        <v>56</v>
      </c>
      <c r="B2984" s="219"/>
      <c r="C2984" s="219"/>
      <c r="D2984" s="219"/>
      <c r="E2984" s="219"/>
      <c r="F2984" s="219"/>
      <c r="G2984" s="52">
        <f>SUM(G2976:G2983)</f>
        <v>32764</v>
      </c>
    </row>
    <row r="2985" spans="1:7" x14ac:dyDescent="0.25">
      <c r="A2985" s="56"/>
      <c r="B2985" s="57"/>
      <c r="C2985" s="57"/>
      <c r="D2985" s="57"/>
      <c r="E2985" s="57"/>
      <c r="F2985" s="57"/>
      <c r="G2985" s="58"/>
    </row>
    <row r="2986" spans="1:7" x14ac:dyDescent="0.25">
      <c r="A2986" s="219" t="s">
        <v>57</v>
      </c>
      <c r="B2986" s="219"/>
      <c r="C2986" s="219"/>
      <c r="D2986" s="219"/>
      <c r="E2986" s="219"/>
      <c r="F2986" s="219"/>
      <c r="G2986" s="219"/>
    </row>
    <row r="2987" spans="1:7" x14ac:dyDescent="0.25">
      <c r="A2987" s="49" t="s">
        <v>35</v>
      </c>
      <c r="B2987" s="219" t="s">
        <v>36</v>
      </c>
      <c r="C2987" s="219"/>
      <c r="D2987" s="49" t="s">
        <v>37</v>
      </c>
      <c r="E2987" s="49" t="s">
        <v>38</v>
      </c>
      <c r="F2987" s="49" t="s">
        <v>39</v>
      </c>
      <c r="G2987" s="49" t="s">
        <v>40</v>
      </c>
    </row>
    <row r="2988" spans="1:7" x14ac:dyDescent="0.25">
      <c r="A2988" s="50" t="s">
        <v>326</v>
      </c>
      <c r="B2988" s="220" t="str">
        <f>VLOOKUP(A2988,'Componentes APUs'!$S$1:$V$10,2,0)</f>
        <v>Juego Llaves</v>
      </c>
      <c r="C2988" s="220"/>
      <c r="D2988" s="50" t="s">
        <v>18</v>
      </c>
      <c r="E2988" s="50">
        <v>0</v>
      </c>
      <c r="F2988" s="51">
        <f>VLOOKUP(A2988,'Componentes APUs'!$S$1:$V$10,4,0)</f>
        <v>9167</v>
      </c>
      <c r="G2988" s="51">
        <f>ROUNDUP(F2988*((E2988/21)/E2965),0)</f>
        <v>0</v>
      </c>
    </row>
    <row r="2989" spans="1:7" x14ac:dyDescent="0.25">
      <c r="A2989" s="50" t="s">
        <v>58</v>
      </c>
      <c r="B2989" s="220" t="str">
        <f>VLOOKUP(A2989,'Componentes APUs'!$S$1:$V$10,2,0)</f>
        <v>Manila de servicio</v>
      </c>
      <c r="C2989" s="220"/>
      <c r="D2989" s="50" t="s">
        <v>18</v>
      </c>
      <c r="E2989" s="50">
        <v>0</v>
      </c>
      <c r="F2989" s="51">
        <f>VLOOKUP(A2989,'Componentes APUs'!$S$1:$V$10,4,0)</f>
        <v>2333</v>
      </c>
      <c r="G2989" s="51">
        <f>ROUNDUP(F2989*((E2989/21)/E2965),0)</f>
        <v>0</v>
      </c>
    </row>
    <row r="2990" spans="1:7" x14ac:dyDescent="0.25">
      <c r="A2990" s="50" t="s">
        <v>327</v>
      </c>
      <c r="B2990" s="220" t="str">
        <f>VLOOKUP(A2990,'Componentes APUs'!$S$1:$V$10,2,0)</f>
        <v>Tula portaherramientas</v>
      </c>
      <c r="C2990" s="220"/>
      <c r="D2990" s="50" t="s">
        <v>18</v>
      </c>
      <c r="E2990" s="50">
        <v>0</v>
      </c>
      <c r="F2990" s="51">
        <f>VLOOKUP(A2990,'Componentes APUs'!$S$1:$V$10,4,0)</f>
        <v>1250</v>
      </c>
      <c r="G2990" s="51">
        <f>ROUNDUP(F2990*((E2990/21)/E2965),0)</f>
        <v>0</v>
      </c>
    </row>
    <row r="2991" spans="1:7" x14ac:dyDescent="0.25">
      <c r="A2991" s="50" t="s">
        <v>60</v>
      </c>
      <c r="B2991" s="220" t="str">
        <f>VLOOKUP(A2991,'Componentes APUs'!$S$1:$V$10,2,0)</f>
        <v>Agarradoras</v>
      </c>
      <c r="C2991" s="220"/>
      <c r="D2991" s="50" t="s">
        <v>18</v>
      </c>
      <c r="E2991" s="50">
        <v>0</v>
      </c>
      <c r="F2991" s="51">
        <f>VLOOKUP(A2991,'Componentes APUs'!$S$1:$V$10,4,0)</f>
        <v>125000</v>
      </c>
      <c r="G2991" s="51">
        <f>ROUNDUP(F2991*((E2991/21)/E2965),0)</f>
        <v>0</v>
      </c>
    </row>
    <row r="2992" spans="1:7" x14ac:dyDescent="0.25">
      <c r="A2992" s="50" t="s">
        <v>62</v>
      </c>
      <c r="B2992" s="220" t="str">
        <f>VLOOKUP(A2992,'Componentes APUs'!$S$1:$V$10,2,0)</f>
        <v>Templadoras</v>
      </c>
      <c r="C2992" s="220"/>
      <c r="D2992" s="50" t="s">
        <v>18</v>
      </c>
      <c r="E2992" s="50">
        <v>0</v>
      </c>
      <c r="F2992" s="51">
        <f>VLOOKUP(A2992,'Componentes APUs'!$S$1:$V$10,4,0)</f>
        <v>250000</v>
      </c>
      <c r="G2992" s="51">
        <f>ROUNDUP(F2992*((E2992/21)/E2965),0)</f>
        <v>0</v>
      </c>
    </row>
    <row r="2993" spans="1:7" x14ac:dyDescent="0.25">
      <c r="A2993" s="50" t="s">
        <v>328</v>
      </c>
      <c r="B2993" s="220" t="str">
        <f>VLOOKUP(A2993,'Componentes APUs'!$S$1:$V$10,2,0)</f>
        <v>Herramienta Menor</v>
      </c>
      <c r="C2993" s="220"/>
      <c r="D2993" s="50" t="s">
        <v>18</v>
      </c>
      <c r="E2993" s="50">
        <v>10</v>
      </c>
      <c r="F2993" s="51">
        <f>VLOOKUP(A2993,'Componentes APUs'!$S$1:$V$10,4,0)</f>
        <v>75758</v>
      </c>
      <c r="G2993" s="51">
        <f>ROUNDUP(F2993*((E2993/21)/E2965),0)</f>
        <v>2406</v>
      </c>
    </row>
    <row r="2994" spans="1:7" x14ac:dyDescent="0.25">
      <c r="A2994" s="219" t="s">
        <v>69</v>
      </c>
      <c r="B2994" s="219"/>
      <c r="C2994" s="219"/>
      <c r="D2994" s="219"/>
      <c r="E2994" s="219"/>
      <c r="F2994" s="219"/>
      <c r="G2994" s="52">
        <f>SUM(G2988:G2993)</f>
        <v>2406</v>
      </c>
    </row>
    <row r="2995" spans="1:7" x14ac:dyDescent="0.25">
      <c r="A2995" s="56"/>
      <c r="B2995" s="57"/>
      <c r="C2995" s="57"/>
      <c r="D2995" s="57"/>
      <c r="E2995" s="57"/>
      <c r="F2995" s="57"/>
      <c r="G2995" s="58"/>
    </row>
    <row r="2996" spans="1:7" x14ac:dyDescent="0.25">
      <c r="A2996" s="219" t="s">
        <v>70</v>
      </c>
      <c r="B2996" s="219"/>
      <c r="C2996" s="219"/>
      <c r="D2996" s="219"/>
      <c r="E2996" s="219"/>
      <c r="F2996" s="219"/>
      <c r="G2996" s="219"/>
    </row>
    <row r="2997" spans="1:7" x14ac:dyDescent="0.25">
      <c r="A2997" s="49" t="s">
        <v>35</v>
      </c>
      <c r="B2997" s="219" t="s">
        <v>36</v>
      </c>
      <c r="C2997" s="219"/>
      <c r="D2997" s="49" t="s">
        <v>37</v>
      </c>
      <c r="E2997" s="49" t="s">
        <v>38</v>
      </c>
      <c r="F2997" s="49" t="s">
        <v>39</v>
      </c>
      <c r="G2997" s="49" t="s">
        <v>40</v>
      </c>
    </row>
    <row r="2998" spans="1:7" x14ac:dyDescent="0.25">
      <c r="A2998" s="50" t="s">
        <v>71</v>
      </c>
      <c r="B2998" s="72" t="str">
        <f>VLOOKUP(A2998,'Componentes APUs'!$A$1:$D$14,2,0)</f>
        <v>Camisa indigo sin partes metalicas</v>
      </c>
      <c r="C2998" s="73"/>
      <c r="D2998" s="50" t="str">
        <f>VLOOKUP(A2998,'Componentes APUs'!$A$1:$D$14,3,0)</f>
        <v>U</v>
      </c>
      <c r="E2998" s="50">
        <f>SUM(C2976:C2983)</f>
        <v>2.75</v>
      </c>
      <c r="F2998" s="51">
        <f>VLOOKUP(A2998,'Componentes APUs'!$A$1:$D$14,4,0)</f>
        <v>8585.8585858585866</v>
      </c>
      <c r="G2998" s="51">
        <f>ROUNDUP(F2998*(E2998/21)/E2965,0)</f>
        <v>75</v>
      </c>
    </row>
    <row r="2999" spans="1:7" x14ac:dyDescent="0.25">
      <c r="A2999" s="69" t="s">
        <v>73</v>
      </c>
      <c r="B2999" s="72" t="str">
        <f>VLOOKUP(A2999,'Componentes APUs'!$A$1:$D$14,2,0)</f>
        <v>Bota de seguridad dielectrica</v>
      </c>
      <c r="C2999" s="73"/>
      <c r="D2999" s="70" t="str">
        <f>VLOOKUP(A2999,'Componentes APUs'!$A$1:$D$14,3,0)</f>
        <v>Par</v>
      </c>
      <c r="E2999" s="50">
        <f>SUM(C2976:C2983)</f>
        <v>2.75</v>
      </c>
      <c r="F2999" s="51">
        <f>VLOOKUP(A2999,'Componentes APUs'!$A$1:$D$14,4,0)</f>
        <v>7500</v>
      </c>
      <c r="G2999" s="51">
        <f>ROUNDUP(F2999*(E2999/21)/E2965,0)</f>
        <v>66</v>
      </c>
    </row>
    <row r="3000" spans="1:7" x14ac:dyDescent="0.25">
      <c r="A3000" s="50" t="s">
        <v>76</v>
      </c>
      <c r="B3000" s="72" t="str">
        <f>VLOOKUP(A3000,'Componentes APUs'!$A$1:$D$14,2,0)</f>
        <v>Casco dielectrico Tipo 1 Clase E con barbuquejo</v>
      </c>
      <c r="C3000" s="73"/>
      <c r="D3000" s="50" t="str">
        <f>VLOOKUP(A3000,'Componentes APUs'!$A$1:$D$14,3,0)</f>
        <v>U</v>
      </c>
      <c r="E3000" s="50">
        <f>C2976+C2977+C2978+C2979+C2981+C2982+C2983+IF(A2978&lt;&gt;"MO-3",C2978,0)</f>
        <v>2.5</v>
      </c>
      <c r="F3000" s="51">
        <f>VLOOKUP(A3000,'Componentes APUs'!$A$1:$D$14,4,0)</f>
        <v>10101.010101010101</v>
      </c>
      <c r="G3000" s="51">
        <f>ROUNDUP(F3000*(E3000/21)/E2965,0)</f>
        <v>81</v>
      </c>
    </row>
    <row r="3001" spans="1:7" x14ac:dyDescent="0.25">
      <c r="A3001" s="69" t="s">
        <v>77</v>
      </c>
      <c r="B3001" s="72" t="str">
        <f>VLOOKUP(A3001,'Componentes APUs'!$A$1:$D$14,2,0)</f>
        <v>Correa plastica y antiflama</v>
      </c>
      <c r="C3001" s="73"/>
      <c r="D3001" s="50" t="str">
        <f>VLOOKUP(A3001,'Componentes APUs'!$A$1:$D$14,3,0)</f>
        <v>U</v>
      </c>
      <c r="E3001" s="50">
        <f>SUM(C2976:C2983)</f>
        <v>2.75</v>
      </c>
      <c r="F3001" s="51">
        <f>VLOOKUP(A3001,'Componentes APUs'!$A$1:$D$14,4,0)</f>
        <v>3787.878787878788</v>
      </c>
      <c r="G3001" s="51">
        <f>ROUNDUP(F3001*(E3001/21)/E2965,0)</f>
        <v>34</v>
      </c>
    </row>
    <row r="3002" spans="1:7" x14ac:dyDescent="0.25">
      <c r="A3002" s="50" t="s">
        <v>79</v>
      </c>
      <c r="B3002" s="72" t="str">
        <f>VLOOKUP(A3002,'Componentes APUs'!$A$1:$D$14,2,0)</f>
        <v>Gafas protectoras filtro UV</v>
      </c>
      <c r="C3002" s="73"/>
      <c r="D3002" s="50" t="str">
        <f>VLOOKUP(A3002,'Componentes APUs'!$A$1:$D$14,3,0)</f>
        <v>U</v>
      </c>
      <c r="E3002" s="50">
        <f>SUM(C2976:C2983)</f>
        <v>2.75</v>
      </c>
      <c r="F3002" s="51">
        <f>VLOOKUP(A3002,'Componentes APUs'!$A$1:$D$14,4,0)</f>
        <v>2777.7777777777778</v>
      </c>
      <c r="G3002" s="51">
        <f>ROUNDUP(F3002*(E3002/21)/E2965,0)</f>
        <v>25</v>
      </c>
    </row>
    <row r="3003" spans="1:7" x14ac:dyDescent="0.25">
      <c r="A3003" s="69" t="s">
        <v>402</v>
      </c>
      <c r="B3003" s="72" t="str">
        <f>VLOOKUP(A3003,'Componentes APUs'!$A$1:$D$14,2,0)</f>
        <v>Bota de seguridad PVC dielectrica</v>
      </c>
      <c r="C3003" s="73"/>
      <c r="D3003" s="50" t="str">
        <f>VLOOKUP(A3003,'Componentes APUs'!$A$1:$D$14,3,0)</f>
        <v>Par</v>
      </c>
      <c r="E3003" s="50">
        <f>SUM(C2976:C2983)</f>
        <v>2.75</v>
      </c>
      <c r="F3003" s="51">
        <f>VLOOKUP(A3003,'Componentes APUs'!$A$1:$D$14,4,0)</f>
        <v>2916.6666666666665</v>
      </c>
      <c r="G3003" s="51">
        <f>ROUNDUP(F3003*(E3003/21)/E2965,0)</f>
        <v>26</v>
      </c>
    </row>
    <row r="3004" spans="1:7" x14ac:dyDescent="0.25">
      <c r="A3004" s="50" t="s">
        <v>403</v>
      </c>
      <c r="B3004" s="72" t="str">
        <f>VLOOKUP(A3004,'Componentes APUs'!$A$1:$D$14,2,0)</f>
        <v>Capuchon</v>
      </c>
      <c r="C3004" s="73"/>
      <c r="D3004" s="50" t="str">
        <f>VLOOKUP(A3004,'Componentes APUs'!$A$1:$D$14,3,0)</f>
        <v>U</v>
      </c>
      <c r="E3004" s="50">
        <f>SUM(C2976:C2983)</f>
        <v>2.75</v>
      </c>
      <c r="F3004" s="51">
        <f>VLOOKUP(A3004,'Componentes APUs'!$A$1:$D$14,4,0)</f>
        <v>2525.2525252525252</v>
      </c>
      <c r="G3004" s="51">
        <f>ROUNDUP(F3004*(E3004/21)/E2965,0)</f>
        <v>23</v>
      </c>
    </row>
    <row r="3005" spans="1:7" x14ac:dyDescent="0.25">
      <c r="A3005" s="69" t="s">
        <v>81</v>
      </c>
      <c r="B3005" s="72" t="str">
        <f>VLOOKUP(A3005,'Componentes APUs'!$A$1:$D$14,2,0)</f>
        <v>Guantes Protectores  - ingeniero reforzados</v>
      </c>
      <c r="C3005" s="73"/>
      <c r="D3005" s="50" t="str">
        <f>VLOOKUP(A3005,'Componentes APUs'!$A$1:$D$14,3,0)</f>
        <v>Par</v>
      </c>
      <c r="E3005" s="50">
        <f>C2978+C2979+C2981</f>
        <v>0</v>
      </c>
      <c r="F3005" s="51">
        <f>VLOOKUP(A3005,'Componentes APUs'!$A$1:$D$14,4,0)</f>
        <v>2525.2525252525252</v>
      </c>
      <c r="G3005" s="51">
        <f>ROUNDUP(F3005*(E3005/21)/E2965,0)</f>
        <v>0</v>
      </c>
    </row>
    <row r="3006" spans="1:7" x14ac:dyDescent="0.25">
      <c r="A3006" s="50" t="s">
        <v>83</v>
      </c>
      <c r="B3006" s="72" t="str">
        <f>VLOOKUP(A3006,'Componentes APUs'!$A$1:$D$14,2,0)</f>
        <v>Impermeable (pantalon camisa)</v>
      </c>
      <c r="C3006" s="73"/>
      <c r="D3006" s="50" t="str">
        <f>VLOOKUP(A3006,'Componentes APUs'!$A$1:$D$14,3,0)</f>
        <v>U</v>
      </c>
      <c r="E3006" s="50">
        <f>SUM(C2976:C2983)</f>
        <v>2.75</v>
      </c>
      <c r="F3006" s="51">
        <f>VLOOKUP(A3006,'Componentes APUs'!$A$1:$D$14,4,0)</f>
        <v>3750</v>
      </c>
      <c r="G3006" s="51">
        <f>ROUNDUP(F3006*(E3006/21)/E2965,0)</f>
        <v>33</v>
      </c>
    </row>
    <row r="3007" spans="1:7" x14ac:dyDescent="0.25">
      <c r="A3007" s="69" t="s">
        <v>85</v>
      </c>
      <c r="B3007" s="72" t="str">
        <f>VLOOKUP(A3007,'Componentes APUs'!$A$1:$D$14,2,0)</f>
        <v>Jean Dielectrico</v>
      </c>
      <c r="C3007" s="73"/>
      <c r="D3007" s="50" t="str">
        <f>VLOOKUP(A3007,'Componentes APUs'!$A$1:$D$14,3,0)</f>
        <v>U</v>
      </c>
      <c r="E3007" s="50">
        <f>SUM(C2976:C2983)</f>
        <v>2.75</v>
      </c>
      <c r="F3007" s="51">
        <f>VLOOKUP(A3007,'Componentes APUs'!$A$1:$D$14,4,0)</f>
        <v>7575.757575757576</v>
      </c>
      <c r="G3007" s="51">
        <f>ROUNDUP(F3007*(E3007/21)/E2965,0)</f>
        <v>67</v>
      </c>
    </row>
    <row r="3008" spans="1:7" x14ac:dyDescent="0.25">
      <c r="A3008" s="50" t="s">
        <v>87</v>
      </c>
      <c r="B3008" s="72" t="str">
        <f>VLOOKUP(A3008,'Componentes APUs'!$A$1:$D$14,2,0)</f>
        <v>Casco dielectrico Tipo 2 Clase E con barboquejo</v>
      </c>
      <c r="C3008" s="73"/>
      <c r="D3008" s="50" t="str">
        <f>VLOOKUP(A3008,'Componentes APUs'!$A$1:$D$14,3,0)</f>
        <v>U</v>
      </c>
      <c r="E3008" s="53">
        <f>IF(A2978="MO-3",C2978,0)</f>
        <v>0</v>
      </c>
      <c r="F3008" s="51">
        <f>VLOOKUP(A3008,'Componentes APUs'!$A$1:$D$14,4,0)</f>
        <v>7500</v>
      </c>
      <c r="G3008" s="51">
        <f>ROUNDUP(F3008*(E3008/21)/E2965,0)</f>
        <v>0</v>
      </c>
    </row>
    <row r="3009" spans="1:7" x14ac:dyDescent="0.25">
      <c r="A3009" s="69" t="s">
        <v>89</v>
      </c>
      <c r="B3009" s="72" t="str">
        <f>VLOOKUP(A3009,'Componentes APUs'!$A$1:$D$14,2,0)</f>
        <v>Kit de rescate para trabajo en alturas</v>
      </c>
      <c r="C3009" s="73"/>
      <c r="D3009" s="50" t="str">
        <f>VLOOKUP(A3009,'Componentes APUs'!$A$1:$D$14,3,0)</f>
        <v>U</v>
      </c>
      <c r="E3009" s="50">
        <f>IF(AND(A2978="MO-3",C2978=2),1,0)</f>
        <v>0</v>
      </c>
      <c r="F3009" s="51">
        <f>VLOOKUP(A3009,'Componentes APUs'!$A$1:$D$14,4,0)</f>
        <v>37500</v>
      </c>
      <c r="G3009" s="51">
        <f>ROUNDUP(F3009*(E3009/21)/E2965,0)</f>
        <v>0</v>
      </c>
    </row>
    <row r="3010" spans="1:7" x14ac:dyDescent="0.25">
      <c r="A3010" s="50" t="s">
        <v>91</v>
      </c>
      <c r="B3010" s="72" t="str">
        <f>VLOOKUP(A3010,'Componentes APUs'!$A$1:$D$14,2,0)</f>
        <v>Equipo completo para trabajo en alturas con pretales (Arnes dielectrico, 1 mosqueton de seguridad, tie off dielectrico, eslinga de posicionamiento, juego de pretales)</v>
      </c>
      <c r="C3010" s="73"/>
      <c r="D3010" s="50" t="str">
        <f>VLOOKUP(A3010,'Componentes APUs'!$A$1:$D$14,3,0)</f>
        <v>U</v>
      </c>
      <c r="E3010" s="50">
        <f>IF(A2978="MO-3",C2978,0)</f>
        <v>0</v>
      </c>
      <c r="F3010" s="51">
        <f>VLOOKUP(A3010,'Componentes APUs'!$A$1:$D$14,4,0)</f>
        <v>26041.666666666668</v>
      </c>
      <c r="G3010" s="51">
        <f>ROUNDUP(F3010*(E3010/21)/E2965,0)</f>
        <v>0</v>
      </c>
    </row>
    <row r="3011" spans="1:7" x14ac:dyDescent="0.25">
      <c r="A3011" s="219" t="s">
        <v>95</v>
      </c>
      <c r="B3011" s="219"/>
      <c r="C3011" s="219"/>
      <c r="D3011" s="219"/>
      <c r="E3011" s="219"/>
      <c r="F3011" s="219"/>
      <c r="G3011" s="52">
        <f>SUM(G2998:G3010)</f>
        <v>430</v>
      </c>
    </row>
    <row r="3012" spans="1:7" x14ac:dyDescent="0.25">
      <c r="A3012" s="56"/>
      <c r="B3012" s="57"/>
      <c r="C3012" s="57"/>
      <c r="D3012" s="57"/>
      <c r="E3012" s="57"/>
      <c r="F3012" s="57"/>
      <c r="G3012" s="58"/>
    </row>
    <row r="3013" spans="1:7" x14ac:dyDescent="0.25">
      <c r="A3013" s="219" t="s">
        <v>96</v>
      </c>
      <c r="B3013" s="219"/>
      <c r="C3013" s="219"/>
      <c r="D3013" s="219"/>
      <c r="E3013" s="219"/>
      <c r="F3013" s="219"/>
      <c r="G3013" s="219"/>
    </row>
    <row r="3014" spans="1:7" x14ac:dyDescent="0.25">
      <c r="A3014" s="49" t="s">
        <v>35</v>
      </c>
      <c r="B3014" s="225" t="s">
        <v>36</v>
      </c>
      <c r="C3014" s="225"/>
      <c r="D3014" s="49" t="s">
        <v>37</v>
      </c>
      <c r="E3014" s="49" t="s">
        <v>38</v>
      </c>
      <c r="F3014" s="49" t="s">
        <v>39</v>
      </c>
      <c r="G3014" s="49" t="s">
        <v>40</v>
      </c>
    </row>
    <row r="3015" spans="1:7" x14ac:dyDescent="0.25">
      <c r="A3015" s="69" t="s">
        <v>97</v>
      </c>
      <c r="B3015" s="72" t="str">
        <f>VLOOKUP(A3015,'Componentes APUs'!$N$1:$Q$30,2,0)</f>
        <v>Camioneta</v>
      </c>
      <c r="C3015" s="73"/>
      <c r="D3015" s="70" t="str">
        <f>VLOOKUP(A3015,'Componentes APUs'!$N$1:$Q$30,3,0)</f>
        <v>U</v>
      </c>
      <c r="E3015" s="50">
        <v>0.5</v>
      </c>
      <c r="F3015" s="51">
        <f>VLOOKUP(A3015,'Componentes APUs'!$N$1:$Q$30,4,0)</f>
        <v>5500000</v>
      </c>
      <c r="G3015" s="51">
        <f>IFERROR(ROUNDUP(F3015*(E3015/21)/E2965,0),"-")</f>
        <v>8731</v>
      </c>
    </row>
    <row r="3016" spans="1:7" x14ac:dyDescent="0.25">
      <c r="A3016" s="50" t="s">
        <v>1571</v>
      </c>
      <c r="B3016" s="72" t="str">
        <f>VLOOKUP(A3016,'Componentes APUs'!$N$1:$Q$30,2,0)</f>
        <v>Compactador De Neumáticos Autopropulsado, De 12/22 T</v>
      </c>
      <c r="C3016" s="73"/>
      <c r="D3016" s="70" t="str">
        <f>VLOOKUP(A3016,'Componentes APUs'!$N$1:$Q$30,3,0)</f>
        <v>U</v>
      </c>
      <c r="E3016" s="50">
        <v>1</v>
      </c>
      <c r="F3016" s="51">
        <f>VLOOKUP(A3016,'Componentes APUs'!$N$1:$Q$30,4,0)</f>
        <v>17197488</v>
      </c>
      <c r="G3016" s="51">
        <f>IFERROR(ROUNDUP(F3016*(E3016/21)/E2965,0),"-")</f>
        <v>54596</v>
      </c>
    </row>
    <row r="3017" spans="1:7" x14ac:dyDescent="0.25">
      <c r="A3017" s="69" t="s">
        <v>322</v>
      </c>
      <c r="B3017" s="72" t="str">
        <f>VLOOKUP(A3017,'Componentes APUs'!$N$1:$Q$30,2,0)</f>
        <v>Camabaja</v>
      </c>
      <c r="C3017" s="73"/>
      <c r="D3017" s="70" t="str">
        <f>VLOOKUP(A3017,'Componentes APUs'!$N$1:$Q$30,3,0)</f>
        <v>TON/KM</v>
      </c>
      <c r="E3017" s="50">
        <v>0</v>
      </c>
      <c r="F3017" s="51">
        <f>VLOOKUP(A3017,'Componentes APUs'!$N$1:$Q$30,4,0)</f>
        <v>611</v>
      </c>
      <c r="G3017" s="51">
        <f>E3017*F3017</f>
        <v>0</v>
      </c>
    </row>
    <row r="3018" spans="1:7" x14ac:dyDescent="0.25">
      <c r="A3018" s="50" t="s">
        <v>323</v>
      </c>
      <c r="B3018" s="72" t="str">
        <f>VLOOKUP(A3018,'Componentes APUs'!$N$1:$Q$30,2,0)</f>
        <v>Volqueta</v>
      </c>
      <c r="C3018" s="73"/>
      <c r="D3018" s="70" t="str">
        <f>VLOOKUP(A3018,'Componentes APUs'!$N$1:$Q$30,3,0)</f>
        <v>U</v>
      </c>
      <c r="E3018" s="50">
        <v>0</v>
      </c>
      <c r="F3018" s="51">
        <f>VLOOKUP(A3018,'Componentes APUs'!$N$1:$Q$30,4,0)</f>
        <v>14828184</v>
      </c>
      <c r="G3018" s="51">
        <f>IFERROR(ROUNDUP(F3018*(E3018/21)/E2965,0),"-")</f>
        <v>0</v>
      </c>
    </row>
    <row r="3019" spans="1:7" x14ac:dyDescent="0.25">
      <c r="A3019" s="69" t="s">
        <v>324</v>
      </c>
      <c r="B3019" s="72" t="str">
        <f>VLOOKUP(A3019,'Componentes APUs'!$N$1:$Q$30,2,0)</f>
        <v>Retroexcavadora</v>
      </c>
      <c r="C3019" s="73"/>
      <c r="D3019" s="70" t="str">
        <f>VLOOKUP(A3019,'Componentes APUs'!$N$1:$Q$30,3,0)</f>
        <v>U</v>
      </c>
      <c r="E3019" s="50">
        <v>0</v>
      </c>
      <c r="F3019" s="51">
        <f>VLOOKUP(A3019,'Componentes APUs'!$N$1:$Q$30,4,0)</f>
        <v>46030656</v>
      </c>
      <c r="G3019" s="51">
        <f>IFERROR(ROUNDUP(F3019*(E3019/21)/E2965,0),"-")</f>
        <v>0</v>
      </c>
    </row>
    <row r="3020" spans="1:7" x14ac:dyDescent="0.25">
      <c r="A3020" s="219" t="s">
        <v>99</v>
      </c>
      <c r="B3020" s="219"/>
      <c r="C3020" s="219"/>
      <c r="D3020" s="219"/>
      <c r="E3020" s="219"/>
      <c r="F3020" s="219"/>
      <c r="G3020" s="52">
        <f>SUM(G3015:G3019)</f>
        <v>63327</v>
      </c>
    </row>
    <row r="3021" spans="1:7" x14ac:dyDescent="0.25">
      <c r="A3021" s="56"/>
      <c r="B3021" s="57"/>
      <c r="C3021" s="57"/>
      <c r="D3021" s="57"/>
      <c r="E3021" s="57"/>
      <c r="F3021" s="57"/>
      <c r="G3021" s="58"/>
    </row>
    <row r="3022" spans="1:7" x14ac:dyDescent="0.25">
      <c r="A3022" s="219" t="s">
        <v>1516</v>
      </c>
      <c r="B3022" s="219"/>
      <c r="C3022" s="219"/>
      <c r="D3022" s="219"/>
      <c r="E3022" s="219"/>
      <c r="F3022" s="219"/>
      <c r="G3022" s="52">
        <f>G3020+G3011+G2994+G2984+G2972</f>
        <v>118227</v>
      </c>
    </row>
    <row r="3023" spans="1:7" x14ac:dyDescent="0.25">
      <c r="A3023" s="59"/>
      <c r="B3023" s="60"/>
      <c r="C3023" s="60"/>
      <c r="D3023" s="60"/>
      <c r="E3023" s="57"/>
      <c r="F3023" s="57"/>
      <c r="G3023" s="58"/>
    </row>
    <row r="3024" spans="1:7" x14ac:dyDescent="0.25">
      <c r="A3024" s="64"/>
      <c r="D3024" s="55"/>
      <c r="E3024" s="49" t="s">
        <v>25</v>
      </c>
      <c r="F3024" s="54">
        <v>0.15</v>
      </c>
      <c r="G3024" s="51">
        <f>G3022*F3024</f>
        <v>17734.05</v>
      </c>
    </row>
    <row r="3025" spans="1:8" x14ac:dyDescent="0.25">
      <c r="A3025" s="64"/>
      <c r="D3025" s="55"/>
      <c r="E3025" s="49" t="s">
        <v>26</v>
      </c>
      <c r="F3025" s="54">
        <v>0.05</v>
      </c>
      <c r="G3025" s="51">
        <f>G3022*F3025</f>
        <v>5911.35</v>
      </c>
    </row>
    <row r="3026" spans="1:8" x14ac:dyDescent="0.25">
      <c r="A3026" s="61"/>
      <c r="B3026" s="65"/>
      <c r="C3026" s="65"/>
      <c r="D3026" s="62"/>
      <c r="E3026" s="49" t="s">
        <v>27</v>
      </c>
      <c r="F3026" s="54">
        <v>0.05</v>
      </c>
      <c r="G3026" s="51">
        <f>G3022*F3026</f>
        <v>5911.35</v>
      </c>
    </row>
    <row r="3027" spans="1:8" x14ac:dyDescent="0.25">
      <c r="A3027" s="61"/>
      <c r="B3027" s="62"/>
      <c r="C3027" s="62"/>
      <c r="D3027" s="62"/>
      <c r="E3027" s="62"/>
      <c r="F3027" s="62"/>
      <c r="G3027" s="63"/>
    </row>
    <row r="3028" spans="1:8" x14ac:dyDescent="0.25">
      <c r="A3028" s="219" t="s">
        <v>1517</v>
      </c>
      <c r="B3028" s="219"/>
      <c r="C3028" s="219"/>
      <c r="D3028" s="219"/>
      <c r="E3028" s="219"/>
      <c r="F3028" s="219"/>
      <c r="G3028" s="52">
        <f>G3022+G3024+G3025+G3026</f>
        <v>147783.75</v>
      </c>
    </row>
    <row r="3029" spans="1:8" x14ac:dyDescent="0.25">
      <c r="A3029" s="59"/>
      <c r="B3029" s="60"/>
      <c r="C3029" s="60"/>
      <c r="D3029" s="60"/>
      <c r="E3029" s="57"/>
      <c r="F3029" s="57"/>
      <c r="G3029" s="58"/>
    </row>
    <row r="3030" spans="1:8" x14ac:dyDescent="0.25">
      <c r="A3030" s="64"/>
      <c r="D3030" s="55"/>
      <c r="E3030" s="49" t="s">
        <v>102</v>
      </c>
      <c r="F3030" s="49" t="s">
        <v>103</v>
      </c>
      <c r="G3030" s="51">
        <f>G3026*19%</f>
        <v>1123.1565000000001</v>
      </c>
    </row>
    <row r="3031" spans="1:8" x14ac:dyDescent="0.25">
      <c r="A3031" s="61"/>
      <c r="B3031" s="62"/>
      <c r="C3031" s="62"/>
      <c r="D3031" s="62"/>
      <c r="E3031" s="57"/>
      <c r="F3031" s="57"/>
      <c r="G3031" s="58"/>
    </row>
    <row r="3032" spans="1:8" x14ac:dyDescent="0.25">
      <c r="A3032" s="219" t="s">
        <v>104</v>
      </c>
      <c r="B3032" s="219"/>
      <c r="C3032" s="219"/>
      <c r="D3032" s="219"/>
      <c r="E3032" s="219"/>
      <c r="F3032" s="219"/>
      <c r="G3032" s="52">
        <f>G3030+G3028</f>
        <v>148906.90650000001</v>
      </c>
    </row>
    <row r="3034" spans="1:8" x14ac:dyDescent="0.25">
      <c r="A3034" s="74" t="s">
        <v>29</v>
      </c>
      <c r="B3034" s="226" t="s">
        <v>30</v>
      </c>
      <c r="C3034" s="226"/>
      <c r="D3034" s="74" t="s">
        <v>31</v>
      </c>
      <c r="E3034" s="74" t="s">
        <v>32</v>
      </c>
      <c r="F3034" s="74" t="s">
        <v>189</v>
      </c>
      <c r="G3034" s="74" t="s">
        <v>33</v>
      </c>
      <c r="H3034" s="105"/>
    </row>
    <row r="3035" spans="1:8" ht="29.25" customHeight="1" x14ac:dyDescent="0.25">
      <c r="A3035" s="50" t="str">
        <f>Presupuesto!B60</f>
        <v>047_OC</v>
      </c>
      <c r="B3035" s="229" t="str">
        <f>Presupuesto!C60</f>
        <v>TUBO PVC DE Ø2". INCLUYE CODOS, UNIONES, SOLDADURA Y LIMPIADOR</v>
      </c>
      <c r="C3035" s="230"/>
      <c r="D3035" s="50" t="s">
        <v>16</v>
      </c>
      <c r="E3035" s="107">
        <v>4.2</v>
      </c>
      <c r="F3035" s="50"/>
      <c r="G3035" s="51">
        <f>G3104</f>
        <v>167718.7985</v>
      </c>
      <c r="H3035" s="45"/>
    </row>
    <row r="3036" spans="1:8" x14ac:dyDescent="0.25">
      <c r="A3036" s="219" t="s">
        <v>34</v>
      </c>
      <c r="B3036" s="219"/>
      <c r="C3036" s="219"/>
      <c r="D3036" s="219"/>
      <c r="E3036" s="219"/>
      <c r="F3036" s="219"/>
      <c r="G3036" s="219"/>
    </row>
    <row r="3037" spans="1:8" x14ac:dyDescent="0.25">
      <c r="A3037" s="49" t="s">
        <v>35</v>
      </c>
      <c r="B3037" s="219" t="s">
        <v>36</v>
      </c>
      <c r="C3037" s="219"/>
      <c r="D3037" s="49" t="s">
        <v>37</v>
      </c>
      <c r="E3037" s="49" t="s">
        <v>38</v>
      </c>
      <c r="F3037" s="49" t="s">
        <v>39</v>
      </c>
      <c r="G3037" s="49" t="s">
        <v>40</v>
      </c>
    </row>
    <row r="3038" spans="1:8" x14ac:dyDescent="0.25">
      <c r="A3038" s="50" t="str">
        <f>Material!A464</f>
        <v>MA-463</v>
      </c>
      <c r="B3038" s="72" t="str">
        <f>IFERROR(VLOOKUP(A3038,Material!$A:$H,2,0),"-")</f>
        <v xml:space="preserve">TUBERÍA SANITARIA PVC 2" </v>
      </c>
      <c r="C3038" s="76"/>
      <c r="D3038" s="50" t="str">
        <f>IFERROR(VLOOKUP(A3038,Material!$A:$H,4,0),"-")</f>
        <v>ML</v>
      </c>
      <c r="E3038" s="107">
        <v>1</v>
      </c>
      <c r="F3038" s="51">
        <f>IFERROR(VLOOKUP(A3038,Material!$A:$H,3,0),"-")</f>
        <v>9727.9</v>
      </c>
      <c r="G3038" s="51">
        <f t="shared" ref="G3038:G3045" si="43">IFERROR(ROUNDUP(F3038*E3038,0),"-")</f>
        <v>9728</v>
      </c>
      <c r="H3038" s="106"/>
    </row>
    <row r="3039" spans="1:8" x14ac:dyDescent="0.25">
      <c r="A3039" s="50" t="str">
        <f>Material!A201</f>
        <v>MA-200</v>
      </c>
      <c r="B3039" s="72" t="str">
        <f>IFERROR(VLOOKUP(A3039,Material!$A:$H,2,0),"-")</f>
        <v>SOLDADURA PVC 1/4 GL</v>
      </c>
      <c r="C3039" s="76"/>
      <c r="D3039" s="50" t="str">
        <f>IFERROR(VLOOKUP(A3039,Material!$A:$H,4,0),"-")</f>
        <v>GALÓN</v>
      </c>
      <c r="E3039" s="107">
        <f>1/60</f>
        <v>1.6666666666666666E-2</v>
      </c>
      <c r="F3039" s="51">
        <f>IFERROR(VLOOKUP(A3039,Material!$A:$H,3,0),"-")</f>
        <v>88270</v>
      </c>
      <c r="G3039" s="51">
        <f t="shared" si="43"/>
        <v>1472</v>
      </c>
      <c r="H3039" s="106"/>
    </row>
    <row r="3040" spans="1:8" x14ac:dyDescent="0.25">
      <c r="A3040" s="50" t="str">
        <f>Material!A253</f>
        <v>MA-252</v>
      </c>
      <c r="B3040" s="72" t="str">
        <f>IFERROR(VLOOKUP(A3040,Material!$A:$H,2,0),"-")</f>
        <v>LIMPIADOR DE TUBERÍA PVC 1/4 GL</v>
      </c>
      <c r="C3040" s="76"/>
      <c r="D3040" s="50" t="str">
        <f>IFERROR(VLOOKUP(A3040,Material!$A:$H,4,0),"-")</f>
        <v>GALÓN</v>
      </c>
      <c r="E3040" s="107">
        <f>1/60</f>
        <v>1.6666666666666666E-2</v>
      </c>
      <c r="F3040" s="51">
        <f>IFERROR(VLOOKUP(A3040,Material!$A:$H,3,0),"-")</f>
        <v>60970</v>
      </c>
      <c r="G3040" s="51">
        <f t="shared" si="43"/>
        <v>1017</v>
      </c>
      <c r="H3040" s="106"/>
    </row>
    <row r="3041" spans="1:9" x14ac:dyDescent="0.25">
      <c r="A3041" s="50" t="str">
        <f>Material!A465</f>
        <v>MA-464</v>
      </c>
      <c r="B3041" s="72" t="str">
        <f>IFERROR(VLOOKUP(A3041,Material!$A:$H,2,0),"-")</f>
        <v xml:space="preserve">CODO SANITARIO PVC 2" </v>
      </c>
      <c r="C3041" s="76"/>
      <c r="D3041" s="50" t="str">
        <f>IFERROR(VLOOKUP(A3041,Material!$A:$H,4,0),"-")</f>
        <v>UN</v>
      </c>
      <c r="E3041" s="107">
        <f>1/20</f>
        <v>0.05</v>
      </c>
      <c r="F3041" s="51">
        <f>IFERROR(VLOOKUP(A3041,Material!$A:$H,3,0),"-")</f>
        <v>2730</v>
      </c>
      <c r="G3041" s="51">
        <f t="shared" si="43"/>
        <v>137</v>
      </c>
      <c r="H3041" s="106"/>
    </row>
    <row r="3042" spans="1:9" x14ac:dyDescent="0.25">
      <c r="A3042" s="50" t="str">
        <f>Material!A466</f>
        <v>MA-465</v>
      </c>
      <c r="B3042" s="72" t="str">
        <f>IFERROR(VLOOKUP(A3042,Material!$A:$H,2,0),"-")</f>
        <v xml:space="preserve">UNION SANITARIA PVC 2" </v>
      </c>
      <c r="C3042" s="76"/>
      <c r="D3042" s="50" t="str">
        <f>IFERROR(VLOOKUP(A3042,Material!$A:$H,4,0),"-")</f>
        <v>UN</v>
      </c>
      <c r="E3042" s="107">
        <f>1/30</f>
        <v>3.3333333333333333E-2</v>
      </c>
      <c r="F3042" s="51">
        <f>IFERROR(VLOOKUP(A3042,Material!$A:$H,3,0),"-")</f>
        <v>2145</v>
      </c>
      <c r="G3042" s="51">
        <f t="shared" si="43"/>
        <v>72</v>
      </c>
      <c r="H3042" s="106"/>
    </row>
    <row r="3043" spans="1:9" x14ac:dyDescent="0.25">
      <c r="A3043" s="50"/>
      <c r="B3043" s="72" t="str">
        <f>IFERROR(VLOOKUP(A3043,Material!$A:$H,2,0),"-")</f>
        <v>-</v>
      </c>
      <c r="C3043" s="76"/>
      <c r="D3043" s="50" t="str">
        <f>IFERROR(VLOOKUP(A3043,Material!$A:$H,4,0),"-")</f>
        <v>-</v>
      </c>
      <c r="E3043" s="107"/>
      <c r="F3043" s="51" t="str">
        <f>IFERROR(VLOOKUP(A3043,Material!$A:$H,3,0),"-")</f>
        <v>-</v>
      </c>
      <c r="G3043" s="51" t="str">
        <f t="shared" si="43"/>
        <v>-</v>
      </c>
      <c r="H3043" s="106"/>
    </row>
    <row r="3044" spans="1:9" x14ac:dyDescent="0.25">
      <c r="A3044" s="50"/>
      <c r="B3044" s="72" t="str">
        <f>IFERROR(VLOOKUP(A3044,Material!$A:$H,2,0),"-")</f>
        <v>-</v>
      </c>
      <c r="C3044" s="76"/>
      <c r="D3044" s="50" t="str">
        <f>IFERROR(VLOOKUP(A3044,Material!$A:$H,4,0),"-")</f>
        <v>-</v>
      </c>
      <c r="E3044" s="107"/>
      <c r="F3044" s="51" t="str">
        <f>IFERROR(VLOOKUP(A3044,Material!$A:$H,3,0),"-")</f>
        <v>-</v>
      </c>
      <c r="G3044" s="51" t="str">
        <f t="shared" si="43"/>
        <v>-</v>
      </c>
      <c r="H3044" s="106"/>
    </row>
    <row r="3045" spans="1:9" x14ac:dyDescent="0.25">
      <c r="A3045" s="50"/>
      <c r="B3045" s="72" t="str">
        <f>IFERROR(VLOOKUP(A3045,Material!$A:$H,2,0),"-")</f>
        <v>-</v>
      </c>
      <c r="C3045" s="76"/>
      <c r="D3045" s="50" t="str">
        <f>IFERROR(VLOOKUP(A3045,Material!$A:$H,4,0),"-")</f>
        <v>-</v>
      </c>
      <c r="E3045" s="107"/>
      <c r="F3045" s="51" t="str">
        <f>IFERROR(VLOOKUP(A3045,Material!$A:$H,3,0),"-")</f>
        <v>-</v>
      </c>
      <c r="G3045" s="51" t="str">
        <f t="shared" si="43"/>
        <v>-</v>
      </c>
      <c r="H3045" s="106"/>
    </row>
    <row r="3046" spans="1:9" x14ac:dyDescent="0.25">
      <c r="A3046" s="219" t="s">
        <v>41</v>
      </c>
      <c r="B3046" s="219"/>
      <c r="C3046" s="219"/>
      <c r="D3046" s="219"/>
      <c r="E3046" s="219"/>
      <c r="F3046" s="219"/>
      <c r="G3046" s="52">
        <f>SUM(G3038:G3045)</f>
        <v>12426</v>
      </c>
      <c r="I3046" s="104"/>
    </row>
    <row r="3047" spans="1:9" x14ac:dyDescent="0.25">
      <c r="A3047" s="56"/>
      <c r="B3047" s="57"/>
      <c r="C3047" s="57"/>
      <c r="D3047" s="57"/>
      <c r="E3047" s="57"/>
      <c r="F3047" s="57"/>
      <c r="G3047" s="58"/>
    </row>
    <row r="3048" spans="1:9" x14ac:dyDescent="0.25">
      <c r="A3048" s="219" t="s">
        <v>42</v>
      </c>
      <c r="B3048" s="219"/>
      <c r="C3048" s="219"/>
      <c r="D3048" s="219"/>
      <c r="E3048" s="219"/>
      <c r="F3048" s="219"/>
      <c r="G3048" s="219"/>
    </row>
    <row r="3049" spans="1:9" x14ac:dyDescent="0.25">
      <c r="A3049" s="49" t="s">
        <v>35</v>
      </c>
      <c r="B3049" s="49" t="s">
        <v>36</v>
      </c>
      <c r="C3049" s="49" t="s">
        <v>38</v>
      </c>
      <c r="D3049" s="49" t="s">
        <v>43</v>
      </c>
      <c r="E3049" s="49" t="s">
        <v>44</v>
      </c>
      <c r="F3049" s="49" t="s">
        <v>45</v>
      </c>
      <c r="G3049" s="49" t="s">
        <v>40</v>
      </c>
    </row>
    <row r="3050" spans="1:9" x14ac:dyDescent="0.25">
      <c r="A3050" s="50" t="s">
        <v>319</v>
      </c>
      <c r="B3050" s="68" t="str">
        <f>VLOOKUP(A3050,'Componentes APUs'!$H$1:$L$25,2,0)</f>
        <v>Ingeniero Residente de Obra</v>
      </c>
      <c r="C3050" s="93">
        <v>0</v>
      </c>
      <c r="D3050" s="50">
        <f>VLOOKUP(A3050,'Componentes APUs'!$H$1:$L$25,3,0)</f>
        <v>4</v>
      </c>
      <c r="E3050" s="51">
        <f>VLOOKUP(A3050,'Componentes APUs'!$H$1:$L$25,4,0)</f>
        <v>271142.85714285716</v>
      </c>
      <c r="F3050" s="51">
        <f>VLOOKUP(A3050,'Componentes APUs'!$H$1:$L$25,5,0)</f>
        <v>162685.71428571429</v>
      </c>
      <c r="G3050" s="51">
        <f>ROUNDUP((E3050+F3050)*C3050/E3035,0)</f>
        <v>0</v>
      </c>
      <c r="H3050" s="66"/>
    </row>
    <row r="3051" spans="1:9" x14ac:dyDescent="0.25">
      <c r="A3051" s="50" t="s">
        <v>320</v>
      </c>
      <c r="B3051" s="68" t="str">
        <f>VLOOKUP(A3051,'Componentes APUs'!$H$1:$L$25,2,0)</f>
        <v>Tecnico Supervisor</v>
      </c>
      <c r="C3051" s="93">
        <v>0</v>
      </c>
      <c r="D3051" s="50">
        <f>VLOOKUP(A3051,'Componentes APUs'!$H$1:$L$25,3,0)</f>
        <v>2.2999999999999998</v>
      </c>
      <c r="E3051" s="51">
        <f>VLOOKUP(A3051,'Componentes APUs'!$H$1:$L$25,4,0)</f>
        <v>155907.14285714284</v>
      </c>
      <c r="F3051" s="51">
        <f>VLOOKUP(A3051,'Componentes APUs'!$H$1:$L$25,5,0)</f>
        <v>93544.285714285696</v>
      </c>
      <c r="G3051" s="51">
        <f>ROUNDUP((E3051+F3051)*C3051/E3035,0)</f>
        <v>0</v>
      </c>
    </row>
    <row r="3052" spans="1:9" x14ac:dyDescent="0.25">
      <c r="A3052" s="50" t="s">
        <v>54</v>
      </c>
      <c r="B3052" s="68" t="str">
        <f>VLOOKUP(A3052,'Componentes APUs'!$H$1:$L$25,2,0)</f>
        <v>Maestro de obra civil</v>
      </c>
      <c r="C3052" s="93">
        <v>0</v>
      </c>
      <c r="D3052" s="50">
        <f>VLOOKUP(A3052,'Componentes APUs'!$H$1:$L$25,3,0)</f>
        <v>2.5</v>
      </c>
      <c r="E3052" s="51">
        <f>VLOOKUP(A3052,'Componentes APUs'!$H$1:$L$25,4,0)</f>
        <v>169464.28571428571</v>
      </c>
      <c r="F3052" s="51">
        <f>VLOOKUP(A3052,'Componentes APUs'!$H$1:$L$25,5,0)</f>
        <v>101678.57142857142</v>
      </c>
      <c r="G3052" s="51">
        <f>ROUNDUP((E3052+F3052)*C3052/E3035,0)</f>
        <v>0</v>
      </c>
    </row>
    <row r="3053" spans="1:9" x14ac:dyDescent="0.25">
      <c r="A3053" s="50" t="s">
        <v>1110</v>
      </c>
      <c r="B3053" s="68" t="str">
        <f>VLOOKUP(A3053,'Componentes APUs'!$H$1:$L$25,2,0)</f>
        <v>Oficial de Obra Civil</v>
      </c>
      <c r="C3053" s="93">
        <v>0.25</v>
      </c>
      <c r="D3053" s="50">
        <f>VLOOKUP(A3053,'Componentes APUs'!$H$1:$L$25,3,0)</f>
        <v>1.5</v>
      </c>
      <c r="E3053" s="51">
        <f>VLOOKUP(A3053,'Componentes APUs'!$H$1:$L$25,4,0)</f>
        <v>115964.28571428571</v>
      </c>
      <c r="F3053" s="51">
        <f>VLOOKUP(A3053,'Componentes APUs'!$H$1:$L$25,5,0)</f>
        <v>69578.57142857142</v>
      </c>
      <c r="G3053" s="51">
        <f>ROUNDUP((E3053+F3053)*C3053/E3035,0)</f>
        <v>11045</v>
      </c>
    </row>
    <row r="3054" spans="1:9" x14ac:dyDescent="0.25">
      <c r="A3054" s="50" t="s">
        <v>50</v>
      </c>
      <c r="B3054" s="68" t="str">
        <f>VLOOKUP(A3054,'Componentes APUs'!$H$1:$L$25,2,0)</f>
        <v>Profesional en SST</v>
      </c>
      <c r="C3054" s="93">
        <v>0.25</v>
      </c>
      <c r="D3054" s="50">
        <f>VLOOKUP(A3054,'Componentes APUs'!$H$1:$L$25,3,0)</f>
        <v>2.5</v>
      </c>
      <c r="E3054" s="51">
        <f>VLOOKUP(A3054,'Componentes APUs'!$H$1:$L$25,4,0)</f>
        <v>169464.28571428571</v>
      </c>
      <c r="F3054" s="51">
        <f>VLOOKUP(A3054,'Componentes APUs'!$H$1:$L$25,5,0)</f>
        <v>101678.57142857142</v>
      </c>
      <c r="G3054" s="51">
        <f>ROUNDUP((E3054+F3054)*C3054/E3035,0)</f>
        <v>16140</v>
      </c>
    </row>
    <row r="3055" spans="1:9" x14ac:dyDescent="0.25">
      <c r="A3055" s="50" t="s">
        <v>1109</v>
      </c>
      <c r="B3055" s="68" t="str">
        <f>VLOOKUP(A3055,'Componentes APUs'!$H$1:$L$25,2,0)</f>
        <v>Ayudante de Obra Civil</v>
      </c>
      <c r="C3055" s="93">
        <v>1</v>
      </c>
      <c r="D3055" s="50">
        <f>VLOOKUP(A3055,'Componentes APUs'!$H$1:$L$25,3,0)</f>
        <v>1</v>
      </c>
      <c r="E3055" s="51">
        <f>VLOOKUP(A3055,'Componentes APUs'!$H$1:$L$25,4,0)</f>
        <v>77309.523809523816</v>
      </c>
      <c r="F3055" s="51">
        <f>VLOOKUP(A3055,'Componentes APUs'!$H$1:$L$25,5,0)</f>
        <v>46385.71428571429</v>
      </c>
      <c r="G3055" s="51">
        <f>ROUNDUP((E3055+F3055)*C3055/E3035,0)</f>
        <v>29452</v>
      </c>
    </row>
    <row r="3056" spans="1:9" x14ac:dyDescent="0.25">
      <c r="A3056" s="219" t="s">
        <v>56</v>
      </c>
      <c r="B3056" s="219"/>
      <c r="C3056" s="219"/>
      <c r="D3056" s="219"/>
      <c r="E3056" s="219"/>
      <c r="F3056" s="219"/>
      <c r="G3056" s="52">
        <f>SUM(G3050:G3055)</f>
        <v>56637</v>
      </c>
    </row>
    <row r="3057" spans="1:9" x14ac:dyDescent="0.25">
      <c r="A3057" s="56"/>
      <c r="B3057" s="57"/>
      <c r="C3057" s="57"/>
      <c r="D3057" s="57"/>
      <c r="E3057" s="57"/>
      <c r="F3057" s="57"/>
      <c r="G3057" s="58"/>
    </row>
    <row r="3058" spans="1:9" x14ac:dyDescent="0.25">
      <c r="A3058" s="219" t="s">
        <v>57</v>
      </c>
      <c r="B3058" s="219"/>
      <c r="C3058" s="219"/>
      <c r="D3058" s="219"/>
      <c r="E3058" s="219"/>
      <c r="F3058" s="219"/>
      <c r="G3058" s="219"/>
    </row>
    <row r="3059" spans="1:9" x14ac:dyDescent="0.25">
      <c r="A3059" s="49" t="s">
        <v>35</v>
      </c>
      <c r="B3059" s="219" t="s">
        <v>36</v>
      </c>
      <c r="C3059" s="219"/>
      <c r="D3059" s="49" t="s">
        <v>37</v>
      </c>
      <c r="E3059" s="49" t="s">
        <v>38</v>
      </c>
      <c r="F3059" s="49" t="s">
        <v>39</v>
      </c>
      <c r="G3059" s="49" t="s">
        <v>40</v>
      </c>
    </row>
    <row r="3060" spans="1:9" x14ac:dyDescent="0.25">
      <c r="A3060" s="50" t="s">
        <v>326</v>
      </c>
      <c r="B3060" s="220" t="str">
        <f>VLOOKUP(A3060,'Componentes APUs'!$S$1:$V$10,2,0)</f>
        <v>Juego Llaves</v>
      </c>
      <c r="C3060" s="220"/>
      <c r="D3060" s="50" t="s">
        <v>18</v>
      </c>
      <c r="E3060" s="50">
        <v>0</v>
      </c>
      <c r="F3060" s="51">
        <f>VLOOKUP(A3060,'Componentes APUs'!$S$1:$V$10,4,0)</f>
        <v>9167</v>
      </c>
      <c r="G3060" s="51">
        <f>ROUNDUP(F3060*((E3060/21)/E3035),0)</f>
        <v>0</v>
      </c>
      <c r="I3060" s="91"/>
    </row>
    <row r="3061" spans="1:9" x14ac:dyDescent="0.25">
      <c r="A3061" s="50" t="s">
        <v>58</v>
      </c>
      <c r="B3061" s="220" t="str">
        <f>VLOOKUP(A3061,'Componentes APUs'!$S$1:$V$10,2,0)</f>
        <v>Manila de servicio</v>
      </c>
      <c r="C3061" s="220"/>
      <c r="D3061" s="50" t="s">
        <v>18</v>
      </c>
      <c r="E3061" s="50">
        <v>0</v>
      </c>
      <c r="F3061" s="51">
        <f>VLOOKUP(A3061,'Componentes APUs'!$S$1:$V$10,4,0)</f>
        <v>2333</v>
      </c>
      <c r="G3061" s="51">
        <f>ROUNDUP(F3061*((E3061/21)/E3035),0)</f>
        <v>0</v>
      </c>
    </row>
    <row r="3062" spans="1:9" x14ac:dyDescent="0.25">
      <c r="A3062" s="50" t="s">
        <v>327</v>
      </c>
      <c r="B3062" s="220" t="str">
        <f>VLOOKUP(A3062,'Componentes APUs'!$S$1:$V$10,2,0)</f>
        <v>Tula portaherramientas</v>
      </c>
      <c r="C3062" s="220"/>
      <c r="D3062" s="50" t="s">
        <v>18</v>
      </c>
      <c r="E3062" s="50">
        <v>0</v>
      </c>
      <c r="F3062" s="51">
        <f>VLOOKUP(A3062,'Componentes APUs'!$S$1:$V$10,4,0)</f>
        <v>1250</v>
      </c>
      <c r="G3062" s="51">
        <f>ROUNDUP(F3062*((E3062/21)/E3035),0)</f>
        <v>0</v>
      </c>
    </row>
    <row r="3063" spans="1:9" x14ac:dyDescent="0.25">
      <c r="A3063" s="50" t="s">
        <v>60</v>
      </c>
      <c r="B3063" s="220" t="str">
        <f>VLOOKUP(A3063,'Componentes APUs'!$S$1:$V$10,2,0)</f>
        <v>Agarradoras</v>
      </c>
      <c r="C3063" s="220"/>
      <c r="D3063" s="50" t="s">
        <v>18</v>
      </c>
      <c r="E3063" s="50">
        <v>0</v>
      </c>
      <c r="F3063" s="51">
        <f>VLOOKUP(A3063,'Componentes APUs'!$S$1:$V$10,4,0)</f>
        <v>125000</v>
      </c>
      <c r="G3063" s="51">
        <f>ROUNDUP(F3063*((E3063/21)/E3035),0)</f>
        <v>0</v>
      </c>
    </row>
    <row r="3064" spans="1:9" x14ac:dyDescent="0.25">
      <c r="A3064" s="50" t="s">
        <v>62</v>
      </c>
      <c r="B3064" s="220" t="str">
        <f>VLOOKUP(A3064,'Componentes APUs'!$S$1:$V$10,2,0)</f>
        <v>Templadoras</v>
      </c>
      <c r="C3064" s="220"/>
      <c r="D3064" s="50" t="s">
        <v>18</v>
      </c>
      <c r="E3064" s="50">
        <v>0</v>
      </c>
      <c r="F3064" s="51">
        <f>VLOOKUP(A3064,'Componentes APUs'!$S$1:$V$10,4,0)</f>
        <v>250000</v>
      </c>
      <c r="G3064" s="51">
        <f>ROUNDUP(F3064*((E3064/21)/E3035),0)</f>
        <v>0</v>
      </c>
    </row>
    <row r="3065" spans="1:9" x14ac:dyDescent="0.25">
      <c r="A3065" s="50" t="s">
        <v>328</v>
      </c>
      <c r="B3065" s="220" t="str">
        <f>VLOOKUP(A3065,'Componentes APUs'!$S$1:$V$10,2,0)</f>
        <v>Herramienta Menor</v>
      </c>
      <c r="C3065" s="220"/>
      <c r="D3065" s="50" t="s">
        <v>18</v>
      </c>
      <c r="E3065" s="50">
        <v>1</v>
      </c>
      <c r="F3065" s="51">
        <f>VLOOKUP(A3065,'Componentes APUs'!$S$1:$V$10,4,0)</f>
        <v>75758</v>
      </c>
      <c r="G3065" s="51">
        <f>ROUNDUP(F3065*((E3065/21)/E3035),0)</f>
        <v>859</v>
      </c>
    </row>
    <row r="3066" spans="1:9" x14ac:dyDescent="0.25">
      <c r="A3066" s="219" t="s">
        <v>69</v>
      </c>
      <c r="B3066" s="219"/>
      <c r="C3066" s="219"/>
      <c r="D3066" s="219"/>
      <c r="E3066" s="219"/>
      <c r="F3066" s="219"/>
      <c r="G3066" s="52">
        <f>SUM(G3060:G3065)</f>
        <v>859</v>
      </c>
    </row>
    <row r="3067" spans="1:9" x14ac:dyDescent="0.25">
      <c r="A3067" s="56"/>
      <c r="B3067" s="57"/>
      <c r="C3067" s="57"/>
      <c r="D3067" s="57"/>
      <c r="E3067" s="57"/>
      <c r="F3067" s="57"/>
      <c r="G3067" s="58"/>
    </row>
    <row r="3068" spans="1:9" x14ac:dyDescent="0.25">
      <c r="A3068" s="219" t="s">
        <v>70</v>
      </c>
      <c r="B3068" s="219"/>
      <c r="C3068" s="219"/>
      <c r="D3068" s="219"/>
      <c r="E3068" s="219"/>
      <c r="F3068" s="219"/>
      <c r="G3068" s="219"/>
    </row>
    <row r="3069" spans="1:9" x14ac:dyDescent="0.25">
      <c r="A3069" s="49" t="s">
        <v>35</v>
      </c>
      <c r="B3069" s="219" t="s">
        <v>36</v>
      </c>
      <c r="C3069" s="219"/>
      <c r="D3069" s="49" t="s">
        <v>37</v>
      </c>
      <c r="E3069" s="49" t="s">
        <v>38</v>
      </c>
      <c r="F3069" s="49" t="s">
        <v>39</v>
      </c>
      <c r="G3069" s="49" t="s">
        <v>40</v>
      </c>
    </row>
    <row r="3070" spans="1:9" x14ac:dyDescent="0.25">
      <c r="A3070" s="50" t="s">
        <v>71</v>
      </c>
      <c r="B3070" s="71" t="str">
        <f>VLOOKUP(A3070,'Componentes APUs'!$A$1:$D$14,2,0)</f>
        <v>Camisa indigo sin partes metalicas</v>
      </c>
      <c r="C3070" s="71"/>
      <c r="D3070" s="50" t="str">
        <f>VLOOKUP(A3070,'Componentes APUs'!$A$1:$D$14,3,0)</f>
        <v>U</v>
      </c>
      <c r="E3070" s="50">
        <f>SUM(C3050:C3055)</f>
        <v>1.5</v>
      </c>
      <c r="F3070" s="51">
        <f>VLOOKUP(A3070,'Componentes APUs'!$A$1:$D$14,4,0)</f>
        <v>8585.8585858585866</v>
      </c>
      <c r="G3070" s="51">
        <f>ROUNDUP(F3070*(E3070/21)/E3035,0)</f>
        <v>147</v>
      </c>
      <c r="I3070" s="91"/>
    </row>
    <row r="3071" spans="1:9" x14ac:dyDescent="0.25">
      <c r="A3071" s="69" t="s">
        <v>73</v>
      </c>
      <c r="B3071" s="72" t="str">
        <f>VLOOKUP(A3071,'Componentes APUs'!$A$1:$D$14,2,0)</f>
        <v>Bota de seguridad dielectrica</v>
      </c>
      <c r="C3071" s="73"/>
      <c r="D3071" s="70" t="str">
        <f>VLOOKUP(A3071,'Componentes APUs'!$A$1:$D$14,3,0)</f>
        <v>Par</v>
      </c>
      <c r="E3071" s="50">
        <f>SUM(C3050:C3055)</f>
        <v>1.5</v>
      </c>
      <c r="F3071" s="51">
        <f>VLOOKUP(A3071,'Componentes APUs'!$A$1:$D$14,4,0)</f>
        <v>7500</v>
      </c>
      <c r="G3071" s="51">
        <f>ROUNDUP(F3071*(E3071/21)/E3035,0)</f>
        <v>128</v>
      </c>
    </row>
    <row r="3072" spans="1:9" x14ac:dyDescent="0.25">
      <c r="A3072" s="50" t="s">
        <v>76</v>
      </c>
      <c r="B3072" s="72" t="str">
        <f>VLOOKUP(A3072,'Componentes APUs'!$A$1:$D$14,2,0)</f>
        <v>Casco dielectrico Tipo 1 Clase E con barbuquejo</v>
      </c>
      <c r="C3072" s="73"/>
      <c r="D3072" s="50" t="str">
        <f>VLOOKUP(A3072,'Componentes APUs'!$A$1:$D$14,3,0)</f>
        <v>U</v>
      </c>
      <c r="E3072" s="50">
        <f>C3050+C3051+C3053+C3054+C3055+IF(A3052&lt;&gt;"MO-3",C3052,0)</f>
        <v>1.5</v>
      </c>
      <c r="F3072" s="51">
        <f>VLOOKUP(A3072,'Componentes APUs'!$A$1:$D$14,4,0)</f>
        <v>10101.010101010101</v>
      </c>
      <c r="G3072" s="51">
        <f>ROUNDUP(F3072*(E3072/21)/E3035,0)</f>
        <v>172</v>
      </c>
    </row>
    <row r="3073" spans="1:7" x14ac:dyDescent="0.25">
      <c r="A3073" s="69" t="s">
        <v>77</v>
      </c>
      <c r="B3073" s="72" t="str">
        <f>VLOOKUP(A3073,'Componentes APUs'!$A$1:$D$14,2,0)</f>
        <v>Correa plastica y antiflama</v>
      </c>
      <c r="C3073" s="73"/>
      <c r="D3073" s="50" t="str">
        <f>VLOOKUP(A3073,'Componentes APUs'!$A$1:$D$14,3,0)</f>
        <v>U</v>
      </c>
      <c r="E3073" s="50">
        <f>SUM(C3050:C3055)</f>
        <v>1.5</v>
      </c>
      <c r="F3073" s="51">
        <f>VLOOKUP(A3073,'Componentes APUs'!$A$1:$D$14,4,0)</f>
        <v>3787.878787878788</v>
      </c>
      <c r="G3073" s="51">
        <f>ROUNDUP(F3073*(E3073/21)/E3035,0)</f>
        <v>65</v>
      </c>
    </row>
    <row r="3074" spans="1:7" x14ac:dyDescent="0.25">
      <c r="A3074" s="50" t="s">
        <v>79</v>
      </c>
      <c r="B3074" s="72" t="str">
        <f>VLOOKUP(A3074,'Componentes APUs'!$A$1:$D$14,2,0)</f>
        <v>Gafas protectoras filtro UV</v>
      </c>
      <c r="C3074" s="73"/>
      <c r="D3074" s="50" t="str">
        <f>VLOOKUP(A3074,'Componentes APUs'!$A$1:$D$14,3,0)</f>
        <v>U</v>
      </c>
      <c r="E3074" s="50">
        <f>SUM(C3050:C3055)</f>
        <v>1.5</v>
      </c>
      <c r="F3074" s="51">
        <f>VLOOKUP(A3074,'Componentes APUs'!$A$1:$D$14,4,0)</f>
        <v>2777.7777777777778</v>
      </c>
      <c r="G3074" s="51">
        <f>ROUNDUP(F3074*(E3074/21)/E3035,0)</f>
        <v>48</v>
      </c>
    </row>
    <row r="3075" spans="1:7" x14ac:dyDescent="0.25">
      <c r="A3075" s="69" t="s">
        <v>402</v>
      </c>
      <c r="B3075" s="72" t="str">
        <f>VLOOKUP(A3075,'Componentes APUs'!$A$1:$D$14,2,0)</f>
        <v>Bota de seguridad PVC dielectrica</v>
      </c>
      <c r="C3075" s="73"/>
      <c r="D3075" s="50" t="str">
        <f>VLOOKUP(A3075,'Componentes APUs'!$A$1:$D$14,3,0)</f>
        <v>Par</v>
      </c>
      <c r="E3075" s="50">
        <f>SUM(C3050:C3055)</f>
        <v>1.5</v>
      </c>
      <c r="F3075" s="51">
        <f>VLOOKUP(A3075,'Componentes APUs'!$A$1:$D$14,4,0)</f>
        <v>2916.6666666666665</v>
      </c>
      <c r="G3075" s="51">
        <f>ROUNDUP(F3075*(E3075/21)/E3035,0)</f>
        <v>50</v>
      </c>
    </row>
    <row r="3076" spans="1:7" x14ac:dyDescent="0.25">
      <c r="A3076" s="50" t="s">
        <v>403</v>
      </c>
      <c r="B3076" s="72" t="str">
        <f>VLOOKUP(A3076,'Componentes APUs'!$A$1:$D$14,2,0)</f>
        <v>Capuchon</v>
      </c>
      <c r="C3076" s="73"/>
      <c r="D3076" s="50" t="str">
        <f>VLOOKUP(A3076,'Componentes APUs'!$A$1:$D$14,3,0)</f>
        <v>U</v>
      </c>
      <c r="E3076" s="50">
        <f>SUM(C3050:C3055)</f>
        <v>1.5</v>
      </c>
      <c r="F3076" s="51">
        <f>VLOOKUP(A3076,'Componentes APUs'!$A$1:$D$14,4,0)</f>
        <v>2525.2525252525252</v>
      </c>
      <c r="G3076" s="51">
        <f>ROUNDUP(F3076*(E3076/21)/E3035,0)</f>
        <v>43</v>
      </c>
    </row>
    <row r="3077" spans="1:7" x14ac:dyDescent="0.25">
      <c r="A3077" s="69" t="s">
        <v>81</v>
      </c>
      <c r="B3077" s="72" t="str">
        <f>VLOOKUP(A3077,'Componentes APUs'!$A$1:$D$14,2,0)</f>
        <v>Guantes Protectores  - ingeniero reforzados</v>
      </c>
      <c r="C3077" s="73"/>
      <c r="D3077" s="50" t="str">
        <f>VLOOKUP(A3077,'Componentes APUs'!$A$1:$D$14,3,0)</f>
        <v>Par</v>
      </c>
      <c r="E3077" s="50">
        <f>C3052+C3053+C3055</f>
        <v>1.25</v>
      </c>
      <c r="F3077" s="51">
        <f>VLOOKUP(A3077,'Componentes APUs'!$A$1:$D$14,4,0)</f>
        <v>2525.2525252525252</v>
      </c>
      <c r="G3077" s="51">
        <f>ROUNDUP(F3077*(E3077/21)/E3035,0)</f>
        <v>36</v>
      </c>
    </row>
    <row r="3078" spans="1:7" x14ac:dyDescent="0.25">
      <c r="A3078" s="50" t="s">
        <v>83</v>
      </c>
      <c r="B3078" s="72" t="str">
        <f>VLOOKUP(A3078,'Componentes APUs'!$A$1:$D$14,2,0)</f>
        <v>Impermeable (pantalon camisa)</v>
      </c>
      <c r="C3078" s="73"/>
      <c r="D3078" s="50" t="str">
        <f>VLOOKUP(A3078,'Componentes APUs'!$A$1:$D$14,3,0)</f>
        <v>U</v>
      </c>
      <c r="E3078" s="50">
        <f>SUM(C3050:C3055)</f>
        <v>1.5</v>
      </c>
      <c r="F3078" s="51">
        <f>VLOOKUP(A3078,'Componentes APUs'!$A$1:$D$14,4,0)</f>
        <v>3750</v>
      </c>
      <c r="G3078" s="51">
        <f>ROUNDUP(F3078*(E3078/21)/E3035,0)</f>
        <v>64</v>
      </c>
    </row>
    <row r="3079" spans="1:7" x14ac:dyDescent="0.25">
      <c r="A3079" s="69" t="s">
        <v>85</v>
      </c>
      <c r="B3079" s="72" t="str">
        <f>VLOOKUP(A3079,'Componentes APUs'!$A$1:$D$14,2,0)</f>
        <v>Jean Dielectrico</v>
      </c>
      <c r="C3079" s="73"/>
      <c r="D3079" s="50" t="str">
        <f>VLOOKUP(A3079,'Componentes APUs'!$A$1:$D$14,3,0)</f>
        <v>U</v>
      </c>
      <c r="E3079" s="50">
        <f>SUM(C3050:C3055)</f>
        <v>1.5</v>
      </c>
      <c r="F3079" s="51">
        <f>VLOOKUP(A3079,'Componentes APUs'!$A$1:$D$14,4,0)</f>
        <v>7575.757575757576</v>
      </c>
      <c r="G3079" s="51">
        <f>ROUNDUP(F3079*(E3079/21)/E3035,0)</f>
        <v>129</v>
      </c>
    </row>
    <row r="3080" spans="1:7" x14ac:dyDescent="0.25">
      <c r="A3080" s="50" t="s">
        <v>87</v>
      </c>
      <c r="B3080" s="72" t="str">
        <f>VLOOKUP(A3080,'Componentes APUs'!$A$1:$D$14,2,0)</f>
        <v>Casco dielectrico Tipo 2 Clase E con barboquejo</v>
      </c>
      <c r="C3080" s="73"/>
      <c r="D3080" s="50" t="str">
        <f>VLOOKUP(A3080,'Componentes APUs'!$A$1:$D$14,3,0)</f>
        <v>U</v>
      </c>
      <c r="E3080" s="53">
        <f>IF(A3052="MO-3",C3052,0)</f>
        <v>0</v>
      </c>
      <c r="F3080" s="51">
        <f>VLOOKUP(A3080,'Componentes APUs'!$A$1:$D$14,4,0)</f>
        <v>7500</v>
      </c>
      <c r="G3080" s="51">
        <f>ROUNDUP(F3080*(E3080/21)/E3035,0)</f>
        <v>0</v>
      </c>
    </row>
    <row r="3081" spans="1:7" x14ac:dyDescent="0.25">
      <c r="A3081" s="69" t="s">
        <v>89</v>
      </c>
      <c r="B3081" s="72" t="str">
        <f>VLOOKUP(A3081,'Componentes APUs'!$A$1:$D$14,2,0)</f>
        <v>Kit de rescate para trabajo en alturas</v>
      </c>
      <c r="C3081" s="73"/>
      <c r="D3081" s="50" t="str">
        <f>VLOOKUP(A3081,'Componentes APUs'!$A$1:$D$14,3,0)</f>
        <v>U</v>
      </c>
      <c r="E3081" s="50">
        <f>IF(AND(A3052="MO-3",C3052=2),1,0)</f>
        <v>0</v>
      </c>
      <c r="F3081" s="51">
        <f>VLOOKUP(A3081,'Componentes APUs'!$A$1:$D$14,4,0)</f>
        <v>37500</v>
      </c>
      <c r="G3081" s="51">
        <f>ROUNDUP(F3081*(E3081/21)/E3035,0)</f>
        <v>0</v>
      </c>
    </row>
    <row r="3082" spans="1:7" x14ac:dyDescent="0.25">
      <c r="A3082" s="50" t="s">
        <v>91</v>
      </c>
      <c r="B3082" s="72" t="str">
        <f>VLOOKUP(A3082,'Componentes APUs'!$A$1:$D$14,2,0)</f>
        <v>Equipo completo para trabajo en alturas con pretales (Arnes dielectrico, 1 mosqueton de seguridad, tie off dielectrico, eslinga de posicionamiento, juego de pretales)</v>
      </c>
      <c r="C3082" s="73"/>
      <c r="D3082" s="50" t="str">
        <f>VLOOKUP(A3082,'Componentes APUs'!$A$1:$D$14,3,0)</f>
        <v>U</v>
      </c>
      <c r="E3082" s="50">
        <f>IF(A3052="MO-3",C3052,0)</f>
        <v>0</v>
      </c>
      <c r="F3082" s="51">
        <f>VLOOKUP(A3082,'Componentes APUs'!$A$1:$D$14,4,0)</f>
        <v>26041.666666666668</v>
      </c>
      <c r="G3082" s="51">
        <f>ROUNDUP(F3082*(E3082/21)/E3035,0)</f>
        <v>0</v>
      </c>
    </row>
    <row r="3083" spans="1:7" x14ac:dyDescent="0.25">
      <c r="A3083" s="219" t="s">
        <v>95</v>
      </c>
      <c r="B3083" s="219"/>
      <c r="C3083" s="219"/>
      <c r="D3083" s="219"/>
      <c r="E3083" s="219"/>
      <c r="F3083" s="219"/>
      <c r="G3083" s="52">
        <f>SUM(G3070:G3082)</f>
        <v>882</v>
      </c>
    </row>
    <row r="3084" spans="1:7" x14ac:dyDescent="0.25">
      <c r="A3084" s="56"/>
      <c r="B3084" s="57"/>
      <c r="C3084" s="57"/>
      <c r="D3084" s="57"/>
      <c r="E3084" s="57"/>
      <c r="F3084" s="57"/>
      <c r="G3084" s="58"/>
    </row>
    <row r="3085" spans="1:7" x14ac:dyDescent="0.25">
      <c r="A3085" s="219" t="s">
        <v>96</v>
      </c>
      <c r="B3085" s="219"/>
      <c r="C3085" s="219"/>
      <c r="D3085" s="219"/>
      <c r="E3085" s="219"/>
      <c r="F3085" s="219"/>
      <c r="G3085" s="219"/>
    </row>
    <row r="3086" spans="1:7" x14ac:dyDescent="0.25">
      <c r="A3086" s="49" t="s">
        <v>35</v>
      </c>
      <c r="B3086" s="225" t="s">
        <v>36</v>
      </c>
      <c r="C3086" s="225"/>
      <c r="D3086" s="49" t="s">
        <v>37</v>
      </c>
      <c r="E3086" s="49" t="s">
        <v>38</v>
      </c>
      <c r="F3086" s="49" t="s">
        <v>39</v>
      </c>
      <c r="G3086" s="49" t="s">
        <v>40</v>
      </c>
    </row>
    <row r="3087" spans="1:7" x14ac:dyDescent="0.25">
      <c r="A3087" s="69" t="s">
        <v>97</v>
      </c>
      <c r="B3087" s="72" t="str">
        <f>VLOOKUP(A3087,'Componentes APUs'!$N$1:$Q$30,2,0)</f>
        <v>Camioneta</v>
      </c>
      <c r="C3087" s="73"/>
      <c r="D3087" s="70" t="str">
        <f>VLOOKUP(A3087,'Componentes APUs'!$N$1:$Q$30,3,0)</f>
        <v>U</v>
      </c>
      <c r="E3087" s="50">
        <v>1</v>
      </c>
      <c r="F3087" s="51">
        <f>VLOOKUP(A3087,'Componentes APUs'!$N$1:$Q$30,4,0)</f>
        <v>5500000</v>
      </c>
      <c r="G3087" s="51">
        <f>IFERROR(ROUNDUP(F3087*(E3087/21)/E3035,0),"-")</f>
        <v>62359</v>
      </c>
    </row>
    <row r="3088" spans="1:7" x14ac:dyDescent="0.25">
      <c r="A3088" s="50" t="s">
        <v>321</v>
      </c>
      <c r="B3088" s="72" t="str">
        <f>VLOOKUP(A3088,'Componentes APUs'!$N$1:$Q$30,2,0)</f>
        <v>Grúa Hidráulica</v>
      </c>
      <c r="C3088" s="73"/>
      <c r="D3088" s="70" t="str">
        <f>VLOOKUP(A3088,'Componentes APUs'!$N$1:$Q$30,3,0)</f>
        <v>U</v>
      </c>
      <c r="E3088" s="50">
        <v>0</v>
      </c>
      <c r="F3088" s="51">
        <f>VLOOKUP(A3088,'Componentes APUs'!$N$1:$Q$30,4,0)</f>
        <v>21000000</v>
      </c>
      <c r="G3088" s="51">
        <f>IFERROR(ROUNDUP(F3088*(E3088/21)/E3035,0),"-")</f>
        <v>0</v>
      </c>
    </row>
    <row r="3089" spans="1:7" x14ac:dyDescent="0.25">
      <c r="A3089" s="69" t="s">
        <v>1379</v>
      </c>
      <c r="B3089" s="72" t="str">
        <f>VLOOKUP(A3089,'Componentes APUs'!$N$1:$Q$30,2,0)</f>
        <v>Dumper de descarga Frontal 2T</v>
      </c>
      <c r="C3089" s="73"/>
      <c r="D3089" s="70" t="str">
        <f>VLOOKUP(A3089,'Componentes APUs'!$N$1:$Q$30,3,0)</f>
        <v>U</v>
      </c>
      <c r="E3089" s="50">
        <v>0</v>
      </c>
      <c r="F3089" s="51">
        <f>VLOOKUP(A3089,'Componentes APUs'!$N$1:$Q$30,4,0)</f>
        <v>4438716.24</v>
      </c>
      <c r="G3089" s="51">
        <f>IFERROR(ROUNDUP(F3089*(E3089/21)/E3035,0),"-")</f>
        <v>0</v>
      </c>
    </row>
    <row r="3090" spans="1:7" x14ac:dyDescent="0.25">
      <c r="A3090" s="50" t="s">
        <v>323</v>
      </c>
      <c r="B3090" s="72" t="str">
        <f>VLOOKUP(A3090,'Componentes APUs'!$N$1:$Q$30,2,0)</f>
        <v>Volqueta</v>
      </c>
      <c r="C3090" s="73"/>
      <c r="D3090" s="70" t="str">
        <f>VLOOKUP(A3090,'Componentes APUs'!$N$1:$Q$30,3,0)</f>
        <v>U</v>
      </c>
      <c r="E3090" s="50">
        <v>0</v>
      </c>
      <c r="F3090" s="51">
        <f>VLOOKUP(A3090,'Componentes APUs'!$N$1:$Q$30,4,0)</f>
        <v>14828184</v>
      </c>
      <c r="G3090" s="51">
        <f>IFERROR(ROUNDUP(F3090*(E3090/21)/E3035,0),"-")</f>
        <v>0</v>
      </c>
    </row>
    <row r="3091" spans="1:7" x14ac:dyDescent="0.25">
      <c r="A3091" s="69" t="s">
        <v>324</v>
      </c>
      <c r="B3091" s="72" t="str">
        <f>VLOOKUP(A3091,'Componentes APUs'!$N$1:$Q$30,2,0)</f>
        <v>Retroexcavadora</v>
      </c>
      <c r="C3091" s="73"/>
      <c r="D3091" s="70" t="str">
        <f>VLOOKUP(A3091,'Componentes APUs'!$N$1:$Q$30,3,0)</f>
        <v>U</v>
      </c>
      <c r="E3091" s="50">
        <v>0</v>
      </c>
      <c r="F3091" s="51">
        <f>VLOOKUP(A3091,'Componentes APUs'!$N$1:$Q$30,4,0)</f>
        <v>46030656</v>
      </c>
      <c r="G3091" s="51">
        <f>IFERROR(ROUNDUP(F3091*(E3091/21)/E3035,0),"-")</f>
        <v>0</v>
      </c>
    </row>
    <row r="3092" spans="1:7" x14ac:dyDescent="0.25">
      <c r="A3092" s="219" t="s">
        <v>99</v>
      </c>
      <c r="B3092" s="219"/>
      <c r="C3092" s="219"/>
      <c r="D3092" s="219"/>
      <c r="E3092" s="219"/>
      <c r="F3092" s="219"/>
      <c r="G3092" s="52">
        <f>SUM(G3087:G3091)</f>
        <v>62359</v>
      </c>
    </row>
    <row r="3093" spans="1:7" x14ac:dyDescent="0.25">
      <c r="A3093" s="56"/>
      <c r="B3093" s="57"/>
      <c r="C3093" s="57"/>
      <c r="D3093" s="57"/>
      <c r="E3093" s="57"/>
      <c r="F3093" s="57"/>
      <c r="G3093" s="58"/>
    </row>
    <row r="3094" spans="1:7" x14ac:dyDescent="0.25">
      <c r="A3094" s="219" t="s">
        <v>1516</v>
      </c>
      <c r="B3094" s="219"/>
      <c r="C3094" s="219"/>
      <c r="D3094" s="219"/>
      <c r="E3094" s="219"/>
      <c r="F3094" s="219"/>
      <c r="G3094" s="52">
        <f>G3092+G3083+G3066+G3056+G3046</f>
        <v>133163</v>
      </c>
    </row>
    <row r="3095" spans="1:7" x14ac:dyDescent="0.25">
      <c r="A3095" s="59"/>
      <c r="B3095" s="60"/>
      <c r="C3095" s="60"/>
      <c r="D3095" s="60"/>
      <c r="E3095" s="57"/>
      <c r="F3095" s="57"/>
      <c r="G3095" s="58"/>
    </row>
    <row r="3096" spans="1:7" x14ac:dyDescent="0.25">
      <c r="A3096" s="64"/>
      <c r="D3096" s="55"/>
      <c r="E3096" s="49" t="s">
        <v>25</v>
      </c>
      <c r="F3096" s="54">
        <v>0.15</v>
      </c>
      <c r="G3096" s="51">
        <f>G3094*F3096</f>
        <v>19974.45</v>
      </c>
    </row>
    <row r="3097" spans="1:7" x14ac:dyDescent="0.25">
      <c r="A3097" s="64"/>
      <c r="D3097" s="55"/>
      <c r="E3097" s="49" t="s">
        <v>26</v>
      </c>
      <c r="F3097" s="54">
        <v>0.05</v>
      </c>
      <c r="G3097" s="51">
        <f>G3094*F3097</f>
        <v>6658.1500000000005</v>
      </c>
    </row>
    <row r="3098" spans="1:7" x14ac:dyDescent="0.25">
      <c r="A3098" s="61"/>
      <c r="B3098" s="65"/>
      <c r="C3098" s="65"/>
      <c r="D3098" s="62"/>
      <c r="E3098" s="49" t="s">
        <v>27</v>
      </c>
      <c r="F3098" s="54">
        <v>0.05</v>
      </c>
      <c r="G3098" s="51">
        <f>G3094*F3098</f>
        <v>6658.1500000000005</v>
      </c>
    </row>
    <row r="3099" spans="1:7" x14ac:dyDescent="0.25">
      <c r="A3099" s="61"/>
      <c r="B3099" s="62"/>
      <c r="C3099" s="62"/>
      <c r="D3099" s="62"/>
      <c r="E3099" s="62"/>
      <c r="F3099" s="62"/>
      <c r="G3099" s="63"/>
    </row>
    <row r="3100" spans="1:7" x14ac:dyDescent="0.25">
      <c r="A3100" s="219" t="s">
        <v>1517</v>
      </c>
      <c r="B3100" s="219"/>
      <c r="C3100" s="219"/>
      <c r="D3100" s="219"/>
      <c r="E3100" s="219"/>
      <c r="F3100" s="219"/>
      <c r="G3100" s="52">
        <f>G3094+G3096+G3097+G3098</f>
        <v>166453.75</v>
      </c>
    </row>
    <row r="3101" spans="1:7" x14ac:dyDescent="0.25">
      <c r="A3101" s="59"/>
      <c r="B3101" s="60"/>
      <c r="C3101" s="60"/>
      <c r="D3101" s="60"/>
      <c r="E3101" s="57"/>
      <c r="F3101" s="57"/>
      <c r="G3101" s="58"/>
    </row>
    <row r="3102" spans="1:7" x14ac:dyDescent="0.25">
      <c r="A3102" s="64"/>
      <c r="D3102" s="55"/>
      <c r="E3102" s="49" t="s">
        <v>102</v>
      </c>
      <c r="F3102" s="49" t="s">
        <v>103</v>
      </c>
      <c r="G3102" s="51">
        <f>G3098*19%</f>
        <v>1265.0485000000001</v>
      </c>
    </row>
    <row r="3103" spans="1:7" x14ac:dyDescent="0.25">
      <c r="A3103" s="61"/>
      <c r="B3103" s="62"/>
      <c r="C3103" s="62"/>
      <c r="D3103" s="62"/>
      <c r="E3103" s="57"/>
      <c r="F3103" s="57"/>
      <c r="G3103" s="58"/>
    </row>
    <row r="3104" spans="1:7" x14ac:dyDescent="0.25">
      <c r="A3104" s="219" t="s">
        <v>104</v>
      </c>
      <c r="B3104" s="219"/>
      <c r="C3104" s="219"/>
      <c r="D3104" s="219"/>
      <c r="E3104" s="219"/>
      <c r="F3104" s="219"/>
      <c r="G3104" s="52">
        <f>G3102+G3100</f>
        <v>167718.7985</v>
      </c>
    </row>
    <row r="3106" spans="1:9" x14ac:dyDescent="0.25">
      <c r="A3106" s="74" t="s">
        <v>29</v>
      </c>
      <c r="B3106" s="226" t="s">
        <v>30</v>
      </c>
      <c r="C3106" s="226"/>
      <c r="D3106" s="74" t="s">
        <v>31</v>
      </c>
      <c r="E3106" s="74" t="s">
        <v>32</v>
      </c>
      <c r="F3106" s="74" t="s">
        <v>189</v>
      </c>
      <c r="G3106" s="74" t="s">
        <v>33</v>
      </c>
      <c r="H3106" s="105"/>
    </row>
    <row r="3107" spans="1:9" ht="26.25" customHeight="1" x14ac:dyDescent="0.25">
      <c r="A3107" s="50" t="str">
        <f>Presupuesto!B61</f>
        <v>048_OC</v>
      </c>
      <c r="B3107" s="229" t="str">
        <f>Presupuesto!C61</f>
        <v>TUBO PVC DE Ø4". INCLUYE CODOS, UNIONES, SOLDADURA Y LIMPIADOR</v>
      </c>
      <c r="C3107" s="230"/>
      <c r="D3107" s="50" t="s">
        <v>16</v>
      </c>
      <c r="E3107" s="107">
        <v>8</v>
      </c>
      <c r="F3107" s="50"/>
      <c r="G3107" s="51">
        <f>G3176</f>
        <v>68966.441500000015</v>
      </c>
      <c r="H3107" s="45"/>
    </row>
    <row r="3108" spans="1:9" x14ac:dyDescent="0.25">
      <c r="A3108" s="219" t="s">
        <v>34</v>
      </c>
      <c r="B3108" s="219"/>
      <c r="C3108" s="219"/>
      <c r="D3108" s="219"/>
      <c r="E3108" s="219"/>
      <c r="F3108" s="219"/>
      <c r="G3108" s="219"/>
    </row>
    <row r="3109" spans="1:9" x14ac:dyDescent="0.25">
      <c r="A3109" s="49" t="s">
        <v>35</v>
      </c>
      <c r="B3109" s="219" t="s">
        <v>36</v>
      </c>
      <c r="C3109" s="219"/>
      <c r="D3109" s="49" t="s">
        <v>37</v>
      </c>
      <c r="E3109" s="49" t="s">
        <v>38</v>
      </c>
      <c r="F3109" s="49" t="s">
        <v>39</v>
      </c>
      <c r="G3109" s="49" t="s">
        <v>40</v>
      </c>
    </row>
    <row r="3110" spans="1:9" x14ac:dyDescent="0.25">
      <c r="A3110" s="50" t="str">
        <f>Material!A467</f>
        <v>MA-466</v>
      </c>
      <c r="B3110" s="72" t="str">
        <f>IFERROR(VLOOKUP(A3110,Material!$A:$H,2,0),"-")</f>
        <v xml:space="preserve">TUBERÍA SANITARIA PVC 4" </v>
      </c>
      <c r="C3110" s="76"/>
      <c r="D3110" s="50" t="str">
        <f>IFERROR(VLOOKUP(A3110,Material!$A:$H,4,0),"-")</f>
        <v>ML</v>
      </c>
      <c r="E3110" s="107">
        <v>1</v>
      </c>
      <c r="F3110" s="51">
        <f>IFERROR(VLOOKUP(A3110,Material!$A:$H,3,0),"-")</f>
        <v>20560.8</v>
      </c>
      <c r="G3110" s="51">
        <f t="shared" ref="G3110:G3117" si="44">IFERROR(ROUNDUP(F3110*E3110,0),"-")</f>
        <v>20561</v>
      </c>
      <c r="H3110" s="106"/>
    </row>
    <row r="3111" spans="1:9" x14ac:dyDescent="0.25">
      <c r="A3111" s="50" t="str">
        <f>Material!A468</f>
        <v>MA-467</v>
      </c>
      <c r="B3111" s="72" t="str">
        <f>IFERROR(VLOOKUP(A3111,Material!$A:$H,2,0),"-")</f>
        <v xml:space="preserve">CODO SANITARIO PVC 4" </v>
      </c>
      <c r="C3111" s="76"/>
      <c r="D3111" s="50" t="str">
        <f>IFERROR(VLOOKUP(A3111,Material!$A:$H,4,0),"-")</f>
        <v>UN</v>
      </c>
      <c r="E3111" s="107">
        <f>1/20</f>
        <v>0.05</v>
      </c>
      <c r="F3111" s="51">
        <f>IFERROR(VLOOKUP(A3111,Material!$A:$H,3,0),"-")</f>
        <v>10400</v>
      </c>
      <c r="G3111" s="51">
        <f t="shared" si="44"/>
        <v>520</v>
      </c>
      <c r="H3111" s="106"/>
    </row>
    <row r="3112" spans="1:9" x14ac:dyDescent="0.25">
      <c r="A3112" s="50" t="str">
        <f>Material!A469</f>
        <v>MA-468</v>
      </c>
      <c r="B3112" s="72" t="str">
        <f>IFERROR(VLOOKUP(A3112,Material!$A:$H,2,0),"-")</f>
        <v>UNION SANITARIA PVC 4"</v>
      </c>
      <c r="C3112" s="76"/>
      <c r="D3112" s="50" t="str">
        <f>IFERROR(VLOOKUP(A3112,Material!$A:$H,4,0),"-")</f>
        <v>UN</v>
      </c>
      <c r="E3112" s="107">
        <f>1/30</f>
        <v>3.3333333333333333E-2</v>
      </c>
      <c r="F3112" s="51">
        <f>IFERROR(VLOOKUP(A3112,Material!$A:$H,3,0),"-")</f>
        <v>6240</v>
      </c>
      <c r="G3112" s="51">
        <f t="shared" si="44"/>
        <v>208</v>
      </c>
      <c r="H3112" s="106"/>
    </row>
    <row r="3113" spans="1:9" x14ac:dyDescent="0.25">
      <c r="A3113" s="50" t="str">
        <f>Material!A201</f>
        <v>MA-200</v>
      </c>
      <c r="B3113" s="72" t="str">
        <f>IFERROR(VLOOKUP(A3113,Material!$A:$H,2,0),"-")</f>
        <v>SOLDADURA PVC 1/4 GL</v>
      </c>
      <c r="C3113" s="76"/>
      <c r="D3113" s="50" t="str">
        <f>IFERROR(VLOOKUP(A3113,Material!$A:$H,4,0),"-")</f>
        <v>GALÓN</v>
      </c>
      <c r="E3113" s="107">
        <f>1/60</f>
        <v>1.6666666666666666E-2</v>
      </c>
      <c r="F3113" s="51">
        <f>IFERROR(VLOOKUP(A3113,Material!$A:$H,3,0),"-")</f>
        <v>88270</v>
      </c>
      <c r="G3113" s="51">
        <f>IFERROR(ROUNDUP(F3113*E3113,0),"-")</f>
        <v>1472</v>
      </c>
      <c r="H3113" s="106"/>
    </row>
    <row r="3114" spans="1:9" x14ac:dyDescent="0.25">
      <c r="A3114" s="50" t="str">
        <f>Material!A253</f>
        <v>MA-252</v>
      </c>
      <c r="B3114" s="72" t="str">
        <f>IFERROR(VLOOKUP(A3114,Material!$A:$H,2,0),"-")</f>
        <v>LIMPIADOR DE TUBERÍA PVC 1/4 GL</v>
      </c>
      <c r="C3114" s="76"/>
      <c r="D3114" s="50" t="str">
        <f>IFERROR(VLOOKUP(A3114,Material!$A:$H,4,0),"-")</f>
        <v>GALÓN</v>
      </c>
      <c r="E3114" s="107">
        <f>1/60</f>
        <v>1.6666666666666666E-2</v>
      </c>
      <c r="F3114" s="51">
        <f>IFERROR(VLOOKUP(A3114,Material!$A:$H,3,0),"-")</f>
        <v>60970</v>
      </c>
      <c r="G3114" s="51">
        <f>IFERROR(ROUNDUP(F3114*E3114,0),"-")</f>
        <v>1017</v>
      </c>
      <c r="H3114" s="106"/>
    </row>
    <row r="3115" spans="1:9" x14ac:dyDescent="0.25">
      <c r="A3115" s="50"/>
      <c r="B3115" s="72" t="str">
        <f>IFERROR(VLOOKUP(A3115,Material!$A:$H,2,0),"-")</f>
        <v>-</v>
      </c>
      <c r="C3115" s="76"/>
      <c r="D3115" s="50" t="str">
        <f>IFERROR(VLOOKUP(A3115,Material!$A:$H,4,0),"-")</f>
        <v>-</v>
      </c>
      <c r="E3115" s="107"/>
      <c r="F3115" s="51" t="str">
        <f>IFERROR(VLOOKUP(A3115,Material!$A:$H,3,0),"-")</f>
        <v>-</v>
      </c>
      <c r="G3115" s="51" t="str">
        <f t="shared" si="44"/>
        <v>-</v>
      </c>
      <c r="H3115" s="106"/>
    </row>
    <row r="3116" spans="1:9" x14ac:dyDescent="0.25">
      <c r="A3116" s="50"/>
      <c r="B3116" s="72" t="str">
        <f>IFERROR(VLOOKUP(A3116,Material!$A:$H,2,0),"-")</f>
        <v>-</v>
      </c>
      <c r="C3116" s="76"/>
      <c r="D3116" s="50" t="str">
        <f>IFERROR(VLOOKUP(A3116,Material!$A:$H,4,0),"-")</f>
        <v>-</v>
      </c>
      <c r="E3116" s="107"/>
      <c r="F3116" s="51" t="str">
        <f>IFERROR(VLOOKUP(A3116,Material!$A:$H,3,0),"-")</f>
        <v>-</v>
      </c>
      <c r="G3116" s="51" t="str">
        <f t="shared" si="44"/>
        <v>-</v>
      </c>
      <c r="H3116" s="106"/>
    </row>
    <row r="3117" spans="1:9" x14ac:dyDescent="0.25">
      <c r="A3117" s="50"/>
      <c r="B3117" s="72" t="str">
        <f>IFERROR(VLOOKUP(A3117,Material!$A:$H,2,0),"-")</f>
        <v>-</v>
      </c>
      <c r="C3117" s="76"/>
      <c r="D3117" s="50" t="str">
        <f>IFERROR(VLOOKUP(A3117,Material!$A:$H,4,0),"-")</f>
        <v>-</v>
      </c>
      <c r="E3117" s="107"/>
      <c r="F3117" s="51" t="str">
        <f>IFERROR(VLOOKUP(A3117,Material!$A:$H,3,0),"-")</f>
        <v>-</v>
      </c>
      <c r="G3117" s="51" t="str">
        <f t="shared" si="44"/>
        <v>-</v>
      </c>
      <c r="H3117" s="106"/>
    </row>
    <row r="3118" spans="1:9" x14ac:dyDescent="0.25">
      <c r="A3118" s="219" t="s">
        <v>41</v>
      </c>
      <c r="B3118" s="219"/>
      <c r="C3118" s="219"/>
      <c r="D3118" s="219"/>
      <c r="E3118" s="219"/>
      <c r="F3118" s="219"/>
      <c r="G3118" s="52">
        <f>SUM(G3110:G3117)</f>
        <v>23778</v>
      </c>
      <c r="I3118" s="104"/>
    </row>
    <row r="3119" spans="1:9" x14ac:dyDescent="0.25">
      <c r="A3119" s="56"/>
      <c r="B3119" s="57"/>
      <c r="C3119" s="57"/>
      <c r="D3119" s="57"/>
      <c r="E3119" s="57"/>
      <c r="F3119" s="57"/>
      <c r="G3119" s="58"/>
    </row>
    <row r="3120" spans="1:9" x14ac:dyDescent="0.25">
      <c r="A3120" s="219" t="s">
        <v>42</v>
      </c>
      <c r="B3120" s="219"/>
      <c r="C3120" s="219"/>
      <c r="D3120" s="219"/>
      <c r="E3120" s="219"/>
      <c r="F3120" s="219"/>
      <c r="G3120" s="219"/>
    </row>
    <row r="3121" spans="1:9" x14ac:dyDescent="0.25">
      <c r="A3121" s="49" t="s">
        <v>35</v>
      </c>
      <c r="B3121" s="49" t="s">
        <v>36</v>
      </c>
      <c r="C3121" s="49" t="s">
        <v>38</v>
      </c>
      <c r="D3121" s="49" t="s">
        <v>43</v>
      </c>
      <c r="E3121" s="49" t="s">
        <v>44</v>
      </c>
      <c r="F3121" s="49" t="s">
        <v>45</v>
      </c>
      <c r="G3121" s="49" t="s">
        <v>40</v>
      </c>
    </row>
    <row r="3122" spans="1:9" x14ac:dyDescent="0.25">
      <c r="A3122" s="50" t="s">
        <v>319</v>
      </c>
      <c r="B3122" s="68" t="str">
        <f>VLOOKUP(A3122,'Componentes APUs'!$H$1:$L$25,2,0)</f>
        <v>Ingeniero Residente de Obra</v>
      </c>
      <c r="C3122" s="93">
        <v>0</v>
      </c>
      <c r="D3122" s="50">
        <f>VLOOKUP(A3122,'Componentes APUs'!$H$1:$L$25,3,0)</f>
        <v>4</v>
      </c>
      <c r="E3122" s="51">
        <f>VLOOKUP(A3122,'Componentes APUs'!$H$1:$L$25,4,0)</f>
        <v>271142.85714285716</v>
      </c>
      <c r="F3122" s="51">
        <f>VLOOKUP(A3122,'Componentes APUs'!$H$1:$L$25,5,0)</f>
        <v>162685.71428571429</v>
      </c>
      <c r="G3122" s="51">
        <f>ROUNDUP((E3122+F3122)*C3122/E3107,0)</f>
        <v>0</v>
      </c>
      <c r="H3122" s="66"/>
    </row>
    <row r="3123" spans="1:9" x14ac:dyDescent="0.25">
      <c r="A3123" s="50" t="s">
        <v>320</v>
      </c>
      <c r="B3123" s="68" t="str">
        <f>VLOOKUP(A3123,'Componentes APUs'!$H$1:$L$25,2,0)</f>
        <v>Tecnico Supervisor</v>
      </c>
      <c r="C3123" s="93">
        <v>0</v>
      </c>
      <c r="D3123" s="50">
        <f>VLOOKUP(A3123,'Componentes APUs'!$H$1:$L$25,3,0)</f>
        <v>2.2999999999999998</v>
      </c>
      <c r="E3123" s="51">
        <f>VLOOKUP(A3123,'Componentes APUs'!$H$1:$L$25,4,0)</f>
        <v>155907.14285714284</v>
      </c>
      <c r="F3123" s="51">
        <f>VLOOKUP(A3123,'Componentes APUs'!$H$1:$L$25,5,0)</f>
        <v>93544.285714285696</v>
      </c>
      <c r="G3123" s="51">
        <f>ROUNDUP((E3123+F3123)*C3123/E3107,0)</f>
        <v>0</v>
      </c>
    </row>
    <row r="3124" spans="1:9" x14ac:dyDescent="0.25">
      <c r="A3124" s="50" t="s">
        <v>54</v>
      </c>
      <c r="B3124" s="68" t="str">
        <f>VLOOKUP(A3124,'Componentes APUs'!$H$1:$L$25,2,0)</f>
        <v>Maestro de obra civil</v>
      </c>
      <c r="C3124" s="93">
        <v>0</v>
      </c>
      <c r="D3124" s="50">
        <f>VLOOKUP(A3124,'Componentes APUs'!$H$1:$L$25,3,0)</f>
        <v>2.5</v>
      </c>
      <c r="E3124" s="51">
        <f>VLOOKUP(A3124,'Componentes APUs'!$H$1:$L$25,4,0)</f>
        <v>169464.28571428571</v>
      </c>
      <c r="F3124" s="51">
        <f>VLOOKUP(A3124,'Componentes APUs'!$H$1:$L$25,5,0)</f>
        <v>101678.57142857142</v>
      </c>
      <c r="G3124" s="51">
        <f>ROUNDUP((E3124+F3124)*C3124/E3107,0)</f>
        <v>0</v>
      </c>
    </row>
    <row r="3125" spans="1:9" x14ac:dyDescent="0.25">
      <c r="A3125" s="50" t="s">
        <v>1110</v>
      </c>
      <c r="B3125" s="68" t="str">
        <f>VLOOKUP(A3125,'Componentes APUs'!$H$1:$L$25,2,0)</f>
        <v>Oficial de Obra Civil</v>
      </c>
      <c r="C3125" s="93">
        <v>0.25</v>
      </c>
      <c r="D3125" s="50">
        <f>VLOOKUP(A3125,'Componentes APUs'!$H$1:$L$25,3,0)</f>
        <v>1.5</v>
      </c>
      <c r="E3125" s="51">
        <f>VLOOKUP(A3125,'Componentes APUs'!$H$1:$L$25,4,0)</f>
        <v>115964.28571428571</v>
      </c>
      <c r="F3125" s="51">
        <f>VLOOKUP(A3125,'Componentes APUs'!$H$1:$L$25,5,0)</f>
        <v>69578.57142857142</v>
      </c>
      <c r="G3125" s="51">
        <f>ROUNDUP((E3125+F3125)*C3125/E3107,0)</f>
        <v>5799</v>
      </c>
    </row>
    <row r="3126" spans="1:9" x14ac:dyDescent="0.25">
      <c r="A3126" s="50" t="s">
        <v>50</v>
      </c>
      <c r="B3126" s="68" t="str">
        <f>VLOOKUP(A3126,'Componentes APUs'!$H$1:$L$25,2,0)</f>
        <v>Profesional en SST</v>
      </c>
      <c r="C3126" s="93">
        <v>0.25</v>
      </c>
      <c r="D3126" s="50">
        <f>VLOOKUP(A3126,'Componentes APUs'!$H$1:$L$25,3,0)</f>
        <v>2.5</v>
      </c>
      <c r="E3126" s="51">
        <f>VLOOKUP(A3126,'Componentes APUs'!$H$1:$L$25,4,0)</f>
        <v>169464.28571428571</v>
      </c>
      <c r="F3126" s="51">
        <f>VLOOKUP(A3126,'Componentes APUs'!$H$1:$L$25,5,0)</f>
        <v>101678.57142857142</v>
      </c>
      <c r="G3126" s="51">
        <f>ROUNDUP((E3126+F3126)*C3126/E3107,0)</f>
        <v>8474</v>
      </c>
    </row>
    <row r="3127" spans="1:9" x14ac:dyDescent="0.25">
      <c r="A3127" s="50" t="s">
        <v>1109</v>
      </c>
      <c r="B3127" s="68" t="str">
        <f>VLOOKUP(A3127,'Componentes APUs'!$H$1:$L$25,2,0)</f>
        <v>Ayudante de Obra Civil</v>
      </c>
      <c r="C3127" s="93">
        <v>1</v>
      </c>
      <c r="D3127" s="50">
        <f>VLOOKUP(A3127,'Componentes APUs'!$H$1:$L$25,3,0)</f>
        <v>1</v>
      </c>
      <c r="E3127" s="51">
        <f>VLOOKUP(A3127,'Componentes APUs'!$H$1:$L$25,4,0)</f>
        <v>77309.523809523816</v>
      </c>
      <c r="F3127" s="51">
        <f>VLOOKUP(A3127,'Componentes APUs'!$H$1:$L$25,5,0)</f>
        <v>46385.71428571429</v>
      </c>
      <c r="G3127" s="51">
        <f>ROUNDUP((E3127+F3127)*C3127/E3107,0)</f>
        <v>15462</v>
      </c>
    </row>
    <row r="3128" spans="1:9" x14ac:dyDescent="0.25">
      <c r="A3128" s="219" t="s">
        <v>56</v>
      </c>
      <c r="B3128" s="219"/>
      <c r="C3128" s="219"/>
      <c r="D3128" s="219"/>
      <c r="E3128" s="219"/>
      <c r="F3128" s="219"/>
      <c r="G3128" s="52">
        <f>SUM(G3122:G3127)</f>
        <v>29735</v>
      </c>
    </row>
    <row r="3129" spans="1:9" x14ac:dyDescent="0.25">
      <c r="A3129" s="56"/>
      <c r="B3129" s="57"/>
      <c r="C3129" s="57"/>
      <c r="D3129" s="57"/>
      <c r="E3129" s="57"/>
      <c r="F3129" s="57"/>
      <c r="G3129" s="58"/>
    </row>
    <row r="3130" spans="1:9" x14ac:dyDescent="0.25">
      <c r="A3130" s="219" t="s">
        <v>57</v>
      </c>
      <c r="B3130" s="219"/>
      <c r="C3130" s="219"/>
      <c r="D3130" s="219"/>
      <c r="E3130" s="219"/>
      <c r="F3130" s="219"/>
      <c r="G3130" s="219"/>
    </row>
    <row r="3131" spans="1:9" x14ac:dyDescent="0.25">
      <c r="A3131" s="49" t="s">
        <v>35</v>
      </c>
      <c r="B3131" s="219" t="s">
        <v>36</v>
      </c>
      <c r="C3131" s="219"/>
      <c r="D3131" s="49" t="s">
        <v>37</v>
      </c>
      <c r="E3131" s="49" t="s">
        <v>38</v>
      </c>
      <c r="F3131" s="49" t="s">
        <v>39</v>
      </c>
      <c r="G3131" s="49" t="s">
        <v>40</v>
      </c>
    </row>
    <row r="3132" spans="1:9" x14ac:dyDescent="0.25">
      <c r="A3132" s="50" t="s">
        <v>326</v>
      </c>
      <c r="B3132" s="220" t="str">
        <f>VLOOKUP(A3132,'Componentes APUs'!$S$1:$V$10,2,0)</f>
        <v>Juego Llaves</v>
      </c>
      <c r="C3132" s="220"/>
      <c r="D3132" s="50" t="s">
        <v>18</v>
      </c>
      <c r="E3132" s="50">
        <v>0</v>
      </c>
      <c r="F3132" s="51">
        <f>VLOOKUP(A3132,'Componentes APUs'!$S$1:$V$10,4,0)</f>
        <v>9167</v>
      </c>
      <c r="G3132" s="51">
        <f>ROUNDUP(F3132*((E3132/21)/E3107),0)</f>
        <v>0</v>
      </c>
      <c r="I3132" s="91"/>
    </row>
    <row r="3133" spans="1:9" x14ac:dyDescent="0.25">
      <c r="A3133" s="50" t="s">
        <v>58</v>
      </c>
      <c r="B3133" s="220" t="str">
        <f>VLOOKUP(A3133,'Componentes APUs'!$S$1:$V$10,2,0)</f>
        <v>Manila de servicio</v>
      </c>
      <c r="C3133" s="220"/>
      <c r="D3133" s="50" t="s">
        <v>18</v>
      </c>
      <c r="E3133" s="50">
        <v>0</v>
      </c>
      <c r="F3133" s="51">
        <f>VLOOKUP(A3133,'Componentes APUs'!$S$1:$V$10,4,0)</f>
        <v>2333</v>
      </c>
      <c r="G3133" s="51">
        <f>ROUNDUP(F3133*((E3133/21)/E3107),0)</f>
        <v>0</v>
      </c>
    </row>
    <row r="3134" spans="1:9" x14ac:dyDescent="0.25">
      <c r="A3134" s="50" t="s">
        <v>327</v>
      </c>
      <c r="B3134" s="220" t="str">
        <f>VLOOKUP(A3134,'Componentes APUs'!$S$1:$V$10,2,0)</f>
        <v>Tula portaherramientas</v>
      </c>
      <c r="C3134" s="220"/>
      <c r="D3134" s="50" t="s">
        <v>18</v>
      </c>
      <c r="E3134" s="50">
        <v>0</v>
      </c>
      <c r="F3134" s="51">
        <f>VLOOKUP(A3134,'Componentes APUs'!$S$1:$V$10,4,0)</f>
        <v>1250</v>
      </c>
      <c r="G3134" s="51">
        <f>ROUNDUP(F3134*((E3134/21)/E3107),0)</f>
        <v>0</v>
      </c>
    </row>
    <row r="3135" spans="1:9" x14ac:dyDescent="0.25">
      <c r="A3135" s="50" t="s">
        <v>60</v>
      </c>
      <c r="B3135" s="220" t="str">
        <f>VLOOKUP(A3135,'Componentes APUs'!$S$1:$V$10,2,0)</f>
        <v>Agarradoras</v>
      </c>
      <c r="C3135" s="220"/>
      <c r="D3135" s="50" t="s">
        <v>18</v>
      </c>
      <c r="E3135" s="50">
        <v>0</v>
      </c>
      <c r="F3135" s="51">
        <f>VLOOKUP(A3135,'Componentes APUs'!$S$1:$V$10,4,0)</f>
        <v>125000</v>
      </c>
      <c r="G3135" s="51">
        <f>ROUNDUP(F3135*((E3135/21)/E3107),0)</f>
        <v>0</v>
      </c>
    </row>
    <row r="3136" spans="1:9" x14ac:dyDescent="0.25">
      <c r="A3136" s="50" t="s">
        <v>62</v>
      </c>
      <c r="B3136" s="220" t="str">
        <f>VLOOKUP(A3136,'Componentes APUs'!$S$1:$V$10,2,0)</f>
        <v>Templadoras</v>
      </c>
      <c r="C3136" s="220"/>
      <c r="D3136" s="50" t="s">
        <v>18</v>
      </c>
      <c r="E3136" s="50">
        <v>0</v>
      </c>
      <c r="F3136" s="51">
        <f>VLOOKUP(A3136,'Componentes APUs'!$S$1:$V$10,4,0)</f>
        <v>250000</v>
      </c>
      <c r="G3136" s="51">
        <f>ROUNDUP(F3136*((E3136/21)/E3107),0)</f>
        <v>0</v>
      </c>
    </row>
    <row r="3137" spans="1:9" x14ac:dyDescent="0.25">
      <c r="A3137" s="50" t="s">
        <v>328</v>
      </c>
      <c r="B3137" s="220" t="str">
        <f>VLOOKUP(A3137,'Componentes APUs'!$S$1:$V$10,2,0)</f>
        <v>Herramienta Menor</v>
      </c>
      <c r="C3137" s="220"/>
      <c r="D3137" s="50" t="s">
        <v>18</v>
      </c>
      <c r="E3137" s="50">
        <v>1</v>
      </c>
      <c r="F3137" s="51">
        <f>VLOOKUP(A3137,'Componentes APUs'!$S$1:$V$10,4,0)</f>
        <v>75758</v>
      </c>
      <c r="G3137" s="51">
        <f>ROUNDUP(F3137*((E3137/21)/E3107),0)</f>
        <v>451</v>
      </c>
    </row>
    <row r="3138" spans="1:9" x14ac:dyDescent="0.25">
      <c r="A3138" s="219" t="s">
        <v>69</v>
      </c>
      <c r="B3138" s="219"/>
      <c r="C3138" s="219"/>
      <c r="D3138" s="219"/>
      <c r="E3138" s="219"/>
      <c r="F3138" s="219"/>
      <c r="G3138" s="52">
        <f>SUM(G3132:G3137)</f>
        <v>451</v>
      </c>
    </row>
    <row r="3139" spans="1:9" x14ac:dyDescent="0.25">
      <c r="A3139" s="56"/>
      <c r="B3139" s="57"/>
      <c r="C3139" s="57"/>
      <c r="D3139" s="57"/>
      <c r="E3139" s="57"/>
      <c r="F3139" s="57"/>
      <c r="G3139" s="58"/>
    </row>
    <row r="3140" spans="1:9" x14ac:dyDescent="0.25">
      <c r="A3140" s="219" t="s">
        <v>70</v>
      </c>
      <c r="B3140" s="219"/>
      <c r="C3140" s="219"/>
      <c r="D3140" s="219"/>
      <c r="E3140" s="219"/>
      <c r="F3140" s="219"/>
      <c r="G3140" s="219"/>
    </row>
    <row r="3141" spans="1:9" x14ac:dyDescent="0.25">
      <c r="A3141" s="49" t="s">
        <v>35</v>
      </c>
      <c r="B3141" s="219" t="s">
        <v>36</v>
      </c>
      <c r="C3141" s="219"/>
      <c r="D3141" s="49" t="s">
        <v>37</v>
      </c>
      <c r="E3141" s="49" t="s">
        <v>38</v>
      </c>
      <c r="F3141" s="49" t="s">
        <v>39</v>
      </c>
      <c r="G3141" s="49" t="s">
        <v>40</v>
      </c>
    </row>
    <row r="3142" spans="1:9" x14ac:dyDescent="0.25">
      <c r="A3142" s="50" t="s">
        <v>71</v>
      </c>
      <c r="B3142" s="71" t="str">
        <f>VLOOKUP(A3142,'Componentes APUs'!$A$1:$D$14,2,0)</f>
        <v>Camisa indigo sin partes metalicas</v>
      </c>
      <c r="C3142" s="71"/>
      <c r="D3142" s="50" t="str">
        <f>VLOOKUP(A3142,'Componentes APUs'!$A$1:$D$14,3,0)</f>
        <v>U</v>
      </c>
      <c r="E3142" s="50">
        <f>SUM(C3122:C3127)</f>
        <v>1.5</v>
      </c>
      <c r="F3142" s="51">
        <f>VLOOKUP(A3142,'Componentes APUs'!$A$1:$D$14,4,0)</f>
        <v>8585.8585858585866</v>
      </c>
      <c r="G3142" s="51">
        <f>ROUNDUP(F3142*(E3142/21)/E3107,0)</f>
        <v>77</v>
      </c>
      <c r="I3142" s="91"/>
    </row>
    <row r="3143" spans="1:9" x14ac:dyDescent="0.25">
      <c r="A3143" s="69" t="s">
        <v>73</v>
      </c>
      <c r="B3143" s="72" t="str">
        <f>VLOOKUP(A3143,'Componentes APUs'!$A$1:$D$14,2,0)</f>
        <v>Bota de seguridad dielectrica</v>
      </c>
      <c r="C3143" s="73"/>
      <c r="D3143" s="70" t="str">
        <f>VLOOKUP(A3143,'Componentes APUs'!$A$1:$D$14,3,0)</f>
        <v>Par</v>
      </c>
      <c r="E3143" s="50">
        <f>SUM(C3122:C3127)</f>
        <v>1.5</v>
      </c>
      <c r="F3143" s="51">
        <f>VLOOKUP(A3143,'Componentes APUs'!$A$1:$D$14,4,0)</f>
        <v>7500</v>
      </c>
      <c r="G3143" s="51">
        <f>ROUNDUP(F3143*(E3143/21)/E3107,0)</f>
        <v>67</v>
      </c>
    </row>
    <row r="3144" spans="1:9" x14ac:dyDescent="0.25">
      <c r="A3144" s="50" t="s">
        <v>76</v>
      </c>
      <c r="B3144" s="72" t="str">
        <f>VLOOKUP(A3144,'Componentes APUs'!$A$1:$D$14,2,0)</f>
        <v>Casco dielectrico Tipo 1 Clase E con barbuquejo</v>
      </c>
      <c r="C3144" s="73"/>
      <c r="D3144" s="50" t="str">
        <f>VLOOKUP(A3144,'Componentes APUs'!$A$1:$D$14,3,0)</f>
        <v>U</v>
      </c>
      <c r="E3144" s="50">
        <f>C3122+C3123+C3125+C3126+C3127+IF(A3124&lt;&gt;"MO-3",C3124,0)</f>
        <v>1.5</v>
      </c>
      <c r="F3144" s="51">
        <f>VLOOKUP(A3144,'Componentes APUs'!$A$1:$D$14,4,0)</f>
        <v>10101.010101010101</v>
      </c>
      <c r="G3144" s="51">
        <f>ROUNDUP(F3144*(E3144/21)/E3107,0)</f>
        <v>91</v>
      </c>
    </row>
    <row r="3145" spans="1:9" x14ac:dyDescent="0.25">
      <c r="A3145" s="69" t="s">
        <v>77</v>
      </c>
      <c r="B3145" s="72" t="str">
        <f>VLOOKUP(A3145,'Componentes APUs'!$A$1:$D$14,2,0)</f>
        <v>Correa plastica y antiflama</v>
      </c>
      <c r="C3145" s="73"/>
      <c r="D3145" s="50" t="str">
        <f>VLOOKUP(A3145,'Componentes APUs'!$A$1:$D$14,3,0)</f>
        <v>U</v>
      </c>
      <c r="E3145" s="50">
        <f>SUM(C3122:C3127)</f>
        <v>1.5</v>
      </c>
      <c r="F3145" s="51">
        <f>VLOOKUP(A3145,'Componentes APUs'!$A$1:$D$14,4,0)</f>
        <v>3787.878787878788</v>
      </c>
      <c r="G3145" s="51">
        <f>ROUNDUP(F3145*(E3145/21)/E3107,0)</f>
        <v>34</v>
      </c>
    </row>
    <row r="3146" spans="1:9" x14ac:dyDescent="0.25">
      <c r="A3146" s="50" t="s">
        <v>79</v>
      </c>
      <c r="B3146" s="72" t="str">
        <f>VLOOKUP(A3146,'Componentes APUs'!$A$1:$D$14,2,0)</f>
        <v>Gafas protectoras filtro UV</v>
      </c>
      <c r="C3146" s="73"/>
      <c r="D3146" s="50" t="str">
        <f>VLOOKUP(A3146,'Componentes APUs'!$A$1:$D$14,3,0)</f>
        <v>U</v>
      </c>
      <c r="E3146" s="50">
        <f>SUM(C3122:C3127)</f>
        <v>1.5</v>
      </c>
      <c r="F3146" s="51">
        <f>VLOOKUP(A3146,'Componentes APUs'!$A$1:$D$14,4,0)</f>
        <v>2777.7777777777778</v>
      </c>
      <c r="G3146" s="51">
        <f>ROUNDUP(F3146*(E3146/21)/E3107,0)</f>
        <v>25</v>
      </c>
    </row>
    <row r="3147" spans="1:9" x14ac:dyDescent="0.25">
      <c r="A3147" s="69" t="s">
        <v>402</v>
      </c>
      <c r="B3147" s="72" t="str">
        <f>VLOOKUP(A3147,'Componentes APUs'!$A$1:$D$14,2,0)</f>
        <v>Bota de seguridad PVC dielectrica</v>
      </c>
      <c r="C3147" s="73"/>
      <c r="D3147" s="50" t="str">
        <f>VLOOKUP(A3147,'Componentes APUs'!$A$1:$D$14,3,0)</f>
        <v>Par</v>
      </c>
      <c r="E3147" s="50">
        <f>SUM(C3122:C3127)</f>
        <v>1.5</v>
      </c>
      <c r="F3147" s="51">
        <f>VLOOKUP(A3147,'Componentes APUs'!$A$1:$D$14,4,0)</f>
        <v>2916.6666666666665</v>
      </c>
      <c r="G3147" s="51">
        <f>ROUNDUP(F3147*(E3147/21)/E3107,0)</f>
        <v>27</v>
      </c>
    </row>
    <row r="3148" spans="1:9" x14ac:dyDescent="0.25">
      <c r="A3148" s="50" t="s">
        <v>403</v>
      </c>
      <c r="B3148" s="72" t="str">
        <f>VLOOKUP(A3148,'Componentes APUs'!$A$1:$D$14,2,0)</f>
        <v>Capuchon</v>
      </c>
      <c r="C3148" s="73"/>
      <c r="D3148" s="50" t="str">
        <f>VLOOKUP(A3148,'Componentes APUs'!$A$1:$D$14,3,0)</f>
        <v>U</v>
      </c>
      <c r="E3148" s="50">
        <f>SUM(C3122:C3127)</f>
        <v>1.5</v>
      </c>
      <c r="F3148" s="51">
        <f>VLOOKUP(A3148,'Componentes APUs'!$A$1:$D$14,4,0)</f>
        <v>2525.2525252525252</v>
      </c>
      <c r="G3148" s="51">
        <f>ROUNDUP(F3148*(E3148/21)/E3107,0)</f>
        <v>23</v>
      </c>
    </row>
    <row r="3149" spans="1:9" x14ac:dyDescent="0.25">
      <c r="A3149" s="69" t="s">
        <v>81</v>
      </c>
      <c r="B3149" s="72" t="str">
        <f>VLOOKUP(A3149,'Componentes APUs'!$A$1:$D$14,2,0)</f>
        <v>Guantes Protectores  - ingeniero reforzados</v>
      </c>
      <c r="C3149" s="73"/>
      <c r="D3149" s="50" t="str">
        <f>VLOOKUP(A3149,'Componentes APUs'!$A$1:$D$14,3,0)</f>
        <v>Par</v>
      </c>
      <c r="E3149" s="50">
        <f>C3124+C3125+C3127</f>
        <v>1.25</v>
      </c>
      <c r="F3149" s="51">
        <f>VLOOKUP(A3149,'Componentes APUs'!$A$1:$D$14,4,0)</f>
        <v>2525.2525252525252</v>
      </c>
      <c r="G3149" s="51">
        <f>ROUNDUP(F3149*(E3149/21)/E3107,0)</f>
        <v>19</v>
      </c>
    </row>
    <row r="3150" spans="1:9" x14ac:dyDescent="0.25">
      <c r="A3150" s="50" t="s">
        <v>83</v>
      </c>
      <c r="B3150" s="72" t="str">
        <f>VLOOKUP(A3150,'Componentes APUs'!$A$1:$D$14,2,0)</f>
        <v>Impermeable (pantalon camisa)</v>
      </c>
      <c r="C3150" s="73"/>
      <c r="D3150" s="50" t="str">
        <f>VLOOKUP(A3150,'Componentes APUs'!$A$1:$D$14,3,0)</f>
        <v>U</v>
      </c>
      <c r="E3150" s="50">
        <f>SUM(C3122:C3127)</f>
        <v>1.5</v>
      </c>
      <c r="F3150" s="51">
        <f>VLOOKUP(A3150,'Componentes APUs'!$A$1:$D$14,4,0)</f>
        <v>3750</v>
      </c>
      <c r="G3150" s="51">
        <f>ROUNDUP(F3150*(E3150/21)/E3107,0)</f>
        <v>34</v>
      </c>
    </row>
    <row r="3151" spans="1:9" x14ac:dyDescent="0.25">
      <c r="A3151" s="69" t="s">
        <v>85</v>
      </c>
      <c r="B3151" s="72" t="str">
        <f>VLOOKUP(A3151,'Componentes APUs'!$A$1:$D$14,2,0)</f>
        <v>Jean Dielectrico</v>
      </c>
      <c r="C3151" s="73"/>
      <c r="D3151" s="50" t="str">
        <f>VLOOKUP(A3151,'Componentes APUs'!$A$1:$D$14,3,0)</f>
        <v>U</v>
      </c>
      <c r="E3151" s="50">
        <f>SUM(C3122:C3127)</f>
        <v>1.5</v>
      </c>
      <c r="F3151" s="51">
        <f>VLOOKUP(A3151,'Componentes APUs'!$A$1:$D$14,4,0)</f>
        <v>7575.757575757576</v>
      </c>
      <c r="G3151" s="51">
        <f>ROUNDUP(F3151*(E3151/21)/E3107,0)</f>
        <v>68</v>
      </c>
    </row>
    <row r="3152" spans="1:9" x14ac:dyDescent="0.25">
      <c r="A3152" s="50" t="s">
        <v>87</v>
      </c>
      <c r="B3152" s="72" t="str">
        <f>VLOOKUP(A3152,'Componentes APUs'!$A$1:$D$14,2,0)</f>
        <v>Casco dielectrico Tipo 2 Clase E con barboquejo</v>
      </c>
      <c r="C3152" s="73"/>
      <c r="D3152" s="50" t="str">
        <f>VLOOKUP(A3152,'Componentes APUs'!$A$1:$D$14,3,0)</f>
        <v>U</v>
      </c>
      <c r="E3152" s="53">
        <f>IF(A3124="MO-3",C3124,0)</f>
        <v>0</v>
      </c>
      <c r="F3152" s="51">
        <f>VLOOKUP(A3152,'Componentes APUs'!$A$1:$D$14,4,0)</f>
        <v>7500</v>
      </c>
      <c r="G3152" s="51">
        <f>ROUNDUP(F3152*(E3152/21)/E3107,0)</f>
        <v>0</v>
      </c>
    </row>
    <row r="3153" spans="1:7" x14ac:dyDescent="0.25">
      <c r="A3153" s="69" t="s">
        <v>89</v>
      </c>
      <c r="B3153" s="72" t="str">
        <f>VLOOKUP(A3153,'Componentes APUs'!$A$1:$D$14,2,0)</f>
        <v>Kit de rescate para trabajo en alturas</v>
      </c>
      <c r="C3153" s="73"/>
      <c r="D3153" s="50" t="str">
        <f>VLOOKUP(A3153,'Componentes APUs'!$A$1:$D$14,3,0)</f>
        <v>U</v>
      </c>
      <c r="E3153" s="50">
        <f>IF(AND(A3124="MO-3",C3124=2),1,0)</f>
        <v>0</v>
      </c>
      <c r="F3153" s="51">
        <f>VLOOKUP(A3153,'Componentes APUs'!$A$1:$D$14,4,0)</f>
        <v>37500</v>
      </c>
      <c r="G3153" s="51">
        <f>ROUNDUP(F3153*(E3153/21)/E3107,0)</f>
        <v>0</v>
      </c>
    </row>
    <row r="3154" spans="1:7" x14ac:dyDescent="0.25">
      <c r="A3154" s="50" t="s">
        <v>91</v>
      </c>
      <c r="B3154" s="72" t="str">
        <f>VLOOKUP(A3154,'Componentes APUs'!$A$1:$D$14,2,0)</f>
        <v>Equipo completo para trabajo en alturas con pretales (Arnes dielectrico, 1 mosqueton de seguridad, tie off dielectrico, eslinga de posicionamiento, juego de pretales)</v>
      </c>
      <c r="C3154" s="73"/>
      <c r="D3154" s="50" t="str">
        <f>VLOOKUP(A3154,'Componentes APUs'!$A$1:$D$14,3,0)</f>
        <v>U</v>
      </c>
      <c r="E3154" s="50">
        <f>IF(A3124="MO-3",C3124,0)</f>
        <v>0</v>
      </c>
      <c r="F3154" s="51">
        <f>VLOOKUP(A3154,'Componentes APUs'!$A$1:$D$14,4,0)</f>
        <v>26041.666666666668</v>
      </c>
      <c r="G3154" s="51">
        <f>ROUNDUP(F3154*(E3154/21)/E3107,0)</f>
        <v>0</v>
      </c>
    </row>
    <row r="3155" spans="1:7" x14ac:dyDescent="0.25">
      <c r="A3155" s="219" t="s">
        <v>95</v>
      </c>
      <c r="B3155" s="219"/>
      <c r="C3155" s="219"/>
      <c r="D3155" s="219"/>
      <c r="E3155" s="219"/>
      <c r="F3155" s="219"/>
      <c r="G3155" s="52">
        <f>SUM(G3142:G3154)</f>
        <v>465</v>
      </c>
    </row>
    <row r="3156" spans="1:7" x14ac:dyDescent="0.25">
      <c r="A3156" s="56"/>
      <c r="B3156" s="57"/>
      <c r="C3156" s="57"/>
      <c r="D3156" s="57"/>
      <c r="E3156" s="57"/>
      <c r="F3156" s="57"/>
      <c r="G3156" s="58"/>
    </row>
    <row r="3157" spans="1:7" x14ac:dyDescent="0.25">
      <c r="A3157" s="219" t="s">
        <v>96</v>
      </c>
      <c r="B3157" s="219"/>
      <c r="C3157" s="219"/>
      <c r="D3157" s="219"/>
      <c r="E3157" s="219"/>
      <c r="F3157" s="219"/>
      <c r="G3157" s="219"/>
    </row>
    <row r="3158" spans="1:7" x14ac:dyDescent="0.25">
      <c r="A3158" s="49" t="s">
        <v>35</v>
      </c>
      <c r="B3158" s="225" t="s">
        <v>36</v>
      </c>
      <c r="C3158" s="225"/>
      <c r="D3158" s="49" t="s">
        <v>37</v>
      </c>
      <c r="E3158" s="49" t="s">
        <v>38</v>
      </c>
      <c r="F3158" s="49" t="s">
        <v>39</v>
      </c>
      <c r="G3158" s="49" t="s">
        <v>40</v>
      </c>
    </row>
    <row r="3159" spans="1:7" x14ac:dyDescent="0.25">
      <c r="A3159" s="69" t="s">
        <v>97</v>
      </c>
      <c r="B3159" s="72" t="str">
        <f>VLOOKUP(A3159,'Componentes APUs'!$N$1:$Q$30,2,0)</f>
        <v>Camioneta</v>
      </c>
      <c r="C3159" s="73"/>
      <c r="D3159" s="70" t="str">
        <f>VLOOKUP(A3159,'Componentes APUs'!$N$1:$Q$30,3,0)</f>
        <v>U</v>
      </c>
      <c r="E3159" s="50">
        <v>0.01</v>
      </c>
      <c r="F3159" s="51">
        <f>VLOOKUP(A3159,'Componentes APUs'!$N$1:$Q$30,4,0)</f>
        <v>5500000</v>
      </c>
      <c r="G3159" s="51">
        <f>IFERROR(ROUNDUP(F3159*(E3159/21)/E3107,0),"-")</f>
        <v>328</v>
      </c>
    </row>
    <row r="3160" spans="1:7" x14ac:dyDescent="0.25">
      <c r="A3160" s="50" t="s">
        <v>321</v>
      </c>
      <c r="B3160" s="72" t="str">
        <f>VLOOKUP(A3160,'Componentes APUs'!$N$1:$Q$30,2,0)</f>
        <v>Grúa Hidráulica</v>
      </c>
      <c r="C3160" s="73"/>
      <c r="D3160" s="70" t="str">
        <f>VLOOKUP(A3160,'Componentes APUs'!$N$1:$Q$30,3,0)</f>
        <v>U</v>
      </c>
      <c r="E3160" s="50">
        <v>0</v>
      </c>
      <c r="F3160" s="51">
        <f>VLOOKUP(A3160,'Componentes APUs'!$N$1:$Q$30,4,0)</f>
        <v>21000000</v>
      </c>
      <c r="G3160" s="51">
        <f>IFERROR(ROUNDUP(F3160*(E3160/21)/E3107,0),"-")</f>
        <v>0</v>
      </c>
    </row>
    <row r="3161" spans="1:7" x14ac:dyDescent="0.25">
      <c r="A3161" s="69" t="s">
        <v>1379</v>
      </c>
      <c r="B3161" s="72" t="str">
        <f>VLOOKUP(A3161,'Componentes APUs'!$N$1:$Q$30,2,0)</f>
        <v>Dumper de descarga Frontal 2T</v>
      </c>
      <c r="C3161" s="73"/>
      <c r="D3161" s="70" t="str">
        <f>VLOOKUP(A3161,'Componentes APUs'!$N$1:$Q$30,3,0)</f>
        <v>U</v>
      </c>
      <c r="E3161" s="50">
        <v>0</v>
      </c>
      <c r="F3161" s="51">
        <f>VLOOKUP(A3161,'Componentes APUs'!$N$1:$Q$30,4,0)</f>
        <v>4438716.24</v>
      </c>
      <c r="G3161" s="51">
        <f>IFERROR(ROUNDUP(F3161*(E3161/21)/E3107,0),"-")</f>
        <v>0</v>
      </c>
    </row>
    <row r="3162" spans="1:7" x14ac:dyDescent="0.25">
      <c r="A3162" s="50" t="s">
        <v>323</v>
      </c>
      <c r="B3162" s="72" t="str">
        <f>VLOOKUP(A3162,'Componentes APUs'!$N$1:$Q$30,2,0)</f>
        <v>Volqueta</v>
      </c>
      <c r="C3162" s="73"/>
      <c r="D3162" s="70" t="str">
        <f>VLOOKUP(A3162,'Componentes APUs'!$N$1:$Q$30,3,0)</f>
        <v>U</v>
      </c>
      <c r="E3162" s="50">
        <v>0</v>
      </c>
      <c r="F3162" s="51">
        <f>VLOOKUP(A3162,'Componentes APUs'!$N$1:$Q$30,4,0)</f>
        <v>14828184</v>
      </c>
      <c r="G3162" s="51">
        <f>IFERROR(ROUNDUP(F3162*(E3162/21)/E3107,0),"-")</f>
        <v>0</v>
      </c>
    </row>
    <row r="3163" spans="1:7" x14ac:dyDescent="0.25">
      <c r="A3163" s="69" t="s">
        <v>324</v>
      </c>
      <c r="B3163" s="72" t="str">
        <f>VLOOKUP(A3163,'Componentes APUs'!$N$1:$Q$30,2,0)</f>
        <v>Retroexcavadora</v>
      </c>
      <c r="C3163" s="73"/>
      <c r="D3163" s="70" t="str">
        <f>VLOOKUP(A3163,'Componentes APUs'!$N$1:$Q$30,3,0)</f>
        <v>U</v>
      </c>
      <c r="E3163" s="50">
        <v>0</v>
      </c>
      <c r="F3163" s="51">
        <f>VLOOKUP(A3163,'Componentes APUs'!$N$1:$Q$30,4,0)</f>
        <v>46030656</v>
      </c>
      <c r="G3163" s="51">
        <f>IFERROR(ROUNDUP(F3163*(E3163/21)/E3107,0),"-")</f>
        <v>0</v>
      </c>
    </row>
    <row r="3164" spans="1:7" x14ac:dyDescent="0.25">
      <c r="A3164" s="219" t="s">
        <v>99</v>
      </c>
      <c r="B3164" s="219"/>
      <c r="C3164" s="219"/>
      <c r="D3164" s="219"/>
      <c r="E3164" s="219"/>
      <c r="F3164" s="219"/>
      <c r="G3164" s="52">
        <f>SUM(G3159:G3163)</f>
        <v>328</v>
      </c>
    </row>
    <row r="3165" spans="1:7" x14ac:dyDescent="0.25">
      <c r="A3165" s="56"/>
      <c r="B3165" s="57"/>
      <c r="C3165" s="57"/>
      <c r="D3165" s="57"/>
      <c r="E3165" s="57"/>
      <c r="F3165" s="57"/>
      <c r="G3165" s="58"/>
    </row>
    <row r="3166" spans="1:7" x14ac:dyDescent="0.25">
      <c r="A3166" s="219" t="s">
        <v>1516</v>
      </c>
      <c r="B3166" s="219"/>
      <c r="C3166" s="219"/>
      <c r="D3166" s="219"/>
      <c r="E3166" s="219"/>
      <c r="F3166" s="219"/>
      <c r="G3166" s="52">
        <f>G3164+G3155+G3138+G3128+G3118</f>
        <v>54757</v>
      </c>
    </row>
    <row r="3167" spans="1:7" x14ac:dyDescent="0.25">
      <c r="A3167" s="59"/>
      <c r="B3167" s="60"/>
      <c r="C3167" s="60"/>
      <c r="D3167" s="60"/>
      <c r="E3167" s="57"/>
      <c r="F3167" s="57"/>
      <c r="G3167" s="58"/>
    </row>
    <row r="3168" spans="1:7" x14ac:dyDescent="0.25">
      <c r="A3168" s="64"/>
      <c r="D3168" s="55"/>
      <c r="E3168" s="49" t="s">
        <v>25</v>
      </c>
      <c r="F3168" s="54">
        <v>0.15</v>
      </c>
      <c r="G3168" s="51">
        <f>G3166*F3168</f>
        <v>8213.5499999999993</v>
      </c>
    </row>
    <row r="3169" spans="1:8" x14ac:dyDescent="0.25">
      <c r="A3169" s="64"/>
      <c r="D3169" s="55"/>
      <c r="E3169" s="49" t="s">
        <v>26</v>
      </c>
      <c r="F3169" s="54">
        <v>0.05</v>
      </c>
      <c r="G3169" s="51">
        <f>G3166*F3169</f>
        <v>2737.8500000000004</v>
      </c>
    </row>
    <row r="3170" spans="1:8" x14ac:dyDescent="0.25">
      <c r="A3170" s="61"/>
      <c r="B3170" s="65"/>
      <c r="C3170" s="65"/>
      <c r="D3170" s="62"/>
      <c r="E3170" s="49" t="s">
        <v>27</v>
      </c>
      <c r="F3170" s="54">
        <v>0.05</v>
      </c>
      <c r="G3170" s="51">
        <f>G3166*F3170</f>
        <v>2737.8500000000004</v>
      </c>
    </row>
    <row r="3171" spans="1:8" x14ac:dyDescent="0.25">
      <c r="A3171" s="61"/>
      <c r="B3171" s="62"/>
      <c r="C3171" s="62"/>
      <c r="D3171" s="62"/>
      <c r="E3171" s="62"/>
      <c r="F3171" s="62"/>
      <c r="G3171" s="63"/>
    </row>
    <row r="3172" spans="1:8" x14ac:dyDescent="0.25">
      <c r="A3172" s="219" t="s">
        <v>1517</v>
      </c>
      <c r="B3172" s="219"/>
      <c r="C3172" s="219"/>
      <c r="D3172" s="219"/>
      <c r="E3172" s="219"/>
      <c r="F3172" s="219"/>
      <c r="G3172" s="52">
        <f>G3166+G3168+G3169+G3170</f>
        <v>68446.250000000015</v>
      </c>
    </row>
    <row r="3173" spans="1:8" x14ac:dyDescent="0.25">
      <c r="A3173" s="59"/>
      <c r="B3173" s="60"/>
      <c r="C3173" s="60"/>
      <c r="D3173" s="60"/>
      <c r="E3173" s="57"/>
      <c r="F3173" s="57"/>
      <c r="G3173" s="58"/>
    </row>
    <row r="3174" spans="1:8" x14ac:dyDescent="0.25">
      <c r="A3174" s="64"/>
      <c r="D3174" s="55"/>
      <c r="E3174" s="49" t="s">
        <v>102</v>
      </c>
      <c r="F3174" s="49" t="s">
        <v>103</v>
      </c>
      <c r="G3174" s="51">
        <f>G3170*19%</f>
        <v>520.19150000000002</v>
      </c>
    </row>
    <row r="3175" spans="1:8" x14ac:dyDescent="0.25">
      <c r="A3175" s="61"/>
      <c r="B3175" s="62"/>
      <c r="C3175" s="62"/>
      <c r="D3175" s="62"/>
      <c r="E3175" s="57"/>
      <c r="F3175" s="57"/>
      <c r="G3175" s="58"/>
    </row>
    <row r="3176" spans="1:8" x14ac:dyDescent="0.25">
      <c r="A3176" s="219" t="s">
        <v>104</v>
      </c>
      <c r="B3176" s="219"/>
      <c r="C3176" s="219"/>
      <c r="D3176" s="219"/>
      <c r="E3176" s="219"/>
      <c r="F3176" s="219"/>
      <c r="G3176" s="52">
        <f>G3174+G3172</f>
        <v>68966.441500000015</v>
      </c>
    </row>
    <row r="3178" spans="1:8" x14ac:dyDescent="0.25">
      <c r="A3178" s="74" t="s">
        <v>29</v>
      </c>
      <c r="B3178" s="226" t="s">
        <v>30</v>
      </c>
      <c r="C3178" s="226"/>
      <c r="D3178" s="74" t="s">
        <v>31</v>
      </c>
      <c r="E3178" s="74" t="s">
        <v>32</v>
      </c>
      <c r="F3178" s="74" t="s">
        <v>189</v>
      </c>
      <c r="G3178" s="74" t="s">
        <v>33</v>
      </c>
      <c r="H3178" s="105"/>
    </row>
    <row r="3179" spans="1:8" ht="25.5" customHeight="1" x14ac:dyDescent="0.25">
      <c r="A3179" s="50" t="str">
        <f>Presupuesto!B62</f>
        <v>049_OC</v>
      </c>
      <c r="B3179" s="229" t="str">
        <f>Presupuesto!C62</f>
        <v>TUBO PVC DE Ø6". INCLUYE CODOS, UNIONES, SOLDADURA Y LIMPIADOR</v>
      </c>
      <c r="C3179" s="230"/>
      <c r="D3179" s="50" t="s">
        <v>16</v>
      </c>
      <c r="E3179" s="107">
        <v>4.2</v>
      </c>
      <c r="F3179" s="50"/>
      <c r="G3179" s="51">
        <f>G3248</f>
        <v>221425.13800000004</v>
      </c>
      <c r="H3179" s="45"/>
    </row>
    <row r="3180" spans="1:8" x14ac:dyDescent="0.25">
      <c r="A3180" s="219" t="s">
        <v>34</v>
      </c>
      <c r="B3180" s="219"/>
      <c r="C3180" s="219"/>
      <c r="D3180" s="219"/>
      <c r="E3180" s="219"/>
      <c r="F3180" s="219"/>
      <c r="G3180" s="219"/>
    </row>
    <row r="3181" spans="1:8" x14ac:dyDescent="0.25">
      <c r="A3181" s="49" t="s">
        <v>35</v>
      </c>
      <c r="B3181" s="219" t="s">
        <v>36</v>
      </c>
      <c r="C3181" s="219"/>
      <c r="D3181" s="49" t="s">
        <v>37</v>
      </c>
      <c r="E3181" s="49" t="s">
        <v>38</v>
      </c>
      <c r="F3181" s="49" t="s">
        <v>39</v>
      </c>
      <c r="G3181" s="49" t="s">
        <v>40</v>
      </c>
    </row>
    <row r="3182" spans="1:8" x14ac:dyDescent="0.25">
      <c r="A3182" s="50" t="str">
        <f>Material!A470</f>
        <v>MA-469</v>
      </c>
      <c r="B3182" s="72" t="str">
        <f>IFERROR(VLOOKUP(A3182,Material!$A:$H,2,0),"-")</f>
        <v xml:space="preserve">TUBERÍA SANITARIA PVC 6" </v>
      </c>
      <c r="C3182" s="76"/>
      <c r="D3182" s="50" t="str">
        <f>IFERROR(VLOOKUP(A3182,Material!$A:$H,4,0),"-")</f>
        <v>ML</v>
      </c>
      <c r="E3182" s="107">
        <v>1</v>
      </c>
      <c r="F3182" s="51">
        <f>IFERROR(VLOOKUP(A3182,Material!$A:$H,3,0),"-")</f>
        <v>46127.9</v>
      </c>
      <c r="G3182" s="51">
        <f t="shared" ref="G3182" si="45">IFERROR(ROUNDUP(F3182*E3182,0),"-")</f>
        <v>46128</v>
      </c>
      <c r="H3182" s="106"/>
    </row>
    <row r="3183" spans="1:8" x14ac:dyDescent="0.25">
      <c r="A3183" s="50" t="str">
        <f>Material!A471</f>
        <v>MA-470</v>
      </c>
      <c r="B3183" s="72" t="str">
        <f>IFERROR(VLOOKUP(A3183,Material!$A:$H,2,0),"-")</f>
        <v xml:space="preserve">CODO SANITARIO PVC 6" </v>
      </c>
      <c r="C3183" s="76"/>
      <c r="D3183" s="50" t="str">
        <f>IFERROR(VLOOKUP(A3183,Material!$A:$H,4,0),"-")</f>
        <v>UN</v>
      </c>
      <c r="E3183" s="107">
        <v>0.05</v>
      </c>
      <c r="F3183" s="51">
        <f>IFERROR(VLOOKUP(A3183,Material!$A:$H,3,0),"-")</f>
        <v>101335</v>
      </c>
      <c r="G3183" s="51">
        <f>IFERROR(ROUNDUP(F3183*E3183,0),"-")</f>
        <v>5067</v>
      </c>
      <c r="H3183" s="106"/>
    </row>
    <row r="3184" spans="1:8" x14ac:dyDescent="0.25">
      <c r="A3184" s="50" t="str">
        <f>Material!A472</f>
        <v>MA-471</v>
      </c>
      <c r="B3184" s="72" t="str">
        <f>IFERROR(VLOOKUP(A3184,Material!$A:$H,2,0),"-")</f>
        <v>UNION SANITARIA PVC 6"</v>
      </c>
      <c r="C3184" s="76"/>
      <c r="D3184" s="50" t="str">
        <f>IFERROR(VLOOKUP(A3184,Material!$A:$H,4,0),"-")</f>
        <v>UN</v>
      </c>
      <c r="E3184" s="107">
        <f>1/30</f>
        <v>3.3333333333333333E-2</v>
      </c>
      <c r="F3184" s="51">
        <f>IFERROR(VLOOKUP(A3184,Material!$A:$H,3,0),"-")</f>
        <v>41470</v>
      </c>
      <c r="G3184" s="51">
        <f>IFERROR(ROUNDUP(F3184*E3184,0),"-")</f>
        <v>1383</v>
      </c>
      <c r="H3184" s="106"/>
    </row>
    <row r="3185" spans="1:9" x14ac:dyDescent="0.25">
      <c r="A3185" s="50" t="str">
        <f>Material!A201</f>
        <v>MA-200</v>
      </c>
      <c r="B3185" s="72" t="str">
        <f>IFERROR(VLOOKUP(A3185,Material!$A:$H,2,0),"-")</f>
        <v>SOLDADURA PVC 1/4 GL</v>
      </c>
      <c r="C3185" s="76"/>
      <c r="D3185" s="50" t="str">
        <f>IFERROR(VLOOKUP(A3185,Material!$A:$H,4,0),"-")</f>
        <v>GALÓN</v>
      </c>
      <c r="E3185" s="107">
        <v>1.6666666666666666E-2</v>
      </c>
      <c r="F3185" s="51">
        <f>IFERROR(VLOOKUP(A3185,Material!$A:$H,3,0),"-")</f>
        <v>88270</v>
      </c>
      <c r="G3185" s="51">
        <f t="shared" ref="G3185:G3189" si="46">IFERROR(ROUNDUP(F3185*E3185,0),"-")</f>
        <v>1472</v>
      </c>
      <c r="H3185" s="106"/>
    </row>
    <row r="3186" spans="1:9" x14ac:dyDescent="0.25">
      <c r="A3186" s="50" t="str">
        <f>Material!A253</f>
        <v>MA-252</v>
      </c>
      <c r="B3186" s="72" t="str">
        <f>IFERROR(VLOOKUP(A3186,Material!$A:$H,2,0),"-")</f>
        <v>LIMPIADOR DE TUBERÍA PVC 1/4 GL</v>
      </c>
      <c r="C3186" s="76"/>
      <c r="D3186" s="50" t="str">
        <f>IFERROR(VLOOKUP(A3186,Material!$A:$H,4,0),"-")</f>
        <v>GALÓN</v>
      </c>
      <c r="E3186" s="107">
        <v>1.6666666666666666E-2</v>
      </c>
      <c r="F3186" s="51">
        <f>IFERROR(VLOOKUP(A3186,Material!$A:$H,3,0),"-")</f>
        <v>60970</v>
      </c>
      <c r="G3186" s="51">
        <f t="shared" si="46"/>
        <v>1017</v>
      </c>
      <c r="H3186" s="106"/>
    </row>
    <row r="3187" spans="1:9" x14ac:dyDescent="0.25">
      <c r="A3187" s="50"/>
      <c r="B3187" s="72" t="str">
        <f>IFERROR(VLOOKUP(A3187,Material!$A:$H,2,0),"-")</f>
        <v>-</v>
      </c>
      <c r="C3187" s="76"/>
      <c r="D3187" s="50" t="str">
        <f>IFERROR(VLOOKUP(A3187,Material!$A:$H,4,0),"-")</f>
        <v>-</v>
      </c>
      <c r="E3187" s="107"/>
      <c r="F3187" s="51" t="str">
        <f>IFERROR(VLOOKUP(A3187,Material!$A:$H,3,0),"-")</f>
        <v>-</v>
      </c>
      <c r="G3187" s="51" t="str">
        <f t="shared" si="46"/>
        <v>-</v>
      </c>
      <c r="H3187" s="106"/>
    </row>
    <row r="3188" spans="1:9" x14ac:dyDescent="0.25">
      <c r="A3188" s="50"/>
      <c r="B3188" s="72" t="str">
        <f>IFERROR(VLOOKUP(A3188,Material!$A:$H,2,0),"-")</f>
        <v>-</v>
      </c>
      <c r="C3188" s="76"/>
      <c r="D3188" s="50" t="str">
        <f>IFERROR(VLOOKUP(A3188,Material!$A:$H,4,0),"-")</f>
        <v>-</v>
      </c>
      <c r="E3188" s="107"/>
      <c r="F3188" s="51" t="str">
        <f>IFERROR(VLOOKUP(A3188,Material!$A:$H,3,0),"-")</f>
        <v>-</v>
      </c>
      <c r="G3188" s="51" t="str">
        <f t="shared" si="46"/>
        <v>-</v>
      </c>
      <c r="H3188" s="106"/>
    </row>
    <row r="3189" spans="1:9" x14ac:dyDescent="0.25">
      <c r="A3189" s="50"/>
      <c r="B3189" s="72" t="str">
        <f>IFERROR(VLOOKUP(A3189,Material!$A:$H,2,0),"-")</f>
        <v>-</v>
      </c>
      <c r="C3189" s="76"/>
      <c r="D3189" s="50" t="str">
        <f>IFERROR(VLOOKUP(A3189,Material!$A:$H,4,0),"-")</f>
        <v>-</v>
      </c>
      <c r="E3189" s="107"/>
      <c r="F3189" s="51" t="str">
        <f>IFERROR(VLOOKUP(A3189,Material!$A:$H,3,0),"-")</f>
        <v>-</v>
      </c>
      <c r="G3189" s="51" t="str">
        <f t="shared" si="46"/>
        <v>-</v>
      </c>
      <c r="H3189" s="106"/>
    </row>
    <row r="3190" spans="1:9" x14ac:dyDescent="0.25">
      <c r="A3190" s="219" t="s">
        <v>41</v>
      </c>
      <c r="B3190" s="219"/>
      <c r="C3190" s="219"/>
      <c r="D3190" s="219"/>
      <c r="E3190" s="219"/>
      <c r="F3190" s="219"/>
      <c r="G3190" s="52">
        <f>SUM(G3182:G3189)</f>
        <v>55067</v>
      </c>
      <c r="I3190" s="104"/>
    </row>
    <row r="3191" spans="1:9" x14ac:dyDescent="0.25">
      <c r="A3191" s="56"/>
      <c r="B3191" s="57"/>
      <c r="C3191" s="57"/>
      <c r="D3191" s="57"/>
      <c r="E3191" s="57"/>
      <c r="F3191" s="57"/>
      <c r="G3191" s="58"/>
    </row>
    <row r="3192" spans="1:9" x14ac:dyDescent="0.25">
      <c r="A3192" s="219" t="s">
        <v>42</v>
      </c>
      <c r="B3192" s="219"/>
      <c r="C3192" s="219"/>
      <c r="D3192" s="219"/>
      <c r="E3192" s="219"/>
      <c r="F3192" s="219"/>
      <c r="G3192" s="219"/>
    </row>
    <row r="3193" spans="1:9" x14ac:dyDescent="0.25">
      <c r="A3193" s="49" t="s">
        <v>35</v>
      </c>
      <c r="B3193" s="49" t="s">
        <v>36</v>
      </c>
      <c r="C3193" s="49" t="s">
        <v>38</v>
      </c>
      <c r="D3193" s="49" t="s">
        <v>43</v>
      </c>
      <c r="E3193" s="49" t="s">
        <v>44</v>
      </c>
      <c r="F3193" s="49" t="s">
        <v>45</v>
      </c>
      <c r="G3193" s="49" t="s">
        <v>40</v>
      </c>
    </row>
    <row r="3194" spans="1:9" x14ac:dyDescent="0.25">
      <c r="A3194" s="50" t="s">
        <v>319</v>
      </c>
      <c r="B3194" s="68" t="str">
        <f>VLOOKUP(A3194,'Componentes APUs'!$H$1:$L$25,2,0)</f>
        <v>Ingeniero Residente de Obra</v>
      </c>
      <c r="C3194" s="93">
        <v>0</v>
      </c>
      <c r="D3194" s="50">
        <f>VLOOKUP(A3194,'Componentes APUs'!$H$1:$L$25,3,0)</f>
        <v>4</v>
      </c>
      <c r="E3194" s="51">
        <f>VLOOKUP(A3194,'Componentes APUs'!$H$1:$L$25,4,0)</f>
        <v>271142.85714285716</v>
      </c>
      <c r="F3194" s="51">
        <f>VLOOKUP(A3194,'Componentes APUs'!$H$1:$L$25,5,0)</f>
        <v>162685.71428571429</v>
      </c>
      <c r="G3194" s="51">
        <f>ROUNDUP((E3194+F3194)*C3194/E3179,0)</f>
        <v>0</v>
      </c>
      <c r="H3194" s="66"/>
    </row>
    <row r="3195" spans="1:9" x14ac:dyDescent="0.25">
      <c r="A3195" s="50" t="s">
        <v>320</v>
      </c>
      <c r="B3195" s="68" t="str">
        <f>VLOOKUP(A3195,'Componentes APUs'!$H$1:$L$25,2,0)</f>
        <v>Tecnico Supervisor</v>
      </c>
      <c r="C3195" s="93">
        <v>0</v>
      </c>
      <c r="D3195" s="50">
        <f>VLOOKUP(A3195,'Componentes APUs'!$H$1:$L$25,3,0)</f>
        <v>2.2999999999999998</v>
      </c>
      <c r="E3195" s="51">
        <f>VLOOKUP(A3195,'Componentes APUs'!$H$1:$L$25,4,0)</f>
        <v>155907.14285714284</v>
      </c>
      <c r="F3195" s="51">
        <f>VLOOKUP(A3195,'Componentes APUs'!$H$1:$L$25,5,0)</f>
        <v>93544.285714285696</v>
      </c>
      <c r="G3195" s="51">
        <f>ROUNDUP((E3195+F3195)*C3195/E3179,0)</f>
        <v>0</v>
      </c>
    </row>
    <row r="3196" spans="1:9" x14ac:dyDescent="0.25">
      <c r="A3196" s="50" t="s">
        <v>54</v>
      </c>
      <c r="B3196" s="68" t="str">
        <f>VLOOKUP(A3196,'Componentes APUs'!$H$1:$L$25,2,0)</f>
        <v>Maestro de obra civil</v>
      </c>
      <c r="C3196" s="93">
        <v>0</v>
      </c>
      <c r="D3196" s="50">
        <f>VLOOKUP(A3196,'Componentes APUs'!$H$1:$L$25,3,0)</f>
        <v>2.5</v>
      </c>
      <c r="E3196" s="51">
        <f>VLOOKUP(A3196,'Componentes APUs'!$H$1:$L$25,4,0)</f>
        <v>169464.28571428571</v>
      </c>
      <c r="F3196" s="51">
        <f>VLOOKUP(A3196,'Componentes APUs'!$H$1:$L$25,5,0)</f>
        <v>101678.57142857142</v>
      </c>
      <c r="G3196" s="51">
        <f>ROUNDUP((E3196+F3196)*C3196/E3179,0)</f>
        <v>0</v>
      </c>
    </row>
    <row r="3197" spans="1:9" x14ac:dyDescent="0.25">
      <c r="A3197" s="50" t="s">
        <v>1110</v>
      </c>
      <c r="B3197" s="68" t="str">
        <f>VLOOKUP(A3197,'Componentes APUs'!$H$1:$L$25,2,0)</f>
        <v>Oficial de Obra Civil</v>
      </c>
      <c r="C3197" s="93">
        <v>0.25</v>
      </c>
      <c r="D3197" s="50">
        <f>VLOOKUP(A3197,'Componentes APUs'!$H$1:$L$25,3,0)</f>
        <v>1.5</v>
      </c>
      <c r="E3197" s="51">
        <f>VLOOKUP(A3197,'Componentes APUs'!$H$1:$L$25,4,0)</f>
        <v>115964.28571428571</v>
      </c>
      <c r="F3197" s="51">
        <f>VLOOKUP(A3197,'Componentes APUs'!$H$1:$L$25,5,0)</f>
        <v>69578.57142857142</v>
      </c>
      <c r="G3197" s="51">
        <f>ROUNDUP((E3197+F3197)*C3197/E3179,0)</f>
        <v>11045</v>
      </c>
    </row>
    <row r="3198" spans="1:9" x14ac:dyDescent="0.25">
      <c r="A3198" s="50" t="s">
        <v>50</v>
      </c>
      <c r="B3198" s="68" t="str">
        <f>VLOOKUP(A3198,'Componentes APUs'!$H$1:$L$25,2,0)</f>
        <v>Profesional en SST</v>
      </c>
      <c r="C3198" s="93">
        <v>0.25</v>
      </c>
      <c r="D3198" s="50">
        <f>VLOOKUP(A3198,'Componentes APUs'!$H$1:$L$25,3,0)</f>
        <v>2.5</v>
      </c>
      <c r="E3198" s="51">
        <f>VLOOKUP(A3198,'Componentes APUs'!$H$1:$L$25,4,0)</f>
        <v>169464.28571428571</v>
      </c>
      <c r="F3198" s="51">
        <f>VLOOKUP(A3198,'Componentes APUs'!$H$1:$L$25,5,0)</f>
        <v>101678.57142857142</v>
      </c>
      <c r="G3198" s="51">
        <f>ROUNDUP((E3198+F3198)*C3198/E3179,0)</f>
        <v>16140</v>
      </c>
    </row>
    <row r="3199" spans="1:9" x14ac:dyDescent="0.25">
      <c r="A3199" s="50" t="s">
        <v>1109</v>
      </c>
      <c r="B3199" s="68" t="str">
        <f>VLOOKUP(A3199,'Componentes APUs'!$H$1:$L$25,2,0)</f>
        <v>Ayudante de Obra Civil</v>
      </c>
      <c r="C3199" s="93">
        <v>1</v>
      </c>
      <c r="D3199" s="50">
        <f>VLOOKUP(A3199,'Componentes APUs'!$H$1:$L$25,3,0)</f>
        <v>1</v>
      </c>
      <c r="E3199" s="51">
        <f>VLOOKUP(A3199,'Componentes APUs'!$H$1:$L$25,4,0)</f>
        <v>77309.523809523816</v>
      </c>
      <c r="F3199" s="51">
        <f>VLOOKUP(A3199,'Componentes APUs'!$H$1:$L$25,5,0)</f>
        <v>46385.71428571429</v>
      </c>
      <c r="G3199" s="51">
        <f>ROUNDUP((E3199+F3199)*C3199/E3179,0)</f>
        <v>29452</v>
      </c>
    </row>
    <row r="3200" spans="1:9" x14ac:dyDescent="0.25">
      <c r="A3200" s="219" t="s">
        <v>56</v>
      </c>
      <c r="B3200" s="219"/>
      <c r="C3200" s="219"/>
      <c r="D3200" s="219"/>
      <c r="E3200" s="219"/>
      <c r="F3200" s="219"/>
      <c r="G3200" s="52">
        <f>SUM(G3194:G3199)</f>
        <v>56637</v>
      </c>
    </row>
    <row r="3201" spans="1:9" x14ac:dyDescent="0.25">
      <c r="A3201" s="56"/>
      <c r="B3201" s="57"/>
      <c r="C3201" s="57"/>
      <c r="D3201" s="57"/>
      <c r="E3201" s="57"/>
      <c r="F3201" s="57"/>
      <c r="G3201" s="58"/>
    </row>
    <row r="3202" spans="1:9" x14ac:dyDescent="0.25">
      <c r="A3202" s="219" t="s">
        <v>57</v>
      </c>
      <c r="B3202" s="219"/>
      <c r="C3202" s="219"/>
      <c r="D3202" s="219"/>
      <c r="E3202" s="219"/>
      <c r="F3202" s="219"/>
      <c r="G3202" s="219"/>
    </row>
    <row r="3203" spans="1:9" x14ac:dyDescent="0.25">
      <c r="A3203" s="49" t="s">
        <v>35</v>
      </c>
      <c r="B3203" s="219" t="s">
        <v>36</v>
      </c>
      <c r="C3203" s="219"/>
      <c r="D3203" s="49" t="s">
        <v>37</v>
      </c>
      <c r="E3203" s="49" t="s">
        <v>38</v>
      </c>
      <c r="F3203" s="49" t="s">
        <v>39</v>
      </c>
      <c r="G3203" s="49" t="s">
        <v>40</v>
      </c>
    </row>
    <row r="3204" spans="1:9" x14ac:dyDescent="0.25">
      <c r="A3204" s="50" t="s">
        <v>326</v>
      </c>
      <c r="B3204" s="220" t="str">
        <f>VLOOKUP(A3204,'Componentes APUs'!$S$1:$V$10,2,0)</f>
        <v>Juego Llaves</v>
      </c>
      <c r="C3204" s="220"/>
      <c r="D3204" s="50" t="s">
        <v>18</v>
      </c>
      <c r="E3204" s="50">
        <v>0</v>
      </c>
      <c r="F3204" s="51">
        <f>VLOOKUP(A3204,'Componentes APUs'!$S$1:$V$10,4,0)</f>
        <v>9167</v>
      </c>
      <c r="G3204" s="51">
        <f>ROUNDUP(F3204*((E3204/21)/E3179),0)</f>
        <v>0</v>
      </c>
      <c r="I3204" s="91"/>
    </row>
    <row r="3205" spans="1:9" x14ac:dyDescent="0.25">
      <c r="A3205" s="50" t="s">
        <v>58</v>
      </c>
      <c r="B3205" s="220" t="str">
        <f>VLOOKUP(A3205,'Componentes APUs'!$S$1:$V$10,2,0)</f>
        <v>Manila de servicio</v>
      </c>
      <c r="C3205" s="220"/>
      <c r="D3205" s="50" t="s">
        <v>18</v>
      </c>
      <c r="E3205" s="50">
        <v>0</v>
      </c>
      <c r="F3205" s="51">
        <f>VLOOKUP(A3205,'Componentes APUs'!$S$1:$V$10,4,0)</f>
        <v>2333</v>
      </c>
      <c r="G3205" s="51">
        <f>ROUNDUP(F3205*((E3205/21)/E3179),0)</f>
        <v>0</v>
      </c>
    </row>
    <row r="3206" spans="1:9" x14ac:dyDescent="0.25">
      <c r="A3206" s="50" t="s">
        <v>327</v>
      </c>
      <c r="B3206" s="220" t="str">
        <f>VLOOKUP(A3206,'Componentes APUs'!$S$1:$V$10,2,0)</f>
        <v>Tula portaherramientas</v>
      </c>
      <c r="C3206" s="220"/>
      <c r="D3206" s="50" t="s">
        <v>18</v>
      </c>
      <c r="E3206" s="50">
        <v>0</v>
      </c>
      <c r="F3206" s="51">
        <f>VLOOKUP(A3206,'Componentes APUs'!$S$1:$V$10,4,0)</f>
        <v>1250</v>
      </c>
      <c r="G3206" s="51">
        <f>ROUNDUP(F3206*((E3206/21)/E3179),0)</f>
        <v>0</v>
      </c>
    </row>
    <row r="3207" spans="1:9" x14ac:dyDescent="0.25">
      <c r="A3207" s="50" t="s">
        <v>60</v>
      </c>
      <c r="B3207" s="220" t="str">
        <f>VLOOKUP(A3207,'Componentes APUs'!$S$1:$V$10,2,0)</f>
        <v>Agarradoras</v>
      </c>
      <c r="C3207" s="220"/>
      <c r="D3207" s="50" t="s">
        <v>18</v>
      </c>
      <c r="E3207" s="50">
        <v>0</v>
      </c>
      <c r="F3207" s="51">
        <f>VLOOKUP(A3207,'Componentes APUs'!$S$1:$V$10,4,0)</f>
        <v>125000</v>
      </c>
      <c r="G3207" s="51">
        <f>ROUNDUP(F3207*((E3207/21)/E3179),0)</f>
        <v>0</v>
      </c>
    </row>
    <row r="3208" spans="1:9" x14ac:dyDescent="0.25">
      <c r="A3208" s="50" t="s">
        <v>62</v>
      </c>
      <c r="B3208" s="220" t="str">
        <f>VLOOKUP(A3208,'Componentes APUs'!$S$1:$V$10,2,0)</f>
        <v>Templadoras</v>
      </c>
      <c r="C3208" s="220"/>
      <c r="D3208" s="50" t="s">
        <v>18</v>
      </c>
      <c r="E3208" s="50">
        <v>0</v>
      </c>
      <c r="F3208" s="51">
        <f>VLOOKUP(A3208,'Componentes APUs'!$S$1:$V$10,4,0)</f>
        <v>250000</v>
      </c>
      <c r="G3208" s="51">
        <f>ROUNDUP(F3208*((E3208/21)/E3179),0)</f>
        <v>0</v>
      </c>
    </row>
    <row r="3209" spans="1:9" x14ac:dyDescent="0.25">
      <c r="A3209" s="50" t="s">
        <v>328</v>
      </c>
      <c r="B3209" s="220" t="str">
        <f>VLOOKUP(A3209,'Componentes APUs'!$S$1:$V$10,2,0)</f>
        <v>Herramienta Menor</v>
      </c>
      <c r="C3209" s="220"/>
      <c r="D3209" s="50" t="s">
        <v>18</v>
      </c>
      <c r="E3209" s="50">
        <v>1</v>
      </c>
      <c r="F3209" s="51">
        <f>VLOOKUP(A3209,'Componentes APUs'!$S$1:$V$10,4,0)</f>
        <v>75758</v>
      </c>
      <c r="G3209" s="51">
        <f>ROUNDUP(F3209*((E3209/21)/E3179),0)</f>
        <v>859</v>
      </c>
    </row>
    <row r="3210" spans="1:9" x14ac:dyDescent="0.25">
      <c r="A3210" s="219" t="s">
        <v>69</v>
      </c>
      <c r="B3210" s="219"/>
      <c r="C3210" s="219"/>
      <c r="D3210" s="219"/>
      <c r="E3210" s="219"/>
      <c r="F3210" s="219"/>
      <c r="G3210" s="52">
        <f>SUM(G3204:G3209)</f>
        <v>859</v>
      </c>
    </row>
    <row r="3211" spans="1:9" x14ac:dyDescent="0.25">
      <c r="A3211" s="56"/>
      <c r="B3211" s="57"/>
      <c r="C3211" s="57"/>
      <c r="D3211" s="57"/>
      <c r="E3211" s="57"/>
      <c r="F3211" s="57"/>
      <c r="G3211" s="58"/>
    </row>
    <row r="3212" spans="1:9" x14ac:dyDescent="0.25">
      <c r="A3212" s="219" t="s">
        <v>70</v>
      </c>
      <c r="B3212" s="219"/>
      <c r="C3212" s="219"/>
      <c r="D3212" s="219"/>
      <c r="E3212" s="219"/>
      <c r="F3212" s="219"/>
      <c r="G3212" s="219"/>
    </row>
    <row r="3213" spans="1:9" x14ac:dyDescent="0.25">
      <c r="A3213" s="49" t="s">
        <v>35</v>
      </c>
      <c r="B3213" s="219" t="s">
        <v>36</v>
      </c>
      <c r="C3213" s="219"/>
      <c r="D3213" s="49" t="s">
        <v>37</v>
      </c>
      <c r="E3213" s="49" t="s">
        <v>38</v>
      </c>
      <c r="F3213" s="49" t="s">
        <v>39</v>
      </c>
      <c r="G3213" s="49" t="s">
        <v>40</v>
      </c>
    </row>
    <row r="3214" spans="1:9" x14ac:dyDescent="0.25">
      <c r="A3214" s="50" t="s">
        <v>71</v>
      </c>
      <c r="B3214" s="71" t="str">
        <f>VLOOKUP(A3214,'Componentes APUs'!$A$1:$D$14,2,0)</f>
        <v>Camisa indigo sin partes metalicas</v>
      </c>
      <c r="C3214" s="71"/>
      <c r="D3214" s="50" t="str">
        <f>VLOOKUP(A3214,'Componentes APUs'!$A$1:$D$14,3,0)</f>
        <v>U</v>
      </c>
      <c r="E3214" s="50">
        <f>SUM(C3194:C3199)</f>
        <v>1.5</v>
      </c>
      <c r="F3214" s="51">
        <f>VLOOKUP(A3214,'Componentes APUs'!$A$1:$D$14,4,0)</f>
        <v>8585.8585858585866</v>
      </c>
      <c r="G3214" s="51">
        <f>ROUNDUP(F3214*(E3214/21)/E3179,0)</f>
        <v>147</v>
      </c>
      <c r="I3214" s="91"/>
    </row>
    <row r="3215" spans="1:9" x14ac:dyDescent="0.25">
      <c r="A3215" s="69" t="s">
        <v>73</v>
      </c>
      <c r="B3215" s="72" t="str">
        <f>VLOOKUP(A3215,'Componentes APUs'!$A$1:$D$14,2,0)</f>
        <v>Bota de seguridad dielectrica</v>
      </c>
      <c r="C3215" s="73"/>
      <c r="D3215" s="70" t="str">
        <f>VLOOKUP(A3215,'Componentes APUs'!$A$1:$D$14,3,0)</f>
        <v>Par</v>
      </c>
      <c r="E3215" s="50">
        <f>SUM(C3194:C3199)</f>
        <v>1.5</v>
      </c>
      <c r="F3215" s="51">
        <f>VLOOKUP(A3215,'Componentes APUs'!$A$1:$D$14,4,0)</f>
        <v>7500</v>
      </c>
      <c r="G3215" s="51">
        <f>ROUNDUP(F3215*(E3215/21)/E3179,0)</f>
        <v>128</v>
      </c>
    </row>
    <row r="3216" spans="1:9" x14ac:dyDescent="0.25">
      <c r="A3216" s="50" t="s">
        <v>76</v>
      </c>
      <c r="B3216" s="72" t="str">
        <f>VLOOKUP(A3216,'Componentes APUs'!$A$1:$D$14,2,0)</f>
        <v>Casco dielectrico Tipo 1 Clase E con barbuquejo</v>
      </c>
      <c r="C3216" s="73"/>
      <c r="D3216" s="50" t="str">
        <f>VLOOKUP(A3216,'Componentes APUs'!$A$1:$D$14,3,0)</f>
        <v>U</v>
      </c>
      <c r="E3216" s="50">
        <f>C3194+C3195+C3197+C3198+C3199+IF(A3196&lt;&gt;"MO-3",C3196,0)</f>
        <v>1.5</v>
      </c>
      <c r="F3216" s="51">
        <f>VLOOKUP(A3216,'Componentes APUs'!$A$1:$D$14,4,0)</f>
        <v>10101.010101010101</v>
      </c>
      <c r="G3216" s="51">
        <f>ROUNDUP(F3216*(E3216/21)/E3179,0)</f>
        <v>172</v>
      </c>
    </row>
    <row r="3217" spans="1:7" x14ac:dyDescent="0.25">
      <c r="A3217" s="69" t="s">
        <v>77</v>
      </c>
      <c r="B3217" s="72" t="str">
        <f>VLOOKUP(A3217,'Componentes APUs'!$A$1:$D$14,2,0)</f>
        <v>Correa plastica y antiflama</v>
      </c>
      <c r="C3217" s="73"/>
      <c r="D3217" s="50" t="str">
        <f>VLOOKUP(A3217,'Componentes APUs'!$A$1:$D$14,3,0)</f>
        <v>U</v>
      </c>
      <c r="E3217" s="50">
        <f>SUM(C3194:C3199)</f>
        <v>1.5</v>
      </c>
      <c r="F3217" s="51">
        <f>VLOOKUP(A3217,'Componentes APUs'!$A$1:$D$14,4,0)</f>
        <v>3787.878787878788</v>
      </c>
      <c r="G3217" s="51">
        <f>ROUNDUP(F3217*(E3217/21)/E3179,0)</f>
        <v>65</v>
      </c>
    </row>
    <row r="3218" spans="1:7" x14ac:dyDescent="0.25">
      <c r="A3218" s="50" t="s">
        <v>79</v>
      </c>
      <c r="B3218" s="72" t="str">
        <f>VLOOKUP(A3218,'Componentes APUs'!$A$1:$D$14,2,0)</f>
        <v>Gafas protectoras filtro UV</v>
      </c>
      <c r="C3218" s="73"/>
      <c r="D3218" s="50" t="str">
        <f>VLOOKUP(A3218,'Componentes APUs'!$A$1:$D$14,3,0)</f>
        <v>U</v>
      </c>
      <c r="E3218" s="50">
        <f>SUM(C3194:C3199)</f>
        <v>1.5</v>
      </c>
      <c r="F3218" s="51">
        <f>VLOOKUP(A3218,'Componentes APUs'!$A$1:$D$14,4,0)</f>
        <v>2777.7777777777778</v>
      </c>
      <c r="G3218" s="51">
        <f>ROUNDUP(F3218*(E3218/21)/E3179,0)</f>
        <v>48</v>
      </c>
    </row>
    <row r="3219" spans="1:7" x14ac:dyDescent="0.25">
      <c r="A3219" s="69" t="s">
        <v>402</v>
      </c>
      <c r="B3219" s="72" t="str">
        <f>VLOOKUP(A3219,'Componentes APUs'!$A$1:$D$14,2,0)</f>
        <v>Bota de seguridad PVC dielectrica</v>
      </c>
      <c r="C3219" s="73"/>
      <c r="D3219" s="50" t="str">
        <f>VLOOKUP(A3219,'Componentes APUs'!$A$1:$D$14,3,0)</f>
        <v>Par</v>
      </c>
      <c r="E3219" s="50">
        <f>SUM(C3194:C3199)</f>
        <v>1.5</v>
      </c>
      <c r="F3219" s="51">
        <f>VLOOKUP(A3219,'Componentes APUs'!$A$1:$D$14,4,0)</f>
        <v>2916.6666666666665</v>
      </c>
      <c r="G3219" s="51">
        <f>ROUNDUP(F3219*(E3219/21)/E3179,0)</f>
        <v>50</v>
      </c>
    </row>
    <row r="3220" spans="1:7" x14ac:dyDescent="0.25">
      <c r="A3220" s="50" t="s">
        <v>403</v>
      </c>
      <c r="B3220" s="72" t="str">
        <f>VLOOKUP(A3220,'Componentes APUs'!$A$1:$D$14,2,0)</f>
        <v>Capuchon</v>
      </c>
      <c r="C3220" s="73"/>
      <c r="D3220" s="50" t="str">
        <f>VLOOKUP(A3220,'Componentes APUs'!$A$1:$D$14,3,0)</f>
        <v>U</v>
      </c>
      <c r="E3220" s="50">
        <f>SUM(C3194:C3199)</f>
        <v>1.5</v>
      </c>
      <c r="F3220" s="51">
        <f>VLOOKUP(A3220,'Componentes APUs'!$A$1:$D$14,4,0)</f>
        <v>2525.2525252525252</v>
      </c>
      <c r="G3220" s="51">
        <f>ROUNDUP(F3220*(E3220/21)/E3179,0)</f>
        <v>43</v>
      </c>
    </row>
    <row r="3221" spans="1:7" x14ac:dyDescent="0.25">
      <c r="A3221" s="69" t="s">
        <v>81</v>
      </c>
      <c r="B3221" s="72" t="str">
        <f>VLOOKUP(A3221,'Componentes APUs'!$A$1:$D$14,2,0)</f>
        <v>Guantes Protectores  - ingeniero reforzados</v>
      </c>
      <c r="C3221" s="73"/>
      <c r="D3221" s="50" t="str">
        <f>VLOOKUP(A3221,'Componentes APUs'!$A$1:$D$14,3,0)</f>
        <v>Par</v>
      </c>
      <c r="E3221" s="50">
        <f>C3196+C3197+C3199</f>
        <v>1.25</v>
      </c>
      <c r="F3221" s="51">
        <f>VLOOKUP(A3221,'Componentes APUs'!$A$1:$D$14,4,0)</f>
        <v>2525.2525252525252</v>
      </c>
      <c r="G3221" s="51">
        <f>ROUNDUP(F3221*(E3221/21)/E3179,0)</f>
        <v>36</v>
      </c>
    </row>
    <row r="3222" spans="1:7" x14ac:dyDescent="0.25">
      <c r="A3222" s="50" t="s">
        <v>83</v>
      </c>
      <c r="B3222" s="72" t="str">
        <f>VLOOKUP(A3222,'Componentes APUs'!$A$1:$D$14,2,0)</f>
        <v>Impermeable (pantalon camisa)</v>
      </c>
      <c r="C3222" s="73"/>
      <c r="D3222" s="50" t="str">
        <f>VLOOKUP(A3222,'Componentes APUs'!$A$1:$D$14,3,0)</f>
        <v>U</v>
      </c>
      <c r="E3222" s="50">
        <f>SUM(C3194:C3199)</f>
        <v>1.5</v>
      </c>
      <c r="F3222" s="51">
        <f>VLOOKUP(A3222,'Componentes APUs'!$A$1:$D$14,4,0)</f>
        <v>3750</v>
      </c>
      <c r="G3222" s="51">
        <f>ROUNDUP(F3222*(E3222/21)/E3179,0)</f>
        <v>64</v>
      </c>
    </row>
    <row r="3223" spans="1:7" x14ac:dyDescent="0.25">
      <c r="A3223" s="69" t="s">
        <v>85</v>
      </c>
      <c r="B3223" s="72" t="str">
        <f>VLOOKUP(A3223,'Componentes APUs'!$A$1:$D$14,2,0)</f>
        <v>Jean Dielectrico</v>
      </c>
      <c r="C3223" s="73"/>
      <c r="D3223" s="50" t="str">
        <f>VLOOKUP(A3223,'Componentes APUs'!$A$1:$D$14,3,0)</f>
        <v>U</v>
      </c>
      <c r="E3223" s="50">
        <f>SUM(C3194:C3199)</f>
        <v>1.5</v>
      </c>
      <c r="F3223" s="51">
        <f>VLOOKUP(A3223,'Componentes APUs'!$A$1:$D$14,4,0)</f>
        <v>7575.757575757576</v>
      </c>
      <c r="G3223" s="51">
        <f>ROUNDUP(F3223*(E3223/21)/E3179,0)</f>
        <v>129</v>
      </c>
    </row>
    <row r="3224" spans="1:7" x14ac:dyDescent="0.25">
      <c r="A3224" s="50" t="s">
        <v>87</v>
      </c>
      <c r="B3224" s="72" t="str">
        <f>VLOOKUP(A3224,'Componentes APUs'!$A$1:$D$14,2,0)</f>
        <v>Casco dielectrico Tipo 2 Clase E con barboquejo</v>
      </c>
      <c r="C3224" s="73"/>
      <c r="D3224" s="50" t="str">
        <f>VLOOKUP(A3224,'Componentes APUs'!$A$1:$D$14,3,0)</f>
        <v>U</v>
      </c>
      <c r="E3224" s="53">
        <f>IF(A3196="MO-3",C3196,0)</f>
        <v>0</v>
      </c>
      <c r="F3224" s="51">
        <f>VLOOKUP(A3224,'Componentes APUs'!$A$1:$D$14,4,0)</f>
        <v>7500</v>
      </c>
      <c r="G3224" s="51">
        <f>ROUNDUP(F3224*(E3224/21)/E3179,0)</f>
        <v>0</v>
      </c>
    </row>
    <row r="3225" spans="1:7" x14ac:dyDescent="0.25">
      <c r="A3225" s="69" t="s">
        <v>89</v>
      </c>
      <c r="B3225" s="72" t="str">
        <f>VLOOKUP(A3225,'Componentes APUs'!$A$1:$D$14,2,0)</f>
        <v>Kit de rescate para trabajo en alturas</v>
      </c>
      <c r="C3225" s="73"/>
      <c r="D3225" s="50" t="str">
        <f>VLOOKUP(A3225,'Componentes APUs'!$A$1:$D$14,3,0)</f>
        <v>U</v>
      </c>
      <c r="E3225" s="50">
        <f>IF(AND(A3196="MO-3",C3196=2),1,0)</f>
        <v>0</v>
      </c>
      <c r="F3225" s="51">
        <f>VLOOKUP(A3225,'Componentes APUs'!$A$1:$D$14,4,0)</f>
        <v>37500</v>
      </c>
      <c r="G3225" s="51">
        <f>ROUNDUP(F3225*(E3225/21)/E3179,0)</f>
        <v>0</v>
      </c>
    </row>
    <row r="3226" spans="1:7" x14ac:dyDescent="0.25">
      <c r="A3226" s="50" t="s">
        <v>91</v>
      </c>
      <c r="B3226" s="72" t="str">
        <f>VLOOKUP(A3226,'Componentes APUs'!$A$1:$D$14,2,0)</f>
        <v>Equipo completo para trabajo en alturas con pretales (Arnes dielectrico, 1 mosqueton de seguridad, tie off dielectrico, eslinga de posicionamiento, juego de pretales)</v>
      </c>
      <c r="C3226" s="73"/>
      <c r="D3226" s="50" t="str">
        <f>VLOOKUP(A3226,'Componentes APUs'!$A$1:$D$14,3,0)</f>
        <v>U</v>
      </c>
      <c r="E3226" s="50">
        <f>IF(A3196="MO-3",C3196,0)</f>
        <v>0</v>
      </c>
      <c r="F3226" s="51">
        <f>VLOOKUP(A3226,'Componentes APUs'!$A$1:$D$14,4,0)</f>
        <v>26041.666666666668</v>
      </c>
      <c r="G3226" s="51">
        <f>ROUNDUP(F3226*(E3226/21)/E3179,0)</f>
        <v>0</v>
      </c>
    </row>
    <row r="3227" spans="1:7" x14ac:dyDescent="0.25">
      <c r="A3227" s="219" t="s">
        <v>95</v>
      </c>
      <c r="B3227" s="219"/>
      <c r="C3227" s="219"/>
      <c r="D3227" s="219"/>
      <c r="E3227" s="219"/>
      <c r="F3227" s="219"/>
      <c r="G3227" s="52">
        <f>SUM(G3214:G3226)</f>
        <v>882</v>
      </c>
    </row>
    <row r="3228" spans="1:7" x14ac:dyDescent="0.25">
      <c r="A3228" s="56"/>
      <c r="B3228" s="57"/>
      <c r="C3228" s="57"/>
      <c r="D3228" s="57"/>
      <c r="E3228" s="57"/>
      <c r="F3228" s="57"/>
      <c r="G3228" s="58"/>
    </row>
    <row r="3229" spans="1:7" x14ac:dyDescent="0.25">
      <c r="A3229" s="219" t="s">
        <v>96</v>
      </c>
      <c r="B3229" s="219"/>
      <c r="C3229" s="219"/>
      <c r="D3229" s="219"/>
      <c r="E3229" s="219"/>
      <c r="F3229" s="219"/>
      <c r="G3229" s="219"/>
    </row>
    <row r="3230" spans="1:7" x14ac:dyDescent="0.25">
      <c r="A3230" s="49" t="s">
        <v>35</v>
      </c>
      <c r="B3230" s="225" t="s">
        <v>36</v>
      </c>
      <c r="C3230" s="225"/>
      <c r="D3230" s="49" t="s">
        <v>37</v>
      </c>
      <c r="E3230" s="49" t="s">
        <v>38</v>
      </c>
      <c r="F3230" s="49" t="s">
        <v>39</v>
      </c>
      <c r="G3230" s="49" t="s">
        <v>40</v>
      </c>
    </row>
    <row r="3231" spans="1:7" x14ac:dyDescent="0.25">
      <c r="A3231" s="69" t="s">
        <v>97</v>
      </c>
      <c r="B3231" s="72" t="str">
        <f>VLOOKUP(A3231,'Componentes APUs'!$N$1:$Q$30,2,0)</f>
        <v>Camioneta</v>
      </c>
      <c r="C3231" s="73"/>
      <c r="D3231" s="70" t="str">
        <f>VLOOKUP(A3231,'Componentes APUs'!$N$1:$Q$30,3,0)</f>
        <v>U</v>
      </c>
      <c r="E3231" s="50">
        <v>1</v>
      </c>
      <c r="F3231" s="51">
        <f>VLOOKUP(A3231,'Componentes APUs'!$N$1:$Q$30,4,0)</f>
        <v>5500000</v>
      </c>
      <c r="G3231" s="51">
        <f>IFERROR(ROUNDUP(F3231*(E3231/21)/E3179,0),"-")</f>
        <v>62359</v>
      </c>
    </row>
    <row r="3232" spans="1:7" x14ac:dyDescent="0.25">
      <c r="A3232" s="50" t="s">
        <v>321</v>
      </c>
      <c r="B3232" s="72" t="str">
        <f>VLOOKUP(A3232,'Componentes APUs'!$N$1:$Q$30,2,0)</f>
        <v>Grúa Hidráulica</v>
      </c>
      <c r="C3232" s="73"/>
      <c r="D3232" s="70" t="str">
        <f>VLOOKUP(A3232,'Componentes APUs'!$N$1:$Q$30,3,0)</f>
        <v>U</v>
      </c>
      <c r="E3232" s="50">
        <v>0</v>
      </c>
      <c r="F3232" s="51">
        <f>VLOOKUP(A3232,'Componentes APUs'!$N$1:$Q$30,4,0)</f>
        <v>21000000</v>
      </c>
      <c r="G3232" s="51">
        <f>IFERROR(ROUNDUP(F3232*(E3232/21)/E3179,0),"-")</f>
        <v>0</v>
      </c>
    </row>
    <row r="3233" spans="1:7" x14ac:dyDescent="0.25">
      <c r="A3233" s="69" t="s">
        <v>1379</v>
      </c>
      <c r="B3233" s="72" t="str">
        <f>VLOOKUP(A3233,'Componentes APUs'!$N$1:$Q$30,2,0)</f>
        <v>Dumper de descarga Frontal 2T</v>
      </c>
      <c r="C3233" s="73"/>
      <c r="D3233" s="70" t="str">
        <f>VLOOKUP(A3233,'Componentes APUs'!$N$1:$Q$30,3,0)</f>
        <v>U</v>
      </c>
      <c r="E3233" s="50">
        <v>0</v>
      </c>
      <c r="F3233" s="51">
        <f>VLOOKUP(A3233,'Componentes APUs'!$N$1:$Q$30,4,0)</f>
        <v>4438716.24</v>
      </c>
      <c r="G3233" s="51">
        <f>IFERROR(ROUNDUP(F3233*(E3233/21)/E3179,0),"-")</f>
        <v>0</v>
      </c>
    </row>
    <row r="3234" spans="1:7" x14ac:dyDescent="0.25">
      <c r="A3234" s="50" t="s">
        <v>323</v>
      </c>
      <c r="B3234" s="72" t="str">
        <f>VLOOKUP(A3234,'Componentes APUs'!$N$1:$Q$30,2,0)</f>
        <v>Volqueta</v>
      </c>
      <c r="C3234" s="73"/>
      <c r="D3234" s="70" t="str">
        <f>VLOOKUP(A3234,'Componentes APUs'!$N$1:$Q$30,3,0)</f>
        <v>U</v>
      </c>
      <c r="E3234" s="50">
        <v>0</v>
      </c>
      <c r="F3234" s="51">
        <f>VLOOKUP(A3234,'Componentes APUs'!$N$1:$Q$30,4,0)</f>
        <v>14828184</v>
      </c>
      <c r="G3234" s="51">
        <f>IFERROR(ROUNDUP(F3234*(E3234/21)/E3179,0),"-")</f>
        <v>0</v>
      </c>
    </row>
    <row r="3235" spans="1:7" x14ac:dyDescent="0.25">
      <c r="A3235" s="69" t="s">
        <v>324</v>
      </c>
      <c r="B3235" s="72" t="str">
        <f>VLOOKUP(A3235,'Componentes APUs'!$N$1:$Q$30,2,0)</f>
        <v>Retroexcavadora</v>
      </c>
      <c r="C3235" s="73"/>
      <c r="D3235" s="70" t="str">
        <f>VLOOKUP(A3235,'Componentes APUs'!$N$1:$Q$30,3,0)</f>
        <v>U</v>
      </c>
      <c r="E3235" s="50">
        <v>0</v>
      </c>
      <c r="F3235" s="51">
        <f>VLOOKUP(A3235,'Componentes APUs'!$N$1:$Q$30,4,0)</f>
        <v>46030656</v>
      </c>
      <c r="G3235" s="51">
        <f>IFERROR(ROUNDUP(F3235*(E3235/21)/E3179,0),"-")</f>
        <v>0</v>
      </c>
    </row>
    <row r="3236" spans="1:7" x14ac:dyDescent="0.25">
      <c r="A3236" s="219" t="s">
        <v>99</v>
      </c>
      <c r="B3236" s="219"/>
      <c r="C3236" s="219"/>
      <c r="D3236" s="219"/>
      <c r="E3236" s="219"/>
      <c r="F3236" s="219"/>
      <c r="G3236" s="52">
        <f>SUM(G3231:G3235)</f>
        <v>62359</v>
      </c>
    </row>
    <row r="3237" spans="1:7" x14ac:dyDescent="0.25">
      <c r="A3237" s="56"/>
      <c r="B3237" s="57"/>
      <c r="C3237" s="57"/>
      <c r="D3237" s="57"/>
      <c r="E3237" s="57"/>
      <c r="F3237" s="57"/>
      <c r="G3237" s="58"/>
    </row>
    <row r="3238" spans="1:7" x14ac:dyDescent="0.25">
      <c r="A3238" s="219" t="s">
        <v>1516</v>
      </c>
      <c r="B3238" s="219"/>
      <c r="C3238" s="219"/>
      <c r="D3238" s="219"/>
      <c r="E3238" s="219"/>
      <c r="F3238" s="219"/>
      <c r="G3238" s="52">
        <f>G3236+G3227+G3210+G3200+G3190</f>
        <v>175804</v>
      </c>
    </row>
    <row r="3239" spans="1:7" x14ac:dyDescent="0.25">
      <c r="A3239" s="59"/>
      <c r="B3239" s="60"/>
      <c r="C3239" s="60"/>
      <c r="D3239" s="60"/>
      <c r="E3239" s="57"/>
      <c r="F3239" s="57"/>
      <c r="G3239" s="58"/>
    </row>
    <row r="3240" spans="1:7" x14ac:dyDescent="0.25">
      <c r="A3240" s="64"/>
      <c r="D3240" s="55"/>
      <c r="E3240" s="49" t="s">
        <v>25</v>
      </c>
      <c r="F3240" s="54">
        <v>0.15</v>
      </c>
      <c r="G3240" s="51">
        <f>G3238*F3240</f>
        <v>26370.6</v>
      </c>
    </row>
    <row r="3241" spans="1:7" x14ac:dyDescent="0.25">
      <c r="A3241" s="64"/>
      <c r="D3241" s="55"/>
      <c r="E3241" s="49" t="s">
        <v>26</v>
      </c>
      <c r="F3241" s="54">
        <v>0.05</v>
      </c>
      <c r="G3241" s="51">
        <f>G3238*F3241</f>
        <v>8790.2000000000007</v>
      </c>
    </row>
    <row r="3242" spans="1:7" x14ac:dyDescent="0.25">
      <c r="A3242" s="61"/>
      <c r="B3242" s="65"/>
      <c r="C3242" s="65"/>
      <c r="D3242" s="62"/>
      <c r="E3242" s="49" t="s">
        <v>27</v>
      </c>
      <c r="F3242" s="54">
        <v>0.05</v>
      </c>
      <c r="G3242" s="51">
        <f>G3238*F3242</f>
        <v>8790.2000000000007</v>
      </c>
    </row>
    <row r="3243" spans="1:7" x14ac:dyDescent="0.25">
      <c r="A3243" s="61"/>
      <c r="B3243" s="62"/>
      <c r="C3243" s="62"/>
      <c r="D3243" s="62"/>
      <c r="E3243" s="62"/>
      <c r="F3243" s="62"/>
      <c r="G3243" s="63"/>
    </row>
    <row r="3244" spans="1:7" x14ac:dyDescent="0.25">
      <c r="A3244" s="219" t="s">
        <v>1517</v>
      </c>
      <c r="B3244" s="219"/>
      <c r="C3244" s="219"/>
      <c r="D3244" s="219"/>
      <c r="E3244" s="219"/>
      <c r="F3244" s="219"/>
      <c r="G3244" s="52">
        <f>G3238+G3240+G3241+G3242</f>
        <v>219755.00000000003</v>
      </c>
    </row>
    <row r="3245" spans="1:7" x14ac:dyDescent="0.25">
      <c r="A3245" s="59"/>
      <c r="B3245" s="60"/>
      <c r="C3245" s="60"/>
      <c r="D3245" s="60"/>
      <c r="E3245" s="57"/>
      <c r="F3245" s="57"/>
      <c r="G3245" s="58"/>
    </row>
    <row r="3246" spans="1:7" x14ac:dyDescent="0.25">
      <c r="A3246" s="64"/>
      <c r="D3246" s="55"/>
      <c r="E3246" s="49" t="s">
        <v>102</v>
      </c>
      <c r="F3246" s="49" t="s">
        <v>103</v>
      </c>
      <c r="G3246" s="51">
        <f>G3242*19%</f>
        <v>1670.1380000000001</v>
      </c>
    </row>
    <row r="3247" spans="1:7" x14ac:dyDescent="0.25">
      <c r="A3247" s="61"/>
      <c r="B3247" s="62"/>
      <c r="C3247" s="62"/>
      <c r="D3247" s="62"/>
      <c r="E3247" s="57"/>
      <c r="F3247" s="57"/>
      <c r="G3247" s="58"/>
    </row>
    <row r="3248" spans="1:7" x14ac:dyDescent="0.25">
      <c r="A3248" s="219" t="s">
        <v>104</v>
      </c>
      <c r="B3248" s="219"/>
      <c r="C3248" s="219"/>
      <c r="D3248" s="219"/>
      <c r="E3248" s="219"/>
      <c r="F3248" s="219"/>
      <c r="G3248" s="52">
        <f>G3246+G3244</f>
        <v>221425.13800000004</v>
      </c>
    </row>
    <row r="3250" spans="1:9" x14ac:dyDescent="0.25">
      <c r="A3250" s="74" t="s">
        <v>29</v>
      </c>
      <c r="B3250" s="226" t="s">
        <v>30</v>
      </c>
      <c r="C3250" s="226"/>
      <c r="D3250" s="74" t="s">
        <v>31</v>
      </c>
      <c r="E3250" s="74" t="s">
        <v>32</v>
      </c>
      <c r="F3250" s="74" t="s">
        <v>189</v>
      </c>
      <c r="G3250" s="74" t="s">
        <v>33</v>
      </c>
      <c r="H3250" s="105"/>
    </row>
    <row r="3251" spans="1:9" ht="35.25" customHeight="1" x14ac:dyDescent="0.25">
      <c r="A3251" s="50" t="str">
        <f>Presupuesto!B63</f>
        <v>050_OC</v>
      </c>
      <c r="B3251" s="229" t="str">
        <f>Presupuesto!C63</f>
        <v>TUBO PVC DE Ø8". INCLUYE CODOS, UNIONES, SOLDADURA Y LIMPIADOR</v>
      </c>
      <c r="C3251" s="230"/>
      <c r="D3251" s="50" t="s">
        <v>16</v>
      </c>
      <c r="E3251" s="107">
        <v>4.2</v>
      </c>
      <c r="F3251" s="50"/>
      <c r="G3251" s="51">
        <f>G3320</f>
        <v>312048.68199999997</v>
      </c>
      <c r="H3251" s="45"/>
    </row>
    <row r="3252" spans="1:9" x14ac:dyDescent="0.25">
      <c r="A3252" s="219" t="s">
        <v>34</v>
      </c>
      <c r="B3252" s="219"/>
      <c r="C3252" s="219"/>
      <c r="D3252" s="219"/>
      <c r="E3252" s="219"/>
      <c r="F3252" s="219"/>
      <c r="G3252" s="219"/>
    </row>
    <row r="3253" spans="1:9" x14ac:dyDescent="0.25">
      <c r="A3253" s="49" t="s">
        <v>35</v>
      </c>
      <c r="B3253" s="219" t="s">
        <v>36</v>
      </c>
      <c r="C3253" s="219"/>
      <c r="D3253" s="49" t="s">
        <v>37</v>
      </c>
      <c r="E3253" s="49" t="s">
        <v>38</v>
      </c>
      <c r="F3253" s="49" t="s">
        <v>39</v>
      </c>
      <c r="G3253" s="49" t="s">
        <v>40</v>
      </c>
    </row>
    <row r="3254" spans="1:9" x14ac:dyDescent="0.25">
      <c r="A3254" s="50" t="str">
        <f>Material!A473</f>
        <v>MA-472</v>
      </c>
      <c r="B3254" s="72" t="str">
        <f>IFERROR(VLOOKUP(A3254,Material!$A:$H,2,0),"-")</f>
        <v xml:space="preserve">TUBERÍA SANITARIA PVC 8" </v>
      </c>
      <c r="C3254" s="76"/>
      <c r="D3254" s="50" t="str">
        <f>IFERROR(VLOOKUP(A3254,Material!$A:$H,4,0),"-")</f>
        <v>ML</v>
      </c>
      <c r="E3254" s="107">
        <v>1</v>
      </c>
      <c r="F3254" s="51">
        <f>IFERROR(VLOOKUP(A3254,Material!$A:$H,3,0),"-")</f>
        <v>105927.90000000001</v>
      </c>
      <c r="G3254" s="51">
        <f t="shared" ref="G3254" si="47">IFERROR(ROUNDUP(F3254*E3254,0),"-")</f>
        <v>105928</v>
      </c>
      <c r="H3254" s="106"/>
    </row>
    <row r="3255" spans="1:9" x14ac:dyDescent="0.25">
      <c r="A3255" s="50" t="str">
        <f>Material!A474</f>
        <v>MA-473</v>
      </c>
      <c r="B3255" s="72" t="str">
        <f>IFERROR(VLOOKUP(A3255,Material!$A:$H,2,0),"-")</f>
        <v xml:space="preserve">CODO SANITARIO PVC 8" </v>
      </c>
      <c r="C3255" s="76"/>
      <c r="D3255" s="50" t="str">
        <f>IFERROR(VLOOKUP(A3255,Material!$A:$H,4,0),"-")</f>
        <v>UN</v>
      </c>
      <c r="E3255" s="107">
        <f>1/20</f>
        <v>0.05</v>
      </c>
      <c r="F3255" s="51">
        <f>IFERROR(VLOOKUP(A3255,Material!$A:$H,3,0),"-")</f>
        <v>302770</v>
      </c>
      <c r="G3255" s="51">
        <f>IFERROR(ROUNDUP(F3255*E3255,0),"-")</f>
        <v>15139</v>
      </c>
      <c r="H3255" s="106"/>
    </row>
    <row r="3256" spans="1:9" x14ac:dyDescent="0.25">
      <c r="A3256" s="50" t="str">
        <f>Material!A475</f>
        <v>MA-474</v>
      </c>
      <c r="B3256" s="72" t="str">
        <f>IFERROR(VLOOKUP(A3256,Material!$A:$H,2,0),"-")</f>
        <v>UNION SANITARIA PVC 8"</v>
      </c>
      <c r="C3256" s="76"/>
      <c r="D3256" s="50" t="str">
        <f>IFERROR(VLOOKUP(A3256,Material!$A:$H,4,0),"-")</f>
        <v>UN</v>
      </c>
      <c r="E3256" s="107">
        <f>1/30</f>
        <v>3.3333333333333333E-2</v>
      </c>
      <c r="F3256" s="51">
        <f>IFERROR(VLOOKUP(A3256,Material!$A:$H,3,0),"-")</f>
        <v>103870</v>
      </c>
      <c r="G3256" s="51">
        <f>IFERROR(ROUNDUP(F3256*E3256,0),"-")</f>
        <v>3463</v>
      </c>
      <c r="H3256" s="106"/>
    </row>
    <row r="3257" spans="1:9" x14ac:dyDescent="0.25">
      <c r="A3257" s="50" t="str">
        <f>Material!A201</f>
        <v>MA-200</v>
      </c>
      <c r="B3257" s="72" t="str">
        <f>IFERROR(VLOOKUP(A3257,Material!$A:$H,2,0),"-")</f>
        <v>SOLDADURA PVC 1/4 GL</v>
      </c>
      <c r="C3257" s="76"/>
      <c r="D3257" s="50" t="str">
        <f>IFERROR(VLOOKUP(A3257,Material!$A:$H,4,0),"-")</f>
        <v>GALÓN</v>
      </c>
      <c r="E3257" s="107">
        <v>1.6666666666666666E-2</v>
      </c>
      <c r="F3257" s="51">
        <f>IFERROR(VLOOKUP(A3257,Material!$A:$H,3,0),"-")</f>
        <v>88270</v>
      </c>
      <c r="G3257" s="51">
        <f t="shared" ref="G3257:G3261" si="48">IFERROR(ROUNDUP(F3257*E3257,0),"-")</f>
        <v>1472</v>
      </c>
      <c r="H3257" s="106"/>
    </row>
    <row r="3258" spans="1:9" x14ac:dyDescent="0.25">
      <c r="A3258" s="50" t="str">
        <f>Material!A253</f>
        <v>MA-252</v>
      </c>
      <c r="B3258" s="72" t="str">
        <f>IFERROR(VLOOKUP(A3258,Material!$A:$H,2,0),"-")</f>
        <v>LIMPIADOR DE TUBERÍA PVC 1/4 GL</v>
      </c>
      <c r="C3258" s="76"/>
      <c r="D3258" s="50" t="str">
        <f>IFERROR(VLOOKUP(A3258,Material!$A:$H,4,0),"-")</f>
        <v>GALÓN</v>
      </c>
      <c r="E3258" s="107">
        <v>1.6666666666666666E-2</v>
      </c>
      <c r="F3258" s="51">
        <f>IFERROR(VLOOKUP(A3258,Material!$A:$H,3,0),"-")</f>
        <v>60970</v>
      </c>
      <c r="G3258" s="51">
        <f t="shared" si="48"/>
        <v>1017</v>
      </c>
      <c r="H3258" s="106"/>
    </row>
    <row r="3259" spans="1:9" x14ac:dyDescent="0.25">
      <c r="A3259" s="50"/>
      <c r="B3259" s="72" t="str">
        <f>IFERROR(VLOOKUP(A3259,Material!$A:$H,2,0),"-")</f>
        <v>-</v>
      </c>
      <c r="C3259" s="76"/>
      <c r="D3259" s="50" t="str">
        <f>IFERROR(VLOOKUP(A3259,Material!$A:$H,4,0),"-")</f>
        <v>-</v>
      </c>
      <c r="E3259" s="107"/>
      <c r="F3259" s="51" t="str">
        <f>IFERROR(VLOOKUP(A3259,Material!$A:$H,3,0),"-")</f>
        <v>-</v>
      </c>
      <c r="G3259" s="51" t="str">
        <f t="shared" si="48"/>
        <v>-</v>
      </c>
      <c r="H3259" s="106"/>
    </row>
    <row r="3260" spans="1:9" x14ac:dyDescent="0.25">
      <c r="A3260" s="50"/>
      <c r="B3260" s="72" t="str">
        <f>IFERROR(VLOOKUP(A3260,Material!$A:$H,2,0),"-")</f>
        <v>-</v>
      </c>
      <c r="C3260" s="76"/>
      <c r="D3260" s="50" t="str">
        <f>IFERROR(VLOOKUP(A3260,Material!$A:$H,4,0),"-")</f>
        <v>-</v>
      </c>
      <c r="E3260" s="107"/>
      <c r="F3260" s="51" t="str">
        <f>IFERROR(VLOOKUP(A3260,Material!$A:$H,3,0),"-")</f>
        <v>-</v>
      </c>
      <c r="G3260" s="51" t="str">
        <f t="shared" si="48"/>
        <v>-</v>
      </c>
      <c r="H3260" s="106"/>
    </row>
    <row r="3261" spans="1:9" x14ac:dyDescent="0.25">
      <c r="A3261" s="50"/>
      <c r="B3261" s="72" t="str">
        <f>IFERROR(VLOOKUP(A3261,Material!$A:$H,2,0),"-")</f>
        <v>-</v>
      </c>
      <c r="C3261" s="76"/>
      <c r="D3261" s="50" t="str">
        <f>IFERROR(VLOOKUP(A3261,Material!$A:$H,4,0),"-")</f>
        <v>-</v>
      </c>
      <c r="E3261" s="107"/>
      <c r="F3261" s="51" t="str">
        <f>IFERROR(VLOOKUP(A3261,Material!$A:$H,3,0),"-")</f>
        <v>-</v>
      </c>
      <c r="G3261" s="51" t="str">
        <f t="shared" si="48"/>
        <v>-</v>
      </c>
      <c r="H3261" s="106"/>
    </row>
    <row r="3262" spans="1:9" x14ac:dyDescent="0.25">
      <c r="A3262" s="219" t="s">
        <v>41</v>
      </c>
      <c r="B3262" s="219"/>
      <c r="C3262" s="219"/>
      <c r="D3262" s="219"/>
      <c r="E3262" s="219"/>
      <c r="F3262" s="219"/>
      <c r="G3262" s="52">
        <f>SUM(G3254:G3261)</f>
        <v>127019</v>
      </c>
      <c r="I3262" s="104"/>
    </row>
    <row r="3263" spans="1:9" x14ac:dyDescent="0.25">
      <c r="A3263" s="56"/>
      <c r="B3263" s="57"/>
      <c r="C3263" s="57"/>
      <c r="D3263" s="57"/>
      <c r="E3263" s="57"/>
      <c r="F3263" s="57"/>
      <c r="G3263" s="58"/>
    </row>
    <row r="3264" spans="1:9" x14ac:dyDescent="0.25">
      <c r="A3264" s="219" t="s">
        <v>42</v>
      </c>
      <c r="B3264" s="219"/>
      <c r="C3264" s="219"/>
      <c r="D3264" s="219"/>
      <c r="E3264" s="219"/>
      <c r="F3264" s="219"/>
      <c r="G3264" s="219"/>
    </row>
    <row r="3265" spans="1:9" x14ac:dyDescent="0.25">
      <c r="A3265" s="49" t="s">
        <v>35</v>
      </c>
      <c r="B3265" s="49" t="s">
        <v>36</v>
      </c>
      <c r="C3265" s="49" t="s">
        <v>38</v>
      </c>
      <c r="D3265" s="49" t="s">
        <v>43</v>
      </c>
      <c r="E3265" s="49" t="s">
        <v>44</v>
      </c>
      <c r="F3265" s="49" t="s">
        <v>45</v>
      </c>
      <c r="G3265" s="49" t="s">
        <v>40</v>
      </c>
    </row>
    <row r="3266" spans="1:9" x14ac:dyDescent="0.25">
      <c r="A3266" s="50" t="s">
        <v>319</v>
      </c>
      <c r="B3266" s="68" t="str">
        <f>VLOOKUP(A3266,'Componentes APUs'!$H$1:$L$25,2,0)</f>
        <v>Ingeniero Residente de Obra</v>
      </c>
      <c r="C3266" s="93">
        <v>0</v>
      </c>
      <c r="D3266" s="50">
        <f>VLOOKUP(A3266,'Componentes APUs'!$H$1:$L$25,3,0)</f>
        <v>4</v>
      </c>
      <c r="E3266" s="51">
        <f>VLOOKUP(A3266,'Componentes APUs'!$H$1:$L$25,4,0)</f>
        <v>271142.85714285716</v>
      </c>
      <c r="F3266" s="51">
        <f>VLOOKUP(A3266,'Componentes APUs'!$H$1:$L$25,5,0)</f>
        <v>162685.71428571429</v>
      </c>
      <c r="G3266" s="51">
        <f>ROUNDUP((E3266+F3266)*C3266/E3251,0)</f>
        <v>0</v>
      </c>
      <c r="H3266" s="66"/>
    </row>
    <row r="3267" spans="1:9" x14ac:dyDescent="0.25">
      <c r="A3267" s="50" t="s">
        <v>320</v>
      </c>
      <c r="B3267" s="68" t="str">
        <f>VLOOKUP(A3267,'Componentes APUs'!$H$1:$L$25,2,0)</f>
        <v>Tecnico Supervisor</v>
      </c>
      <c r="C3267" s="93">
        <v>0</v>
      </c>
      <c r="D3267" s="50">
        <f>VLOOKUP(A3267,'Componentes APUs'!$H$1:$L$25,3,0)</f>
        <v>2.2999999999999998</v>
      </c>
      <c r="E3267" s="51">
        <f>VLOOKUP(A3267,'Componentes APUs'!$H$1:$L$25,4,0)</f>
        <v>155907.14285714284</v>
      </c>
      <c r="F3267" s="51">
        <f>VLOOKUP(A3267,'Componentes APUs'!$H$1:$L$25,5,0)</f>
        <v>93544.285714285696</v>
      </c>
      <c r="G3267" s="51">
        <f>ROUNDUP((E3267+F3267)*C3267/E3251,0)</f>
        <v>0</v>
      </c>
    </row>
    <row r="3268" spans="1:9" x14ac:dyDescent="0.25">
      <c r="A3268" s="50" t="s">
        <v>54</v>
      </c>
      <c r="B3268" s="68" t="str">
        <f>VLOOKUP(A3268,'Componentes APUs'!$H$1:$L$25,2,0)</f>
        <v>Maestro de obra civil</v>
      </c>
      <c r="C3268" s="93">
        <v>0</v>
      </c>
      <c r="D3268" s="50">
        <f>VLOOKUP(A3268,'Componentes APUs'!$H$1:$L$25,3,0)</f>
        <v>2.5</v>
      </c>
      <c r="E3268" s="51">
        <f>VLOOKUP(A3268,'Componentes APUs'!$H$1:$L$25,4,0)</f>
        <v>169464.28571428571</v>
      </c>
      <c r="F3268" s="51">
        <f>VLOOKUP(A3268,'Componentes APUs'!$H$1:$L$25,5,0)</f>
        <v>101678.57142857142</v>
      </c>
      <c r="G3268" s="51">
        <f>ROUNDUP((E3268+F3268)*C3268/E3251,0)</f>
        <v>0</v>
      </c>
    </row>
    <row r="3269" spans="1:9" x14ac:dyDescent="0.25">
      <c r="A3269" s="50" t="s">
        <v>1110</v>
      </c>
      <c r="B3269" s="68" t="str">
        <f>VLOOKUP(A3269,'Componentes APUs'!$H$1:$L$25,2,0)</f>
        <v>Oficial de Obra Civil</v>
      </c>
      <c r="C3269" s="93">
        <v>0.25</v>
      </c>
      <c r="D3269" s="50">
        <f>VLOOKUP(A3269,'Componentes APUs'!$H$1:$L$25,3,0)</f>
        <v>1.5</v>
      </c>
      <c r="E3269" s="51">
        <f>VLOOKUP(A3269,'Componentes APUs'!$H$1:$L$25,4,0)</f>
        <v>115964.28571428571</v>
      </c>
      <c r="F3269" s="51">
        <f>VLOOKUP(A3269,'Componentes APUs'!$H$1:$L$25,5,0)</f>
        <v>69578.57142857142</v>
      </c>
      <c r="G3269" s="51">
        <f>ROUNDUP((E3269+F3269)*C3269/E3251,0)</f>
        <v>11045</v>
      </c>
    </row>
    <row r="3270" spans="1:9" x14ac:dyDescent="0.25">
      <c r="A3270" s="50" t="s">
        <v>50</v>
      </c>
      <c r="B3270" s="68" t="str">
        <f>VLOOKUP(A3270,'Componentes APUs'!$H$1:$L$25,2,0)</f>
        <v>Profesional en SST</v>
      </c>
      <c r="C3270" s="93">
        <v>0.25</v>
      </c>
      <c r="D3270" s="50">
        <f>VLOOKUP(A3270,'Componentes APUs'!$H$1:$L$25,3,0)</f>
        <v>2.5</v>
      </c>
      <c r="E3270" s="51">
        <f>VLOOKUP(A3270,'Componentes APUs'!$H$1:$L$25,4,0)</f>
        <v>169464.28571428571</v>
      </c>
      <c r="F3270" s="51">
        <f>VLOOKUP(A3270,'Componentes APUs'!$H$1:$L$25,5,0)</f>
        <v>101678.57142857142</v>
      </c>
      <c r="G3270" s="51">
        <f>ROUNDUP((E3270+F3270)*C3270/E3251,0)</f>
        <v>16140</v>
      </c>
    </row>
    <row r="3271" spans="1:9" x14ac:dyDescent="0.25">
      <c r="A3271" s="50" t="s">
        <v>1109</v>
      </c>
      <c r="B3271" s="68" t="str">
        <f>VLOOKUP(A3271,'Componentes APUs'!$H$1:$L$25,2,0)</f>
        <v>Ayudante de Obra Civil</v>
      </c>
      <c r="C3271" s="93">
        <v>1</v>
      </c>
      <c r="D3271" s="50">
        <f>VLOOKUP(A3271,'Componentes APUs'!$H$1:$L$25,3,0)</f>
        <v>1</v>
      </c>
      <c r="E3271" s="51">
        <f>VLOOKUP(A3271,'Componentes APUs'!$H$1:$L$25,4,0)</f>
        <v>77309.523809523816</v>
      </c>
      <c r="F3271" s="51">
        <f>VLOOKUP(A3271,'Componentes APUs'!$H$1:$L$25,5,0)</f>
        <v>46385.71428571429</v>
      </c>
      <c r="G3271" s="51">
        <f>ROUNDUP((E3271+F3271)*C3271/E3251,0)</f>
        <v>29452</v>
      </c>
    </row>
    <row r="3272" spans="1:9" x14ac:dyDescent="0.25">
      <c r="A3272" s="219" t="s">
        <v>56</v>
      </c>
      <c r="B3272" s="219"/>
      <c r="C3272" s="219"/>
      <c r="D3272" s="219"/>
      <c r="E3272" s="219"/>
      <c r="F3272" s="219"/>
      <c r="G3272" s="52">
        <f>SUM(G3266:G3271)</f>
        <v>56637</v>
      </c>
    </row>
    <row r="3273" spans="1:9" x14ac:dyDescent="0.25">
      <c r="A3273" s="56"/>
      <c r="B3273" s="57"/>
      <c r="C3273" s="57"/>
      <c r="D3273" s="57"/>
      <c r="E3273" s="57"/>
      <c r="F3273" s="57"/>
      <c r="G3273" s="58"/>
    </row>
    <row r="3274" spans="1:9" x14ac:dyDescent="0.25">
      <c r="A3274" s="219" t="s">
        <v>57</v>
      </c>
      <c r="B3274" s="219"/>
      <c r="C3274" s="219"/>
      <c r="D3274" s="219"/>
      <c r="E3274" s="219"/>
      <c r="F3274" s="219"/>
      <c r="G3274" s="219"/>
    </row>
    <row r="3275" spans="1:9" x14ac:dyDescent="0.25">
      <c r="A3275" s="49" t="s">
        <v>35</v>
      </c>
      <c r="B3275" s="219" t="s">
        <v>36</v>
      </c>
      <c r="C3275" s="219"/>
      <c r="D3275" s="49" t="s">
        <v>37</v>
      </c>
      <c r="E3275" s="49" t="s">
        <v>38</v>
      </c>
      <c r="F3275" s="49" t="s">
        <v>39</v>
      </c>
      <c r="G3275" s="49" t="s">
        <v>40</v>
      </c>
    </row>
    <row r="3276" spans="1:9" x14ac:dyDescent="0.25">
      <c r="A3276" s="50" t="s">
        <v>326</v>
      </c>
      <c r="B3276" s="220" t="str">
        <f>VLOOKUP(A3276,'Componentes APUs'!$S$1:$V$10,2,0)</f>
        <v>Juego Llaves</v>
      </c>
      <c r="C3276" s="220"/>
      <c r="D3276" s="50" t="s">
        <v>18</v>
      </c>
      <c r="E3276" s="50">
        <v>0</v>
      </c>
      <c r="F3276" s="51">
        <f>VLOOKUP(A3276,'Componentes APUs'!$S$1:$V$10,4,0)</f>
        <v>9167</v>
      </c>
      <c r="G3276" s="51">
        <f>ROUNDUP(F3276*((E3276/21)/E3251),0)</f>
        <v>0</v>
      </c>
      <c r="I3276" s="91"/>
    </row>
    <row r="3277" spans="1:9" x14ac:dyDescent="0.25">
      <c r="A3277" s="50" t="s">
        <v>58</v>
      </c>
      <c r="B3277" s="220" t="str">
        <f>VLOOKUP(A3277,'Componentes APUs'!$S$1:$V$10,2,0)</f>
        <v>Manila de servicio</v>
      </c>
      <c r="C3277" s="220"/>
      <c r="D3277" s="50" t="s">
        <v>18</v>
      </c>
      <c r="E3277" s="50">
        <v>0</v>
      </c>
      <c r="F3277" s="51">
        <f>VLOOKUP(A3277,'Componentes APUs'!$S$1:$V$10,4,0)</f>
        <v>2333</v>
      </c>
      <c r="G3277" s="51">
        <f>ROUNDUP(F3277*((E3277/21)/E3251),0)</f>
        <v>0</v>
      </c>
    </row>
    <row r="3278" spans="1:9" x14ac:dyDescent="0.25">
      <c r="A3278" s="50" t="s">
        <v>327</v>
      </c>
      <c r="B3278" s="220" t="str">
        <f>VLOOKUP(A3278,'Componentes APUs'!$S$1:$V$10,2,0)</f>
        <v>Tula portaherramientas</v>
      </c>
      <c r="C3278" s="220"/>
      <c r="D3278" s="50" t="s">
        <v>18</v>
      </c>
      <c r="E3278" s="50">
        <v>0</v>
      </c>
      <c r="F3278" s="51">
        <f>VLOOKUP(A3278,'Componentes APUs'!$S$1:$V$10,4,0)</f>
        <v>1250</v>
      </c>
      <c r="G3278" s="51">
        <f>ROUNDUP(F3278*((E3278/21)/E3251),0)</f>
        <v>0</v>
      </c>
    </row>
    <row r="3279" spans="1:9" x14ac:dyDescent="0.25">
      <c r="A3279" s="50" t="s">
        <v>60</v>
      </c>
      <c r="B3279" s="220" t="str">
        <f>VLOOKUP(A3279,'Componentes APUs'!$S$1:$V$10,2,0)</f>
        <v>Agarradoras</v>
      </c>
      <c r="C3279" s="220"/>
      <c r="D3279" s="50" t="s">
        <v>18</v>
      </c>
      <c r="E3279" s="50">
        <v>0</v>
      </c>
      <c r="F3279" s="51">
        <f>VLOOKUP(A3279,'Componentes APUs'!$S$1:$V$10,4,0)</f>
        <v>125000</v>
      </c>
      <c r="G3279" s="51">
        <f>ROUNDUP(F3279*((E3279/21)/E3251),0)</f>
        <v>0</v>
      </c>
    </row>
    <row r="3280" spans="1:9" x14ac:dyDescent="0.25">
      <c r="A3280" s="50" t="s">
        <v>62</v>
      </c>
      <c r="B3280" s="220" t="str">
        <f>VLOOKUP(A3280,'Componentes APUs'!$S$1:$V$10,2,0)</f>
        <v>Templadoras</v>
      </c>
      <c r="C3280" s="220"/>
      <c r="D3280" s="50" t="s">
        <v>18</v>
      </c>
      <c r="E3280" s="50">
        <v>0</v>
      </c>
      <c r="F3280" s="51">
        <f>VLOOKUP(A3280,'Componentes APUs'!$S$1:$V$10,4,0)</f>
        <v>250000</v>
      </c>
      <c r="G3280" s="51">
        <f>ROUNDUP(F3280*((E3280/21)/E3251),0)</f>
        <v>0</v>
      </c>
    </row>
    <row r="3281" spans="1:9" x14ac:dyDescent="0.25">
      <c r="A3281" s="50" t="s">
        <v>328</v>
      </c>
      <c r="B3281" s="220" t="str">
        <f>VLOOKUP(A3281,'Componentes APUs'!$S$1:$V$10,2,0)</f>
        <v>Herramienta Menor</v>
      </c>
      <c r="C3281" s="220"/>
      <c r="D3281" s="50" t="s">
        <v>18</v>
      </c>
      <c r="E3281" s="50">
        <v>1</v>
      </c>
      <c r="F3281" s="51">
        <f>VLOOKUP(A3281,'Componentes APUs'!$S$1:$V$10,4,0)</f>
        <v>75758</v>
      </c>
      <c r="G3281" s="51">
        <f>ROUNDUP(F3281*((E3281/21)/E3251),0)</f>
        <v>859</v>
      </c>
    </row>
    <row r="3282" spans="1:9" x14ac:dyDescent="0.25">
      <c r="A3282" s="219" t="s">
        <v>69</v>
      </c>
      <c r="B3282" s="219"/>
      <c r="C3282" s="219"/>
      <c r="D3282" s="219"/>
      <c r="E3282" s="219"/>
      <c r="F3282" s="219"/>
      <c r="G3282" s="52">
        <f>SUM(G3276:G3281)</f>
        <v>859</v>
      </c>
    </row>
    <row r="3283" spans="1:9" x14ac:dyDescent="0.25">
      <c r="A3283" s="56"/>
      <c r="B3283" s="57"/>
      <c r="C3283" s="57"/>
      <c r="D3283" s="57"/>
      <c r="E3283" s="57"/>
      <c r="F3283" s="57"/>
      <c r="G3283" s="58"/>
    </row>
    <row r="3284" spans="1:9" x14ac:dyDescent="0.25">
      <c r="A3284" s="219" t="s">
        <v>70</v>
      </c>
      <c r="B3284" s="219"/>
      <c r="C3284" s="219"/>
      <c r="D3284" s="219"/>
      <c r="E3284" s="219"/>
      <c r="F3284" s="219"/>
      <c r="G3284" s="219"/>
    </row>
    <row r="3285" spans="1:9" x14ac:dyDescent="0.25">
      <c r="A3285" s="49" t="s">
        <v>35</v>
      </c>
      <c r="B3285" s="219" t="s">
        <v>36</v>
      </c>
      <c r="C3285" s="219"/>
      <c r="D3285" s="49" t="s">
        <v>37</v>
      </c>
      <c r="E3285" s="49" t="s">
        <v>38</v>
      </c>
      <c r="F3285" s="49" t="s">
        <v>39</v>
      </c>
      <c r="G3285" s="49" t="s">
        <v>40</v>
      </c>
    </row>
    <row r="3286" spans="1:9" x14ac:dyDescent="0.25">
      <c r="A3286" s="50" t="s">
        <v>71</v>
      </c>
      <c r="B3286" s="71" t="str">
        <f>VLOOKUP(A3286,'Componentes APUs'!$A$1:$D$14,2,0)</f>
        <v>Camisa indigo sin partes metalicas</v>
      </c>
      <c r="C3286" s="71"/>
      <c r="D3286" s="50" t="str">
        <f>VLOOKUP(A3286,'Componentes APUs'!$A$1:$D$14,3,0)</f>
        <v>U</v>
      </c>
      <c r="E3286" s="50">
        <f>SUM(C3266:C3271)</f>
        <v>1.5</v>
      </c>
      <c r="F3286" s="51">
        <f>VLOOKUP(A3286,'Componentes APUs'!$A$1:$D$14,4,0)</f>
        <v>8585.8585858585866</v>
      </c>
      <c r="G3286" s="51">
        <f>ROUNDUP(F3286*(E3286/21)/E3251,0)</f>
        <v>147</v>
      </c>
      <c r="I3286" s="91"/>
    </row>
    <row r="3287" spans="1:9" x14ac:dyDescent="0.25">
      <c r="A3287" s="69" t="s">
        <v>73</v>
      </c>
      <c r="B3287" s="72" t="str">
        <f>VLOOKUP(A3287,'Componentes APUs'!$A$1:$D$14,2,0)</f>
        <v>Bota de seguridad dielectrica</v>
      </c>
      <c r="C3287" s="73"/>
      <c r="D3287" s="70" t="str">
        <f>VLOOKUP(A3287,'Componentes APUs'!$A$1:$D$14,3,0)</f>
        <v>Par</v>
      </c>
      <c r="E3287" s="50">
        <f>SUM(C3266:C3271)</f>
        <v>1.5</v>
      </c>
      <c r="F3287" s="51">
        <f>VLOOKUP(A3287,'Componentes APUs'!$A$1:$D$14,4,0)</f>
        <v>7500</v>
      </c>
      <c r="G3287" s="51">
        <f>ROUNDUP(F3287*(E3287/21)/E3251,0)</f>
        <v>128</v>
      </c>
    </row>
    <row r="3288" spans="1:9" x14ac:dyDescent="0.25">
      <c r="A3288" s="50" t="s">
        <v>76</v>
      </c>
      <c r="B3288" s="72" t="str">
        <f>VLOOKUP(A3288,'Componentes APUs'!$A$1:$D$14,2,0)</f>
        <v>Casco dielectrico Tipo 1 Clase E con barbuquejo</v>
      </c>
      <c r="C3288" s="73"/>
      <c r="D3288" s="50" t="str">
        <f>VLOOKUP(A3288,'Componentes APUs'!$A$1:$D$14,3,0)</f>
        <v>U</v>
      </c>
      <c r="E3288" s="50">
        <f>C3266+C3267+C3269+C3270+C3271+IF(A3268&lt;&gt;"MO-3",C3268,0)</f>
        <v>1.5</v>
      </c>
      <c r="F3288" s="51">
        <f>VLOOKUP(A3288,'Componentes APUs'!$A$1:$D$14,4,0)</f>
        <v>10101.010101010101</v>
      </c>
      <c r="G3288" s="51">
        <f>ROUNDUP(F3288*(E3288/21)/E3251,0)</f>
        <v>172</v>
      </c>
    </row>
    <row r="3289" spans="1:9" x14ac:dyDescent="0.25">
      <c r="A3289" s="69" t="s">
        <v>77</v>
      </c>
      <c r="B3289" s="72" t="str">
        <f>VLOOKUP(A3289,'Componentes APUs'!$A$1:$D$14,2,0)</f>
        <v>Correa plastica y antiflama</v>
      </c>
      <c r="C3289" s="73"/>
      <c r="D3289" s="50" t="str">
        <f>VLOOKUP(A3289,'Componentes APUs'!$A$1:$D$14,3,0)</f>
        <v>U</v>
      </c>
      <c r="E3289" s="50">
        <f>SUM(C3266:C3271)</f>
        <v>1.5</v>
      </c>
      <c r="F3289" s="51">
        <f>VLOOKUP(A3289,'Componentes APUs'!$A$1:$D$14,4,0)</f>
        <v>3787.878787878788</v>
      </c>
      <c r="G3289" s="51">
        <f>ROUNDUP(F3289*(E3289/21)/E3251,0)</f>
        <v>65</v>
      </c>
    </row>
    <row r="3290" spans="1:9" x14ac:dyDescent="0.25">
      <c r="A3290" s="50" t="s">
        <v>79</v>
      </c>
      <c r="B3290" s="72" t="str">
        <f>VLOOKUP(A3290,'Componentes APUs'!$A$1:$D$14,2,0)</f>
        <v>Gafas protectoras filtro UV</v>
      </c>
      <c r="C3290" s="73"/>
      <c r="D3290" s="50" t="str">
        <f>VLOOKUP(A3290,'Componentes APUs'!$A$1:$D$14,3,0)</f>
        <v>U</v>
      </c>
      <c r="E3290" s="50">
        <f>SUM(C3266:C3271)</f>
        <v>1.5</v>
      </c>
      <c r="F3290" s="51">
        <f>VLOOKUP(A3290,'Componentes APUs'!$A$1:$D$14,4,0)</f>
        <v>2777.7777777777778</v>
      </c>
      <c r="G3290" s="51">
        <f>ROUNDUP(F3290*(E3290/21)/E3251,0)</f>
        <v>48</v>
      </c>
    </row>
    <row r="3291" spans="1:9" x14ac:dyDescent="0.25">
      <c r="A3291" s="69" t="s">
        <v>402</v>
      </c>
      <c r="B3291" s="72" t="str">
        <f>VLOOKUP(A3291,'Componentes APUs'!$A$1:$D$14,2,0)</f>
        <v>Bota de seguridad PVC dielectrica</v>
      </c>
      <c r="C3291" s="73"/>
      <c r="D3291" s="50" t="str">
        <f>VLOOKUP(A3291,'Componentes APUs'!$A$1:$D$14,3,0)</f>
        <v>Par</v>
      </c>
      <c r="E3291" s="50">
        <f>SUM(C3266:C3271)</f>
        <v>1.5</v>
      </c>
      <c r="F3291" s="51">
        <f>VLOOKUP(A3291,'Componentes APUs'!$A$1:$D$14,4,0)</f>
        <v>2916.6666666666665</v>
      </c>
      <c r="G3291" s="51">
        <f>ROUNDUP(F3291*(E3291/21)/E3251,0)</f>
        <v>50</v>
      </c>
    </row>
    <row r="3292" spans="1:9" x14ac:dyDescent="0.25">
      <c r="A3292" s="50" t="s">
        <v>403</v>
      </c>
      <c r="B3292" s="72" t="str">
        <f>VLOOKUP(A3292,'Componentes APUs'!$A$1:$D$14,2,0)</f>
        <v>Capuchon</v>
      </c>
      <c r="C3292" s="73"/>
      <c r="D3292" s="50" t="str">
        <f>VLOOKUP(A3292,'Componentes APUs'!$A$1:$D$14,3,0)</f>
        <v>U</v>
      </c>
      <c r="E3292" s="50">
        <f>SUM(C3266:C3271)</f>
        <v>1.5</v>
      </c>
      <c r="F3292" s="51">
        <f>VLOOKUP(A3292,'Componentes APUs'!$A$1:$D$14,4,0)</f>
        <v>2525.2525252525252</v>
      </c>
      <c r="G3292" s="51">
        <f>ROUNDUP(F3292*(E3292/21)/E3251,0)</f>
        <v>43</v>
      </c>
    </row>
    <row r="3293" spans="1:9" x14ac:dyDescent="0.25">
      <c r="A3293" s="69" t="s">
        <v>81</v>
      </c>
      <c r="B3293" s="72" t="str">
        <f>VLOOKUP(A3293,'Componentes APUs'!$A$1:$D$14,2,0)</f>
        <v>Guantes Protectores  - ingeniero reforzados</v>
      </c>
      <c r="C3293" s="73"/>
      <c r="D3293" s="50" t="str">
        <f>VLOOKUP(A3293,'Componentes APUs'!$A$1:$D$14,3,0)</f>
        <v>Par</v>
      </c>
      <c r="E3293" s="50">
        <f>C3268+C3269+C3271</f>
        <v>1.25</v>
      </c>
      <c r="F3293" s="51">
        <f>VLOOKUP(A3293,'Componentes APUs'!$A$1:$D$14,4,0)</f>
        <v>2525.2525252525252</v>
      </c>
      <c r="G3293" s="51">
        <f>ROUNDUP(F3293*(E3293/21)/E3251,0)</f>
        <v>36</v>
      </c>
    </row>
    <row r="3294" spans="1:9" x14ac:dyDescent="0.25">
      <c r="A3294" s="50" t="s">
        <v>83</v>
      </c>
      <c r="B3294" s="72" t="str">
        <f>VLOOKUP(A3294,'Componentes APUs'!$A$1:$D$14,2,0)</f>
        <v>Impermeable (pantalon camisa)</v>
      </c>
      <c r="C3294" s="73"/>
      <c r="D3294" s="50" t="str">
        <f>VLOOKUP(A3294,'Componentes APUs'!$A$1:$D$14,3,0)</f>
        <v>U</v>
      </c>
      <c r="E3294" s="50">
        <f>SUM(C3266:C3271)</f>
        <v>1.5</v>
      </c>
      <c r="F3294" s="51">
        <f>VLOOKUP(A3294,'Componentes APUs'!$A$1:$D$14,4,0)</f>
        <v>3750</v>
      </c>
      <c r="G3294" s="51">
        <f>ROUNDUP(F3294*(E3294/21)/E3251,0)</f>
        <v>64</v>
      </c>
    </row>
    <row r="3295" spans="1:9" x14ac:dyDescent="0.25">
      <c r="A3295" s="69" t="s">
        <v>85</v>
      </c>
      <c r="B3295" s="72" t="str">
        <f>VLOOKUP(A3295,'Componentes APUs'!$A$1:$D$14,2,0)</f>
        <v>Jean Dielectrico</v>
      </c>
      <c r="C3295" s="73"/>
      <c r="D3295" s="50" t="str">
        <f>VLOOKUP(A3295,'Componentes APUs'!$A$1:$D$14,3,0)</f>
        <v>U</v>
      </c>
      <c r="E3295" s="50">
        <f>SUM(C3266:C3271)</f>
        <v>1.5</v>
      </c>
      <c r="F3295" s="51">
        <f>VLOOKUP(A3295,'Componentes APUs'!$A$1:$D$14,4,0)</f>
        <v>7575.757575757576</v>
      </c>
      <c r="G3295" s="51">
        <f>ROUNDUP(F3295*(E3295/21)/E3251,0)</f>
        <v>129</v>
      </c>
    </row>
    <row r="3296" spans="1:9" x14ac:dyDescent="0.25">
      <c r="A3296" s="50" t="s">
        <v>87</v>
      </c>
      <c r="B3296" s="72" t="str">
        <f>VLOOKUP(A3296,'Componentes APUs'!$A$1:$D$14,2,0)</f>
        <v>Casco dielectrico Tipo 2 Clase E con barboquejo</v>
      </c>
      <c r="C3296" s="73"/>
      <c r="D3296" s="50" t="str">
        <f>VLOOKUP(A3296,'Componentes APUs'!$A$1:$D$14,3,0)</f>
        <v>U</v>
      </c>
      <c r="E3296" s="53">
        <f>IF(A3268="MO-3",C3268,0)</f>
        <v>0</v>
      </c>
      <c r="F3296" s="51">
        <f>VLOOKUP(A3296,'Componentes APUs'!$A$1:$D$14,4,0)</f>
        <v>7500</v>
      </c>
      <c r="G3296" s="51">
        <f>ROUNDUP(F3296*(E3296/21)/E3251,0)</f>
        <v>0</v>
      </c>
    </row>
    <row r="3297" spans="1:7" x14ac:dyDescent="0.25">
      <c r="A3297" s="69" t="s">
        <v>89</v>
      </c>
      <c r="B3297" s="72" t="str">
        <f>VLOOKUP(A3297,'Componentes APUs'!$A$1:$D$14,2,0)</f>
        <v>Kit de rescate para trabajo en alturas</v>
      </c>
      <c r="C3297" s="73"/>
      <c r="D3297" s="50" t="str">
        <f>VLOOKUP(A3297,'Componentes APUs'!$A$1:$D$14,3,0)</f>
        <v>U</v>
      </c>
      <c r="E3297" s="50">
        <f>IF(AND(A3268="MO-3",C3268=2),1,0)</f>
        <v>0</v>
      </c>
      <c r="F3297" s="51">
        <f>VLOOKUP(A3297,'Componentes APUs'!$A$1:$D$14,4,0)</f>
        <v>37500</v>
      </c>
      <c r="G3297" s="51">
        <f>ROUNDUP(F3297*(E3297/21)/E3251,0)</f>
        <v>0</v>
      </c>
    </row>
    <row r="3298" spans="1:7" x14ac:dyDescent="0.25">
      <c r="A3298" s="50" t="s">
        <v>91</v>
      </c>
      <c r="B3298" s="72" t="str">
        <f>VLOOKUP(A3298,'Componentes APUs'!$A$1:$D$14,2,0)</f>
        <v>Equipo completo para trabajo en alturas con pretales (Arnes dielectrico, 1 mosqueton de seguridad, tie off dielectrico, eslinga de posicionamiento, juego de pretales)</v>
      </c>
      <c r="C3298" s="73"/>
      <c r="D3298" s="50" t="str">
        <f>VLOOKUP(A3298,'Componentes APUs'!$A$1:$D$14,3,0)</f>
        <v>U</v>
      </c>
      <c r="E3298" s="50">
        <f>IF(A3268="MO-3",C3268,0)</f>
        <v>0</v>
      </c>
      <c r="F3298" s="51">
        <f>VLOOKUP(A3298,'Componentes APUs'!$A$1:$D$14,4,0)</f>
        <v>26041.666666666668</v>
      </c>
      <c r="G3298" s="51">
        <f>ROUNDUP(F3298*(E3298/21)/E3251,0)</f>
        <v>0</v>
      </c>
    </row>
    <row r="3299" spans="1:7" x14ac:dyDescent="0.25">
      <c r="A3299" s="219" t="s">
        <v>95</v>
      </c>
      <c r="B3299" s="219"/>
      <c r="C3299" s="219"/>
      <c r="D3299" s="219"/>
      <c r="E3299" s="219"/>
      <c r="F3299" s="219"/>
      <c r="G3299" s="52">
        <f>SUM(G3286:G3298)</f>
        <v>882</v>
      </c>
    </row>
    <row r="3300" spans="1:7" x14ac:dyDescent="0.25">
      <c r="A3300" s="56"/>
      <c r="B3300" s="57"/>
      <c r="C3300" s="57"/>
      <c r="D3300" s="57"/>
      <c r="E3300" s="57"/>
      <c r="F3300" s="57"/>
      <c r="G3300" s="58"/>
    </row>
    <row r="3301" spans="1:7" x14ac:dyDescent="0.25">
      <c r="A3301" s="219" t="s">
        <v>96</v>
      </c>
      <c r="B3301" s="219"/>
      <c r="C3301" s="219"/>
      <c r="D3301" s="219"/>
      <c r="E3301" s="219"/>
      <c r="F3301" s="219"/>
      <c r="G3301" s="219"/>
    </row>
    <row r="3302" spans="1:7" x14ac:dyDescent="0.25">
      <c r="A3302" s="49" t="s">
        <v>35</v>
      </c>
      <c r="B3302" s="225" t="s">
        <v>36</v>
      </c>
      <c r="C3302" s="225"/>
      <c r="D3302" s="49" t="s">
        <v>37</v>
      </c>
      <c r="E3302" s="49" t="s">
        <v>38</v>
      </c>
      <c r="F3302" s="49" t="s">
        <v>39</v>
      </c>
      <c r="G3302" s="49" t="s">
        <v>40</v>
      </c>
    </row>
    <row r="3303" spans="1:7" x14ac:dyDescent="0.25">
      <c r="A3303" s="69" t="s">
        <v>97</v>
      </c>
      <c r="B3303" s="72" t="str">
        <f>VLOOKUP(A3303,'Componentes APUs'!$N$1:$Q$30,2,0)</f>
        <v>Camioneta</v>
      </c>
      <c r="C3303" s="73"/>
      <c r="D3303" s="70" t="str">
        <f>VLOOKUP(A3303,'Componentes APUs'!$N$1:$Q$30,3,0)</f>
        <v>U</v>
      </c>
      <c r="E3303" s="50">
        <v>1</v>
      </c>
      <c r="F3303" s="51">
        <f>VLOOKUP(A3303,'Componentes APUs'!$N$1:$Q$30,4,0)</f>
        <v>5500000</v>
      </c>
      <c r="G3303" s="51">
        <f>IFERROR(ROUNDUP(F3303*(E3303/21)/E3251,0),"-")</f>
        <v>62359</v>
      </c>
    </row>
    <row r="3304" spans="1:7" x14ac:dyDescent="0.25">
      <c r="A3304" s="50" t="s">
        <v>321</v>
      </c>
      <c r="B3304" s="72" t="str">
        <f>VLOOKUP(A3304,'Componentes APUs'!$N$1:$Q$30,2,0)</f>
        <v>Grúa Hidráulica</v>
      </c>
      <c r="C3304" s="73"/>
      <c r="D3304" s="70" t="str">
        <f>VLOOKUP(A3304,'Componentes APUs'!$N$1:$Q$30,3,0)</f>
        <v>U</v>
      </c>
      <c r="E3304" s="50">
        <v>0</v>
      </c>
      <c r="F3304" s="51">
        <f>VLOOKUP(A3304,'Componentes APUs'!$N$1:$Q$30,4,0)</f>
        <v>21000000</v>
      </c>
      <c r="G3304" s="51">
        <f>IFERROR(ROUNDUP(F3304*(E3304/21)/E3251,0),"-")</f>
        <v>0</v>
      </c>
    </row>
    <row r="3305" spans="1:7" x14ac:dyDescent="0.25">
      <c r="A3305" s="69" t="s">
        <v>1379</v>
      </c>
      <c r="B3305" s="72" t="str">
        <f>VLOOKUP(A3305,'Componentes APUs'!$N$1:$Q$30,2,0)</f>
        <v>Dumper de descarga Frontal 2T</v>
      </c>
      <c r="C3305" s="73"/>
      <c r="D3305" s="70" t="str">
        <f>VLOOKUP(A3305,'Componentes APUs'!$N$1:$Q$30,3,0)</f>
        <v>U</v>
      </c>
      <c r="E3305" s="50">
        <v>0</v>
      </c>
      <c r="F3305" s="51">
        <f>VLOOKUP(A3305,'Componentes APUs'!$N$1:$Q$30,4,0)</f>
        <v>4438716.24</v>
      </c>
      <c r="G3305" s="51">
        <f>IFERROR(ROUNDUP(F3305*(E3305/21)/E3251,0),"-")</f>
        <v>0</v>
      </c>
    </row>
    <row r="3306" spans="1:7" x14ac:dyDescent="0.25">
      <c r="A3306" s="50" t="s">
        <v>323</v>
      </c>
      <c r="B3306" s="72" t="str">
        <f>VLOOKUP(A3306,'Componentes APUs'!$N$1:$Q$30,2,0)</f>
        <v>Volqueta</v>
      </c>
      <c r="C3306" s="73"/>
      <c r="D3306" s="70" t="str">
        <f>VLOOKUP(A3306,'Componentes APUs'!$N$1:$Q$30,3,0)</f>
        <v>U</v>
      </c>
      <c r="E3306" s="50">
        <v>0</v>
      </c>
      <c r="F3306" s="51">
        <f>VLOOKUP(A3306,'Componentes APUs'!$N$1:$Q$30,4,0)</f>
        <v>14828184</v>
      </c>
      <c r="G3306" s="51">
        <f>IFERROR(ROUNDUP(F3306*(E3306/21)/E3251,0),"-")</f>
        <v>0</v>
      </c>
    </row>
    <row r="3307" spans="1:7" x14ac:dyDescent="0.25">
      <c r="A3307" s="69" t="s">
        <v>324</v>
      </c>
      <c r="B3307" s="72" t="str">
        <f>VLOOKUP(A3307,'Componentes APUs'!$N$1:$Q$30,2,0)</f>
        <v>Retroexcavadora</v>
      </c>
      <c r="C3307" s="73"/>
      <c r="D3307" s="70" t="str">
        <f>VLOOKUP(A3307,'Componentes APUs'!$N$1:$Q$30,3,0)</f>
        <v>U</v>
      </c>
      <c r="E3307" s="50">
        <v>0</v>
      </c>
      <c r="F3307" s="51">
        <f>VLOOKUP(A3307,'Componentes APUs'!$N$1:$Q$30,4,0)</f>
        <v>46030656</v>
      </c>
      <c r="G3307" s="51">
        <f>IFERROR(ROUNDUP(F3307*(E3307/21)/E3251,0),"-")</f>
        <v>0</v>
      </c>
    </row>
    <row r="3308" spans="1:7" x14ac:dyDescent="0.25">
      <c r="A3308" s="219" t="s">
        <v>99</v>
      </c>
      <c r="B3308" s="219"/>
      <c r="C3308" s="219"/>
      <c r="D3308" s="219"/>
      <c r="E3308" s="219"/>
      <c r="F3308" s="219"/>
      <c r="G3308" s="52">
        <f>SUM(G3303:G3307)</f>
        <v>62359</v>
      </c>
    </row>
    <row r="3309" spans="1:7" x14ac:dyDescent="0.25">
      <c r="A3309" s="56"/>
      <c r="B3309" s="57"/>
      <c r="C3309" s="57"/>
      <c r="D3309" s="57"/>
      <c r="E3309" s="57"/>
      <c r="F3309" s="57"/>
      <c r="G3309" s="58"/>
    </row>
    <row r="3310" spans="1:7" x14ac:dyDescent="0.25">
      <c r="A3310" s="219" t="s">
        <v>1516</v>
      </c>
      <c r="B3310" s="219"/>
      <c r="C3310" s="219"/>
      <c r="D3310" s="219"/>
      <c r="E3310" s="219"/>
      <c r="F3310" s="219"/>
      <c r="G3310" s="52">
        <f>G3308+G3299+G3282+G3272+G3262</f>
        <v>247756</v>
      </c>
    </row>
    <row r="3311" spans="1:7" x14ac:dyDescent="0.25">
      <c r="A3311" s="59"/>
      <c r="B3311" s="60"/>
      <c r="C3311" s="60"/>
      <c r="D3311" s="60"/>
      <c r="E3311" s="57"/>
      <c r="F3311" s="57"/>
      <c r="G3311" s="58"/>
    </row>
    <row r="3312" spans="1:7" x14ac:dyDescent="0.25">
      <c r="A3312" s="64"/>
      <c r="D3312" s="55"/>
      <c r="E3312" s="49" t="s">
        <v>25</v>
      </c>
      <c r="F3312" s="54">
        <v>0.15</v>
      </c>
      <c r="G3312" s="51">
        <f>G3310*F3312</f>
        <v>37163.4</v>
      </c>
    </row>
    <row r="3313" spans="1:8" x14ac:dyDescent="0.25">
      <c r="A3313" s="64"/>
      <c r="D3313" s="55"/>
      <c r="E3313" s="49" t="s">
        <v>26</v>
      </c>
      <c r="F3313" s="54">
        <v>0.05</v>
      </c>
      <c r="G3313" s="51">
        <f>G3310*F3313</f>
        <v>12387.800000000001</v>
      </c>
    </row>
    <row r="3314" spans="1:8" x14ac:dyDescent="0.25">
      <c r="A3314" s="61"/>
      <c r="B3314" s="65"/>
      <c r="C3314" s="65"/>
      <c r="D3314" s="62"/>
      <c r="E3314" s="49" t="s">
        <v>27</v>
      </c>
      <c r="F3314" s="54">
        <v>0.05</v>
      </c>
      <c r="G3314" s="51">
        <f>G3310*F3314</f>
        <v>12387.800000000001</v>
      </c>
    </row>
    <row r="3315" spans="1:8" x14ac:dyDescent="0.25">
      <c r="A3315" s="61"/>
      <c r="B3315" s="62"/>
      <c r="C3315" s="62"/>
      <c r="D3315" s="62"/>
      <c r="E3315" s="62"/>
      <c r="F3315" s="62"/>
      <c r="G3315" s="63"/>
    </row>
    <row r="3316" spans="1:8" x14ac:dyDescent="0.25">
      <c r="A3316" s="219" t="s">
        <v>1517</v>
      </c>
      <c r="B3316" s="219"/>
      <c r="C3316" s="219"/>
      <c r="D3316" s="219"/>
      <c r="E3316" s="219"/>
      <c r="F3316" s="219"/>
      <c r="G3316" s="52">
        <f>G3310+G3312+G3313+G3314</f>
        <v>309695</v>
      </c>
    </row>
    <row r="3317" spans="1:8" x14ac:dyDescent="0.25">
      <c r="A3317" s="59"/>
      <c r="B3317" s="60"/>
      <c r="C3317" s="60"/>
      <c r="D3317" s="60"/>
      <c r="E3317" s="57"/>
      <c r="F3317" s="57"/>
      <c r="G3317" s="58"/>
    </row>
    <row r="3318" spans="1:8" x14ac:dyDescent="0.25">
      <c r="A3318" s="64"/>
      <c r="D3318" s="55"/>
      <c r="E3318" s="49" t="s">
        <v>102</v>
      </c>
      <c r="F3318" s="49" t="s">
        <v>103</v>
      </c>
      <c r="G3318" s="51">
        <f>G3314*19%</f>
        <v>2353.6820000000002</v>
      </c>
    </row>
    <row r="3319" spans="1:8" x14ac:dyDescent="0.25">
      <c r="A3319" s="61"/>
      <c r="B3319" s="62"/>
      <c r="C3319" s="62"/>
      <c r="D3319" s="62"/>
      <c r="E3319" s="57"/>
      <c r="F3319" s="57"/>
      <c r="G3319" s="58"/>
    </row>
    <row r="3320" spans="1:8" x14ac:dyDescent="0.25">
      <c r="A3320" s="219" t="s">
        <v>104</v>
      </c>
      <c r="B3320" s="219"/>
      <c r="C3320" s="219"/>
      <c r="D3320" s="219"/>
      <c r="E3320" s="219"/>
      <c r="F3320" s="219"/>
      <c r="G3320" s="52">
        <f>G3318+G3316</f>
        <v>312048.68199999997</v>
      </c>
    </row>
    <row r="3322" spans="1:8" x14ac:dyDescent="0.25">
      <c r="A3322" s="74" t="s">
        <v>29</v>
      </c>
      <c r="B3322" s="226" t="s">
        <v>30</v>
      </c>
      <c r="C3322" s="226"/>
      <c r="D3322" s="74" t="s">
        <v>31</v>
      </c>
      <c r="E3322" s="74" t="s">
        <v>32</v>
      </c>
      <c r="F3322" s="74" t="s">
        <v>189</v>
      </c>
      <c r="G3322" s="74" t="s">
        <v>33</v>
      </c>
      <c r="H3322" s="105"/>
    </row>
    <row r="3323" spans="1:8" ht="27" customHeight="1" x14ac:dyDescent="0.25">
      <c r="A3323" s="50" t="str">
        <f>Presupuesto!B64</f>
        <v>051_OC</v>
      </c>
      <c r="B3323" s="229" t="str">
        <f>Presupuesto!C64</f>
        <v>TUBO PVC DE Ø10". INCLUYE CODOS, UNIONES, SOLDADURA Y LIMPIADOR</v>
      </c>
      <c r="C3323" s="230"/>
      <c r="D3323" s="50" t="s">
        <v>16</v>
      </c>
      <c r="E3323" s="107">
        <v>4.2</v>
      </c>
      <c r="F3323" s="50"/>
      <c r="G3323" s="51">
        <f>G3392</f>
        <v>303970.24899999995</v>
      </c>
      <c r="H3323" s="45"/>
    </row>
    <row r="3324" spans="1:8" x14ac:dyDescent="0.25">
      <c r="A3324" s="219" t="s">
        <v>34</v>
      </c>
      <c r="B3324" s="219"/>
      <c r="C3324" s="219"/>
      <c r="D3324" s="219"/>
      <c r="E3324" s="219"/>
      <c r="F3324" s="219"/>
      <c r="G3324" s="219"/>
    </row>
    <row r="3325" spans="1:8" x14ac:dyDescent="0.25">
      <c r="A3325" s="49" t="s">
        <v>35</v>
      </c>
      <c r="B3325" s="219" t="s">
        <v>36</v>
      </c>
      <c r="C3325" s="219"/>
      <c r="D3325" s="49" t="s">
        <v>37</v>
      </c>
      <c r="E3325" s="49" t="s">
        <v>38</v>
      </c>
      <c r="F3325" s="49" t="s">
        <v>39</v>
      </c>
      <c r="G3325" s="49" t="s">
        <v>40</v>
      </c>
    </row>
    <row r="3326" spans="1:8" x14ac:dyDescent="0.25">
      <c r="A3326" s="50" t="str">
        <f>Material!A476</f>
        <v>MA-475</v>
      </c>
      <c r="B3326" s="72" t="str">
        <f>IFERROR(VLOOKUP(A3326,Material!$A:$H,2,0),"-")</f>
        <v xml:space="preserve">TUBERÍA SANITARIA PVC 10" </v>
      </c>
      <c r="C3326" s="76"/>
      <c r="D3326" s="50" t="str">
        <f>IFERROR(VLOOKUP(A3326,Material!$A:$H,4,0),"-")</f>
        <v>ML</v>
      </c>
      <c r="E3326" s="107">
        <v>1</v>
      </c>
      <c r="F3326" s="51">
        <f>IFERROR(VLOOKUP(A3326,Material!$A:$H,3,0),"-")</f>
        <v>82527.900000000009</v>
      </c>
      <c r="G3326" s="51">
        <f t="shared" ref="G3326" si="49">IFERROR(ROUNDUP(F3326*E3326,0),"-")</f>
        <v>82528</v>
      </c>
      <c r="H3326" s="106"/>
    </row>
    <row r="3327" spans="1:8" x14ac:dyDescent="0.25">
      <c r="A3327" s="50" t="str">
        <f>Material!A477</f>
        <v>MA-476</v>
      </c>
      <c r="B3327" s="72" t="str">
        <f>IFERROR(VLOOKUP(A3327,Material!$A:$H,2,0),"-")</f>
        <v xml:space="preserve">CODO SANITARIO PVC 10" </v>
      </c>
      <c r="C3327" s="76"/>
      <c r="D3327" s="50" t="str">
        <f>IFERROR(VLOOKUP(A3327,Material!$A:$H,4,0),"-")</f>
        <v>UN</v>
      </c>
      <c r="E3327" s="107">
        <f>1/20</f>
        <v>0.05</v>
      </c>
      <c r="F3327" s="51">
        <f>IFERROR(VLOOKUP(A3327,Material!$A:$H,3,0),"-")</f>
        <v>539370</v>
      </c>
      <c r="G3327" s="51">
        <f>IFERROR(ROUNDUP(F3327*E3327,0),"-")</f>
        <v>26969</v>
      </c>
      <c r="H3327" s="106"/>
    </row>
    <row r="3328" spans="1:8" x14ac:dyDescent="0.25">
      <c r="A3328" s="50" t="str">
        <f>Material!A478</f>
        <v>MA-477</v>
      </c>
      <c r="B3328" s="72" t="str">
        <f>IFERROR(VLOOKUP(A3328,Material!$A:$H,2,0),"-")</f>
        <v>UNION SANITARIA PVC 10"</v>
      </c>
      <c r="C3328" s="76"/>
      <c r="D3328" s="50" t="str">
        <f>IFERROR(VLOOKUP(A3328,Material!$A:$H,4,0),"-")</f>
        <v>UN</v>
      </c>
      <c r="E3328" s="107">
        <f>1/30</f>
        <v>3.3333333333333333E-2</v>
      </c>
      <c r="F3328" s="51">
        <f>IFERROR(VLOOKUP(A3328,Material!$A:$H,3,0),"-")</f>
        <v>258570</v>
      </c>
      <c r="G3328" s="51">
        <f>IFERROR(ROUNDUP(F3328*E3328,0),"-")</f>
        <v>8619</v>
      </c>
      <c r="H3328" s="106"/>
    </row>
    <row r="3329" spans="1:9" x14ac:dyDescent="0.25">
      <c r="A3329" s="50" t="str">
        <f>Material!A201</f>
        <v>MA-200</v>
      </c>
      <c r="B3329" s="72" t="str">
        <f>IFERROR(VLOOKUP(A3329,Material!$A:$H,2,0),"-")</f>
        <v>SOLDADURA PVC 1/4 GL</v>
      </c>
      <c r="C3329" s="76"/>
      <c r="D3329" s="50" t="str">
        <f>IFERROR(VLOOKUP(A3329,Material!$A:$H,4,0),"-")</f>
        <v>GALÓN</v>
      </c>
      <c r="E3329" s="107">
        <v>1.6666666666666666E-2</v>
      </c>
      <c r="F3329" s="51">
        <f>IFERROR(VLOOKUP(A3329,Material!$A:$H,3,0),"-")</f>
        <v>88270</v>
      </c>
      <c r="G3329" s="51">
        <f t="shared" ref="G3329:G3333" si="50">IFERROR(ROUNDUP(F3329*E3329,0),"-")</f>
        <v>1472</v>
      </c>
      <c r="H3329" s="106"/>
    </row>
    <row r="3330" spans="1:9" x14ac:dyDescent="0.25">
      <c r="A3330" s="50" t="str">
        <f>Material!A253</f>
        <v>MA-252</v>
      </c>
      <c r="B3330" s="72" t="str">
        <f>IFERROR(VLOOKUP(A3330,Material!$A:$H,2,0),"-")</f>
        <v>LIMPIADOR DE TUBERÍA PVC 1/4 GL</v>
      </c>
      <c r="C3330" s="76"/>
      <c r="D3330" s="50" t="str">
        <f>IFERROR(VLOOKUP(A3330,Material!$A:$H,4,0),"-")</f>
        <v>GALÓN</v>
      </c>
      <c r="E3330" s="107">
        <v>1.6666666666666666E-2</v>
      </c>
      <c r="F3330" s="51">
        <f>IFERROR(VLOOKUP(A3330,Material!$A:$H,3,0),"-")</f>
        <v>60970</v>
      </c>
      <c r="G3330" s="51">
        <f t="shared" si="50"/>
        <v>1017</v>
      </c>
      <c r="H3330" s="106"/>
    </row>
    <row r="3331" spans="1:9" x14ac:dyDescent="0.25">
      <c r="A3331" s="50"/>
      <c r="B3331" s="72" t="str">
        <f>IFERROR(VLOOKUP(A3331,Material!$A:$H,2,0),"-")</f>
        <v>-</v>
      </c>
      <c r="C3331" s="76"/>
      <c r="D3331" s="50" t="str">
        <f>IFERROR(VLOOKUP(A3331,Material!$A:$H,4,0),"-")</f>
        <v>-</v>
      </c>
      <c r="E3331" s="107"/>
      <c r="F3331" s="51" t="str">
        <f>IFERROR(VLOOKUP(A3331,Material!$A:$H,3,0),"-")</f>
        <v>-</v>
      </c>
      <c r="G3331" s="51" t="str">
        <f t="shared" si="50"/>
        <v>-</v>
      </c>
      <c r="H3331" s="106"/>
    </row>
    <row r="3332" spans="1:9" x14ac:dyDescent="0.25">
      <c r="A3332" s="50"/>
      <c r="B3332" s="72" t="str">
        <f>IFERROR(VLOOKUP(A3332,Material!$A:$H,2,0),"-")</f>
        <v>-</v>
      </c>
      <c r="C3332" s="76"/>
      <c r="D3332" s="50" t="str">
        <f>IFERROR(VLOOKUP(A3332,Material!$A:$H,4,0),"-")</f>
        <v>-</v>
      </c>
      <c r="E3332" s="107"/>
      <c r="F3332" s="51" t="str">
        <f>IFERROR(VLOOKUP(A3332,Material!$A:$H,3,0),"-")</f>
        <v>-</v>
      </c>
      <c r="G3332" s="51" t="str">
        <f t="shared" si="50"/>
        <v>-</v>
      </c>
      <c r="H3332" s="106"/>
    </row>
    <row r="3333" spans="1:9" x14ac:dyDescent="0.25">
      <c r="A3333" s="50"/>
      <c r="B3333" s="72" t="str">
        <f>IFERROR(VLOOKUP(A3333,Material!$A:$H,2,0),"-")</f>
        <v>-</v>
      </c>
      <c r="C3333" s="76"/>
      <c r="D3333" s="50" t="str">
        <f>IFERROR(VLOOKUP(A3333,Material!$A:$H,4,0),"-")</f>
        <v>-</v>
      </c>
      <c r="E3333" s="107"/>
      <c r="F3333" s="51" t="str">
        <f>IFERROR(VLOOKUP(A3333,Material!$A:$H,3,0),"-")</f>
        <v>-</v>
      </c>
      <c r="G3333" s="51" t="str">
        <f t="shared" si="50"/>
        <v>-</v>
      </c>
      <c r="H3333" s="106"/>
    </row>
    <row r="3334" spans="1:9" x14ac:dyDescent="0.25">
      <c r="A3334" s="219" t="s">
        <v>41</v>
      </c>
      <c r="B3334" s="219"/>
      <c r="C3334" s="219"/>
      <c r="D3334" s="219"/>
      <c r="E3334" s="219"/>
      <c r="F3334" s="219"/>
      <c r="G3334" s="52">
        <f>SUM(G3326:G3333)</f>
        <v>120605</v>
      </c>
      <c r="I3334" s="104"/>
    </row>
    <row r="3335" spans="1:9" x14ac:dyDescent="0.25">
      <c r="A3335" s="56"/>
      <c r="B3335" s="57"/>
      <c r="C3335" s="57"/>
      <c r="D3335" s="57"/>
      <c r="E3335" s="57"/>
      <c r="F3335" s="57"/>
      <c r="G3335" s="58"/>
    </row>
    <row r="3336" spans="1:9" x14ac:dyDescent="0.25">
      <c r="A3336" s="219" t="s">
        <v>42</v>
      </c>
      <c r="B3336" s="219"/>
      <c r="C3336" s="219"/>
      <c r="D3336" s="219"/>
      <c r="E3336" s="219"/>
      <c r="F3336" s="219"/>
      <c r="G3336" s="219"/>
    </row>
    <row r="3337" spans="1:9" x14ac:dyDescent="0.25">
      <c r="A3337" s="49" t="s">
        <v>35</v>
      </c>
      <c r="B3337" s="49" t="s">
        <v>36</v>
      </c>
      <c r="C3337" s="49" t="s">
        <v>38</v>
      </c>
      <c r="D3337" s="49" t="s">
        <v>43</v>
      </c>
      <c r="E3337" s="49" t="s">
        <v>44</v>
      </c>
      <c r="F3337" s="49" t="s">
        <v>45</v>
      </c>
      <c r="G3337" s="49" t="s">
        <v>40</v>
      </c>
    </row>
    <row r="3338" spans="1:9" x14ac:dyDescent="0.25">
      <c r="A3338" s="50" t="s">
        <v>319</v>
      </c>
      <c r="B3338" s="68" t="str">
        <f>VLOOKUP(A3338,'Componentes APUs'!$H$1:$L$25,2,0)</f>
        <v>Ingeniero Residente de Obra</v>
      </c>
      <c r="C3338" s="93">
        <v>0</v>
      </c>
      <c r="D3338" s="50">
        <f>VLOOKUP(A3338,'Componentes APUs'!$H$1:$L$25,3,0)</f>
        <v>4</v>
      </c>
      <c r="E3338" s="51">
        <f>VLOOKUP(A3338,'Componentes APUs'!$H$1:$L$25,4,0)</f>
        <v>271142.85714285716</v>
      </c>
      <c r="F3338" s="51">
        <f>VLOOKUP(A3338,'Componentes APUs'!$H$1:$L$25,5,0)</f>
        <v>162685.71428571429</v>
      </c>
      <c r="G3338" s="51">
        <f>ROUNDUP((E3338+F3338)*C3338/E3323,0)</f>
        <v>0</v>
      </c>
      <c r="H3338" s="66"/>
    </row>
    <row r="3339" spans="1:9" x14ac:dyDescent="0.25">
      <c r="A3339" s="50" t="s">
        <v>320</v>
      </c>
      <c r="B3339" s="68" t="str">
        <f>VLOOKUP(A3339,'Componentes APUs'!$H$1:$L$25,2,0)</f>
        <v>Tecnico Supervisor</v>
      </c>
      <c r="C3339" s="93">
        <v>0</v>
      </c>
      <c r="D3339" s="50">
        <f>VLOOKUP(A3339,'Componentes APUs'!$H$1:$L$25,3,0)</f>
        <v>2.2999999999999998</v>
      </c>
      <c r="E3339" s="51">
        <f>VLOOKUP(A3339,'Componentes APUs'!$H$1:$L$25,4,0)</f>
        <v>155907.14285714284</v>
      </c>
      <c r="F3339" s="51">
        <f>VLOOKUP(A3339,'Componentes APUs'!$H$1:$L$25,5,0)</f>
        <v>93544.285714285696</v>
      </c>
      <c r="G3339" s="51">
        <f>ROUNDUP((E3339+F3339)*C3339/E3323,0)</f>
        <v>0</v>
      </c>
    </row>
    <row r="3340" spans="1:9" x14ac:dyDescent="0.25">
      <c r="A3340" s="50" t="s">
        <v>54</v>
      </c>
      <c r="B3340" s="68" t="str">
        <f>VLOOKUP(A3340,'Componentes APUs'!$H$1:$L$25,2,0)</f>
        <v>Maestro de obra civil</v>
      </c>
      <c r="C3340" s="93">
        <v>0</v>
      </c>
      <c r="D3340" s="50">
        <f>VLOOKUP(A3340,'Componentes APUs'!$H$1:$L$25,3,0)</f>
        <v>2.5</v>
      </c>
      <c r="E3340" s="51">
        <f>VLOOKUP(A3340,'Componentes APUs'!$H$1:$L$25,4,0)</f>
        <v>169464.28571428571</v>
      </c>
      <c r="F3340" s="51">
        <f>VLOOKUP(A3340,'Componentes APUs'!$H$1:$L$25,5,0)</f>
        <v>101678.57142857142</v>
      </c>
      <c r="G3340" s="51">
        <f>ROUNDUP((E3340+F3340)*C3340/E3323,0)</f>
        <v>0</v>
      </c>
    </row>
    <row r="3341" spans="1:9" x14ac:dyDescent="0.25">
      <c r="A3341" s="50" t="s">
        <v>1110</v>
      </c>
      <c r="B3341" s="68" t="str">
        <f>VLOOKUP(A3341,'Componentes APUs'!$H$1:$L$25,2,0)</f>
        <v>Oficial de Obra Civil</v>
      </c>
      <c r="C3341" s="93">
        <v>0.25</v>
      </c>
      <c r="D3341" s="50">
        <f>VLOOKUP(A3341,'Componentes APUs'!$H$1:$L$25,3,0)</f>
        <v>1.5</v>
      </c>
      <c r="E3341" s="51">
        <f>VLOOKUP(A3341,'Componentes APUs'!$H$1:$L$25,4,0)</f>
        <v>115964.28571428571</v>
      </c>
      <c r="F3341" s="51">
        <f>VLOOKUP(A3341,'Componentes APUs'!$H$1:$L$25,5,0)</f>
        <v>69578.57142857142</v>
      </c>
      <c r="G3341" s="51">
        <f>ROUNDUP((E3341+F3341)*C3341/E3323,0)</f>
        <v>11045</v>
      </c>
    </row>
    <row r="3342" spans="1:9" x14ac:dyDescent="0.25">
      <c r="A3342" s="50" t="s">
        <v>50</v>
      </c>
      <c r="B3342" s="68" t="str">
        <f>VLOOKUP(A3342,'Componentes APUs'!$H$1:$L$25,2,0)</f>
        <v>Profesional en SST</v>
      </c>
      <c r="C3342" s="93">
        <v>0.25</v>
      </c>
      <c r="D3342" s="50">
        <f>VLOOKUP(A3342,'Componentes APUs'!$H$1:$L$25,3,0)</f>
        <v>2.5</v>
      </c>
      <c r="E3342" s="51">
        <f>VLOOKUP(A3342,'Componentes APUs'!$H$1:$L$25,4,0)</f>
        <v>169464.28571428571</v>
      </c>
      <c r="F3342" s="51">
        <f>VLOOKUP(A3342,'Componentes APUs'!$H$1:$L$25,5,0)</f>
        <v>101678.57142857142</v>
      </c>
      <c r="G3342" s="51">
        <f>ROUNDUP((E3342+F3342)*C3342/E3323,0)</f>
        <v>16140</v>
      </c>
    </row>
    <row r="3343" spans="1:9" x14ac:dyDescent="0.25">
      <c r="A3343" s="50" t="s">
        <v>1109</v>
      </c>
      <c r="B3343" s="68" t="str">
        <f>VLOOKUP(A3343,'Componentes APUs'!$H$1:$L$25,2,0)</f>
        <v>Ayudante de Obra Civil</v>
      </c>
      <c r="C3343" s="93">
        <v>1</v>
      </c>
      <c r="D3343" s="50">
        <f>VLOOKUP(A3343,'Componentes APUs'!$H$1:$L$25,3,0)</f>
        <v>1</v>
      </c>
      <c r="E3343" s="51">
        <f>VLOOKUP(A3343,'Componentes APUs'!$H$1:$L$25,4,0)</f>
        <v>77309.523809523816</v>
      </c>
      <c r="F3343" s="51">
        <f>VLOOKUP(A3343,'Componentes APUs'!$H$1:$L$25,5,0)</f>
        <v>46385.71428571429</v>
      </c>
      <c r="G3343" s="51">
        <f>ROUNDUP((E3343+F3343)*C3343/E3323,0)</f>
        <v>29452</v>
      </c>
    </row>
    <row r="3344" spans="1:9" x14ac:dyDescent="0.25">
      <c r="A3344" s="219" t="s">
        <v>56</v>
      </c>
      <c r="B3344" s="219"/>
      <c r="C3344" s="219"/>
      <c r="D3344" s="219"/>
      <c r="E3344" s="219"/>
      <c r="F3344" s="219"/>
      <c r="G3344" s="52">
        <f>SUM(G3338:G3343)</f>
        <v>56637</v>
      </c>
    </row>
    <row r="3345" spans="1:9" x14ac:dyDescent="0.25">
      <c r="A3345" s="56"/>
      <c r="B3345" s="57"/>
      <c r="C3345" s="57"/>
      <c r="D3345" s="57"/>
      <c r="E3345" s="57"/>
      <c r="F3345" s="57"/>
      <c r="G3345" s="58"/>
    </row>
    <row r="3346" spans="1:9" x14ac:dyDescent="0.25">
      <c r="A3346" s="219" t="s">
        <v>57</v>
      </c>
      <c r="B3346" s="219"/>
      <c r="C3346" s="219"/>
      <c r="D3346" s="219"/>
      <c r="E3346" s="219"/>
      <c r="F3346" s="219"/>
      <c r="G3346" s="219"/>
    </row>
    <row r="3347" spans="1:9" x14ac:dyDescent="0.25">
      <c r="A3347" s="49" t="s">
        <v>35</v>
      </c>
      <c r="B3347" s="219" t="s">
        <v>36</v>
      </c>
      <c r="C3347" s="219"/>
      <c r="D3347" s="49" t="s">
        <v>37</v>
      </c>
      <c r="E3347" s="49" t="s">
        <v>38</v>
      </c>
      <c r="F3347" s="49" t="s">
        <v>39</v>
      </c>
      <c r="G3347" s="49" t="s">
        <v>40</v>
      </c>
    </row>
    <row r="3348" spans="1:9" x14ac:dyDescent="0.25">
      <c r="A3348" s="50" t="s">
        <v>326</v>
      </c>
      <c r="B3348" s="220" t="str">
        <f>VLOOKUP(A3348,'Componentes APUs'!$S$1:$V$10,2,0)</f>
        <v>Juego Llaves</v>
      </c>
      <c r="C3348" s="220"/>
      <c r="D3348" s="50" t="s">
        <v>18</v>
      </c>
      <c r="E3348" s="50">
        <v>0</v>
      </c>
      <c r="F3348" s="51">
        <f>VLOOKUP(A3348,'Componentes APUs'!$S$1:$V$10,4,0)</f>
        <v>9167</v>
      </c>
      <c r="G3348" s="51">
        <f>ROUNDUP(F3348*((E3348/21)/E3323),0)</f>
        <v>0</v>
      </c>
      <c r="I3348" s="91"/>
    </row>
    <row r="3349" spans="1:9" x14ac:dyDescent="0.25">
      <c r="A3349" s="50" t="s">
        <v>58</v>
      </c>
      <c r="B3349" s="220" t="str">
        <f>VLOOKUP(A3349,'Componentes APUs'!$S$1:$V$10,2,0)</f>
        <v>Manila de servicio</v>
      </c>
      <c r="C3349" s="220"/>
      <c r="D3349" s="50" t="s">
        <v>18</v>
      </c>
      <c r="E3349" s="50">
        <v>0</v>
      </c>
      <c r="F3349" s="51">
        <f>VLOOKUP(A3349,'Componentes APUs'!$S$1:$V$10,4,0)</f>
        <v>2333</v>
      </c>
      <c r="G3349" s="51">
        <f>ROUNDUP(F3349*((E3349/21)/E3323),0)</f>
        <v>0</v>
      </c>
    </row>
    <row r="3350" spans="1:9" x14ac:dyDescent="0.25">
      <c r="A3350" s="50" t="s">
        <v>327</v>
      </c>
      <c r="B3350" s="220" t="str">
        <f>VLOOKUP(A3350,'Componentes APUs'!$S$1:$V$10,2,0)</f>
        <v>Tula portaherramientas</v>
      </c>
      <c r="C3350" s="220"/>
      <c r="D3350" s="50" t="s">
        <v>18</v>
      </c>
      <c r="E3350" s="50">
        <v>0</v>
      </c>
      <c r="F3350" s="51">
        <f>VLOOKUP(A3350,'Componentes APUs'!$S$1:$V$10,4,0)</f>
        <v>1250</v>
      </c>
      <c r="G3350" s="51">
        <f>ROUNDUP(F3350*((E3350/21)/E3323),0)</f>
        <v>0</v>
      </c>
    </row>
    <row r="3351" spans="1:9" x14ac:dyDescent="0.25">
      <c r="A3351" s="50" t="s">
        <v>60</v>
      </c>
      <c r="B3351" s="220" t="str">
        <f>VLOOKUP(A3351,'Componentes APUs'!$S$1:$V$10,2,0)</f>
        <v>Agarradoras</v>
      </c>
      <c r="C3351" s="220"/>
      <c r="D3351" s="50" t="s">
        <v>18</v>
      </c>
      <c r="E3351" s="50">
        <v>0</v>
      </c>
      <c r="F3351" s="51">
        <f>VLOOKUP(A3351,'Componentes APUs'!$S$1:$V$10,4,0)</f>
        <v>125000</v>
      </c>
      <c r="G3351" s="51">
        <f>ROUNDUP(F3351*((E3351/21)/E3323),0)</f>
        <v>0</v>
      </c>
    </row>
    <row r="3352" spans="1:9" x14ac:dyDescent="0.25">
      <c r="A3352" s="50" t="s">
        <v>62</v>
      </c>
      <c r="B3352" s="220" t="str">
        <f>VLOOKUP(A3352,'Componentes APUs'!$S$1:$V$10,2,0)</f>
        <v>Templadoras</v>
      </c>
      <c r="C3352" s="220"/>
      <c r="D3352" s="50" t="s">
        <v>18</v>
      </c>
      <c r="E3352" s="50">
        <v>0</v>
      </c>
      <c r="F3352" s="51">
        <f>VLOOKUP(A3352,'Componentes APUs'!$S$1:$V$10,4,0)</f>
        <v>250000</v>
      </c>
      <c r="G3352" s="51">
        <f>ROUNDUP(F3352*((E3352/21)/E3323),0)</f>
        <v>0</v>
      </c>
    </row>
    <row r="3353" spans="1:9" x14ac:dyDescent="0.25">
      <c r="A3353" s="50" t="s">
        <v>328</v>
      </c>
      <c r="B3353" s="220" t="str">
        <f>VLOOKUP(A3353,'Componentes APUs'!$S$1:$V$10,2,0)</f>
        <v>Herramienta Menor</v>
      </c>
      <c r="C3353" s="220"/>
      <c r="D3353" s="50" t="s">
        <v>18</v>
      </c>
      <c r="E3353" s="50">
        <v>1</v>
      </c>
      <c r="F3353" s="51">
        <f>VLOOKUP(A3353,'Componentes APUs'!$S$1:$V$10,4,0)</f>
        <v>75758</v>
      </c>
      <c r="G3353" s="51">
        <f>ROUNDUP(F3353*((E3353/21)/E3323),0)</f>
        <v>859</v>
      </c>
    </row>
    <row r="3354" spans="1:9" x14ac:dyDescent="0.25">
      <c r="A3354" s="219" t="s">
        <v>69</v>
      </c>
      <c r="B3354" s="219"/>
      <c r="C3354" s="219"/>
      <c r="D3354" s="219"/>
      <c r="E3354" s="219"/>
      <c r="F3354" s="219"/>
      <c r="G3354" s="52">
        <f>SUM(G3348:G3353)</f>
        <v>859</v>
      </c>
    </row>
    <row r="3355" spans="1:9" x14ac:dyDescent="0.25">
      <c r="A3355" s="56"/>
      <c r="B3355" s="57"/>
      <c r="C3355" s="57"/>
      <c r="D3355" s="57"/>
      <c r="E3355" s="57"/>
      <c r="F3355" s="57"/>
      <c r="G3355" s="58"/>
    </row>
    <row r="3356" spans="1:9" x14ac:dyDescent="0.25">
      <c r="A3356" s="219" t="s">
        <v>70</v>
      </c>
      <c r="B3356" s="219"/>
      <c r="C3356" s="219"/>
      <c r="D3356" s="219"/>
      <c r="E3356" s="219"/>
      <c r="F3356" s="219"/>
      <c r="G3356" s="219"/>
    </row>
    <row r="3357" spans="1:9" x14ac:dyDescent="0.25">
      <c r="A3357" s="49" t="s">
        <v>35</v>
      </c>
      <c r="B3357" s="219" t="s">
        <v>36</v>
      </c>
      <c r="C3357" s="219"/>
      <c r="D3357" s="49" t="s">
        <v>37</v>
      </c>
      <c r="E3357" s="49" t="s">
        <v>38</v>
      </c>
      <c r="F3357" s="49" t="s">
        <v>39</v>
      </c>
      <c r="G3357" s="49" t="s">
        <v>40</v>
      </c>
    </row>
    <row r="3358" spans="1:9" x14ac:dyDescent="0.25">
      <c r="A3358" s="50" t="s">
        <v>71</v>
      </c>
      <c r="B3358" s="71" t="str">
        <f>VLOOKUP(A3358,'Componentes APUs'!$A$1:$D$14,2,0)</f>
        <v>Camisa indigo sin partes metalicas</v>
      </c>
      <c r="C3358" s="71"/>
      <c r="D3358" s="50" t="str">
        <f>VLOOKUP(A3358,'Componentes APUs'!$A$1:$D$14,3,0)</f>
        <v>U</v>
      </c>
      <c r="E3358" s="50">
        <f>SUM(C3338:C3343)</f>
        <v>1.5</v>
      </c>
      <c r="F3358" s="51">
        <f>VLOOKUP(A3358,'Componentes APUs'!$A$1:$D$14,4,0)</f>
        <v>8585.8585858585866</v>
      </c>
      <c r="G3358" s="51">
        <f>ROUNDUP(F3358*(E3358/21)/E3323,0)</f>
        <v>147</v>
      </c>
      <c r="I3358" s="91"/>
    </row>
    <row r="3359" spans="1:9" x14ac:dyDescent="0.25">
      <c r="A3359" s="69" t="s">
        <v>73</v>
      </c>
      <c r="B3359" s="72" t="str">
        <f>VLOOKUP(A3359,'Componentes APUs'!$A$1:$D$14,2,0)</f>
        <v>Bota de seguridad dielectrica</v>
      </c>
      <c r="C3359" s="73"/>
      <c r="D3359" s="70" t="str">
        <f>VLOOKUP(A3359,'Componentes APUs'!$A$1:$D$14,3,0)</f>
        <v>Par</v>
      </c>
      <c r="E3359" s="50">
        <f>SUM(C3338:C3343)</f>
        <v>1.5</v>
      </c>
      <c r="F3359" s="51">
        <f>VLOOKUP(A3359,'Componentes APUs'!$A$1:$D$14,4,0)</f>
        <v>7500</v>
      </c>
      <c r="G3359" s="51">
        <f>ROUNDUP(F3359*(E3359/21)/E3323,0)</f>
        <v>128</v>
      </c>
    </row>
    <row r="3360" spans="1:9" x14ac:dyDescent="0.25">
      <c r="A3360" s="50" t="s">
        <v>76</v>
      </c>
      <c r="B3360" s="72" t="str">
        <f>VLOOKUP(A3360,'Componentes APUs'!$A$1:$D$14,2,0)</f>
        <v>Casco dielectrico Tipo 1 Clase E con barbuquejo</v>
      </c>
      <c r="C3360" s="73"/>
      <c r="D3360" s="50" t="str">
        <f>VLOOKUP(A3360,'Componentes APUs'!$A$1:$D$14,3,0)</f>
        <v>U</v>
      </c>
      <c r="E3360" s="50">
        <f>C3338+C3339+C3341+C3342+C3343+IF(A3340&lt;&gt;"MO-3",C3340,0)</f>
        <v>1.5</v>
      </c>
      <c r="F3360" s="51">
        <f>VLOOKUP(A3360,'Componentes APUs'!$A$1:$D$14,4,0)</f>
        <v>10101.010101010101</v>
      </c>
      <c r="G3360" s="51">
        <f>ROUNDUP(F3360*(E3360/21)/E3323,0)</f>
        <v>172</v>
      </c>
    </row>
    <row r="3361" spans="1:7" x14ac:dyDescent="0.25">
      <c r="A3361" s="69" t="s">
        <v>77</v>
      </c>
      <c r="B3361" s="72" t="str">
        <f>VLOOKUP(A3361,'Componentes APUs'!$A$1:$D$14,2,0)</f>
        <v>Correa plastica y antiflama</v>
      </c>
      <c r="C3361" s="73"/>
      <c r="D3361" s="50" t="str">
        <f>VLOOKUP(A3361,'Componentes APUs'!$A$1:$D$14,3,0)</f>
        <v>U</v>
      </c>
      <c r="E3361" s="50">
        <f>SUM(C3338:C3343)</f>
        <v>1.5</v>
      </c>
      <c r="F3361" s="51">
        <f>VLOOKUP(A3361,'Componentes APUs'!$A$1:$D$14,4,0)</f>
        <v>3787.878787878788</v>
      </c>
      <c r="G3361" s="51">
        <f>ROUNDUP(F3361*(E3361/21)/E3323,0)</f>
        <v>65</v>
      </c>
    </row>
    <row r="3362" spans="1:7" x14ac:dyDescent="0.25">
      <c r="A3362" s="50" t="s">
        <v>79</v>
      </c>
      <c r="B3362" s="72" t="str">
        <f>VLOOKUP(A3362,'Componentes APUs'!$A$1:$D$14,2,0)</f>
        <v>Gafas protectoras filtro UV</v>
      </c>
      <c r="C3362" s="73"/>
      <c r="D3362" s="50" t="str">
        <f>VLOOKUP(A3362,'Componentes APUs'!$A$1:$D$14,3,0)</f>
        <v>U</v>
      </c>
      <c r="E3362" s="50">
        <f>SUM(C3338:C3343)</f>
        <v>1.5</v>
      </c>
      <c r="F3362" s="51">
        <f>VLOOKUP(A3362,'Componentes APUs'!$A$1:$D$14,4,0)</f>
        <v>2777.7777777777778</v>
      </c>
      <c r="G3362" s="51">
        <f>ROUNDUP(F3362*(E3362/21)/E3323,0)</f>
        <v>48</v>
      </c>
    </row>
    <row r="3363" spans="1:7" x14ac:dyDescent="0.25">
      <c r="A3363" s="69" t="s">
        <v>402</v>
      </c>
      <c r="B3363" s="72" t="str">
        <f>VLOOKUP(A3363,'Componentes APUs'!$A$1:$D$14,2,0)</f>
        <v>Bota de seguridad PVC dielectrica</v>
      </c>
      <c r="C3363" s="73"/>
      <c r="D3363" s="50" t="str">
        <f>VLOOKUP(A3363,'Componentes APUs'!$A$1:$D$14,3,0)</f>
        <v>Par</v>
      </c>
      <c r="E3363" s="50">
        <f>SUM(C3338:C3343)</f>
        <v>1.5</v>
      </c>
      <c r="F3363" s="51">
        <f>VLOOKUP(A3363,'Componentes APUs'!$A$1:$D$14,4,0)</f>
        <v>2916.6666666666665</v>
      </c>
      <c r="G3363" s="51">
        <f>ROUNDUP(F3363*(E3363/21)/E3323,0)</f>
        <v>50</v>
      </c>
    </row>
    <row r="3364" spans="1:7" x14ac:dyDescent="0.25">
      <c r="A3364" s="50" t="s">
        <v>403</v>
      </c>
      <c r="B3364" s="72" t="str">
        <f>VLOOKUP(A3364,'Componentes APUs'!$A$1:$D$14,2,0)</f>
        <v>Capuchon</v>
      </c>
      <c r="C3364" s="73"/>
      <c r="D3364" s="50" t="str">
        <f>VLOOKUP(A3364,'Componentes APUs'!$A$1:$D$14,3,0)</f>
        <v>U</v>
      </c>
      <c r="E3364" s="50">
        <f>SUM(C3338:C3343)</f>
        <v>1.5</v>
      </c>
      <c r="F3364" s="51">
        <f>VLOOKUP(A3364,'Componentes APUs'!$A$1:$D$14,4,0)</f>
        <v>2525.2525252525252</v>
      </c>
      <c r="G3364" s="51">
        <f>ROUNDUP(F3364*(E3364/21)/E3323,0)</f>
        <v>43</v>
      </c>
    </row>
    <row r="3365" spans="1:7" x14ac:dyDescent="0.25">
      <c r="A3365" s="69" t="s">
        <v>81</v>
      </c>
      <c r="B3365" s="72" t="str">
        <f>VLOOKUP(A3365,'Componentes APUs'!$A$1:$D$14,2,0)</f>
        <v>Guantes Protectores  - ingeniero reforzados</v>
      </c>
      <c r="C3365" s="73"/>
      <c r="D3365" s="50" t="str">
        <f>VLOOKUP(A3365,'Componentes APUs'!$A$1:$D$14,3,0)</f>
        <v>Par</v>
      </c>
      <c r="E3365" s="50">
        <f>C3340+C3341+C3343</f>
        <v>1.25</v>
      </c>
      <c r="F3365" s="51">
        <f>VLOOKUP(A3365,'Componentes APUs'!$A$1:$D$14,4,0)</f>
        <v>2525.2525252525252</v>
      </c>
      <c r="G3365" s="51">
        <f>ROUNDUP(F3365*(E3365/21)/E3323,0)</f>
        <v>36</v>
      </c>
    </row>
    <row r="3366" spans="1:7" x14ac:dyDescent="0.25">
      <c r="A3366" s="50" t="s">
        <v>83</v>
      </c>
      <c r="B3366" s="72" t="str">
        <f>VLOOKUP(A3366,'Componentes APUs'!$A$1:$D$14,2,0)</f>
        <v>Impermeable (pantalon camisa)</v>
      </c>
      <c r="C3366" s="73"/>
      <c r="D3366" s="50" t="str">
        <f>VLOOKUP(A3366,'Componentes APUs'!$A$1:$D$14,3,0)</f>
        <v>U</v>
      </c>
      <c r="E3366" s="50">
        <f>SUM(C3338:C3343)</f>
        <v>1.5</v>
      </c>
      <c r="F3366" s="51">
        <f>VLOOKUP(A3366,'Componentes APUs'!$A$1:$D$14,4,0)</f>
        <v>3750</v>
      </c>
      <c r="G3366" s="51">
        <f>ROUNDUP(F3366*(E3366/21)/E3323,0)</f>
        <v>64</v>
      </c>
    </row>
    <row r="3367" spans="1:7" x14ac:dyDescent="0.25">
      <c r="A3367" s="69" t="s">
        <v>85</v>
      </c>
      <c r="B3367" s="72" t="str">
        <f>VLOOKUP(A3367,'Componentes APUs'!$A$1:$D$14,2,0)</f>
        <v>Jean Dielectrico</v>
      </c>
      <c r="C3367" s="73"/>
      <c r="D3367" s="50" t="str">
        <f>VLOOKUP(A3367,'Componentes APUs'!$A$1:$D$14,3,0)</f>
        <v>U</v>
      </c>
      <c r="E3367" s="50">
        <f>SUM(C3338:C3343)</f>
        <v>1.5</v>
      </c>
      <c r="F3367" s="51">
        <f>VLOOKUP(A3367,'Componentes APUs'!$A$1:$D$14,4,0)</f>
        <v>7575.757575757576</v>
      </c>
      <c r="G3367" s="51">
        <f>ROUNDUP(F3367*(E3367/21)/E3323,0)</f>
        <v>129</v>
      </c>
    </row>
    <row r="3368" spans="1:7" x14ac:dyDescent="0.25">
      <c r="A3368" s="50" t="s">
        <v>87</v>
      </c>
      <c r="B3368" s="72" t="str">
        <f>VLOOKUP(A3368,'Componentes APUs'!$A$1:$D$14,2,0)</f>
        <v>Casco dielectrico Tipo 2 Clase E con barboquejo</v>
      </c>
      <c r="C3368" s="73"/>
      <c r="D3368" s="50" t="str">
        <f>VLOOKUP(A3368,'Componentes APUs'!$A$1:$D$14,3,0)</f>
        <v>U</v>
      </c>
      <c r="E3368" s="53">
        <f>IF(A3340="MO-3",C3340,0)</f>
        <v>0</v>
      </c>
      <c r="F3368" s="51">
        <f>VLOOKUP(A3368,'Componentes APUs'!$A$1:$D$14,4,0)</f>
        <v>7500</v>
      </c>
      <c r="G3368" s="51">
        <f>ROUNDUP(F3368*(E3368/21)/E3323,0)</f>
        <v>0</v>
      </c>
    </row>
    <row r="3369" spans="1:7" x14ac:dyDescent="0.25">
      <c r="A3369" s="69" t="s">
        <v>89</v>
      </c>
      <c r="B3369" s="72" t="str">
        <f>VLOOKUP(A3369,'Componentes APUs'!$A$1:$D$14,2,0)</f>
        <v>Kit de rescate para trabajo en alturas</v>
      </c>
      <c r="C3369" s="73"/>
      <c r="D3369" s="50" t="str">
        <f>VLOOKUP(A3369,'Componentes APUs'!$A$1:$D$14,3,0)</f>
        <v>U</v>
      </c>
      <c r="E3369" s="50">
        <f>IF(AND(A3340="MO-3",C3340=2),1,0)</f>
        <v>0</v>
      </c>
      <c r="F3369" s="51">
        <f>VLOOKUP(A3369,'Componentes APUs'!$A$1:$D$14,4,0)</f>
        <v>37500</v>
      </c>
      <c r="G3369" s="51">
        <f>ROUNDUP(F3369*(E3369/21)/E3323,0)</f>
        <v>0</v>
      </c>
    </row>
    <row r="3370" spans="1:7" x14ac:dyDescent="0.25">
      <c r="A3370" s="50" t="s">
        <v>91</v>
      </c>
      <c r="B3370" s="72" t="str">
        <f>VLOOKUP(A3370,'Componentes APUs'!$A$1:$D$14,2,0)</f>
        <v>Equipo completo para trabajo en alturas con pretales (Arnes dielectrico, 1 mosqueton de seguridad, tie off dielectrico, eslinga de posicionamiento, juego de pretales)</v>
      </c>
      <c r="C3370" s="73"/>
      <c r="D3370" s="50" t="str">
        <f>VLOOKUP(A3370,'Componentes APUs'!$A$1:$D$14,3,0)</f>
        <v>U</v>
      </c>
      <c r="E3370" s="50">
        <f>IF(A3340="MO-3",C3340,0)</f>
        <v>0</v>
      </c>
      <c r="F3370" s="51">
        <f>VLOOKUP(A3370,'Componentes APUs'!$A$1:$D$14,4,0)</f>
        <v>26041.666666666668</v>
      </c>
      <c r="G3370" s="51">
        <f>ROUNDUP(F3370*(E3370/21)/E3323,0)</f>
        <v>0</v>
      </c>
    </row>
    <row r="3371" spans="1:7" x14ac:dyDescent="0.25">
      <c r="A3371" s="219" t="s">
        <v>95</v>
      </c>
      <c r="B3371" s="219"/>
      <c r="C3371" s="219"/>
      <c r="D3371" s="219"/>
      <c r="E3371" s="219"/>
      <c r="F3371" s="219"/>
      <c r="G3371" s="52">
        <f>SUM(G3358:G3370)</f>
        <v>882</v>
      </c>
    </row>
    <row r="3372" spans="1:7" x14ac:dyDescent="0.25">
      <c r="A3372" s="56"/>
      <c r="B3372" s="57"/>
      <c r="C3372" s="57"/>
      <c r="D3372" s="57"/>
      <c r="E3372" s="57"/>
      <c r="F3372" s="57"/>
      <c r="G3372" s="58"/>
    </row>
    <row r="3373" spans="1:7" x14ac:dyDescent="0.25">
      <c r="A3373" s="219" t="s">
        <v>96</v>
      </c>
      <c r="B3373" s="219"/>
      <c r="C3373" s="219"/>
      <c r="D3373" s="219"/>
      <c r="E3373" s="219"/>
      <c r="F3373" s="219"/>
      <c r="G3373" s="219"/>
    </row>
    <row r="3374" spans="1:7" x14ac:dyDescent="0.25">
      <c r="A3374" s="49" t="s">
        <v>35</v>
      </c>
      <c r="B3374" s="225" t="s">
        <v>36</v>
      </c>
      <c r="C3374" s="225"/>
      <c r="D3374" s="49" t="s">
        <v>37</v>
      </c>
      <c r="E3374" s="49" t="s">
        <v>38</v>
      </c>
      <c r="F3374" s="49" t="s">
        <v>39</v>
      </c>
      <c r="G3374" s="49" t="s">
        <v>40</v>
      </c>
    </row>
    <row r="3375" spans="1:7" x14ac:dyDescent="0.25">
      <c r="A3375" s="69" t="s">
        <v>97</v>
      </c>
      <c r="B3375" s="72" t="str">
        <f>VLOOKUP(A3375,'Componentes APUs'!$N$1:$Q$30,2,0)</f>
        <v>Camioneta</v>
      </c>
      <c r="C3375" s="73"/>
      <c r="D3375" s="70" t="str">
        <f>VLOOKUP(A3375,'Componentes APUs'!$N$1:$Q$30,3,0)</f>
        <v>U</v>
      </c>
      <c r="E3375" s="50">
        <v>1</v>
      </c>
      <c r="F3375" s="51">
        <f>VLOOKUP(A3375,'Componentes APUs'!$N$1:$Q$30,4,0)</f>
        <v>5500000</v>
      </c>
      <c r="G3375" s="51">
        <f>IFERROR(ROUNDUP(F3375*(E3375/21)/E3323,0),"-")</f>
        <v>62359</v>
      </c>
    </row>
    <row r="3376" spans="1:7" x14ac:dyDescent="0.25">
      <c r="A3376" s="50" t="s">
        <v>321</v>
      </c>
      <c r="B3376" s="72" t="str">
        <f>VLOOKUP(A3376,'Componentes APUs'!$N$1:$Q$30,2,0)</f>
        <v>Grúa Hidráulica</v>
      </c>
      <c r="C3376" s="73"/>
      <c r="D3376" s="70" t="str">
        <f>VLOOKUP(A3376,'Componentes APUs'!$N$1:$Q$30,3,0)</f>
        <v>U</v>
      </c>
      <c r="E3376" s="50">
        <v>0</v>
      </c>
      <c r="F3376" s="51">
        <f>VLOOKUP(A3376,'Componentes APUs'!$N$1:$Q$30,4,0)</f>
        <v>21000000</v>
      </c>
      <c r="G3376" s="51">
        <f>IFERROR(ROUNDUP(F3376*(E3376/21)/E3323,0),"-")</f>
        <v>0</v>
      </c>
    </row>
    <row r="3377" spans="1:7" x14ac:dyDescent="0.25">
      <c r="A3377" s="69" t="s">
        <v>1379</v>
      </c>
      <c r="B3377" s="72" t="str">
        <f>VLOOKUP(A3377,'Componentes APUs'!$N$1:$Q$30,2,0)</f>
        <v>Dumper de descarga Frontal 2T</v>
      </c>
      <c r="C3377" s="73"/>
      <c r="D3377" s="70" t="str">
        <f>VLOOKUP(A3377,'Componentes APUs'!$N$1:$Q$30,3,0)</f>
        <v>U</v>
      </c>
      <c r="E3377" s="50">
        <v>0</v>
      </c>
      <c r="F3377" s="51">
        <f>VLOOKUP(A3377,'Componentes APUs'!$N$1:$Q$30,4,0)</f>
        <v>4438716.24</v>
      </c>
      <c r="G3377" s="51">
        <f>IFERROR(ROUNDUP(F3377*(E3377/21)/E3323,0),"-")</f>
        <v>0</v>
      </c>
    </row>
    <row r="3378" spans="1:7" x14ac:dyDescent="0.25">
      <c r="A3378" s="50" t="s">
        <v>323</v>
      </c>
      <c r="B3378" s="72" t="str">
        <f>VLOOKUP(A3378,'Componentes APUs'!$N$1:$Q$30,2,0)</f>
        <v>Volqueta</v>
      </c>
      <c r="C3378" s="73"/>
      <c r="D3378" s="70" t="str">
        <f>VLOOKUP(A3378,'Componentes APUs'!$N$1:$Q$30,3,0)</f>
        <v>U</v>
      </c>
      <c r="E3378" s="50">
        <v>0</v>
      </c>
      <c r="F3378" s="51">
        <f>VLOOKUP(A3378,'Componentes APUs'!$N$1:$Q$30,4,0)</f>
        <v>14828184</v>
      </c>
      <c r="G3378" s="51">
        <f>IFERROR(ROUNDUP(F3378*(E3378/21)/E3323,0),"-")</f>
        <v>0</v>
      </c>
    </row>
    <row r="3379" spans="1:7" x14ac:dyDescent="0.25">
      <c r="A3379" s="69" t="s">
        <v>324</v>
      </c>
      <c r="B3379" s="72" t="str">
        <f>VLOOKUP(A3379,'Componentes APUs'!$N$1:$Q$30,2,0)</f>
        <v>Retroexcavadora</v>
      </c>
      <c r="C3379" s="73"/>
      <c r="D3379" s="70" t="str">
        <f>VLOOKUP(A3379,'Componentes APUs'!$N$1:$Q$30,3,0)</f>
        <v>U</v>
      </c>
      <c r="E3379" s="50">
        <v>0</v>
      </c>
      <c r="F3379" s="51">
        <f>VLOOKUP(A3379,'Componentes APUs'!$N$1:$Q$30,4,0)</f>
        <v>46030656</v>
      </c>
      <c r="G3379" s="51">
        <f>IFERROR(ROUNDUP(F3379*(E3379/21)/E3323,0),"-")</f>
        <v>0</v>
      </c>
    </row>
    <row r="3380" spans="1:7" x14ac:dyDescent="0.25">
      <c r="A3380" s="219" t="s">
        <v>99</v>
      </c>
      <c r="B3380" s="219"/>
      <c r="C3380" s="219"/>
      <c r="D3380" s="219"/>
      <c r="E3380" s="219"/>
      <c r="F3380" s="219"/>
      <c r="G3380" s="52">
        <f>SUM(G3375:G3379)</f>
        <v>62359</v>
      </c>
    </row>
    <row r="3381" spans="1:7" x14ac:dyDescent="0.25">
      <c r="A3381" s="56"/>
      <c r="B3381" s="57"/>
      <c r="C3381" s="57"/>
      <c r="D3381" s="57"/>
      <c r="E3381" s="57"/>
      <c r="F3381" s="57"/>
      <c r="G3381" s="58"/>
    </row>
    <row r="3382" spans="1:7" x14ac:dyDescent="0.25">
      <c r="A3382" s="219" t="s">
        <v>1516</v>
      </c>
      <c r="B3382" s="219"/>
      <c r="C3382" s="219"/>
      <c r="D3382" s="219"/>
      <c r="E3382" s="219"/>
      <c r="F3382" s="219"/>
      <c r="G3382" s="52">
        <f>G3380+G3371+G3354+G3344+G3334</f>
        <v>241342</v>
      </c>
    </row>
    <row r="3383" spans="1:7" x14ac:dyDescent="0.25">
      <c r="A3383" s="59"/>
      <c r="B3383" s="60"/>
      <c r="C3383" s="60"/>
      <c r="D3383" s="60"/>
      <c r="E3383" s="57"/>
      <c r="F3383" s="57"/>
      <c r="G3383" s="58"/>
    </row>
    <row r="3384" spans="1:7" x14ac:dyDescent="0.25">
      <c r="A3384" s="64"/>
      <c r="D3384" s="55"/>
      <c r="E3384" s="49" t="s">
        <v>25</v>
      </c>
      <c r="F3384" s="54">
        <v>0.15</v>
      </c>
      <c r="G3384" s="51">
        <f>G3382*F3384</f>
        <v>36201.299999999996</v>
      </c>
    </row>
    <row r="3385" spans="1:7" x14ac:dyDescent="0.25">
      <c r="A3385" s="64"/>
      <c r="D3385" s="55"/>
      <c r="E3385" s="49" t="s">
        <v>26</v>
      </c>
      <c r="F3385" s="54">
        <v>0.05</v>
      </c>
      <c r="G3385" s="51">
        <f>G3382*F3385</f>
        <v>12067.1</v>
      </c>
    </row>
    <row r="3386" spans="1:7" x14ac:dyDescent="0.25">
      <c r="A3386" s="61"/>
      <c r="B3386" s="65"/>
      <c r="C3386" s="65"/>
      <c r="D3386" s="62"/>
      <c r="E3386" s="49" t="s">
        <v>27</v>
      </c>
      <c r="F3386" s="54">
        <v>0.05</v>
      </c>
      <c r="G3386" s="51">
        <f>G3382*F3386</f>
        <v>12067.1</v>
      </c>
    </row>
    <row r="3387" spans="1:7" x14ac:dyDescent="0.25">
      <c r="A3387" s="61"/>
      <c r="B3387" s="62"/>
      <c r="C3387" s="62"/>
      <c r="D3387" s="62"/>
      <c r="E3387" s="62"/>
      <c r="F3387" s="62"/>
      <c r="G3387" s="63"/>
    </row>
    <row r="3388" spans="1:7" x14ac:dyDescent="0.25">
      <c r="A3388" s="219" t="s">
        <v>1517</v>
      </c>
      <c r="B3388" s="219"/>
      <c r="C3388" s="219"/>
      <c r="D3388" s="219"/>
      <c r="E3388" s="219"/>
      <c r="F3388" s="219"/>
      <c r="G3388" s="52">
        <f>G3382+G3384+G3385+G3386</f>
        <v>301677.49999999994</v>
      </c>
    </row>
    <row r="3389" spans="1:7" x14ac:dyDescent="0.25">
      <c r="A3389" s="59"/>
      <c r="B3389" s="60"/>
      <c r="C3389" s="60"/>
      <c r="D3389" s="60"/>
      <c r="E3389" s="57"/>
      <c r="F3389" s="57"/>
      <c r="G3389" s="58"/>
    </row>
    <row r="3390" spans="1:7" x14ac:dyDescent="0.25">
      <c r="A3390" s="64"/>
      <c r="D3390" s="55"/>
      <c r="E3390" s="49" t="s">
        <v>102</v>
      </c>
      <c r="F3390" s="49" t="s">
        <v>103</v>
      </c>
      <c r="G3390" s="51">
        <f>G3386*19%</f>
        <v>2292.7490000000003</v>
      </c>
    </row>
    <row r="3391" spans="1:7" x14ac:dyDescent="0.25">
      <c r="A3391" s="61"/>
      <c r="B3391" s="62"/>
      <c r="C3391" s="62"/>
      <c r="D3391" s="62"/>
      <c r="E3391" s="57"/>
      <c r="F3391" s="57"/>
      <c r="G3391" s="58"/>
    </row>
    <row r="3392" spans="1:7" x14ac:dyDescent="0.25">
      <c r="A3392" s="219" t="s">
        <v>104</v>
      </c>
      <c r="B3392" s="219"/>
      <c r="C3392" s="219"/>
      <c r="D3392" s="219"/>
      <c r="E3392" s="219"/>
      <c r="F3392" s="219"/>
      <c r="G3392" s="52">
        <f>G3390+G3388</f>
        <v>303970.24899999995</v>
      </c>
    </row>
    <row r="3394" spans="1:7" x14ac:dyDescent="0.25">
      <c r="A3394" s="74" t="s">
        <v>29</v>
      </c>
      <c r="B3394" s="226" t="s">
        <v>30</v>
      </c>
      <c r="C3394" s="226"/>
      <c r="D3394" s="74" t="s">
        <v>31</v>
      </c>
      <c r="E3394" s="74" t="s">
        <v>32</v>
      </c>
      <c r="F3394" s="74" t="s">
        <v>189</v>
      </c>
      <c r="G3394" s="74" t="s">
        <v>33</v>
      </c>
    </row>
    <row r="3395" spans="1:7" ht="34.5" customHeight="1" x14ac:dyDescent="0.25">
      <c r="A3395" s="50" t="str">
        <f>Presupuesto!B65</f>
        <v>052_OC</v>
      </c>
      <c r="B3395" s="220" t="str">
        <f>Presupuesto!C65</f>
        <v>SUMINISTRO E INSTALACIÓN DE PROTECCIÓN EN CONCRETO DE 2500 PSI DE 100 X 5 CM PARA CRUCES DE CANALIZACIONES EN VIA</v>
      </c>
      <c r="C3395" s="220"/>
      <c r="D3395" s="50" t="s">
        <v>108</v>
      </c>
      <c r="E3395" s="50">
        <v>30</v>
      </c>
      <c r="F3395" s="50"/>
      <c r="G3395" s="51">
        <f>G3458</f>
        <v>87722.915500000003</v>
      </c>
    </row>
    <row r="3396" spans="1:7" x14ac:dyDescent="0.25">
      <c r="A3396" s="219" t="s">
        <v>34</v>
      </c>
      <c r="B3396" s="219"/>
      <c r="C3396" s="219"/>
      <c r="D3396" s="219"/>
      <c r="E3396" s="219"/>
      <c r="F3396" s="219"/>
      <c r="G3396" s="219"/>
    </row>
    <row r="3397" spans="1:7" x14ac:dyDescent="0.25">
      <c r="A3397" s="49" t="s">
        <v>35</v>
      </c>
      <c r="B3397" s="219" t="s">
        <v>36</v>
      </c>
      <c r="C3397" s="219"/>
      <c r="D3397" s="49" t="s">
        <v>37</v>
      </c>
      <c r="E3397" s="49" t="s">
        <v>38</v>
      </c>
      <c r="F3397" s="49" t="s">
        <v>39</v>
      </c>
      <c r="G3397" s="49" t="s">
        <v>40</v>
      </c>
    </row>
    <row r="3398" spans="1:7" x14ac:dyDescent="0.25">
      <c r="A3398" s="50" t="str">
        <f>Material!A191</f>
        <v>MA-190</v>
      </c>
      <c r="B3398" s="72" t="str">
        <f>IFERROR(VLOOKUP(A3398,Material!$A:$H,2,0),"-")</f>
        <v>CONCRETO PARA SOLADO 2500 PSI</v>
      </c>
      <c r="C3398" s="73"/>
      <c r="D3398" s="50" t="str">
        <f>IFERROR(VLOOKUP(A3398,Material!$A:$H,4,0),"-")</f>
        <v>M3</v>
      </c>
      <c r="E3398" s="96">
        <f>1*0.05</f>
        <v>0.05</v>
      </c>
      <c r="F3398" s="51">
        <f>IFERROR(VLOOKUP(A3398,Material!$A:$H,3,0),"-")</f>
        <v>760500</v>
      </c>
      <c r="G3398" s="51">
        <f t="shared" ref="G3398" si="51">IFERROR(ROUNDUP(F3398*E3398,0),"-")</f>
        <v>38025</v>
      </c>
    </row>
    <row r="3399" spans="1:7" x14ac:dyDescent="0.25">
      <c r="A3399" s="17"/>
      <c r="B3399" s="139"/>
      <c r="C3399" s="73"/>
      <c r="D3399" s="50"/>
      <c r="E3399" s="96"/>
      <c r="F3399" s="51"/>
      <c r="G3399" s="51"/>
    </row>
    <row r="3400" spans="1:7" x14ac:dyDescent="0.25">
      <c r="A3400" s="219" t="s">
        <v>41</v>
      </c>
      <c r="B3400" s="219"/>
      <c r="C3400" s="219"/>
      <c r="D3400" s="219"/>
      <c r="E3400" s="219"/>
      <c r="F3400" s="219"/>
      <c r="G3400" s="52">
        <f>SUM(G3398:G3399)</f>
        <v>38025</v>
      </c>
    </row>
    <row r="3401" spans="1:7" x14ac:dyDescent="0.25">
      <c r="A3401" s="56"/>
      <c r="B3401" s="57"/>
      <c r="C3401" s="57"/>
      <c r="D3401" s="57"/>
      <c r="E3401" s="57"/>
      <c r="F3401" s="57"/>
      <c r="G3401" s="58"/>
    </row>
    <row r="3402" spans="1:7" x14ac:dyDescent="0.25">
      <c r="A3402" s="219" t="s">
        <v>42</v>
      </c>
      <c r="B3402" s="219"/>
      <c r="C3402" s="219"/>
      <c r="D3402" s="219"/>
      <c r="E3402" s="219"/>
      <c r="F3402" s="219"/>
      <c r="G3402" s="219"/>
    </row>
    <row r="3403" spans="1:7" x14ac:dyDescent="0.25">
      <c r="A3403" s="49" t="s">
        <v>35</v>
      </c>
      <c r="B3403" s="49" t="s">
        <v>36</v>
      </c>
      <c r="C3403" s="49" t="s">
        <v>38</v>
      </c>
      <c r="D3403" s="49" t="s">
        <v>43</v>
      </c>
      <c r="E3403" s="49" t="s">
        <v>44</v>
      </c>
      <c r="F3403" s="49" t="s">
        <v>45</v>
      </c>
      <c r="G3403" s="49" t="s">
        <v>40</v>
      </c>
    </row>
    <row r="3404" spans="1:7" x14ac:dyDescent="0.25">
      <c r="A3404" s="50" t="s">
        <v>319</v>
      </c>
      <c r="B3404" s="68" t="str">
        <f>VLOOKUP(A3404,'Componentes APUs'!$H$1:$L$25,2,0)</f>
        <v>Ingeniero Residente de Obra</v>
      </c>
      <c r="C3404" s="93">
        <v>0.25</v>
      </c>
      <c r="D3404" s="50">
        <f>VLOOKUP(A3404,'Componentes APUs'!$H$1:$L$25,3,0)</f>
        <v>4</v>
      </c>
      <c r="E3404" s="51">
        <f>VLOOKUP(A3404,'Componentes APUs'!$H$1:$L$25,4,0)</f>
        <v>271142.85714285716</v>
      </c>
      <c r="F3404" s="51">
        <f>VLOOKUP(A3404,'Componentes APUs'!$H$1:$L$25,5,0)</f>
        <v>162685.71428571429</v>
      </c>
      <c r="G3404" s="51">
        <f>ROUNDUP((E3404+F3404)*C3404/E3395,0)</f>
        <v>3616</v>
      </c>
    </row>
    <row r="3405" spans="1:7" x14ac:dyDescent="0.25">
      <c r="A3405" s="50" t="s">
        <v>320</v>
      </c>
      <c r="B3405" s="68" t="str">
        <f>VLOOKUP(A3405,'Componentes APUs'!$H$1:$L$25,2,0)</f>
        <v>Tecnico Supervisor</v>
      </c>
      <c r="C3405" s="93">
        <v>0.25</v>
      </c>
      <c r="D3405" s="50">
        <f>VLOOKUP(A3405,'Componentes APUs'!$H$1:$L$25,3,0)</f>
        <v>2.2999999999999998</v>
      </c>
      <c r="E3405" s="51">
        <f>VLOOKUP(A3405,'Componentes APUs'!$H$1:$L$25,4,0)</f>
        <v>155907.14285714284</v>
      </c>
      <c r="F3405" s="51">
        <f>VLOOKUP(A3405,'Componentes APUs'!$H$1:$L$25,5,0)</f>
        <v>93544.285714285696</v>
      </c>
      <c r="G3405" s="51">
        <f>ROUNDUP((E3405+F3405)*C3405/E3395,0)</f>
        <v>2079</v>
      </c>
    </row>
    <row r="3406" spans="1:7" x14ac:dyDescent="0.25">
      <c r="A3406" s="50" t="s">
        <v>1160</v>
      </c>
      <c r="B3406" s="68" t="str">
        <f>VLOOKUP(A3406,'Componentes APUs'!$H$1:$L$25,2,0)</f>
        <v>Oficial Eléctrico</v>
      </c>
      <c r="C3406" s="93">
        <v>1</v>
      </c>
      <c r="D3406" s="50">
        <f>VLOOKUP(A3406,'Componentes APUs'!$H$1:$L$25,3,0)</f>
        <v>2</v>
      </c>
      <c r="E3406" s="51">
        <f>VLOOKUP(A3406,'Componentes APUs'!$H$1:$L$25,4,0)</f>
        <v>154619.04761904763</v>
      </c>
      <c r="F3406" s="51">
        <f>VLOOKUP(A3406,'Componentes APUs'!$H$1:$L$25,5,0)</f>
        <v>92771.42857142858</v>
      </c>
      <c r="G3406" s="51">
        <f>ROUNDUP((E3406+F3406)*C3406/E3395,0)</f>
        <v>8247</v>
      </c>
    </row>
    <row r="3407" spans="1:7" x14ac:dyDescent="0.25">
      <c r="A3407" s="50" t="s">
        <v>48</v>
      </c>
      <c r="B3407" s="68" t="str">
        <f>VLOOKUP(A3407,'Componentes APUs'!$H$1:$L$25,2,0)</f>
        <v>Ayudante Calificado</v>
      </c>
      <c r="C3407" s="93">
        <v>1</v>
      </c>
      <c r="D3407" s="50">
        <f>VLOOKUP(A3407,'Componentes APUs'!$H$1:$L$25,3,0)</f>
        <v>1.5</v>
      </c>
      <c r="E3407" s="51">
        <f>VLOOKUP(A3407,'Componentes APUs'!$H$1:$L$25,4,0)</f>
        <v>115964.28571428571</v>
      </c>
      <c r="F3407" s="51">
        <f>VLOOKUP(A3407,'Componentes APUs'!$H$1:$L$25,5,0)</f>
        <v>69578.57142857142</v>
      </c>
      <c r="G3407" s="51">
        <f>ROUNDUP((E3407+F3407)*C3407/E3395,0)</f>
        <v>6185</v>
      </c>
    </row>
    <row r="3408" spans="1:7" x14ac:dyDescent="0.25">
      <c r="A3408" s="50" t="s">
        <v>50</v>
      </c>
      <c r="B3408" s="68" t="str">
        <f>VLOOKUP(A3408,'Componentes APUs'!$H$1:$L$25,2,0)</f>
        <v>Profesional en SST</v>
      </c>
      <c r="C3408" s="93">
        <v>0.25</v>
      </c>
      <c r="D3408" s="50">
        <f>VLOOKUP(A3408,'Componentes APUs'!$H$1:$L$25,3,0)</f>
        <v>2.5</v>
      </c>
      <c r="E3408" s="51">
        <f>VLOOKUP(A3408,'Componentes APUs'!$H$1:$L$25,4,0)</f>
        <v>169464.28571428571</v>
      </c>
      <c r="F3408" s="51">
        <f>VLOOKUP(A3408,'Componentes APUs'!$H$1:$L$25,5,0)</f>
        <v>101678.57142857142</v>
      </c>
      <c r="G3408" s="51">
        <f>ROUNDUP((E3408+F3408)*C3408/E3395,0)</f>
        <v>2260</v>
      </c>
    </row>
    <row r="3409" spans="1:7" x14ac:dyDescent="0.25">
      <c r="A3409" s="50" t="s">
        <v>52</v>
      </c>
      <c r="B3409" s="68" t="str">
        <f>VLOOKUP(A3409,'Componentes APUs'!$H$1:$L$25,2,0)</f>
        <v>Ayudante No Calificado</v>
      </c>
      <c r="C3409" s="93">
        <v>0</v>
      </c>
      <c r="D3409" s="50">
        <f>VLOOKUP(A3409,'Componentes APUs'!$H$1:$L$25,3,0)</f>
        <v>1</v>
      </c>
      <c r="E3409" s="51">
        <f>VLOOKUP(A3409,'Componentes APUs'!$H$1:$L$25,4,0)</f>
        <v>77309.523809523816</v>
      </c>
      <c r="F3409" s="51">
        <f>VLOOKUP(A3409,'Componentes APUs'!$H$1:$L$25,5,0)</f>
        <v>46385.71428571429</v>
      </c>
      <c r="G3409" s="51">
        <f>ROUNDUP((E3409+F3409)*C3409/E3395,0)</f>
        <v>0</v>
      </c>
    </row>
    <row r="3410" spans="1:7" x14ac:dyDescent="0.25">
      <c r="A3410" s="219" t="s">
        <v>56</v>
      </c>
      <c r="B3410" s="219"/>
      <c r="C3410" s="219"/>
      <c r="D3410" s="219"/>
      <c r="E3410" s="219"/>
      <c r="F3410" s="219"/>
      <c r="G3410" s="52">
        <f>SUM(G3404:G3409)</f>
        <v>22387</v>
      </c>
    </row>
    <row r="3411" spans="1:7" x14ac:dyDescent="0.25">
      <c r="A3411" s="56"/>
      <c r="B3411" s="57"/>
      <c r="C3411" s="57"/>
      <c r="D3411" s="57"/>
      <c r="E3411" s="57"/>
      <c r="F3411" s="57"/>
      <c r="G3411" s="58"/>
    </row>
    <row r="3412" spans="1:7" x14ac:dyDescent="0.25">
      <c r="A3412" s="219" t="s">
        <v>57</v>
      </c>
      <c r="B3412" s="219"/>
      <c r="C3412" s="219"/>
      <c r="D3412" s="219"/>
      <c r="E3412" s="219"/>
      <c r="F3412" s="219"/>
      <c r="G3412" s="219"/>
    </row>
    <row r="3413" spans="1:7" x14ac:dyDescent="0.25">
      <c r="A3413" s="49" t="s">
        <v>35</v>
      </c>
      <c r="B3413" s="219" t="s">
        <v>36</v>
      </c>
      <c r="C3413" s="219"/>
      <c r="D3413" s="49" t="s">
        <v>37</v>
      </c>
      <c r="E3413" s="49" t="s">
        <v>38</v>
      </c>
      <c r="F3413" s="49" t="s">
        <v>39</v>
      </c>
      <c r="G3413" s="49" t="s">
        <v>40</v>
      </c>
    </row>
    <row r="3414" spans="1:7" x14ac:dyDescent="0.25">
      <c r="A3414" s="50" t="s">
        <v>326</v>
      </c>
      <c r="B3414" s="220" t="str">
        <f>VLOOKUP(A3414,'Componentes APUs'!$S$1:$V$10,2,0)</f>
        <v>Juego Llaves</v>
      </c>
      <c r="C3414" s="220"/>
      <c r="D3414" s="50" t="s">
        <v>18</v>
      </c>
      <c r="E3414" s="50">
        <v>2</v>
      </c>
      <c r="F3414" s="51">
        <f>VLOOKUP(A3414,'Componentes APUs'!$S$1:$V$10,4,0)</f>
        <v>9167</v>
      </c>
      <c r="G3414" s="51">
        <f>ROUNDUP(F3414*((E3414/21)/E3395),0)</f>
        <v>30</v>
      </c>
    </row>
    <row r="3415" spans="1:7" x14ac:dyDescent="0.25">
      <c r="A3415" s="50" t="s">
        <v>58</v>
      </c>
      <c r="B3415" s="220" t="str">
        <f>VLOOKUP(A3415,'Componentes APUs'!$S$1:$V$10,2,0)</f>
        <v>Manila de servicio</v>
      </c>
      <c r="C3415" s="220"/>
      <c r="D3415" s="50" t="s">
        <v>18</v>
      </c>
      <c r="E3415" s="50">
        <v>0</v>
      </c>
      <c r="F3415" s="51">
        <f>VLOOKUP(A3415,'Componentes APUs'!$S$1:$V$10,4,0)</f>
        <v>2333</v>
      </c>
      <c r="G3415" s="51">
        <f>ROUNDUP(F3415*((E3415/21)/E3395),0)</f>
        <v>0</v>
      </c>
    </row>
    <row r="3416" spans="1:7" x14ac:dyDescent="0.25">
      <c r="A3416" s="50" t="s">
        <v>327</v>
      </c>
      <c r="B3416" s="220" t="str">
        <f>VLOOKUP(A3416,'Componentes APUs'!$S$1:$V$10,2,0)</f>
        <v>Tula portaherramientas</v>
      </c>
      <c r="C3416" s="220"/>
      <c r="D3416" s="50" t="s">
        <v>18</v>
      </c>
      <c r="E3416" s="50">
        <v>2</v>
      </c>
      <c r="F3416" s="51">
        <f>VLOOKUP(A3416,'Componentes APUs'!$S$1:$V$10,4,0)</f>
        <v>1250</v>
      </c>
      <c r="G3416" s="51">
        <f>ROUNDUP(F3416*((E3416/21)/E3395),0)</f>
        <v>4</v>
      </c>
    </row>
    <row r="3417" spans="1:7" x14ac:dyDescent="0.25">
      <c r="A3417" s="50" t="s">
        <v>60</v>
      </c>
      <c r="B3417" s="220" t="str">
        <f>VLOOKUP(A3417,'Componentes APUs'!$S$1:$V$10,2,0)</f>
        <v>Agarradoras</v>
      </c>
      <c r="C3417" s="220"/>
      <c r="D3417" s="50" t="s">
        <v>18</v>
      </c>
      <c r="E3417" s="50">
        <v>0</v>
      </c>
      <c r="F3417" s="51">
        <f>VLOOKUP(A3417,'Componentes APUs'!$S$1:$V$10,4,0)</f>
        <v>125000</v>
      </c>
      <c r="G3417" s="51">
        <f>ROUNDUP(F3417*((E3417/21)/E3395),0)</f>
        <v>0</v>
      </c>
    </row>
    <row r="3418" spans="1:7" x14ac:dyDescent="0.25">
      <c r="A3418" s="50" t="s">
        <v>62</v>
      </c>
      <c r="B3418" s="220" t="str">
        <f>VLOOKUP(A3418,'Componentes APUs'!$S$1:$V$10,2,0)</f>
        <v>Templadoras</v>
      </c>
      <c r="C3418" s="220"/>
      <c r="D3418" s="50" t="s">
        <v>18</v>
      </c>
      <c r="E3418" s="50">
        <v>0</v>
      </c>
      <c r="F3418" s="51">
        <f>VLOOKUP(A3418,'Componentes APUs'!$S$1:$V$10,4,0)</f>
        <v>250000</v>
      </c>
      <c r="G3418" s="51">
        <f>ROUNDUP(F3418*((E3418/21)/E3395),0)</f>
        <v>0</v>
      </c>
    </row>
    <row r="3419" spans="1:7" x14ac:dyDescent="0.25">
      <c r="A3419" s="50" t="s">
        <v>328</v>
      </c>
      <c r="B3419" s="220" t="str">
        <f>VLOOKUP(A3419,'Componentes APUs'!$S$1:$V$10,2,0)</f>
        <v>Herramienta Menor</v>
      </c>
      <c r="C3419" s="220"/>
      <c r="D3419" s="50" t="s">
        <v>18</v>
      </c>
      <c r="E3419" s="50">
        <v>2</v>
      </c>
      <c r="F3419" s="51">
        <f>VLOOKUP(A3419,'Componentes APUs'!$S$1:$V$10,4,0)</f>
        <v>75758</v>
      </c>
      <c r="G3419" s="51">
        <f>ROUNDUP(F3419*((E3419/21)/E3395),0)</f>
        <v>241</v>
      </c>
    </row>
    <row r="3420" spans="1:7" x14ac:dyDescent="0.25">
      <c r="A3420" s="219" t="s">
        <v>69</v>
      </c>
      <c r="B3420" s="219"/>
      <c r="C3420" s="219"/>
      <c r="D3420" s="219"/>
      <c r="E3420" s="219"/>
      <c r="F3420" s="219"/>
      <c r="G3420" s="52">
        <f>SUM(G3414:G3419)</f>
        <v>275</v>
      </c>
    </row>
    <row r="3421" spans="1:7" x14ac:dyDescent="0.25">
      <c r="A3421" s="56"/>
      <c r="B3421" s="57"/>
      <c r="C3421" s="57"/>
      <c r="D3421" s="57"/>
      <c r="E3421" s="57"/>
      <c r="F3421" s="57"/>
      <c r="G3421" s="58"/>
    </row>
    <row r="3422" spans="1:7" x14ac:dyDescent="0.25">
      <c r="A3422" s="219" t="s">
        <v>70</v>
      </c>
      <c r="B3422" s="219"/>
      <c r="C3422" s="219"/>
      <c r="D3422" s="219"/>
      <c r="E3422" s="219"/>
      <c r="F3422" s="219"/>
      <c r="G3422" s="219"/>
    </row>
    <row r="3423" spans="1:7" x14ac:dyDescent="0.25">
      <c r="A3423" s="49" t="s">
        <v>35</v>
      </c>
      <c r="B3423" s="219" t="s">
        <v>36</v>
      </c>
      <c r="C3423" s="219"/>
      <c r="D3423" s="49" t="s">
        <v>37</v>
      </c>
      <c r="E3423" s="49" t="s">
        <v>38</v>
      </c>
      <c r="F3423" s="49" t="s">
        <v>39</v>
      </c>
      <c r="G3423" s="49" t="s">
        <v>40</v>
      </c>
    </row>
    <row r="3424" spans="1:7" x14ac:dyDescent="0.25">
      <c r="A3424" s="50" t="s">
        <v>71</v>
      </c>
      <c r="B3424" s="71" t="str">
        <f>VLOOKUP(A3424,'Componentes APUs'!$A$1:$D$14,2,0)</f>
        <v>Camisa indigo sin partes metalicas</v>
      </c>
      <c r="C3424" s="71"/>
      <c r="D3424" s="50" t="str">
        <f>VLOOKUP(A3424,'Componentes APUs'!$A$1:$D$14,3,0)</f>
        <v>U</v>
      </c>
      <c r="E3424" s="50">
        <f>SUM(C3404:C3409)</f>
        <v>2.75</v>
      </c>
      <c r="F3424" s="51">
        <f>VLOOKUP(A3424,'Componentes APUs'!$A$1:$D$14,4,0)</f>
        <v>8585.8585858585866</v>
      </c>
      <c r="G3424" s="51">
        <f>ROUNDUP(F3424*(E3424/21)/E3395,0)</f>
        <v>38</v>
      </c>
    </row>
    <row r="3425" spans="1:7" x14ac:dyDescent="0.25">
      <c r="A3425" s="69" t="s">
        <v>73</v>
      </c>
      <c r="B3425" s="72" t="str">
        <f>VLOOKUP(A3425,'Componentes APUs'!$A$1:$D$14,2,0)</f>
        <v>Bota de seguridad dielectrica</v>
      </c>
      <c r="C3425" s="73"/>
      <c r="D3425" s="70" t="str">
        <f>VLOOKUP(A3425,'Componentes APUs'!$A$1:$D$14,3,0)</f>
        <v>Par</v>
      </c>
      <c r="E3425" s="50">
        <f>SUM(C3404:C3409)</f>
        <v>2.75</v>
      </c>
      <c r="F3425" s="51">
        <f>VLOOKUP(A3425,'Componentes APUs'!$A$1:$D$14,4,0)</f>
        <v>7500</v>
      </c>
      <c r="G3425" s="51">
        <f>ROUNDUP(F3425*(E3425/21)/E3395,0)</f>
        <v>33</v>
      </c>
    </row>
    <row r="3426" spans="1:7" x14ac:dyDescent="0.25">
      <c r="A3426" s="50" t="s">
        <v>76</v>
      </c>
      <c r="B3426" s="72" t="str">
        <f>VLOOKUP(A3426,'Componentes APUs'!$A$1:$D$14,2,0)</f>
        <v>Casco dielectrico Tipo 1 Clase E con barbuquejo</v>
      </c>
      <c r="C3426" s="73"/>
      <c r="D3426" s="50" t="str">
        <f>VLOOKUP(A3426,'Componentes APUs'!$A$1:$D$14,3,0)</f>
        <v>U</v>
      </c>
      <c r="E3426" s="50">
        <f>C3404+C3407+C3408+C3405+C3409+IF(A3406&lt;&gt;"MO-3",C3406,0)</f>
        <v>2.75</v>
      </c>
      <c r="F3426" s="51">
        <f>VLOOKUP(A3426,'Componentes APUs'!$A$1:$D$14,4,0)</f>
        <v>10101.010101010101</v>
      </c>
      <c r="G3426" s="51">
        <f>ROUNDUP(F3426*(E3426/21)/E3395,0)</f>
        <v>45</v>
      </c>
    </row>
    <row r="3427" spans="1:7" x14ac:dyDescent="0.25">
      <c r="A3427" s="69" t="s">
        <v>77</v>
      </c>
      <c r="B3427" s="72" t="str">
        <f>VLOOKUP(A3427,'Componentes APUs'!$A$1:$D$14,2,0)</f>
        <v>Correa plastica y antiflama</v>
      </c>
      <c r="C3427" s="73"/>
      <c r="D3427" s="50" t="str">
        <f>VLOOKUP(A3427,'Componentes APUs'!$A$1:$D$14,3,0)</f>
        <v>U</v>
      </c>
      <c r="E3427" s="50">
        <f>SUM(C3404:C3409)</f>
        <v>2.75</v>
      </c>
      <c r="F3427" s="51">
        <f>VLOOKUP(A3427,'Componentes APUs'!$A$1:$D$14,4,0)</f>
        <v>3787.878787878788</v>
      </c>
      <c r="G3427" s="51">
        <f>ROUNDUP(F3427*(E3427/21)/E3395,0)</f>
        <v>17</v>
      </c>
    </row>
    <row r="3428" spans="1:7" x14ac:dyDescent="0.25">
      <c r="A3428" s="50" t="s">
        <v>79</v>
      </c>
      <c r="B3428" s="72" t="str">
        <f>VLOOKUP(A3428,'Componentes APUs'!$A$1:$D$14,2,0)</f>
        <v>Gafas protectoras filtro UV</v>
      </c>
      <c r="C3428" s="73"/>
      <c r="D3428" s="50" t="str">
        <f>VLOOKUP(A3428,'Componentes APUs'!$A$1:$D$14,3,0)</f>
        <v>U</v>
      </c>
      <c r="E3428" s="50">
        <f>SUM(C3404:C3409)</f>
        <v>2.75</v>
      </c>
      <c r="F3428" s="51">
        <f>VLOOKUP(A3428,'Componentes APUs'!$A$1:$D$14,4,0)</f>
        <v>2777.7777777777778</v>
      </c>
      <c r="G3428" s="51">
        <f>ROUNDUP(F3428*(E3428/21)/E3395,0)</f>
        <v>13</v>
      </c>
    </row>
    <row r="3429" spans="1:7" x14ac:dyDescent="0.25">
      <c r="A3429" s="69" t="s">
        <v>402</v>
      </c>
      <c r="B3429" s="72" t="str">
        <f>VLOOKUP(A3429,'Componentes APUs'!$A$1:$D$14,2,0)</f>
        <v>Bota de seguridad PVC dielectrica</v>
      </c>
      <c r="C3429" s="73"/>
      <c r="D3429" s="50" t="str">
        <f>VLOOKUP(A3429,'Componentes APUs'!$A$1:$D$14,3,0)</f>
        <v>Par</v>
      </c>
      <c r="E3429" s="50">
        <f>SUM(C3404:C3409)</f>
        <v>2.75</v>
      </c>
      <c r="F3429" s="51">
        <f>VLOOKUP(A3429,'Componentes APUs'!$A$1:$D$14,4,0)</f>
        <v>2916.6666666666665</v>
      </c>
      <c r="G3429" s="51">
        <f>ROUNDUP(F3429*(E3429/21)/E3395,0)</f>
        <v>13</v>
      </c>
    </row>
    <row r="3430" spans="1:7" x14ac:dyDescent="0.25">
      <c r="A3430" s="50" t="s">
        <v>403</v>
      </c>
      <c r="B3430" s="72" t="str">
        <f>VLOOKUP(A3430,'Componentes APUs'!$A$1:$D$14,2,0)</f>
        <v>Capuchon</v>
      </c>
      <c r="C3430" s="73"/>
      <c r="D3430" s="50" t="str">
        <f>VLOOKUP(A3430,'Componentes APUs'!$A$1:$D$14,3,0)</f>
        <v>U</v>
      </c>
      <c r="E3430" s="50">
        <f>SUM(C3404:C3409)</f>
        <v>2.75</v>
      </c>
      <c r="F3430" s="51">
        <f>VLOOKUP(A3430,'Componentes APUs'!$A$1:$D$14,4,0)</f>
        <v>2525.2525252525252</v>
      </c>
      <c r="G3430" s="51">
        <f>ROUNDUP(F3430*(E3430/21)/E3395,0)</f>
        <v>12</v>
      </c>
    </row>
    <row r="3431" spans="1:7" x14ac:dyDescent="0.25">
      <c r="A3431" s="69" t="s">
        <v>81</v>
      </c>
      <c r="B3431" s="72" t="str">
        <f>VLOOKUP(A3431,'Componentes APUs'!$A$1:$D$14,2,0)</f>
        <v>Guantes Protectores  - ingeniero reforzados</v>
      </c>
      <c r="C3431" s="73"/>
      <c r="D3431" s="50" t="str">
        <f>VLOOKUP(A3431,'Componentes APUs'!$A$1:$D$14,3,0)</f>
        <v>Par</v>
      </c>
      <c r="E3431" s="50">
        <f>C3406+C3407+C3409</f>
        <v>2</v>
      </c>
      <c r="F3431" s="51">
        <f>VLOOKUP(A3431,'Componentes APUs'!$A$1:$D$14,4,0)</f>
        <v>2525.2525252525252</v>
      </c>
      <c r="G3431" s="51">
        <f>ROUNDUP(F3431*(E3431/21)/E3395,0)</f>
        <v>9</v>
      </c>
    </row>
    <row r="3432" spans="1:7" x14ac:dyDescent="0.25">
      <c r="A3432" s="50" t="s">
        <v>83</v>
      </c>
      <c r="B3432" s="72" t="str">
        <f>VLOOKUP(A3432,'Componentes APUs'!$A$1:$D$14,2,0)</f>
        <v>Impermeable (pantalon camisa)</v>
      </c>
      <c r="C3432" s="73"/>
      <c r="D3432" s="50" t="str">
        <f>VLOOKUP(A3432,'Componentes APUs'!$A$1:$D$14,3,0)</f>
        <v>U</v>
      </c>
      <c r="E3432" s="50">
        <f>SUM(C3404:C3409)</f>
        <v>2.75</v>
      </c>
      <c r="F3432" s="51">
        <f>VLOOKUP(A3432,'Componentes APUs'!$A$1:$D$14,4,0)</f>
        <v>3750</v>
      </c>
      <c r="G3432" s="51">
        <f>ROUNDUP(F3432*(E3432/21)/E3395,0)</f>
        <v>17</v>
      </c>
    </row>
    <row r="3433" spans="1:7" x14ac:dyDescent="0.25">
      <c r="A3433" s="69" t="s">
        <v>85</v>
      </c>
      <c r="B3433" s="72" t="str">
        <f>VLOOKUP(A3433,'Componentes APUs'!$A$1:$D$14,2,0)</f>
        <v>Jean Dielectrico</v>
      </c>
      <c r="C3433" s="73"/>
      <c r="D3433" s="50" t="str">
        <f>VLOOKUP(A3433,'Componentes APUs'!$A$1:$D$14,3,0)</f>
        <v>U</v>
      </c>
      <c r="E3433" s="50">
        <f>SUM(C3404:C3409)</f>
        <v>2.75</v>
      </c>
      <c r="F3433" s="51">
        <f>VLOOKUP(A3433,'Componentes APUs'!$A$1:$D$14,4,0)</f>
        <v>7575.757575757576</v>
      </c>
      <c r="G3433" s="51">
        <f>ROUNDUP(F3433*(E3433/21)/E3395,0)</f>
        <v>34</v>
      </c>
    </row>
    <row r="3434" spans="1:7" x14ac:dyDescent="0.25">
      <c r="A3434" s="50" t="s">
        <v>87</v>
      </c>
      <c r="B3434" s="72" t="str">
        <f>VLOOKUP(A3434,'Componentes APUs'!$A$1:$D$14,2,0)</f>
        <v>Casco dielectrico Tipo 2 Clase E con barboquejo</v>
      </c>
      <c r="C3434" s="73"/>
      <c r="D3434" s="50" t="str">
        <f>VLOOKUP(A3434,'Componentes APUs'!$A$1:$D$14,3,0)</f>
        <v>U</v>
      </c>
      <c r="E3434" s="53">
        <f>IF(A3406="MO-3",C3406,0)</f>
        <v>0</v>
      </c>
      <c r="F3434" s="51">
        <f>VLOOKUP(A3434,'Componentes APUs'!$A$1:$D$14,4,0)</f>
        <v>7500</v>
      </c>
      <c r="G3434" s="51">
        <f>ROUNDUP(F3434*(E3434/21)/E3395,0)</f>
        <v>0</v>
      </c>
    </row>
    <row r="3435" spans="1:7" x14ac:dyDescent="0.25">
      <c r="A3435" s="69" t="s">
        <v>89</v>
      </c>
      <c r="B3435" s="72" t="str">
        <f>VLOOKUP(A3435,'Componentes APUs'!$A$1:$D$14,2,0)</f>
        <v>Kit de rescate para trabajo en alturas</v>
      </c>
      <c r="C3435" s="73"/>
      <c r="D3435" s="50" t="str">
        <f>VLOOKUP(A3435,'Componentes APUs'!$A$1:$D$14,3,0)</f>
        <v>U</v>
      </c>
      <c r="E3435" s="50">
        <f>IF(AND(A3406="MO-3",C3406=2),1,0)</f>
        <v>0</v>
      </c>
      <c r="F3435" s="51">
        <f>VLOOKUP(A3435,'Componentes APUs'!$A$1:$D$14,4,0)</f>
        <v>37500</v>
      </c>
      <c r="G3435" s="51">
        <f>ROUNDUP(F3435*(E3435/21)/E3395,0)</f>
        <v>0</v>
      </c>
    </row>
    <row r="3436" spans="1:7" x14ac:dyDescent="0.25">
      <c r="A3436" s="50" t="s">
        <v>91</v>
      </c>
      <c r="B3436" s="72" t="str">
        <f>VLOOKUP(A3436,'Componentes APUs'!$A$1:$D$14,2,0)</f>
        <v>Equipo completo para trabajo en alturas con pretales (Arnes dielectrico, 1 mosqueton de seguridad, tie off dielectrico, eslinga de posicionamiento, juego de pretales)</v>
      </c>
      <c r="C3436" s="73"/>
      <c r="D3436" s="50" t="str">
        <f>VLOOKUP(A3436,'Componentes APUs'!$A$1:$D$14,3,0)</f>
        <v>U</v>
      </c>
      <c r="E3436" s="50">
        <f>IF(A3406="MO-3",C3406,0)</f>
        <v>0</v>
      </c>
      <c r="F3436" s="51">
        <f>VLOOKUP(A3436,'Componentes APUs'!$A$1:$D$14,4,0)</f>
        <v>26041.666666666668</v>
      </c>
      <c r="G3436" s="51">
        <f>ROUNDUP(F3436*(E3436/21)/E3395,0)</f>
        <v>0</v>
      </c>
    </row>
    <row r="3437" spans="1:7" x14ac:dyDescent="0.25">
      <c r="A3437" s="219" t="s">
        <v>95</v>
      </c>
      <c r="B3437" s="219"/>
      <c r="C3437" s="219"/>
      <c r="D3437" s="219"/>
      <c r="E3437" s="219"/>
      <c r="F3437" s="219"/>
      <c r="G3437" s="52">
        <f>SUM(G3424:G3436)</f>
        <v>231</v>
      </c>
    </row>
    <row r="3438" spans="1:7" x14ac:dyDescent="0.25">
      <c r="A3438" s="56"/>
      <c r="B3438" s="57"/>
      <c r="C3438" s="57"/>
      <c r="D3438" s="57"/>
      <c r="E3438" s="57"/>
      <c r="F3438" s="57"/>
      <c r="G3438" s="58"/>
    </row>
    <row r="3439" spans="1:7" x14ac:dyDescent="0.25">
      <c r="A3439" s="219" t="s">
        <v>96</v>
      </c>
      <c r="B3439" s="219"/>
      <c r="C3439" s="219"/>
      <c r="D3439" s="219"/>
      <c r="E3439" s="219"/>
      <c r="F3439" s="219"/>
      <c r="G3439" s="219"/>
    </row>
    <row r="3440" spans="1:7" x14ac:dyDescent="0.25">
      <c r="A3440" s="49" t="s">
        <v>35</v>
      </c>
      <c r="B3440" s="225" t="s">
        <v>36</v>
      </c>
      <c r="C3440" s="225"/>
      <c r="D3440" s="49" t="s">
        <v>37</v>
      </c>
      <c r="E3440" s="49" t="s">
        <v>38</v>
      </c>
      <c r="F3440" s="49" t="s">
        <v>39</v>
      </c>
      <c r="G3440" s="49" t="s">
        <v>40</v>
      </c>
    </row>
    <row r="3441" spans="1:7" x14ac:dyDescent="0.25">
      <c r="A3441" s="69" t="s">
        <v>97</v>
      </c>
      <c r="B3441" s="72" t="str">
        <f>VLOOKUP(A3441,'Componentes APUs'!$N$1:$Q$30,2,0)</f>
        <v>Camioneta</v>
      </c>
      <c r="C3441" s="73"/>
      <c r="D3441" s="70" t="str">
        <f>VLOOKUP(A3441,'Componentes APUs'!$N$1:$Q$30,3,0)</f>
        <v>U</v>
      </c>
      <c r="E3441" s="50">
        <v>1</v>
      </c>
      <c r="F3441" s="51">
        <f>VLOOKUP(A3441,'Componentes APUs'!$N$1:$Q$30,4,0)</f>
        <v>5500000</v>
      </c>
      <c r="G3441" s="51">
        <f>IFERROR(ROUNDUP(F3441*(E3441/21)/E3395,0),"-")</f>
        <v>8731</v>
      </c>
    </row>
    <row r="3442" spans="1:7" x14ac:dyDescent="0.25">
      <c r="A3442" s="50" t="s">
        <v>321</v>
      </c>
      <c r="B3442" s="72" t="str">
        <f>VLOOKUP(A3442,'Componentes APUs'!$N$1:$Q$30,2,0)</f>
        <v>Grúa Hidráulica</v>
      </c>
      <c r="C3442" s="73"/>
      <c r="D3442" s="70" t="str">
        <f>VLOOKUP(A3442,'Componentes APUs'!$N$1:$Q$30,3,0)</f>
        <v>U</v>
      </c>
      <c r="E3442" s="50">
        <v>0</v>
      </c>
      <c r="F3442" s="51">
        <f>VLOOKUP(A3442,'Componentes APUs'!$N$1:$Q$30,4,0)</f>
        <v>21000000</v>
      </c>
      <c r="G3442" s="51">
        <f>IFERROR(ROUNDUP(F3442*(E3442/21)/E3395,0),"-")</f>
        <v>0</v>
      </c>
    </row>
    <row r="3443" spans="1:7" x14ac:dyDescent="0.25">
      <c r="A3443" s="69" t="s">
        <v>322</v>
      </c>
      <c r="B3443" s="72" t="str">
        <f>VLOOKUP(A3443,'Componentes APUs'!$N$1:$Q$30,2,0)</f>
        <v>Camabaja</v>
      </c>
      <c r="C3443" s="73"/>
      <c r="D3443" s="70" t="str">
        <f>VLOOKUP(A3443,'Componentes APUs'!$N$1:$Q$30,3,0)</f>
        <v>TON/KM</v>
      </c>
      <c r="E3443" s="50">
        <v>0</v>
      </c>
      <c r="F3443" s="51">
        <f>VLOOKUP(A3443,'Componentes APUs'!$N$1:$Q$30,4,0)</f>
        <v>611</v>
      </c>
      <c r="G3443" s="51">
        <f>IFERROR(ROUNDUP(F3443*(E3443/21)/E3395,0),"-")</f>
        <v>0</v>
      </c>
    </row>
    <row r="3444" spans="1:7" x14ac:dyDescent="0.25">
      <c r="A3444" s="50" t="s">
        <v>323</v>
      </c>
      <c r="B3444" s="72" t="str">
        <f>VLOOKUP(A3444,'Componentes APUs'!$N$1:$Q$30,2,0)</f>
        <v>Volqueta</v>
      </c>
      <c r="C3444" s="73"/>
      <c r="D3444" s="70" t="str">
        <f>VLOOKUP(A3444,'Componentes APUs'!$N$1:$Q$30,3,0)</f>
        <v>U</v>
      </c>
      <c r="E3444" s="50">
        <v>0</v>
      </c>
      <c r="F3444" s="51">
        <f>VLOOKUP(A3444,'Componentes APUs'!$N$1:$Q$30,4,0)</f>
        <v>14828184</v>
      </c>
      <c r="G3444" s="51">
        <f>IFERROR(ROUNDUP(F3444*(E3444/21)/E3395,0),"-")</f>
        <v>0</v>
      </c>
    </row>
    <row r="3445" spans="1:7" x14ac:dyDescent="0.25">
      <c r="A3445" s="69" t="s">
        <v>324</v>
      </c>
      <c r="B3445" s="72" t="str">
        <f>VLOOKUP(A3445,'Componentes APUs'!$N$1:$Q$30,2,0)</f>
        <v>Retroexcavadora</v>
      </c>
      <c r="C3445" s="73"/>
      <c r="D3445" s="70" t="str">
        <f>VLOOKUP(A3445,'Componentes APUs'!$N$1:$Q$30,3,0)</f>
        <v>U</v>
      </c>
      <c r="E3445" s="50">
        <v>0</v>
      </c>
      <c r="F3445" s="51">
        <f>VLOOKUP(A3445,'Componentes APUs'!$N$1:$Q$30,4,0)</f>
        <v>46030656</v>
      </c>
      <c r="G3445" s="51">
        <f>IFERROR(ROUNDUP(F3445*(E3445/21)/E3395,0),"-")</f>
        <v>0</v>
      </c>
    </row>
    <row r="3446" spans="1:7" x14ac:dyDescent="0.25">
      <c r="A3446" s="219" t="s">
        <v>99</v>
      </c>
      <c r="B3446" s="219"/>
      <c r="C3446" s="219"/>
      <c r="D3446" s="219"/>
      <c r="E3446" s="219"/>
      <c r="F3446" s="219"/>
      <c r="G3446" s="52">
        <f>SUM(G3441:G3445)</f>
        <v>8731</v>
      </c>
    </row>
    <row r="3447" spans="1:7" x14ac:dyDescent="0.25">
      <c r="A3447" s="56"/>
      <c r="B3447" s="57"/>
      <c r="C3447" s="57"/>
      <c r="D3447" s="57"/>
      <c r="E3447" s="57"/>
      <c r="F3447" s="57"/>
      <c r="G3447" s="58"/>
    </row>
    <row r="3448" spans="1:7" x14ac:dyDescent="0.25">
      <c r="A3448" s="219" t="s">
        <v>1516</v>
      </c>
      <c r="B3448" s="219"/>
      <c r="C3448" s="219"/>
      <c r="D3448" s="219"/>
      <c r="E3448" s="219"/>
      <c r="F3448" s="219"/>
      <c r="G3448" s="52">
        <f>G3446+G3437+G3420+G3410+G3400</f>
        <v>69649</v>
      </c>
    </row>
    <row r="3449" spans="1:7" x14ac:dyDescent="0.25">
      <c r="A3449" s="59"/>
      <c r="B3449" s="60"/>
      <c r="C3449" s="60"/>
      <c r="D3449" s="60"/>
      <c r="E3449" s="57"/>
      <c r="F3449" s="57"/>
      <c r="G3449" s="58"/>
    </row>
    <row r="3450" spans="1:7" x14ac:dyDescent="0.25">
      <c r="A3450" s="64"/>
      <c r="D3450" s="55"/>
      <c r="E3450" s="49" t="s">
        <v>25</v>
      </c>
      <c r="F3450" s="54">
        <v>0.15</v>
      </c>
      <c r="G3450" s="51">
        <f>G3448*F3450</f>
        <v>10447.35</v>
      </c>
    </row>
    <row r="3451" spans="1:7" x14ac:dyDescent="0.25">
      <c r="A3451" s="64"/>
      <c r="D3451" s="55"/>
      <c r="E3451" s="49" t="s">
        <v>26</v>
      </c>
      <c r="F3451" s="54">
        <v>0.05</v>
      </c>
      <c r="G3451" s="51">
        <f>G3448*F3451</f>
        <v>3482.4500000000003</v>
      </c>
    </row>
    <row r="3452" spans="1:7" x14ac:dyDescent="0.25">
      <c r="A3452" s="61"/>
      <c r="B3452" s="65"/>
      <c r="C3452" s="65"/>
      <c r="D3452" s="62"/>
      <c r="E3452" s="49" t="s">
        <v>27</v>
      </c>
      <c r="F3452" s="54">
        <v>0.05</v>
      </c>
      <c r="G3452" s="51">
        <f>G3448*F3452</f>
        <v>3482.4500000000003</v>
      </c>
    </row>
    <row r="3453" spans="1:7" x14ac:dyDescent="0.25">
      <c r="A3453" s="61"/>
      <c r="B3453" s="62"/>
      <c r="C3453" s="62"/>
      <c r="D3453" s="62"/>
      <c r="E3453" s="62"/>
      <c r="F3453" s="62"/>
      <c r="G3453" s="63"/>
    </row>
    <row r="3454" spans="1:7" x14ac:dyDescent="0.25">
      <c r="A3454" s="219" t="s">
        <v>1517</v>
      </c>
      <c r="B3454" s="219"/>
      <c r="C3454" s="219"/>
      <c r="D3454" s="219"/>
      <c r="E3454" s="219"/>
      <c r="F3454" s="219"/>
      <c r="G3454" s="52">
        <f>G3448+G3450+G3451+G3452</f>
        <v>87061.25</v>
      </c>
    </row>
    <row r="3455" spans="1:7" x14ac:dyDescent="0.25">
      <c r="A3455" s="59"/>
      <c r="B3455" s="60"/>
      <c r="C3455" s="60"/>
      <c r="D3455" s="60"/>
      <c r="E3455" s="57"/>
      <c r="F3455" s="57"/>
      <c r="G3455" s="58"/>
    </row>
    <row r="3456" spans="1:7" x14ac:dyDescent="0.25">
      <c r="A3456" s="64"/>
      <c r="D3456" s="55"/>
      <c r="E3456" s="49" t="s">
        <v>102</v>
      </c>
      <c r="F3456" s="49" t="s">
        <v>103</v>
      </c>
      <c r="G3456" s="51">
        <f>G3452*19%</f>
        <v>661.66550000000007</v>
      </c>
    </row>
    <row r="3457" spans="1:9" x14ac:dyDescent="0.25">
      <c r="A3457" s="61"/>
      <c r="B3457" s="62"/>
      <c r="C3457" s="62"/>
      <c r="D3457" s="62"/>
      <c r="E3457" s="57"/>
      <c r="F3457" s="57"/>
      <c r="G3457" s="58"/>
    </row>
    <row r="3458" spans="1:9" x14ac:dyDescent="0.25">
      <c r="A3458" s="219" t="s">
        <v>104</v>
      </c>
      <c r="B3458" s="219"/>
      <c r="C3458" s="219"/>
      <c r="D3458" s="219"/>
      <c r="E3458" s="219"/>
      <c r="F3458" s="219"/>
      <c r="G3458" s="52">
        <f>G3456+G3454</f>
        <v>87722.915500000003</v>
      </c>
    </row>
    <row r="3460" spans="1:9" x14ac:dyDescent="0.25">
      <c r="A3460" s="74" t="s">
        <v>29</v>
      </c>
      <c r="B3460" s="226" t="s">
        <v>30</v>
      </c>
      <c r="C3460" s="226"/>
      <c r="D3460" s="74" t="s">
        <v>31</v>
      </c>
      <c r="E3460" s="74" t="s">
        <v>32</v>
      </c>
      <c r="F3460" s="74" t="s">
        <v>189</v>
      </c>
      <c r="G3460" s="74" t="s">
        <v>33</v>
      </c>
      <c r="H3460" s="105"/>
    </row>
    <row r="3461" spans="1:9" ht="21.75" customHeight="1" x14ac:dyDescent="0.25">
      <c r="A3461" s="50" t="str">
        <f>Presupuesto!B70</f>
        <v>055_OC</v>
      </c>
      <c r="B3461" s="229" t="str">
        <f>Presupuesto!C70</f>
        <v>PUNTO SANITARIO DE EN PVC Ø4". LONGITUD PROMEDIO 3 METROS</v>
      </c>
      <c r="C3461" s="230"/>
      <c r="D3461" s="50" t="s">
        <v>18</v>
      </c>
      <c r="E3461" s="107">
        <v>5</v>
      </c>
      <c r="F3461" s="50"/>
      <c r="G3461" s="51">
        <f>G3530</f>
        <v>307316.74050000001</v>
      </c>
      <c r="H3461" s="45"/>
    </row>
    <row r="3462" spans="1:9" x14ac:dyDescent="0.25">
      <c r="A3462" s="219" t="s">
        <v>34</v>
      </c>
      <c r="B3462" s="219"/>
      <c r="C3462" s="219"/>
      <c r="D3462" s="219"/>
      <c r="E3462" s="219"/>
      <c r="F3462" s="219"/>
      <c r="G3462" s="219"/>
    </row>
    <row r="3463" spans="1:9" x14ac:dyDescent="0.25">
      <c r="A3463" s="49" t="s">
        <v>35</v>
      </c>
      <c r="B3463" s="219" t="s">
        <v>36</v>
      </c>
      <c r="C3463" s="219"/>
      <c r="D3463" s="49" t="s">
        <v>37</v>
      </c>
      <c r="E3463" s="49" t="s">
        <v>38</v>
      </c>
      <c r="F3463" s="49" t="s">
        <v>39</v>
      </c>
      <c r="G3463" s="49" t="s">
        <v>40</v>
      </c>
    </row>
    <row r="3464" spans="1:9" x14ac:dyDescent="0.25">
      <c r="A3464" s="50" t="str">
        <f>Material!A467</f>
        <v>MA-466</v>
      </c>
      <c r="B3464" s="72" t="str">
        <f>IFERROR(VLOOKUP(A3464,Material!$A:$H,2,0),"-")</f>
        <v xml:space="preserve">TUBERÍA SANITARIA PVC 4" </v>
      </c>
      <c r="C3464" s="76"/>
      <c r="D3464" s="50" t="str">
        <f>IFERROR(VLOOKUP(A3464,Material!$A:$H,4,0),"-")</f>
        <v>ML</v>
      </c>
      <c r="E3464" s="107">
        <v>3</v>
      </c>
      <c r="F3464" s="51">
        <f>IFERROR(VLOOKUP(A3464,Material!$A:$H,3,0),"-")</f>
        <v>20560.8</v>
      </c>
      <c r="G3464" s="51">
        <f t="shared" ref="G3464" si="52">IFERROR(ROUNDUP(F3464*E3464,0),"-")</f>
        <v>61683</v>
      </c>
      <c r="H3464" s="106"/>
    </row>
    <row r="3465" spans="1:9" x14ac:dyDescent="0.25">
      <c r="A3465" s="50" t="str">
        <f>Material!A468</f>
        <v>MA-467</v>
      </c>
      <c r="B3465" s="72" t="str">
        <f>IFERROR(VLOOKUP(A3465,Material!$A:$H,2,0),"-")</f>
        <v xml:space="preserve">CODO SANITARIO PVC 4" </v>
      </c>
      <c r="C3465" s="76"/>
      <c r="D3465" s="50" t="str">
        <f>IFERROR(VLOOKUP(A3465,Material!$A:$H,4,0),"-")</f>
        <v>UN</v>
      </c>
      <c r="E3465" s="53">
        <v>1</v>
      </c>
      <c r="F3465" s="51">
        <f>IFERROR(VLOOKUP(A3465,Material!$A:$H,3,0),"-")</f>
        <v>10400</v>
      </c>
      <c r="G3465" s="51">
        <f>IFERROR(ROUNDUP(F3465*E3465,0),"-")</f>
        <v>10400</v>
      </c>
      <c r="H3465" s="106"/>
    </row>
    <row r="3466" spans="1:9" x14ac:dyDescent="0.25">
      <c r="A3466" s="50" t="str">
        <f>Material!A201</f>
        <v>MA-200</v>
      </c>
      <c r="B3466" s="72" t="str">
        <f>IFERROR(VLOOKUP(A3466,Material!$A:$H,2,0),"-")</f>
        <v>SOLDADURA PVC 1/4 GL</v>
      </c>
      <c r="C3466" s="76"/>
      <c r="D3466" s="50" t="str">
        <f>IFERROR(VLOOKUP(A3466,Material!$A:$H,4,0),"-")</f>
        <v>GALÓN</v>
      </c>
      <c r="E3466" s="107">
        <f>1/60</f>
        <v>1.6666666666666666E-2</v>
      </c>
      <c r="F3466" s="51">
        <f>IFERROR(VLOOKUP(A3466,Material!$A:$H,3,0),"-")</f>
        <v>88270</v>
      </c>
      <c r="G3466" s="51">
        <f>IFERROR(ROUNDUP(F3466*E3466,0),"-")</f>
        <v>1472</v>
      </c>
      <c r="H3466" s="106"/>
    </row>
    <row r="3467" spans="1:9" x14ac:dyDescent="0.25">
      <c r="A3467" s="50" t="str">
        <f>Material!A253</f>
        <v>MA-252</v>
      </c>
      <c r="B3467" s="72" t="str">
        <f>IFERROR(VLOOKUP(A3467,Material!$A:$H,2,0),"-")</f>
        <v>LIMPIADOR DE TUBERÍA PVC 1/4 GL</v>
      </c>
      <c r="C3467" s="76"/>
      <c r="D3467" s="50" t="str">
        <f>IFERROR(VLOOKUP(A3467,Material!$A:$H,4,0),"-")</f>
        <v>GALÓN</v>
      </c>
      <c r="E3467" s="107">
        <f>1/60</f>
        <v>1.6666666666666666E-2</v>
      </c>
      <c r="F3467" s="51">
        <f>IFERROR(VLOOKUP(A3467,Material!$A:$H,3,0),"-")</f>
        <v>60970</v>
      </c>
      <c r="G3467" s="51">
        <f t="shared" ref="G3467:G3471" si="53">IFERROR(ROUNDUP(F3467*E3467,0),"-")</f>
        <v>1017</v>
      </c>
      <c r="H3467" s="106"/>
    </row>
    <row r="3468" spans="1:9" x14ac:dyDescent="0.25">
      <c r="A3468" s="50" t="str">
        <f>Material!A484</f>
        <v>MA-483</v>
      </c>
      <c r="B3468" s="72" t="str">
        <f>IFERROR(VLOOKUP(A3468,Material!$A:$H,2,0),"-")</f>
        <v>TEE SANITARIA</v>
      </c>
      <c r="C3468" s="76"/>
      <c r="D3468" s="50" t="str">
        <f>IFERROR(VLOOKUP(A3468,Material!$A:$H,4,0),"-")</f>
        <v>UN</v>
      </c>
      <c r="E3468" s="107">
        <v>1</v>
      </c>
      <c r="F3468" s="51">
        <f>IFERROR(VLOOKUP(A3468,Material!$A:$H,3,0),"-")</f>
        <v>27170</v>
      </c>
      <c r="G3468" s="51">
        <f t="shared" si="53"/>
        <v>27170</v>
      </c>
      <c r="H3468" s="106"/>
    </row>
    <row r="3469" spans="1:9" x14ac:dyDescent="0.25">
      <c r="A3469" s="50" t="str">
        <f>Material!A664</f>
        <v>MA-663</v>
      </c>
      <c r="B3469" s="72" t="str">
        <f>IFERROR(VLOOKUP(A3469,Material!$A:$H,2,0),"-")</f>
        <v>YEE SANITARIA PVC REDUCIDA 4" x 2"</v>
      </c>
      <c r="C3469" s="76"/>
      <c r="D3469" s="50" t="str">
        <f>IFERROR(VLOOKUP(A3469,Material!$A:$H,4,0),"-")</f>
        <v>UN</v>
      </c>
      <c r="E3469" s="107">
        <v>1</v>
      </c>
      <c r="F3469" s="51">
        <f>IFERROR(VLOOKUP(A3469,Material!$A:$H,3,0),"-")</f>
        <v>38099.1</v>
      </c>
      <c r="G3469" s="51">
        <f t="shared" si="53"/>
        <v>38100</v>
      </c>
      <c r="H3469" s="106"/>
    </row>
    <row r="3470" spans="1:9" x14ac:dyDescent="0.25">
      <c r="A3470" s="50"/>
      <c r="B3470" s="72" t="str">
        <f>IFERROR(VLOOKUP(A3470,Material!$A:$H,2,0),"-")</f>
        <v>-</v>
      </c>
      <c r="C3470" s="76"/>
      <c r="D3470" s="50" t="str">
        <f>IFERROR(VLOOKUP(A3470,Material!$A:$H,4,0),"-")</f>
        <v>-</v>
      </c>
      <c r="E3470" s="107"/>
      <c r="F3470" s="51" t="str">
        <f>IFERROR(VLOOKUP(A3470,Material!$A:$H,3,0),"-")</f>
        <v>-</v>
      </c>
      <c r="G3470" s="51" t="str">
        <f t="shared" si="53"/>
        <v>-</v>
      </c>
      <c r="H3470" s="106"/>
    </row>
    <row r="3471" spans="1:9" x14ac:dyDescent="0.25">
      <c r="A3471" s="50"/>
      <c r="B3471" s="72" t="str">
        <f>IFERROR(VLOOKUP(A3471,Material!$A:$H,2,0),"-")</f>
        <v>-</v>
      </c>
      <c r="C3471" s="76"/>
      <c r="D3471" s="50" t="str">
        <f>IFERROR(VLOOKUP(A3471,Material!$A:$H,4,0),"-")</f>
        <v>-</v>
      </c>
      <c r="E3471" s="107"/>
      <c r="F3471" s="51" t="str">
        <f>IFERROR(VLOOKUP(A3471,Material!$A:$H,3,0),"-")</f>
        <v>-</v>
      </c>
      <c r="G3471" s="51" t="str">
        <f t="shared" si="53"/>
        <v>-</v>
      </c>
      <c r="H3471" s="106"/>
    </row>
    <row r="3472" spans="1:9" x14ac:dyDescent="0.25">
      <c r="A3472" s="219" t="s">
        <v>41</v>
      </c>
      <c r="B3472" s="219"/>
      <c r="C3472" s="219"/>
      <c r="D3472" s="219"/>
      <c r="E3472" s="219"/>
      <c r="F3472" s="219"/>
      <c r="G3472" s="52">
        <f>SUM(G3464:G3471)</f>
        <v>139842</v>
      </c>
      <c r="I3472" s="104"/>
    </row>
    <row r="3473" spans="1:9" x14ac:dyDescent="0.25">
      <c r="A3473" s="56"/>
      <c r="B3473" s="57"/>
      <c r="C3473" s="57"/>
      <c r="D3473" s="57"/>
      <c r="E3473" s="57"/>
      <c r="F3473" s="57"/>
      <c r="G3473" s="58"/>
    </row>
    <row r="3474" spans="1:9" x14ac:dyDescent="0.25">
      <c r="A3474" s="219" t="s">
        <v>42</v>
      </c>
      <c r="B3474" s="219"/>
      <c r="C3474" s="219"/>
      <c r="D3474" s="219"/>
      <c r="E3474" s="219"/>
      <c r="F3474" s="219"/>
      <c r="G3474" s="219"/>
    </row>
    <row r="3475" spans="1:9" x14ac:dyDescent="0.25">
      <c r="A3475" s="49" t="s">
        <v>35</v>
      </c>
      <c r="B3475" s="49" t="s">
        <v>36</v>
      </c>
      <c r="C3475" s="49" t="s">
        <v>38</v>
      </c>
      <c r="D3475" s="49" t="s">
        <v>43</v>
      </c>
      <c r="E3475" s="49" t="s">
        <v>44</v>
      </c>
      <c r="F3475" s="49" t="s">
        <v>45</v>
      </c>
      <c r="G3475" s="49" t="s">
        <v>40</v>
      </c>
    </row>
    <row r="3476" spans="1:9" x14ac:dyDescent="0.25">
      <c r="A3476" s="50" t="s">
        <v>319</v>
      </c>
      <c r="B3476" s="68" t="str">
        <f>VLOOKUP(A3476,'Componentes APUs'!$H$1:$L$25,2,0)</f>
        <v>Ingeniero Residente de Obra</v>
      </c>
      <c r="C3476" s="93">
        <v>0</v>
      </c>
      <c r="D3476" s="50">
        <f>VLOOKUP(A3476,'Componentes APUs'!$H$1:$L$25,3,0)</f>
        <v>4</v>
      </c>
      <c r="E3476" s="51">
        <f>VLOOKUP(A3476,'Componentes APUs'!$H$1:$L$25,4,0)</f>
        <v>271142.85714285716</v>
      </c>
      <c r="F3476" s="51">
        <f>VLOOKUP(A3476,'Componentes APUs'!$H$1:$L$25,5,0)</f>
        <v>162685.71428571429</v>
      </c>
      <c r="G3476" s="51">
        <f>ROUNDUP((E3476+F3476)*C3476/E3461,0)</f>
        <v>0</v>
      </c>
      <c r="H3476" s="66"/>
    </row>
    <row r="3477" spans="1:9" x14ac:dyDescent="0.25">
      <c r="A3477" s="50" t="s">
        <v>320</v>
      </c>
      <c r="B3477" s="68" t="str">
        <f>VLOOKUP(A3477,'Componentes APUs'!$H$1:$L$25,2,0)</f>
        <v>Tecnico Supervisor</v>
      </c>
      <c r="C3477" s="93">
        <v>0</v>
      </c>
      <c r="D3477" s="50">
        <f>VLOOKUP(A3477,'Componentes APUs'!$H$1:$L$25,3,0)</f>
        <v>2.2999999999999998</v>
      </c>
      <c r="E3477" s="51">
        <f>VLOOKUP(A3477,'Componentes APUs'!$H$1:$L$25,4,0)</f>
        <v>155907.14285714284</v>
      </c>
      <c r="F3477" s="51">
        <f>VLOOKUP(A3477,'Componentes APUs'!$H$1:$L$25,5,0)</f>
        <v>93544.285714285696</v>
      </c>
      <c r="G3477" s="51">
        <f>ROUNDUP((E3477+F3477)*C3477/E3461,0)</f>
        <v>0</v>
      </c>
    </row>
    <row r="3478" spans="1:9" x14ac:dyDescent="0.25">
      <c r="A3478" s="50" t="s">
        <v>54</v>
      </c>
      <c r="B3478" s="68" t="str">
        <f>VLOOKUP(A3478,'Componentes APUs'!$H$1:$L$25,2,0)</f>
        <v>Maestro de obra civil</v>
      </c>
      <c r="C3478" s="93">
        <v>0</v>
      </c>
      <c r="D3478" s="50">
        <f>VLOOKUP(A3478,'Componentes APUs'!$H$1:$L$25,3,0)</f>
        <v>2.5</v>
      </c>
      <c r="E3478" s="51">
        <f>VLOOKUP(A3478,'Componentes APUs'!$H$1:$L$25,4,0)</f>
        <v>169464.28571428571</v>
      </c>
      <c r="F3478" s="51">
        <f>VLOOKUP(A3478,'Componentes APUs'!$H$1:$L$25,5,0)</f>
        <v>101678.57142857142</v>
      </c>
      <c r="G3478" s="51">
        <f>ROUNDUP((E3478+F3478)*C3478/E3461,0)</f>
        <v>0</v>
      </c>
    </row>
    <row r="3479" spans="1:9" x14ac:dyDescent="0.25">
      <c r="A3479" s="50" t="s">
        <v>1110</v>
      </c>
      <c r="B3479" s="68" t="str">
        <f>VLOOKUP(A3479,'Componentes APUs'!$H$1:$L$25,2,0)</f>
        <v>Oficial de Obra Civil</v>
      </c>
      <c r="C3479" s="93">
        <v>1</v>
      </c>
      <c r="D3479" s="50">
        <f>VLOOKUP(A3479,'Componentes APUs'!$H$1:$L$25,3,0)</f>
        <v>1.5</v>
      </c>
      <c r="E3479" s="51">
        <f>VLOOKUP(A3479,'Componentes APUs'!$H$1:$L$25,4,0)</f>
        <v>115964.28571428571</v>
      </c>
      <c r="F3479" s="51">
        <f>VLOOKUP(A3479,'Componentes APUs'!$H$1:$L$25,5,0)</f>
        <v>69578.57142857142</v>
      </c>
      <c r="G3479" s="51">
        <f>ROUNDUP((E3479+F3479)*C3479/E3461,0)</f>
        <v>37109</v>
      </c>
    </row>
    <row r="3480" spans="1:9" x14ac:dyDescent="0.25">
      <c r="A3480" s="50" t="s">
        <v>50</v>
      </c>
      <c r="B3480" s="68" t="str">
        <f>VLOOKUP(A3480,'Componentes APUs'!$H$1:$L$25,2,0)</f>
        <v>Profesional en SST</v>
      </c>
      <c r="C3480" s="93">
        <v>0.25</v>
      </c>
      <c r="D3480" s="50">
        <f>VLOOKUP(A3480,'Componentes APUs'!$H$1:$L$25,3,0)</f>
        <v>2.5</v>
      </c>
      <c r="E3480" s="51">
        <f>VLOOKUP(A3480,'Componentes APUs'!$H$1:$L$25,4,0)</f>
        <v>169464.28571428571</v>
      </c>
      <c r="F3480" s="51">
        <f>VLOOKUP(A3480,'Componentes APUs'!$H$1:$L$25,5,0)</f>
        <v>101678.57142857142</v>
      </c>
      <c r="G3480" s="51">
        <f>ROUNDUP((E3480+F3480)*C3480/E3461,0)</f>
        <v>13558</v>
      </c>
    </row>
    <row r="3481" spans="1:9" x14ac:dyDescent="0.25">
      <c r="A3481" s="50" t="s">
        <v>1109</v>
      </c>
      <c r="B3481" s="68" t="str">
        <f>VLOOKUP(A3481,'Componentes APUs'!$H$1:$L$25,2,0)</f>
        <v>Ayudante de Obra Civil</v>
      </c>
      <c r="C3481" s="93">
        <v>1</v>
      </c>
      <c r="D3481" s="50">
        <f>VLOOKUP(A3481,'Componentes APUs'!$H$1:$L$25,3,0)</f>
        <v>1</v>
      </c>
      <c r="E3481" s="51">
        <f>VLOOKUP(A3481,'Componentes APUs'!$H$1:$L$25,4,0)</f>
        <v>77309.523809523816</v>
      </c>
      <c r="F3481" s="51">
        <f>VLOOKUP(A3481,'Componentes APUs'!$H$1:$L$25,5,0)</f>
        <v>46385.71428571429</v>
      </c>
      <c r="G3481" s="51">
        <f>ROUNDUP((E3481+F3481)*C3481/E3461,0)</f>
        <v>24740</v>
      </c>
    </row>
    <row r="3482" spans="1:9" x14ac:dyDescent="0.25">
      <c r="A3482" s="219" t="s">
        <v>56</v>
      </c>
      <c r="B3482" s="219"/>
      <c r="C3482" s="219"/>
      <c r="D3482" s="219"/>
      <c r="E3482" s="219"/>
      <c r="F3482" s="219"/>
      <c r="G3482" s="52">
        <f>SUM(G3476:G3481)</f>
        <v>75407</v>
      </c>
    </row>
    <row r="3483" spans="1:9" x14ac:dyDescent="0.25">
      <c r="A3483" s="56"/>
      <c r="B3483" s="57"/>
      <c r="C3483" s="57"/>
      <c r="D3483" s="57"/>
      <c r="E3483" s="57"/>
      <c r="F3483" s="57"/>
      <c r="G3483" s="58"/>
    </row>
    <row r="3484" spans="1:9" x14ac:dyDescent="0.25">
      <c r="A3484" s="219" t="s">
        <v>57</v>
      </c>
      <c r="B3484" s="219"/>
      <c r="C3484" s="219"/>
      <c r="D3484" s="219"/>
      <c r="E3484" s="219"/>
      <c r="F3484" s="219"/>
      <c r="G3484" s="219"/>
    </row>
    <row r="3485" spans="1:9" x14ac:dyDescent="0.25">
      <c r="A3485" s="49" t="s">
        <v>35</v>
      </c>
      <c r="B3485" s="219" t="s">
        <v>36</v>
      </c>
      <c r="C3485" s="219"/>
      <c r="D3485" s="49" t="s">
        <v>37</v>
      </c>
      <c r="E3485" s="49" t="s">
        <v>38</v>
      </c>
      <c r="F3485" s="49" t="s">
        <v>39</v>
      </c>
      <c r="G3485" s="49" t="s">
        <v>40</v>
      </c>
    </row>
    <row r="3486" spans="1:9" x14ac:dyDescent="0.25">
      <c r="A3486" s="50" t="s">
        <v>326</v>
      </c>
      <c r="B3486" s="220" t="str">
        <f>VLOOKUP(A3486,'Componentes APUs'!$S$1:$V$10,2,0)</f>
        <v>Juego Llaves</v>
      </c>
      <c r="C3486" s="220"/>
      <c r="D3486" s="50" t="s">
        <v>18</v>
      </c>
      <c r="E3486" s="50">
        <v>0</v>
      </c>
      <c r="F3486" s="51">
        <f>VLOOKUP(A3486,'Componentes APUs'!$S$1:$V$10,4,0)</f>
        <v>9167</v>
      </c>
      <c r="G3486" s="51">
        <f>ROUNDUP(F3486*((E3486/21)/E3461),0)</f>
        <v>0</v>
      </c>
      <c r="I3486" s="91"/>
    </row>
    <row r="3487" spans="1:9" x14ac:dyDescent="0.25">
      <c r="A3487" s="50" t="s">
        <v>58</v>
      </c>
      <c r="B3487" s="220" t="str">
        <f>VLOOKUP(A3487,'Componentes APUs'!$S$1:$V$10,2,0)</f>
        <v>Manila de servicio</v>
      </c>
      <c r="C3487" s="220"/>
      <c r="D3487" s="50" t="s">
        <v>18</v>
      </c>
      <c r="E3487" s="50">
        <v>0</v>
      </c>
      <c r="F3487" s="51">
        <f>VLOOKUP(A3487,'Componentes APUs'!$S$1:$V$10,4,0)</f>
        <v>2333</v>
      </c>
      <c r="G3487" s="51">
        <f>ROUNDUP(F3487*((E3487/21)/E3461),0)</f>
        <v>0</v>
      </c>
    </row>
    <row r="3488" spans="1:9" x14ac:dyDescent="0.25">
      <c r="A3488" s="50" t="s">
        <v>327</v>
      </c>
      <c r="B3488" s="220" t="str">
        <f>VLOOKUP(A3488,'Componentes APUs'!$S$1:$V$10,2,0)</f>
        <v>Tula portaherramientas</v>
      </c>
      <c r="C3488" s="220"/>
      <c r="D3488" s="50" t="s">
        <v>18</v>
      </c>
      <c r="E3488" s="50">
        <v>0</v>
      </c>
      <c r="F3488" s="51">
        <f>VLOOKUP(A3488,'Componentes APUs'!$S$1:$V$10,4,0)</f>
        <v>1250</v>
      </c>
      <c r="G3488" s="51">
        <f>ROUNDUP(F3488*((E3488/21)/E3461),0)</f>
        <v>0</v>
      </c>
    </row>
    <row r="3489" spans="1:9" x14ac:dyDescent="0.25">
      <c r="A3489" s="50" t="s">
        <v>60</v>
      </c>
      <c r="B3489" s="220" t="str">
        <f>VLOOKUP(A3489,'Componentes APUs'!$S$1:$V$10,2,0)</f>
        <v>Agarradoras</v>
      </c>
      <c r="C3489" s="220"/>
      <c r="D3489" s="50" t="s">
        <v>18</v>
      </c>
      <c r="E3489" s="50">
        <v>0</v>
      </c>
      <c r="F3489" s="51">
        <f>VLOOKUP(A3489,'Componentes APUs'!$S$1:$V$10,4,0)</f>
        <v>125000</v>
      </c>
      <c r="G3489" s="51">
        <f>ROUNDUP(F3489*((E3489/21)/E3461),0)</f>
        <v>0</v>
      </c>
    </row>
    <row r="3490" spans="1:9" x14ac:dyDescent="0.25">
      <c r="A3490" s="50" t="s">
        <v>62</v>
      </c>
      <c r="B3490" s="220" t="str">
        <f>VLOOKUP(A3490,'Componentes APUs'!$S$1:$V$10,2,0)</f>
        <v>Templadoras</v>
      </c>
      <c r="C3490" s="220"/>
      <c r="D3490" s="50" t="s">
        <v>18</v>
      </c>
      <c r="E3490" s="50">
        <v>0</v>
      </c>
      <c r="F3490" s="51">
        <f>VLOOKUP(A3490,'Componentes APUs'!$S$1:$V$10,4,0)</f>
        <v>250000</v>
      </c>
      <c r="G3490" s="51">
        <f>ROUNDUP(F3490*((E3490/21)/E3461),0)</f>
        <v>0</v>
      </c>
    </row>
    <row r="3491" spans="1:9" x14ac:dyDescent="0.25">
      <c r="A3491" s="50" t="s">
        <v>328</v>
      </c>
      <c r="B3491" s="220" t="str">
        <f>VLOOKUP(A3491,'Componentes APUs'!$S$1:$V$10,2,0)</f>
        <v>Herramienta Menor</v>
      </c>
      <c r="C3491" s="220"/>
      <c r="D3491" s="50" t="s">
        <v>18</v>
      </c>
      <c r="E3491" s="50">
        <v>2</v>
      </c>
      <c r="F3491" s="51">
        <f>VLOOKUP(A3491,'Componentes APUs'!$S$1:$V$10,4,0)</f>
        <v>75758</v>
      </c>
      <c r="G3491" s="51">
        <f>ROUNDUP(F3491*((E3491/21)/E3461),0)</f>
        <v>1444</v>
      </c>
    </row>
    <row r="3492" spans="1:9" x14ac:dyDescent="0.25">
      <c r="A3492" s="219" t="s">
        <v>69</v>
      </c>
      <c r="B3492" s="219"/>
      <c r="C3492" s="219"/>
      <c r="D3492" s="219"/>
      <c r="E3492" s="219"/>
      <c r="F3492" s="219"/>
      <c r="G3492" s="52">
        <f>SUM(G3486:G3491)</f>
        <v>1444</v>
      </c>
    </row>
    <row r="3493" spans="1:9" x14ac:dyDescent="0.25">
      <c r="A3493" s="56"/>
      <c r="B3493" s="57"/>
      <c r="C3493" s="57"/>
      <c r="D3493" s="57"/>
      <c r="E3493" s="57"/>
      <c r="F3493" s="57"/>
      <c r="G3493" s="58"/>
    </row>
    <row r="3494" spans="1:9" x14ac:dyDescent="0.25">
      <c r="A3494" s="219" t="s">
        <v>70</v>
      </c>
      <c r="B3494" s="219"/>
      <c r="C3494" s="219"/>
      <c r="D3494" s="219"/>
      <c r="E3494" s="219"/>
      <c r="F3494" s="219"/>
      <c r="G3494" s="219"/>
    </row>
    <row r="3495" spans="1:9" x14ac:dyDescent="0.25">
      <c r="A3495" s="49" t="s">
        <v>35</v>
      </c>
      <c r="B3495" s="219" t="s">
        <v>36</v>
      </c>
      <c r="C3495" s="219"/>
      <c r="D3495" s="49" t="s">
        <v>37</v>
      </c>
      <c r="E3495" s="49" t="s">
        <v>38</v>
      </c>
      <c r="F3495" s="49" t="s">
        <v>39</v>
      </c>
      <c r="G3495" s="49" t="s">
        <v>40</v>
      </c>
    </row>
    <row r="3496" spans="1:9" x14ac:dyDescent="0.25">
      <c r="A3496" s="50" t="s">
        <v>71</v>
      </c>
      <c r="B3496" s="71" t="str">
        <f>VLOOKUP(A3496,'Componentes APUs'!$A$1:$D$14,2,0)</f>
        <v>Camisa indigo sin partes metalicas</v>
      </c>
      <c r="C3496" s="71"/>
      <c r="D3496" s="50" t="str">
        <f>VLOOKUP(A3496,'Componentes APUs'!$A$1:$D$14,3,0)</f>
        <v>U</v>
      </c>
      <c r="E3496" s="50">
        <f>SUM(C3476:C3481)</f>
        <v>2.25</v>
      </c>
      <c r="F3496" s="51">
        <f>VLOOKUP(A3496,'Componentes APUs'!$A$1:$D$14,4,0)</f>
        <v>8585.8585858585866</v>
      </c>
      <c r="G3496" s="51">
        <f>ROUNDUP(F3496*(E3496/21)/E3461,0)</f>
        <v>184</v>
      </c>
      <c r="I3496" s="91"/>
    </row>
    <row r="3497" spans="1:9" x14ac:dyDescent="0.25">
      <c r="A3497" s="69" t="s">
        <v>73</v>
      </c>
      <c r="B3497" s="72" t="str">
        <f>VLOOKUP(A3497,'Componentes APUs'!$A$1:$D$14,2,0)</f>
        <v>Bota de seguridad dielectrica</v>
      </c>
      <c r="C3497" s="73"/>
      <c r="D3497" s="70" t="str">
        <f>VLOOKUP(A3497,'Componentes APUs'!$A$1:$D$14,3,0)</f>
        <v>Par</v>
      </c>
      <c r="E3497" s="50">
        <f>SUM(C3476:C3481)</f>
        <v>2.25</v>
      </c>
      <c r="F3497" s="51">
        <f>VLOOKUP(A3497,'Componentes APUs'!$A$1:$D$14,4,0)</f>
        <v>7500</v>
      </c>
      <c r="G3497" s="51">
        <f>ROUNDUP(F3497*(E3497/21)/E3461,0)</f>
        <v>161</v>
      </c>
    </row>
    <row r="3498" spans="1:9" x14ac:dyDescent="0.25">
      <c r="A3498" s="50" t="s">
        <v>76</v>
      </c>
      <c r="B3498" s="72" t="str">
        <f>VLOOKUP(A3498,'Componentes APUs'!$A$1:$D$14,2,0)</f>
        <v>Casco dielectrico Tipo 1 Clase E con barbuquejo</v>
      </c>
      <c r="C3498" s="73"/>
      <c r="D3498" s="50" t="str">
        <f>VLOOKUP(A3498,'Componentes APUs'!$A$1:$D$14,3,0)</f>
        <v>U</v>
      </c>
      <c r="E3498" s="50">
        <f>C3476+C3477+C3479+C3480+C3481+IF(A3478&lt;&gt;"MO-3",C3478,0)</f>
        <v>2.25</v>
      </c>
      <c r="F3498" s="51">
        <f>VLOOKUP(A3498,'Componentes APUs'!$A$1:$D$14,4,0)</f>
        <v>10101.010101010101</v>
      </c>
      <c r="G3498" s="51">
        <f>ROUNDUP(F3498*(E3498/21)/E3461,0)</f>
        <v>217</v>
      </c>
    </row>
    <row r="3499" spans="1:9" x14ac:dyDescent="0.25">
      <c r="A3499" s="69" t="s">
        <v>77</v>
      </c>
      <c r="B3499" s="72" t="str">
        <f>VLOOKUP(A3499,'Componentes APUs'!$A$1:$D$14,2,0)</f>
        <v>Correa plastica y antiflama</v>
      </c>
      <c r="C3499" s="73"/>
      <c r="D3499" s="50" t="str">
        <f>VLOOKUP(A3499,'Componentes APUs'!$A$1:$D$14,3,0)</f>
        <v>U</v>
      </c>
      <c r="E3499" s="50">
        <f>SUM(C3476:C3481)</f>
        <v>2.25</v>
      </c>
      <c r="F3499" s="51">
        <f>VLOOKUP(A3499,'Componentes APUs'!$A$1:$D$14,4,0)</f>
        <v>3787.878787878788</v>
      </c>
      <c r="G3499" s="51">
        <f>ROUNDUP(F3499*(E3499/21)/E3461,0)</f>
        <v>82</v>
      </c>
    </row>
    <row r="3500" spans="1:9" x14ac:dyDescent="0.25">
      <c r="A3500" s="50" t="s">
        <v>79</v>
      </c>
      <c r="B3500" s="72" t="str">
        <f>VLOOKUP(A3500,'Componentes APUs'!$A$1:$D$14,2,0)</f>
        <v>Gafas protectoras filtro UV</v>
      </c>
      <c r="C3500" s="73"/>
      <c r="D3500" s="50" t="str">
        <f>VLOOKUP(A3500,'Componentes APUs'!$A$1:$D$14,3,0)</f>
        <v>U</v>
      </c>
      <c r="E3500" s="50">
        <f>SUM(C3476:C3481)</f>
        <v>2.25</v>
      </c>
      <c r="F3500" s="51">
        <f>VLOOKUP(A3500,'Componentes APUs'!$A$1:$D$14,4,0)</f>
        <v>2777.7777777777778</v>
      </c>
      <c r="G3500" s="51">
        <f>ROUNDUP(F3500*(E3500/21)/E3461,0)</f>
        <v>60</v>
      </c>
    </row>
    <row r="3501" spans="1:9" x14ac:dyDescent="0.25">
      <c r="A3501" s="69" t="s">
        <v>402</v>
      </c>
      <c r="B3501" s="72" t="str">
        <f>VLOOKUP(A3501,'Componentes APUs'!$A$1:$D$14,2,0)</f>
        <v>Bota de seguridad PVC dielectrica</v>
      </c>
      <c r="C3501" s="73"/>
      <c r="D3501" s="50" t="str">
        <f>VLOOKUP(A3501,'Componentes APUs'!$A$1:$D$14,3,0)</f>
        <v>Par</v>
      </c>
      <c r="E3501" s="50">
        <f>SUM(C3476:C3481)</f>
        <v>2.25</v>
      </c>
      <c r="F3501" s="51">
        <f>VLOOKUP(A3501,'Componentes APUs'!$A$1:$D$14,4,0)</f>
        <v>2916.6666666666665</v>
      </c>
      <c r="G3501" s="51">
        <f>ROUNDUP(F3501*(E3501/21)/E3461,0)</f>
        <v>63</v>
      </c>
    </row>
    <row r="3502" spans="1:9" x14ac:dyDescent="0.25">
      <c r="A3502" s="50" t="s">
        <v>403</v>
      </c>
      <c r="B3502" s="72" t="str">
        <f>VLOOKUP(A3502,'Componentes APUs'!$A$1:$D$14,2,0)</f>
        <v>Capuchon</v>
      </c>
      <c r="C3502" s="73"/>
      <c r="D3502" s="50" t="str">
        <f>VLOOKUP(A3502,'Componentes APUs'!$A$1:$D$14,3,0)</f>
        <v>U</v>
      </c>
      <c r="E3502" s="50">
        <f>SUM(C3476:C3481)</f>
        <v>2.25</v>
      </c>
      <c r="F3502" s="51">
        <f>VLOOKUP(A3502,'Componentes APUs'!$A$1:$D$14,4,0)</f>
        <v>2525.2525252525252</v>
      </c>
      <c r="G3502" s="51">
        <f>ROUNDUP(F3502*(E3502/21)/E3461,0)</f>
        <v>55</v>
      </c>
    </row>
    <row r="3503" spans="1:9" x14ac:dyDescent="0.25">
      <c r="A3503" s="69" t="s">
        <v>81</v>
      </c>
      <c r="B3503" s="72" t="str">
        <f>VLOOKUP(A3503,'Componentes APUs'!$A$1:$D$14,2,0)</f>
        <v>Guantes Protectores  - ingeniero reforzados</v>
      </c>
      <c r="C3503" s="73"/>
      <c r="D3503" s="50" t="str">
        <f>VLOOKUP(A3503,'Componentes APUs'!$A$1:$D$14,3,0)</f>
        <v>Par</v>
      </c>
      <c r="E3503" s="50">
        <f>C3478+C3479+C3481</f>
        <v>2</v>
      </c>
      <c r="F3503" s="51">
        <f>VLOOKUP(A3503,'Componentes APUs'!$A$1:$D$14,4,0)</f>
        <v>2525.2525252525252</v>
      </c>
      <c r="G3503" s="51">
        <f>ROUNDUP(F3503*(E3503/21)/E3461,0)</f>
        <v>49</v>
      </c>
    </row>
    <row r="3504" spans="1:9" x14ac:dyDescent="0.25">
      <c r="A3504" s="50" t="s">
        <v>83</v>
      </c>
      <c r="B3504" s="72" t="str">
        <f>VLOOKUP(A3504,'Componentes APUs'!$A$1:$D$14,2,0)</f>
        <v>Impermeable (pantalon camisa)</v>
      </c>
      <c r="C3504" s="73"/>
      <c r="D3504" s="50" t="str">
        <f>VLOOKUP(A3504,'Componentes APUs'!$A$1:$D$14,3,0)</f>
        <v>U</v>
      </c>
      <c r="E3504" s="50">
        <f>SUM(C3476:C3481)</f>
        <v>2.25</v>
      </c>
      <c r="F3504" s="51">
        <f>VLOOKUP(A3504,'Componentes APUs'!$A$1:$D$14,4,0)</f>
        <v>3750</v>
      </c>
      <c r="G3504" s="51">
        <f>ROUNDUP(F3504*(E3504/21)/E3461,0)</f>
        <v>81</v>
      </c>
    </row>
    <row r="3505" spans="1:7" x14ac:dyDescent="0.25">
      <c r="A3505" s="69" t="s">
        <v>85</v>
      </c>
      <c r="B3505" s="72" t="str">
        <f>VLOOKUP(A3505,'Componentes APUs'!$A$1:$D$14,2,0)</f>
        <v>Jean Dielectrico</v>
      </c>
      <c r="C3505" s="73"/>
      <c r="D3505" s="50" t="str">
        <f>VLOOKUP(A3505,'Componentes APUs'!$A$1:$D$14,3,0)</f>
        <v>U</v>
      </c>
      <c r="E3505" s="50">
        <f>SUM(C3476:C3481)</f>
        <v>2.25</v>
      </c>
      <c r="F3505" s="51">
        <f>VLOOKUP(A3505,'Componentes APUs'!$A$1:$D$14,4,0)</f>
        <v>7575.757575757576</v>
      </c>
      <c r="G3505" s="51">
        <f>ROUNDUP(F3505*(E3505/21)/E3461,0)</f>
        <v>163</v>
      </c>
    </row>
    <row r="3506" spans="1:7" x14ac:dyDescent="0.25">
      <c r="A3506" s="50" t="s">
        <v>87</v>
      </c>
      <c r="B3506" s="72" t="str">
        <f>VLOOKUP(A3506,'Componentes APUs'!$A$1:$D$14,2,0)</f>
        <v>Casco dielectrico Tipo 2 Clase E con barboquejo</v>
      </c>
      <c r="C3506" s="73"/>
      <c r="D3506" s="50" t="str">
        <f>VLOOKUP(A3506,'Componentes APUs'!$A$1:$D$14,3,0)</f>
        <v>U</v>
      </c>
      <c r="E3506" s="53">
        <f>IF(A3478="MO-3",C3478,0)</f>
        <v>0</v>
      </c>
      <c r="F3506" s="51">
        <f>VLOOKUP(A3506,'Componentes APUs'!$A$1:$D$14,4,0)</f>
        <v>7500</v>
      </c>
      <c r="G3506" s="51">
        <f>ROUNDUP(F3506*(E3506/21)/E3461,0)</f>
        <v>0</v>
      </c>
    </row>
    <row r="3507" spans="1:7" x14ac:dyDescent="0.25">
      <c r="A3507" s="69" t="s">
        <v>89</v>
      </c>
      <c r="B3507" s="72" t="str">
        <f>VLOOKUP(A3507,'Componentes APUs'!$A$1:$D$14,2,0)</f>
        <v>Kit de rescate para trabajo en alturas</v>
      </c>
      <c r="C3507" s="73"/>
      <c r="D3507" s="50" t="str">
        <f>VLOOKUP(A3507,'Componentes APUs'!$A$1:$D$14,3,0)</f>
        <v>U</v>
      </c>
      <c r="E3507" s="50">
        <f>IF(AND(A3478="MO-3",C3478=2),1,0)</f>
        <v>0</v>
      </c>
      <c r="F3507" s="51">
        <f>VLOOKUP(A3507,'Componentes APUs'!$A$1:$D$14,4,0)</f>
        <v>37500</v>
      </c>
      <c r="G3507" s="51">
        <f>ROUNDUP(F3507*(E3507/21)/E3461,0)</f>
        <v>0</v>
      </c>
    </row>
    <row r="3508" spans="1:7" x14ac:dyDescent="0.25">
      <c r="A3508" s="50" t="s">
        <v>91</v>
      </c>
      <c r="B3508" s="72" t="str">
        <f>VLOOKUP(A3508,'Componentes APUs'!$A$1:$D$14,2,0)</f>
        <v>Equipo completo para trabajo en alturas con pretales (Arnes dielectrico, 1 mosqueton de seguridad, tie off dielectrico, eslinga de posicionamiento, juego de pretales)</v>
      </c>
      <c r="C3508" s="73"/>
      <c r="D3508" s="50" t="str">
        <f>VLOOKUP(A3508,'Componentes APUs'!$A$1:$D$14,3,0)</f>
        <v>U</v>
      </c>
      <c r="E3508" s="50">
        <f>IF(A3478="MO-3",C3478,0)</f>
        <v>0</v>
      </c>
      <c r="F3508" s="51">
        <f>VLOOKUP(A3508,'Componentes APUs'!$A$1:$D$14,4,0)</f>
        <v>26041.666666666668</v>
      </c>
      <c r="G3508" s="51">
        <f>ROUNDUP(F3508*(E3508/21)/E3461,0)</f>
        <v>0</v>
      </c>
    </row>
    <row r="3509" spans="1:7" x14ac:dyDescent="0.25">
      <c r="A3509" s="219" t="s">
        <v>95</v>
      </c>
      <c r="B3509" s="219"/>
      <c r="C3509" s="219"/>
      <c r="D3509" s="219"/>
      <c r="E3509" s="219"/>
      <c r="F3509" s="219"/>
      <c r="G3509" s="52">
        <f>SUM(G3496:G3508)</f>
        <v>1115</v>
      </c>
    </row>
    <row r="3510" spans="1:7" x14ac:dyDescent="0.25">
      <c r="A3510" s="56"/>
      <c r="B3510" s="57"/>
      <c r="C3510" s="57"/>
      <c r="D3510" s="57"/>
      <c r="E3510" s="57"/>
      <c r="F3510" s="57"/>
      <c r="G3510" s="58"/>
    </row>
    <row r="3511" spans="1:7" x14ac:dyDescent="0.25">
      <c r="A3511" s="219" t="s">
        <v>96</v>
      </c>
      <c r="B3511" s="219"/>
      <c r="C3511" s="219"/>
      <c r="D3511" s="219"/>
      <c r="E3511" s="219"/>
      <c r="F3511" s="219"/>
      <c r="G3511" s="219"/>
    </row>
    <row r="3512" spans="1:7" x14ac:dyDescent="0.25">
      <c r="A3512" s="49" t="s">
        <v>35</v>
      </c>
      <c r="B3512" s="225" t="s">
        <v>36</v>
      </c>
      <c r="C3512" s="225"/>
      <c r="D3512" s="49" t="s">
        <v>37</v>
      </c>
      <c r="E3512" s="49" t="s">
        <v>38</v>
      </c>
      <c r="F3512" s="49" t="s">
        <v>39</v>
      </c>
      <c r="G3512" s="49" t="s">
        <v>40</v>
      </c>
    </row>
    <row r="3513" spans="1:7" x14ac:dyDescent="0.25">
      <c r="A3513" s="69" t="s">
        <v>97</v>
      </c>
      <c r="B3513" s="72" t="str">
        <f>VLOOKUP(A3513,'Componentes APUs'!$N$1:$Q$30,2,0)</f>
        <v>Camioneta</v>
      </c>
      <c r="C3513" s="73"/>
      <c r="D3513" s="70" t="str">
        <f>VLOOKUP(A3513,'Componentes APUs'!$N$1:$Q$30,3,0)</f>
        <v>U</v>
      </c>
      <c r="E3513" s="50">
        <v>0.5</v>
      </c>
      <c r="F3513" s="51">
        <f>VLOOKUP(A3513,'Componentes APUs'!$N$1:$Q$30,4,0)</f>
        <v>5500000</v>
      </c>
      <c r="G3513" s="51">
        <f>IFERROR(ROUNDUP(F3513*(E3513/21)/E3461,0),"-")</f>
        <v>26191</v>
      </c>
    </row>
    <row r="3514" spans="1:7" x14ac:dyDescent="0.25">
      <c r="A3514" s="50" t="s">
        <v>321</v>
      </c>
      <c r="B3514" s="72" t="str">
        <f>VLOOKUP(A3514,'Componentes APUs'!$N$1:$Q$30,2,0)</f>
        <v>Grúa Hidráulica</v>
      </c>
      <c r="C3514" s="73"/>
      <c r="D3514" s="70" t="str">
        <f>VLOOKUP(A3514,'Componentes APUs'!$N$1:$Q$30,3,0)</f>
        <v>U</v>
      </c>
      <c r="E3514" s="50">
        <v>0</v>
      </c>
      <c r="F3514" s="51">
        <f>VLOOKUP(A3514,'Componentes APUs'!$N$1:$Q$30,4,0)</f>
        <v>21000000</v>
      </c>
      <c r="G3514" s="51">
        <f>IFERROR(ROUNDUP(F3514*(E3514/21)/E3461,0),"-")</f>
        <v>0</v>
      </c>
    </row>
    <row r="3515" spans="1:7" x14ac:dyDescent="0.25">
      <c r="A3515" s="69" t="s">
        <v>1379</v>
      </c>
      <c r="B3515" s="72" t="str">
        <f>VLOOKUP(A3515,'Componentes APUs'!$N$1:$Q$30,2,0)</f>
        <v>Dumper de descarga Frontal 2T</v>
      </c>
      <c r="C3515" s="73"/>
      <c r="D3515" s="70" t="str">
        <f>VLOOKUP(A3515,'Componentes APUs'!$N$1:$Q$30,3,0)</f>
        <v>U</v>
      </c>
      <c r="E3515" s="50">
        <v>0</v>
      </c>
      <c r="F3515" s="51">
        <f>VLOOKUP(A3515,'Componentes APUs'!$N$1:$Q$30,4,0)</f>
        <v>4438716.24</v>
      </c>
      <c r="G3515" s="51">
        <f>IFERROR(ROUNDUP(F3515*(E3515/21)/E3461,0),"-")</f>
        <v>0</v>
      </c>
    </row>
    <row r="3516" spans="1:7" x14ac:dyDescent="0.25">
      <c r="A3516" s="50" t="s">
        <v>323</v>
      </c>
      <c r="B3516" s="72" t="str">
        <f>VLOOKUP(A3516,'Componentes APUs'!$N$1:$Q$30,2,0)</f>
        <v>Volqueta</v>
      </c>
      <c r="C3516" s="73"/>
      <c r="D3516" s="70" t="str">
        <f>VLOOKUP(A3516,'Componentes APUs'!$N$1:$Q$30,3,0)</f>
        <v>U</v>
      </c>
      <c r="E3516" s="50">
        <v>0</v>
      </c>
      <c r="F3516" s="51">
        <f>VLOOKUP(A3516,'Componentes APUs'!$N$1:$Q$30,4,0)</f>
        <v>14828184</v>
      </c>
      <c r="G3516" s="51">
        <f>IFERROR(ROUNDUP(F3516*(E3516/21)/E3461,0),"-")</f>
        <v>0</v>
      </c>
    </row>
    <row r="3517" spans="1:7" x14ac:dyDescent="0.25">
      <c r="A3517" s="69" t="s">
        <v>324</v>
      </c>
      <c r="B3517" s="72" t="str">
        <f>VLOOKUP(A3517,'Componentes APUs'!$N$1:$Q$30,2,0)</f>
        <v>Retroexcavadora</v>
      </c>
      <c r="C3517" s="73"/>
      <c r="D3517" s="70" t="str">
        <f>VLOOKUP(A3517,'Componentes APUs'!$N$1:$Q$30,3,0)</f>
        <v>U</v>
      </c>
      <c r="E3517" s="50">
        <v>0</v>
      </c>
      <c r="F3517" s="51">
        <f>VLOOKUP(A3517,'Componentes APUs'!$N$1:$Q$30,4,0)</f>
        <v>46030656</v>
      </c>
      <c r="G3517" s="51">
        <f>IFERROR(ROUNDUP(F3517*(E3517/21)/E3461,0),"-")</f>
        <v>0</v>
      </c>
    </row>
    <row r="3518" spans="1:7" x14ac:dyDescent="0.25">
      <c r="A3518" s="219" t="s">
        <v>99</v>
      </c>
      <c r="B3518" s="219"/>
      <c r="C3518" s="219"/>
      <c r="D3518" s="219"/>
      <c r="E3518" s="219"/>
      <c r="F3518" s="219"/>
      <c r="G3518" s="52">
        <f>SUM(G3513:G3517)</f>
        <v>26191</v>
      </c>
    </row>
    <row r="3519" spans="1:7" x14ac:dyDescent="0.25">
      <c r="A3519" s="56"/>
      <c r="B3519" s="57"/>
      <c r="C3519" s="57"/>
      <c r="D3519" s="57"/>
      <c r="E3519" s="57"/>
      <c r="F3519" s="57"/>
      <c r="G3519" s="58"/>
    </row>
    <row r="3520" spans="1:7" x14ac:dyDescent="0.25">
      <c r="A3520" s="219" t="s">
        <v>1516</v>
      </c>
      <c r="B3520" s="219"/>
      <c r="C3520" s="219"/>
      <c r="D3520" s="219"/>
      <c r="E3520" s="219"/>
      <c r="F3520" s="219"/>
      <c r="G3520" s="52">
        <f>G3518+G3509+G3492+G3482+G3472</f>
        <v>243999</v>
      </c>
    </row>
    <row r="3521" spans="1:8" x14ac:dyDescent="0.25">
      <c r="A3521" s="59"/>
      <c r="B3521" s="60"/>
      <c r="C3521" s="60"/>
      <c r="D3521" s="60"/>
      <c r="E3521" s="57"/>
      <c r="F3521" s="57"/>
      <c r="G3521" s="58"/>
    </row>
    <row r="3522" spans="1:8" x14ac:dyDescent="0.25">
      <c r="A3522" s="64"/>
      <c r="D3522" s="55"/>
      <c r="E3522" s="49" t="s">
        <v>25</v>
      </c>
      <c r="F3522" s="54">
        <v>0.15</v>
      </c>
      <c r="G3522" s="51">
        <f>G3520*F3522</f>
        <v>36599.85</v>
      </c>
    </row>
    <row r="3523" spans="1:8" x14ac:dyDescent="0.25">
      <c r="A3523" s="64"/>
      <c r="D3523" s="55"/>
      <c r="E3523" s="49" t="s">
        <v>26</v>
      </c>
      <c r="F3523" s="54">
        <v>0.05</v>
      </c>
      <c r="G3523" s="51">
        <f>G3520*F3523</f>
        <v>12199.95</v>
      </c>
    </row>
    <row r="3524" spans="1:8" x14ac:dyDescent="0.25">
      <c r="A3524" s="61"/>
      <c r="B3524" s="65"/>
      <c r="C3524" s="65"/>
      <c r="D3524" s="62"/>
      <c r="E3524" s="49" t="s">
        <v>27</v>
      </c>
      <c r="F3524" s="54">
        <v>0.05</v>
      </c>
      <c r="G3524" s="51">
        <f>G3520*F3524</f>
        <v>12199.95</v>
      </c>
    </row>
    <row r="3525" spans="1:8" x14ac:dyDescent="0.25">
      <c r="A3525" s="61"/>
      <c r="B3525" s="62"/>
      <c r="C3525" s="62"/>
      <c r="D3525" s="62"/>
      <c r="E3525" s="62"/>
      <c r="F3525" s="62"/>
      <c r="G3525" s="63"/>
    </row>
    <row r="3526" spans="1:8" x14ac:dyDescent="0.25">
      <c r="A3526" s="219" t="s">
        <v>1517</v>
      </c>
      <c r="B3526" s="219"/>
      <c r="C3526" s="219"/>
      <c r="D3526" s="219"/>
      <c r="E3526" s="219"/>
      <c r="F3526" s="219"/>
      <c r="G3526" s="52">
        <f>G3520+G3522+G3523+G3524</f>
        <v>304998.75</v>
      </c>
    </row>
    <row r="3527" spans="1:8" x14ac:dyDescent="0.25">
      <c r="A3527" s="59"/>
      <c r="B3527" s="60"/>
      <c r="C3527" s="60"/>
      <c r="D3527" s="60"/>
      <c r="E3527" s="57"/>
      <c r="F3527" s="57"/>
      <c r="G3527" s="58"/>
    </row>
    <row r="3528" spans="1:8" x14ac:dyDescent="0.25">
      <c r="A3528" s="64"/>
      <c r="D3528" s="55"/>
      <c r="E3528" s="49" t="s">
        <v>102</v>
      </c>
      <c r="F3528" s="49" t="s">
        <v>103</v>
      </c>
      <c r="G3528" s="51">
        <f>G3524*19%</f>
        <v>2317.9905000000003</v>
      </c>
    </row>
    <row r="3529" spans="1:8" x14ac:dyDescent="0.25">
      <c r="A3529" s="61"/>
      <c r="B3529" s="62"/>
      <c r="C3529" s="62"/>
      <c r="D3529" s="62"/>
      <c r="E3529" s="57"/>
      <c r="F3529" s="57"/>
      <c r="G3529" s="58"/>
    </row>
    <row r="3530" spans="1:8" x14ac:dyDescent="0.25">
      <c r="A3530" s="219" t="s">
        <v>104</v>
      </c>
      <c r="B3530" s="219"/>
      <c r="C3530" s="219"/>
      <c r="D3530" s="219"/>
      <c r="E3530" s="219"/>
      <c r="F3530" s="219"/>
      <c r="G3530" s="52">
        <f>G3528+G3526</f>
        <v>307316.74050000001</v>
      </c>
    </row>
    <row r="3532" spans="1:8" x14ac:dyDescent="0.25">
      <c r="A3532" s="74" t="s">
        <v>29</v>
      </c>
      <c r="B3532" s="226" t="s">
        <v>30</v>
      </c>
      <c r="C3532" s="226"/>
      <c r="D3532" s="74" t="s">
        <v>31</v>
      </c>
      <c r="E3532" s="74" t="s">
        <v>32</v>
      </c>
      <c r="F3532" s="74" t="s">
        <v>189</v>
      </c>
      <c r="G3532" s="74" t="s">
        <v>33</v>
      </c>
      <c r="H3532" s="105"/>
    </row>
    <row r="3533" spans="1:8" ht="27" customHeight="1" x14ac:dyDescent="0.25">
      <c r="A3533" s="50" t="str">
        <f>Presupuesto!B71</f>
        <v>056_OC</v>
      </c>
      <c r="B3533" s="229" t="str">
        <f>Presupuesto!C71</f>
        <v>PUNTO SANITARIO DE EN PVC Ø2". LONGITUD PROMEDIO 3 METROS</v>
      </c>
      <c r="C3533" s="230"/>
      <c r="D3533" s="50" t="s">
        <v>18</v>
      </c>
      <c r="E3533" s="107">
        <v>5</v>
      </c>
      <c r="F3533" s="50"/>
      <c r="G3533" s="51">
        <f>G3602</f>
        <v>243626.34449999998</v>
      </c>
      <c r="H3533" s="45"/>
    </row>
    <row r="3534" spans="1:8" x14ac:dyDescent="0.25">
      <c r="A3534" s="219" t="s">
        <v>34</v>
      </c>
      <c r="B3534" s="219"/>
      <c r="C3534" s="219"/>
      <c r="D3534" s="219"/>
      <c r="E3534" s="219"/>
      <c r="F3534" s="219"/>
      <c r="G3534" s="219"/>
    </row>
    <row r="3535" spans="1:8" x14ac:dyDescent="0.25">
      <c r="A3535" s="49" t="s">
        <v>35</v>
      </c>
      <c r="B3535" s="219" t="s">
        <v>36</v>
      </c>
      <c r="C3535" s="219"/>
      <c r="D3535" s="49" t="s">
        <v>37</v>
      </c>
      <c r="E3535" s="49" t="s">
        <v>38</v>
      </c>
      <c r="F3535" s="49" t="s">
        <v>39</v>
      </c>
      <c r="G3535" s="49" t="s">
        <v>40</v>
      </c>
    </row>
    <row r="3536" spans="1:8" x14ac:dyDescent="0.25">
      <c r="A3536" s="50" t="str">
        <f>Material!A78</f>
        <v>MA-77</v>
      </c>
      <c r="B3536" s="72" t="str">
        <f>IFERROR(VLOOKUP(A3536,Material!$A:$H,2,0),"-")</f>
        <v>TUBERÍA PVC 2"</v>
      </c>
      <c r="C3536" s="76"/>
      <c r="D3536" s="50" t="str">
        <f>IFERROR(VLOOKUP(A3536,Material!$A:$H,4,0),"-")</f>
        <v>ML</v>
      </c>
      <c r="E3536" s="107">
        <v>3</v>
      </c>
      <c r="F3536" s="51">
        <f>IFERROR(VLOOKUP(A3536,Material!$A:$H,3,0),"-")</f>
        <v>6261.666666666667</v>
      </c>
      <c r="G3536" s="51">
        <f t="shared" ref="G3536" si="54">IFERROR(ROUNDUP(F3536*E3536,0),"-")</f>
        <v>18785</v>
      </c>
      <c r="H3536" s="106"/>
    </row>
    <row r="3537" spans="1:9" x14ac:dyDescent="0.25">
      <c r="A3537" s="50" t="str">
        <f>Material!A465</f>
        <v>MA-464</v>
      </c>
      <c r="B3537" s="72" t="str">
        <f>IFERROR(VLOOKUP(A3537,Material!$A:$H,2,0),"-")</f>
        <v xml:space="preserve">CODO SANITARIO PVC 2" </v>
      </c>
      <c r="C3537" s="76"/>
      <c r="D3537" s="50" t="str">
        <f>IFERROR(VLOOKUP(A3537,Material!$A:$H,4,0),"-")</f>
        <v>UN</v>
      </c>
      <c r="E3537" s="53">
        <v>1</v>
      </c>
      <c r="F3537" s="51">
        <f>IFERROR(VLOOKUP(A3537,Material!$A:$H,3,0),"-")</f>
        <v>2730</v>
      </c>
      <c r="G3537" s="51">
        <f>IFERROR(ROUNDUP(F3537*E3537,0),"-")</f>
        <v>2730</v>
      </c>
      <c r="H3537" s="106"/>
    </row>
    <row r="3538" spans="1:9" x14ac:dyDescent="0.25">
      <c r="A3538" s="50" t="str">
        <f>Material!A201</f>
        <v>MA-200</v>
      </c>
      <c r="B3538" s="72" t="str">
        <f>IFERROR(VLOOKUP(A3538,Material!$A:$H,2,0),"-")</f>
        <v>SOLDADURA PVC 1/4 GL</v>
      </c>
      <c r="C3538" s="76"/>
      <c r="D3538" s="50" t="str">
        <f>IFERROR(VLOOKUP(A3538,Material!$A:$H,4,0),"-")</f>
        <v>GALÓN</v>
      </c>
      <c r="E3538" s="107">
        <f>1/60</f>
        <v>1.6666666666666666E-2</v>
      </c>
      <c r="F3538" s="51">
        <f>IFERROR(VLOOKUP(A3538,Material!$A:$H,3,0),"-")</f>
        <v>88270</v>
      </c>
      <c r="G3538" s="51">
        <f>IFERROR(ROUNDUP(F3538*E3538,0),"-")</f>
        <v>1472</v>
      </c>
      <c r="H3538" s="106"/>
    </row>
    <row r="3539" spans="1:9" x14ac:dyDescent="0.25">
      <c r="A3539" s="50" t="str">
        <f>Material!A253</f>
        <v>MA-252</v>
      </c>
      <c r="B3539" s="72" t="str">
        <f>IFERROR(VLOOKUP(A3539,Material!$A:$H,2,0),"-")</f>
        <v>LIMPIADOR DE TUBERÍA PVC 1/4 GL</v>
      </c>
      <c r="C3539" s="76"/>
      <c r="D3539" s="50" t="str">
        <f>IFERROR(VLOOKUP(A3539,Material!$A:$H,4,0),"-")</f>
        <v>GALÓN</v>
      </c>
      <c r="E3539" s="107">
        <f>1/60</f>
        <v>1.6666666666666666E-2</v>
      </c>
      <c r="F3539" s="51">
        <f>IFERROR(VLOOKUP(A3539,Material!$A:$H,3,0),"-")</f>
        <v>60970</v>
      </c>
      <c r="G3539" s="51">
        <f t="shared" ref="G3539:G3543" si="55">IFERROR(ROUNDUP(F3539*E3539,0),"-")</f>
        <v>1017</v>
      </c>
      <c r="H3539" s="106"/>
    </row>
    <row r="3540" spans="1:9" x14ac:dyDescent="0.25">
      <c r="A3540" s="50" t="str">
        <f>Material!A484</f>
        <v>MA-483</v>
      </c>
      <c r="B3540" s="72" t="str">
        <f>IFERROR(VLOOKUP(A3540,Material!$A:$H,2,0),"-")</f>
        <v>TEE SANITARIA</v>
      </c>
      <c r="C3540" s="76"/>
      <c r="D3540" s="50" t="str">
        <f>IFERROR(VLOOKUP(A3540,Material!$A:$H,4,0),"-")</f>
        <v>UN</v>
      </c>
      <c r="E3540" s="107">
        <v>1</v>
      </c>
      <c r="F3540" s="51">
        <f>IFERROR(VLOOKUP(A3540,Material!$A:$H,3,0),"-")</f>
        <v>27170</v>
      </c>
      <c r="G3540" s="51">
        <f t="shared" si="55"/>
        <v>27170</v>
      </c>
      <c r="H3540" s="106"/>
    </row>
    <row r="3541" spans="1:9" x14ac:dyDescent="0.25">
      <c r="A3541" s="50" t="str">
        <f>Material!A664</f>
        <v>MA-663</v>
      </c>
      <c r="B3541" s="72" t="str">
        <f>IFERROR(VLOOKUP(A3541,Material!$A:$H,2,0),"-")</f>
        <v>YEE SANITARIA PVC REDUCIDA 4" x 2"</v>
      </c>
      <c r="C3541" s="76"/>
      <c r="D3541" s="50" t="str">
        <f>IFERROR(VLOOKUP(A3541,Material!$A:$H,4,0),"-")</f>
        <v>UN</v>
      </c>
      <c r="E3541" s="107">
        <v>1</v>
      </c>
      <c r="F3541" s="51">
        <f>IFERROR(VLOOKUP(A3541,Material!$A:$H,3,0),"-")</f>
        <v>38099.1</v>
      </c>
      <c r="G3541" s="51">
        <f t="shared" si="55"/>
        <v>38100</v>
      </c>
      <c r="H3541" s="106"/>
    </row>
    <row r="3542" spans="1:9" x14ac:dyDescent="0.25">
      <c r="A3542" s="50"/>
      <c r="B3542" s="72" t="str">
        <f>IFERROR(VLOOKUP(A3542,Material!$A:$H,2,0),"-")</f>
        <v>-</v>
      </c>
      <c r="C3542" s="76"/>
      <c r="D3542" s="50" t="str">
        <f>IFERROR(VLOOKUP(A3542,Material!$A:$H,4,0),"-")</f>
        <v>-</v>
      </c>
      <c r="E3542" s="107"/>
      <c r="F3542" s="51" t="str">
        <f>IFERROR(VLOOKUP(A3542,Material!$A:$H,3,0),"-")</f>
        <v>-</v>
      </c>
      <c r="G3542" s="51" t="str">
        <f t="shared" si="55"/>
        <v>-</v>
      </c>
      <c r="H3542" s="106"/>
    </row>
    <row r="3543" spans="1:9" x14ac:dyDescent="0.25">
      <c r="A3543" s="50"/>
      <c r="B3543" s="72" t="str">
        <f>IFERROR(VLOOKUP(A3543,Material!$A:$H,2,0),"-")</f>
        <v>-</v>
      </c>
      <c r="C3543" s="76"/>
      <c r="D3543" s="50" t="str">
        <f>IFERROR(VLOOKUP(A3543,Material!$A:$H,4,0),"-")</f>
        <v>-</v>
      </c>
      <c r="E3543" s="107"/>
      <c r="F3543" s="51" t="str">
        <f>IFERROR(VLOOKUP(A3543,Material!$A:$H,3,0),"-")</f>
        <v>-</v>
      </c>
      <c r="G3543" s="51" t="str">
        <f t="shared" si="55"/>
        <v>-</v>
      </c>
      <c r="H3543" s="106"/>
    </row>
    <row r="3544" spans="1:9" x14ac:dyDescent="0.25">
      <c r="A3544" s="219" t="s">
        <v>41</v>
      </c>
      <c r="B3544" s="219"/>
      <c r="C3544" s="219"/>
      <c r="D3544" s="219"/>
      <c r="E3544" s="219"/>
      <c r="F3544" s="219"/>
      <c r="G3544" s="52">
        <f>SUM(G3536:G3543)</f>
        <v>89274</v>
      </c>
      <c r="I3544" s="104"/>
    </row>
    <row r="3545" spans="1:9" x14ac:dyDescent="0.25">
      <c r="A3545" s="56"/>
      <c r="B3545" s="57"/>
      <c r="C3545" s="57"/>
      <c r="D3545" s="57"/>
      <c r="E3545" s="57"/>
      <c r="F3545" s="57"/>
      <c r="G3545" s="58"/>
    </row>
    <row r="3546" spans="1:9" x14ac:dyDescent="0.25">
      <c r="A3546" s="219" t="s">
        <v>42</v>
      </c>
      <c r="B3546" s="219"/>
      <c r="C3546" s="219"/>
      <c r="D3546" s="219"/>
      <c r="E3546" s="219"/>
      <c r="F3546" s="219"/>
      <c r="G3546" s="219"/>
    </row>
    <row r="3547" spans="1:9" x14ac:dyDescent="0.25">
      <c r="A3547" s="49" t="s">
        <v>35</v>
      </c>
      <c r="B3547" s="49" t="s">
        <v>36</v>
      </c>
      <c r="C3547" s="49" t="s">
        <v>38</v>
      </c>
      <c r="D3547" s="49" t="s">
        <v>43</v>
      </c>
      <c r="E3547" s="49" t="s">
        <v>44</v>
      </c>
      <c r="F3547" s="49" t="s">
        <v>45</v>
      </c>
      <c r="G3547" s="49" t="s">
        <v>40</v>
      </c>
    </row>
    <row r="3548" spans="1:9" x14ac:dyDescent="0.25">
      <c r="A3548" s="50" t="s">
        <v>319</v>
      </c>
      <c r="B3548" s="68" t="str">
        <f>VLOOKUP(A3548,'Componentes APUs'!$H$1:$L$25,2,0)</f>
        <v>Ingeniero Residente de Obra</v>
      </c>
      <c r="C3548" s="93">
        <v>0</v>
      </c>
      <c r="D3548" s="50">
        <f>VLOOKUP(A3548,'Componentes APUs'!$H$1:$L$25,3,0)</f>
        <v>4</v>
      </c>
      <c r="E3548" s="51">
        <f>VLOOKUP(A3548,'Componentes APUs'!$H$1:$L$25,4,0)</f>
        <v>271142.85714285716</v>
      </c>
      <c r="F3548" s="51">
        <f>VLOOKUP(A3548,'Componentes APUs'!$H$1:$L$25,5,0)</f>
        <v>162685.71428571429</v>
      </c>
      <c r="G3548" s="51">
        <f>ROUNDUP((E3548+F3548)*C3548/E3533,0)</f>
        <v>0</v>
      </c>
      <c r="H3548" s="66"/>
    </row>
    <row r="3549" spans="1:9" x14ac:dyDescent="0.25">
      <c r="A3549" s="50" t="s">
        <v>320</v>
      </c>
      <c r="B3549" s="68" t="str">
        <f>VLOOKUP(A3549,'Componentes APUs'!$H$1:$L$25,2,0)</f>
        <v>Tecnico Supervisor</v>
      </c>
      <c r="C3549" s="93">
        <v>0</v>
      </c>
      <c r="D3549" s="50">
        <f>VLOOKUP(A3549,'Componentes APUs'!$H$1:$L$25,3,0)</f>
        <v>2.2999999999999998</v>
      </c>
      <c r="E3549" s="51">
        <f>VLOOKUP(A3549,'Componentes APUs'!$H$1:$L$25,4,0)</f>
        <v>155907.14285714284</v>
      </c>
      <c r="F3549" s="51">
        <f>VLOOKUP(A3549,'Componentes APUs'!$H$1:$L$25,5,0)</f>
        <v>93544.285714285696</v>
      </c>
      <c r="G3549" s="51">
        <f>ROUNDUP((E3549+F3549)*C3549/E3533,0)</f>
        <v>0</v>
      </c>
    </row>
    <row r="3550" spans="1:9" x14ac:dyDescent="0.25">
      <c r="A3550" s="50" t="s">
        <v>54</v>
      </c>
      <c r="B3550" s="68" t="str">
        <f>VLOOKUP(A3550,'Componentes APUs'!$H$1:$L$25,2,0)</f>
        <v>Maestro de obra civil</v>
      </c>
      <c r="C3550" s="93">
        <v>0</v>
      </c>
      <c r="D3550" s="50">
        <f>VLOOKUP(A3550,'Componentes APUs'!$H$1:$L$25,3,0)</f>
        <v>2.5</v>
      </c>
      <c r="E3550" s="51">
        <f>VLOOKUP(A3550,'Componentes APUs'!$H$1:$L$25,4,0)</f>
        <v>169464.28571428571</v>
      </c>
      <c r="F3550" s="51">
        <f>VLOOKUP(A3550,'Componentes APUs'!$H$1:$L$25,5,0)</f>
        <v>101678.57142857142</v>
      </c>
      <c r="G3550" s="51">
        <f>ROUNDUP((E3550+F3550)*C3550/E3533,0)</f>
        <v>0</v>
      </c>
    </row>
    <row r="3551" spans="1:9" x14ac:dyDescent="0.25">
      <c r="A3551" s="50" t="s">
        <v>1110</v>
      </c>
      <c r="B3551" s="68" t="str">
        <f>VLOOKUP(A3551,'Componentes APUs'!$H$1:$L$25,2,0)</f>
        <v>Oficial de Obra Civil</v>
      </c>
      <c r="C3551" s="93">
        <v>1</v>
      </c>
      <c r="D3551" s="50">
        <f>VLOOKUP(A3551,'Componentes APUs'!$H$1:$L$25,3,0)</f>
        <v>1.5</v>
      </c>
      <c r="E3551" s="51">
        <f>VLOOKUP(A3551,'Componentes APUs'!$H$1:$L$25,4,0)</f>
        <v>115964.28571428571</v>
      </c>
      <c r="F3551" s="51">
        <f>VLOOKUP(A3551,'Componentes APUs'!$H$1:$L$25,5,0)</f>
        <v>69578.57142857142</v>
      </c>
      <c r="G3551" s="51">
        <f>ROUNDUP((E3551+F3551)*C3551/E3533,0)</f>
        <v>37109</v>
      </c>
    </row>
    <row r="3552" spans="1:9" x14ac:dyDescent="0.25">
      <c r="A3552" s="50" t="s">
        <v>50</v>
      </c>
      <c r="B3552" s="68" t="str">
        <f>VLOOKUP(A3552,'Componentes APUs'!$H$1:$L$25,2,0)</f>
        <v>Profesional en SST</v>
      </c>
      <c r="C3552" s="93">
        <v>0.25</v>
      </c>
      <c r="D3552" s="50">
        <f>VLOOKUP(A3552,'Componentes APUs'!$H$1:$L$25,3,0)</f>
        <v>2.5</v>
      </c>
      <c r="E3552" s="51">
        <f>VLOOKUP(A3552,'Componentes APUs'!$H$1:$L$25,4,0)</f>
        <v>169464.28571428571</v>
      </c>
      <c r="F3552" s="51">
        <f>VLOOKUP(A3552,'Componentes APUs'!$H$1:$L$25,5,0)</f>
        <v>101678.57142857142</v>
      </c>
      <c r="G3552" s="51">
        <f>ROUNDUP((E3552+F3552)*C3552/E3533,0)</f>
        <v>13558</v>
      </c>
    </row>
    <row r="3553" spans="1:9" x14ac:dyDescent="0.25">
      <c r="A3553" s="50" t="s">
        <v>1109</v>
      </c>
      <c r="B3553" s="68" t="str">
        <f>VLOOKUP(A3553,'Componentes APUs'!$H$1:$L$25,2,0)</f>
        <v>Ayudante de Obra Civil</v>
      </c>
      <c r="C3553" s="93">
        <v>1</v>
      </c>
      <c r="D3553" s="50">
        <f>VLOOKUP(A3553,'Componentes APUs'!$H$1:$L$25,3,0)</f>
        <v>1</v>
      </c>
      <c r="E3553" s="51">
        <f>VLOOKUP(A3553,'Componentes APUs'!$H$1:$L$25,4,0)</f>
        <v>77309.523809523816</v>
      </c>
      <c r="F3553" s="51">
        <f>VLOOKUP(A3553,'Componentes APUs'!$H$1:$L$25,5,0)</f>
        <v>46385.71428571429</v>
      </c>
      <c r="G3553" s="51">
        <f>ROUNDUP((E3553+F3553)*C3553/E3533,0)</f>
        <v>24740</v>
      </c>
    </row>
    <row r="3554" spans="1:9" x14ac:dyDescent="0.25">
      <c r="A3554" s="219" t="s">
        <v>56</v>
      </c>
      <c r="B3554" s="219"/>
      <c r="C3554" s="219"/>
      <c r="D3554" s="219"/>
      <c r="E3554" s="219"/>
      <c r="F3554" s="219"/>
      <c r="G3554" s="52">
        <f>SUM(G3548:G3553)</f>
        <v>75407</v>
      </c>
    </row>
    <row r="3555" spans="1:9" x14ac:dyDescent="0.25">
      <c r="A3555" s="56"/>
      <c r="B3555" s="57"/>
      <c r="C3555" s="57"/>
      <c r="D3555" s="57"/>
      <c r="E3555" s="57"/>
      <c r="F3555" s="57"/>
      <c r="G3555" s="58"/>
    </row>
    <row r="3556" spans="1:9" x14ac:dyDescent="0.25">
      <c r="A3556" s="219" t="s">
        <v>57</v>
      </c>
      <c r="B3556" s="219"/>
      <c r="C3556" s="219"/>
      <c r="D3556" s="219"/>
      <c r="E3556" s="219"/>
      <c r="F3556" s="219"/>
      <c r="G3556" s="219"/>
    </row>
    <row r="3557" spans="1:9" x14ac:dyDescent="0.25">
      <c r="A3557" s="49" t="s">
        <v>35</v>
      </c>
      <c r="B3557" s="219" t="s">
        <v>36</v>
      </c>
      <c r="C3557" s="219"/>
      <c r="D3557" s="49" t="s">
        <v>37</v>
      </c>
      <c r="E3557" s="49" t="s">
        <v>38</v>
      </c>
      <c r="F3557" s="49" t="s">
        <v>39</v>
      </c>
      <c r="G3557" s="49" t="s">
        <v>40</v>
      </c>
    </row>
    <row r="3558" spans="1:9" x14ac:dyDescent="0.25">
      <c r="A3558" s="50" t="s">
        <v>326</v>
      </c>
      <c r="B3558" s="220" t="str">
        <f>VLOOKUP(A3558,'Componentes APUs'!$S$1:$V$10,2,0)</f>
        <v>Juego Llaves</v>
      </c>
      <c r="C3558" s="220"/>
      <c r="D3558" s="50" t="s">
        <v>18</v>
      </c>
      <c r="E3558" s="50">
        <v>0</v>
      </c>
      <c r="F3558" s="51">
        <f>VLOOKUP(A3558,'Componentes APUs'!$S$1:$V$10,4,0)</f>
        <v>9167</v>
      </c>
      <c r="G3558" s="51">
        <f>ROUNDUP(F3558*((E3558/21)/E3533),0)</f>
        <v>0</v>
      </c>
      <c r="I3558" s="91"/>
    </row>
    <row r="3559" spans="1:9" x14ac:dyDescent="0.25">
      <c r="A3559" s="50" t="s">
        <v>58</v>
      </c>
      <c r="B3559" s="220" t="str">
        <f>VLOOKUP(A3559,'Componentes APUs'!$S$1:$V$10,2,0)</f>
        <v>Manila de servicio</v>
      </c>
      <c r="C3559" s="220"/>
      <c r="D3559" s="50" t="s">
        <v>18</v>
      </c>
      <c r="E3559" s="50">
        <v>0</v>
      </c>
      <c r="F3559" s="51">
        <f>VLOOKUP(A3559,'Componentes APUs'!$S$1:$V$10,4,0)</f>
        <v>2333</v>
      </c>
      <c r="G3559" s="51">
        <f>ROUNDUP(F3559*((E3559/21)/E3533),0)</f>
        <v>0</v>
      </c>
    </row>
    <row r="3560" spans="1:9" x14ac:dyDescent="0.25">
      <c r="A3560" s="50" t="s">
        <v>327</v>
      </c>
      <c r="B3560" s="220" t="str">
        <f>VLOOKUP(A3560,'Componentes APUs'!$S$1:$V$10,2,0)</f>
        <v>Tula portaherramientas</v>
      </c>
      <c r="C3560" s="220"/>
      <c r="D3560" s="50" t="s">
        <v>18</v>
      </c>
      <c r="E3560" s="50">
        <v>0</v>
      </c>
      <c r="F3560" s="51">
        <f>VLOOKUP(A3560,'Componentes APUs'!$S$1:$V$10,4,0)</f>
        <v>1250</v>
      </c>
      <c r="G3560" s="51">
        <f>ROUNDUP(F3560*((E3560/21)/E3533),0)</f>
        <v>0</v>
      </c>
    </row>
    <row r="3561" spans="1:9" x14ac:dyDescent="0.25">
      <c r="A3561" s="50" t="s">
        <v>60</v>
      </c>
      <c r="B3561" s="220" t="str">
        <f>VLOOKUP(A3561,'Componentes APUs'!$S$1:$V$10,2,0)</f>
        <v>Agarradoras</v>
      </c>
      <c r="C3561" s="220"/>
      <c r="D3561" s="50" t="s">
        <v>18</v>
      </c>
      <c r="E3561" s="50">
        <v>0</v>
      </c>
      <c r="F3561" s="51">
        <f>VLOOKUP(A3561,'Componentes APUs'!$S$1:$V$10,4,0)</f>
        <v>125000</v>
      </c>
      <c r="G3561" s="51">
        <f>ROUNDUP(F3561*((E3561/21)/E3533),0)</f>
        <v>0</v>
      </c>
    </row>
    <row r="3562" spans="1:9" x14ac:dyDescent="0.25">
      <c r="A3562" s="50" t="s">
        <v>62</v>
      </c>
      <c r="B3562" s="220" t="str">
        <f>VLOOKUP(A3562,'Componentes APUs'!$S$1:$V$10,2,0)</f>
        <v>Templadoras</v>
      </c>
      <c r="C3562" s="220"/>
      <c r="D3562" s="50" t="s">
        <v>18</v>
      </c>
      <c r="E3562" s="50">
        <v>0</v>
      </c>
      <c r="F3562" s="51">
        <f>VLOOKUP(A3562,'Componentes APUs'!$S$1:$V$10,4,0)</f>
        <v>250000</v>
      </c>
      <c r="G3562" s="51">
        <f>ROUNDUP(F3562*((E3562/21)/E3533),0)</f>
        <v>0</v>
      </c>
    </row>
    <row r="3563" spans="1:9" x14ac:dyDescent="0.25">
      <c r="A3563" s="50" t="s">
        <v>328</v>
      </c>
      <c r="B3563" s="220" t="str">
        <f>VLOOKUP(A3563,'Componentes APUs'!$S$1:$V$10,2,0)</f>
        <v>Herramienta Menor</v>
      </c>
      <c r="C3563" s="220"/>
      <c r="D3563" s="50" t="s">
        <v>18</v>
      </c>
      <c r="E3563" s="50">
        <v>2</v>
      </c>
      <c r="F3563" s="51">
        <f>VLOOKUP(A3563,'Componentes APUs'!$S$1:$V$10,4,0)</f>
        <v>75758</v>
      </c>
      <c r="G3563" s="51">
        <f>ROUNDUP(F3563*((E3563/21)/E3533),0)</f>
        <v>1444</v>
      </c>
    </row>
    <row r="3564" spans="1:9" x14ac:dyDescent="0.25">
      <c r="A3564" s="219" t="s">
        <v>69</v>
      </c>
      <c r="B3564" s="219"/>
      <c r="C3564" s="219"/>
      <c r="D3564" s="219"/>
      <c r="E3564" s="219"/>
      <c r="F3564" s="219"/>
      <c r="G3564" s="52">
        <f>SUM(G3558:G3563)</f>
        <v>1444</v>
      </c>
    </row>
    <row r="3565" spans="1:9" x14ac:dyDescent="0.25">
      <c r="A3565" s="56"/>
      <c r="B3565" s="57"/>
      <c r="C3565" s="57"/>
      <c r="D3565" s="57"/>
      <c r="E3565" s="57"/>
      <c r="F3565" s="57"/>
      <c r="G3565" s="58"/>
    </row>
    <row r="3566" spans="1:9" x14ac:dyDescent="0.25">
      <c r="A3566" s="219" t="s">
        <v>70</v>
      </c>
      <c r="B3566" s="219"/>
      <c r="C3566" s="219"/>
      <c r="D3566" s="219"/>
      <c r="E3566" s="219"/>
      <c r="F3566" s="219"/>
      <c r="G3566" s="219"/>
    </row>
    <row r="3567" spans="1:9" x14ac:dyDescent="0.25">
      <c r="A3567" s="49" t="s">
        <v>35</v>
      </c>
      <c r="B3567" s="219" t="s">
        <v>36</v>
      </c>
      <c r="C3567" s="219"/>
      <c r="D3567" s="49" t="s">
        <v>37</v>
      </c>
      <c r="E3567" s="49" t="s">
        <v>38</v>
      </c>
      <c r="F3567" s="49" t="s">
        <v>39</v>
      </c>
      <c r="G3567" s="49" t="s">
        <v>40</v>
      </c>
    </row>
    <row r="3568" spans="1:9" x14ac:dyDescent="0.25">
      <c r="A3568" s="50" t="s">
        <v>71</v>
      </c>
      <c r="B3568" s="71" t="str">
        <f>VLOOKUP(A3568,'Componentes APUs'!$A$1:$D$14,2,0)</f>
        <v>Camisa indigo sin partes metalicas</v>
      </c>
      <c r="C3568" s="71"/>
      <c r="D3568" s="50" t="str">
        <f>VLOOKUP(A3568,'Componentes APUs'!$A$1:$D$14,3,0)</f>
        <v>U</v>
      </c>
      <c r="E3568" s="50">
        <f>SUM(C3548:C3553)</f>
        <v>2.25</v>
      </c>
      <c r="F3568" s="51">
        <f>VLOOKUP(A3568,'Componentes APUs'!$A$1:$D$14,4,0)</f>
        <v>8585.8585858585866</v>
      </c>
      <c r="G3568" s="51">
        <f>ROUNDUP(F3568*(E3568/21)/E3533,0)</f>
        <v>184</v>
      </c>
      <c r="I3568" s="91"/>
    </row>
    <row r="3569" spans="1:7" x14ac:dyDescent="0.25">
      <c r="A3569" s="69" t="s">
        <v>73</v>
      </c>
      <c r="B3569" s="72" t="str">
        <f>VLOOKUP(A3569,'Componentes APUs'!$A$1:$D$14,2,0)</f>
        <v>Bota de seguridad dielectrica</v>
      </c>
      <c r="C3569" s="73"/>
      <c r="D3569" s="70" t="str">
        <f>VLOOKUP(A3569,'Componentes APUs'!$A$1:$D$14,3,0)</f>
        <v>Par</v>
      </c>
      <c r="E3569" s="50">
        <f>SUM(C3548:C3553)</f>
        <v>2.25</v>
      </c>
      <c r="F3569" s="51">
        <f>VLOOKUP(A3569,'Componentes APUs'!$A$1:$D$14,4,0)</f>
        <v>7500</v>
      </c>
      <c r="G3569" s="51">
        <f>ROUNDUP(F3569*(E3569/21)/E3533,0)</f>
        <v>161</v>
      </c>
    </row>
    <row r="3570" spans="1:7" x14ac:dyDescent="0.25">
      <c r="A3570" s="50" t="s">
        <v>76</v>
      </c>
      <c r="B3570" s="72" t="str">
        <f>VLOOKUP(A3570,'Componentes APUs'!$A$1:$D$14,2,0)</f>
        <v>Casco dielectrico Tipo 1 Clase E con barbuquejo</v>
      </c>
      <c r="C3570" s="73"/>
      <c r="D3570" s="50" t="str">
        <f>VLOOKUP(A3570,'Componentes APUs'!$A$1:$D$14,3,0)</f>
        <v>U</v>
      </c>
      <c r="E3570" s="50">
        <f>C3548+C3549+C3551+C3552+C3553+IF(A3550&lt;&gt;"MO-3",C3550,0)</f>
        <v>2.25</v>
      </c>
      <c r="F3570" s="51">
        <f>VLOOKUP(A3570,'Componentes APUs'!$A$1:$D$14,4,0)</f>
        <v>10101.010101010101</v>
      </c>
      <c r="G3570" s="51">
        <f>ROUNDUP(F3570*(E3570/21)/E3533,0)</f>
        <v>217</v>
      </c>
    </row>
    <row r="3571" spans="1:7" x14ac:dyDescent="0.25">
      <c r="A3571" s="69" t="s">
        <v>77</v>
      </c>
      <c r="B3571" s="72" t="str">
        <f>VLOOKUP(A3571,'Componentes APUs'!$A$1:$D$14,2,0)</f>
        <v>Correa plastica y antiflama</v>
      </c>
      <c r="C3571" s="73"/>
      <c r="D3571" s="50" t="str">
        <f>VLOOKUP(A3571,'Componentes APUs'!$A$1:$D$14,3,0)</f>
        <v>U</v>
      </c>
      <c r="E3571" s="50">
        <f>SUM(C3548:C3553)</f>
        <v>2.25</v>
      </c>
      <c r="F3571" s="51">
        <f>VLOOKUP(A3571,'Componentes APUs'!$A$1:$D$14,4,0)</f>
        <v>3787.878787878788</v>
      </c>
      <c r="G3571" s="51">
        <f>ROUNDUP(F3571*(E3571/21)/E3533,0)</f>
        <v>82</v>
      </c>
    </row>
    <row r="3572" spans="1:7" x14ac:dyDescent="0.25">
      <c r="A3572" s="50" t="s">
        <v>79</v>
      </c>
      <c r="B3572" s="72" t="str">
        <f>VLOOKUP(A3572,'Componentes APUs'!$A$1:$D$14,2,0)</f>
        <v>Gafas protectoras filtro UV</v>
      </c>
      <c r="C3572" s="73"/>
      <c r="D3572" s="50" t="str">
        <f>VLOOKUP(A3572,'Componentes APUs'!$A$1:$D$14,3,0)</f>
        <v>U</v>
      </c>
      <c r="E3572" s="50">
        <f>SUM(C3548:C3553)</f>
        <v>2.25</v>
      </c>
      <c r="F3572" s="51">
        <f>VLOOKUP(A3572,'Componentes APUs'!$A$1:$D$14,4,0)</f>
        <v>2777.7777777777778</v>
      </c>
      <c r="G3572" s="51">
        <f>ROUNDUP(F3572*(E3572/21)/E3533,0)</f>
        <v>60</v>
      </c>
    </row>
    <row r="3573" spans="1:7" x14ac:dyDescent="0.25">
      <c r="A3573" s="69" t="s">
        <v>402</v>
      </c>
      <c r="B3573" s="72" t="str">
        <f>VLOOKUP(A3573,'Componentes APUs'!$A$1:$D$14,2,0)</f>
        <v>Bota de seguridad PVC dielectrica</v>
      </c>
      <c r="C3573" s="73"/>
      <c r="D3573" s="50" t="str">
        <f>VLOOKUP(A3573,'Componentes APUs'!$A$1:$D$14,3,0)</f>
        <v>Par</v>
      </c>
      <c r="E3573" s="50">
        <f>SUM(C3548:C3553)</f>
        <v>2.25</v>
      </c>
      <c r="F3573" s="51">
        <f>VLOOKUP(A3573,'Componentes APUs'!$A$1:$D$14,4,0)</f>
        <v>2916.6666666666665</v>
      </c>
      <c r="G3573" s="51">
        <f>ROUNDUP(F3573*(E3573/21)/E3533,0)</f>
        <v>63</v>
      </c>
    </row>
    <row r="3574" spans="1:7" x14ac:dyDescent="0.25">
      <c r="A3574" s="50" t="s">
        <v>403</v>
      </c>
      <c r="B3574" s="72" t="str">
        <f>VLOOKUP(A3574,'Componentes APUs'!$A$1:$D$14,2,0)</f>
        <v>Capuchon</v>
      </c>
      <c r="C3574" s="73"/>
      <c r="D3574" s="50" t="str">
        <f>VLOOKUP(A3574,'Componentes APUs'!$A$1:$D$14,3,0)</f>
        <v>U</v>
      </c>
      <c r="E3574" s="50">
        <f>SUM(C3548:C3553)</f>
        <v>2.25</v>
      </c>
      <c r="F3574" s="51">
        <f>VLOOKUP(A3574,'Componentes APUs'!$A$1:$D$14,4,0)</f>
        <v>2525.2525252525252</v>
      </c>
      <c r="G3574" s="51">
        <f>ROUNDUP(F3574*(E3574/21)/E3533,0)</f>
        <v>55</v>
      </c>
    </row>
    <row r="3575" spans="1:7" x14ac:dyDescent="0.25">
      <c r="A3575" s="69" t="s">
        <v>81</v>
      </c>
      <c r="B3575" s="72" t="str">
        <f>VLOOKUP(A3575,'Componentes APUs'!$A$1:$D$14,2,0)</f>
        <v>Guantes Protectores  - ingeniero reforzados</v>
      </c>
      <c r="C3575" s="73"/>
      <c r="D3575" s="50" t="str">
        <f>VLOOKUP(A3575,'Componentes APUs'!$A$1:$D$14,3,0)</f>
        <v>Par</v>
      </c>
      <c r="E3575" s="50">
        <f>C3550+C3551+C3553</f>
        <v>2</v>
      </c>
      <c r="F3575" s="51">
        <f>VLOOKUP(A3575,'Componentes APUs'!$A$1:$D$14,4,0)</f>
        <v>2525.2525252525252</v>
      </c>
      <c r="G3575" s="51">
        <f>ROUNDUP(F3575*(E3575/21)/E3533,0)</f>
        <v>49</v>
      </c>
    </row>
    <row r="3576" spans="1:7" x14ac:dyDescent="0.25">
      <c r="A3576" s="50" t="s">
        <v>83</v>
      </c>
      <c r="B3576" s="72" t="str">
        <f>VLOOKUP(A3576,'Componentes APUs'!$A$1:$D$14,2,0)</f>
        <v>Impermeable (pantalon camisa)</v>
      </c>
      <c r="C3576" s="73"/>
      <c r="D3576" s="50" t="str">
        <f>VLOOKUP(A3576,'Componentes APUs'!$A$1:$D$14,3,0)</f>
        <v>U</v>
      </c>
      <c r="E3576" s="50">
        <f>SUM(C3548:C3553)</f>
        <v>2.25</v>
      </c>
      <c r="F3576" s="51">
        <f>VLOOKUP(A3576,'Componentes APUs'!$A$1:$D$14,4,0)</f>
        <v>3750</v>
      </c>
      <c r="G3576" s="51">
        <f>ROUNDUP(F3576*(E3576/21)/E3533,0)</f>
        <v>81</v>
      </c>
    </row>
    <row r="3577" spans="1:7" x14ac:dyDescent="0.25">
      <c r="A3577" s="69" t="s">
        <v>85</v>
      </c>
      <c r="B3577" s="72" t="str">
        <f>VLOOKUP(A3577,'Componentes APUs'!$A$1:$D$14,2,0)</f>
        <v>Jean Dielectrico</v>
      </c>
      <c r="C3577" s="73"/>
      <c r="D3577" s="50" t="str">
        <f>VLOOKUP(A3577,'Componentes APUs'!$A$1:$D$14,3,0)</f>
        <v>U</v>
      </c>
      <c r="E3577" s="50">
        <f>SUM(C3548:C3553)</f>
        <v>2.25</v>
      </c>
      <c r="F3577" s="51">
        <f>VLOOKUP(A3577,'Componentes APUs'!$A$1:$D$14,4,0)</f>
        <v>7575.757575757576</v>
      </c>
      <c r="G3577" s="51">
        <f>ROUNDUP(F3577*(E3577/21)/E3533,0)</f>
        <v>163</v>
      </c>
    </row>
    <row r="3578" spans="1:7" x14ac:dyDescent="0.25">
      <c r="A3578" s="50" t="s">
        <v>87</v>
      </c>
      <c r="B3578" s="72" t="str">
        <f>VLOOKUP(A3578,'Componentes APUs'!$A$1:$D$14,2,0)</f>
        <v>Casco dielectrico Tipo 2 Clase E con barboquejo</v>
      </c>
      <c r="C3578" s="73"/>
      <c r="D3578" s="50" t="str">
        <f>VLOOKUP(A3578,'Componentes APUs'!$A$1:$D$14,3,0)</f>
        <v>U</v>
      </c>
      <c r="E3578" s="53">
        <f>IF(A3550="MO-3",C3550,0)</f>
        <v>0</v>
      </c>
      <c r="F3578" s="51">
        <f>VLOOKUP(A3578,'Componentes APUs'!$A$1:$D$14,4,0)</f>
        <v>7500</v>
      </c>
      <c r="G3578" s="51">
        <f>ROUNDUP(F3578*(E3578/21)/E3533,0)</f>
        <v>0</v>
      </c>
    </row>
    <row r="3579" spans="1:7" x14ac:dyDescent="0.25">
      <c r="A3579" s="69" t="s">
        <v>89</v>
      </c>
      <c r="B3579" s="72" t="str">
        <f>VLOOKUP(A3579,'Componentes APUs'!$A$1:$D$14,2,0)</f>
        <v>Kit de rescate para trabajo en alturas</v>
      </c>
      <c r="C3579" s="73"/>
      <c r="D3579" s="50" t="str">
        <f>VLOOKUP(A3579,'Componentes APUs'!$A$1:$D$14,3,0)</f>
        <v>U</v>
      </c>
      <c r="E3579" s="50">
        <f>IF(AND(A3550="MO-3",C3550=2),1,0)</f>
        <v>0</v>
      </c>
      <c r="F3579" s="51">
        <f>VLOOKUP(A3579,'Componentes APUs'!$A$1:$D$14,4,0)</f>
        <v>37500</v>
      </c>
      <c r="G3579" s="51">
        <f>ROUNDUP(F3579*(E3579/21)/E3533,0)</f>
        <v>0</v>
      </c>
    </row>
    <row r="3580" spans="1:7" x14ac:dyDescent="0.25">
      <c r="A3580" s="50" t="s">
        <v>91</v>
      </c>
      <c r="B3580" s="72" t="str">
        <f>VLOOKUP(A3580,'Componentes APUs'!$A$1:$D$14,2,0)</f>
        <v>Equipo completo para trabajo en alturas con pretales (Arnes dielectrico, 1 mosqueton de seguridad, tie off dielectrico, eslinga de posicionamiento, juego de pretales)</v>
      </c>
      <c r="C3580" s="73"/>
      <c r="D3580" s="50" t="str">
        <f>VLOOKUP(A3580,'Componentes APUs'!$A$1:$D$14,3,0)</f>
        <v>U</v>
      </c>
      <c r="E3580" s="50">
        <f>IF(A3550="MO-3",C3550,0)</f>
        <v>0</v>
      </c>
      <c r="F3580" s="51">
        <f>VLOOKUP(A3580,'Componentes APUs'!$A$1:$D$14,4,0)</f>
        <v>26041.666666666668</v>
      </c>
      <c r="G3580" s="51">
        <f>ROUNDUP(F3580*(E3580/21)/E3533,0)</f>
        <v>0</v>
      </c>
    </row>
    <row r="3581" spans="1:7" x14ac:dyDescent="0.25">
      <c r="A3581" s="219" t="s">
        <v>95</v>
      </c>
      <c r="B3581" s="219"/>
      <c r="C3581" s="219"/>
      <c r="D3581" s="219"/>
      <c r="E3581" s="219"/>
      <c r="F3581" s="219"/>
      <c r="G3581" s="52">
        <f>SUM(G3568:G3580)</f>
        <v>1115</v>
      </c>
    </row>
    <row r="3582" spans="1:7" x14ac:dyDescent="0.25">
      <c r="A3582" s="56"/>
      <c r="B3582" s="57"/>
      <c r="C3582" s="57"/>
      <c r="D3582" s="57"/>
      <c r="E3582" s="57"/>
      <c r="F3582" s="57"/>
      <c r="G3582" s="58"/>
    </row>
    <row r="3583" spans="1:7" x14ac:dyDescent="0.25">
      <c r="A3583" s="219" t="s">
        <v>96</v>
      </c>
      <c r="B3583" s="219"/>
      <c r="C3583" s="219"/>
      <c r="D3583" s="219"/>
      <c r="E3583" s="219"/>
      <c r="F3583" s="219"/>
      <c r="G3583" s="219"/>
    </row>
    <row r="3584" spans="1:7" x14ac:dyDescent="0.25">
      <c r="A3584" s="49" t="s">
        <v>35</v>
      </c>
      <c r="B3584" s="225" t="s">
        <v>36</v>
      </c>
      <c r="C3584" s="225"/>
      <c r="D3584" s="49" t="s">
        <v>37</v>
      </c>
      <c r="E3584" s="49" t="s">
        <v>38</v>
      </c>
      <c r="F3584" s="49" t="s">
        <v>39</v>
      </c>
      <c r="G3584" s="49" t="s">
        <v>40</v>
      </c>
    </row>
    <row r="3585" spans="1:7" x14ac:dyDescent="0.25">
      <c r="A3585" s="69" t="s">
        <v>97</v>
      </c>
      <c r="B3585" s="72" t="str">
        <f>VLOOKUP(A3585,'Componentes APUs'!$N$1:$Q$30,2,0)</f>
        <v>Camioneta</v>
      </c>
      <c r="C3585" s="73"/>
      <c r="D3585" s="70" t="str">
        <f>VLOOKUP(A3585,'Componentes APUs'!$N$1:$Q$30,3,0)</f>
        <v>U</v>
      </c>
      <c r="E3585" s="50">
        <v>0.5</v>
      </c>
      <c r="F3585" s="51">
        <f>VLOOKUP(A3585,'Componentes APUs'!$N$1:$Q$30,4,0)</f>
        <v>5500000</v>
      </c>
      <c r="G3585" s="51">
        <f>IFERROR(ROUNDUP(F3585*(E3585/21)/E3533,0),"-")</f>
        <v>26191</v>
      </c>
    </row>
    <row r="3586" spans="1:7" x14ac:dyDescent="0.25">
      <c r="A3586" s="50" t="s">
        <v>321</v>
      </c>
      <c r="B3586" s="72" t="str">
        <f>VLOOKUP(A3586,'Componentes APUs'!$N$1:$Q$30,2,0)</f>
        <v>Grúa Hidráulica</v>
      </c>
      <c r="C3586" s="73"/>
      <c r="D3586" s="70" t="str">
        <f>VLOOKUP(A3586,'Componentes APUs'!$N$1:$Q$30,3,0)</f>
        <v>U</v>
      </c>
      <c r="E3586" s="50">
        <v>0</v>
      </c>
      <c r="F3586" s="51">
        <f>VLOOKUP(A3586,'Componentes APUs'!$N$1:$Q$30,4,0)</f>
        <v>21000000</v>
      </c>
      <c r="G3586" s="51">
        <f>IFERROR(ROUNDUP(F3586*(E3586/21)/E3533,0),"-")</f>
        <v>0</v>
      </c>
    </row>
    <row r="3587" spans="1:7" x14ac:dyDescent="0.25">
      <c r="A3587" s="69" t="s">
        <v>1379</v>
      </c>
      <c r="B3587" s="72" t="str">
        <f>VLOOKUP(A3587,'Componentes APUs'!$N$1:$Q$30,2,0)</f>
        <v>Dumper de descarga Frontal 2T</v>
      </c>
      <c r="C3587" s="73"/>
      <c r="D3587" s="70" t="str">
        <f>VLOOKUP(A3587,'Componentes APUs'!$N$1:$Q$30,3,0)</f>
        <v>U</v>
      </c>
      <c r="E3587" s="50">
        <v>0</v>
      </c>
      <c r="F3587" s="51">
        <f>VLOOKUP(A3587,'Componentes APUs'!$N$1:$Q$30,4,0)</f>
        <v>4438716.24</v>
      </c>
      <c r="G3587" s="51">
        <f>IFERROR(ROUNDUP(F3587*(E3587/21)/E3533,0),"-")</f>
        <v>0</v>
      </c>
    </row>
    <row r="3588" spans="1:7" x14ac:dyDescent="0.25">
      <c r="A3588" s="50" t="s">
        <v>323</v>
      </c>
      <c r="B3588" s="72" t="str">
        <f>VLOOKUP(A3588,'Componentes APUs'!$N$1:$Q$30,2,0)</f>
        <v>Volqueta</v>
      </c>
      <c r="C3588" s="73"/>
      <c r="D3588" s="70" t="str">
        <f>VLOOKUP(A3588,'Componentes APUs'!$N$1:$Q$30,3,0)</f>
        <v>U</v>
      </c>
      <c r="E3588" s="50">
        <v>0</v>
      </c>
      <c r="F3588" s="51">
        <f>VLOOKUP(A3588,'Componentes APUs'!$N$1:$Q$30,4,0)</f>
        <v>14828184</v>
      </c>
      <c r="G3588" s="51">
        <f>IFERROR(ROUNDUP(F3588*(E3588/21)/E3533,0),"-")</f>
        <v>0</v>
      </c>
    </row>
    <row r="3589" spans="1:7" x14ac:dyDescent="0.25">
      <c r="A3589" s="69" t="s">
        <v>324</v>
      </c>
      <c r="B3589" s="72" t="str">
        <f>VLOOKUP(A3589,'Componentes APUs'!$N$1:$Q$30,2,0)</f>
        <v>Retroexcavadora</v>
      </c>
      <c r="C3589" s="73"/>
      <c r="D3589" s="70" t="str">
        <f>VLOOKUP(A3589,'Componentes APUs'!$N$1:$Q$30,3,0)</f>
        <v>U</v>
      </c>
      <c r="E3589" s="50">
        <v>0</v>
      </c>
      <c r="F3589" s="51">
        <f>VLOOKUP(A3589,'Componentes APUs'!$N$1:$Q$30,4,0)</f>
        <v>46030656</v>
      </c>
      <c r="G3589" s="51">
        <f>IFERROR(ROUNDUP(F3589*(E3589/21)/E3533,0),"-")</f>
        <v>0</v>
      </c>
    </row>
    <row r="3590" spans="1:7" x14ac:dyDescent="0.25">
      <c r="A3590" s="219" t="s">
        <v>99</v>
      </c>
      <c r="B3590" s="219"/>
      <c r="C3590" s="219"/>
      <c r="D3590" s="219"/>
      <c r="E3590" s="219"/>
      <c r="F3590" s="219"/>
      <c r="G3590" s="52">
        <f>SUM(G3585:G3589)</f>
        <v>26191</v>
      </c>
    </row>
    <row r="3591" spans="1:7" x14ac:dyDescent="0.25">
      <c r="A3591" s="56"/>
      <c r="B3591" s="57"/>
      <c r="C3591" s="57"/>
      <c r="D3591" s="57"/>
      <c r="E3591" s="57"/>
      <c r="F3591" s="57"/>
      <c r="G3591" s="58"/>
    </row>
    <row r="3592" spans="1:7" x14ac:dyDescent="0.25">
      <c r="A3592" s="219" t="s">
        <v>1516</v>
      </c>
      <c r="B3592" s="219"/>
      <c r="C3592" s="219"/>
      <c r="D3592" s="219"/>
      <c r="E3592" s="219"/>
      <c r="F3592" s="219"/>
      <c r="G3592" s="52">
        <f>G3590+G3581+G3564+G3554+G3544</f>
        <v>193431</v>
      </c>
    </row>
    <row r="3593" spans="1:7" x14ac:dyDescent="0.25">
      <c r="A3593" s="59"/>
      <c r="B3593" s="60"/>
      <c r="C3593" s="60"/>
      <c r="D3593" s="60"/>
      <c r="E3593" s="57"/>
      <c r="F3593" s="57"/>
      <c r="G3593" s="58"/>
    </row>
    <row r="3594" spans="1:7" x14ac:dyDescent="0.25">
      <c r="A3594" s="64"/>
      <c r="D3594" s="55"/>
      <c r="E3594" s="49" t="s">
        <v>25</v>
      </c>
      <c r="F3594" s="54">
        <v>0.15</v>
      </c>
      <c r="G3594" s="51">
        <f>G3592*F3594</f>
        <v>29014.649999999998</v>
      </c>
    </row>
    <row r="3595" spans="1:7" x14ac:dyDescent="0.25">
      <c r="A3595" s="64"/>
      <c r="D3595" s="55"/>
      <c r="E3595" s="49" t="s">
        <v>26</v>
      </c>
      <c r="F3595" s="54">
        <v>0.05</v>
      </c>
      <c r="G3595" s="51">
        <f>G3592*F3595</f>
        <v>9671.5500000000011</v>
      </c>
    </row>
    <row r="3596" spans="1:7" x14ac:dyDescent="0.25">
      <c r="A3596" s="61"/>
      <c r="B3596" s="65"/>
      <c r="C3596" s="65"/>
      <c r="D3596" s="62"/>
      <c r="E3596" s="49" t="s">
        <v>27</v>
      </c>
      <c r="F3596" s="54">
        <v>0.05</v>
      </c>
      <c r="G3596" s="51">
        <f>G3592*F3596</f>
        <v>9671.5500000000011</v>
      </c>
    </row>
    <row r="3597" spans="1:7" x14ac:dyDescent="0.25">
      <c r="A3597" s="61"/>
      <c r="B3597" s="62"/>
      <c r="C3597" s="62"/>
      <c r="D3597" s="62"/>
      <c r="E3597" s="62"/>
      <c r="F3597" s="62"/>
      <c r="G3597" s="63"/>
    </row>
    <row r="3598" spans="1:7" x14ac:dyDescent="0.25">
      <c r="A3598" s="219" t="s">
        <v>1517</v>
      </c>
      <c r="B3598" s="219"/>
      <c r="C3598" s="219"/>
      <c r="D3598" s="219"/>
      <c r="E3598" s="219"/>
      <c r="F3598" s="219"/>
      <c r="G3598" s="52">
        <f>G3592+G3594+G3595+G3596</f>
        <v>241788.74999999997</v>
      </c>
    </row>
    <row r="3599" spans="1:7" x14ac:dyDescent="0.25">
      <c r="A3599" s="59"/>
      <c r="B3599" s="60"/>
      <c r="C3599" s="60"/>
      <c r="D3599" s="60"/>
      <c r="E3599" s="57"/>
      <c r="F3599" s="57"/>
      <c r="G3599" s="58"/>
    </row>
    <row r="3600" spans="1:7" x14ac:dyDescent="0.25">
      <c r="A3600" s="64"/>
      <c r="D3600" s="55"/>
      <c r="E3600" s="49" t="s">
        <v>102</v>
      </c>
      <c r="F3600" s="49" t="s">
        <v>103</v>
      </c>
      <c r="G3600" s="51">
        <f>G3596*19%</f>
        <v>1837.5945000000002</v>
      </c>
    </row>
    <row r="3601" spans="1:9" x14ac:dyDescent="0.25">
      <c r="A3601" s="61"/>
      <c r="B3601" s="62"/>
      <c r="C3601" s="62"/>
      <c r="D3601" s="62"/>
      <c r="E3601" s="57"/>
      <c r="F3601" s="57"/>
      <c r="G3601" s="58"/>
    </row>
    <row r="3602" spans="1:9" x14ac:dyDescent="0.25">
      <c r="A3602" s="219" t="s">
        <v>104</v>
      </c>
      <c r="B3602" s="219"/>
      <c r="C3602" s="219"/>
      <c r="D3602" s="219"/>
      <c r="E3602" s="219"/>
      <c r="F3602" s="219"/>
      <c r="G3602" s="52">
        <f>G3600+G3598</f>
        <v>243626.34449999998</v>
      </c>
    </row>
    <row r="3604" spans="1:9" x14ac:dyDescent="0.25">
      <c r="A3604" s="74" t="s">
        <v>29</v>
      </c>
      <c r="B3604" s="226" t="s">
        <v>30</v>
      </c>
      <c r="C3604" s="226"/>
      <c r="D3604" s="74" t="s">
        <v>31</v>
      </c>
      <c r="E3604" s="74" t="s">
        <v>32</v>
      </c>
      <c r="F3604" s="74" t="s">
        <v>189</v>
      </c>
      <c r="G3604" s="74" t="s">
        <v>33</v>
      </c>
      <c r="H3604" s="105"/>
    </row>
    <row r="3605" spans="1:9" ht="30" customHeight="1" x14ac:dyDescent="0.25">
      <c r="A3605" s="50" t="str">
        <f>Presupuesto!B72</f>
        <v>057_OC</v>
      </c>
      <c r="B3605" s="229" t="str">
        <f>Presupuesto!C72</f>
        <v>SUMINISTRO E INSTALACIÓN DE SANITARIO TIPO INSTITUCIONAL, AHORRADOR DE AGUA Y ACCESORIOS</v>
      </c>
      <c r="C3605" s="230"/>
      <c r="D3605" s="50" t="s">
        <v>18</v>
      </c>
      <c r="E3605" s="107">
        <v>7</v>
      </c>
      <c r="F3605" s="50"/>
      <c r="G3605" s="51">
        <f>G3674</f>
        <v>1141770.7565000001</v>
      </c>
      <c r="H3605" s="45"/>
    </row>
    <row r="3606" spans="1:9" x14ac:dyDescent="0.25">
      <c r="A3606" s="219" t="s">
        <v>34</v>
      </c>
      <c r="B3606" s="219"/>
      <c r="C3606" s="219"/>
      <c r="D3606" s="219"/>
      <c r="E3606" s="219"/>
      <c r="F3606" s="219"/>
      <c r="G3606" s="219"/>
    </row>
    <row r="3607" spans="1:9" x14ac:dyDescent="0.25">
      <c r="A3607" s="49" t="s">
        <v>35</v>
      </c>
      <c r="B3607" s="219" t="s">
        <v>36</v>
      </c>
      <c r="C3607" s="219"/>
      <c r="D3607" s="49" t="s">
        <v>37</v>
      </c>
      <c r="E3607" s="49" t="s">
        <v>38</v>
      </c>
      <c r="F3607" s="49" t="s">
        <v>39</v>
      </c>
      <c r="G3607" s="49" t="s">
        <v>40</v>
      </c>
    </row>
    <row r="3608" spans="1:9" x14ac:dyDescent="0.25">
      <c r="A3608" s="50" t="str">
        <f>Material!A485</f>
        <v>MA-484</v>
      </c>
      <c r="B3608" s="72" t="str">
        <f>IFERROR(VLOOKUP(A3608,Material!$A:$H,2,0),"-")</f>
        <v>SANITARIO INSTITUCIONAL CON ACCESORIOS</v>
      </c>
      <c r="C3608" s="76"/>
      <c r="D3608" s="50" t="str">
        <f>IFERROR(VLOOKUP(A3608,Material!$A:$H,4,0),"-")</f>
        <v>UN</v>
      </c>
      <c r="E3608" s="107">
        <v>1</v>
      </c>
      <c r="F3608" s="51">
        <f>IFERROR(VLOOKUP(A3608,Material!$A:$H,3,0),"-")</f>
        <v>832130</v>
      </c>
      <c r="G3608" s="51">
        <f t="shared" ref="G3608" si="56">IFERROR(ROUNDUP(F3608*E3608,0),"-")</f>
        <v>832130</v>
      </c>
      <c r="H3608" s="106"/>
    </row>
    <row r="3609" spans="1:9" x14ac:dyDescent="0.25">
      <c r="A3609" s="50"/>
      <c r="B3609" s="72" t="str">
        <f>IFERROR(VLOOKUP(A3609,Material!$A:$H,2,0),"-")</f>
        <v>-</v>
      </c>
      <c r="C3609" s="76"/>
      <c r="D3609" s="50" t="str">
        <f>IFERROR(VLOOKUP(A3609,Material!$A:$H,4,0),"-")</f>
        <v>-</v>
      </c>
      <c r="E3609" s="53"/>
      <c r="F3609" s="51" t="str">
        <f>IFERROR(VLOOKUP(A3609,Material!$A:$H,3,0),"-")</f>
        <v>-</v>
      </c>
      <c r="G3609" s="51" t="str">
        <f>IFERROR(ROUNDUP(F3609*E3609,0),"-")</f>
        <v>-</v>
      </c>
      <c r="H3609" s="106"/>
    </row>
    <row r="3610" spans="1:9" x14ac:dyDescent="0.25">
      <c r="A3610" s="50"/>
      <c r="B3610" s="72" t="str">
        <f>IFERROR(VLOOKUP(A3610,Material!$A:$H,2,0),"-")</f>
        <v>-</v>
      </c>
      <c r="C3610" s="76"/>
      <c r="D3610" s="50" t="str">
        <f>IFERROR(VLOOKUP(A3610,Material!$A:$H,4,0),"-")</f>
        <v>-</v>
      </c>
      <c r="E3610" s="107"/>
      <c r="F3610" s="51" t="str">
        <f>IFERROR(VLOOKUP(A3610,Material!$A:$H,3,0),"-")</f>
        <v>-</v>
      </c>
      <c r="G3610" s="51" t="str">
        <f>IFERROR(ROUNDUP(F3610*E3610,0),"-")</f>
        <v>-</v>
      </c>
      <c r="H3610" s="106"/>
    </row>
    <row r="3611" spans="1:9" x14ac:dyDescent="0.25">
      <c r="A3611" s="50"/>
      <c r="B3611" s="72" t="str">
        <f>IFERROR(VLOOKUP(A3611,Material!$A:$H,2,0),"-")</f>
        <v>-</v>
      </c>
      <c r="C3611" s="76"/>
      <c r="D3611" s="50" t="str">
        <f>IFERROR(VLOOKUP(A3611,Material!$A:$H,4,0),"-")</f>
        <v>-</v>
      </c>
      <c r="E3611" s="107"/>
      <c r="F3611" s="51" t="str">
        <f>IFERROR(VLOOKUP(A3611,Material!$A:$H,3,0),"-")</f>
        <v>-</v>
      </c>
      <c r="G3611" s="51" t="str">
        <f t="shared" ref="G3611:G3615" si="57">IFERROR(ROUNDUP(F3611*E3611,0),"-")</f>
        <v>-</v>
      </c>
      <c r="H3611" s="106"/>
    </row>
    <row r="3612" spans="1:9" x14ac:dyDescent="0.25">
      <c r="A3612" s="50"/>
      <c r="B3612" s="72" t="str">
        <f>IFERROR(VLOOKUP(A3612,Material!$A:$H,2,0),"-")</f>
        <v>-</v>
      </c>
      <c r="C3612" s="76"/>
      <c r="D3612" s="50" t="str">
        <f>IFERROR(VLOOKUP(A3612,Material!$A:$H,4,0),"-")</f>
        <v>-</v>
      </c>
      <c r="E3612" s="107"/>
      <c r="F3612" s="51" t="str">
        <f>IFERROR(VLOOKUP(A3612,Material!$A:$H,3,0),"-")</f>
        <v>-</v>
      </c>
      <c r="G3612" s="51" t="str">
        <f t="shared" si="57"/>
        <v>-</v>
      </c>
      <c r="H3612" s="106"/>
    </row>
    <row r="3613" spans="1:9" x14ac:dyDescent="0.25">
      <c r="A3613" s="50"/>
      <c r="B3613" s="72" t="str">
        <f>IFERROR(VLOOKUP(A3613,Material!$A:$H,2,0),"-")</f>
        <v>-</v>
      </c>
      <c r="C3613" s="76"/>
      <c r="D3613" s="50" t="str">
        <f>IFERROR(VLOOKUP(A3613,Material!$A:$H,4,0),"-")</f>
        <v>-</v>
      </c>
      <c r="E3613" s="107"/>
      <c r="F3613" s="51" t="str">
        <f>IFERROR(VLOOKUP(A3613,Material!$A:$H,3,0),"-")</f>
        <v>-</v>
      </c>
      <c r="G3613" s="51" t="str">
        <f t="shared" si="57"/>
        <v>-</v>
      </c>
      <c r="H3613" s="106"/>
    </row>
    <row r="3614" spans="1:9" x14ac:dyDescent="0.25">
      <c r="A3614" s="50"/>
      <c r="B3614" s="72" t="str">
        <f>IFERROR(VLOOKUP(A3614,Material!$A:$H,2,0),"-")</f>
        <v>-</v>
      </c>
      <c r="C3614" s="76"/>
      <c r="D3614" s="50" t="str">
        <f>IFERROR(VLOOKUP(A3614,Material!$A:$H,4,0),"-")</f>
        <v>-</v>
      </c>
      <c r="E3614" s="107"/>
      <c r="F3614" s="51" t="str">
        <f>IFERROR(VLOOKUP(A3614,Material!$A:$H,3,0),"-")</f>
        <v>-</v>
      </c>
      <c r="G3614" s="51" t="str">
        <f t="shared" si="57"/>
        <v>-</v>
      </c>
      <c r="H3614" s="106"/>
    </row>
    <row r="3615" spans="1:9" x14ac:dyDescent="0.25">
      <c r="A3615" s="50"/>
      <c r="B3615" s="72" t="str">
        <f>IFERROR(VLOOKUP(A3615,Material!$A:$H,2,0),"-")</f>
        <v>-</v>
      </c>
      <c r="C3615" s="76"/>
      <c r="D3615" s="50" t="str">
        <f>IFERROR(VLOOKUP(A3615,Material!$A:$H,4,0),"-")</f>
        <v>-</v>
      </c>
      <c r="E3615" s="107"/>
      <c r="F3615" s="51" t="str">
        <f>IFERROR(VLOOKUP(A3615,Material!$A:$H,3,0),"-")</f>
        <v>-</v>
      </c>
      <c r="G3615" s="51" t="str">
        <f t="shared" si="57"/>
        <v>-</v>
      </c>
      <c r="H3615" s="106"/>
    </row>
    <row r="3616" spans="1:9" x14ac:dyDescent="0.25">
      <c r="A3616" s="219" t="s">
        <v>41</v>
      </c>
      <c r="B3616" s="219"/>
      <c r="C3616" s="219"/>
      <c r="D3616" s="219"/>
      <c r="E3616" s="219"/>
      <c r="F3616" s="219"/>
      <c r="G3616" s="52">
        <f>SUM(G3608:G3615)</f>
        <v>832130</v>
      </c>
      <c r="I3616" s="104"/>
    </row>
    <row r="3617" spans="1:9" x14ac:dyDescent="0.25">
      <c r="A3617" s="56"/>
      <c r="B3617" s="57"/>
      <c r="C3617" s="57"/>
      <c r="D3617" s="57"/>
      <c r="E3617" s="57"/>
      <c r="F3617" s="57"/>
      <c r="G3617" s="58"/>
    </row>
    <row r="3618" spans="1:9" x14ac:dyDescent="0.25">
      <c r="A3618" s="219" t="s">
        <v>42</v>
      </c>
      <c r="B3618" s="219"/>
      <c r="C3618" s="219"/>
      <c r="D3618" s="219"/>
      <c r="E3618" s="219"/>
      <c r="F3618" s="219"/>
      <c r="G3618" s="219"/>
    </row>
    <row r="3619" spans="1:9" x14ac:dyDescent="0.25">
      <c r="A3619" s="49" t="s">
        <v>35</v>
      </c>
      <c r="B3619" s="49" t="s">
        <v>36</v>
      </c>
      <c r="C3619" s="49" t="s">
        <v>38</v>
      </c>
      <c r="D3619" s="49" t="s">
        <v>43</v>
      </c>
      <c r="E3619" s="49" t="s">
        <v>44</v>
      </c>
      <c r="F3619" s="49" t="s">
        <v>45</v>
      </c>
      <c r="G3619" s="49" t="s">
        <v>40</v>
      </c>
    </row>
    <row r="3620" spans="1:9" x14ac:dyDescent="0.25">
      <c r="A3620" s="50" t="s">
        <v>319</v>
      </c>
      <c r="B3620" s="68" t="str">
        <f>VLOOKUP(A3620,'Componentes APUs'!$H$1:$L$25,2,0)</f>
        <v>Ingeniero Residente de Obra</v>
      </c>
      <c r="C3620" s="93">
        <v>0</v>
      </c>
      <c r="D3620" s="50">
        <f>VLOOKUP(A3620,'Componentes APUs'!$H$1:$L$25,3,0)</f>
        <v>4</v>
      </c>
      <c r="E3620" s="51">
        <f>VLOOKUP(A3620,'Componentes APUs'!$H$1:$L$25,4,0)</f>
        <v>271142.85714285716</v>
      </c>
      <c r="F3620" s="51">
        <f>VLOOKUP(A3620,'Componentes APUs'!$H$1:$L$25,5,0)</f>
        <v>162685.71428571429</v>
      </c>
      <c r="G3620" s="51">
        <f>ROUNDUP((E3620+F3620)*C3620/E3605,0)</f>
        <v>0</v>
      </c>
      <c r="H3620" s="66"/>
    </row>
    <row r="3621" spans="1:9" x14ac:dyDescent="0.25">
      <c r="A3621" s="50" t="s">
        <v>320</v>
      </c>
      <c r="B3621" s="68" t="str">
        <f>VLOOKUP(A3621,'Componentes APUs'!$H$1:$L$25,2,0)</f>
        <v>Tecnico Supervisor</v>
      </c>
      <c r="C3621" s="93">
        <v>0</v>
      </c>
      <c r="D3621" s="50">
        <f>VLOOKUP(A3621,'Componentes APUs'!$H$1:$L$25,3,0)</f>
        <v>2.2999999999999998</v>
      </c>
      <c r="E3621" s="51">
        <f>VLOOKUP(A3621,'Componentes APUs'!$H$1:$L$25,4,0)</f>
        <v>155907.14285714284</v>
      </c>
      <c r="F3621" s="51">
        <f>VLOOKUP(A3621,'Componentes APUs'!$H$1:$L$25,5,0)</f>
        <v>93544.285714285696</v>
      </c>
      <c r="G3621" s="51">
        <f>ROUNDUP((E3621+F3621)*C3621/E3605,0)</f>
        <v>0</v>
      </c>
    </row>
    <row r="3622" spans="1:9" x14ac:dyDescent="0.25">
      <c r="A3622" s="50" t="s">
        <v>54</v>
      </c>
      <c r="B3622" s="68" t="str">
        <f>VLOOKUP(A3622,'Componentes APUs'!$H$1:$L$25,2,0)</f>
        <v>Maestro de obra civil</v>
      </c>
      <c r="C3622" s="93">
        <v>0</v>
      </c>
      <c r="D3622" s="50">
        <f>VLOOKUP(A3622,'Componentes APUs'!$H$1:$L$25,3,0)</f>
        <v>2.5</v>
      </c>
      <c r="E3622" s="51">
        <f>VLOOKUP(A3622,'Componentes APUs'!$H$1:$L$25,4,0)</f>
        <v>169464.28571428571</v>
      </c>
      <c r="F3622" s="51">
        <f>VLOOKUP(A3622,'Componentes APUs'!$H$1:$L$25,5,0)</f>
        <v>101678.57142857142</v>
      </c>
      <c r="G3622" s="51">
        <f>ROUNDUP((E3622+F3622)*C3622/E3605,0)</f>
        <v>0</v>
      </c>
    </row>
    <row r="3623" spans="1:9" x14ac:dyDescent="0.25">
      <c r="A3623" s="50" t="s">
        <v>1110</v>
      </c>
      <c r="B3623" s="68" t="str">
        <f>VLOOKUP(A3623,'Componentes APUs'!$H$1:$L$25,2,0)</f>
        <v>Oficial de Obra Civil</v>
      </c>
      <c r="C3623" s="93">
        <v>1</v>
      </c>
      <c r="D3623" s="50">
        <f>VLOOKUP(A3623,'Componentes APUs'!$H$1:$L$25,3,0)</f>
        <v>1.5</v>
      </c>
      <c r="E3623" s="51">
        <f>VLOOKUP(A3623,'Componentes APUs'!$H$1:$L$25,4,0)</f>
        <v>115964.28571428571</v>
      </c>
      <c r="F3623" s="51">
        <f>VLOOKUP(A3623,'Componentes APUs'!$H$1:$L$25,5,0)</f>
        <v>69578.57142857142</v>
      </c>
      <c r="G3623" s="51">
        <f>ROUNDUP((E3623+F3623)*C3623/E3605,0)</f>
        <v>26507</v>
      </c>
    </row>
    <row r="3624" spans="1:9" x14ac:dyDescent="0.25">
      <c r="A3624" s="50" t="s">
        <v>50</v>
      </c>
      <c r="B3624" s="68" t="str">
        <f>VLOOKUP(A3624,'Componentes APUs'!$H$1:$L$25,2,0)</f>
        <v>Profesional en SST</v>
      </c>
      <c r="C3624" s="93">
        <v>0.25</v>
      </c>
      <c r="D3624" s="50">
        <f>VLOOKUP(A3624,'Componentes APUs'!$H$1:$L$25,3,0)</f>
        <v>2.5</v>
      </c>
      <c r="E3624" s="51">
        <f>VLOOKUP(A3624,'Componentes APUs'!$H$1:$L$25,4,0)</f>
        <v>169464.28571428571</v>
      </c>
      <c r="F3624" s="51">
        <f>VLOOKUP(A3624,'Componentes APUs'!$H$1:$L$25,5,0)</f>
        <v>101678.57142857142</v>
      </c>
      <c r="G3624" s="51">
        <f>ROUNDUP((E3624+F3624)*C3624/E3605,0)</f>
        <v>9684</v>
      </c>
    </row>
    <row r="3625" spans="1:9" x14ac:dyDescent="0.25">
      <c r="A3625" s="50" t="s">
        <v>1109</v>
      </c>
      <c r="B3625" s="68" t="str">
        <f>VLOOKUP(A3625,'Componentes APUs'!$H$1:$L$25,2,0)</f>
        <v>Ayudante de Obra Civil</v>
      </c>
      <c r="C3625" s="93">
        <v>1</v>
      </c>
      <c r="D3625" s="50">
        <f>VLOOKUP(A3625,'Componentes APUs'!$H$1:$L$25,3,0)</f>
        <v>1</v>
      </c>
      <c r="E3625" s="51">
        <f>VLOOKUP(A3625,'Componentes APUs'!$H$1:$L$25,4,0)</f>
        <v>77309.523809523816</v>
      </c>
      <c r="F3625" s="51">
        <f>VLOOKUP(A3625,'Componentes APUs'!$H$1:$L$25,5,0)</f>
        <v>46385.71428571429</v>
      </c>
      <c r="G3625" s="51">
        <f>ROUNDUP((E3625+F3625)*C3625/E3605,0)</f>
        <v>17671</v>
      </c>
    </row>
    <row r="3626" spans="1:9" x14ac:dyDescent="0.25">
      <c r="A3626" s="219" t="s">
        <v>56</v>
      </c>
      <c r="B3626" s="219"/>
      <c r="C3626" s="219"/>
      <c r="D3626" s="219"/>
      <c r="E3626" s="219"/>
      <c r="F3626" s="219"/>
      <c r="G3626" s="52">
        <f>SUM(G3620:G3625)</f>
        <v>53862</v>
      </c>
    </row>
    <row r="3627" spans="1:9" x14ac:dyDescent="0.25">
      <c r="A3627" s="56"/>
      <c r="B3627" s="57"/>
      <c r="C3627" s="57"/>
      <c r="D3627" s="57"/>
      <c r="E3627" s="57"/>
      <c r="F3627" s="57"/>
      <c r="G3627" s="58"/>
    </row>
    <row r="3628" spans="1:9" x14ac:dyDescent="0.25">
      <c r="A3628" s="219" t="s">
        <v>57</v>
      </c>
      <c r="B3628" s="219"/>
      <c r="C3628" s="219"/>
      <c r="D3628" s="219"/>
      <c r="E3628" s="219"/>
      <c r="F3628" s="219"/>
      <c r="G3628" s="219"/>
    </row>
    <row r="3629" spans="1:9" x14ac:dyDescent="0.25">
      <c r="A3629" s="49" t="s">
        <v>35</v>
      </c>
      <c r="B3629" s="219" t="s">
        <v>36</v>
      </c>
      <c r="C3629" s="219"/>
      <c r="D3629" s="49" t="s">
        <v>37</v>
      </c>
      <c r="E3629" s="49" t="s">
        <v>38</v>
      </c>
      <c r="F3629" s="49" t="s">
        <v>39</v>
      </c>
      <c r="G3629" s="49" t="s">
        <v>40</v>
      </c>
    </row>
    <row r="3630" spans="1:9" x14ac:dyDescent="0.25">
      <c r="A3630" s="50" t="s">
        <v>326</v>
      </c>
      <c r="B3630" s="220" t="str">
        <f>VLOOKUP(A3630,'Componentes APUs'!$S$1:$V$10,2,0)</f>
        <v>Juego Llaves</v>
      </c>
      <c r="C3630" s="220"/>
      <c r="D3630" s="50" t="s">
        <v>18</v>
      </c>
      <c r="E3630" s="50">
        <v>0</v>
      </c>
      <c r="F3630" s="51">
        <f>VLOOKUP(A3630,'Componentes APUs'!$S$1:$V$10,4,0)</f>
        <v>9167</v>
      </c>
      <c r="G3630" s="51">
        <f>ROUNDUP(F3630*((E3630/21)/E3605),0)</f>
        <v>0</v>
      </c>
      <c r="I3630" s="91"/>
    </row>
    <row r="3631" spans="1:9" x14ac:dyDescent="0.25">
      <c r="A3631" s="50" t="s">
        <v>58</v>
      </c>
      <c r="B3631" s="220" t="str">
        <f>VLOOKUP(A3631,'Componentes APUs'!$S$1:$V$10,2,0)</f>
        <v>Manila de servicio</v>
      </c>
      <c r="C3631" s="220"/>
      <c r="D3631" s="50" t="s">
        <v>18</v>
      </c>
      <c r="E3631" s="50">
        <v>0</v>
      </c>
      <c r="F3631" s="51">
        <f>VLOOKUP(A3631,'Componentes APUs'!$S$1:$V$10,4,0)</f>
        <v>2333</v>
      </c>
      <c r="G3631" s="51">
        <f>ROUNDUP(F3631*((E3631/21)/E3605),0)</f>
        <v>0</v>
      </c>
    </row>
    <row r="3632" spans="1:9" x14ac:dyDescent="0.25">
      <c r="A3632" s="50" t="s">
        <v>327</v>
      </c>
      <c r="B3632" s="220" t="str">
        <f>VLOOKUP(A3632,'Componentes APUs'!$S$1:$V$10,2,0)</f>
        <v>Tula portaherramientas</v>
      </c>
      <c r="C3632" s="220"/>
      <c r="D3632" s="50" t="s">
        <v>18</v>
      </c>
      <c r="E3632" s="50">
        <v>0</v>
      </c>
      <c r="F3632" s="51">
        <f>VLOOKUP(A3632,'Componentes APUs'!$S$1:$V$10,4,0)</f>
        <v>1250</v>
      </c>
      <c r="G3632" s="51">
        <f>ROUNDUP(F3632*((E3632/21)/E3605),0)</f>
        <v>0</v>
      </c>
    </row>
    <row r="3633" spans="1:9" x14ac:dyDescent="0.25">
      <c r="A3633" s="50" t="s">
        <v>60</v>
      </c>
      <c r="B3633" s="220" t="str">
        <f>VLOOKUP(A3633,'Componentes APUs'!$S$1:$V$10,2,0)</f>
        <v>Agarradoras</v>
      </c>
      <c r="C3633" s="220"/>
      <c r="D3633" s="50" t="s">
        <v>18</v>
      </c>
      <c r="E3633" s="50">
        <v>0</v>
      </c>
      <c r="F3633" s="51">
        <f>VLOOKUP(A3633,'Componentes APUs'!$S$1:$V$10,4,0)</f>
        <v>125000</v>
      </c>
      <c r="G3633" s="51">
        <f>ROUNDUP(F3633*((E3633/21)/E3605),0)</f>
        <v>0</v>
      </c>
    </row>
    <row r="3634" spans="1:9" x14ac:dyDescent="0.25">
      <c r="A3634" s="50" t="s">
        <v>62</v>
      </c>
      <c r="B3634" s="220" t="str">
        <f>VLOOKUP(A3634,'Componentes APUs'!$S$1:$V$10,2,0)</f>
        <v>Templadoras</v>
      </c>
      <c r="C3634" s="220"/>
      <c r="D3634" s="50" t="s">
        <v>18</v>
      </c>
      <c r="E3634" s="50">
        <v>0</v>
      </c>
      <c r="F3634" s="51">
        <f>VLOOKUP(A3634,'Componentes APUs'!$S$1:$V$10,4,0)</f>
        <v>250000</v>
      </c>
      <c r="G3634" s="51">
        <f>ROUNDUP(F3634*((E3634/21)/E3605),0)</f>
        <v>0</v>
      </c>
    </row>
    <row r="3635" spans="1:9" x14ac:dyDescent="0.25">
      <c r="A3635" s="50" t="s">
        <v>328</v>
      </c>
      <c r="B3635" s="220" t="str">
        <f>VLOOKUP(A3635,'Componentes APUs'!$S$1:$V$10,2,0)</f>
        <v>Herramienta Menor</v>
      </c>
      <c r="C3635" s="220"/>
      <c r="D3635" s="50" t="s">
        <v>18</v>
      </c>
      <c r="E3635" s="50">
        <v>2</v>
      </c>
      <c r="F3635" s="51">
        <f>VLOOKUP(A3635,'Componentes APUs'!$S$1:$V$10,4,0)</f>
        <v>75758</v>
      </c>
      <c r="G3635" s="51">
        <f>ROUNDUP(F3635*((E3635/21)/E3605),0)</f>
        <v>1031</v>
      </c>
    </row>
    <row r="3636" spans="1:9" x14ac:dyDescent="0.25">
      <c r="A3636" s="219" t="s">
        <v>69</v>
      </c>
      <c r="B3636" s="219"/>
      <c r="C3636" s="219"/>
      <c r="D3636" s="219"/>
      <c r="E3636" s="219"/>
      <c r="F3636" s="219"/>
      <c r="G3636" s="52">
        <f>SUM(G3630:G3635)</f>
        <v>1031</v>
      </c>
    </row>
    <row r="3637" spans="1:9" x14ac:dyDescent="0.25">
      <c r="A3637" s="56"/>
      <c r="B3637" s="57"/>
      <c r="C3637" s="57"/>
      <c r="D3637" s="57"/>
      <c r="E3637" s="57"/>
      <c r="F3637" s="57"/>
      <c r="G3637" s="58"/>
    </row>
    <row r="3638" spans="1:9" x14ac:dyDescent="0.25">
      <c r="A3638" s="219" t="s">
        <v>70</v>
      </c>
      <c r="B3638" s="219"/>
      <c r="C3638" s="219"/>
      <c r="D3638" s="219"/>
      <c r="E3638" s="219"/>
      <c r="F3638" s="219"/>
      <c r="G3638" s="219"/>
    </row>
    <row r="3639" spans="1:9" x14ac:dyDescent="0.25">
      <c r="A3639" s="49" t="s">
        <v>35</v>
      </c>
      <c r="B3639" s="219" t="s">
        <v>36</v>
      </c>
      <c r="C3639" s="219"/>
      <c r="D3639" s="49" t="s">
        <v>37</v>
      </c>
      <c r="E3639" s="49" t="s">
        <v>38</v>
      </c>
      <c r="F3639" s="49" t="s">
        <v>39</v>
      </c>
      <c r="G3639" s="49" t="s">
        <v>40</v>
      </c>
    </row>
    <row r="3640" spans="1:9" x14ac:dyDescent="0.25">
      <c r="A3640" s="50" t="s">
        <v>71</v>
      </c>
      <c r="B3640" s="71" t="str">
        <f>VLOOKUP(A3640,'Componentes APUs'!$A$1:$D$14,2,0)</f>
        <v>Camisa indigo sin partes metalicas</v>
      </c>
      <c r="C3640" s="71"/>
      <c r="D3640" s="50" t="str">
        <f>VLOOKUP(A3640,'Componentes APUs'!$A$1:$D$14,3,0)</f>
        <v>U</v>
      </c>
      <c r="E3640" s="50">
        <f>SUM(C3620:C3625)</f>
        <v>2.25</v>
      </c>
      <c r="F3640" s="51">
        <f>VLOOKUP(A3640,'Componentes APUs'!$A$1:$D$14,4,0)</f>
        <v>8585.8585858585866</v>
      </c>
      <c r="G3640" s="51">
        <f>ROUNDUP(F3640*(E3640/21)/E3605,0)</f>
        <v>132</v>
      </c>
      <c r="I3640" s="91"/>
    </row>
    <row r="3641" spans="1:9" x14ac:dyDescent="0.25">
      <c r="A3641" s="69" t="s">
        <v>73</v>
      </c>
      <c r="B3641" s="72" t="str">
        <f>VLOOKUP(A3641,'Componentes APUs'!$A$1:$D$14,2,0)</f>
        <v>Bota de seguridad dielectrica</v>
      </c>
      <c r="C3641" s="73"/>
      <c r="D3641" s="70" t="str">
        <f>VLOOKUP(A3641,'Componentes APUs'!$A$1:$D$14,3,0)</f>
        <v>Par</v>
      </c>
      <c r="E3641" s="50">
        <f>SUM(C3620:C3625)</f>
        <v>2.25</v>
      </c>
      <c r="F3641" s="51">
        <f>VLOOKUP(A3641,'Componentes APUs'!$A$1:$D$14,4,0)</f>
        <v>7500</v>
      </c>
      <c r="G3641" s="51">
        <f>ROUNDUP(F3641*(E3641/21)/E3605,0)</f>
        <v>115</v>
      </c>
    </row>
    <row r="3642" spans="1:9" x14ac:dyDescent="0.25">
      <c r="A3642" s="50" t="s">
        <v>76</v>
      </c>
      <c r="B3642" s="72" t="str">
        <f>VLOOKUP(A3642,'Componentes APUs'!$A$1:$D$14,2,0)</f>
        <v>Casco dielectrico Tipo 1 Clase E con barbuquejo</v>
      </c>
      <c r="C3642" s="73"/>
      <c r="D3642" s="50" t="str">
        <f>VLOOKUP(A3642,'Componentes APUs'!$A$1:$D$14,3,0)</f>
        <v>U</v>
      </c>
      <c r="E3642" s="50">
        <f>C3620+C3621+C3623+C3624+C3625+IF(A3622&lt;&gt;"MO-3",C3622,0)</f>
        <v>2.25</v>
      </c>
      <c r="F3642" s="51">
        <f>VLOOKUP(A3642,'Componentes APUs'!$A$1:$D$14,4,0)</f>
        <v>10101.010101010101</v>
      </c>
      <c r="G3642" s="51">
        <f>ROUNDUP(F3642*(E3642/21)/E3605,0)</f>
        <v>155</v>
      </c>
    </row>
    <row r="3643" spans="1:9" x14ac:dyDescent="0.25">
      <c r="A3643" s="69" t="s">
        <v>77</v>
      </c>
      <c r="B3643" s="72" t="str">
        <f>VLOOKUP(A3643,'Componentes APUs'!$A$1:$D$14,2,0)</f>
        <v>Correa plastica y antiflama</v>
      </c>
      <c r="C3643" s="73"/>
      <c r="D3643" s="50" t="str">
        <f>VLOOKUP(A3643,'Componentes APUs'!$A$1:$D$14,3,0)</f>
        <v>U</v>
      </c>
      <c r="E3643" s="50">
        <f>SUM(C3620:C3625)</f>
        <v>2.25</v>
      </c>
      <c r="F3643" s="51">
        <f>VLOOKUP(A3643,'Componentes APUs'!$A$1:$D$14,4,0)</f>
        <v>3787.878787878788</v>
      </c>
      <c r="G3643" s="51">
        <f>ROUNDUP(F3643*(E3643/21)/E3605,0)</f>
        <v>58</v>
      </c>
    </row>
    <row r="3644" spans="1:9" x14ac:dyDescent="0.25">
      <c r="A3644" s="50" t="s">
        <v>79</v>
      </c>
      <c r="B3644" s="72" t="str">
        <f>VLOOKUP(A3644,'Componentes APUs'!$A$1:$D$14,2,0)</f>
        <v>Gafas protectoras filtro UV</v>
      </c>
      <c r="C3644" s="73"/>
      <c r="D3644" s="50" t="str">
        <f>VLOOKUP(A3644,'Componentes APUs'!$A$1:$D$14,3,0)</f>
        <v>U</v>
      </c>
      <c r="E3644" s="50">
        <f>SUM(C3620:C3625)</f>
        <v>2.25</v>
      </c>
      <c r="F3644" s="51">
        <f>VLOOKUP(A3644,'Componentes APUs'!$A$1:$D$14,4,0)</f>
        <v>2777.7777777777778</v>
      </c>
      <c r="G3644" s="51">
        <f>ROUNDUP(F3644*(E3644/21)/E3605,0)</f>
        <v>43</v>
      </c>
    </row>
    <row r="3645" spans="1:9" x14ac:dyDescent="0.25">
      <c r="A3645" s="69" t="s">
        <v>402</v>
      </c>
      <c r="B3645" s="72" t="str">
        <f>VLOOKUP(A3645,'Componentes APUs'!$A$1:$D$14,2,0)</f>
        <v>Bota de seguridad PVC dielectrica</v>
      </c>
      <c r="C3645" s="73"/>
      <c r="D3645" s="50" t="str">
        <f>VLOOKUP(A3645,'Componentes APUs'!$A$1:$D$14,3,0)</f>
        <v>Par</v>
      </c>
      <c r="E3645" s="50">
        <f>SUM(C3620:C3625)</f>
        <v>2.25</v>
      </c>
      <c r="F3645" s="51">
        <f>VLOOKUP(A3645,'Componentes APUs'!$A$1:$D$14,4,0)</f>
        <v>2916.6666666666665</v>
      </c>
      <c r="G3645" s="51">
        <f>ROUNDUP(F3645*(E3645/21)/E3605,0)</f>
        <v>45</v>
      </c>
    </row>
    <row r="3646" spans="1:9" x14ac:dyDescent="0.25">
      <c r="A3646" s="50" t="s">
        <v>403</v>
      </c>
      <c r="B3646" s="72" t="str">
        <f>VLOOKUP(A3646,'Componentes APUs'!$A$1:$D$14,2,0)</f>
        <v>Capuchon</v>
      </c>
      <c r="C3646" s="73"/>
      <c r="D3646" s="50" t="str">
        <f>VLOOKUP(A3646,'Componentes APUs'!$A$1:$D$14,3,0)</f>
        <v>U</v>
      </c>
      <c r="E3646" s="50">
        <f>SUM(C3620:C3625)</f>
        <v>2.25</v>
      </c>
      <c r="F3646" s="51">
        <f>VLOOKUP(A3646,'Componentes APUs'!$A$1:$D$14,4,0)</f>
        <v>2525.2525252525252</v>
      </c>
      <c r="G3646" s="51">
        <f>ROUNDUP(F3646*(E3646/21)/E3605,0)</f>
        <v>39</v>
      </c>
    </row>
    <row r="3647" spans="1:9" x14ac:dyDescent="0.25">
      <c r="A3647" s="69" t="s">
        <v>81</v>
      </c>
      <c r="B3647" s="72" t="str">
        <f>VLOOKUP(A3647,'Componentes APUs'!$A$1:$D$14,2,0)</f>
        <v>Guantes Protectores  - ingeniero reforzados</v>
      </c>
      <c r="C3647" s="73"/>
      <c r="D3647" s="50" t="str">
        <f>VLOOKUP(A3647,'Componentes APUs'!$A$1:$D$14,3,0)</f>
        <v>Par</v>
      </c>
      <c r="E3647" s="50">
        <f>C3622+C3623+C3625</f>
        <v>2</v>
      </c>
      <c r="F3647" s="51">
        <f>VLOOKUP(A3647,'Componentes APUs'!$A$1:$D$14,4,0)</f>
        <v>2525.2525252525252</v>
      </c>
      <c r="G3647" s="51">
        <f>ROUNDUP(F3647*(E3647/21)/E3605,0)</f>
        <v>35</v>
      </c>
    </row>
    <row r="3648" spans="1:9" x14ac:dyDescent="0.25">
      <c r="A3648" s="50" t="s">
        <v>83</v>
      </c>
      <c r="B3648" s="72" t="str">
        <f>VLOOKUP(A3648,'Componentes APUs'!$A$1:$D$14,2,0)</f>
        <v>Impermeable (pantalon camisa)</v>
      </c>
      <c r="C3648" s="73"/>
      <c r="D3648" s="50" t="str">
        <f>VLOOKUP(A3648,'Componentes APUs'!$A$1:$D$14,3,0)</f>
        <v>U</v>
      </c>
      <c r="E3648" s="50">
        <f>SUM(C3620:C3625)</f>
        <v>2.25</v>
      </c>
      <c r="F3648" s="51">
        <f>VLOOKUP(A3648,'Componentes APUs'!$A$1:$D$14,4,0)</f>
        <v>3750</v>
      </c>
      <c r="G3648" s="51">
        <f>ROUNDUP(F3648*(E3648/21)/E3605,0)</f>
        <v>58</v>
      </c>
    </row>
    <row r="3649" spans="1:7" x14ac:dyDescent="0.25">
      <c r="A3649" s="69" t="s">
        <v>85</v>
      </c>
      <c r="B3649" s="72" t="str">
        <f>VLOOKUP(A3649,'Componentes APUs'!$A$1:$D$14,2,0)</f>
        <v>Jean Dielectrico</v>
      </c>
      <c r="C3649" s="73"/>
      <c r="D3649" s="50" t="str">
        <f>VLOOKUP(A3649,'Componentes APUs'!$A$1:$D$14,3,0)</f>
        <v>U</v>
      </c>
      <c r="E3649" s="50">
        <f>SUM(C3620:C3625)</f>
        <v>2.25</v>
      </c>
      <c r="F3649" s="51">
        <f>VLOOKUP(A3649,'Componentes APUs'!$A$1:$D$14,4,0)</f>
        <v>7575.757575757576</v>
      </c>
      <c r="G3649" s="51">
        <f>ROUNDUP(F3649*(E3649/21)/E3605,0)</f>
        <v>116</v>
      </c>
    </row>
    <row r="3650" spans="1:7" x14ac:dyDescent="0.25">
      <c r="A3650" s="50" t="s">
        <v>87</v>
      </c>
      <c r="B3650" s="72" t="str">
        <f>VLOOKUP(A3650,'Componentes APUs'!$A$1:$D$14,2,0)</f>
        <v>Casco dielectrico Tipo 2 Clase E con barboquejo</v>
      </c>
      <c r="C3650" s="73"/>
      <c r="D3650" s="50" t="str">
        <f>VLOOKUP(A3650,'Componentes APUs'!$A$1:$D$14,3,0)</f>
        <v>U</v>
      </c>
      <c r="E3650" s="53">
        <f>IF(A3622="MO-3",C3622,0)</f>
        <v>0</v>
      </c>
      <c r="F3650" s="51">
        <f>VLOOKUP(A3650,'Componentes APUs'!$A$1:$D$14,4,0)</f>
        <v>7500</v>
      </c>
      <c r="G3650" s="51">
        <f>ROUNDUP(F3650*(E3650/21)/E3605,0)</f>
        <v>0</v>
      </c>
    </row>
    <row r="3651" spans="1:7" x14ac:dyDescent="0.25">
      <c r="A3651" s="69" t="s">
        <v>89</v>
      </c>
      <c r="B3651" s="72" t="str">
        <f>VLOOKUP(A3651,'Componentes APUs'!$A$1:$D$14,2,0)</f>
        <v>Kit de rescate para trabajo en alturas</v>
      </c>
      <c r="C3651" s="73"/>
      <c r="D3651" s="50" t="str">
        <f>VLOOKUP(A3651,'Componentes APUs'!$A$1:$D$14,3,0)</f>
        <v>U</v>
      </c>
      <c r="E3651" s="50">
        <f>IF(AND(A3622="MO-3",C3622=2),1,0)</f>
        <v>0</v>
      </c>
      <c r="F3651" s="51">
        <f>VLOOKUP(A3651,'Componentes APUs'!$A$1:$D$14,4,0)</f>
        <v>37500</v>
      </c>
      <c r="G3651" s="51">
        <f>ROUNDUP(F3651*(E3651/21)/E3605,0)</f>
        <v>0</v>
      </c>
    </row>
    <row r="3652" spans="1:7" x14ac:dyDescent="0.25">
      <c r="A3652" s="50" t="s">
        <v>91</v>
      </c>
      <c r="B3652" s="72" t="str">
        <f>VLOOKUP(A3652,'Componentes APUs'!$A$1:$D$14,2,0)</f>
        <v>Equipo completo para trabajo en alturas con pretales (Arnes dielectrico, 1 mosqueton de seguridad, tie off dielectrico, eslinga de posicionamiento, juego de pretales)</v>
      </c>
      <c r="C3652" s="73"/>
      <c r="D3652" s="50" t="str">
        <f>VLOOKUP(A3652,'Componentes APUs'!$A$1:$D$14,3,0)</f>
        <v>U</v>
      </c>
      <c r="E3652" s="50">
        <f>IF(A3622="MO-3",C3622,0)</f>
        <v>0</v>
      </c>
      <c r="F3652" s="51">
        <f>VLOOKUP(A3652,'Componentes APUs'!$A$1:$D$14,4,0)</f>
        <v>26041.666666666668</v>
      </c>
      <c r="G3652" s="51">
        <f>ROUNDUP(F3652*(E3652/21)/E3605,0)</f>
        <v>0</v>
      </c>
    </row>
    <row r="3653" spans="1:7" x14ac:dyDescent="0.25">
      <c r="A3653" s="219" t="s">
        <v>95</v>
      </c>
      <c r="B3653" s="219"/>
      <c r="C3653" s="219"/>
      <c r="D3653" s="219"/>
      <c r="E3653" s="219"/>
      <c r="F3653" s="219"/>
      <c r="G3653" s="52">
        <f>SUM(G3640:G3652)</f>
        <v>796</v>
      </c>
    </row>
    <row r="3654" spans="1:7" x14ac:dyDescent="0.25">
      <c r="A3654" s="56"/>
      <c r="B3654" s="57"/>
      <c r="C3654" s="57"/>
      <c r="D3654" s="57"/>
      <c r="E3654" s="57"/>
      <c r="F3654" s="57"/>
      <c r="G3654" s="58"/>
    </row>
    <row r="3655" spans="1:7" x14ac:dyDescent="0.25">
      <c r="A3655" s="219" t="s">
        <v>96</v>
      </c>
      <c r="B3655" s="219"/>
      <c r="C3655" s="219"/>
      <c r="D3655" s="219"/>
      <c r="E3655" s="219"/>
      <c r="F3655" s="219"/>
      <c r="G3655" s="219"/>
    </row>
    <row r="3656" spans="1:7" x14ac:dyDescent="0.25">
      <c r="A3656" s="49" t="s">
        <v>35</v>
      </c>
      <c r="B3656" s="225" t="s">
        <v>36</v>
      </c>
      <c r="C3656" s="225"/>
      <c r="D3656" s="49" t="s">
        <v>37</v>
      </c>
      <c r="E3656" s="49" t="s">
        <v>38</v>
      </c>
      <c r="F3656" s="49" t="s">
        <v>39</v>
      </c>
      <c r="G3656" s="49" t="s">
        <v>40</v>
      </c>
    </row>
    <row r="3657" spans="1:7" x14ac:dyDescent="0.25">
      <c r="A3657" s="69" t="s">
        <v>97</v>
      </c>
      <c r="B3657" s="72" t="str">
        <f>VLOOKUP(A3657,'Componentes APUs'!$N$1:$Q$30,2,0)</f>
        <v>Camioneta</v>
      </c>
      <c r="C3657" s="73"/>
      <c r="D3657" s="70" t="str">
        <f>VLOOKUP(A3657,'Componentes APUs'!$N$1:$Q$30,3,0)</f>
        <v>U</v>
      </c>
      <c r="E3657" s="50">
        <v>0.5</v>
      </c>
      <c r="F3657" s="51">
        <f>VLOOKUP(A3657,'Componentes APUs'!$N$1:$Q$30,4,0)</f>
        <v>5500000</v>
      </c>
      <c r="G3657" s="51">
        <f>IFERROR(ROUNDUP(F3657*(E3657/21)/E3605,0),"-")</f>
        <v>18708</v>
      </c>
    </row>
    <row r="3658" spans="1:7" x14ac:dyDescent="0.25">
      <c r="A3658" s="50" t="s">
        <v>321</v>
      </c>
      <c r="B3658" s="72" t="str">
        <f>VLOOKUP(A3658,'Componentes APUs'!$N$1:$Q$30,2,0)</f>
        <v>Grúa Hidráulica</v>
      </c>
      <c r="C3658" s="73"/>
      <c r="D3658" s="70" t="str">
        <f>VLOOKUP(A3658,'Componentes APUs'!$N$1:$Q$30,3,0)</f>
        <v>U</v>
      </c>
      <c r="E3658" s="50">
        <v>0</v>
      </c>
      <c r="F3658" s="51">
        <f>VLOOKUP(A3658,'Componentes APUs'!$N$1:$Q$30,4,0)</f>
        <v>21000000</v>
      </c>
      <c r="G3658" s="51">
        <f>IFERROR(ROUNDUP(F3658*(E3658/21)/E3605,0),"-")</f>
        <v>0</v>
      </c>
    </row>
    <row r="3659" spans="1:7" x14ac:dyDescent="0.25">
      <c r="A3659" s="69" t="s">
        <v>1379</v>
      </c>
      <c r="B3659" s="72" t="str">
        <f>VLOOKUP(A3659,'Componentes APUs'!$N$1:$Q$30,2,0)</f>
        <v>Dumper de descarga Frontal 2T</v>
      </c>
      <c r="C3659" s="73"/>
      <c r="D3659" s="70" t="str">
        <f>VLOOKUP(A3659,'Componentes APUs'!$N$1:$Q$30,3,0)</f>
        <v>U</v>
      </c>
      <c r="E3659" s="50">
        <v>0</v>
      </c>
      <c r="F3659" s="51">
        <f>VLOOKUP(A3659,'Componentes APUs'!$N$1:$Q$30,4,0)</f>
        <v>4438716.24</v>
      </c>
      <c r="G3659" s="51">
        <f>IFERROR(ROUNDUP(F3659*(E3659/21)/E3605,0),"-")</f>
        <v>0</v>
      </c>
    </row>
    <row r="3660" spans="1:7" x14ac:dyDescent="0.25">
      <c r="A3660" s="50" t="s">
        <v>323</v>
      </c>
      <c r="B3660" s="72" t="str">
        <f>VLOOKUP(A3660,'Componentes APUs'!$N$1:$Q$30,2,0)</f>
        <v>Volqueta</v>
      </c>
      <c r="C3660" s="73"/>
      <c r="D3660" s="70" t="str">
        <f>VLOOKUP(A3660,'Componentes APUs'!$N$1:$Q$30,3,0)</f>
        <v>U</v>
      </c>
      <c r="E3660" s="50">
        <v>0</v>
      </c>
      <c r="F3660" s="51">
        <f>VLOOKUP(A3660,'Componentes APUs'!$N$1:$Q$30,4,0)</f>
        <v>14828184</v>
      </c>
      <c r="G3660" s="51">
        <f>IFERROR(ROUNDUP(F3660*(E3660/21)/E3605,0),"-")</f>
        <v>0</v>
      </c>
    </row>
    <row r="3661" spans="1:7" x14ac:dyDescent="0.25">
      <c r="A3661" s="69" t="s">
        <v>324</v>
      </c>
      <c r="B3661" s="72" t="str">
        <f>VLOOKUP(A3661,'Componentes APUs'!$N$1:$Q$30,2,0)</f>
        <v>Retroexcavadora</v>
      </c>
      <c r="C3661" s="73"/>
      <c r="D3661" s="70" t="str">
        <f>VLOOKUP(A3661,'Componentes APUs'!$N$1:$Q$30,3,0)</f>
        <v>U</v>
      </c>
      <c r="E3661" s="50">
        <v>0</v>
      </c>
      <c r="F3661" s="51">
        <f>VLOOKUP(A3661,'Componentes APUs'!$N$1:$Q$30,4,0)</f>
        <v>46030656</v>
      </c>
      <c r="G3661" s="51">
        <f>IFERROR(ROUNDUP(F3661*(E3661/21)/E3605,0),"-")</f>
        <v>0</v>
      </c>
    </row>
    <row r="3662" spans="1:7" x14ac:dyDescent="0.25">
      <c r="A3662" s="219" t="s">
        <v>99</v>
      </c>
      <c r="B3662" s="219"/>
      <c r="C3662" s="219"/>
      <c r="D3662" s="219"/>
      <c r="E3662" s="219"/>
      <c r="F3662" s="219"/>
      <c r="G3662" s="52">
        <f>SUM(G3657:G3661)</f>
        <v>18708</v>
      </c>
    </row>
    <row r="3663" spans="1:7" x14ac:dyDescent="0.25">
      <c r="A3663" s="56"/>
      <c r="B3663" s="57"/>
      <c r="C3663" s="57"/>
      <c r="D3663" s="57"/>
      <c r="E3663" s="57"/>
      <c r="F3663" s="57"/>
      <c r="G3663" s="58"/>
    </row>
    <row r="3664" spans="1:7" x14ac:dyDescent="0.25">
      <c r="A3664" s="219" t="s">
        <v>1516</v>
      </c>
      <c r="B3664" s="219"/>
      <c r="C3664" s="219"/>
      <c r="D3664" s="219"/>
      <c r="E3664" s="219"/>
      <c r="F3664" s="219"/>
      <c r="G3664" s="52">
        <f>G3662+G3653+G3636+G3626+G3616</f>
        <v>906527</v>
      </c>
    </row>
    <row r="3665" spans="1:8" x14ac:dyDescent="0.25">
      <c r="A3665" s="59"/>
      <c r="B3665" s="60"/>
      <c r="C3665" s="60"/>
      <c r="D3665" s="60"/>
      <c r="E3665" s="57"/>
      <c r="F3665" s="57"/>
      <c r="G3665" s="58"/>
    </row>
    <row r="3666" spans="1:8" x14ac:dyDescent="0.25">
      <c r="A3666" s="64"/>
      <c r="D3666" s="55"/>
      <c r="E3666" s="49" t="s">
        <v>25</v>
      </c>
      <c r="F3666" s="54">
        <v>0.15</v>
      </c>
      <c r="G3666" s="51">
        <f>G3664*F3666</f>
        <v>135979.04999999999</v>
      </c>
    </row>
    <row r="3667" spans="1:8" x14ac:dyDescent="0.25">
      <c r="A3667" s="64"/>
      <c r="D3667" s="55"/>
      <c r="E3667" s="49" t="s">
        <v>26</v>
      </c>
      <c r="F3667" s="54">
        <v>0.05</v>
      </c>
      <c r="G3667" s="51">
        <f>G3664*F3667</f>
        <v>45326.350000000006</v>
      </c>
    </row>
    <row r="3668" spans="1:8" x14ac:dyDescent="0.25">
      <c r="A3668" s="61"/>
      <c r="B3668" s="65"/>
      <c r="C3668" s="65"/>
      <c r="D3668" s="62"/>
      <c r="E3668" s="49" t="s">
        <v>27</v>
      </c>
      <c r="F3668" s="54">
        <v>0.05</v>
      </c>
      <c r="G3668" s="51">
        <f>G3664*F3668</f>
        <v>45326.350000000006</v>
      </c>
    </row>
    <row r="3669" spans="1:8" x14ac:dyDescent="0.25">
      <c r="A3669" s="61"/>
      <c r="B3669" s="62"/>
      <c r="C3669" s="62"/>
      <c r="D3669" s="62"/>
      <c r="E3669" s="62"/>
      <c r="F3669" s="62"/>
      <c r="G3669" s="63"/>
    </row>
    <row r="3670" spans="1:8" x14ac:dyDescent="0.25">
      <c r="A3670" s="219" t="s">
        <v>1517</v>
      </c>
      <c r="B3670" s="219"/>
      <c r="C3670" s="219"/>
      <c r="D3670" s="219"/>
      <c r="E3670" s="219"/>
      <c r="F3670" s="219"/>
      <c r="G3670" s="52">
        <f>G3664+G3666+G3667+G3668</f>
        <v>1133158.7500000002</v>
      </c>
    </row>
    <row r="3671" spans="1:8" x14ac:dyDescent="0.25">
      <c r="A3671" s="59"/>
      <c r="B3671" s="60"/>
      <c r="C3671" s="60"/>
      <c r="D3671" s="60"/>
      <c r="E3671" s="57"/>
      <c r="F3671" s="57"/>
      <c r="G3671" s="58"/>
    </row>
    <row r="3672" spans="1:8" x14ac:dyDescent="0.25">
      <c r="A3672" s="64"/>
      <c r="D3672" s="55"/>
      <c r="E3672" s="49" t="s">
        <v>102</v>
      </c>
      <c r="F3672" s="49" t="s">
        <v>103</v>
      </c>
      <c r="G3672" s="51">
        <f>G3668*19%</f>
        <v>8612.0065000000013</v>
      </c>
    </row>
    <row r="3673" spans="1:8" x14ac:dyDescent="0.25">
      <c r="A3673" s="61"/>
      <c r="B3673" s="62"/>
      <c r="C3673" s="62"/>
      <c r="D3673" s="62"/>
      <c r="E3673" s="57"/>
      <c r="F3673" s="57"/>
      <c r="G3673" s="58"/>
    </row>
    <row r="3674" spans="1:8" x14ac:dyDescent="0.25">
      <c r="A3674" s="219" t="s">
        <v>104</v>
      </c>
      <c r="B3674" s="219"/>
      <c r="C3674" s="219"/>
      <c r="D3674" s="219"/>
      <c r="E3674" s="219"/>
      <c r="F3674" s="219"/>
      <c r="G3674" s="52">
        <f>G3672+G3670</f>
        <v>1141770.7565000001</v>
      </c>
    </row>
    <row r="3676" spans="1:8" x14ac:dyDescent="0.25">
      <c r="A3676" s="74" t="s">
        <v>29</v>
      </c>
      <c r="B3676" s="226" t="s">
        <v>30</v>
      </c>
      <c r="C3676" s="226"/>
      <c r="D3676" s="74" t="s">
        <v>31</v>
      </c>
      <c r="E3676" s="74" t="s">
        <v>32</v>
      </c>
      <c r="F3676" s="74" t="s">
        <v>189</v>
      </c>
      <c r="G3676" s="74" t="s">
        <v>33</v>
      </c>
      <c r="H3676" s="105"/>
    </row>
    <row r="3677" spans="1:8" x14ac:dyDescent="0.25">
      <c r="A3677" s="50" t="str">
        <f>Presupuesto!B73</f>
        <v>058_OC</v>
      </c>
      <c r="B3677" s="229" t="str">
        <f>Presupuesto!C73</f>
        <v>CAJA SANITARIA DE 80X80x80 CM</v>
      </c>
      <c r="C3677" s="230"/>
      <c r="D3677" s="50" t="s">
        <v>18</v>
      </c>
      <c r="E3677" s="107">
        <v>5</v>
      </c>
      <c r="F3677" s="50"/>
      <c r="G3677" s="51">
        <f>G3746</f>
        <v>1201293.4669999999</v>
      </c>
      <c r="H3677" s="45"/>
    </row>
    <row r="3678" spans="1:8" x14ac:dyDescent="0.25">
      <c r="A3678" s="219" t="s">
        <v>34</v>
      </c>
      <c r="B3678" s="219"/>
      <c r="C3678" s="219"/>
      <c r="D3678" s="219"/>
      <c r="E3678" s="219"/>
      <c r="F3678" s="219"/>
      <c r="G3678" s="219"/>
    </row>
    <row r="3679" spans="1:8" x14ac:dyDescent="0.25">
      <c r="A3679" s="49" t="s">
        <v>35</v>
      </c>
      <c r="B3679" s="219" t="s">
        <v>36</v>
      </c>
      <c r="C3679" s="219"/>
      <c r="D3679" s="49" t="s">
        <v>37</v>
      </c>
      <c r="E3679" s="49" t="s">
        <v>38</v>
      </c>
      <c r="F3679" s="49" t="s">
        <v>39</v>
      </c>
      <c r="G3679" s="49" t="s">
        <v>40</v>
      </c>
    </row>
    <row r="3680" spans="1:8" x14ac:dyDescent="0.25">
      <c r="A3680" s="50" t="str">
        <f>Material!A460</f>
        <v>MA-459</v>
      </c>
      <c r="B3680" s="72" t="str">
        <f>IFERROR(VLOOKUP(A3680,Material!$A:$H,2,0),"-")</f>
        <v>CONCRETO 4000 PSI</v>
      </c>
      <c r="C3680" s="76"/>
      <c r="D3680" s="50" t="str">
        <f>IFERROR(VLOOKUP(A3680,Material!$A:$H,4,0),"-")</f>
        <v>M3</v>
      </c>
      <c r="E3680" s="96">
        <v>0.28899999999999998</v>
      </c>
      <c r="F3680" s="51">
        <f>IFERROR(VLOOKUP(A3680,Material!$A:$H,3,0),"-")</f>
        <v>813410.53161779384</v>
      </c>
      <c r="G3680" s="51">
        <f t="shared" ref="G3680" si="58">IFERROR(ROUNDUP(F3680*E3680,0),"-")</f>
        <v>235076</v>
      </c>
      <c r="H3680" s="106"/>
    </row>
    <row r="3681" spans="1:9" x14ac:dyDescent="0.25">
      <c r="A3681" s="50" t="str">
        <f>Material!A461</f>
        <v>MA-460</v>
      </c>
      <c r="B3681" s="72" t="str">
        <f>IFERROR(VLOOKUP(A3681,Material!$A:$H,2,0),"-")</f>
        <v>LADRILLO TOLETE 20 X 10 X 6 cm</v>
      </c>
      <c r="C3681" s="76"/>
      <c r="D3681" s="50" t="str">
        <f>IFERROR(VLOOKUP(A3681,Material!$A:$H,4,0),"-")</f>
        <v>UN</v>
      </c>
      <c r="E3681" s="53">
        <v>248</v>
      </c>
      <c r="F3681" s="51">
        <f>IFERROR(VLOOKUP(A3681,Material!$A:$H,3,0),"-")</f>
        <v>1170</v>
      </c>
      <c r="G3681" s="51">
        <f>IFERROR(ROUNDUP(F3681*E3681,0),"-")</f>
        <v>290160</v>
      </c>
      <c r="H3681" s="106"/>
    </row>
    <row r="3682" spans="1:9" x14ac:dyDescent="0.25">
      <c r="A3682" s="50" t="str">
        <f>Material!A282</f>
        <v>MA-281</v>
      </c>
      <c r="B3682" s="72" t="str">
        <f>IFERROR(VLOOKUP(A3682,Material!$A:$H,2,0),"-")</f>
        <v>AGUA</v>
      </c>
      <c r="C3682" s="76"/>
      <c r="D3682" s="50" t="str">
        <f>IFERROR(VLOOKUP(A3682,Material!$A:$H,4,0),"-")</f>
        <v>M3</v>
      </c>
      <c r="E3682" s="107">
        <v>2.9000000000000001E-2</v>
      </c>
      <c r="F3682" s="51">
        <f>IFERROR(VLOOKUP(A3682,Material!$A:$H,3,0),"-")</f>
        <v>94.9</v>
      </c>
      <c r="G3682" s="51">
        <f>IFERROR(ROUNDUP(F3682*E3682,0),"-")</f>
        <v>3</v>
      </c>
      <c r="H3682" s="106"/>
    </row>
    <row r="3683" spans="1:9" x14ac:dyDescent="0.25">
      <c r="A3683" s="50" t="str">
        <f>Material!A361</f>
        <v>MA-360</v>
      </c>
      <c r="B3683" s="72" t="str">
        <f>IFERROR(VLOOKUP(A3683,Material!$A:$H,2,0),"-")</f>
        <v>ARENA DE CANTERA, PARA MORTERO PREPARADO EN OBRA</v>
      </c>
      <c r="C3683" s="76"/>
      <c r="D3683" s="50" t="str">
        <f>IFERROR(VLOOKUP(A3683,Material!$A:$H,4,0),"-")</f>
        <v>T</v>
      </c>
      <c r="E3683" s="107">
        <v>0.22500000000000001</v>
      </c>
      <c r="F3683" s="51">
        <f>IFERROR(VLOOKUP(A3683,Material!$A:$H,3,0),"-")</f>
        <v>58500</v>
      </c>
      <c r="G3683" s="51">
        <f t="shared" ref="G3683:G3687" si="59">IFERROR(ROUNDUP(F3683*E3683,0),"-")</f>
        <v>13163</v>
      </c>
      <c r="H3683" s="106"/>
    </row>
    <row r="3684" spans="1:9" x14ac:dyDescent="0.25">
      <c r="A3684" s="50" t="str">
        <f>Material!A311</f>
        <v>MA-310</v>
      </c>
      <c r="B3684" s="72" t="str">
        <f>IFERROR(VLOOKUP(A3684,Material!$A:$H,2,0),"-")</f>
        <v>CEMENTO GRIS</v>
      </c>
      <c r="C3684" s="76"/>
      <c r="D3684" s="50" t="str">
        <f>IFERROR(VLOOKUP(A3684,Material!$A:$H,4,0),"-")</f>
        <v>KG</v>
      </c>
      <c r="E3684" s="107">
        <v>45.744</v>
      </c>
      <c r="F3684" s="51">
        <f>IFERROR(VLOOKUP(A3684,Material!$A:$H,3,0),"-")</f>
        <v>845</v>
      </c>
      <c r="G3684" s="51">
        <f t="shared" si="59"/>
        <v>38654</v>
      </c>
      <c r="H3684" s="106"/>
    </row>
    <row r="3685" spans="1:9" x14ac:dyDescent="0.25">
      <c r="A3685" s="50" t="str">
        <f>Material!A486</f>
        <v>MA-485</v>
      </c>
      <c r="B3685" s="72" t="str">
        <f>IFERROR(VLOOKUP(A3685,Material!$A:$H,2,0),"-")</f>
        <v>TAPA DE CONCRETO ARMADO PREFABRICADA</v>
      </c>
      <c r="C3685" s="76"/>
      <c r="D3685" s="50" t="str">
        <f>IFERROR(VLOOKUP(A3685,Material!$A:$H,4,0),"-")</f>
        <v>UN</v>
      </c>
      <c r="E3685" s="107">
        <v>1</v>
      </c>
      <c r="F3685" s="51">
        <f>IFERROR(VLOOKUP(A3685,Material!$A:$H,3,0),"-")</f>
        <v>204466.6</v>
      </c>
      <c r="G3685" s="51">
        <f t="shared" si="59"/>
        <v>204467</v>
      </c>
      <c r="H3685" s="106"/>
    </row>
    <row r="3686" spans="1:9" x14ac:dyDescent="0.25">
      <c r="A3686" s="50" t="str">
        <f>Material!A487</f>
        <v>MA-486</v>
      </c>
      <c r="B3686" s="72" t="str">
        <f>IFERROR(VLOOKUP(A3686,Material!$A:$H,2,0),"-")</f>
        <v>CONJUNTO DE ELEMENTOS NECESARIOS PARA GARANTIZAR EL CIERRE HERMÉTICO AL PASO DE OLORES MEFÍTICOS EN CAJAS DE INSPECCIÓN DE SANEAMIENTO, COMPUESTO POR: ANGULARES Y LÁMINAS METÁLICAS CON SUS ELEMENTOS DE FIJACIÓN Y ANCLAJE, JUNTA DE NEOPRENO, ACEITE Y DEMÁS ACCESORIOS.</v>
      </c>
      <c r="C3686" s="76"/>
      <c r="D3686" s="50" t="str">
        <f>IFERROR(VLOOKUP(A3686,Material!$A:$H,4,0),"-")</f>
        <v>UN</v>
      </c>
      <c r="E3686" s="107">
        <v>1</v>
      </c>
      <c r="F3686" s="51">
        <f>IFERROR(VLOOKUP(A3686,Material!$A:$H,3,0),"-")</f>
        <v>36670.400000000001</v>
      </c>
      <c r="G3686" s="51">
        <f t="shared" si="59"/>
        <v>36671</v>
      </c>
      <c r="H3686" s="106"/>
    </row>
    <row r="3687" spans="1:9" x14ac:dyDescent="0.25">
      <c r="A3687" s="50"/>
      <c r="B3687" s="72" t="str">
        <f>IFERROR(VLOOKUP(A3687,Material!$A:$H,2,0),"-")</f>
        <v>-</v>
      </c>
      <c r="C3687" s="76"/>
      <c r="D3687" s="50" t="str">
        <f>IFERROR(VLOOKUP(A3687,Material!$A:$H,4,0),"-")</f>
        <v>-</v>
      </c>
      <c r="E3687" s="107"/>
      <c r="F3687" s="51" t="str">
        <f>IFERROR(VLOOKUP(A3687,Material!$A:$H,3,0),"-")</f>
        <v>-</v>
      </c>
      <c r="G3687" s="51" t="str">
        <f t="shared" si="59"/>
        <v>-</v>
      </c>
      <c r="H3687" s="106"/>
    </row>
    <row r="3688" spans="1:9" x14ac:dyDescent="0.25">
      <c r="A3688" s="219" t="s">
        <v>41</v>
      </c>
      <c r="B3688" s="219"/>
      <c r="C3688" s="219"/>
      <c r="D3688" s="219"/>
      <c r="E3688" s="219"/>
      <c r="F3688" s="219"/>
      <c r="G3688" s="52">
        <f>SUM(G3680:G3687)</f>
        <v>818194</v>
      </c>
      <c r="I3688" s="104"/>
    </row>
    <row r="3689" spans="1:9" x14ac:dyDescent="0.25">
      <c r="A3689" s="56"/>
      <c r="B3689" s="57"/>
      <c r="C3689" s="57"/>
      <c r="D3689" s="57"/>
      <c r="E3689" s="57"/>
      <c r="F3689" s="57"/>
      <c r="G3689" s="58"/>
    </row>
    <row r="3690" spans="1:9" x14ac:dyDescent="0.25">
      <c r="A3690" s="219" t="s">
        <v>42</v>
      </c>
      <c r="B3690" s="219"/>
      <c r="C3690" s="219"/>
      <c r="D3690" s="219"/>
      <c r="E3690" s="219"/>
      <c r="F3690" s="219"/>
      <c r="G3690" s="219"/>
    </row>
    <row r="3691" spans="1:9" x14ac:dyDescent="0.25">
      <c r="A3691" s="49" t="s">
        <v>35</v>
      </c>
      <c r="B3691" s="49" t="s">
        <v>36</v>
      </c>
      <c r="C3691" s="49" t="s">
        <v>38</v>
      </c>
      <c r="D3691" s="49" t="s">
        <v>43</v>
      </c>
      <c r="E3691" s="49" t="s">
        <v>44</v>
      </c>
      <c r="F3691" s="49" t="s">
        <v>45</v>
      </c>
      <c r="G3691" s="49" t="s">
        <v>40</v>
      </c>
    </row>
    <row r="3692" spans="1:9" x14ac:dyDescent="0.25">
      <c r="A3692" s="50" t="s">
        <v>319</v>
      </c>
      <c r="B3692" s="68" t="str">
        <f>VLOOKUP(A3692,'Componentes APUs'!$H$1:$L$25,2,0)</f>
        <v>Ingeniero Residente de Obra</v>
      </c>
      <c r="C3692" s="93">
        <v>0</v>
      </c>
      <c r="D3692" s="50">
        <f>VLOOKUP(A3692,'Componentes APUs'!$H$1:$L$25,3,0)</f>
        <v>4</v>
      </c>
      <c r="E3692" s="51">
        <f>VLOOKUP(A3692,'Componentes APUs'!$H$1:$L$25,4,0)</f>
        <v>271142.85714285716</v>
      </c>
      <c r="F3692" s="51">
        <f>VLOOKUP(A3692,'Componentes APUs'!$H$1:$L$25,5,0)</f>
        <v>162685.71428571429</v>
      </c>
      <c r="G3692" s="51">
        <f>ROUNDUP((E3692+F3692)*C3692/E3677,0)</f>
        <v>0</v>
      </c>
      <c r="H3692" s="66"/>
    </row>
    <row r="3693" spans="1:9" x14ac:dyDescent="0.25">
      <c r="A3693" s="50" t="s">
        <v>320</v>
      </c>
      <c r="B3693" s="68" t="str">
        <f>VLOOKUP(A3693,'Componentes APUs'!$H$1:$L$25,2,0)</f>
        <v>Tecnico Supervisor</v>
      </c>
      <c r="C3693" s="93">
        <v>0</v>
      </c>
      <c r="D3693" s="50">
        <f>VLOOKUP(A3693,'Componentes APUs'!$H$1:$L$25,3,0)</f>
        <v>2.2999999999999998</v>
      </c>
      <c r="E3693" s="51">
        <f>VLOOKUP(A3693,'Componentes APUs'!$H$1:$L$25,4,0)</f>
        <v>155907.14285714284</v>
      </c>
      <c r="F3693" s="51">
        <f>VLOOKUP(A3693,'Componentes APUs'!$H$1:$L$25,5,0)</f>
        <v>93544.285714285696</v>
      </c>
      <c r="G3693" s="51">
        <f>ROUNDUP((E3693+F3693)*C3693/E3677,0)</f>
        <v>0</v>
      </c>
    </row>
    <row r="3694" spans="1:9" x14ac:dyDescent="0.25">
      <c r="A3694" s="50" t="s">
        <v>54</v>
      </c>
      <c r="B3694" s="68" t="str">
        <f>VLOOKUP(A3694,'Componentes APUs'!$H$1:$L$25,2,0)</f>
        <v>Maestro de obra civil</v>
      </c>
      <c r="C3694" s="93">
        <v>0</v>
      </c>
      <c r="D3694" s="50">
        <f>VLOOKUP(A3694,'Componentes APUs'!$H$1:$L$25,3,0)</f>
        <v>2.5</v>
      </c>
      <c r="E3694" s="51">
        <f>VLOOKUP(A3694,'Componentes APUs'!$H$1:$L$25,4,0)</f>
        <v>169464.28571428571</v>
      </c>
      <c r="F3694" s="51">
        <f>VLOOKUP(A3694,'Componentes APUs'!$H$1:$L$25,5,0)</f>
        <v>101678.57142857142</v>
      </c>
      <c r="G3694" s="51">
        <f>ROUNDUP((E3694+F3694)*C3694/E3677,0)</f>
        <v>0</v>
      </c>
    </row>
    <row r="3695" spans="1:9" x14ac:dyDescent="0.25">
      <c r="A3695" s="50" t="s">
        <v>1110</v>
      </c>
      <c r="B3695" s="68" t="str">
        <f>VLOOKUP(A3695,'Componentes APUs'!$H$1:$L$25,2,0)</f>
        <v>Oficial de Obra Civil</v>
      </c>
      <c r="C3695" s="93">
        <v>1</v>
      </c>
      <c r="D3695" s="50">
        <f>VLOOKUP(A3695,'Componentes APUs'!$H$1:$L$25,3,0)</f>
        <v>1.5</v>
      </c>
      <c r="E3695" s="51">
        <f>VLOOKUP(A3695,'Componentes APUs'!$H$1:$L$25,4,0)</f>
        <v>115964.28571428571</v>
      </c>
      <c r="F3695" s="51">
        <f>VLOOKUP(A3695,'Componentes APUs'!$H$1:$L$25,5,0)</f>
        <v>69578.57142857142</v>
      </c>
      <c r="G3695" s="51">
        <f>ROUNDUP((E3695+F3695)*C3695/E3677,0)</f>
        <v>37109</v>
      </c>
    </row>
    <row r="3696" spans="1:9" x14ac:dyDescent="0.25">
      <c r="A3696" s="50" t="s">
        <v>50</v>
      </c>
      <c r="B3696" s="68" t="str">
        <f>VLOOKUP(A3696,'Componentes APUs'!$H$1:$L$25,2,0)</f>
        <v>Profesional en SST</v>
      </c>
      <c r="C3696" s="93">
        <v>0.25</v>
      </c>
      <c r="D3696" s="50">
        <f>VLOOKUP(A3696,'Componentes APUs'!$H$1:$L$25,3,0)</f>
        <v>2.5</v>
      </c>
      <c r="E3696" s="51">
        <f>VLOOKUP(A3696,'Componentes APUs'!$H$1:$L$25,4,0)</f>
        <v>169464.28571428571</v>
      </c>
      <c r="F3696" s="51">
        <f>VLOOKUP(A3696,'Componentes APUs'!$H$1:$L$25,5,0)</f>
        <v>101678.57142857142</v>
      </c>
      <c r="G3696" s="51">
        <f>ROUNDUP((E3696+F3696)*C3696/E3677,0)</f>
        <v>13558</v>
      </c>
    </row>
    <row r="3697" spans="1:9" x14ac:dyDescent="0.25">
      <c r="A3697" s="50" t="s">
        <v>1109</v>
      </c>
      <c r="B3697" s="68" t="str">
        <f>VLOOKUP(A3697,'Componentes APUs'!$H$1:$L$25,2,0)</f>
        <v>Ayudante de Obra Civil</v>
      </c>
      <c r="C3697" s="93">
        <v>1</v>
      </c>
      <c r="D3697" s="50">
        <f>VLOOKUP(A3697,'Componentes APUs'!$H$1:$L$25,3,0)</f>
        <v>1</v>
      </c>
      <c r="E3697" s="51">
        <f>VLOOKUP(A3697,'Componentes APUs'!$H$1:$L$25,4,0)</f>
        <v>77309.523809523816</v>
      </c>
      <c r="F3697" s="51">
        <f>VLOOKUP(A3697,'Componentes APUs'!$H$1:$L$25,5,0)</f>
        <v>46385.71428571429</v>
      </c>
      <c r="G3697" s="51">
        <f>ROUNDUP((E3697+F3697)*C3697/E3677,0)</f>
        <v>24740</v>
      </c>
    </row>
    <row r="3698" spans="1:9" x14ac:dyDescent="0.25">
      <c r="A3698" s="219" t="s">
        <v>56</v>
      </c>
      <c r="B3698" s="219"/>
      <c r="C3698" s="219"/>
      <c r="D3698" s="219"/>
      <c r="E3698" s="219"/>
      <c r="F3698" s="219"/>
      <c r="G3698" s="52">
        <f>SUM(G3692:G3697)</f>
        <v>75407</v>
      </c>
    </row>
    <row r="3699" spans="1:9" x14ac:dyDescent="0.25">
      <c r="A3699" s="56"/>
      <c r="B3699" s="57"/>
      <c r="C3699" s="57"/>
      <c r="D3699" s="57"/>
      <c r="E3699" s="57"/>
      <c r="F3699" s="57"/>
      <c r="G3699" s="58"/>
    </row>
    <row r="3700" spans="1:9" x14ac:dyDescent="0.25">
      <c r="A3700" s="219" t="s">
        <v>57</v>
      </c>
      <c r="B3700" s="219"/>
      <c r="C3700" s="219"/>
      <c r="D3700" s="219"/>
      <c r="E3700" s="219"/>
      <c r="F3700" s="219"/>
      <c r="G3700" s="219"/>
    </row>
    <row r="3701" spans="1:9" x14ac:dyDescent="0.25">
      <c r="A3701" s="49" t="s">
        <v>35</v>
      </c>
      <c r="B3701" s="219" t="s">
        <v>36</v>
      </c>
      <c r="C3701" s="219"/>
      <c r="D3701" s="49" t="s">
        <v>37</v>
      </c>
      <c r="E3701" s="49" t="s">
        <v>38</v>
      </c>
      <c r="F3701" s="49" t="s">
        <v>39</v>
      </c>
      <c r="G3701" s="49" t="s">
        <v>40</v>
      </c>
    </row>
    <row r="3702" spans="1:9" x14ac:dyDescent="0.25">
      <c r="A3702" s="50" t="s">
        <v>326</v>
      </c>
      <c r="B3702" s="220" t="str">
        <f>VLOOKUP(A3702,'Componentes APUs'!$S$1:$V$10,2,0)</f>
        <v>Juego Llaves</v>
      </c>
      <c r="C3702" s="220"/>
      <c r="D3702" s="50" t="s">
        <v>18</v>
      </c>
      <c r="E3702" s="50">
        <v>0</v>
      </c>
      <c r="F3702" s="51">
        <f>VLOOKUP(A3702,'Componentes APUs'!$S$1:$V$10,4,0)</f>
        <v>9167</v>
      </c>
      <c r="G3702" s="51">
        <f>ROUNDUP(F3702*((E3702/21)/E3677),0)</f>
        <v>0</v>
      </c>
      <c r="I3702" s="91"/>
    </row>
    <row r="3703" spans="1:9" x14ac:dyDescent="0.25">
      <c r="A3703" s="50" t="s">
        <v>58</v>
      </c>
      <c r="B3703" s="220" t="str">
        <f>VLOOKUP(A3703,'Componentes APUs'!$S$1:$V$10,2,0)</f>
        <v>Manila de servicio</v>
      </c>
      <c r="C3703" s="220"/>
      <c r="D3703" s="50" t="s">
        <v>18</v>
      </c>
      <c r="E3703" s="50">
        <v>0</v>
      </c>
      <c r="F3703" s="51">
        <f>VLOOKUP(A3703,'Componentes APUs'!$S$1:$V$10,4,0)</f>
        <v>2333</v>
      </c>
      <c r="G3703" s="51">
        <f>ROUNDUP(F3703*((E3703/21)/E3677),0)</f>
        <v>0</v>
      </c>
    </row>
    <row r="3704" spans="1:9" x14ac:dyDescent="0.25">
      <c r="A3704" s="50" t="s">
        <v>327</v>
      </c>
      <c r="B3704" s="220" t="str">
        <f>VLOOKUP(A3704,'Componentes APUs'!$S$1:$V$10,2,0)</f>
        <v>Tula portaherramientas</v>
      </c>
      <c r="C3704" s="220"/>
      <c r="D3704" s="50" t="s">
        <v>18</v>
      </c>
      <c r="E3704" s="50">
        <v>0</v>
      </c>
      <c r="F3704" s="51">
        <f>VLOOKUP(A3704,'Componentes APUs'!$S$1:$V$10,4,0)</f>
        <v>1250</v>
      </c>
      <c r="G3704" s="51">
        <f>ROUNDUP(F3704*((E3704/21)/E3677),0)</f>
        <v>0</v>
      </c>
    </row>
    <row r="3705" spans="1:9" x14ac:dyDescent="0.25">
      <c r="A3705" s="50" t="s">
        <v>60</v>
      </c>
      <c r="B3705" s="220" t="str">
        <f>VLOOKUP(A3705,'Componentes APUs'!$S$1:$V$10,2,0)</f>
        <v>Agarradoras</v>
      </c>
      <c r="C3705" s="220"/>
      <c r="D3705" s="50" t="s">
        <v>18</v>
      </c>
      <c r="E3705" s="50">
        <v>0</v>
      </c>
      <c r="F3705" s="51">
        <f>VLOOKUP(A3705,'Componentes APUs'!$S$1:$V$10,4,0)</f>
        <v>125000</v>
      </c>
      <c r="G3705" s="51">
        <f>ROUNDUP(F3705*((E3705/21)/E3677),0)</f>
        <v>0</v>
      </c>
    </row>
    <row r="3706" spans="1:9" x14ac:dyDescent="0.25">
      <c r="A3706" s="50" t="s">
        <v>62</v>
      </c>
      <c r="B3706" s="220" t="str">
        <f>VLOOKUP(A3706,'Componentes APUs'!$S$1:$V$10,2,0)</f>
        <v>Templadoras</v>
      </c>
      <c r="C3706" s="220"/>
      <c r="D3706" s="50" t="s">
        <v>18</v>
      </c>
      <c r="E3706" s="50">
        <v>0</v>
      </c>
      <c r="F3706" s="51">
        <f>VLOOKUP(A3706,'Componentes APUs'!$S$1:$V$10,4,0)</f>
        <v>250000</v>
      </c>
      <c r="G3706" s="51">
        <f>ROUNDUP(F3706*((E3706/21)/E3677),0)</f>
        <v>0</v>
      </c>
    </row>
    <row r="3707" spans="1:9" x14ac:dyDescent="0.25">
      <c r="A3707" s="50" t="s">
        <v>328</v>
      </c>
      <c r="B3707" s="220" t="str">
        <f>VLOOKUP(A3707,'Componentes APUs'!$S$1:$V$10,2,0)</f>
        <v>Herramienta Menor</v>
      </c>
      <c r="C3707" s="220"/>
      <c r="D3707" s="50" t="s">
        <v>18</v>
      </c>
      <c r="E3707" s="50">
        <v>2</v>
      </c>
      <c r="F3707" s="51">
        <f>VLOOKUP(A3707,'Componentes APUs'!$S$1:$V$10,4,0)</f>
        <v>75758</v>
      </c>
      <c r="G3707" s="51">
        <f>ROUNDUP(F3707*((E3707/21)/E3677),0)</f>
        <v>1444</v>
      </c>
    </row>
    <row r="3708" spans="1:9" x14ac:dyDescent="0.25">
      <c r="A3708" s="219" t="s">
        <v>69</v>
      </c>
      <c r="B3708" s="219"/>
      <c r="C3708" s="219"/>
      <c r="D3708" s="219"/>
      <c r="E3708" s="219"/>
      <c r="F3708" s="219"/>
      <c r="G3708" s="52">
        <f>SUM(G3702:G3707)</f>
        <v>1444</v>
      </c>
    </row>
    <row r="3709" spans="1:9" x14ac:dyDescent="0.25">
      <c r="A3709" s="56"/>
      <c r="B3709" s="57"/>
      <c r="C3709" s="57"/>
      <c r="D3709" s="57"/>
      <c r="E3709" s="57"/>
      <c r="F3709" s="57"/>
      <c r="G3709" s="58"/>
    </row>
    <row r="3710" spans="1:9" x14ac:dyDescent="0.25">
      <c r="A3710" s="219" t="s">
        <v>70</v>
      </c>
      <c r="B3710" s="219"/>
      <c r="C3710" s="219"/>
      <c r="D3710" s="219"/>
      <c r="E3710" s="219"/>
      <c r="F3710" s="219"/>
      <c r="G3710" s="219"/>
    </row>
    <row r="3711" spans="1:9" x14ac:dyDescent="0.25">
      <c r="A3711" s="49" t="s">
        <v>35</v>
      </c>
      <c r="B3711" s="219" t="s">
        <v>36</v>
      </c>
      <c r="C3711" s="219"/>
      <c r="D3711" s="49" t="s">
        <v>37</v>
      </c>
      <c r="E3711" s="49" t="s">
        <v>38</v>
      </c>
      <c r="F3711" s="49" t="s">
        <v>39</v>
      </c>
      <c r="G3711" s="49" t="s">
        <v>40</v>
      </c>
    </row>
    <row r="3712" spans="1:9" x14ac:dyDescent="0.25">
      <c r="A3712" s="50" t="s">
        <v>71</v>
      </c>
      <c r="B3712" s="71" t="str">
        <f>VLOOKUP(A3712,'Componentes APUs'!$A$1:$D$14,2,0)</f>
        <v>Camisa indigo sin partes metalicas</v>
      </c>
      <c r="C3712" s="71"/>
      <c r="D3712" s="50" t="str">
        <f>VLOOKUP(A3712,'Componentes APUs'!$A$1:$D$14,3,0)</f>
        <v>U</v>
      </c>
      <c r="E3712" s="50">
        <f>SUM(C3692:C3697)</f>
        <v>2.25</v>
      </c>
      <c r="F3712" s="51">
        <f>VLOOKUP(A3712,'Componentes APUs'!$A$1:$D$14,4,0)</f>
        <v>8585.8585858585866</v>
      </c>
      <c r="G3712" s="51">
        <f>ROUNDUP(F3712*(E3712/21)/E3677,0)</f>
        <v>184</v>
      </c>
      <c r="I3712" s="91"/>
    </row>
    <row r="3713" spans="1:7" x14ac:dyDescent="0.25">
      <c r="A3713" s="69" t="s">
        <v>73</v>
      </c>
      <c r="B3713" s="72" t="str">
        <f>VLOOKUP(A3713,'Componentes APUs'!$A$1:$D$14,2,0)</f>
        <v>Bota de seguridad dielectrica</v>
      </c>
      <c r="C3713" s="73"/>
      <c r="D3713" s="70" t="str">
        <f>VLOOKUP(A3713,'Componentes APUs'!$A$1:$D$14,3,0)</f>
        <v>Par</v>
      </c>
      <c r="E3713" s="50">
        <f>SUM(C3692:C3697)</f>
        <v>2.25</v>
      </c>
      <c r="F3713" s="51">
        <f>VLOOKUP(A3713,'Componentes APUs'!$A$1:$D$14,4,0)</f>
        <v>7500</v>
      </c>
      <c r="G3713" s="51">
        <f>ROUNDUP(F3713*(E3713/21)/E3677,0)</f>
        <v>161</v>
      </c>
    </row>
    <row r="3714" spans="1:7" x14ac:dyDescent="0.25">
      <c r="A3714" s="50" t="s">
        <v>76</v>
      </c>
      <c r="B3714" s="72" t="str">
        <f>VLOOKUP(A3714,'Componentes APUs'!$A$1:$D$14,2,0)</f>
        <v>Casco dielectrico Tipo 1 Clase E con barbuquejo</v>
      </c>
      <c r="C3714" s="73"/>
      <c r="D3714" s="50" t="str">
        <f>VLOOKUP(A3714,'Componentes APUs'!$A$1:$D$14,3,0)</f>
        <v>U</v>
      </c>
      <c r="E3714" s="50">
        <f>C3692+C3693+C3695+C3696+C3697+IF(A3694&lt;&gt;"MO-3",C3694,0)</f>
        <v>2.25</v>
      </c>
      <c r="F3714" s="51">
        <f>VLOOKUP(A3714,'Componentes APUs'!$A$1:$D$14,4,0)</f>
        <v>10101.010101010101</v>
      </c>
      <c r="G3714" s="51">
        <f>ROUNDUP(F3714*(E3714/21)/E3677,0)</f>
        <v>217</v>
      </c>
    </row>
    <row r="3715" spans="1:7" x14ac:dyDescent="0.25">
      <c r="A3715" s="69" t="s">
        <v>77</v>
      </c>
      <c r="B3715" s="72" t="str">
        <f>VLOOKUP(A3715,'Componentes APUs'!$A$1:$D$14,2,0)</f>
        <v>Correa plastica y antiflama</v>
      </c>
      <c r="C3715" s="73"/>
      <c r="D3715" s="50" t="str">
        <f>VLOOKUP(A3715,'Componentes APUs'!$A$1:$D$14,3,0)</f>
        <v>U</v>
      </c>
      <c r="E3715" s="50">
        <f>SUM(C3692:C3697)</f>
        <v>2.25</v>
      </c>
      <c r="F3715" s="51">
        <f>VLOOKUP(A3715,'Componentes APUs'!$A$1:$D$14,4,0)</f>
        <v>3787.878787878788</v>
      </c>
      <c r="G3715" s="51">
        <f>ROUNDUP(F3715*(E3715/21)/E3677,0)</f>
        <v>82</v>
      </c>
    </row>
    <row r="3716" spans="1:7" x14ac:dyDescent="0.25">
      <c r="A3716" s="50" t="s">
        <v>79</v>
      </c>
      <c r="B3716" s="72" t="str">
        <f>VLOOKUP(A3716,'Componentes APUs'!$A$1:$D$14,2,0)</f>
        <v>Gafas protectoras filtro UV</v>
      </c>
      <c r="C3716" s="73"/>
      <c r="D3716" s="50" t="str">
        <f>VLOOKUP(A3716,'Componentes APUs'!$A$1:$D$14,3,0)</f>
        <v>U</v>
      </c>
      <c r="E3716" s="50">
        <f>SUM(C3692:C3697)</f>
        <v>2.25</v>
      </c>
      <c r="F3716" s="51">
        <f>VLOOKUP(A3716,'Componentes APUs'!$A$1:$D$14,4,0)</f>
        <v>2777.7777777777778</v>
      </c>
      <c r="G3716" s="51">
        <f>ROUNDUP(F3716*(E3716/21)/E3677,0)</f>
        <v>60</v>
      </c>
    </row>
    <row r="3717" spans="1:7" x14ac:dyDescent="0.25">
      <c r="A3717" s="69" t="s">
        <v>402</v>
      </c>
      <c r="B3717" s="72" t="str">
        <f>VLOOKUP(A3717,'Componentes APUs'!$A$1:$D$14,2,0)</f>
        <v>Bota de seguridad PVC dielectrica</v>
      </c>
      <c r="C3717" s="73"/>
      <c r="D3717" s="50" t="str">
        <f>VLOOKUP(A3717,'Componentes APUs'!$A$1:$D$14,3,0)</f>
        <v>Par</v>
      </c>
      <c r="E3717" s="50">
        <f>SUM(C3692:C3697)</f>
        <v>2.25</v>
      </c>
      <c r="F3717" s="51">
        <f>VLOOKUP(A3717,'Componentes APUs'!$A$1:$D$14,4,0)</f>
        <v>2916.6666666666665</v>
      </c>
      <c r="G3717" s="51">
        <f>ROUNDUP(F3717*(E3717/21)/E3677,0)</f>
        <v>63</v>
      </c>
    </row>
    <row r="3718" spans="1:7" x14ac:dyDescent="0.25">
      <c r="A3718" s="50" t="s">
        <v>403</v>
      </c>
      <c r="B3718" s="72" t="str">
        <f>VLOOKUP(A3718,'Componentes APUs'!$A$1:$D$14,2,0)</f>
        <v>Capuchon</v>
      </c>
      <c r="C3718" s="73"/>
      <c r="D3718" s="50" t="str">
        <f>VLOOKUP(A3718,'Componentes APUs'!$A$1:$D$14,3,0)</f>
        <v>U</v>
      </c>
      <c r="E3718" s="50">
        <f>SUM(C3692:C3697)</f>
        <v>2.25</v>
      </c>
      <c r="F3718" s="51">
        <f>VLOOKUP(A3718,'Componentes APUs'!$A$1:$D$14,4,0)</f>
        <v>2525.2525252525252</v>
      </c>
      <c r="G3718" s="51">
        <f>ROUNDUP(F3718*(E3718/21)/E3677,0)</f>
        <v>55</v>
      </c>
    </row>
    <row r="3719" spans="1:7" x14ac:dyDescent="0.25">
      <c r="A3719" s="69" t="s">
        <v>81</v>
      </c>
      <c r="B3719" s="72" t="str">
        <f>VLOOKUP(A3719,'Componentes APUs'!$A$1:$D$14,2,0)</f>
        <v>Guantes Protectores  - ingeniero reforzados</v>
      </c>
      <c r="C3719" s="73"/>
      <c r="D3719" s="50" t="str">
        <f>VLOOKUP(A3719,'Componentes APUs'!$A$1:$D$14,3,0)</f>
        <v>Par</v>
      </c>
      <c r="E3719" s="50">
        <f>C3694+C3695+C3697</f>
        <v>2</v>
      </c>
      <c r="F3719" s="51">
        <f>VLOOKUP(A3719,'Componentes APUs'!$A$1:$D$14,4,0)</f>
        <v>2525.2525252525252</v>
      </c>
      <c r="G3719" s="51">
        <f>ROUNDUP(F3719*(E3719/21)/E3677,0)</f>
        <v>49</v>
      </c>
    </row>
    <row r="3720" spans="1:7" x14ac:dyDescent="0.25">
      <c r="A3720" s="50" t="s">
        <v>83</v>
      </c>
      <c r="B3720" s="72" t="str">
        <f>VLOOKUP(A3720,'Componentes APUs'!$A$1:$D$14,2,0)</f>
        <v>Impermeable (pantalon camisa)</v>
      </c>
      <c r="C3720" s="73"/>
      <c r="D3720" s="50" t="str">
        <f>VLOOKUP(A3720,'Componentes APUs'!$A$1:$D$14,3,0)</f>
        <v>U</v>
      </c>
      <c r="E3720" s="50">
        <f>SUM(C3692:C3697)</f>
        <v>2.25</v>
      </c>
      <c r="F3720" s="51">
        <f>VLOOKUP(A3720,'Componentes APUs'!$A$1:$D$14,4,0)</f>
        <v>3750</v>
      </c>
      <c r="G3720" s="51">
        <f>ROUNDUP(F3720*(E3720/21)/E3677,0)</f>
        <v>81</v>
      </c>
    </row>
    <row r="3721" spans="1:7" x14ac:dyDescent="0.25">
      <c r="A3721" s="69" t="s">
        <v>85</v>
      </c>
      <c r="B3721" s="72" t="str">
        <f>VLOOKUP(A3721,'Componentes APUs'!$A$1:$D$14,2,0)</f>
        <v>Jean Dielectrico</v>
      </c>
      <c r="C3721" s="73"/>
      <c r="D3721" s="50" t="str">
        <f>VLOOKUP(A3721,'Componentes APUs'!$A$1:$D$14,3,0)</f>
        <v>U</v>
      </c>
      <c r="E3721" s="50">
        <f>SUM(C3692:C3697)</f>
        <v>2.25</v>
      </c>
      <c r="F3721" s="51">
        <f>VLOOKUP(A3721,'Componentes APUs'!$A$1:$D$14,4,0)</f>
        <v>7575.757575757576</v>
      </c>
      <c r="G3721" s="51">
        <f>ROUNDUP(F3721*(E3721/21)/E3677,0)</f>
        <v>163</v>
      </c>
    </row>
    <row r="3722" spans="1:7" x14ac:dyDescent="0.25">
      <c r="A3722" s="50" t="s">
        <v>87</v>
      </c>
      <c r="B3722" s="72" t="str">
        <f>VLOOKUP(A3722,'Componentes APUs'!$A$1:$D$14,2,0)</f>
        <v>Casco dielectrico Tipo 2 Clase E con barboquejo</v>
      </c>
      <c r="C3722" s="73"/>
      <c r="D3722" s="50" t="str">
        <f>VLOOKUP(A3722,'Componentes APUs'!$A$1:$D$14,3,0)</f>
        <v>U</v>
      </c>
      <c r="E3722" s="53">
        <f>IF(A3694="MO-3",C3694,0)</f>
        <v>0</v>
      </c>
      <c r="F3722" s="51">
        <f>VLOOKUP(A3722,'Componentes APUs'!$A$1:$D$14,4,0)</f>
        <v>7500</v>
      </c>
      <c r="G3722" s="51">
        <f>ROUNDUP(F3722*(E3722/21)/E3677,0)</f>
        <v>0</v>
      </c>
    </row>
    <row r="3723" spans="1:7" x14ac:dyDescent="0.25">
      <c r="A3723" s="69" t="s">
        <v>89</v>
      </c>
      <c r="B3723" s="72" t="str">
        <f>VLOOKUP(A3723,'Componentes APUs'!$A$1:$D$14,2,0)</f>
        <v>Kit de rescate para trabajo en alturas</v>
      </c>
      <c r="C3723" s="73"/>
      <c r="D3723" s="50" t="str">
        <f>VLOOKUP(A3723,'Componentes APUs'!$A$1:$D$14,3,0)</f>
        <v>U</v>
      </c>
      <c r="E3723" s="50">
        <f>IF(AND(A3694="MO-3",C3694=2),1,0)</f>
        <v>0</v>
      </c>
      <c r="F3723" s="51">
        <f>VLOOKUP(A3723,'Componentes APUs'!$A$1:$D$14,4,0)</f>
        <v>37500</v>
      </c>
      <c r="G3723" s="51">
        <f>ROUNDUP(F3723*(E3723/21)/E3677,0)</f>
        <v>0</v>
      </c>
    </row>
    <row r="3724" spans="1:7" x14ac:dyDescent="0.25">
      <c r="A3724" s="50" t="s">
        <v>91</v>
      </c>
      <c r="B3724" s="72" t="str">
        <f>VLOOKUP(A3724,'Componentes APUs'!$A$1:$D$14,2,0)</f>
        <v>Equipo completo para trabajo en alturas con pretales (Arnes dielectrico, 1 mosqueton de seguridad, tie off dielectrico, eslinga de posicionamiento, juego de pretales)</v>
      </c>
      <c r="C3724" s="73"/>
      <c r="D3724" s="50" t="str">
        <f>VLOOKUP(A3724,'Componentes APUs'!$A$1:$D$14,3,0)</f>
        <v>U</v>
      </c>
      <c r="E3724" s="50">
        <f>IF(A3694="MO-3",C3694,0)</f>
        <v>0</v>
      </c>
      <c r="F3724" s="51">
        <f>VLOOKUP(A3724,'Componentes APUs'!$A$1:$D$14,4,0)</f>
        <v>26041.666666666668</v>
      </c>
      <c r="G3724" s="51">
        <f>ROUNDUP(F3724*(E3724/21)/E3677,0)</f>
        <v>0</v>
      </c>
    </row>
    <row r="3725" spans="1:7" x14ac:dyDescent="0.25">
      <c r="A3725" s="219" t="s">
        <v>95</v>
      </c>
      <c r="B3725" s="219"/>
      <c r="C3725" s="219"/>
      <c r="D3725" s="219"/>
      <c r="E3725" s="219"/>
      <c r="F3725" s="219"/>
      <c r="G3725" s="52">
        <f>SUM(G3712:G3724)</f>
        <v>1115</v>
      </c>
    </row>
    <row r="3726" spans="1:7" x14ac:dyDescent="0.25">
      <c r="A3726" s="56"/>
      <c r="B3726" s="57"/>
      <c r="C3726" s="57"/>
      <c r="D3726" s="57"/>
      <c r="E3726" s="57"/>
      <c r="F3726" s="57"/>
      <c r="G3726" s="58"/>
    </row>
    <row r="3727" spans="1:7" x14ac:dyDescent="0.25">
      <c r="A3727" s="219" t="s">
        <v>96</v>
      </c>
      <c r="B3727" s="219"/>
      <c r="C3727" s="219"/>
      <c r="D3727" s="219"/>
      <c r="E3727" s="219"/>
      <c r="F3727" s="219"/>
      <c r="G3727" s="219"/>
    </row>
    <row r="3728" spans="1:7" x14ac:dyDescent="0.25">
      <c r="A3728" s="49" t="s">
        <v>35</v>
      </c>
      <c r="B3728" s="225" t="s">
        <v>36</v>
      </c>
      <c r="C3728" s="225"/>
      <c r="D3728" s="49" t="s">
        <v>37</v>
      </c>
      <c r="E3728" s="49" t="s">
        <v>38</v>
      </c>
      <c r="F3728" s="49" t="s">
        <v>39</v>
      </c>
      <c r="G3728" s="49" t="s">
        <v>40</v>
      </c>
    </row>
    <row r="3729" spans="1:7" x14ac:dyDescent="0.25">
      <c r="A3729" s="69" t="s">
        <v>97</v>
      </c>
      <c r="B3729" s="72" t="str">
        <f>VLOOKUP(A3729,'Componentes APUs'!$N$1:$Q$30,2,0)</f>
        <v>Camioneta</v>
      </c>
      <c r="C3729" s="73"/>
      <c r="D3729" s="70" t="str">
        <f>VLOOKUP(A3729,'Componentes APUs'!$N$1:$Q$30,3,0)</f>
        <v>U</v>
      </c>
      <c r="E3729" s="50">
        <v>1</v>
      </c>
      <c r="F3729" s="51">
        <f>VLOOKUP(A3729,'Componentes APUs'!$N$1:$Q$30,4,0)</f>
        <v>5500000</v>
      </c>
      <c r="G3729" s="51">
        <f>IFERROR(ROUNDUP(F3729*(E3729/21)/E3677,0),"-")</f>
        <v>52381</v>
      </c>
    </row>
    <row r="3730" spans="1:7" x14ac:dyDescent="0.25">
      <c r="A3730" s="50" t="s">
        <v>1473</v>
      </c>
      <c r="B3730" s="72" t="str">
        <f>VLOOKUP(A3730,'Componentes APUs'!$N$1:$Q$30,2,0)</f>
        <v>Concretera</v>
      </c>
      <c r="C3730" s="73"/>
      <c r="D3730" s="70" t="str">
        <f>VLOOKUP(A3730,'Componentes APUs'!$N$1:$Q$30,3,0)</f>
        <v>U</v>
      </c>
      <c r="E3730" s="50">
        <v>1</v>
      </c>
      <c r="F3730" s="51">
        <f>VLOOKUP(A3730,'Componentes APUs'!$N$1:$Q$30,4,0)</f>
        <v>550704</v>
      </c>
      <c r="G3730" s="51">
        <f>IFERROR(ROUNDUP(F3730*(E3730/21)/E3677,0),"-")</f>
        <v>5245</v>
      </c>
    </row>
    <row r="3731" spans="1:7" x14ac:dyDescent="0.25">
      <c r="A3731" s="69" t="s">
        <v>1379</v>
      </c>
      <c r="B3731" s="72" t="str">
        <f>VLOOKUP(A3731,'Componentes APUs'!$N$1:$Q$30,2,0)</f>
        <v>Dumper de descarga Frontal 2T</v>
      </c>
      <c r="C3731" s="73"/>
      <c r="D3731" s="70" t="str">
        <f>VLOOKUP(A3731,'Componentes APUs'!$N$1:$Q$30,3,0)</f>
        <v>U</v>
      </c>
      <c r="E3731" s="50">
        <v>0</v>
      </c>
      <c r="F3731" s="51">
        <f>VLOOKUP(A3731,'Componentes APUs'!$N$1:$Q$30,4,0)</f>
        <v>4438716.24</v>
      </c>
      <c r="G3731" s="51">
        <f>IFERROR(ROUNDUP(F3731*(E3731/21)/E3677,0),"-")</f>
        <v>0</v>
      </c>
    </row>
    <row r="3732" spans="1:7" x14ac:dyDescent="0.25">
      <c r="A3732" s="50" t="s">
        <v>323</v>
      </c>
      <c r="B3732" s="72" t="str">
        <f>VLOOKUP(A3732,'Componentes APUs'!$N$1:$Q$30,2,0)</f>
        <v>Volqueta</v>
      </c>
      <c r="C3732" s="73"/>
      <c r="D3732" s="70" t="str">
        <f>VLOOKUP(A3732,'Componentes APUs'!$N$1:$Q$30,3,0)</f>
        <v>U</v>
      </c>
      <c r="E3732" s="50">
        <v>0</v>
      </c>
      <c r="F3732" s="51">
        <f>VLOOKUP(A3732,'Componentes APUs'!$N$1:$Q$30,4,0)</f>
        <v>14828184</v>
      </c>
      <c r="G3732" s="51">
        <f>IFERROR(ROUNDUP(F3732*(E3732/21)/E3677,0),"-")</f>
        <v>0</v>
      </c>
    </row>
    <row r="3733" spans="1:7" x14ac:dyDescent="0.25">
      <c r="A3733" s="69" t="s">
        <v>324</v>
      </c>
      <c r="B3733" s="72" t="str">
        <f>VLOOKUP(A3733,'Componentes APUs'!$N$1:$Q$30,2,0)</f>
        <v>Retroexcavadora</v>
      </c>
      <c r="C3733" s="73"/>
      <c r="D3733" s="70" t="str">
        <f>VLOOKUP(A3733,'Componentes APUs'!$N$1:$Q$30,3,0)</f>
        <v>U</v>
      </c>
      <c r="E3733" s="50">
        <v>0</v>
      </c>
      <c r="F3733" s="51">
        <f>VLOOKUP(A3733,'Componentes APUs'!$N$1:$Q$30,4,0)</f>
        <v>46030656</v>
      </c>
      <c r="G3733" s="51">
        <f>IFERROR(ROUNDUP(F3733*(E3733/21)/E3677,0),"-")</f>
        <v>0</v>
      </c>
    </row>
    <row r="3734" spans="1:7" x14ac:dyDescent="0.25">
      <c r="A3734" s="219" t="s">
        <v>99</v>
      </c>
      <c r="B3734" s="219"/>
      <c r="C3734" s="219"/>
      <c r="D3734" s="219"/>
      <c r="E3734" s="219"/>
      <c r="F3734" s="219"/>
      <c r="G3734" s="52">
        <f>SUM(G3729:G3733)</f>
        <v>57626</v>
      </c>
    </row>
    <row r="3735" spans="1:7" x14ac:dyDescent="0.25">
      <c r="A3735" s="56"/>
      <c r="B3735" s="57"/>
      <c r="C3735" s="57"/>
      <c r="D3735" s="57"/>
      <c r="E3735" s="57"/>
      <c r="F3735" s="57"/>
      <c r="G3735" s="58"/>
    </row>
    <row r="3736" spans="1:7" x14ac:dyDescent="0.25">
      <c r="A3736" s="219" t="s">
        <v>1516</v>
      </c>
      <c r="B3736" s="219"/>
      <c r="C3736" s="219"/>
      <c r="D3736" s="219"/>
      <c r="E3736" s="219"/>
      <c r="F3736" s="219"/>
      <c r="G3736" s="52">
        <f>G3734+G3725+G3708+G3698+G3688</f>
        <v>953786</v>
      </c>
    </row>
    <row r="3737" spans="1:7" x14ac:dyDescent="0.25">
      <c r="A3737" s="59"/>
      <c r="B3737" s="60"/>
      <c r="C3737" s="60"/>
      <c r="D3737" s="60"/>
      <c r="E3737" s="57"/>
      <c r="F3737" s="57"/>
      <c r="G3737" s="58"/>
    </row>
    <row r="3738" spans="1:7" x14ac:dyDescent="0.25">
      <c r="A3738" s="64"/>
      <c r="D3738" s="55"/>
      <c r="E3738" s="49" t="s">
        <v>25</v>
      </c>
      <c r="F3738" s="54">
        <v>0.15</v>
      </c>
      <c r="G3738" s="51">
        <f>G3736*F3738</f>
        <v>143067.9</v>
      </c>
    </row>
    <row r="3739" spans="1:7" x14ac:dyDescent="0.25">
      <c r="A3739" s="64"/>
      <c r="D3739" s="55"/>
      <c r="E3739" s="49" t="s">
        <v>26</v>
      </c>
      <c r="F3739" s="54">
        <v>0.05</v>
      </c>
      <c r="G3739" s="51">
        <f>G3736*F3739</f>
        <v>47689.3</v>
      </c>
    </row>
    <row r="3740" spans="1:7" x14ac:dyDescent="0.25">
      <c r="A3740" s="61"/>
      <c r="B3740" s="65"/>
      <c r="C3740" s="65"/>
      <c r="D3740" s="62"/>
      <c r="E3740" s="49" t="s">
        <v>27</v>
      </c>
      <c r="F3740" s="54">
        <v>0.05</v>
      </c>
      <c r="G3740" s="51">
        <f>G3736*F3740</f>
        <v>47689.3</v>
      </c>
    </row>
    <row r="3741" spans="1:7" x14ac:dyDescent="0.25">
      <c r="A3741" s="61"/>
      <c r="B3741" s="62"/>
      <c r="C3741" s="62"/>
      <c r="D3741" s="62"/>
      <c r="E3741" s="62"/>
      <c r="F3741" s="62"/>
      <c r="G3741" s="63"/>
    </row>
    <row r="3742" spans="1:7" x14ac:dyDescent="0.25">
      <c r="A3742" s="219" t="s">
        <v>1517</v>
      </c>
      <c r="B3742" s="219"/>
      <c r="C3742" s="219"/>
      <c r="D3742" s="219"/>
      <c r="E3742" s="219"/>
      <c r="F3742" s="219"/>
      <c r="G3742" s="52">
        <f>G3736+G3738+G3739+G3740</f>
        <v>1192232.5</v>
      </c>
    </row>
    <row r="3743" spans="1:7" x14ac:dyDescent="0.25">
      <c r="A3743" s="59"/>
      <c r="B3743" s="60"/>
      <c r="C3743" s="60"/>
      <c r="D3743" s="60"/>
      <c r="E3743" s="57"/>
      <c r="F3743" s="57"/>
      <c r="G3743" s="58"/>
    </row>
    <row r="3744" spans="1:7" x14ac:dyDescent="0.25">
      <c r="A3744" s="64"/>
      <c r="D3744" s="55"/>
      <c r="E3744" s="49" t="s">
        <v>102</v>
      </c>
      <c r="F3744" s="49" t="s">
        <v>103</v>
      </c>
      <c r="G3744" s="51">
        <f>G3740*19%</f>
        <v>9060.9670000000006</v>
      </c>
    </row>
    <row r="3745" spans="1:9" x14ac:dyDescent="0.25">
      <c r="A3745" s="61"/>
      <c r="B3745" s="62"/>
      <c r="C3745" s="62"/>
      <c r="D3745" s="62"/>
      <c r="E3745" s="57"/>
      <c r="F3745" s="57"/>
      <c r="G3745" s="58"/>
    </row>
    <row r="3746" spans="1:9" x14ac:dyDescent="0.25">
      <c r="A3746" s="219" t="s">
        <v>104</v>
      </c>
      <c r="B3746" s="219"/>
      <c r="C3746" s="219"/>
      <c r="D3746" s="219"/>
      <c r="E3746" s="219"/>
      <c r="F3746" s="219"/>
      <c r="G3746" s="52">
        <f>G3744+G3742</f>
        <v>1201293.4669999999</v>
      </c>
    </row>
    <row r="3748" spans="1:9" x14ac:dyDescent="0.25">
      <c r="A3748" s="74" t="s">
        <v>29</v>
      </c>
      <c r="B3748" s="226" t="s">
        <v>30</v>
      </c>
      <c r="C3748" s="226"/>
      <c r="D3748" s="74" t="s">
        <v>31</v>
      </c>
      <c r="E3748" s="74" t="s">
        <v>32</v>
      </c>
      <c r="F3748" s="74" t="s">
        <v>189</v>
      </c>
      <c r="G3748" s="74" t="s">
        <v>33</v>
      </c>
      <c r="H3748" s="105"/>
    </row>
    <row r="3749" spans="1:9" ht="39.75" customHeight="1" x14ac:dyDescent="0.25">
      <c r="A3749" s="50" t="str">
        <f>Presupuesto!B74</f>
        <v>059_OC</v>
      </c>
      <c r="B3749" s="229" t="str">
        <f>Presupuesto!C74</f>
        <v>SUMINISTRO E INSTALACIÓN DE POZO SÉPTICO PLÁSTICO PREFABRICADO DE 1.650 LITROS. INCLUYE EXCAVACIÓN Y ACCESORIOS</v>
      </c>
      <c r="C3749" s="230"/>
      <c r="D3749" s="50" t="s">
        <v>18</v>
      </c>
      <c r="E3749" s="107">
        <v>0.4</v>
      </c>
      <c r="F3749" s="50"/>
      <c r="G3749" s="51">
        <f>G3815</f>
        <v>9041835.8854999989</v>
      </c>
      <c r="H3749" s="45"/>
    </row>
    <row r="3750" spans="1:9" x14ac:dyDescent="0.25">
      <c r="A3750" s="219" t="s">
        <v>34</v>
      </c>
      <c r="B3750" s="219"/>
      <c r="C3750" s="219"/>
      <c r="D3750" s="219"/>
      <c r="E3750" s="219"/>
      <c r="F3750" s="219"/>
      <c r="G3750" s="219"/>
    </row>
    <row r="3751" spans="1:9" x14ac:dyDescent="0.25">
      <c r="A3751" s="49" t="s">
        <v>35</v>
      </c>
      <c r="B3751" s="219" t="s">
        <v>36</v>
      </c>
      <c r="C3751" s="219"/>
      <c r="D3751" s="49" t="s">
        <v>37</v>
      </c>
      <c r="E3751" s="49" t="s">
        <v>38</v>
      </c>
      <c r="F3751" s="49" t="s">
        <v>39</v>
      </c>
      <c r="G3751" s="49" t="s">
        <v>40</v>
      </c>
    </row>
    <row r="3752" spans="1:9" x14ac:dyDescent="0.25">
      <c r="A3752" s="50" t="str">
        <f>Material!A665</f>
        <v>MA-664</v>
      </c>
      <c r="B3752" s="72" t="str">
        <f>IFERROR(VLOOKUP(A3752,Material!$A:$H,2,0),"-")</f>
        <v>TANQUE SÉPTICO EN POLITILENO 100% VIRGEN, CAPACIDAD 1650 LTS</v>
      </c>
      <c r="C3752" s="76"/>
      <c r="D3752" s="50" t="str">
        <f>IFERROR(VLOOKUP(A3752,Material!$A:$H,4,0),"-")</f>
        <v>UN</v>
      </c>
      <c r="E3752" s="96">
        <v>1</v>
      </c>
      <c r="F3752" s="51">
        <f>IFERROR(VLOOKUP(A3752,Material!$A:$H,3,0),"-")</f>
        <v>5460000</v>
      </c>
      <c r="G3752" s="51">
        <f t="shared" ref="G3752" si="60">IFERROR(ROUNDUP(F3752*E3752,0),"-")</f>
        <v>5460000</v>
      </c>
      <c r="H3752" s="106"/>
    </row>
    <row r="3753" spans="1:9" x14ac:dyDescent="0.25">
      <c r="A3753" s="50" t="str">
        <f>Material!A666</f>
        <v>MA-665</v>
      </c>
      <c r="B3753" s="72" t="str">
        <f>IFERROR(VLOOKUP(A3753,Material!$A:$H,2,0),"-")</f>
        <v>KIT DE ACCESORIOS PARA SISTEMA SEPTICO DE 2000 LTS</v>
      </c>
      <c r="C3753" s="76"/>
      <c r="D3753" s="50" t="str">
        <f>IFERROR(VLOOKUP(A3753,Material!$A:$H,4,0),"-")</f>
        <v>UN</v>
      </c>
      <c r="E3753" s="53">
        <v>1</v>
      </c>
      <c r="F3753" s="51">
        <f>IFERROR(VLOOKUP(A3753,Material!$A:$H,3,0),"-")</f>
        <v>390000</v>
      </c>
      <c r="G3753" s="51">
        <f>IFERROR(ROUNDUP(F3753*E3753,0),"-")</f>
        <v>390000</v>
      </c>
      <c r="H3753" s="106"/>
    </row>
    <row r="3754" spans="1:9" x14ac:dyDescent="0.25">
      <c r="A3754" s="50"/>
      <c r="B3754" s="72" t="str">
        <f>IFERROR(VLOOKUP(A3754,Material!$A:$H,2,0),"-")</f>
        <v>-</v>
      </c>
      <c r="C3754" s="76"/>
      <c r="D3754" s="50" t="str">
        <f>IFERROR(VLOOKUP(A3754,Material!$A:$H,4,0),"-")</f>
        <v>-</v>
      </c>
      <c r="E3754" s="107"/>
      <c r="F3754" s="51" t="str">
        <f>IFERROR(VLOOKUP(A3754,Material!$A:$H,3,0),"-")</f>
        <v>-</v>
      </c>
      <c r="G3754" s="51" t="str">
        <f>IFERROR(ROUNDUP(F3754*E3754,0),"-")</f>
        <v>-</v>
      </c>
      <c r="H3754" s="106"/>
    </row>
    <row r="3755" spans="1:9" x14ac:dyDescent="0.25">
      <c r="A3755" s="50"/>
      <c r="B3755" s="72" t="str">
        <f>IFERROR(VLOOKUP(A3755,Material!$A:$H,2,0),"-")</f>
        <v>-</v>
      </c>
      <c r="C3755" s="76"/>
      <c r="D3755" s="50" t="str">
        <f>IFERROR(VLOOKUP(A3755,Material!$A:$H,4,0),"-")</f>
        <v>-</v>
      </c>
      <c r="E3755" s="107"/>
      <c r="F3755" s="51" t="str">
        <f>IFERROR(VLOOKUP(A3755,Material!$A:$H,3,0),"-")</f>
        <v>-</v>
      </c>
      <c r="G3755" s="51" t="str">
        <f t="shared" ref="G3755:G3756" si="61">IFERROR(ROUNDUP(F3755*E3755,0),"-")</f>
        <v>-</v>
      </c>
      <c r="H3755" s="106"/>
    </row>
    <row r="3756" spans="1:9" x14ac:dyDescent="0.25">
      <c r="A3756" s="50"/>
      <c r="B3756" s="72" t="str">
        <f>IFERROR(VLOOKUP(A3756,Material!$A:$H,2,0),"-")</f>
        <v>-</v>
      </c>
      <c r="C3756" s="76"/>
      <c r="D3756" s="50" t="str">
        <f>IFERROR(VLOOKUP(A3756,Material!$A:$H,4,0),"-")</f>
        <v>-</v>
      </c>
      <c r="E3756" s="107"/>
      <c r="F3756" s="51" t="str">
        <f>IFERROR(VLOOKUP(A3756,Material!$A:$H,3,0),"-")</f>
        <v>-</v>
      </c>
      <c r="G3756" s="51" t="str">
        <f t="shared" si="61"/>
        <v>-</v>
      </c>
      <c r="H3756" s="106"/>
    </row>
    <row r="3757" spans="1:9" x14ac:dyDescent="0.25">
      <c r="A3757" s="219" t="s">
        <v>41</v>
      </c>
      <c r="B3757" s="219"/>
      <c r="C3757" s="219"/>
      <c r="D3757" s="219"/>
      <c r="E3757" s="219"/>
      <c r="F3757" s="219"/>
      <c r="G3757" s="52">
        <f>SUM(G3752:G3756)</f>
        <v>5850000</v>
      </c>
      <c r="I3757" s="104"/>
    </row>
    <row r="3758" spans="1:9" x14ac:dyDescent="0.25">
      <c r="A3758" s="56"/>
      <c r="B3758" s="57"/>
      <c r="C3758" s="57"/>
      <c r="D3758" s="57"/>
      <c r="E3758" s="57"/>
      <c r="F3758" s="57"/>
      <c r="G3758" s="58"/>
    </row>
    <row r="3759" spans="1:9" x14ac:dyDescent="0.25">
      <c r="A3759" s="219" t="s">
        <v>42</v>
      </c>
      <c r="B3759" s="219"/>
      <c r="C3759" s="219"/>
      <c r="D3759" s="219"/>
      <c r="E3759" s="219"/>
      <c r="F3759" s="219"/>
      <c r="G3759" s="219"/>
    </row>
    <row r="3760" spans="1:9" x14ac:dyDescent="0.25">
      <c r="A3760" s="49" t="s">
        <v>35</v>
      </c>
      <c r="B3760" s="49" t="s">
        <v>36</v>
      </c>
      <c r="C3760" s="49" t="s">
        <v>38</v>
      </c>
      <c r="D3760" s="49" t="s">
        <v>43</v>
      </c>
      <c r="E3760" s="49" t="s">
        <v>44</v>
      </c>
      <c r="F3760" s="49" t="s">
        <v>45</v>
      </c>
      <c r="G3760" s="49" t="s">
        <v>40</v>
      </c>
    </row>
    <row r="3761" spans="1:9" x14ac:dyDescent="0.25">
      <c r="A3761" s="50" t="s">
        <v>319</v>
      </c>
      <c r="B3761" s="68" t="str">
        <f>VLOOKUP(A3761,'Componentes APUs'!$H$1:$L$25,2,0)</f>
        <v>Ingeniero Residente de Obra</v>
      </c>
      <c r="C3761" s="93">
        <v>0</v>
      </c>
      <c r="D3761" s="50">
        <f>VLOOKUP(A3761,'Componentes APUs'!$H$1:$L$25,3,0)</f>
        <v>4</v>
      </c>
      <c r="E3761" s="51">
        <f>VLOOKUP(A3761,'Componentes APUs'!$H$1:$L$25,4,0)</f>
        <v>271142.85714285716</v>
      </c>
      <c r="F3761" s="51">
        <f>VLOOKUP(A3761,'Componentes APUs'!$H$1:$L$25,5,0)</f>
        <v>162685.71428571429</v>
      </c>
      <c r="G3761" s="51">
        <f>ROUNDUP((E3761+F3761)*C3761/E3749,0)</f>
        <v>0</v>
      </c>
      <c r="H3761" s="66"/>
    </row>
    <row r="3762" spans="1:9" x14ac:dyDescent="0.25">
      <c r="A3762" s="50" t="s">
        <v>320</v>
      </c>
      <c r="B3762" s="68" t="str">
        <f>VLOOKUP(A3762,'Componentes APUs'!$H$1:$L$25,2,0)</f>
        <v>Tecnico Supervisor</v>
      </c>
      <c r="C3762" s="93">
        <v>0</v>
      </c>
      <c r="D3762" s="50">
        <f>VLOOKUP(A3762,'Componentes APUs'!$H$1:$L$25,3,0)</f>
        <v>2.2999999999999998</v>
      </c>
      <c r="E3762" s="51">
        <f>VLOOKUP(A3762,'Componentes APUs'!$H$1:$L$25,4,0)</f>
        <v>155907.14285714284</v>
      </c>
      <c r="F3762" s="51">
        <f>VLOOKUP(A3762,'Componentes APUs'!$H$1:$L$25,5,0)</f>
        <v>93544.285714285696</v>
      </c>
      <c r="G3762" s="51">
        <f>ROUNDUP((E3762+F3762)*C3762/E3749,0)</f>
        <v>0</v>
      </c>
    </row>
    <row r="3763" spans="1:9" x14ac:dyDescent="0.25">
      <c r="A3763" s="50" t="s">
        <v>54</v>
      </c>
      <c r="B3763" s="68" t="str">
        <f>VLOOKUP(A3763,'Componentes APUs'!$H$1:$L$25,2,0)</f>
        <v>Maestro de obra civil</v>
      </c>
      <c r="C3763" s="93">
        <v>0</v>
      </c>
      <c r="D3763" s="50">
        <f>VLOOKUP(A3763,'Componentes APUs'!$H$1:$L$25,3,0)</f>
        <v>2.5</v>
      </c>
      <c r="E3763" s="51">
        <f>VLOOKUP(A3763,'Componentes APUs'!$H$1:$L$25,4,0)</f>
        <v>169464.28571428571</v>
      </c>
      <c r="F3763" s="51">
        <f>VLOOKUP(A3763,'Componentes APUs'!$H$1:$L$25,5,0)</f>
        <v>101678.57142857142</v>
      </c>
      <c r="G3763" s="51">
        <f>ROUNDUP((E3763+F3763)*C3763/E3749,0)</f>
        <v>0</v>
      </c>
    </row>
    <row r="3764" spans="1:9" x14ac:dyDescent="0.25">
      <c r="A3764" s="50" t="s">
        <v>1110</v>
      </c>
      <c r="B3764" s="68" t="str">
        <f>VLOOKUP(A3764,'Componentes APUs'!$H$1:$L$25,2,0)</f>
        <v>Oficial de Obra Civil</v>
      </c>
      <c r="C3764" s="93">
        <v>1</v>
      </c>
      <c r="D3764" s="50">
        <f>VLOOKUP(A3764,'Componentes APUs'!$H$1:$L$25,3,0)</f>
        <v>1.5</v>
      </c>
      <c r="E3764" s="51">
        <f>VLOOKUP(A3764,'Componentes APUs'!$H$1:$L$25,4,0)</f>
        <v>115964.28571428571</v>
      </c>
      <c r="F3764" s="51">
        <f>VLOOKUP(A3764,'Componentes APUs'!$H$1:$L$25,5,0)</f>
        <v>69578.57142857142</v>
      </c>
      <c r="G3764" s="51">
        <f>ROUNDUP((E3764+F3764)*C3764/E3749,0)</f>
        <v>463858</v>
      </c>
    </row>
    <row r="3765" spans="1:9" x14ac:dyDescent="0.25">
      <c r="A3765" s="50" t="s">
        <v>50</v>
      </c>
      <c r="B3765" s="68" t="str">
        <f>VLOOKUP(A3765,'Componentes APUs'!$H$1:$L$25,2,0)</f>
        <v>Profesional en SST</v>
      </c>
      <c r="C3765" s="93">
        <v>0.25</v>
      </c>
      <c r="D3765" s="50">
        <f>VLOOKUP(A3765,'Componentes APUs'!$H$1:$L$25,3,0)</f>
        <v>2.5</v>
      </c>
      <c r="E3765" s="51">
        <f>VLOOKUP(A3765,'Componentes APUs'!$H$1:$L$25,4,0)</f>
        <v>169464.28571428571</v>
      </c>
      <c r="F3765" s="51">
        <f>VLOOKUP(A3765,'Componentes APUs'!$H$1:$L$25,5,0)</f>
        <v>101678.57142857142</v>
      </c>
      <c r="G3765" s="51">
        <f>ROUNDUP((E3765+F3765)*C3765/E3749,0)</f>
        <v>169465</v>
      </c>
    </row>
    <row r="3766" spans="1:9" x14ac:dyDescent="0.25">
      <c r="A3766" s="50" t="s">
        <v>1109</v>
      </c>
      <c r="B3766" s="68" t="str">
        <f>VLOOKUP(A3766,'Componentes APUs'!$H$1:$L$25,2,0)</f>
        <v>Ayudante de Obra Civil</v>
      </c>
      <c r="C3766" s="93">
        <v>1</v>
      </c>
      <c r="D3766" s="50">
        <f>VLOOKUP(A3766,'Componentes APUs'!$H$1:$L$25,3,0)</f>
        <v>1</v>
      </c>
      <c r="E3766" s="51">
        <f>VLOOKUP(A3766,'Componentes APUs'!$H$1:$L$25,4,0)</f>
        <v>77309.523809523816</v>
      </c>
      <c r="F3766" s="51">
        <f>VLOOKUP(A3766,'Componentes APUs'!$H$1:$L$25,5,0)</f>
        <v>46385.71428571429</v>
      </c>
      <c r="G3766" s="51">
        <f>ROUNDUP((E3766+F3766)*C3766/E3749,0)</f>
        <v>309239</v>
      </c>
    </row>
    <row r="3767" spans="1:9" x14ac:dyDescent="0.25">
      <c r="A3767" s="219" t="s">
        <v>56</v>
      </c>
      <c r="B3767" s="219"/>
      <c r="C3767" s="219"/>
      <c r="D3767" s="219"/>
      <c r="E3767" s="219"/>
      <c r="F3767" s="219"/>
      <c r="G3767" s="52">
        <f>SUM(G3761:G3766)</f>
        <v>942562</v>
      </c>
    </row>
    <row r="3768" spans="1:9" x14ac:dyDescent="0.25">
      <c r="A3768" s="56"/>
      <c r="B3768" s="57"/>
      <c r="C3768" s="57"/>
      <c r="D3768" s="57"/>
      <c r="E3768" s="57"/>
      <c r="F3768" s="57"/>
      <c r="G3768" s="58"/>
    </row>
    <row r="3769" spans="1:9" x14ac:dyDescent="0.25">
      <c r="A3769" s="219" t="s">
        <v>57</v>
      </c>
      <c r="B3769" s="219"/>
      <c r="C3769" s="219"/>
      <c r="D3769" s="219"/>
      <c r="E3769" s="219"/>
      <c r="F3769" s="219"/>
      <c r="G3769" s="219"/>
    </row>
    <row r="3770" spans="1:9" x14ac:dyDescent="0.25">
      <c r="A3770" s="49" t="s">
        <v>35</v>
      </c>
      <c r="B3770" s="219" t="s">
        <v>36</v>
      </c>
      <c r="C3770" s="219"/>
      <c r="D3770" s="49" t="s">
        <v>37</v>
      </c>
      <c r="E3770" s="49" t="s">
        <v>38</v>
      </c>
      <c r="F3770" s="49" t="s">
        <v>39</v>
      </c>
      <c r="G3770" s="49" t="s">
        <v>40</v>
      </c>
    </row>
    <row r="3771" spans="1:9" x14ac:dyDescent="0.25">
      <c r="A3771" s="50" t="s">
        <v>326</v>
      </c>
      <c r="B3771" s="220" t="str">
        <f>VLOOKUP(A3771,'Componentes APUs'!$S$1:$V$10,2,0)</f>
        <v>Juego Llaves</v>
      </c>
      <c r="C3771" s="220"/>
      <c r="D3771" s="50" t="s">
        <v>18</v>
      </c>
      <c r="E3771" s="50">
        <v>0</v>
      </c>
      <c r="F3771" s="51">
        <f>VLOOKUP(A3771,'Componentes APUs'!$S$1:$V$10,4,0)</f>
        <v>9167</v>
      </c>
      <c r="G3771" s="51">
        <f>ROUNDUP(F3771*((E3771/21)/E3749),0)</f>
        <v>0</v>
      </c>
      <c r="I3771" s="91"/>
    </row>
    <row r="3772" spans="1:9" x14ac:dyDescent="0.25">
      <c r="A3772" s="50" t="s">
        <v>58</v>
      </c>
      <c r="B3772" s="220" t="str">
        <f>VLOOKUP(A3772,'Componentes APUs'!$S$1:$V$10,2,0)</f>
        <v>Manila de servicio</v>
      </c>
      <c r="C3772" s="220"/>
      <c r="D3772" s="50" t="s">
        <v>18</v>
      </c>
      <c r="E3772" s="50">
        <v>0</v>
      </c>
      <c r="F3772" s="51">
        <f>VLOOKUP(A3772,'Componentes APUs'!$S$1:$V$10,4,0)</f>
        <v>2333</v>
      </c>
      <c r="G3772" s="51">
        <f>ROUNDUP(F3772*((E3772/21)/E3749),0)</f>
        <v>0</v>
      </c>
    </row>
    <row r="3773" spans="1:9" x14ac:dyDescent="0.25">
      <c r="A3773" s="50" t="s">
        <v>327</v>
      </c>
      <c r="B3773" s="220" t="str">
        <f>VLOOKUP(A3773,'Componentes APUs'!$S$1:$V$10,2,0)</f>
        <v>Tula portaherramientas</v>
      </c>
      <c r="C3773" s="220"/>
      <c r="D3773" s="50" t="s">
        <v>18</v>
      </c>
      <c r="E3773" s="50">
        <v>0</v>
      </c>
      <c r="F3773" s="51">
        <f>VLOOKUP(A3773,'Componentes APUs'!$S$1:$V$10,4,0)</f>
        <v>1250</v>
      </c>
      <c r="G3773" s="51">
        <f>ROUNDUP(F3773*((E3773/21)/E3749),0)</f>
        <v>0</v>
      </c>
    </row>
    <row r="3774" spans="1:9" x14ac:dyDescent="0.25">
      <c r="A3774" s="50" t="s">
        <v>60</v>
      </c>
      <c r="B3774" s="220" t="str">
        <f>VLOOKUP(A3774,'Componentes APUs'!$S$1:$V$10,2,0)</f>
        <v>Agarradoras</v>
      </c>
      <c r="C3774" s="220"/>
      <c r="D3774" s="50" t="s">
        <v>18</v>
      </c>
      <c r="E3774" s="50">
        <v>0</v>
      </c>
      <c r="F3774" s="51">
        <f>VLOOKUP(A3774,'Componentes APUs'!$S$1:$V$10,4,0)</f>
        <v>125000</v>
      </c>
      <c r="G3774" s="51">
        <f>ROUNDUP(F3774*((E3774/21)/E3749),0)</f>
        <v>0</v>
      </c>
    </row>
    <row r="3775" spans="1:9" x14ac:dyDescent="0.25">
      <c r="A3775" s="50" t="s">
        <v>62</v>
      </c>
      <c r="B3775" s="220" t="str">
        <f>VLOOKUP(A3775,'Componentes APUs'!$S$1:$V$10,2,0)</f>
        <v>Templadoras</v>
      </c>
      <c r="C3775" s="220"/>
      <c r="D3775" s="50" t="s">
        <v>18</v>
      </c>
      <c r="E3775" s="50">
        <v>0</v>
      </c>
      <c r="F3775" s="51">
        <f>VLOOKUP(A3775,'Componentes APUs'!$S$1:$V$10,4,0)</f>
        <v>250000</v>
      </c>
      <c r="G3775" s="51">
        <f>ROUNDUP(F3775*((E3775/21)/E3749),0)</f>
        <v>0</v>
      </c>
    </row>
    <row r="3776" spans="1:9" x14ac:dyDescent="0.25">
      <c r="A3776" s="50" t="s">
        <v>328</v>
      </c>
      <c r="B3776" s="220" t="str">
        <f>VLOOKUP(A3776,'Componentes APUs'!$S$1:$V$10,2,0)</f>
        <v>Herramienta Menor</v>
      </c>
      <c r="C3776" s="220"/>
      <c r="D3776" s="50" t="s">
        <v>18</v>
      </c>
      <c r="E3776" s="50">
        <v>5</v>
      </c>
      <c r="F3776" s="51">
        <f>VLOOKUP(A3776,'Componentes APUs'!$S$1:$V$10,4,0)</f>
        <v>75758</v>
      </c>
      <c r="G3776" s="51">
        <f>ROUNDUP(F3776*((E3776/21)/E3749),0)</f>
        <v>45095</v>
      </c>
    </row>
    <row r="3777" spans="1:9" x14ac:dyDescent="0.25">
      <c r="A3777" s="219" t="s">
        <v>69</v>
      </c>
      <c r="B3777" s="219"/>
      <c r="C3777" s="219"/>
      <c r="D3777" s="219"/>
      <c r="E3777" s="219"/>
      <c r="F3777" s="219"/>
      <c r="G3777" s="52">
        <f>SUM(G3771:G3776)</f>
        <v>45095</v>
      </c>
    </row>
    <row r="3778" spans="1:9" x14ac:dyDescent="0.25">
      <c r="A3778" s="56"/>
      <c r="B3778" s="57"/>
      <c r="C3778" s="57"/>
      <c r="D3778" s="57"/>
      <c r="E3778" s="57"/>
      <c r="F3778" s="57"/>
      <c r="G3778" s="58"/>
    </row>
    <row r="3779" spans="1:9" x14ac:dyDescent="0.25">
      <c r="A3779" s="219" t="s">
        <v>70</v>
      </c>
      <c r="B3779" s="219"/>
      <c r="C3779" s="219"/>
      <c r="D3779" s="219"/>
      <c r="E3779" s="219"/>
      <c r="F3779" s="219"/>
      <c r="G3779" s="219"/>
    </row>
    <row r="3780" spans="1:9" x14ac:dyDescent="0.25">
      <c r="A3780" s="49" t="s">
        <v>35</v>
      </c>
      <c r="B3780" s="219" t="s">
        <v>36</v>
      </c>
      <c r="C3780" s="219"/>
      <c r="D3780" s="49" t="s">
        <v>37</v>
      </c>
      <c r="E3780" s="49" t="s">
        <v>38</v>
      </c>
      <c r="F3780" s="49" t="s">
        <v>39</v>
      </c>
      <c r="G3780" s="49" t="s">
        <v>40</v>
      </c>
    </row>
    <row r="3781" spans="1:9" x14ac:dyDescent="0.25">
      <c r="A3781" s="50" t="s">
        <v>71</v>
      </c>
      <c r="B3781" s="71" t="str">
        <f>VLOOKUP(A3781,'Componentes APUs'!$A$1:$D$14,2,0)</f>
        <v>Camisa indigo sin partes metalicas</v>
      </c>
      <c r="C3781" s="71"/>
      <c r="D3781" s="50" t="str">
        <f>VLOOKUP(A3781,'Componentes APUs'!$A$1:$D$14,3,0)</f>
        <v>U</v>
      </c>
      <c r="E3781" s="50">
        <f>SUM(C3761:C3766)</f>
        <v>2.25</v>
      </c>
      <c r="F3781" s="51">
        <f>VLOOKUP(A3781,'Componentes APUs'!$A$1:$D$14,4,0)</f>
        <v>8585.8585858585866</v>
      </c>
      <c r="G3781" s="51">
        <f>ROUNDUP(F3781*(E3781/21)/E3749,0)</f>
        <v>2300</v>
      </c>
      <c r="I3781" s="91"/>
    </row>
    <row r="3782" spans="1:9" x14ac:dyDescent="0.25">
      <c r="A3782" s="69" t="s">
        <v>73</v>
      </c>
      <c r="B3782" s="72" t="str">
        <f>VLOOKUP(A3782,'Componentes APUs'!$A$1:$D$14,2,0)</f>
        <v>Bota de seguridad dielectrica</v>
      </c>
      <c r="C3782" s="73"/>
      <c r="D3782" s="70" t="str">
        <f>VLOOKUP(A3782,'Componentes APUs'!$A$1:$D$14,3,0)</f>
        <v>Par</v>
      </c>
      <c r="E3782" s="50">
        <f>SUM(C3761:C3766)</f>
        <v>2.25</v>
      </c>
      <c r="F3782" s="51">
        <f>VLOOKUP(A3782,'Componentes APUs'!$A$1:$D$14,4,0)</f>
        <v>7500</v>
      </c>
      <c r="G3782" s="51">
        <f>ROUNDUP(F3782*(E3782/21)/E3749,0)</f>
        <v>2009</v>
      </c>
    </row>
    <row r="3783" spans="1:9" x14ac:dyDescent="0.25">
      <c r="A3783" s="50" t="s">
        <v>76</v>
      </c>
      <c r="B3783" s="72" t="str">
        <f>VLOOKUP(A3783,'Componentes APUs'!$A$1:$D$14,2,0)</f>
        <v>Casco dielectrico Tipo 1 Clase E con barbuquejo</v>
      </c>
      <c r="C3783" s="73"/>
      <c r="D3783" s="50" t="str">
        <f>VLOOKUP(A3783,'Componentes APUs'!$A$1:$D$14,3,0)</f>
        <v>U</v>
      </c>
      <c r="E3783" s="50">
        <f>C3761+C3762+C3764+C3765+C3766+IF(A3763&lt;&gt;"MO-3",C3763,0)</f>
        <v>2.25</v>
      </c>
      <c r="F3783" s="51">
        <f>VLOOKUP(A3783,'Componentes APUs'!$A$1:$D$14,4,0)</f>
        <v>10101.010101010101</v>
      </c>
      <c r="G3783" s="51">
        <f>ROUNDUP(F3783*(E3783/21)/E3749,0)</f>
        <v>2706</v>
      </c>
    </row>
    <row r="3784" spans="1:9" x14ac:dyDescent="0.25">
      <c r="A3784" s="69" t="s">
        <v>77</v>
      </c>
      <c r="B3784" s="72" t="str">
        <f>VLOOKUP(A3784,'Componentes APUs'!$A$1:$D$14,2,0)</f>
        <v>Correa plastica y antiflama</v>
      </c>
      <c r="C3784" s="73"/>
      <c r="D3784" s="50" t="str">
        <f>VLOOKUP(A3784,'Componentes APUs'!$A$1:$D$14,3,0)</f>
        <v>U</v>
      </c>
      <c r="E3784" s="50">
        <f>SUM(C3761:C3766)</f>
        <v>2.25</v>
      </c>
      <c r="F3784" s="51">
        <f>VLOOKUP(A3784,'Componentes APUs'!$A$1:$D$14,4,0)</f>
        <v>3787.878787878788</v>
      </c>
      <c r="G3784" s="51">
        <f>ROUNDUP(F3784*(E3784/21)/E3749,0)</f>
        <v>1015</v>
      </c>
    </row>
    <row r="3785" spans="1:9" x14ac:dyDescent="0.25">
      <c r="A3785" s="50" t="s">
        <v>79</v>
      </c>
      <c r="B3785" s="72" t="str">
        <f>VLOOKUP(A3785,'Componentes APUs'!$A$1:$D$14,2,0)</f>
        <v>Gafas protectoras filtro UV</v>
      </c>
      <c r="C3785" s="73"/>
      <c r="D3785" s="50" t="str">
        <f>VLOOKUP(A3785,'Componentes APUs'!$A$1:$D$14,3,0)</f>
        <v>U</v>
      </c>
      <c r="E3785" s="50">
        <f>SUM(C3761:C3766)</f>
        <v>2.25</v>
      </c>
      <c r="F3785" s="51">
        <f>VLOOKUP(A3785,'Componentes APUs'!$A$1:$D$14,4,0)</f>
        <v>2777.7777777777778</v>
      </c>
      <c r="G3785" s="51">
        <f>ROUNDUP(F3785*(E3785/21)/E3749,0)</f>
        <v>745</v>
      </c>
    </row>
    <row r="3786" spans="1:9" x14ac:dyDescent="0.25">
      <c r="A3786" s="69" t="s">
        <v>402</v>
      </c>
      <c r="B3786" s="72" t="str">
        <f>VLOOKUP(A3786,'Componentes APUs'!$A$1:$D$14,2,0)</f>
        <v>Bota de seguridad PVC dielectrica</v>
      </c>
      <c r="C3786" s="73"/>
      <c r="D3786" s="50" t="str">
        <f>VLOOKUP(A3786,'Componentes APUs'!$A$1:$D$14,3,0)</f>
        <v>Par</v>
      </c>
      <c r="E3786" s="50">
        <f>SUM(C3761:C3766)</f>
        <v>2.25</v>
      </c>
      <c r="F3786" s="51">
        <f>VLOOKUP(A3786,'Componentes APUs'!$A$1:$D$14,4,0)</f>
        <v>2916.6666666666665</v>
      </c>
      <c r="G3786" s="51">
        <f>ROUNDUP(F3786*(E3786/21)/E3749,0)</f>
        <v>782</v>
      </c>
    </row>
    <row r="3787" spans="1:9" x14ac:dyDescent="0.25">
      <c r="A3787" s="50" t="s">
        <v>403</v>
      </c>
      <c r="B3787" s="72" t="str">
        <f>VLOOKUP(A3787,'Componentes APUs'!$A$1:$D$14,2,0)</f>
        <v>Capuchon</v>
      </c>
      <c r="C3787" s="73"/>
      <c r="D3787" s="50" t="str">
        <f>VLOOKUP(A3787,'Componentes APUs'!$A$1:$D$14,3,0)</f>
        <v>U</v>
      </c>
      <c r="E3787" s="50">
        <f>SUM(C3761:C3766)</f>
        <v>2.25</v>
      </c>
      <c r="F3787" s="51">
        <f>VLOOKUP(A3787,'Componentes APUs'!$A$1:$D$14,4,0)</f>
        <v>2525.2525252525252</v>
      </c>
      <c r="G3787" s="51">
        <f>ROUNDUP(F3787*(E3787/21)/E3749,0)</f>
        <v>677</v>
      </c>
    </row>
    <row r="3788" spans="1:9" x14ac:dyDescent="0.25">
      <c r="A3788" s="69" t="s">
        <v>81</v>
      </c>
      <c r="B3788" s="72" t="str">
        <f>VLOOKUP(A3788,'Componentes APUs'!$A$1:$D$14,2,0)</f>
        <v>Guantes Protectores  - ingeniero reforzados</v>
      </c>
      <c r="C3788" s="73"/>
      <c r="D3788" s="50" t="str">
        <f>VLOOKUP(A3788,'Componentes APUs'!$A$1:$D$14,3,0)</f>
        <v>Par</v>
      </c>
      <c r="E3788" s="50">
        <f>C3763+C3764+C3766</f>
        <v>2</v>
      </c>
      <c r="F3788" s="51">
        <f>VLOOKUP(A3788,'Componentes APUs'!$A$1:$D$14,4,0)</f>
        <v>2525.2525252525252</v>
      </c>
      <c r="G3788" s="51">
        <f>ROUNDUP(F3788*(E3788/21)/E3749,0)</f>
        <v>602</v>
      </c>
    </row>
    <row r="3789" spans="1:9" x14ac:dyDescent="0.25">
      <c r="A3789" s="50" t="s">
        <v>83</v>
      </c>
      <c r="B3789" s="72" t="str">
        <f>VLOOKUP(A3789,'Componentes APUs'!$A$1:$D$14,2,0)</f>
        <v>Impermeable (pantalon camisa)</v>
      </c>
      <c r="C3789" s="73"/>
      <c r="D3789" s="50" t="str">
        <f>VLOOKUP(A3789,'Componentes APUs'!$A$1:$D$14,3,0)</f>
        <v>U</v>
      </c>
      <c r="E3789" s="50">
        <f>SUM(C3761:C3766)</f>
        <v>2.25</v>
      </c>
      <c r="F3789" s="51">
        <f>VLOOKUP(A3789,'Componentes APUs'!$A$1:$D$14,4,0)</f>
        <v>3750</v>
      </c>
      <c r="G3789" s="51">
        <f>ROUNDUP(F3789*(E3789/21)/E3749,0)</f>
        <v>1005</v>
      </c>
    </row>
    <row r="3790" spans="1:9" x14ac:dyDescent="0.25">
      <c r="A3790" s="69" t="s">
        <v>85</v>
      </c>
      <c r="B3790" s="72" t="str">
        <f>VLOOKUP(A3790,'Componentes APUs'!$A$1:$D$14,2,0)</f>
        <v>Jean Dielectrico</v>
      </c>
      <c r="C3790" s="73"/>
      <c r="D3790" s="50" t="str">
        <f>VLOOKUP(A3790,'Componentes APUs'!$A$1:$D$14,3,0)</f>
        <v>U</v>
      </c>
      <c r="E3790" s="50">
        <f>SUM(C3761:C3766)</f>
        <v>2.25</v>
      </c>
      <c r="F3790" s="51">
        <f>VLOOKUP(A3790,'Componentes APUs'!$A$1:$D$14,4,0)</f>
        <v>7575.757575757576</v>
      </c>
      <c r="G3790" s="51">
        <f>ROUNDUP(F3790*(E3790/21)/E3749,0)</f>
        <v>2030</v>
      </c>
    </row>
    <row r="3791" spans="1:9" x14ac:dyDescent="0.25">
      <c r="A3791" s="50" t="s">
        <v>87</v>
      </c>
      <c r="B3791" s="72" t="str">
        <f>VLOOKUP(A3791,'Componentes APUs'!$A$1:$D$14,2,0)</f>
        <v>Casco dielectrico Tipo 2 Clase E con barboquejo</v>
      </c>
      <c r="C3791" s="73"/>
      <c r="D3791" s="50" t="str">
        <f>VLOOKUP(A3791,'Componentes APUs'!$A$1:$D$14,3,0)</f>
        <v>U</v>
      </c>
      <c r="E3791" s="53">
        <f>IF(A3763="MO-3",C3763,0)</f>
        <v>0</v>
      </c>
      <c r="F3791" s="51">
        <f>VLOOKUP(A3791,'Componentes APUs'!$A$1:$D$14,4,0)</f>
        <v>7500</v>
      </c>
      <c r="G3791" s="51">
        <f>ROUNDUP(F3791*(E3791/21)/E3749,0)</f>
        <v>0</v>
      </c>
    </row>
    <row r="3792" spans="1:9" x14ac:dyDescent="0.25">
      <c r="A3792" s="69" t="s">
        <v>89</v>
      </c>
      <c r="B3792" s="72" t="str">
        <f>VLOOKUP(A3792,'Componentes APUs'!$A$1:$D$14,2,0)</f>
        <v>Kit de rescate para trabajo en alturas</v>
      </c>
      <c r="C3792" s="73"/>
      <c r="D3792" s="50" t="str">
        <f>VLOOKUP(A3792,'Componentes APUs'!$A$1:$D$14,3,0)</f>
        <v>U</v>
      </c>
      <c r="E3792" s="50">
        <f>IF(AND(A3763="MO-3",C3763=2),1,0)</f>
        <v>0</v>
      </c>
      <c r="F3792" s="51">
        <f>VLOOKUP(A3792,'Componentes APUs'!$A$1:$D$14,4,0)</f>
        <v>37500</v>
      </c>
      <c r="G3792" s="51">
        <f>ROUNDUP(F3792*(E3792/21)/E3749,0)</f>
        <v>0</v>
      </c>
    </row>
    <row r="3793" spans="1:7" x14ac:dyDescent="0.25">
      <c r="A3793" s="50" t="s">
        <v>91</v>
      </c>
      <c r="B3793" s="72" t="str">
        <f>VLOOKUP(A3793,'Componentes APUs'!$A$1:$D$14,2,0)</f>
        <v>Equipo completo para trabajo en alturas con pretales (Arnes dielectrico, 1 mosqueton de seguridad, tie off dielectrico, eslinga de posicionamiento, juego de pretales)</v>
      </c>
      <c r="C3793" s="73"/>
      <c r="D3793" s="50" t="str">
        <f>VLOOKUP(A3793,'Componentes APUs'!$A$1:$D$14,3,0)</f>
        <v>U</v>
      </c>
      <c r="E3793" s="50">
        <f>IF(A3763="MO-3",C3763,0)</f>
        <v>0</v>
      </c>
      <c r="F3793" s="51">
        <f>VLOOKUP(A3793,'Componentes APUs'!$A$1:$D$14,4,0)</f>
        <v>26041.666666666668</v>
      </c>
      <c r="G3793" s="51">
        <f>ROUNDUP(F3793*(E3793/21)/E3749,0)</f>
        <v>0</v>
      </c>
    </row>
    <row r="3794" spans="1:7" x14ac:dyDescent="0.25">
      <c r="A3794" s="219" t="s">
        <v>95</v>
      </c>
      <c r="B3794" s="219"/>
      <c r="C3794" s="219"/>
      <c r="D3794" s="219"/>
      <c r="E3794" s="219"/>
      <c r="F3794" s="219"/>
      <c r="G3794" s="52">
        <f>SUM(G3781:G3793)</f>
        <v>13871</v>
      </c>
    </row>
    <row r="3795" spans="1:7" x14ac:dyDescent="0.25">
      <c r="A3795" s="56"/>
      <c r="B3795" s="57"/>
      <c r="C3795" s="57"/>
      <c r="D3795" s="57"/>
      <c r="E3795" s="57"/>
      <c r="F3795" s="57"/>
      <c r="G3795" s="58"/>
    </row>
    <row r="3796" spans="1:7" x14ac:dyDescent="0.25">
      <c r="A3796" s="219" t="s">
        <v>96</v>
      </c>
      <c r="B3796" s="219"/>
      <c r="C3796" s="219"/>
      <c r="D3796" s="219"/>
      <c r="E3796" s="219"/>
      <c r="F3796" s="219"/>
      <c r="G3796" s="219"/>
    </row>
    <row r="3797" spans="1:7" x14ac:dyDescent="0.25">
      <c r="A3797" s="49" t="s">
        <v>35</v>
      </c>
      <c r="B3797" s="225" t="s">
        <v>36</v>
      </c>
      <c r="C3797" s="225"/>
      <c r="D3797" s="49" t="s">
        <v>37</v>
      </c>
      <c r="E3797" s="49" t="s">
        <v>38</v>
      </c>
      <c r="F3797" s="49" t="s">
        <v>39</v>
      </c>
      <c r="G3797" s="49" t="s">
        <v>40</v>
      </c>
    </row>
    <row r="3798" spans="1:7" x14ac:dyDescent="0.25">
      <c r="A3798" s="69" t="s">
        <v>97</v>
      </c>
      <c r="B3798" s="72" t="str">
        <f>VLOOKUP(A3798,'Componentes APUs'!$N$1:$Q$30,2,0)</f>
        <v>Camioneta</v>
      </c>
      <c r="C3798" s="73"/>
      <c r="D3798" s="70" t="str">
        <f>VLOOKUP(A3798,'Componentes APUs'!$N$1:$Q$30,3,0)</f>
        <v>U</v>
      </c>
      <c r="E3798" s="50">
        <v>0.5</v>
      </c>
      <c r="F3798" s="51">
        <f>VLOOKUP(A3798,'Componentes APUs'!$N$1:$Q$30,4,0)</f>
        <v>5500000</v>
      </c>
      <c r="G3798" s="51">
        <f>IFERROR(ROUNDUP(F3798*(E3798/21)/E3749,0),"-")</f>
        <v>327381</v>
      </c>
    </row>
    <row r="3799" spans="1:7" x14ac:dyDescent="0.25">
      <c r="A3799" s="50" t="s">
        <v>1473</v>
      </c>
      <c r="B3799" s="72" t="str">
        <f>VLOOKUP(A3799,'Componentes APUs'!$N$1:$Q$30,2,0)</f>
        <v>Concretera</v>
      </c>
      <c r="C3799" s="73"/>
      <c r="D3799" s="70" t="str">
        <f>VLOOKUP(A3799,'Componentes APUs'!$N$1:$Q$30,3,0)</f>
        <v>U</v>
      </c>
      <c r="E3799" s="50">
        <v>0</v>
      </c>
      <c r="F3799" s="51">
        <f>VLOOKUP(A3799,'Componentes APUs'!$N$1:$Q$30,4,0)</f>
        <v>550704</v>
      </c>
      <c r="G3799" s="51">
        <f>IFERROR(ROUNDUP(F3799*(E3799/21)/E3749,0),"-")</f>
        <v>0</v>
      </c>
    </row>
    <row r="3800" spans="1:7" x14ac:dyDescent="0.25">
      <c r="A3800" s="69" t="s">
        <v>1379</v>
      </c>
      <c r="B3800" s="72" t="str">
        <f>VLOOKUP(A3800,'Componentes APUs'!$N$1:$Q$30,2,0)</f>
        <v>Dumper de descarga Frontal 2T</v>
      </c>
      <c r="C3800" s="73"/>
      <c r="D3800" s="70" t="str">
        <f>VLOOKUP(A3800,'Componentes APUs'!$N$1:$Q$30,3,0)</f>
        <v>U</v>
      </c>
      <c r="E3800" s="50">
        <v>0</v>
      </c>
      <c r="F3800" s="51">
        <f>VLOOKUP(A3800,'Componentes APUs'!$N$1:$Q$30,4,0)</f>
        <v>4438716.24</v>
      </c>
      <c r="G3800" s="51">
        <f>IFERROR(ROUNDUP(F3800*(E3800/21)/E3749,0),"-")</f>
        <v>0</v>
      </c>
    </row>
    <row r="3801" spans="1:7" x14ac:dyDescent="0.25">
      <c r="A3801" s="50" t="s">
        <v>323</v>
      </c>
      <c r="B3801" s="72" t="str">
        <f>VLOOKUP(A3801,'Componentes APUs'!$N$1:$Q$30,2,0)</f>
        <v>Volqueta</v>
      </c>
      <c r="C3801" s="73"/>
      <c r="D3801" s="70" t="str">
        <f>VLOOKUP(A3801,'Componentes APUs'!$N$1:$Q$30,3,0)</f>
        <v>U</v>
      </c>
      <c r="E3801" s="50">
        <v>0</v>
      </c>
      <c r="F3801" s="51">
        <f>VLOOKUP(A3801,'Componentes APUs'!$N$1:$Q$30,4,0)</f>
        <v>14828184</v>
      </c>
      <c r="G3801" s="51">
        <f>IFERROR(ROUNDUP(F3801*(E3801/21)/E3749,0),"-")</f>
        <v>0</v>
      </c>
    </row>
    <row r="3802" spans="1:7" x14ac:dyDescent="0.25">
      <c r="A3802" s="69" t="s">
        <v>324</v>
      </c>
      <c r="B3802" s="72" t="str">
        <f>VLOOKUP(A3802,'Componentes APUs'!$N$1:$Q$30,2,0)</f>
        <v>Retroexcavadora</v>
      </c>
      <c r="C3802" s="73"/>
      <c r="D3802" s="70" t="str">
        <f>VLOOKUP(A3802,'Componentes APUs'!$N$1:$Q$30,3,0)</f>
        <v>U</v>
      </c>
      <c r="E3802" s="50">
        <v>0</v>
      </c>
      <c r="F3802" s="51">
        <f>VLOOKUP(A3802,'Componentes APUs'!$N$1:$Q$30,4,0)</f>
        <v>46030656</v>
      </c>
      <c r="G3802" s="51">
        <f>IFERROR(ROUNDUP(F3802*(E3802/21)/E3749,0),"-")</f>
        <v>0</v>
      </c>
    </row>
    <row r="3803" spans="1:7" x14ac:dyDescent="0.25">
      <c r="A3803" s="219" t="s">
        <v>99</v>
      </c>
      <c r="B3803" s="219"/>
      <c r="C3803" s="219"/>
      <c r="D3803" s="219"/>
      <c r="E3803" s="219"/>
      <c r="F3803" s="219"/>
      <c r="G3803" s="52">
        <f>SUM(G3798:G3802)</f>
        <v>327381</v>
      </c>
    </row>
    <row r="3804" spans="1:7" x14ac:dyDescent="0.25">
      <c r="A3804" s="56"/>
      <c r="B3804" s="57"/>
      <c r="C3804" s="57"/>
      <c r="D3804" s="57"/>
      <c r="E3804" s="57"/>
      <c r="F3804" s="57"/>
      <c r="G3804" s="58"/>
    </row>
    <row r="3805" spans="1:7" x14ac:dyDescent="0.25">
      <c r="A3805" s="219" t="s">
        <v>1516</v>
      </c>
      <c r="B3805" s="219"/>
      <c r="C3805" s="219"/>
      <c r="D3805" s="219"/>
      <c r="E3805" s="219"/>
      <c r="F3805" s="219"/>
      <c r="G3805" s="52">
        <f>G3803+G3794+G3777+G3767+G3757</f>
        <v>7178909</v>
      </c>
    </row>
    <row r="3806" spans="1:7" x14ac:dyDescent="0.25">
      <c r="A3806" s="59"/>
      <c r="B3806" s="60"/>
      <c r="C3806" s="60"/>
      <c r="D3806" s="60"/>
      <c r="E3806" s="57"/>
      <c r="F3806" s="57"/>
      <c r="G3806" s="58"/>
    </row>
    <row r="3807" spans="1:7" x14ac:dyDescent="0.25">
      <c r="A3807" s="64"/>
      <c r="D3807" s="55"/>
      <c r="E3807" s="49" t="s">
        <v>25</v>
      </c>
      <c r="F3807" s="54">
        <v>0.15</v>
      </c>
      <c r="G3807" s="51">
        <f>G3805*F3807</f>
        <v>1076836.3499999999</v>
      </c>
    </row>
    <row r="3808" spans="1:7" x14ac:dyDescent="0.25">
      <c r="A3808" s="64"/>
      <c r="D3808" s="55"/>
      <c r="E3808" s="49" t="s">
        <v>26</v>
      </c>
      <c r="F3808" s="54">
        <v>0.05</v>
      </c>
      <c r="G3808" s="51">
        <f>G3805*F3808</f>
        <v>358945.45</v>
      </c>
    </row>
    <row r="3809" spans="1:8" x14ac:dyDescent="0.25">
      <c r="A3809" s="61"/>
      <c r="B3809" s="65"/>
      <c r="C3809" s="65"/>
      <c r="D3809" s="62"/>
      <c r="E3809" s="49" t="s">
        <v>27</v>
      </c>
      <c r="F3809" s="54">
        <v>0.05</v>
      </c>
      <c r="G3809" s="51">
        <f>G3805*F3809</f>
        <v>358945.45</v>
      </c>
    </row>
    <row r="3810" spans="1:8" x14ac:dyDescent="0.25">
      <c r="A3810" s="61"/>
      <c r="B3810" s="62"/>
      <c r="C3810" s="62"/>
      <c r="D3810" s="62"/>
      <c r="E3810" s="62"/>
      <c r="F3810" s="62"/>
      <c r="G3810" s="63"/>
    </row>
    <row r="3811" spans="1:8" x14ac:dyDescent="0.25">
      <c r="A3811" s="219" t="s">
        <v>1517</v>
      </c>
      <c r="B3811" s="219"/>
      <c r="C3811" s="219"/>
      <c r="D3811" s="219"/>
      <c r="E3811" s="219"/>
      <c r="F3811" s="219"/>
      <c r="G3811" s="52">
        <f>G3805+G3807+G3808+G3809</f>
        <v>8973636.2499999981</v>
      </c>
    </row>
    <row r="3812" spans="1:8" x14ac:dyDescent="0.25">
      <c r="A3812" s="59"/>
      <c r="B3812" s="60"/>
      <c r="C3812" s="60"/>
      <c r="D3812" s="60"/>
      <c r="E3812" s="57"/>
      <c r="F3812" s="57"/>
      <c r="G3812" s="58"/>
    </row>
    <row r="3813" spans="1:8" x14ac:dyDescent="0.25">
      <c r="A3813" s="64"/>
      <c r="D3813" s="55"/>
      <c r="E3813" s="49" t="s">
        <v>102</v>
      </c>
      <c r="F3813" s="49" t="s">
        <v>103</v>
      </c>
      <c r="G3813" s="51">
        <f>G3809*19%</f>
        <v>68199.635500000004</v>
      </c>
    </row>
    <row r="3814" spans="1:8" x14ac:dyDescent="0.25">
      <c r="A3814" s="61"/>
      <c r="B3814" s="62"/>
      <c r="C3814" s="62"/>
      <c r="D3814" s="62"/>
      <c r="E3814" s="57"/>
      <c r="F3814" s="57"/>
      <c r="G3814" s="58"/>
    </row>
    <row r="3815" spans="1:8" x14ac:dyDescent="0.25">
      <c r="A3815" s="219" t="s">
        <v>104</v>
      </c>
      <c r="B3815" s="219"/>
      <c r="C3815" s="219"/>
      <c r="D3815" s="219"/>
      <c r="E3815" s="219"/>
      <c r="F3815" s="219"/>
      <c r="G3815" s="52">
        <f>G3813+G3811</f>
        <v>9041835.8854999989</v>
      </c>
    </row>
    <row r="3817" spans="1:8" x14ac:dyDescent="0.25">
      <c r="A3817" s="74" t="s">
        <v>29</v>
      </c>
      <c r="B3817" s="226" t="s">
        <v>30</v>
      </c>
      <c r="C3817" s="226"/>
      <c r="D3817" s="74" t="s">
        <v>31</v>
      </c>
      <c r="E3817" s="74" t="s">
        <v>32</v>
      </c>
      <c r="F3817" s="74" t="s">
        <v>189</v>
      </c>
      <c r="G3817" s="74" t="s">
        <v>33</v>
      </c>
      <c r="H3817" s="105"/>
    </row>
    <row r="3818" spans="1:8" x14ac:dyDescent="0.25">
      <c r="A3818" s="50" t="str">
        <f>Presupuesto!B77</f>
        <v>062_OC</v>
      </c>
      <c r="B3818" s="229" t="str">
        <f>Presupuesto!C77</f>
        <v>SIFON PARA DESAGÜE DE Ø2"(CÁRCAMOS Y PISO)</v>
      </c>
      <c r="C3818" s="230"/>
      <c r="D3818" s="50" t="s">
        <v>18</v>
      </c>
      <c r="E3818" s="107">
        <v>12</v>
      </c>
      <c r="F3818" s="50"/>
      <c r="G3818" s="51">
        <f>G3888</f>
        <v>153788.7285</v>
      </c>
      <c r="H3818" s="45"/>
    </row>
    <row r="3819" spans="1:8" x14ac:dyDescent="0.25">
      <c r="A3819" s="219" t="s">
        <v>34</v>
      </c>
      <c r="B3819" s="219"/>
      <c r="C3819" s="219"/>
      <c r="D3819" s="219"/>
      <c r="E3819" s="219"/>
      <c r="F3819" s="219"/>
      <c r="G3819" s="219"/>
    </row>
    <row r="3820" spans="1:8" x14ac:dyDescent="0.25">
      <c r="A3820" s="49" t="s">
        <v>35</v>
      </c>
      <c r="B3820" s="219" t="s">
        <v>36</v>
      </c>
      <c r="C3820" s="219"/>
      <c r="D3820" s="49" t="s">
        <v>37</v>
      </c>
      <c r="E3820" s="49" t="s">
        <v>38</v>
      </c>
      <c r="F3820" s="49" t="s">
        <v>39</v>
      </c>
      <c r="G3820" s="49" t="s">
        <v>40</v>
      </c>
    </row>
    <row r="3821" spans="1:8" x14ac:dyDescent="0.25">
      <c r="A3821" s="50" t="str">
        <f>Material!A488</f>
        <v>MA-487</v>
      </c>
      <c r="B3821" s="72" t="str">
        <f>IFERROR(VLOOKUP(A3821,Material!$A:$H,2,0),"-")</f>
        <v>SIFÓN SANITARIO 2"</v>
      </c>
      <c r="C3821" s="76"/>
      <c r="D3821" s="50" t="str">
        <f>IFERROR(VLOOKUP(A3821,Material!$A:$H,4,0),"-")</f>
        <v>UN</v>
      </c>
      <c r="E3821" s="53">
        <v>1</v>
      </c>
      <c r="F3821" s="51">
        <f>IFERROR(VLOOKUP(A3821,Material!$A:$H,3,0),"-")</f>
        <v>6765.2</v>
      </c>
      <c r="G3821" s="51">
        <f t="shared" ref="G3821" si="62">IFERROR(ROUNDUP(F3821*E3821,0),"-")</f>
        <v>6766</v>
      </c>
      <c r="H3821" s="106"/>
    </row>
    <row r="3822" spans="1:8" x14ac:dyDescent="0.25">
      <c r="A3822" s="50" t="str">
        <f>Material!A466</f>
        <v>MA-465</v>
      </c>
      <c r="B3822" s="72" t="str">
        <f>IFERROR(VLOOKUP(A3822,Material!$A:$H,2,0),"-")</f>
        <v xml:space="preserve">UNION SANITARIA PVC 2" </v>
      </c>
      <c r="C3822" s="76"/>
      <c r="D3822" s="50" t="str">
        <f>IFERROR(VLOOKUP(A3822,Material!$A:$H,4,0),"-")</f>
        <v>UN</v>
      </c>
      <c r="E3822" s="53">
        <v>2</v>
      </c>
      <c r="F3822" s="51">
        <f>IFERROR(VLOOKUP(A3822,Material!$A:$H,3,0),"-")</f>
        <v>2145</v>
      </c>
      <c r="G3822" s="51">
        <f t="shared" ref="G3822" si="63">IFERROR(ROUNDUP(F3822*E3822,0),"-")</f>
        <v>4290</v>
      </c>
      <c r="H3822" s="106"/>
    </row>
    <row r="3823" spans="1:8" x14ac:dyDescent="0.25">
      <c r="A3823" s="50" t="str">
        <f>Material!A201</f>
        <v>MA-200</v>
      </c>
      <c r="B3823" s="72" t="str">
        <f>IFERROR(VLOOKUP(A3823,Material!$A:$H,2,0),"-")</f>
        <v>SOLDADURA PVC 1/4 GL</v>
      </c>
      <c r="C3823" s="76"/>
      <c r="D3823" s="50" t="str">
        <f>IFERROR(VLOOKUP(A3823,Material!$A:$H,4,0),"-")</f>
        <v>GALÓN</v>
      </c>
      <c r="E3823" s="107">
        <f>1/60</f>
        <v>1.6666666666666666E-2</v>
      </c>
      <c r="F3823" s="51">
        <f>IFERROR(VLOOKUP(A3823,Material!$A:$H,3,0),"-")</f>
        <v>88270</v>
      </c>
      <c r="G3823" s="51">
        <f>IFERROR(ROUNDUP(F3823*E3823,0),"-")</f>
        <v>1472</v>
      </c>
      <c r="H3823" s="106"/>
    </row>
    <row r="3824" spans="1:8" x14ac:dyDescent="0.25">
      <c r="A3824" s="50" t="str">
        <f>Material!A253</f>
        <v>MA-252</v>
      </c>
      <c r="B3824" s="72" t="str">
        <f>IFERROR(VLOOKUP(A3824,Material!$A:$H,2,0),"-")</f>
        <v>LIMPIADOR DE TUBERÍA PVC 1/4 GL</v>
      </c>
      <c r="C3824" s="76"/>
      <c r="D3824" s="50" t="str">
        <f>IFERROR(VLOOKUP(A3824,Material!$A:$H,4,0),"-")</f>
        <v>GALÓN</v>
      </c>
      <c r="E3824" s="107">
        <f>1/60</f>
        <v>1.6666666666666666E-2</v>
      </c>
      <c r="F3824" s="51">
        <f>IFERROR(VLOOKUP(A3824,Material!$A:$H,3,0),"-")</f>
        <v>60970</v>
      </c>
      <c r="G3824" s="51">
        <f>IFERROR(ROUNDUP(F3824*E3824,0),"-")</f>
        <v>1017</v>
      </c>
      <c r="H3824" s="106"/>
    </row>
    <row r="3825" spans="1:9" x14ac:dyDescent="0.25">
      <c r="A3825" s="50" t="str">
        <f>Material!A406</f>
        <v>MA-405</v>
      </c>
      <c r="B3825" s="72" t="str">
        <f>IFERROR(VLOOKUP(A3825,Material!$A:$H,2,0),"-")</f>
        <v>TUBO PVC 2"</v>
      </c>
      <c r="C3825" s="76"/>
      <c r="D3825" s="50" t="str">
        <f>IFERROR(VLOOKUP(A3825,Material!$A:$H,4,0),"-")</f>
        <v>ML</v>
      </c>
      <c r="E3825" s="53">
        <v>1</v>
      </c>
      <c r="F3825" s="51">
        <f>IFERROR(VLOOKUP(A3825,Material!$A:$H,3,0),"-")</f>
        <v>6153.333333333333</v>
      </c>
      <c r="G3825" s="51">
        <f t="shared" ref="G3825:G3829" si="64">IFERROR(ROUNDUP(F3825*E3825,0),"-")</f>
        <v>6154</v>
      </c>
      <c r="H3825" s="106"/>
    </row>
    <row r="3826" spans="1:9" x14ac:dyDescent="0.25">
      <c r="A3826" s="50" t="str">
        <f>Material!A668</f>
        <v>MA-667</v>
      </c>
      <c r="B3826" s="72" t="str">
        <f>IFERROR(VLOOKUP(A3826,Material!$A:$H,2,0),"-")</f>
        <v>TAPA PARA SIFÓN</v>
      </c>
      <c r="C3826" s="76"/>
      <c r="D3826" s="50" t="str">
        <f>IFERROR(VLOOKUP(A3826,Material!$A:$H,4,0),"-")</f>
        <v>UN</v>
      </c>
      <c r="E3826" s="107">
        <v>1</v>
      </c>
      <c r="F3826" s="51">
        <f>IFERROR(VLOOKUP(A3826,Material!$A:$H,3,0),"-")</f>
        <v>39000</v>
      </c>
      <c r="G3826" s="51">
        <f t="shared" si="64"/>
        <v>39000</v>
      </c>
      <c r="H3826" s="106"/>
    </row>
    <row r="3827" spans="1:9" x14ac:dyDescent="0.25">
      <c r="A3827" s="50"/>
      <c r="B3827" s="72" t="str">
        <f>IFERROR(VLOOKUP(A3827,Material!$A:$H,2,0),"-")</f>
        <v>-</v>
      </c>
      <c r="C3827" s="76"/>
      <c r="D3827" s="50" t="str">
        <f>IFERROR(VLOOKUP(A3827,Material!$A:$H,4,0),"-")</f>
        <v>-</v>
      </c>
      <c r="E3827" s="107"/>
      <c r="F3827" s="51" t="str">
        <f>IFERROR(VLOOKUP(A3827,Material!$A:$H,3,0),"-")</f>
        <v>-</v>
      </c>
      <c r="G3827" s="51" t="str">
        <f t="shared" si="64"/>
        <v>-</v>
      </c>
      <c r="H3827" s="106"/>
    </row>
    <row r="3828" spans="1:9" x14ac:dyDescent="0.25">
      <c r="A3828" s="50"/>
      <c r="B3828" s="72" t="str">
        <f>IFERROR(VLOOKUP(A3828,Material!$A:$H,2,0),"-")</f>
        <v>-</v>
      </c>
      <c r="C3828" s="76"/>
      <c r="D3828" s="50" t="str">
        <f>IFERROR(VLOOKUP(A3828,Material!$A:$H,4,0),"-")</f>
        <v>-</v>
      </c>
      <c r="E3828" s="107"/>
      <c r="F3828" s="51" t="str">
        <f>IFERROR(VLOOKUP(A3828,Material!$A:$H,3,0),"-")</f>
        <v>-</v>
      </c>
      <c r="G3828" s="51" t="str">
        <f t="shared" si="64"/>
        <v>-</v>
      </c>
      <c r="H3828" s="106"/>
    </row>
    <row r="3829" spans="1:9" x14ac:dyDescent="0.25">
      <c r="A3829" s="50"/>
      <c r="B3829" s="72" t="str">
        <f>IFERROR(VLOOKUP(A3829,Material!$A:$H,2,0),"-")</f>
        <v>-</v>
      </c>
      <c r="C3829" s="76"/>
      <c r="D3829" s="50" t="str">
        <f>IFERROR(VLOOKUP(A3829,Material!$A:$H,4,0),"-")</f>
        <v>-</v>
      </c>
      <c r="E3829" s="107"/>
      <c r="F3829" s="51" t="str">
        <f>IFERROR(VLOOKUP(A3829,Material!$A:$H,3,0),"-")</f>
        <v>-</v>
      </c>
      <c r="G3829" s="51" t="str">
        <f t="shared" si="64"/>
        <v>-</v>
      </c>
      <c r="H3829" s="106"/>
    </row>
    <row r="3830" spans="1:9" x14ac:dyDescent="0.25">
      <c r="A3830" s="219" t="s">
        <v>41</v>
      </c>
      <c r="B3830" s="219"/>
      <c r="C3830" s="219"/>
      <c r="D3830" s="219"/>
      <c r="E3830" s="219"/>
      <c r="F3830" s="219"/>
      <c r="G3830" s="52">
        <f>SUM(G3821:G3829)</f>
        <v>58699</v>
      </c>
      <c r="I3830" s="104"/>
    </row>
    <row r="3831" spans="1:9" x14ac:dyDescent="0.25">
      <c r="A3831" s="56"/>
      <c r="B3831" s="57"/>
      <c r="C3831" s="57"/>
      <c r="D3831" s="57"/>
      <c r="E3831" s="57"/>
      <c r="F3831" s="57"/>
      <c r="G3831" s="58"/>
    </row>
    <row r="3832" spans="1:9" x14ac:dyDescent="0.25">
      <c r="A3832" s="219" t="s">
        <v>42</v>
      </c>
      <c r="B3832" s="219"/>
      <c r="C3832" s="219"/>
      <c r="D3832" s="219"/>
      <c r="E3832" s="219"/>
      <c r="F3832" s="219"/>
      <c r="G3832" s="219"/>
    </row>
    <row r="3833" spans="1:9" x14ac:dyDescent="0.25">
      <c r="A3833" s="49" t="s">
        <v>35</v>
      </c>
      <c r="B3833" s="49" t="s">
        <v>36</v>
      </c>
      <c r="C3833" s="49" t="s">
        <v>38</v>
      </c>
      <c r="D3833" s="49" t="s">
        <v>43</v>
      </c>
      <c r="E3833" s="49" t="s">
        <v>44</v>
      </c>
      <c r="F3833" s="49" t="s">
        <v>45</v>
      </c>
      <c r="G3833" s="49" t="s">
        <v>40</v>
      </c>
    </row>
    <row r="3834" spans="1:9" x14ac:dyDescent="0.25">
      <c r="A3834" s="50" t="s">
        <v>319</v>
      </c>
      <c r="B3834" s="68" t="str">
        <f>VLOOKUP(A3834,'Componentes APUs'!$H$1:$L$25,2,0)</f>
        <v>Ingeniero Residente de Obra</v>
      </c>
      <c r="C3834" s="93">
        <v>0.25</v>
      </c>
      <c r="D3834" s="50">
        <f>VLOOKUP(A3834,'Componentes APUs'!$H$1:$L$25,3,0)</f>
        <v>4</v>
      </c>
      <c r="E3834" s="51">
        <f>VLOOKUP(A3834,'Componentes APUs'!$H$1:$L$25,4,0)</f>
        <v>271142.85714285716</v>
      </c>
      <c r="F3834" s="51">
        <f>VLOOKUP(A3834,'Componentes APUs'!$H$1:$L$25,5,0)</f>
        <v>162685.71428571429</v>
      </c>
      <c r="G3834" s="51">
        <f>ROUNDUP((E3834+F3834)*C3834/E3818,0)</f>
        <v>9039</v>
      </c>
      <c r="H3834" s="66"/>
    </row>
    <row r="3835" spans="1:9" x14ac:dyDescent="0.25">
      <c r="A3835" s="50" t="s">
        <v>320</v>
      </c>
      <c r="B3835" s="68" t="str">
        <f>VLOOKUP(A3835,'Componentes APUs'!$H$1:$L$25,2,0)</f>
        <v>Tecnico Supervisor</v>
      </c>
      <c r="C3835" s="93">
        <v>0</v>
      </c>
      <c r="D3835" s="50">
        <f>VLOOKUP(A3835,'Componentes APUs'!$H$1:$L$25,3,0)</f>
        <v>2.2999999999999998</v>
      </c>
      <c r="E3835" s="51">
        <f>VLOOKUP(A3835,'Componentes APUs'!$H$1:$L$25,4,0)</f>
        <v>155907.14285714284</v>
      </c>
      <c r="F3835" s="51">
        <f>VLOOKUP(A3835,'Componentes APUs'!$H$1:$L$25,5,0)</f>
        <v>93544.285714285696</v>
      </c>
      <c r="G3835" s="51">
        <f>ROUNDUP((E3835+F3835)*C3835/E3818,0)</f>
        <v>0</v>
      </c>
    </row>
    <row r="3836" spans="1:9" x14ac:dyDescent="0.25">
      <c r="A3836" s="50" t="s">
        <v>54</v>
      </c>
      <c r="B3836" s="68" t="str">
        <f>VLOOKUP(A3836,'Componentes APUs'!$H$1:$L$25,2,0)</f>
        <v>Maestro de obra civil</v>
      </c>
      <c r="C3836" s="93">
        <v>0</v>
      </c>
      <c r="D3836" s="50">
        <f>VLOOKUP(A3836,'Componentes APUs'!$H$1:$L$25,3,0)</f>
        <v>2.5</v>
      </c>
      <c r="E3836" s="51">
        <f>VLOOKUP(A3836,'Componentes APUs'!$H$1:$L$25,4,0)</f>
        <v>169464.28571428571</v>
      </c>
      <c r="F3836" s="51">
        <f>VLOOKUP(A3836,'Componentes APUs'!$H$1:$L$25,5,0)</f>
        <v>101678.57142857142</v>
      </c>
      <c r="G3836" s="51">
        <f>ROUNDUP((E3836+F3836)*C3836/E3818,0)</f>
        <v>0</v>
      </c>
    </row>
    <row r="3837" spans="1:9" x14ac:dyDescent="0.25">
      <c r="A3837" s="50" t="s">
        <v>1110</v>
      </c>
      <c r="B3837" s="68" t="str">
        <f>VLOOKUP(A3837,'Componentes APUs'!$H$1:$L$25,2,0)</f>
        <v>Oficial de Obra Civil</v>
      </c>
      <c r="C3837" s="93">
        <v>1</v>
      </c>
      <c r="D3837" s="50">
        <f>VLOOKUP(A3837,'Componentes APUs'!$H$1:$L$25,3,0)</f>
        <v>1.5</v>
      </c>
      <c r="E3837" s="51">
        <f>VLOOKUP(A3837,'Componentes APUs'!$H$1:$L$25,4,0)</f>
        <v>115964.28571428571</v>
      </c>
      <c r="F3837" s="51">
        <f>VLOOKUP(A3837,'Componentes APUs'!$H$1:$L$25,5,0)</f>
        <v>69578.57142857142</v>
      </c>
      <c r="G3837" s="51">
        <f>ROUNDUP((E3837+F3837)*C3837/E3818,0)</f>
        <v>15462</v>
      </c>
    </row>
    <row r="3838" spans="1:9" x14ac:dyDescent="0.25">
      <c r="A3838" s="50" t="s">
        <v>50</v>
      </c>
      <c r="B3838" s="68" t="str">
        <f>VLOOKUP(A3838,'Componentes APUs'!$H$1:$L$25,2,0)</f>
        <v>Profesional en SST</v>
      </c>
      <c r="C3838" s="93">
        <v>0.25</v>
      </c>
      <c r="D3838" s="50">
        <f>VLOOKUP(A3838,'Componentes APUs'!$H$1:$L$25,3,0)</f>
        <v>2.5</v>
      </c>
      <c r="E3838" s="51">
        <f>VLOOKUP(A3838,'Componentes APUs'!$H$1:$L$25,4,0)</f>
        <v>169464.28571428571</v>
      </c>
      <c r="F3838" s="51">
        <f>VLOOKUP(A3838,'Componentes APUs'!$H$1:$L$25,5,0)</f>
        <v>101678.57142857142</v>
      </c>
      <c r="G3838" s="51">
        <f>ROUNDUP((E3838+F3838)*C3838/E3818,0)</f>
        <v>5649</v>
      </c>
    </row>
    <row r="3839" spans="1:9" x14ac:dyDescent="0.25">
      <c r="A3839" s="50" t="s">
        <v>1109</v>
      </c>
      <c r="B3839" s="68" t="str">
        <f>VLOOKUP(A3839,'Componentes APUs'!$H$1:$L$25,2,0)</f>
        <v>Ayudante de Obra Civil</v>
      </c>
      <c r="C3839" s="93">
        <v>1</v>
      </c>
      <c r="D3839" s="50">
        <f>VLOOKUP(A3839,'Componentes APUs'!$H$1:$L$25,3,0)</f>
        <v>1</v>
      </c>
      <c r="E3839" s="51">
        <f>VLOOKUP(A3839,'Componentes APUs'!$H$1:$L$25,4,0)</f>
        <v>77309.523809523816</v>
      </c>
      <c r="F3839" s="51">
        <f>VLOOKUP(A3839,'Componentes APUs'!$H$1:$L$25,5,0)</f>
        <v>46385.71428571429</v>
      </c>
      <c r="G3839" s="51">
        <f>ROUNDUP((E3839+F3839)*C3839/E3818,0)</f>
        <v>10308</v>
      </c>
    </row>
    <row r="3840" spans="1:9" x14ac:dyDescent="0.25">
      <c r="A3840" s="219" t="s">
        <v>56</v>
      </c>
      <c r="B3840" s="219"/>
      <c r="C3840" s="219"/>
      <c r="D3840" s="219"/>
      <c r="E3840" s="219"/>
      <c r="F3840" s="219"/>
      <c r="G3840" s="52">
        <f>SUM(G3834:G3839)</f>
        <v>40458</v>
      </c>
    </row>
    <row r="3841" spans="1:9" x14ac:dyDescent="0.25">
      <c r="A3841" s="56"/>
      <c r="B3841" s="57"/>
      <c r="C3841" s="57"/>
      <c r="D3841" s="57"/>
      <c r="E3841" s="57"/>
      <c r="F3841" s="57"/>
      <c r="G3841" s="58"/>
    </row>
    <row r="3842" spans="1:9" x14ac:dyDescent="0.25">
      <c r="A3842" s="219" t="s">
        <v>57</v>
      </c>
      <c r="B3842" s="219"/>
      <c r="C3842" s="219"/>
      <c r="D3842" s="219"/>
      <c r="E3842" s="219"/>
      <c r="F3842" s="219"/>
      <c r="G3842" s="219"/>
    </row>
    <row r="3843" spans="1:9" x14ac:dyDescent="0.25">
      <c r="A3843" s="49" t="s">
        <v>35</v>
      </c>
      <c r="B3843" s="219" t="s">
        <v>36</v>
      </c>
      <c r="C3843" s="219"/>
      <c r="D3843" s="49" t="s">
        <v>37</v>
      </c>
      <c r="E3843" s="49" t="s">
        <v>38</v>
      </c>
      <c r="F3843" s="49" t="s">
        <v>39</v>
      </c>
      <c r="G3843" s="49" t="s">
        <v>40</v>
      </c>
    </row>
    <row r="3844" spans="1:9" x14ac:dyDescent="0.25">
      <c r="A3844" s="50" t="s">
        <v>326</v>
      </c>
      <c r="B3844" s="220" t="str">
        <f>VLOOKUP(A3844,'Componentes APUs'!$S$1:$V$10,2,0)</f>
        <v>Juego Llaves</v>
      </c>
      <c r="C3844" s="220"/>
      <c r="D3844" s="50" t="s">
        <v>18</v>
      </c>
      <c r="E3844" s="50">
        <v>0</v>
      </c>
      <c r="F3844" s="51">
        <f>VLOOKUP(A3844,'Componentes APUs'!$S$1:$V$10,4,0)</f>
        <v>9167</v>
      </c>
      <c r="G3844" s="51">
        <f>ROUNDUP(F3844*((E3844/21)/E3818),0)</f>
        <v>0</v>
      </c>
      <c r="I3844" s="91"/>
    </row>
    <row r="3845" spans="1:9" x14ac:dyDescent="0.25">
      <c r="A3845" s="50" t="s">
        <v>58</v>
      </c>
      <c r="B3845" s="220" t="str">
        <f>VLOOKUP(A3845,'Componentes APUs'!$S$1:$V$10,2,0)</f>
        <v>Manila de servicio</v>
      </c>
      <c r="C3845" s="220"/>
      <c r="D3845" s="50" t="s">
        <v>18</v>
      </c>
      <c r="E3845" s="50">
        <v>0</v>
      </c>
      <c r="F3845" s="51">
        <f>VLOOKUP(A3845,'Componentes APUs'!$S$1:$V$10,4,0)</f>
        <v>2333</v>
      </c>
      <c r="G3845" s="51">
        <f>ROUNDUP(F3845*((E3845/21)/E3818),0)</f>
        <v>0</v>
      </c>
    </row>
    <row r="3846" spans="1:9" x14ac:dyDescent="0.25">
      <c r="A3846" s="50" t="s">
        <v>327</v>
      </c>
      <c r="B3846" s="220" t="str">
        <f>VLOOKUP(A3846,'Componentes APUs'!$S$1:$V$10,2,0)</f>
        <v>Tula portaherramientas</v>
      </c>
      <c r="C3846" s="220"/>
      <c r="D3846" s="50" t="s">
        <v>18</v>
      </c>
      <c r="E3846" s="50">
        <v>0</v>
      </c>
      <c r="F3846" s="51">
        <f>VLOOKUP(A3846,'Componentes APUs'!$S$1:$V$10,4,0)</f>
        <v>1250</v>
      </c>
      <c r="G3846" s="51">
        <f>ROUNDUP(F3846*((E3846/21)/E3818),0)</f>
        <v>0</v>
      </c>
    </row>
    <row r="3847" spans="1:9" x14ac:dyDescent="0.25">
      <c r="A3847" s="50" t="s">
        <v>60</v>
      </c>
      <c r="B3847" s="220" t="str">
        <f>VLOOKUP(A3847,'Componentes APUs'!$S$1:$V$10,2,0)</f>
        <v>Agarradoras</v>
      </c>
      <c r="C3847" s="220"/>
      <c r="D3847" s="50" t="s">
        <v>18</v>
      </c>
      <c r="E3847" s="50">
        <v>0</v>
      </c>
      <c r="F3847" s="51">
        <f>VLOOKUP(A3847,'Componentes APUs'!$S$1:$V$10,4,0)</f>
        <v>125000</v>
      </c>
      <c r="G3847" s="51">
        <f>ROUNDUP(F3847*((E3847/21)/E3818),0)</f>
        <v>0</v>
      </c>
    </row>
    <row r="3848" spans="1:9" x14ac:dyDescent="0.25">
      <c r="A3848" s="50" t="s">
        <v>62</v>
      </c>
      <c r="B3848" s="220" t="str">
        <f>VLOOKUP(A3848,'Componentes APUs'!$S$1:$V$10,2,0)</f>
        <v>Templadoras</v>
      </c>
      <c r="C3848" s="220"/>
      <c r="D3848" s="50" t="s">
        <v>18</v>
      </c>
      <c r="E3848" s="50">
        <v>0</v>
      </c>
      <c r="F3848" s="51">
        <f>VLOOKUP(A3848,'Componentes APUs'!$S$1:$V$10,4,0)</f>
        <v>250000</v>
      </c>
      <c r="G3848" s="51">
        <f>ROUNDUP(F3848*((E3848/21)/E3818),0)</f>
        <v>0</v>
      </c>
    </row>
    <row r="3849" spans="1:9" x14ac:dyDescent="0.25">
      <c r="A3849" s="50" t="s">
        <v>328</v>
      </c>
      <c r="B3849" s="220" t="str">
        <f>VLOOKUP(A3849,'Componentes APUs'!$S$1:$V$10,2,0)</f>
        <v>Herramienta Menor</v>
      </c>
      <c r="C3849" s="220"/>
      <c r="D3849" s="50" t="s">
        <v>18</v>
      </c>
      <c r="E3849" s="50">
        <v>2</v>
      </c>
      <c r="F3849" s="51">
        <f>VLOOKUP(A3849,'Componentes APUs'!$S$1:$V$10,4,0)</f>
        <v>75758</v>
      </c>
      <c r="G3849" s="51">
        <f>ROUNDUP(F3849*((E3849/21)/E3818),0)</f>
        <v>602</v>
      </c>
    </row>
    <row r="3850" spans="1:9" x14ac:dyDescent="0.25">
      <c r="A3850" s="219" t="s">
        <v>69</v>
      </c>
      <c r="B3850" s="219"/>
      <c r="C3850" s="219"/>
      <c r="D3850" s="219"/>
      <c r="E3850" s="219"/>
      <c r="F3850" s="219"/>
      <c r="G3850" s="52">
        <f>SUM(G3844:G3849)</f>
        <v>602</v>
      </c>
    </row>
    <row r="3851" spans="1:9" x14ac:dyDescent="0.25">
      <c r="A3851" s="56"/>
      <c r="B3851" s="57"/>
      <c r="C3851" s="57"/>
      <c r="D3851" s="57"/>
      <c r="E3851" s="57"/>
      <c r="F3851" s="57"/>
      <c r="G3851" s="58"/>
    </row>
    <row r="3852" spans="1:9" x14ac:dyDescent="0.25">
      <c r="A3852" s="219" t="s">
        <v>70</v>
      </c>
      <c r="B3852" s="219"/>
      <c r="C3852" s="219"/>
      <c r="D3852" s="219"/>
      <c r="E3852" s="219"/>
      <c r="F3852" s="219"/>
      <c r="G3852" s="219"/>
    </row>
    <row r="3853" spans="1:9" x14ac:dyDescent="0.25">
      <c r="A3853" s="49" t="s">
        <v>35</v>
      </c>
      <c r="B3853" s="219" t="s">
        <v>36</v>
      </c>
      <c r="C3853" s="219"/>
      <c r="D3853" s="49" t="s">
        <v>37</v>
      </c>
      <c r="E3853" s="49" t="s">
        <v>38</v>
      </c>
      <c r="F3853" s="49" t="s">
        <v>39</v>
      </c>
      <c r="G3853" s="49" t="s">
        <v>40</v>
      </c>
    </row>
    <row r="3854" spans="1:9" x14ac:dyDescent="0.25">
      <c r="A3854" s="50" t="s">
        <v>71</v>
      </c>
      <c r="B3854" s="71" t="str">
        <f>VLOOKUP(A3854,'Componentes APUs'!$A$1:$D$14,2,0)</f>
        <v>Camisa indigo sin partes metalicas</v>
      </c>
      <c r="C3854" s="71"/>
      <c r="D3854" s="50" t="str">
        <f>VLOOKUP(A3854,'Componentes APUs'!$A$1:$D$14,3,0)</f>
        <v>U</v>
      </c>
      <c r="E3854" s="50">
        <f>SUM(C3834:C3839)</f>
        <v>2.5</v>
      </c>
      <c r="F3854" s="51">
        <f>VLOOKUP(A3854,'Componentes APUs'!$A$1:$D$14,4,0)</f>
        <v>8585.8585858585866</v>
      </c>
      <c r="G3854" s="51">
        <f>ROUNDUP(F3854*(E3854/21)/E3818,0)</f>
        <v>86</v>
      </c>
      <c r="I3854" s="91"/>
    </row>
    <row r="3855" spans="1:9" x14ac:dyDescent="0.25">
      <c r="A3855" s="69" t="s">
        <v>73</v>
      </c>
      <c r="B3855" s="72" t="str">
        <f>VLOOKUP(A3855,'Componentes APUs'!$A$1:$D$14,2,0)</f>
        <v>Bota de seguridad dielectrica</v>
      </c>
      <c r="C3855" s="73"/>
      <c r="D3855" s="70" t="str">
        <f>VLOOKUP(A3855,'Componentes APUs'!$A$1:$D$14,3,0)</f>
        <v>Par</v>
      </c>
      <c r="E3855" s="50">
        <f>SUM(C3834:C3839)</f>
        <v>2.5</v>
      </c>
      <c r="F3855" s="51">
        <f>VLOOKUP(A3855,'Componentes APUs'!$A$1:$D$14,4,0)</f>
        <v>7500</v>
      </c>
      <c r="G3855" s="51">
        <f>ROUNDUP(F3855*(E3855/21)/E3818,0)</f>
        <v>75</v>
      </c>
    </row>
    <row r="3856" spans="1:9" x14ac:dyDescent="0.25">
      <c r="A3856" s="50" t="s">
        <v>76</v>
      </c>
      <c r="B3856" s="72" t="str">
        <f>VLOOKUP(A3856,'Componentes APUs'!$A$1:$D$14,2,0)</f>
        <v>Casco dielectrico Tipo 1 Clase E con barbuquejo</v>
      </c>
      <c r="C3856" s="73"/>
      <c r="D3856" s="50" t="str">
        <f>VLOOKUP(A3856,'Componentes APUs'!$A$1:$D$14,3,0)</f>
        <v>U</v>
      </c>
      <c r="E3856" s="50">
        <f>C3834+C3835+C3837+C3838+C3839+IF(A3836&lt;&gt;"MO-3",C3836,0)</f>
        <v>2.5</v>
      </c>
      <c r="F3856" s="51">
        <f>VLOOKUP(A3856,'Componentes APUs'!$A$1:$D$14,4,0)</f>
        <v>10101.010101010101</v>
      </c>
      <c r="G3856" s="51">
        <f>ROUNDUP(F3856*(E3856/21)/E3818,0)</f>
        <v>101</v>
      </c>
    </row>
    <row r="3857" spans="1:7" x14ac:dyDescent="0.25">
      <c r="A3857" s="69" t="s">
        <v>77</v>
      </c>
      <c r="B3857" s="72" t="str">
        <f>VLOOKUP(A3857,'Componentes APUs'!$A$1:$D$14,2,0)</f>
        <v>Correa plastica y antiflama</v>
      </c>
      <c r="C3857" s="73"/>
      <c r="D3857" s="50" t="str">
        <f>VLOOKUP(A3857,'Componentes APUs'!$A$1:$D$14,3,0)</f>
        <v>U</v>
      </c>
      <c r="E3857" s="50">
        <f>SUM(C3834:C3839)</f>
        <v>2.5</v>
      </c>
      <c r="F3857" s="51">
        <f>VLOOKUP(A3857,'Componentes APUs'!$A$1:$D$14,4,0)</f>
        <v>3787.878787878788</v>
      </c>
      <c r="G3857" s="51">
        <f>ROUNDUP(F3857*(E3857/21)/E3818,0)</f>
        <v>38</v>
      </c>
    </row>
    <row r="3858" spans="1:7" x14ac:dyDescent="0.25">
      <c r="A3858" s="50" t="s">
        <v>79</v>
      </c>
      <c r="B3858" s="72" t="str">
        <f>VLOOKUP(A3858,'Componentes APUs'!$A$1:$D$14,2,0)</f>
        <v>Gafas protectoras filtro UV</v>
      </c>
      <c r="C3858" s="73"/>
      <c r="D3858" s="50" t="str">
        <f>VLOOKUP(A3858,'Componentes APUs'!$A$1:$D$14,3,0)</f>
        <v>U</v>
      </c>
      <c r="E3858" s="50">
        <f>SUM(C3834:C3839)</f>
        <v>2.5</v>
      </c>
      <c r="F3858" s="51">
        <f>VLOOKUP(A3858,'Componentes APUs'!$A$1:$D$14,4,0)</f>
        <v>2777.7777777777778</v>
      </c>
      <c r="G3858" s="51">
        <f>ROUNDUP(F3858*(E3858/21)/E3818,0)</f>
        <v>28</v>
      </c>
    </row>
    <row r="3859" spans="1:7" x14ac:dyDescent="0.25">
      <c r="A3859" s="69" t="s">
        <v>402</v>
      </c>
      <c r="B3859" s="72" t="str">
        <f>VLOOKUP(A3859,'Componentes APUs'!$A$1:$D$14,2,0)</f>
        <v>Bota de seguridad PVC dielectrica</v>
      </c>
      <c r="C3859" s="73"/>
      <c r="D3859" s="50" t="str">
        <f>VLOOKUP(A3859,'Componentes APUs'!$A$1:$D$14,3,0)</f>
        <v>Par</v>
      </c>
      <c r="E3859" s="50">
        <f>SUM(C3834:C3839)</f>
        <v>2.5</v>
      </c>
      <c r="F3859" s="51">
        <f>VLOOKUP(A3859,'Componentes APUs'!$A$1:$D$14,4,0)</f>
        <v>2916.6666666666665</v>
      </c>
      <c r="G3859" s="51">
        <f>ROUNDUP(F3859*(E3859/21)/E3818,0)</f>
        <v>29</v>
      </c>
    </row>
    <row r="3860" spans="1:7" x14ac:dyDescent="0.25">
      <c r="A3860" s="50" t="s">
        <v>403</v>
      </c>
      <c r="B3860" s="72" t="str">
        <f>VLOOKUP(A3860,'Componentes APUs'!$A$1:$D$14,2,0)</f>
        <v>Capuchon</v>
      </c>
      <c r="C3860" s="73"/>
      <c r="D3860" s="50" t="str">
        <f>VLOOKUP(A3860,'Componentes APUs'!$A$1:$D$14,3,0)</f>
        <v>U</v>
      </c>
      <c r="E3860" s="50">
        <f>SUM(C3834:C3839)</f>
        <v>2.5</v>
      </c>
      <c r="F3860" s="51">
        <f>VLOOKUP(A3860,'Componentes APUs'!$A$1:$D$14,4,0)</f>
        <v>2525.2525252525252</v>
      </c>
      <c r="G3860" s="51">
        <f>ROUNDUP(F3860*(E3860/21)/E3818,0)</f>
        <v>26</v>
      </c>
    </row>
    <row r="3861" spans="1:7" x14ac:dyDescent="0.25">
      <c r="A3861" s="69" t="s">
        <v>81</v>
      </c>
      <c r="B3861" s="72" t="str">
        <f>VLOOKUP(A3861,'Componentes APUs'!$A$1:$D$14,2,0)</f>
        <v>Guantes Protectores  - ingeniero reforzados</v>
      </c>
      <c r="C3861" s="73"/>
      <c r="D3861" s="50" t="str">
        <f>VLOOKUP(A3861,'Componentes APUs'!$A$1:$D$14,3,0)</f>
        <v>Par</v>
      </c>
      <c r="E3861" s="50">
        <f>C3836+C3837+C3839</f>
        <v>2</v>
      </c>
      <c r="F3861" s="51">
        <f>VLOOKUP(A3861,'Componentes APUs'!$A$1:$D$14,4,0)</f>
        <v>2525.2525252525252</v>
      </c>
      <c r="G3861" s="51">
        <f>ROUNDUP(F3861*(E3861/21)/E3818,0)</f>
        <v>21</v>
      </c>
    </row>
    <row r="3862" spans="1:7" x14ac:dyDescent="0.25">
      <c r="A3862" s="50" t="s">
        <v>83</v>
      </c>
      <c r="B3862" s="72" t="str">
        <f>VLOOKUP(A3862,'Componentes APUs'!$A$1:$D$14,2,0)</f>
        <v>Impermeable (pantalon camisa)</v>
      </c>
      <c r="C3862" s="73"/>
      <c r="D3862" s="50" t="str">
        <f>VLOOKUP(A3862,'Componentes APUs'!$A$1:$D$14,3,0)</f>
        <v>U</v>
      </c>
      <c r="E3862" s="50">
        <f>SUM(C3834:C3839)</f>
        <v>2.5</v>
      </c>
      <c r="F3862" s="51">
        <f>VLOOKUP(A3862,'Componentes APUs'!$A$1:$D$14,4,0)</f>
        <v>3750</v>
      </c>
      <c r="G3862" s="51">
        <f>ROUNDUP(F3862*(E3862/21)/E3818,0)</f>
        <v>38</v>
      </c>
    </row>
    <row r="3863" spans="1:7" x14ac:dyDescent="0.25">
      <c r="A3863" s="69" t="s">
        <v>85</v>
      </c>
      <c r="B3863" s="72" t="str">
        <f>VLOOKUP(A3863,'Componentes APUs'!$A$1:$D$14,2,0)</f>
        <v>Jean Dielectrico</v>
      </c>
      <c r="C3863" s="73"/>
      <c r="D3863" s="50" t="str">
        <f>VLOOKUP(A3863,'Componentes APUs'!$A$1:$D$14,3,0)</f>
        <v>U</v>
      </c>
      <c r="E3863" s="50">
        <f>SUM(C3834:C3839)</f>
        <v>2.5</v>
      </c>
      <c r="F3863" s="51">
        <f>VLOOKUP(A3863,'Componentes APUs'!$A$1:$D$14,4,0)</f>
        <v>7575.757575757576</v>
      </c>
      <c r="G3863" s="51">
        <f>ROUNDUP(F3863*(E3863/21)/E3818,0)</f>
        <v>76</v>
      </c>
    </row>
    <row r="3864" spans="1:7" x14ac:dyDescent="0.25">
      <c r="A3864" s="50" t="s">
        <v>87</v>
      </c>
      <c r="B3864" s="72" t="str">
        <f>VLOOKUP(A3864,'Componentes APUs'!$A$1:$D$14,2,0)</f>
        <v>Casco dielectrico Tipo 2 Clase E con barboquejo</v>
      </c>
      <c r="C3864" s="73"/>
      <c r="D3864" s="50" t="str">
        <f>VLOOKUP(A3864,'Componentes APUs'!$A$1:$D$14,3,0)</f>
        <v>U</v>
      </c>
      <c r="E3864" s="53">
        <f>IF(A3836="MO-3",C3836,0)</f>
        <v>0</v>
      </c>
      <c r="F3864" s="51">
        <f>VLOOKUP(A3864,'Componentes APUs'!$A$1:$D$14,4,0)</f>
        <v>7500</v>
      </c>
      <c r="G3864" s="51">
        <f>ROUNDUP(F3864*(E3864/21)/E3818,0)</f>
        <v>0</v>
      </c>
    </row>
    <row r="3865" spans="1:7" x14ac:dyDescent="0.25">
      <c r="A3865" s="69" t="s">
        <v>89</v>
      </c>
      <c r="B3865" s="72" t="str">
        <f>VLOOKUP(A3865,'Componentes APUs'!$A$1:$D$14,2,0)</f>
        <v>Kit de rescate para trabajo en alturas</v>
      </c>
      <c r="C3865" s="73"/>
      <c r="D3865" s="50" t="str">
        <f>VLOOKUP(A3865,'Componentes APUs'!$A$1:$D$14,3,0)</f>
        <v>U</v>
      </c>
      <c r="E3865" s="50">
        <f>IF(AND(A3836="MO-3",C3836=2),1,0)</f>
        <v>0</v>
      </c>
      <c r="F3865" s="51">
        <f>VLOOKUP(A3865,'Componentes APUs'!$A$1:$D$14,4,0)</f>
        <v>37500</v>
      </c>
      <c r="G3865" s="51">
        <f>ROUNDUP(F3865*(E3865/21)/E3818,0)</f>
        <v>0</v>
      </c>
    </row>
    <row r="3866" spans="1:7" x14ac:dyDescent="0.25">
      <c r="A3866" s="50" t="s">
        <v>91</v>
      </c>
      <c r="B3866" s="72" t="str">
        <f>VLOOKUP(A3866,'Componentes APUs'!$A$1:$D$14,2,0)</f>
        <v>Equipo completo para trabajo en alturas con pretales (Arnes dielectrico, 1 mosqueton de seguridad, tie off dielectrico, eslinga de posicionamiento, juego de pretales)</v>
      </c>
      <c r="C3866" s="73"/>
      <c r="D3866" s="50" t="str">
        <f>VLOOKUP(A3866,'Componentes APUs'!$A$1:$D$14,3,0)</f>
        <v>U</v>
      </c>
      <c r="E3866" s="50">
        <f>IF(A3836="MO-3",C3836,0)</f>
        <v>0</v>
      </c>
      <c r="F3866" s="51">
        <f>VLOOKUP(A3866,'Componentes APUs'!$A$1:$D$14,4,0)</f>
        <v>26041.666666666668</v>
      </c>
      <c r="G3866" s="51">
        <f>ROUNDUP(F3866*(E3866/21)/E3818,0)</f>
        <v>0</v>
      </c>
    </row>
    <row r="3867" spans="1:7" x14ac:dyDescent="0.25">
      <c r="A3867" s="219" t="s">
        <v>95</v>
      </c>
      <c r="B3867" s="219"/>
      <c r="C3867" s="219"/>
      <c r="D3867" s="219"/>
      <c r="E3867" s="219"/>
      <c r="F3867" s="219"/>
      <c r="G3867" s="52">
        <f>SUM(G3854:G3866)</f>
        <v>518</v>
      </c>
    </row>
    <row r="3868" spans="1:7" x14ac:dyDescent="0.25">
      <c r="A3868" s="56"/>
      <c r="B3868" s="57"/>
      <c r="C3868" s="57"/>
      <c r="D3868" s="57"/>
      <c r="E3868" s="57"/>
      <c r="F3868" s="57"/>
      <c r="G3868" s="58"/>
    </row>
    <row r="3869" spans="1:7" x14ac:dyDescent="0.25">
      <c r="A3869" s="219" t="s">
        <v>96</v>
      </c>
      <c r="B3869" s="219"/>
      <c r="C3869" s="219"/>
      <c r="D3869" s="219"/>
      <c r="E3869" s="219"/>
      <c r="F3869" s="219"/>
      <c r="G3869" s="219"/>
    </row>
    <row r="3870" spans="1:7" x14ac:dyDescent="0.25">
      <c r="A3870" s="49" t="s">
        <v>35</v>
      </c>
      <c r="B3870" s="225" t="s">
        <v>36</v>
      </c>
      <c r="C3870" s="225"/>
      <c r="D3870" s="49" t="s">
        <v>37</v>
      </c>
      <c r="E3870" s="49" t="s">
        <v>38</v>
      </c>
      <c r="F3870" s="49" t="s">
        <v>39</v>
      </c>
      <c r="G3870" s="49" t="s">
        <v>40</v>
      </c>
    </row>
    <row r="3871" spans="1:7" x14ac:dyDescent="0.25">
      <c r="A3871" s="69" t="s">
        <v>97</v>
      </c>
      <c r="B3871" s="72" t="str">
        <f>VLOOKUP(A3871,'Componentes APUs'!$N$1:$Q$30,2,0)</f>
        <v>Camioneta</v>
      </c>
      <c r="C3871" s="73"/>
      <c r="D3871" s="70" t="str">
        <f>VLOOKUP(A3871,'Componentes APUs'!$N$1:$Q$30,3,0)</f>
        <v>U</v>
      </c>
      <c r="E3871" s="50">
        <v>1</v>
      </c>
      <c r="F3871" s="51">
        <f>VLOOKUP(A3871,'Componentes APUs'!$N$1:$Q$30,4,0)</f>
        <v>5500000</v>
      </c>
      <c r="G3871" s="51">
        <f>IFERROR(ROUNDUP(F3871*(E3871/21)/E3818,0),"-")</f>
        <v>21826</v>
      </c>
    </row>
    <row r="3872" spans="1:7" x14ac:dyDescent="0.25">
      <c r="A3872" s="50" t="s">
        <v>1473</v>
      </c>
      <c r="B3872" s="72" t="str">
        <f>VLOOKUP(A3872,'Componentes APUs'!$N$1:$Q$30,2,0)</f>
        <v>Concretera</v>
      </c>
      <c r="C3872" s="73"/>
      <c r="D3872" s="70" t="str">
        <f>VLOOKUP(A3872,'Componentes APUs'!$N$1:$Q$30,3,0)</f>
        <v>U</v>
      </c>
      <c r="E3872" s="50">
        <v>0</v>
      </c>
      <c r="F3872" s="51">
        <f>VLOOKUP(A3872,'Componentes APUs'!$N$1:$Q$30,4,0)</f>
        <v>550704</v>
      </c>
      <c r="G3872" s="51">
        <f>IFERROR(ROUNDUP(F3872*(E3872/21)/E3818,0),"-")</f>
        <v>0</v>
      </c>
    </row>
    <row r="3873" spans="1:7" x14ac:dyDescent="0.25">
      <c r="A3873" s="69" t="s">
        <v>1379</v>
      </c>
      <c r="B3873" s="72" t="str">
        <f>VLOOKUP(A3873,'Componentes APUs'!$N$1:$Q$30,2,0)</f>
        <v>Dumper de descarga Frontal 2T</v>
      </c>
      <c r="C3873" s="73"/>
      <c r="D3873" s="70" t="str">
        <f>VLOOKUP(A3873,'Componentes APUs'!$N$1:$Q$30,3,0)</f>
        <v>U</v>
      </c>
      <c r="E3873" s="50">
        <v>0</v>
      </c>
      <c r="F3873" s="51">
        <f>VLOOKUP(A3873,'Componentes APUs'!$N$1:$Q$30,4,0)</f>
        <v>4438716.24</v>
      </c>
      <c r="G3873" s="51">
        <f>IFERROR(ROUNDUP(F3873*(E3873/21)/E3818,0),"-")</f>
        <v>0</v>
      </c>
    </row>
    <row r="3874" spans="1:7" x14ac:dyDescent="0.25">
      <c r="A3874" s="50" t="s">
        <v>323</v>
      </c>
      <c r="B3874" s="72" t="str">
        <f>VLOOKUP(A3874,'Componentes APUs'!$N$1:$Q$30,2,0)</f>
        <v>Volqueta</v>
      </c>
      <c r="C3874" s="73"/>
      <c r="D3874" s="70" t="str">
        <f>VLOOKUP(A3874,'Componentes APUs'!$N$1:$Q$30,3,0)</f>
        <v>U</v>
      </c>
      <c r="E3874" s="50">
        <v>0</v>
      </c>
      <c r="F3874" s="51">
        <f>VLOOKUP(A3874,'Componentes APUs'!$N$1:$Q$30,4,0)</f>
        <v>14828184</v>
      </c>
      <c r="G3874" s="51">
        <f>IFERROR(ROUNDUP(F3874*(E3874/21)/E3818,0),"-")</f>
        <v>0</v>
      </c>
    </row>
    <row r="3875" spans="1:7" x14ac:dyDescent="0.25">
      <c r="A3875" s="69" t="s">
        <v>324</v>
      </c>
      <c r="B3875" s="72" t="str">
        <f>VLOOKUP(A3875,'Componentes APUs'!$N$1:$Q$30,2,0)</f>
        <v>Retroexcavadora</v>
      </c>
      <c r="C3875" s="73"/>
      <c r="D3875" s="70" t="str">
        <f>VLOOKUP(A3875,'Componentes APUs'!$N$1:$Q$30,3,0)</f>
        <v>U</v>
      </c>
      <c r="E3875" s="50">
        <v>0</v>
      </c>
      <c r="F3875" s="51">
        <f>VLOOKUP(A3875,'Componentes APUs'!$N$1:$Q$30,4,0)</f>
        <v>46030656</v>
      </c>
      <c r="G3875" s="51">
        <f>IFERROR(ROUNDUP(F3875*(E3875/21)/E3818,0),"-")</f>
        <v>0</v>
      </c>
    </row>
    <row r="3876" spans="1:7" x14ac:dyDescent="0.25">
      <c r="A3876" s="219" t="s">
        <v>99</v>
      </c>
      <c r="B3876" s="219"/>
      <c r="C3876" s="219"/>
      <c r="D3876" s="219"/>
      <c r="E3876" s="219"/>
      <c r="F3876" s="219"/>
      <c r="G3876" s="52">
        <f>SUM(G3871:G3875)</f>
        <v>21826</v>
      </c>
    </row>
    <row r="3877" spans="1:7" x14ac:dyDescent="0.25">
      <c r="A3877" s="56"/>
      <c r="B3877" s="57"/>
      <c r="C3877" s="57"/>
      <c r="D3877" s="57"/>
      <c r="E3877" s="57"/>
      <c r="F3877" s="57"/>
      <c r="G3877" s="58"/>
    </row>
    <row r="3878" spans="1:7" x14ac:dyDescent="0.25">
      <c r="A3878" s="219" t="s">
        <v>1516</v>
      </c>
      <c r="B3878" s="219"/>
      <c r="C3878" s="219"/>
      <c r="D3878" s="219"/>
      <c r="E3878" s="219"/>
      <c r="F3878" s="219"/>
      <c r="G3878" s="52">
        <f>G3876+G3867+G3850+G3840+G3830</f>
        <v>122103</v>
      </c>
    </row>
    <row r="3879" spans="1:7" x14ac:dyDescent="0.25">
      <c r="A3879" s="59"/>
      <c r="B3879" s="60"/>
      <c r="C3879" s="60"/>
      <c r="D3879" s="60"/>
      <c r="E3879" s="57"/>
      <c r="F3879" s="57"/>
      <c r="G3879" s="58"/>
    </row>
    <row r="3880" spans="1:7" x14ac:dyDescent="0.25">
      <c r="A3880" s="64"/>
      <c r="D3880" s="55"/>
      <c r="E3880" s="49" t="s">
        <v>25</v>
      </c>
      <c r="F3880" s="54">
        <v>0.15</v>
      </c>
      <c r="G3880" s="51">
        <f>G3878*F3880</f>
        <v>18315.45</v>
      </c>
    </row>
    <row r="3881" spans="1:7" x14ac:dyDescent="0.25">
      <c r="A3881" s="64"/>
      <c r="D3881" s="55"/>
      <c r="E3881" s="49" t="s">
        <v>26</v>
      </c>
      <c r="F3881" s="54">
        <v>0.05</v>
      </c>
      <c r="G3881" s="51">
        <f>G3878*F3881</f>
        <v>6105.1500000000005</v>
      </c>
    </row>
    <row r="3882" spans="1:7" x14ac:dyDescent="0.25">
      <c r="A3882" s="61"/>
      <c r="B3882" s="65"/>
      <c r="C3882" s="65"/>
      <c r="D3882" s="62"/>
      <c r="E3882" s="49" t="s">
        <v>27</v>
      </c>
      <c r="F3882" s="54">
        <v>0.05</v>
      </c>
      <c r="G3882" s="51">
        <f>G3878*F3882</f>
        <v>6105.1500000000005</v>
      </c>
    </row>
    <row r="3883" spans="1:7" x14ac:dyDescent="0.25">
      <c r="A3883" s="61"/>
      <c r="B3883" s="62"/>
      <c r="C3883" s="62"/>
      <c r="D3883" s="62"/>
      <c r="E3883" s="62"/>
      <c r="F3883" s="62"/>
      <c r="G3883" s="63"/>
    </row>
    <row r="3884" spans="1:7" x14ac:dyDescent="0.25">
      <c r="A3884" s="219" t="s">
        <v>1517</v>
      </c>
      <c r="B3884" s="219"/>
      <c r="C3884" s="219"/>
      <c r="D3884" s="219"/>
      <c r="E3884" s="219"/>
      <c r="F3884" s="219"/>
      <c r="G3884" s="52">
        <f>G3878+G3880+G3881+G3882</f>
        <v>152628.75</v>
      </c>
    </row>
    <row r="3885" spans="1:7" x14ac:dyDescent="0.25">
      <c r="A3885" s="59"/>
      <c r="B3885" s="60"/>
      <c r="C3885" s="60"/>
      <c r="D3885" s="60"/>
      <c r="E3885" s="57"/>
      <c r="F3885" s="57"/>
      <c r="G3885" s="58"/>
    </row>
    <row r="3886" spans="1:7" x14ac:dyDescent="0.25">
      <c r="A3886" s="64"/>
      <c r="D3886" s="55"/>
      <c r="E3886" s="49" t="s">
        <v>102</v>
      </c>
      <c r="F3886" s="49" t="s">
        <v>103</v>
      </c>
      <c r="G3886" s="51">
        <f>G3882*19%</f>
        <v>1159.9785000000002</v>
      </c>
    </row>
    <row r="3887" spans="1:7" x14ac:dyDescent="0.25">
      <c r="A3887" s="61"/>
      <c r="B3887" s="62"/>
      <c r="C3887" s="62"/>
      <c r="D3887" s="62"/>
      <c r="E3887" s="57"/>
      <c r="F3887" s="57"/>
      <c r="G3887" s="58"/>
    </row>
    <row r="3888" spans="1:7" x14ac:dyDescent="0.25">
      <c r="A3888" s="219" t="s">
        <v>104</v>
      </c>
      <c r="B3888" s="219"/>
      <c r="C3888" s="219"/>
      <c r="D3888" s="219"/>
      <c r="E3888" s="219"/>
      <c r="F3888" s="219"/>
      <c r="G3888" s="52">
        <f>G3886+G3884</f>
        <v>153788.7285</v>
      </c>
    </row>
    <row r="3890" spans="1:9" x14ac:dyDescent="0.25">
      <c r="A3890" s="74" t="s">
        <v>29</v>
      </c>
      <c r="B3890" s="226" t="s">
        <v>30</v>
      </c>
      <c r="C3890" s="226"/>
      <c r="D3890" s="74" t="s">
        <v>31</v>
      </c>
      <c r="E3890" s="74" t="s">
        <v>32</v>
      </c>
      <c r="F3890" s="74" t="s">
        <v>189</v>
      </c>
      <c r="G3890" s="74" t="s">
        <v>33</v>
      </c>
      <c r="H3890" s="105"/>
    </row>
    <row r="3891" spans="1:9" ht="21.75" customHeight="1" x14ac:dyDescent="0.25">
      <c r="A3891" s="50" t="str">
        <f>Presupuesto!B78</f>
        <v>063_OC</v>
      </c>
      <c r="B3891" s="229" t="str">
        <f>Presupuesto!C78</f>
        <v xml:space="preserve">FILTROS EN GRAVILLA PARA CARCAMOS DE 40 CM (ANCHO) X40 CM (LARGO) X 100CM (PROFUNDIDAD) </v>
      </c>
      <c r="C3891" s="230"/>
      <c r="D3891" s="50" t="s">
        <v>108</v>
      </c>
      <c r="E3891" s="107">
        <v>10</v>
      </c>
      <c r="F3891" s="50"/>
      <c r="G3891" s="51">
        <f>G3955</f>
        <v>66127.5285</v>
      </c>
      <c r="H3891" s="45"/>
    </row>
    <row r="3892" spans="1:9" x14ac:dyDescent="0.25">
      <c r="A3892" s="219" t="s">
        <v>34</v>
      </c>
      <c r="B3892" s="219"/>
      <c r="C3892" s="219"/>
      <c r="D3892" s="219"/>
      <c r="E3892" s="219"/>
      <c r="F3892" s="219"/>
      <c r="G3892" s="219"/>
    </row>
    <row r="3893" spans="1:9" x14ac:dyDescent="0.25">
      <c r="A3893" s="49" t="s">
        <v>35</v>
      </c>
      <c r="B3893" s="219" t="s">
        <v>36</v>
      </c>
      <c r="C3893" s="219"/>
      <c r="D3893" s="49" t="s">
        <v>37</v>
      </c>
      <c r="E3893" s="49" t="s">
        <v>38</v>
      </c>
      <c r="F3893" s="49" t="s">
        <v>39</v>
      </c>
      <c r="G3893" s="49" t="s">
        <v>40</v>
      </c>
    </row>
    <row r="3894" spans="1:9" x14ac:dyDescent="0.25">
      <c r="A3894" s="50" t="str">
        <f>Material!A277</f>
        <v>MA-276</v>
      </c>
      <c r="B3894" s="72" t="str">
        <f>IFERROR(VLOOKUP(A3894,Material!$A:$H,2,0),"-")</f>
        <v>GRAVA CANTERA 20 MM diámetro</v>
      </c>
      <c r="C3894" s="76"/>
      <c r="D3894" s="50" t="str">
        <f>IFERROR(VLOOKUP(A3894,Material!$A:$H,4,0),"-")</f>
        <v>M3</v>
      </c>
      <c r="E3894" s="107">
        <v>0.16</v>
      </c>
      <c r="F3894" s="51">
        <f>IFERROR(VLOOKUP(A3894,Material!$A:$H,3,0),"-")</f>
        <v>88270</v>
      </c>
      <c r="G3894" s="51">
        <f t="shared" ref="G3894:G3896" si="65">IFERROR(ROUNDUP(F3894*E3894,0),"-")</f>
        <v>14124</v>
      </c>
      <c r="H3894" s="106"/>
    </row>
    <row r="3895" spans="1:9" ht="26.25" customHeight="1" x14ac:dyDescent="0.25">
      <c r="A3895" s="50" t="str">
        <f>Material!A18</f>
        <v>MA-17</v>
      </c>
      <c r="B3895" s="221" t="str">
        <f>IFERROR(VLOOKUP(A3895,Material!$A:$H,2,0),"-")</f>
        <v>EXCAVACIÓN EN MATERIAL COMÚN BAJO AGUA DE 0 - 2 M MANUAL</v>
      </c>
      <c r="C3895" s="222"/>
      <c r="D3895" s="50" t="str">
        <f>IFERROR(VLOOKUP(A3895,Material!$A:$H,4,0),"-")</f>
        <v>M3</v>
      </c>
      <c r="E3895" s="107">
        <f>0.4*0.4*1</f>
        <v>0.16000000000000003</v>
      </c>
      <c r="F3895" s="51">
        <f>IFERROR(VLOOKUP(A3895,Material!$A:$H,3,0),"-")</f>
        <v>45663.8</v>
      </c>
      <c r="G3895" s="51">
        <f t="shared" si="65"/>
        <v>7307</v>
      </c>
      <c r="H3895" s="106"/>
    </row>
    <row r="3896" spans="1:9" x14ac:dyDescent="0.25">
      <c r="A3896" s="50"/>
      <c r="B3896" s="72" t="str">
        <f>IFERROR(VLOOKUP(A3896,Material!$A:$H,2,0),"-")</f>
        <v>-</v>
      </c>
      <c r="C3896" s="76"/>
      <c r="D3896" s="50" t="str">
        <f>IFERROR(VLOOKUP(A3896,Material!$A:$H,4,0),"-")</f>
        <v>-</v>
      </c>
      <c r="E3896" s="107"/>
      <c r="F3896" s="51" t="str">
        <f>IFERROR(VLOOKUP(A3896,Material!$A:$H,3,0),"-")</f>
        <v>-</v>
      </c>
      <c r="G3896" s="51" t="str">
        <f t="shared" si="65"/>
        <v>-</v>
      </c>
      <c r="H3896" s="106"/>
    </row>
    <row r="3897" spans="1:9" x14ac:dyDescent="0.25">
      <c r="A3897" s="219" t="s">
        <v>41</v>
      </c>
      <c r="B3897" s="219"/>
      <c r="C3897" s="219"/>
      <c r="D3897" s="219"/>
      <c r="E3897" s="219"/>
      <c r="F3897" s="219"/>
      <c r="G3897" s="52">
        <f>SUM(G3894:G3896)</f>
        <v>21431</v>
      </c>
      <c r="I3897" s="104"/>
    </row>
    <row r="3898" spans="1:9" x14ac:dyDescent="0.25">
      <c r="A3898" s="56"/>
      <c r="B3898" s="57"/>
      <c r="C3898" s="57"/>
      <c r="D3898" s="57"/>
      <c r="E3898" s="57"/>
      <c r="F3898" s="57"/>
      <c r="G3898" s="58"/>
    </row>
    <row r="3899" spans="1:9" x14ac:dyDescent="0.25">
      <c r="A3899" s="219" t="s">
        <v>42</v>
      </c>
      <c r="B3899" s="219"/>
      <c r="C3899" s="219"/>
      <c r="D3899" s="219"/>
      <c r="E3899" s="219"/>
      <c r="F3899" s="219"/>
      <c r="G3899" s="219"/>
    </row>
    <row r="3900" spans="1:9" x14ac:dyDescent="0.25">
      <c r="A3900" s="49" t="s">
        <v>35</v>
      </c>
      <c r="B3900" s="49" t="s">
        <v>36</v>
      </c>
      <c r="C3900" s="49" t="s">
        <v>38</v>
      </c>
      <c r="D3900" s="49" t="s">
        <v>43</v>
      </c>
      <c r="E3900" s="49" t="s">
        <v>44</v>
      </c>
      <c r="F3900" s="49" t="s">
        <v>45</v>
      </c>
      <c r="G3900" s="49" t="s">
        <v>40</v>
      </c>
    </row>
    <row r="3901" spans="1:9" x14ac:dyDescent="0.25">
      <c r="A3901" s="50" t="s">
        <v>319</v>
      </c>
      <c r="B3901" s="68" t="str">
        <f>VLOOKUP(A3901,'Componentes APUs'!$H$1:$L$25,2,0)</f>
        <v>Ingeniero Residente de Obra</v>
      </c>
      <c r="C3901" s="93">
        <v>0</v>
      </c>
      <c r="D3901" s="50">
        <f>VLOOKUP(A3901,'Componentes APUs'!$H$1:$L$25,3,0)</f>
        <v>4</v>
      </c>
      <c r="E3901" s="51">
        <f>VLOOKUP(A3901,'Componentes APUs'!$H$1:$L$25,4,0)</f>
        <v>271142.85714285716</v>
      </c>
      <c r="F3901" s="51">
        <f>VLOOKUP(A3901,'Componentes APUs'!$H$1:$L$25,5,0)</f>
        <v>162685.71428571429</v>
      </c>
      <c r="G3901" s="51">
        <f>ROUNDUP((E3901+F3901)*C3901/E3891,0)</f>
        <v>0</v>
      </c>
      <c r="H3901" s="66"/>
    </row>
    <row r="3902" spans="1:9" x14ac:dyDescent="0.25">
      <c r="A3902" s="50" t="s">
        <v>320</v>
      </c>
      <c r="B3902" s="68" t="str">
        <f>VLOOKUP(A3902,'Componentes APUs'!$H$1:$L$25,2,0)</f>
        <v>Tecnico Supervisor</v>
      </c>
      <c r="C3902" s="93">
        <v>0</v>
      </c>
      <c r="D3902" s="50">
        <f>VLOOKUP(A3902,'Componentes APUs'!$H$1:$L$25,3,0)</f>
        <v>2.2999999999999998</v>
      </c>
      <c r="E3902" s="51">
        <f>VLOOKUP(A3902,'Componentes APUs'!$H$1:$L$25,4,0)</f>
        <v>155907.14285714284</v>
      </c>
      <c r="F3902" s="51">
        <f>VLOOKUP(A3902,'Componentes APUs'!$H$1:$L$25,5,0)</f>
        <v>93544.285714285696</v>
      </c>
      <c r="G3902" s="51">
        <f>ROUNDUP((E3902+F3902)*C3902/E3891,0)</f>
        <v>0</v>
      </c>
    </row>
    <row r="3903" spans="1:9" x14ac:dyDescent="0.25">
      <c r="A3903" s="50" t="s">
        <v>54</v>
      </c>
      <c r="B3903" s="68" t="str">
        <f>VLOOKUP(A3903,'Componentes APUs'!$H$1:$L$25,2,0)</f>
        <v>Maestro de obra civil</v>
      </c>
      <c r="C3903" s="93">
        <v>0</v>
      </c>
      <c r="D3903" s="50">
        <f>VLOOKUP(A3903,'Componentes APUs'!$H$1:$L$25,3,0)</f>
        <v>2.5</v>
      </c>
      <c r="E3903" s="51">
        <f>VLOOKUP(A3903,'Componentes APUs'!$H$1:$L$25,4,0)</f>
        <v>169464.28571428571</v>
      </c>
      <c r="F3903" s="51">
        <f>VLOOKUP(A3903,'Componentes APUs'!$H$1:$L$25,5,0)</f>
        <v>101678.57142857142</v>
      </c>
      <c r="G3903" s="51">
        <f>ROUNDUP((E3903+F3903)*C3903/E3891,0)</f>
        <v>0</v>
      </c>
    </row>
    <row r="3904" spans="1:9" x14ac:dyDescent="0.25">
      <c r="A3904" s="50" t="s">
        <v>1110</v>
      </c>
      <c r="B3904" s="68" t="str">
        <f>VLOOKUP(A3904,'Componentes APUs'!$H$1:$L$25,2,0)</f>
        <v>Oficial de Obra Civil</v>
      </c>
      <c r="C3904" s="93">
        <v>0.25</v>
      </c>
      <c r="D3904" s="50">
        <f>VLOOKUP(A3904,'Componentes APUs'!$H$1:$L$25,3,0)</f>
        <v>1.5</v>
      </c>
      <c r="E3904" s="51">
        <f>VLOOKUP(A3904,'Componentes APUs'!$H$1:$L$25,4,0)</f>
        <v>115964.28571428571</v>
      </c>
      <c r="F3904" s="51">
        <f>VLOOKUP(A3904,'Componentes APUs'!$H$1:$L$25,5,0)</f>
        <v>69578.57142857142</v>
      </c>
      <c r="G3904" s="51">
        <f>ROUNDUP((E3904+F3904)*C3904/E3891,0)</f>
        <v>4639</v>
      </c>
    </row>
    <row r="3905" spans="1:9" x14ac:dyDescent="0.25">
      <c r="A3905" s="50" t="s">
        <v>50</v>
      </c>
      <c r="B3905" s="68" t="str">
        <f>VLOOKUP(A3905,'Componentes APUs'!$H$1:$L$25,2,0)</f>
        <v>Profesional en SST</v>
      </c>
      <c r="C3905" s="93">
        <v>0.25</v>
      </c>
      <c r="D3905" s="50">
        <f>VLOOKUP(A3905,'Componentes APUs'!$H$1:$L$25,3,0)</f>
        <v>2.5</v>
      </c>
      <c r="E3905" s="51">
        <f>VLOOKUP(A3905,'Componentes APUs'!$H$1:$L$25,4,0)</f>
        <v>169464.28571428571</v>
      </c>
      <c r="F3905" s="51">
        <f>VLOOKUP(A3905,'Componentes APUs'!$H$1:$L$25,5,0)</f>
        <v>101678.57142857142</v>
      </c>
      <c r="G3905" s="51">
        <f>ROUNDUP((E3905+F3905)*C3905/E3891,0)</f>
        <v>6779</v>
      </c>
    </row>
    <row r="3906" spans="1:9" x14ac:dyDescent="0.25">
      <c r="A3906" s="50" t="s">
        <v>1109</v>
      </c>
      <c r="B3906" s="68" t="str">
        <f>VLOOKUP(A3906,'Componentes APUs'!$H$1:$L$25,2,0)</f>
        <v>Ayudante de Obra Civil</v>
      </c>
      <c r="C3906" s="93">
        <v>1</v>
      </c>
      <c r="D3906" s="50">
        <f>VLOOKUP(A3906,'Componentes APUs'!$H$1:$L$25,3,0)</f>
        <v>1</v>
      </c>
      <c r="E3906" s="51">
        <f>VLOOKUP(A3906,'Componentes APUs'!$H$1:$L$25,4,0)</f>
        <v>77309.523809523816</v>
      </c>
      <c r="F3906" s="51">
        <f>VLOOKUP(A3906,'Componentes APUs'!$H$1:$L$25,5,0)</f>
        <v>46385.71428571429</v>
      </c>
      <c r="G3906" s="51">
        <f>ROUNDUP((E3906+F3906)*C3906/E3891,0)</f>
        <v>12370</v>
      </c>
    </row>
    <row r="3907" spans="1:9" x14ac:dyDescent="0.25">
      <c r="A3907" s="219" t="s">
        <v>56</v>
      </c>
      <c r="B3907" s="219"/>
      <c r="C3907" s="219"/>
      <c r="D3907" s="219"/>
      <c r="E3907" s="219"/>
      <c r="F3907" s="219"/>
      <c r="G3907" s="52">
        <f>SUM(G3901:G3906)</f>
        <v>23788</v>
      </c>
    </row>
    <row r="3908" spans="1:9" x14ac:dyDescent="0.25">
      <c r="A3908" s="56"/>
      <c r="B3908" s="57"/>
      <c r="C3908" s="57"/>
      <c r="D3908" s="57"/>
      <c r="E3908" s="57"/>
      <c r="F3908" s="57"/>
      <c r="G3908" s="58"/>
    </row>
    <row r="3909" spans="1:9" x14ac:dyDescent="0.25">
      <c r="A3909" s="219" t="s">
        <v>57</v>
      </c>
      <c r="B3909" s="219"/>
      <c r="C3909" s="219"/>
      <c r="D3909" s="219"/>
      <c r="E3909" s="219"/>
      <c r="F3909" s="219"/>
      <c r="G3909" s="219"/>
    </row>
    <row r="3910" spans="1:9" x14ac:dyDescent="0.25">
      <c r="A3910" s="49" t="s">
        <v>35</v>
      </c>
      <c r="B3910" s="219" t="s">
        <v>36</v>
      </c>
      <c r="C3910" s="219"/>
      <c r="D3910" s="49" t="s">
        <v>37</v>
      </c>
      <c r="E3910" s="49" t="s">
        <v>38</v>
      </c>
      <c r="F3910" s="49" t="s">
        <v>39</v>
      </c>
      <c r="G3910" s="49" t="s">
        <v>40</v>
      </c>
    </row>
    <row r="3911" spans="1:9" x14ac:dyDescent="0.25">
      <c r="A3911" s="50" t="s">
        <v>326</v>
      </c>
      <c r="B3911" s="220" t="str">
        <f>VLOOKUP(A3911,'Componentes APUs'!$S$1:$V$10,2,0)</f>
        <v>Juego Llaves</v>
      </c>
      <c r="C3911" s="220"/>
      <c r="D3911" s="50" t="s">
        <v>18</v>
      </c>
      <c r="E3911" s="50">
        <v>0</v>
      </c>
      <c r="F3911" s="51">
        <f>VLOOKUP(A3911,'Componentes APUs'!$S$1:$V$10,4,0)</f>
        <v>9167</v>
      </c>
      <c r="G3911" s="51">
        <f>ROUNDUP(F3911*((E3911/21)/E3891),0)</f>
        <v>0</v>
      </c>
      <c r="I3911" s="91"/>
    </row>
    <row r="3912" spans="1:9" x14ac:dyDescent="0.25">
      <c r="A3912" s="50" t="s">
        <v>58</v>
      </c>
      <c r="B3912" s="220" t="str">
        <f>VLOOKUP(A3912,'Componentes APUs'!$S$1:$V$10,2,0)</f>
        <v>Manila de servicio</v>
      </c>
      <c r="C3912" s="220"/>
      <c r="D3912" s="50" t="s">
        <v>18</v>
      </c>
      <c r="E3912" s="50">
        <v>0</v>
      </c>
      <c r="F3912" s="51">
        <f>VLOOKUP(A3912,'Componentes APUs'!$S$1:$V$10,4,0)</f>
        <v>2333</v>
      </c>
      <c r="G3912" s="51">
        <f>ROUNDUP(F3912*((E3912/21)/E3891),0)</f>
        <v>0</v>
      </c>
    </row>
    <row r="3913" spans="1:9" x14ac:dyDescent="0.25">
      <c r="A3913" s="50" t="s">
        <v>327</v>
      </c>
      <c r="B3913" s="220" t="str">
        <f>VLOOKUP(A3913,'Componentes APUs'!$S$1:$V$10,2,0)</f>
        <v>Tula portaherramientas</v>
      </c>
      <c r="C3913" s="220"/>
      <c r="D3913" s="50" t="s">
        <v>18</v>
      </c>
      <c r="E3913" s="50">
        <v>0</v>
      </c>
      <c r="F3913" s="51">
        <f>VLOOKUP(A3913,'Componentes APUs'!$S$1:$V$10,4,0)</f>
        <v>1250</v>
      </c>
      <c r="G3913" s="51">
        <f>ROUNDUP(F3913*((E3913/21)/E3891),0)</f>
        <v>0</v>
      </c>
    </row>
    <row r="3914" spans="1:9" x14ac:dyDescent="0.25">
      <c r="A3914" s="50" t="s">
        <v>60</v>
      </c>
      <c r="B3914" s="220" t="str">
        <f>VLOOKUP(A3914,'Componentes APUs'!$S$1:$V$10,2,0)</f>
        <v>Agarradoras</v>
      </c>
      <c r="C3914" s="220"/>
      <c r="D3914" s="50" t="s">
        <v>18</v>
      </c>
      <c r="E3914" s="50">
        <v>0</v>
      </c>
      <c r="F3914" s="51">
        <f>VLOOKUP(A3914,'Componentes APUs'!$S$1:$V$10,4,0)</f>
        <v>125000</v>
      </c>
      <c r="G3914" s="51">
        <f>ROUNDUP(F3914*((E3914/21)/E3891),0)</f>
        <v>0</v>
      </c>
    </row>
    <row r="3915" spans="1:9" x14ac:dyDescent="0.25">
      <c r="A3915" s="50" t="s">
        <v>62</v>
      </c>
      <c r="B3915" s="220" t="str">
        <f>VLOOKUP(A3915,'Componentes APUs'!$S$1:$V$10,2,0)</f>
        <v>Templadoras</v>
      </c>
      <c r="C3915" s="220"/>
      <c r="D3915" s="50" t="s">
        <v>18</v>
      </c>
      <c r="E3915" s="50">
        <v>0</v>
      </c>
      <c r="F3915" s="51">
        <f>VLOOKUP(A3915,'Componentes APUs'!$S$1:$V$10,4,0)</f>
        <v>250000</v>
      </c>
      <c r="G3915" s="51">
        <f>ROUNDUP(F3915*((E3915/21)/E3891),0)</f>
        <v>0</v>
      </c>
    </row>
    <row r="3916" spans="1:9" x14ac:dyDescent="0.25">
      <c r="A3916" s="50" t="s">
        <v>328</v>
      </c>
      <c r="B3916" s="220" t="str">
        <f>VLOOKUP(A3916,'Componentes APUs'!$S$1:$V$10,2,0)</f>
        <v>Herramienta Menor</v>
      </c>
      <c r="C3916" s="220"/>
      <c r="D3916" s="50" t="s">
        <v>18</v>
      </c>
      <c r="E3916" s="50">
        <v>1</v>
      </c>
      <c r="F3916" s="51">
        <f>VLOOKUP(A3916,'Componentes APUs'!$S$1:$V$10,4,0)</f>
        <v>75758</v>
      </c>
      <c r="G3916" s="51">
        <f>ROUNDUP(F3916*((E3916/21)/E3891),0)</f>
        <v>361</v>
      </c>
    </row>
    <row r="3917" spans="1:9" x14ac:dyDescent="0.25">
      <c r="A3917" s="219" t="s">
        <v>69</v>
      </c>
      <c r="B3917" s="219"/>
      <c r="C3917" s="219"/>
      <c r="D3917" s="219"/>
      <c r="E3917" s="219"/>
      <c r="F3917" s="219"/>
      <c r="G3917" s="52">
        <f>SUM(G3911:G3916)</f>
        <v>361</v>
      </c>
    </row>
    <row r="3918" spans="1:9" x14ac:dyDescent="0.25">
      <c r="A3918" s="56"/>
      <c r="B3918" s="57"/>
      <c r="C3918" s="57"/>
      <c r="D3918" s="57"/>
      <c r="E3918" s="57"/>
      <c r="F3918" s="57"/>
      <c r="G3918" s="58"/>
    </row>
    <row r="3919" spans="1:9" x14ac:dyDescent="0.25">
      <c r="A3919" s="219" t="s">
        <v>70</v>
      </c>
      <c r="B3919" s="219"/>
      <c r="C3919" s="219"/>
      <c r="D3919" s="219"/>
      <c r="E3919" s="219"/>
      <c r="F3919" s="219"/>
      <c r="G3919" s="219"/>
    </row>
    <row r="3920" spans="1:9" x14ac:dyDescent="0.25">
      <c r="A3920" s="49" t="s">
        <v>35</v>
      </c>
      <c r="B3920" s="219" t="s">
        <v>36</v>
      </c>
      <c r="C3920" s="219"/>
      <c r="D3920" s="49" t="s">
        <v>37</v>
      </c>
      <c r="E3920" s="49" t="s">
        <v>38</v>
      </c>
      <c r="F3920" s="49" t="s">
        <v>39</v>
      </c>
      <c r="G3920" s="49" t="s">
        <v>40</v>
      </c>
    </row>
    <row r="3921" spans="1:9" x14ac:dyDescent="0.25">
      <c r="A3921" s="50" t="s">
        <v>71</v>
      </c>
      <c r="B3921" s="71" t="str">
        <f>VLOOKUP(A3921,'Componentes APUs'!$A$1:$D$14,2,0)</f>
        <v>Camisa indigo sin partes metalicas</v>
      </c>
      <c r="C3921" s="71"/>
      <c r="D3921" s="50" t="str">
        <f>VLOOKUP(A3921,'Componentes APUs'!$A$1:$D$14,3,0)</f>
        <v>U</v>
      </c>
      <c r="E3921" s="50">
        <f>SUM(C3901:C3906)</f>
        <v>1.5</v>
      </c>
      <c r="F3921" s="51">
        <f>VLOOKUP(A3921,'Componentes APUs'!$A$1:$D$14,4,0)</f>
        <v>8585.8585858585866</v>
      </c>
      <c r="G3921" s="51">
        <f>ROUNDUP(F3921*(E3921/21)/E3891,0)</f>
        <v>62</v>
      </c>
      <c r="I3921" s="91"/>
    </row>
    <row r="3922" spans="1:9" x14ac:dyDescent="0.25">
      <c r="A3922" s="69" t="s">
        <v>73</v>
      </c>
      <c r="B3922" s="72" t="str">
        <f>VLOOKUP(A3922,'Componentes APUs'!$A$1:$D$14,2,0)</f>
        <v>Bota de seguridad dielectrica</v>
      </c>
      <c r="C3922" s="73"/>
      <c r="D3922" s="70" t="str">
        <f>VLOOKUP(A3922,'Componentes APUs'!$A$1:$D$14,3,0)</f>
        <v>Par</v>
      </c>
      <c r="E3922" s="50">
        <f>SUM(C3901:C3906)</f>
        <v>1.5</v>
      </c>
      <c r="F3922" s="51">
        <f>VLOOKUP(A3922,'Componentes APUs'!$A$1:$D$14,4,0)</f>
        <v>7500</v>
      </c>
      <c r="G3922" s="51">
        <f>ROUNDUP(F3922*(E3922/21)/E3891,0)</f>
        <v>54</v>
      </c>
    </row>
    <row r="3923" spans="1:9" x14ac:dyDescent="0.25">
      <c r="A3923" s="50" t="s">
        <v>76</v>
      </c>
      <c r="B3923" s="72" t="str">
        <f>VLOOKUP(A3923,'Componentes APUs'!$A$1:$D$14,2,0)</f>
        <v>Casco dielectrico Tipo 1 Clase E con barbuquejo</v>
      </c>
      <c r="C3923" s="73"/>
      <c r="D3923" s="50" t="str">
        <f>VLOOKUP(A3923,'Componentes APUs'!$A$1:$D$14,3,0)</f>
        <v>U</v>
      </c>
      <c r="E3923" s="50">
        <f>C3901+C3902+C3904+C3905+C3906+IF(A3903&lt;&gt;"MO-3",C3903,0)</f>
        <v>1.5</v>
      </c>
      <c r="F3923" s="51">
        <f>VLOOKUP(A3923,'Componentes APUs'!$A$1:$D$14,4,0)</f>
        <v>10101.010101010101</v>
      </c>
      <c r="G3923" s="51">
        <f>ROUNDUP(F3923*(E3923/21)/E3891,0)</f>
        <v>73</v>
      </c>
    </row>
    <row r="3924" spans="1:9" x14ac:dyDescent="0.25">
      <c r="A3924" s="69" t="s">
        <v>77</v>
      </c>
      <c r="B3924" s="72" t="str">
        <f>VLOOKUP(A3924,'Componentes APUs'!$A$1:$D$14,2,0)</f>
        <v>Correa plastica y antiflama</v>
      </c>
      <c r="C3924" s="73"/>
      <c r="D3924" s="50" t="str">
        <f>VLOOKUP(A3924,'Componentes APUs'!$A$1:$D$14,3,0)</f>
        <v>U</v>
      </c>
      <c r="E3924" s="50">
        <f>SUM(C3901:C3906)</f>
        <v>1.5</v>
      </c>
      <c r="F3924" s="51">
        <f>VLOOKUP(A3924,'Componentes APUs'!$A$1:$D$14,4,0)</f>
        <v>3787.878787878788</v>
      </c>
      <c r="G3924" s="51">
        <f>ROUNDUP(F3924*(E3924/21)/E3891,0)</f>
        <v>28</v>
      </c>
    </row>
    <row r="3925" spans="1:9" x14ac:dyDescent="0.25">
      <c r="A3925" s="50" t="s">
        <v>79</v>
      </c>
      <c r="B3925" s="72" t="str">
        <f>VLOOKUP(A3925,'Componentes APUs'!$A$1:$D$14,2,0)</f>
        <v>Gafas protectoras filtro UV</v>
      </c>
      <c r="C3925" s="73"/>
      <c r="D3925" s="50" t="str">
        <f>VLOOKUP(A3925,'Componentes APUs'!$A$1:$D$14,3,0)</f>
        <v>U</v>
      </c>
      <c r="E3925" s="50">
        <f>SUM(C3901:C3906)</f>
        <v>1.5</v>
      </c>
      <c r="F3925" s="51">
        <f>VLOOKUP(A3925,'Componentes APUs'!$A$1:$D$14,4,0)</f>
        <v>2777.7777777777778</v>
      </c>
      <c r="G3925" s="51">
        <f>ROUNDUP(F3925*(E3925/21)/E3891,0)</f>
        <v>20</v>
      </c>
    </row>
    <row r="3926" spans="1:9" x14ac:dyDescent="0.25">
      <c r="A3926" s="69" t="s">
        <v>402</v>
      </c>
      <c r="B3926" s="72" t="str">
        <f>VLOOKUP(A3926,'Componentes APUs'!$A$1:$D$14,2,0)</f>
        <v>Bota de seguridad PVC dielectrica</v>
      </c>
      <c r="C3926" s="73"/>
      <c r="D3926" s="50" t="str">
        <f>VLOOKUP(A3926,'Componentes APUs'!$A$1:$D$14,3,0)</f>
        <v>Par</v>
      </c>
      <c r="E3926" s="50">
        <f>SUM(C3901:C3906)</f>
        <v>1.5</v>
      </c>
      <c r="F3926" s="51">
        <f>VLOOKUP(A3926,'Componentes APUs'!$A$1:$D$14,4,0)</f>
        <v>2916.6666666666665</v>
      </c>
      <c r="G3926" s="51">
        <f>ROUNDUP(F3926*(E3926/21)/E3891,0)</f>
        <v>21</v>
      </c>
    </row>
    <row r="3927" spans="1:9" x14ac:dyDescent="0.25">
      <c r="A3927" s="50" t="s">
        <v>403</v>
      </c>
      <c r="B3927" s="72" t="str">
        <f>VLOOKUP(A3927,'Componentes APUs'!$A$1:$D$14,2,0)</f>
        <v>Capuchon</v>
      </c>
      <c r="C3927" s="73"/>
      <c r="D3927" s="50" t="str">
        <f>VLOOKUP(A3927,'Componentes APUs'!$A$1:$D$14,3,0)</f>
        <v>U</v>
      </c>
      <c r="E3927" s="50">
        <f>SUM(C3901:C3906)</f>
        <v>1.5</v>
      </c>
      <c r="F3927" s="51">
        <f>VLOOKUP(A3927,'Componentes APUs'!$A$1:$D$14,4,0)</f>
        <v>2525.2525252525252</v>
      </c>
      <c r="G3927" s="51">
        <f>ROUNDUP(F3927*(E3927/21)/E3891,0)</f>
        <v>19</v>
      </c>
    </row>
    <row r="3928" spans="1:9" x14ac:dyDescent="0.25">
      <c r="A3928" s="69" t="s">
        <v>81</v>
      </c>
      <c r="B3928" s="72" t="str">
        <f>VLOOKUP(A3928,'Componentes APUs'!$A$1:$D$14,2,0)</f>
        <v>Guantes Protectores  - ingeniero reforzados</v>
      </c>
      <c r="C3928" s="73"/>
      <c r="D3928" s="50" t="str">
        <f>VLOOKUP(A3928,'Componentes APUs'!$A$1:$D$14,3,0)</f>
        <v>Par</v>
      </c>
      <c r="E3928" s="50">
        <f>C3903+C3904+C3906</f>
        <v>1.25</v>
      </c>
      <c r="F3928" s="51">
        <f>VLOOKUP(A3928,'Componentes APUs'!$A$1:$D$14,4,0)</f>
        <v>2525.2525252525252</v>
      </c>
      <c r="G3928" s="51">
        <f>ROUNDUP(F3928*(E3928/21)/E3891,0)</f>
        <v>16</v>
      </c>
    </row>
    <row r="3929" spans="1:9" x14ac:dyDescent="0.25">
      <c r="A3929" s="50" t="s">
        <v>83</v>
      </c>
      <c r="B3929" s="72" t="str">
        <f>VLOOKUP(A3929,'Componentes APUs'!$A$1:$D$14,2,0)</f>
        <v>Impermeable (pantalon camisa)</v>
      </c>
      <c r="C3929" s="73"/>
      <c r="D3929" s="50" t="str">
        <f>VLOOKUP(A3929,'Componentes APUs'!$A$1:$D$14,3,0)</f>
        <v>U</v>
      </c>
      <c r="E3929" s="50">
        <f>SUM(C3901:C3906)</f>
        <v>1.5</v>
      </c>
      <c r="F3929" s="51">
        <f>VLOOKUP(A3929,'Componentes APUs'!$A$1:$D$14,4,0)</f>
        <v>3750</v>
      </c>
      <c r="G3929" s="51">
        <f>ROUNDUP(F3929*(E3929/21)/E3891,0)</f>
        <v>27</v>
      </c>
    </row>
    <row r="3930" spans="1:9" x14ac:dyDescent="0.25">
      <c r="A3930" s="69" t="s">
        <v>85</v>
      </c>
      <c r="B3930" s="72" t="str">
        <f>VLOOKUP(A3930,'Componentes APUs'!$A$1:$D$14,2,0)</f>
        <v>Jean Dielectrico</v>
      </c>
      <c r="C3930" s="73"/>
      <c r="D3930" s="50" t="str">
        <f>VLOOKUP(A3930,'Componentes APUs'!$A$1:$D$14,3,0)</f>
        <v>U</v>
      </c>
      <c r="E3930" s="50">
        <f>SUM(C3901:C3906)</f>
        <v>1.5</v>
      </c>
      <c r="F3930" s="51">
        <f>VLOOKUP(A3930,'Componentes APUs'!$A$1:$D$14,4,0)</f>
        <v>7575.757575757576</v>
      </c>
      <c r="G3930" s="51">
        <f>ROUNDUP(F3930*(E3930/21)/E3891,0)</f>
        <v>55</v>
      </c>
    </row>
    <row r="3931" spans="1:9" x14ac:dyDescent="0.25">
      <c r="A3931" s="50" t="s">
        <v>87</v>
      </c>
      <c r="B3931" s="72" t="str">
        <f>VLOOKUP(A3931,'Componentes APUs'!$A$1:$D$14,2,0)</f>
        <v>Casco dielectrico Tipo 2 Clase E con barboquejo</v>
      </c>
      <c r="C3931" s="73"/>
      <c r="D3931" s="50" t="str">
        <f>VLOOKUP(A3931,'Componentes APUs'!$A$1:$D$14,3,0)</f>
        <v>U</v>
      </c>
      <c r="E3931" s="53">
        <f>IF(A3903="MO-3",C3903,0)</f>
        <v>0</v>
      </c>
      <c r="F3931" s="51">
        <f>VLOOKUP(A3931,'Componentes APUs'!$A$1:$D$14,4,0)</f>
        <v>7500</v>
      </c>
      <c r="G3931" s="51">
        <f>ROUNDUP(F3931*(E3931/21)/E3891,0)</f>
        <v>0</v>
      </c>
    </row>
    <row r="3932" spans="1:9" x14ac:dyDescent="0.25">
      <c r="A3932" s="69" t="s">
        <v>89</v>
      </c>
      <c r="B3932" s="72" t="str">
        <f>VLOOKUP(A3932,'Componentes APUs'!$A$1:$D$14,2,0)</f>
        <v>Kit de rescate para trabajo en alturas</v>
      </c>
      <c r="C3932" s="73"/>
      <c r="D3932" s="50" t="str">
        <f>VLOOKUP(A3932,'Componentes APUs'!$A$1:$D$14,3,0)</f>
        <v>U</v>
      </c>
      <c r="E3932" s="50">
        <f>IF(AND(A3903="MO-3",C3903=2),1,0)</f>
        <v>0</v>
      </c>
      <c r="F3932" s="51">
        <f>VLOOKUP(A3932,'Componentes APUs'!$A$1:$D$14,4,0)</f>
        <v>37500</v>
      </c>
      <c r="G3932" s="51">
        <f>ROUNDUP(F3932*(E3932/21)/E3891,0)</f>
        <v>0</v>
      </c>
    </row>
    <row r="3933" spans="1:9" x14ac:dyDescent="0.25">
      <c r="A3933" s="50" t="s">
        <v>91</v>
      </c>
      <c r="B3933" s="72" t="str">
        <f>VLOOKUP(A3933,'Componentes APUs'!$A$1:$D$14,2,0)</f>
        <v>Equipo completo para trabajo en alturas con pretales (Arnes dielectrico, 1 mosqueton de seguridad, tie off dielectrico, eslinga de posicionamiento, juego de pretales)</v>
      </c>
      <c r="C3933" s="73"/>
      <c r="D3933" s="50" t="str">
        <f>VLOOKUP(A3933,'Componentes APUs'!$A$1:$D$14,3,0)</f>
        <v>U</v>
      </c>
      <c r="E3933" s="50">
        <f>IF(A3903="MO-3",C3903,0)</f>
        <v>0</v>
      </c>
      <c r="F3933" s="51">
        <f>VLOOKUP(A3933,'Componentes APUs'!$A$1:$D$14,4,0)</f>
        <v>26041.666666666668</v>
      </c>
      <c r="G3933" s="51">
        <f>ROUNDUP(F3933*(E3933/21)/E3891,0)</f>
        <v>0</v>
      </c>
    </row>
    <row r="3934" spans="1:9" x14ac:dyDescent="0.25">
      <c r="A3934" s="219" t="s">
        <v>95</v>
      </c>
      <c r="B3934" s="219"/>
      <c r="C3934" s="219"/>
      <c r="D3934" s="219"/>
      <c r="E3934" s="219"/>
      <c r="F3934" s="219"/>
      <c r="G3934" s="52">
        <f>SUM(G3921:G3933)</f>
        <v>375</v>
      </c>
    </row>
    <row r="3935" spans="1:9" x14ac:dyDescent="0.25">
      <c r="A3935" s="56"/>
      <c r="B3935" s="57"/>
      <c r="C3935" s="57"/>
      <c r="D3935" s="57"/>
      <c r="E3935" s="57"/>
      <c r="F3935" s="57"/>
      <c r="G3935" s="58"/>
    </row>
    <row r="3936" spans="1:9" x14ac:dyDescent="0.25">
      <c r="A3936" s="219" t="s">
        <v>96</v>
      </c>
      <c r="B3936" s="219"/>
      <c r="C3936" s="219"/>
      <c r="D3936" s="219"/>
      <c r="E3936" s="219"/>
      <c r="F3936" s="219"/>
      <c r="G3936" s="219"/>
    </row>
    <row r="3937" spans="1:7" x14ac:dyDescent="0.25">
      <c r="A3937" s="49" t="s">
        <v>35</v>
      </c>
      <c r="B3937" s="225" t="s">
        <v>36</v>
      </c>
      <c r="C3937" s="225"/>
      <c r="D3937" s="49" t="s">
        <v>37</v>
      </c>
      <c r="E3937" s="49" t="s">
        <v>38</v>
      </c>
      <c r="F3937" s="49" t="s">
        <v>39</v>
      </c>
      <c r="G3937" s="49" t="s">
        <v>40</v>
      </c>
    </row>
    <row r="3938" spans="1:7" x14ac:dyDescent="0.25">
      <c r="A3938" s="69" t="s">
        <v>97</v>
      </c>
      <c r="B3938" s="72" t="str">
        <f>VLOOKUP(A3938,'Componentes APUs'!$N$1:$Q$30,2,0)</f>
        <v>Camioneta</v>
      </c>
      <c r="C3938" s="73"/>
      <c r="D3938" s="70" t="str">
        <f>VLOOKUP(A3938,'Componentes APUs'!$N$1:$Q$30,3,0)</f>
        <v>U</v>
      </c>
      <c r="E3938" s="50">
        <v>0.25</v>
      </c>
      <c r="F3938" s="51">
        <f>VLOOKUP(A3938,'Componentes APUs'!$N$1:$Q$30,4,0)</f>
        <v>5500000</v>
      </c>
      <c r="G3938" s="51">
        <f>IFERROR(ROUNDUP(F3938*(E3938/21)/E3891,0),"-")</f>
        <v>6548</v>
      </c>
    </row>
    <row r="3939" spans="1:7" x14ac:dyDescent="0.25">
      <c r="A3939" s="50" t="s">
        <v>321</v>
      </c>
      <c r="B3939" s="72" t="str">
        <f>VLOOKUP(A3939,'Componentes APUs'!$N$1:$Q$30,2,0)</f>
        <v>Grúa Hidráulica</v>
      </c>
      <c r="C3939" s="73"/>
      <c r="D3939" s="70" t="str">
        <f>VLOOKUP(A3939,'Componentes APUs'!$N$1:$Q$30,3,0)</f>
        <v>U</v>
      </c>
      <c r="E3939" s="50">
        <v>0</v>
      </c>
      <c r="F3939" s="51">
        <f>VLOOKUP(A3939,'Componentes APUs'!$N$1:$Q$30,4,0)</f>
        <v>21000000</v>
      </c>
      <c r="G3939" s="51">
        <f>IFERROR(ROUNDUP(F3939*(E3939/21)/E3891,0),"-")</f>
        <v>0</v>
      </c>
    </row>
    <row r="3940" spans="1:7" x14ac:dyDescent="0.25">
      <c r="A3940" s="69" t="s">
        <v>1379</v>
      </c>
      <c r="B3940" s="72" t="str">
        <f>VLOOKUP(A3940,'Componentes APUs'!$N$1:$Q$30,2,0)</f>
        <v>Dumper de descarga Frontal 2T</v>
      </c>
      <c r="C3940" s="73"/>
      <c r="D3940" s="70" t="str">
        <f>VLOOKUP(A3940,'Componentes APUs'!$N$1:$Q$30,3,0)</f>
        <v>U</v>
      </c>
      <c r="E3940" s="50">
        <v>0</v>
      </c>
      <c r="F3940" s="51">
        <f>VLOOKUP(A3940,'Componentes APUs'!$N$1:$Q$30,4,0)</f>
        <v>4438716.24</v>
      </c>
      <c r="G3940" s="51">
        <f>IFERROR(ROUNDUP(F3940*(E3940/21)/E3891,0),"-")</f>
        <v>0</v>
      </c>
    </row>
    <row r="3941" spans="1:7" x14ac:dyDescent="0.25">
      <c r="A3941" s="50" t="s">
        <v>323</v>
      </c>
      <c r="B3941" s="72" t="str">
        <f>VLOOKUP(A3941,'Componentes APUs'!$N$1:$Q$30,2,0)</f>
        <v>Volqueta</v>
      </c>
      <c r="C3941" s="73"/>
      <c r="D3941" s="70" t="str">
        <f>VLOOKUP(A3941,'Componentes APUs'!$N$1:$Q$30,3,0)</f>
        <v>U</v>
      </c>
      <c r="E3941" s="50">
        <v>0</v>
      </c>
      <c r="F3941" s="51">
        <f>VLOOKUP(A3941,'Componentes APUs'!$N$1:$Q$30,4,0)</f>
        <v>14828184</v>
      </c>
      <c r="G3941" s="51">
        <f>IFERROR(ROUNDUP(F3941*(E3941/21)/E3891,0),"-")</f>
        <v>0</v>
      </c>
    </row>
    <row r="3942" spans="1:7" x14ac:dyDescent="0.25">
      <c r="A3942" s="69" t="s">
        <v>324</v>
      </c>
      <c r="B3942" s="72" t="str">
        <f>VLOOKUP(A3942,'Componentes APUs'!$N$1:$Q$30,2,0)</f>
        <v>Retroexcavadora</v>
      </c>
      <c r="C3942" s="73"/>
      <c r="D3942" s="70" t="str">
        <f>VLOOKUP(A3942,'Componentes APUs'!$N$1:$Q$30,3,0)</f>
        <v>U</v>
      </c>
      <c r="E3942" s="50">
        <v>0</v>
      </c>
      <c r="F3942" s="51">
        <f>VLOOKUP(A3942,'Componentes APUs'!$N$1:$Q$30,4,0)</f>
        <v>46030656</v>
      </c>
      <c r="G3942" s="51">
        <f>IFERROR(ROUNDUP(F3942*(E3942/21)/E3891,0),"-")</f>
        <v>0</v>
      </c>
    </row>
    <row r="3943" spans="1:7" x14ac:dyDescent="0.25">
      <c r="A3943" s="219" t="s">
        <v>99</v>
      </c>
      <c r="B3943" s="219"/>
      <c r="C3943" s="219"/>
      <c r="D3943" s="219"/>
      <c r="E3943" s="219"/>
      <c r="F3943" s="219"/>
      <c r="G3943" s="52">
        <f>SUM(G3938:G3942)</f>
        <v>6548</v>
      </c>
    </row>
    <row r="3944" spans="1:7" x14ac:dyDescent="0.25">
      <c r="A3944" s="56"/>
      <c r="B3944" s="57"/>
      <c r="C3944" s="57"/>
      <c r="D3944" s="57"/>
      <c r="E3944" s="57"/>
      <c r="F3944" s="57"/>
      <c r="G3944" s="58"/>
    </row>
    <row r="3945" spans="1:7" x14ac:dyDescent="0.25">
      <c r="A3945" s="219" t="s">
        <v>1516</v>
      </c>
      <c r="B3945" s="219"/>
      <c r="C3945" s="219"/>
      <c r="D3945" s="219"/>
      <c r="E3945" s="219"/>
      <c r="F3945" s="219"/>
      <c r="G3945" s="52">
        <f>G3943+G3934+G3917+G3907+G3897</f>
        <v>52503</v>
      </c>
    </row>
    <row r="3946" spans="1:7" x14ac:dyDescent="0.25">
      <c r="A3946" s="59"/>
      <c r="B3946" s="60"/>
      <c r="C3946" s="60"/>
      <c r="D3946" s="60"/>
      <c r="E3946" s="57"/>
      <c r="F3946" s="57"/>
      <c r="G3946" s="58"/>
    </row>
    <row r="3947" spans="1:7" x14ac:dyDescent="0.25">
      <c r="A3947" s="64"/>
      <c r="D3947" s="55"/>
      <c r="E3947" s="49" t="s">
        <v>25</v>
      </c>
      <c r="F3947" s="54">
        <v>0.15</v>
      </c>
      <c r="G3947" s="51">
        <f>G3945*F3947</f>
        <v>7875.45</v>
      </c>
    </row>
    <row r="3948" spans="1:7" x14ac:dyDescent="0.25">
      <c r="A3948" s="64"/>
      <c r="D3948" s="55"/>
      <c r="E3948" s="49" t="s">
        <v>26</v>
      </c>
      <c r="F3948" s="54">
        <v>0.05</v>
      </c>
      <c r="G3948" s="51">
        <f>G3945*F3948</f>
        <v>2625.15</v>
      </c>
    </row>
    <row r="3949" spans="1:7" x14ac:dyDescent="0.25">
      <c r="A3949" s="61"/>
      <c r="B3949" s="65"/>
      <c r="C3949" s="65"/>
      <c r="D3949" s="62"/>
      <c r="E3949" s="49" t="s">
        <v>27</v>
      </c>
      <c r="F3949" s="54">
        <v>0.05</v>
      </c>
      <c r="G3949" s="51">
        <f>G3945*F3949</f>
        <v>2625.15</v>
      </c>
    </row>
    <row r="3950" spans="1:7" x14ac:dyDescent="0.25">
      <c r="A3950" s="61"/>
      <c r="B3950" s="62"/>
      <c r="C3950" s="62"/>
      <c r="D3950" s="62"/>
      <c r="E3950" s="62"/>
      <c r="F3950" s="62"/>
      <c r="G3950" s="63"/>
    </row>
    <row r="3951" spans="1:7" x14ac:dyDescent="0.25">
      <c r="A3951" s="219" t="s">
        <v>1517</v>
      </c>
      <c r="B3951" s="219"/>
      <c r="C3951" s="219"/>
      <c r="D3951" s="219"/>
      <c r="E3951" s="219"/>
      <c r="F3951" s="219"/>
      <c r="G3951" s="52">
        <f>G3945+G3947+G3948+G3949</f>
        <v>65628.75</v>
      </c>
    </row>
    <row r="3952" spans="1:7" x14ac:dyDescent="0.25">
      <c r="A3952" s="59"/>
      <c r="B3952" s="60"/>
      <c r="C3952" s="60"/>
      <c r="D3952" s="60"/>
      <c r="E3952" s="57"/>
      <c r="F3952" s="57"/>
      <c r="G3952" s="58"/>
    </row>
    <row r="3953" spans="1:8" x14ac:dyDescent="0.25">
      <c r="A3953" s="64"/>
      <c r="D3953" s="55"/>
      <c r="E3953" s="49" t="s">
        <v>102</v>
      </c>
      <c r="F3953" s="49" t="s">
        <v>103</v>
      </c>
      <c r="G3953" s="51">
        <f>G3949*19%</f>
        <v>498.77850000000001</v>
      </c>
    </row>
    <row r="3954" spans="1:8" x14ac:dyDescent="0.25">
      <c r="A3954" s="61"/>
      <c r="B3954" s="62"/>
      <c r="C3954" s="62"/>
      <c r="D3954" s="62"/>
      <c r="E3954" s="57"/>
      <c r="F3954" s="57"/>
      <c r="G3954" s="58"/>
    </row>
    <row r="3955" spans="1:8" x14ac:dyDescent="0.25">
      <c r="A3955" s="219" t="s">
        <v>104</v>
      </c>
      <c r="B3955" s="219"/>
      <c r="C3955" s="219"/>
      <c r="D3955" s="219"/>
      <c r="E3955" s="219"/>
      <c r="F3955" s="219"/>
      <c r="G3955" s="52">
        <f>G3953+G3951</f>
        <v>66127.5285</v>
      </c>
    </row>
    <row r="3957" spans="1:8" x14ac:dyDescent="0.25">
      <c r="A3957" s="74" t="s">
        <v>29</v>
      </c>
      <c r="B3957" s="226" t="s">
        <v>30</v>
      </c>
      <c r="C3957" s="226"/>
      <c r="D3957" s="74" t="s">
        <v>31</v>
      </c>
      <c r="E3957" s="74" t="s">
        <v>32</v>
      </c>
      <c r="F3957" s="74" t="s">
        <v>189</v>
      </c>
      <c r="G3957" s="74" t="s">
        <v>33</v>
      </c>
      <c r="H3957" s="105"/>
    </row>
    <row r="3958" spans="1:8" ht="15" customHeight="1" x14ac:dyDescent="0.25">
      <c r="A3958" s="50" t="str">
        <f>Presupuesto!B82</f>
        <v>066_OC</v>
      </c>
      <c r="B3958" s="229" t="str">
        <f>Presupuesto!C82</f>
        <v>TANQUE DE ALMACENAMIENTO 500 LITROS</v>
      </c>
      <c r="C3958" s="230"/>
      <c r="D3958" s="50" t="s">
        <v>8</v>
      </c>
      <c r="E3958" s="107">
        <v>2</v>
      </c>
      <c r="F3958" s="50"/>
      <c r="G3958" s="51">
        <f>G4030</f>
        <v>1764764.7984999998</v>
      </c>
      <c r="H3958" s="45"/>
    </row>
    <row r="3959" spans="1:8" x14ac:dyDescent="0.25">
      <c r="A3959" s="219" t="s">
        <v>34</v>
      </c>
      <c r="B3959" s="219"/>
      <c r="C3959" s="219"/>
      <c r="D3959" s="219"/>
      <c r="E3959" s="219"/>
      <c r="F3959" s="219"/>
      <c r="G3959" s="219"/>
    </row>
    <row r="3960" spans="1:8" x14ac:dyDescent="0.25">
      <c r="A3960" s="49" t="s">
        <v>35</v>
      </c>
      <c r="B3960" s="219" t="s">
        <v>36</v>
      </c>
      <c r="C3960" s="219"/>
      <c r="D3960" s="49" t="s">
        <v>37</v>
      </c>
      <c r="E3960" s="49" t="s">
        <v>38</v>
      </c>
      <c r="F3960" s="49" t="s">
        <v>39</v>
      </c>
      <c r="G3960" s="49" t="s">
        <v>40</v>
      </c>
    </row>
    <row r="3961" spans="1:8" x14ac:dyDescent="0.25">
      <c r="A3961" s="50" t="str">
        <f>Material!A490</f>
        <v>MA-489</v>
      </c>
      <c r="B3961" s="72" t="str">
        <f>IFERROR(VLOOKUP(A3961,Material!$A:$H,2,0),"-")</f>
        <v>TANQUE DE ALMACENAMIENTO DE AGUA 500 L</v>
      </c>
      <c r="C3961" s="76"/>
      <c r="D3961" s="50" t="str">
        <f>IFERROR(VLOOKUP(A3961,Material!$A:$H,4,0),"-")</f>
        <v>UN</v>
      </c>
      <c r="E3961" s="107">
        <v>1</v>
      </c>
      <c r="F3961" s="51">
        <f>IFERROR(VLOOKUP(A3961,Material!$A:$H,3,0),"-")</f>
        <v>413270</v>
      </c>
      <c r="G3961" s="51">
        <f t="shared" ref="G3961:G3962" si="66">IFERROR(ROUNDUP(F3961*E3961,0),"-")</f>
        <v>413270</v>
      </c>
      <c r="H3961" s="106"/>
    </row>
    <row r="3962" spans="1:8" x14ac:dyDescent="0.25">
      <c r="A3962" s="50" t="str">
        <f>Material!A623</f>
        <v>MA-622</v>
      </c>
      <c r="B3962" s="72" t="str">
        <f>IFERROR(VLOOKUP(A3962,Material!$A:$H,2,0),"-")</f>
        <v>TUBERÍA PRESIÓN PVC 1/2"</v>
      </c>
      <c r="C3962" s="76"/>
      <c r="D3962" s="50" t="str">
        <f>IFERROR(VLOOKUP(A3962,Material!$A:$H,4,0),"-")</f>
        <v>UN</v>
      </c>
      <c r="E3962" s="107">
        <v>7.5</v>
      </c>
      <c r="F3962" s="51">
        <f>IFERROR(VLOOKUP(A3962,Material!$A:$H,3,0),"-")</f>
        <v>4533.1000000000004</v>
      </c>
      <c r="G3962" s="51">
        <f t="shared" si="66"/>
        <v>33999</v>
      </c>
      <c r="H3962" s="106"/>
    </row>
    <row r="3963" spans="1:8" x14ac:dyDescent="0.25">
      <c r="A3963" s="50" t="str">
        <f>Material!A624</f>
        <v>MA-623</v>
      </c>
      <c r="B3963" s="72" t="str">
        <f>IFERROR(VLOOKUP(A3963,Material!$A:$H,2,0),"-")</f>
        <v>TUBERÍA PRESIÓN PVC 1"</v>
      </c>
      <c r="C3963" s="76"/>
      <c r="D3963" s="50" t="str">
        <f>IFERROR(VLOOKUP(A3963,Material!$A:$H,4,0),"-")</f>
        <v>m</v>
      </c>
      <c r="E3963" s="107">
        <v>6</v>
      </c>
      <c r="F3963" s="51">
        <f>IFERROR(VLOOKUP(A3963,Material!$A:$H,3,0),"-")</f>
        <v>7883.2</v>
      </c>
      <c r="G3963" s="51">
        <f t="shared" ref="G3963" si="67">IFERROR(ROUNDUP(F3963*E3963,0),"-")</f>
        <v>47300</v>
      </c>
      <c r="H3963" s="106"/>
    </row>
    <row r="3964" spans="1:8" x14ac:dyDescent="0.25">
      <c r="A3964" s="50" t="str">
        <f>Material!A625</f>
        <v>MA-624</v>
      </c>
      <c r="B3964" s="72" t="str">
        <f>IFERROR(VLOOKUP(A3964,Material!$A:$H,2,0),"-")</f>
        <v>CODO PRESIÓN PVC 1/2"</v>
      </c>
      <c r="C3964" s="76"/>
      <c r="D3964" s="50" t="str">
        <f>IFERROR(VLOOKUP(A3964,Material!$A:$H,4,0),"-")</f>
        <v>m</v>
      </c>
      <c r="E3964" s="107">
        <v>1</v>
      </c>
      <c r="F3964" s="51">
        <f>IFERROR(VLOOKUP(A3964,Material!$A:$H,3,0),"-")</f>
        <v>1053</v>
      </c>
      <c r="G3964" s="51">
        <f t="shared" ref="G3964:G3973" si="68">IFERROR(ROUNDUP(F3964*E3964,0),"-")</f>
        <v>1053</v>
      </c>
      <c r="H3964" s="106"/>
    </row>
    <row r="3965" spans="1:8" x14ac:dyDescent="0.25">
      <c r="A3965" s="50" t="str">
        <f>Material!A626</f>
        <v>MA-625</v>
      </c>
      <c r="B3965" s="72" t="str">
        <f>IFERROR(VLOOKUP(A3965,Material!$A:$H,2,0),"-")</f>
        <v>CODO PRESIÓN PVC 1"</v>
      </c>
      <c r="C3965" s="76"/>
      <c r="D3965" s="50" t="str">
        <f>IFERROR(VLOOKUP(A3965,Material!$A:$H,4,0),"-")</f>
        <v>UN</v>
      </c>
      <c r="E3965" s="107">
        <v>3</v>
      </c>
      <c r="F3965" s="51">
        <f>IFERROR(VLOOKUP(A3965,Material!$A:$H,3,0),"-")</f>
        <v>3295.5</v>
      </c>
      <c r="G3965" s="51">
        <f t="shared" si="68"/>
        <v>9887</v>
      </c>
      <c r="H3965" s="106"/>
    </row>
    <row r="3966" spans="1:8" x14ac:dyDescent="0.25">
      <c r="A3966" s="50" t="str">
        <f>Material!A627</f>
        <v>MA-626</v>
      </c>
      <c r="B3966" s="72" t="str">
        <f>IFERROR(VLOOKUP(A3966,Material!$A:$H,2,0),"-")</f>
        <v>TEE PRESIÓN PVC 1/2"</v>
      </c>
      <c r="C3966" s="76"/>
      <c r="D3966" s="50" t="str">
        <f>IFERROR(VLOOKUP(A3966,Material!$A:$H,4,0),"-")</f>
        <v>UN</v>
      </c>
      <c r="E3966" s="107">
        <v>3</v>
      </c>
      <c r="F3966" s="51">
        <f>IFERROR(VLOOKUP(A3966,Material!$A:$H,3,0),"-")</f>
        <v>1387.1000000000001</v>
      </c>
      <c r="G3966" s="51">
        <f t="shared" si="68"/>
        <v>4162</v>
      </c>
      <c r="H3966" s="106"/>
    </row>
    <row r="3967" spans="1:8" x14ac:dyDescent="0.25">
      <c r="A3967" s="50" t="str">
        <f>Material!A628</f>
        <v>MA-627</v>
      </c>
      <c r="B3967" s="72" t="str">
        <f>IFERROR(VLOOKUP(A3967,Material!$A:$H,2,0),"-")</f>
        <v>TEE PRESIÓN PVC 1"</v>
      </c>
      <c r="C3967" s="76"/>
      <c r="D3967" s="50" t="str">
        <f>IFERROR(VLOOKUP(A3967,Material!$A:$H,4,0),"-")</f>
        <v>UN</v>
      </c>
      <c r="E3967" s="107">
        <v>2</v>
      </c>
      <c r="F3967" s="51">
        <f>IFERROR(VLOOKUP(A3967,Material!$A:$H,3,0),"-")</f>
        <v>4583.8</v>
      </c>
      <c r="G3967" s="51">
        <f t="shared" si="68"/>
        <v>9168</v>
      </c>
      <c r="H3967" s="106"/>
    </row>
    <row r="3968" spans="1:8" x14ac:dyDescent="0.25">
      <c r="A3968" s="50" t="str">
        <f>Material!A629</f>
        <v>MA-628</v>
      </c>
      <c r="B3968" s="72" t="str">
        <f>IFERROR(VLOOKUP(A3968,Material!$A:$H,2,0),"-")</f>
        <v>LIMPIADOR PVC (1/4 Gal)</v>
      </c>
      <c r="C3968" s="76"/>
      <c r="D3968" s="50" t="str">
        <f>IFERROR(VLOOKUP(A3968,Material!$A:$H,4,0),"-")</f>
        <v>UN</v>
      </c>
      <c r="E3968" s="107">
        <v>0.05</v>
      </c>
      <c r="F3968" s="51">
        <f>IFERROR(VLOOKUP(A3968,Material!$A:$H,3,0),"-")</f>
        <v>80462.2</v>
      </c>
      <c r="G3968" s="51">
        <f t="shared" si="68"/>
        <v>4024</v>
      </c>
      <c r="H3968" s="106"/>
    </row>
    <row r="3969" spans="1:9" x14ac:dyDescent="0.25">
      <c r="A3969" s="50" t="str">
        <f>Material!A630</f>
        <v>MA-629</v>
      </c>
      <c r="B3969" s="72" t="str">
        <f>IFERROR(VLOOKUP(A3969,Material!$A:$H,2,0),"-")</f>
        <v>SOLDADURA PVC (1/4 Gal)</v>
      </c>
      <c r="C3969" s="76"/>
      <c r="D3969" s="50" t="str">
        <f>IFERROR(VLOOKUP(A3969,Material!$A:$H,4,0),"-")</f>
        <v>UN</v>
      </c>
      <c r="E3969" s="107">
        <v>0.05</v>
      </c>
      <c r="F3969" s="51">
        <f>IFERROR(VLOOKUP(A3969,Material!$A:$H,3,0),"-")</f>
        <v>166873.20000000001</v>
      </c>
      <c r="G3969" s="51">
        <f t="shared" si="68"/>
        <v>8344</v>
      </c>
      <c r="H3969" s="106"/>
    </row>
    <row r="3970" spans="1:9" x14ac:dyDescent="0.25">
      <c r="A3970" s="50" t="str">
        <f>Material!A631</f>
        <v>MA-630</v>
      </c>
      <c r="B3970" s="72" t="str">
        <f>IFERROR(VLOOKUP(A3970,Material!$A:$H,2,0),"-")</f>
        <v>CINTA TEFLÓN 1/2" x 10 m</v>
      </c>
      <c r="C3970" s="76"/>
      <c r="D3970" s="50" t="str">
        <f>IFERROR(VLOOKUP(A3970,Material!$A:$H,4,0),"-")</f>
        <v>UN</v>
      </c>
      <c r="E3970" s="107">
        <v>1</v>
      </c>
      <c r="F3970" s="51">
        <f>IFERROR(VLOOKUP(A3970,Material!$A:$H,3,0),"-")</f>
        <v>1859</v>
      </c>
      <c r="G3970" s="51">
        <f t="shared" si="68"/>
        <v>1859</v>
      </c>
      <c r="H3970" s="106"/>
    </row>
    <row r="3971" spans="1:9" x14ac:dyDescent="0.25">
      <c r="A3971" s="50" t="str">
        <f>Material!A632</f>
        <v>MA-631</v>
      </c>
      <c r="B3971" s="72" t="str">
        <f>IFERROR(VLOOKUP(A3971,Material!$A:$H,2,0),"-")</f>
        <v>CHEQUE CORTINA SELLO METÁLICO Ø= 1/2"</v>
      </c>
      <c r="C3971" s="76"/>
      <c r="D3971" s="50" t="str">
        <f>IFERROR(VLOOKUP(A3971,Material!$A:$H,4,0),"-")</f>
        <v>UN</v>
      </c>
      <c r="E3971" s="107">
        <v>1</v>
      </c>
      <c r="F3971" s="51">
        <f>IFERROR(VLOOKUP(A3971,Material!$A:$H,3,0),"-")</f>
        <v>94225.3</v>
      </c>
      <c r="G3971" s="51">
        <f t="shared" si="68"/>
        <v>94226</v>
      </c>
      <c r="H3971" s="106"/>
    </row>
    <row r="3972" spans="1:9" x14ac:dyDescent="0.25">
      <c r="A3972" s="50" t="str">
        <f>Material!A633</f>
        <v>MA-632</v>
      </c>
      <c r="B3972" s="72" t="str">
        <f>IFERROR(VLOOKUP(A3972,Material!$A:$H,2,0),"-")</f>
        <v>REGISTRO DE BOLA 1/2"</v>
      </c>
      <c r="C3972" s="76"/>
      <c r="D3972" s="50" t="str">
        <f>IFERROR(VLOOKUP(A3972,Material!$A:$H,4,0),"-")</f>
        <v>UN</v>
      </c>
      <c r="E3972" s="107">
        <v>2</v>
      </c>
      <c r="F3972" s="51">
        <f>IFERROR(VLOOKUP(A3972,Material!$A:$H,3,0),"-")</f>
        <v>30741.100000000002</v>
      </c>
      <c r="G3972" s="51">
        <f t="shared" si="68"/>
        <v>61483</v>
      </c>
      <c r="H3972" s="106"/>
    </row>
    <row r="3973" spans="1:9" x14ac:dyDescent="0.25">
      <c r="A3973" s="50" t="str">
        <f>Material!A634</f>
        <v>MA-633</v>
      </c>
      <c r="B3973" s="72" t="str">
        <f>IFERROR(VLOOKUP(A3973,Material!$A:$H,2,0),"-")</f>
        <v>REGISTRO DE BOLA 1"</v>
      </c>
      <c r="C3973" s="76"/>
      <c r="D3973" s="50" t="str">
        <f>IFERROR(VLOOKUP(A3973,Material!$A:$H,4,0),"-")</f>
        <v>UN</v>
      </c>
      <c r="E3973" s="107">
        <v>1</v>
      </c>
      <c r="F3973" s="51">
        <f>IFERROR(VLOOKUP(A3973,Material!$A:$H,3,0),"-")</f>
        <v>88185.5</v>
      </c>
      <c r="G3973" s="51">
        <f t="shared" si="68"/>
        <v>88186</v>
      </c>
      <c r="H3973" s="106"/>
    </row>
    <row r="3974" spans="1:9" x14ac:dyDescent="0.25">
      <c r="A3974" s="50" t="str">
        <f>Material!A635</f>
        <v>MA-634</v>
      </c>
      <c r="B3974" s="72" t="str">
        <f>IFERROR(VLOOKUP(A3974,Material!$A:$H,2,0),"-")</f>
        <v>FLOTADOR TANQUE PLÁSTICO 1/2"</v>
      </c>
      <c r="C3974" s="76"/>
      <c r="D3974" s="50" t="str">
        <f>IFERROR(VLOOKUP(A3974,Material!$A:$H,4,0),"-")</f>
        <v>UN</v>
      </c>
      <c r="E3974" s="107">
        <v>1</v>
      </c>
      <c r="F3974" s="51">
        <f>IFERROR(VLOOKUP(A3974,Material!$A:$H,3,0),"-")</f>
        <v>92584.7</v>
      </c>
      <c r="G3974" s="51">
        <f t="shared" ref="G3974" si="69">IFERROR(ROUNDUP(F3974*E3974,0),"-")</f>
        <v>92585</v>
      </c>
      <c r="H3974" s="106"/>
    </row>
    <row r="3975" spans="1:9" x14ac:dyDescent="0.25">
      <c r="A3975" s="219" t="s">
        <v>41</v>
      </c>
      <c r="B3975" s="219"/>
      <c r="C3975" s="219"/>
      <c r="D3975" s="219"/>
      <c r="E3975" s="219"/>
      <c r="F3975" s="219"/>
      <c r="G3975" s="52">
        <f>SUM(G3961:G3974)</f>
        <v>869546</v>
      </c>
      <c r="I3975" s="104"/>
    </row>
    <row r="3976" spans="1:9" x14ac:dyDescent="0.25">
      <c r="A3976" s="56"/>
      <c r="B3976" s="57"/>
      <c r="C3976" s="57"/>
      <c r="D3976" s="57"/>
      <c r="E3976" s="57"/>
      <c r="F3976" s="57"/>
      <c r="G3976" s="58"/>
    </row>
    <row r="3977" spans="1:9" x14ac:dyDescent="0.25">
      <c r="A3977" s="219" t="s">
        <v>42</v>
      </c>
      <c r="B3977" s="219"/>
      <c r="C3977" s="219"/>
      <c r="D3977" s="219"/>
      <c r="E3977" s="219"/>
      <c r="F3977" s="219"/>
      <c r="G3977" s="219"/>
    </row>
    <row r="3978" spans="1:9" x14ac:dyDescent="0.25">
      <c r="A3978" s="49" t="s">
        <v>35</v>
      </c>
      <c r="B3978" s="49" t="s">
        <v>36</v>
      </c>
      <c r="C3978" s="49" t="s">
        <v>38</v>
      </c>
      <c r="D3978" s="49" t="s">
        <v>43</v>
      </c>
      <c r="E3978" s="49" t="s">
        <v>44</v>
      </c>
      <c r="F3978" s="49" t="s">
        <v>45</v>
      </c>
      <c r="G3978" s="49" t="s">
        <v>40</v>
      </c>
    </row>
    <row r="3979" spans="1:9" x14ac:dyDescent="0.25">
      <c r="A3979" s="50" t="s">
        <v>319</v>
      </c>
      <c r="B3979" s="68" t="str">
        <f>VLOOKUP(A3979,'Componentes APUs'!$H$1:$L$25,2,0)</f>
        <v>Ingeniero Residente de Obra</v>
      </c>
      <c r="C3979" s="93">
        <v>0.25</v>
      </c>
      <c r="D3979" s="50">
        <f>VLOOKUP(A3979,'Componentes APUs'!$H$1:$L$25,3,0)</f>
        <v>4</v>
      </c>
      <c r="E3979" s="51">
        <f>VLOOKUP(A3979,'Componentes APUs'!$H$1:$L$25,4,0)</f>
        <v>271142.85714285716</v>
      </c>
      <c r="F3979" s="51">
        <f>VLOOKUP(A3979,'Componentes APUs'!$H$1:$L$25,5,0)</f>
        <v>162685.71428571429</v>
      </c>
      <c r="G3979" s="51">
        <f>ROUNDUP((E3979+F3979)*C3979/E3958,0)</f>
        <v>54229</v>
      </c>
      <c r="H3979" s="66"/>
    </row>
    <row r="3980" spans="1:9" x14ac:dyDescent="0.25">
      <c r="A3980" s="50" t="s">
        <v>320</v>
      </c>
      <c r="B3980" s="68" t="str">
        <f>VLOOKUP(A3980,'Componentes APUs'!$H$1:$L$25,2,0)</f>
        <v>Tecnico Supervisor</v>
      </c>
      <c r="C3980" s="93">
        <v>0</v>
      </c>
      <c r="D3980" s="50">
        <f>VLOOKUP(A3980,'Componentes APUs'!$H$1:$L$25,3,0)</f>
        <v>2.2999999999999998</v>
      </c>
      <c r="E3980" s="51">
        <f>VLOOKUP(A3980,'Componentes APUs'!$H$1:$L$25,4,0)</f>
        <v>155907.14285714284</v>
      </c>
      <c r="F3980" s="51">
        <f>VLOOKUP(A3980,'Componentes APUs'!$H$1:$L$25,5,0)</f>
        <v>93544.285714285696</v>
      </c>
      <c r="G3980" s="51">
        <f>ROUNDUP((E3980+F3980)*C3980/E3958,0)</f>
        <v>0</v>
      </c>
    </row>
    <row r="3981" spans="1:9" x14ac:dyDescent="0.25">
      <c r="A3981" s="50" t="s">
        <v>54</v>
      </c>
      <c r="B3981" s="68" t="str">
        <f>VLOOKUP(A3981,'Componentes APUs'!$H$1:$L$25,2,0)</f>
        <v>Maestro de obra civil</v>
      </c>
      <c r="C3981" s="93">
        <v>1</v>
      </c>
      <c r="D3981" s="50">
        <f>VLOOKUP(A3981,'Componentes APUs'!$H$1:$L$25,3,0)</f>
        <v>2.5</v>
      </c>
      <c r="E3981" s="51">
        <f>VLOOKUP(A3981,'Componentes APUs'!$H$1:$L$25,4,0)</f>
        <v>169464.28571428571</v>
      </c>
      <c r="F3981" s="51">
        <f>VLOOKUP(A3981,'Componentes APUs'!$H$1:$L$25,5,0)</f>
        <v>101678.57142857142</v>
      </c>
      <c r="G3981" s="51">
        <f>ROUNDUP((E3981+F3981)*C3981/E3958,0)</f>
        <v>135572</v>
      </c>
    </row>
    <row r="3982" spans="1:9" x14ac:dyDescent="0.25">
      <c r="A3982" s="50" t="s">
        <v>1110</v>
      </c>
      <c r="B3982" s="68" t="str">
        <f>VLOOKUP(A3982,'Componentes APUs'!$H$1:$L$25,2,0)</f>
        <v>Oficial de Obra Civil</v>
      </c>
      <c r="C3982" s="93">
        <v>1</v>
      </c>
      <c r="D3982" s="50">
        <f>VLOOKUP(A3982,'Componentes APUs'!$H$1:$L$25,3,0)</f>
        <v>1.5</v>
      </c>
      <c r="E3982" s="51">
        <f>VLOOKUP(A3982,'Componentes APUs'!$H$1:$L$25,4,0)</f>
        <v>115964.28571428571</v>
      </c>
      <c r="F3982" s="51">
        <f>VLOOKUP(A3982,'Componentes APUs'!$H$1:$L$25,5,0)</f>
        <v>69578.57142857142</v>
      </c>
      <c r="G3982" s="51">
        <f>ROUNDUP((E3982+F3982)*C3982/E3958,0)</f>
        <v>92772</v>
      </c>
    </row>
    <row r="3983" spans="1:9" x14ac:dyDescent="0.25">
      <c r="A3983" s="50" t="s">
        <v>50</v>
      </c>
      <c r="B3983" s="68" t="str">
        <f>VLOOKUP(A3983,'Componentes APUs'!$H$1:$L$25,2,0)</f>
        <v>Profesional en SST</v>
      </c>
      <c r="C3983" s="93">
        <v>0.25</v>
      </c>
      <c r="D3983" s="50">
        <f>VLOOKUP(A3983,'Componentes APUs'!$H$1:$L$25,3,0)</f>
        <v>2.5</v>
      </c>
      <c r="E3983" s="51">
        <f>VLOOKUP(A3983,'Componentes APUs'!$H$1:$L$25,4,0)</f>
        <v>169464.28571428571</v>
      </c>
      <c r="F3983" s="51">
        <f>VLOOKUP(A3983,'Componentes APUs'!$H$1:$L$25,5,0)</f>
        <v>101678.57142857142</v>
      </c>
      <c r="G3983" s="51">
        <f>ROUNDUP((E3983+F3983)*C3983/E3958,0)</f>
        <v>33893</v>
      </c>
    </row>
    <row r="3984" spans="1:9" x14ac:dyDescent="0.25">
      <c r="A3984" s="50" t="s">
        <v>1109</v>
      </c>
      <c r="B3984" s="68" t="str">
        <f>VLOOKUP(A3984,'Componentes APUs'!$H$1:$L$25,2,0)</f>
        <v>Ayudante de Obra Civil</v>
      </c>
      <c r="C3984" s="93">
        <v>1</v>
      </c>
      <c r="D3984" s="50">
        <f>VLOOKUP(A3984,'Componentes APUs'!$H$1:$L$25,3,0)</f>
        <v>1</v>
      </c>
      <c r="E3984" s="51">
        <f>VLOOKUP(A3984,'Componentes APUs'!$H$1:$L$25,4,0)</f>
        <v>77309.523809523816</v>
      </c>
      <c r="F3984" s="51">
        <f>VLOOKUP(A3984,'Componentes APUs'!$H$1:$L$25,5,0)</f>
        <v>46385.71428571429</v>
      </c>
      <c r="G3984" s="51">
        <f>ROUNDUP((E3984+F3984)*C3984/E3958,0)</f>
        <v>61848</v>
      </c>
    </row>
    <row r="3985" spans="1:9" x14ac:dyDescent="0.25">
      <c r="A3985" s="219" t="s">
        <v>56</v>
      </c>
      <c r="B3985" s="219"/>
      <c r="C3985" s="219"/>
      <c r="D3985" s="219"/>
      <c r="E3985" s="219"/>
      <c r="F3985" s="219"/>
      <c r="G3985" s="52">
        <f>SUM(G3979:G3984)</f>
        <v>378314</v>
      </c>
    </row>
    <row r="3986" spans="1:9" x14ac:dyDescent="0.25">
      <c r="A3986" s="56"/>
      <c r="B3986" s="57"/>
      <c r="C3986" s="57"/>
      <c r="D3986" s="57"/>
      <c r="E3986" s="57"/>
      <c r="F3986" s="57"/>
      <c r="G3986" s="58"/>
    </row>
    <row r="3987" spans="1:9" x14ac:dyDescent="0.25">
      <c r="A3987" s="219" t="s">
        <v>57</v>
      </c>
      <c r="B3987" s="219"/>
      <c r="C3987" s="219"/>
      <c r="D3987" s="219"/>
      <c r="E3987" s="219"/>
      <c r="F3987" s="219"/>
      <c r="G3987" s="219"/>
    </row>
    <row r="3988" spans="1:9" x14ac:dyDescent="0.25">
      <c r="A3988" s="49" t="s">
        <v>35</v>
      </c>
      <c r="B3988" s="219" t="s">
        <v>36</v>
      </c>
      <c r="C3988" s="219"/>
      <c r="D3988" s="49" t="s">
        <v>37</v>
      </c>
      <c r="E3988" s="49" t="s">
        <v>38</v>
      </c>
      <c r="F3988" s="49" t="s">
        <v>39</v>
      </c>
      <c r="G3988" s="49" t="s">
        <v>40</v>
      </c>
    </row>
    <row r="3989" spans="1:9" x14ac:dyDescent="0.25">
      <c r="A3989" s="50" t="s">
        <v>326</v>
      </c>
      <c r="B3989" s="220" t="str">
        <f>VLOOKUP(A3989,'Componentes APUs'!$S$1:$V$10,2,0)</f>
        <v>Juego Llaves</v>
      </c>
      <c r="C3989" s="220"/>
      <c r="D3989" s="50" t="s">
        <v>18</v>
      </c>
      <c r="E3989" s="50">
        <v>0</v>
      </c>
      <c r="F3989" s="51">
        <f>VLOOKUP(A3989,'Componentes APUs'!$S$1:$V$10,4,0)</f>
        <v>9167</v>
      </c>
      <c r="G3989" s="51">
        <f>ROUNDUP(F3989*((E3989/21)/E3958),0)</f>
        <v>0</v>
      </c>
      <c r="I3989" s="91"/>
    </row>
    <row r="3990" spans="1:9" x14ac:dyDescent="0.25">
      <c r="A3990" s="50" t="s">
        <v>58</v>
      </c>
      <c r="B3990" s="220" t="str">
        <f>VLOOKUP(A3990,'Componentes APUs'!$S$1:$V$10,2,0)</f>
        <v>Manila de servicio</v>
      </c>
      <c r="C3990" s="220"/>
      <c r="D3990" s="50" t="s">
        <v>18</v>
      </c>
      <c r="E3990" s="50">
        <v>0</v>
      </c>
      <c r="F3990" s="51">
        <f>VLOOKUP(A3990,'Componentes APUs'!$S$1:$V$10,4,0)</f>
        <v>2333</v>
      </c>
      <c r="G3990" s="51">
        <f>ROUNDUP(F3990*((E3990/21)/E3958),0)</f>
        <v>0</v>
      </c>
    </row>
    <row r="3991" spans="1:9" x14ac:dyDescent="0.25">
      <c r="A3991" s="50" t="s">
        <v>327</v>
      </c>
      <c r="B3991" s="220" t="str">
        <f>VLOOKUP(A3991,'Componentes APUs'!$S$1:$V$10,2,0)</f>
        <v>Tula portaherramientas</v>
      </c>
      <c r="C3991" s="220"/>
      <c r="D3991" s="50" t="s">
        <v>18</v>
      </c>
      <c r="E3991" s="50">
        <v>0</v>
      </c>
      <c r="F3991" s="51">
        <f>VLOOKUP(A3991,'Componentes APUs'!$S$1:$V$10,4,0)</f>
        <v>1250</v>
      </c>
      <c r="G3991" s="51">
        <f>ROUNDUP(F3991*((E3991/21)/E3958),0)</f>
        <v>0</v>
      </c>
    </row>
    <row r="3992" spans="1:9" x14ac:dyDescent="0.25">
      <c r="A3992" s="50" t="s">
        <v>60</v>
      </c>
      <c r="B3992" s="220" t="str">
        <f>VLOOKUP(A3992,'Componentes APUs'!$S$1:$V$10,2,0)</f>
        <v>Agarradoras</v>
      </c>
      <c r="C3992" s="220"/>
      <c r="D3992" s="50" t="s">
        <v>18</v>
      </c>
      <c r="E3992" s="50">
        <v>0</v>
      </c>
      <c r="F3992" s="51">
        <f>VLOOKUP(A3992,'Componentes APUs'!$S$1:$V$10,4,0)</f>
        <v>125000</v>
      </c>
      <c r="G3992" s="51">
        <f>ROUNDUP(F3992*((E3992/21)/E3958),0)</f>
        <v>0</v>
      </c>
    </row>
    <row r="3993" spans="1:9" x14ac:dyDescent="0.25">
      <c r="A3993" s="50" t="s">
        <v>62</v>
      </c>
      <c r="B3993" s="220" t="str">
        <f>VLOOKUP(A3993,'Componentes APUs'!$S$1:$V$10,2,0)</f>
        <v>Templadoras</v>
      </c>
      <c r="C3993" s="220"/>
      <c r="D3993" s="50" t="s">
        <v>18</v>
      </c>
      <c r="E3993" s="50">
        <v>0</v>
      </c>
      <c r="F3993" s="51">
        <f>VLOOKUP(A3993,'Componentes APUs'!$S$1:$V$10,4,0)</f>
        <v>250000</v>
      </c>
      <c r="G3993" s="51">
        <f>ROUNDUP(F3993*((E3993/21)/E3958),0)</f>
        <v>0</v>
      </c>
    </row>
    <row r="3994" spans="1:9" x14ac:dyDescent="0.25">
      <c r="A3994" s="50" t="s">
        <v>328</v>
      </c>
      <c r="B3994" s="220" t="str">
        <f>VLOOKUP(A3994,'Componentes APUs'!$S$1:$V$10,2,0)</f>
        <v>Herramienta Menor</v>
      </c>
      <c r="C3994" s="220"/>
      <c r="D3994" s="50" t="s">
        <v>18</v>
      </c>
      <c r="E3994" s="50">
        <v>10</v>
      </c>
      <c r="F3994" s="51">
        <f>VLOOKUP(A3994,'Componentes APUs'!$S$1:$V$10,4,0)</f>
        <v>75758</v>
      </c>
      <c r="G3994" s="51">
        <f>ROUNDUP(F3994*((E3994/21)/E3958),0)</f>
        <v>18038</v>
      </c>
    </row>
    <row r="3995" spans="1:9" x14ac:dyDescent="0.25">
      <c r="A3995" s="219" t="s">
        <v>69</v>
      </c>
      <c r="B3995" s="219"/>
      <c r="C3995" s="219"/>
      <c r="D3995" s="219"/>
      <c r="E3995" s="219"/>
      <c r="F3995" s="219"/>
      <c r="G3995" s="52">
        <f>SUM(G3989:G3994)</f>
        <v>18038</v>
      </c>
    </row>
    <row r="3996" spans="1:9" x14ac:dyDescent="0.25">
      <c r="A3996" s="56"/>
      <c r="B3996" s="57"/>
      <c r="C3996" s="57"/>
      <c r="D3996" s="57"/>
      <c r="E3996" s="57"/>
      <c r="F3996" s="57"/>
      <c r="G3996" s="58"/>
    </row>
    <row r="3997" spans="1:9" x14ac:dyDescent="0.25">
      <c r="A3997" s="219" t="s">
        <v>70</v>
      </c>
      <c r="B3997" s="219"/>
      <c r="C3997" s="219"/>
      <c r="D3997" s="219"/>
      <c r="E3997" s="219"/>
      <c r="F3997" s="219"/>
      <c r="G3997" s="219"/>
    </row>
    <row r="3998" spans="1:9" x14ac:dyDescent="0.25">
      <c r="A3998" s="49" t="s">
        <v>35</v>
      </c>
      <c r="B3998" s="219" t="s">
        <v>36</v>
      </c>
      <c r="C3998" s="219"/>
      <c r="D3998" s="49" t="s">
        <v>37</v>
      </c>
      <c r="E3998" s="49" t="s">
        <v>38</v>
      </c>
      <c r="F3998" s="49" t="s">
        <v>39</v>
      </c>
      <c r="G3998" s="49" t="s">
        <v>40</v>
      </c>
    </row>
    <row r="3999" spans="1:9" x14ac:dyDescent="0.25">
      <c r="A3999" s="50" t="s">
        <v>71</v>
      </c>
      <c r="B3999" s="71" t="str">
        <f>VLOOKUP(A3999,'Componentes APUs'!$A$1:$D$14,2,0)</f>
        <v>Camisa indigo sin partes metalicas</v>
      </c>
      <c r="C3999" s="71"/>
      <c r="D3999" s="50" t="str">
        <f>VLOOKUP(A3999,'Componentes APUs'!$A$1:$D$14,3,0)</f>
        <v>U</v>
      </c>
      <c r="E3999" s="50">
        <f>SUM(C3979:C3984)</f>
        <v>3.5</v>
      </c>
      <c r="F3999" s="51">
        <f>VLOOKUP(A3999,'Componentes APUs'!$A$1:$D$14,4,0)</f>
        <v>8585.8585858585866</v>
      </c>
      <c r="G3999" s="51">
        <f>ROUNDUP(F3999*(E3999/21)/E3958,0)</f>
        <v>716</v>
      </c>
      <c r="I3999" s="91"/>
    </row>
    <row r="4000" spans="1:9" x14ac:dyDescent="0.25">
      <c r="A4000" s="69" t="s">
        <v>73</v>
      </c>
      <c r="B4000" s="72" t="str">
        <f>VLOOKUP(A4000,'Componentes APUs'!$A$1:$D$14,2,0)</f>
        <v>Bota de seguridad dielectrica</v>
      </c>
      <c r="C4000" s="73"/>
      <c r="D4000" s="70" t="str">
        <f>VLOOKUP(A4000,'Componentes APUs'!$A$1:$D$14,3,0)</f>
        <v>Par</v>
      </c>
      <c r="E4000" s="50">
        <f>SUM(C3979:C3984)</f>
        <v>3.5</v>
      </c>
      <c r="F4000" s="51">
        <f>VLOOKUP(A4000,'Componentes APUs'!$A$1:$D$14,4,0)</f>
        <v>7500</v>
      </c>
      <c r="G4000" s="51">
        <f>ROUNDUP(F4000*(E4000/21)/E3958,0)</f>
        <v>625</v>
      </c>
    </row>
    <row r="4001" spans="1:7" x14ac:dyDescent="0.25">
      <c r="A4001" s="50" t="s">
        <v>76</v>
      </c>
      <c r="B4001" s="72" t="str">
        <f>VLOOKUP(A4001,'Componentes APUs'!$A$1:$D$14,2,0)</f>
        <v>Casco dielectrico Tipo 1 Clase E con barbuquejo</v>
      </c>
      <c r="C4001" s="73"/>
      <c r="D4001" s="50" t="str">
        <f>VLOOKUP(A4001,'Componentes APUs'!$A$1:$D$14,3,0)</f>
        <v>U</v>
      </c>
      <c r="E4001" s="50">
        <f>C3979+C3980+C3982+C3983+C3984+IF(A3981&lt;&gt;"MO-3",C3981,0)</f>
        <v>3.5</v>
      </c>
      <c r="F4001" s="51">
        <f>VLOOKUP(A4001,'Componentes APUs'!$A$1:$D$14,4,0)</f>
        <v>10101.010101010101</v>
      </c>
      <c r="G4001" s="51">
        <f>ROUNDUP(F4001*(E4001/21)/E3958,0)</f>
        <v>842</v>
      </c>
    </row>
    <row r="4002" spans="1:7" x14ac:dyDescent="0.25">
      <c r="A4002" s="69" t="s">
        <v>77</v>
      </c>
      <c r="B4002" s="72" t="str">
        <f>VLOOKUP(A4002,'Componentes APUs'!$A$1:$D$14,2,0)</f>
        <v>Correa plastica y antiflama</v>
      </c>
      <c r="C4002" s="73"/>
      <c r="D4002" s="50" t="str">
        <f>VLOOKUP(A4002,'Componentes APUs'!$A$1:$D$14,3,0)</f>
        <v>U</v>
      </c>
      <c r="E4002" s="50">
        <f>SUM(C3979:C3984)</f>
        <v>3.5</v>
      </c>
      <c r="F4002" s="51">
        <f>VLOOKUP(A4002,'Componentes APUs'!$A$1:$D$14,4,0)</f>
        <v>3787.878787878788</v>
      </c>
      <c r="G4002" s="51">
        <f>ROUNDUP(F4002*(E4002/21)/E3958,0)</f>
        <v>316</v>
      </c>
    </row>
    <row r="4003" spans="1:7" x14ac:dyDescent="0.25">
      <c r="A4003" s="50" t="s">
        <v>79</v>
      </c>
      <c r="B4003" s="72" t="str">
        <f>VLOOKUP(A4003,'Componentes APUs'!$A$1:$D$14,2,0)</f>
        <v>Gafas protectoras filtro UV</v>
      </c>
      <c r="C4003" s="73"/>
      <c r="D4003" s="50" t="str">
        <f>VLOOKUP(A4003,'Componentes APUs'!$A$1:$D$14,3,0)</f>
        <v>U</v>
      </c>
      <c r="E4003" s="50">
        <f>SUM(C3979:C3984)</f>
        <v>3.5</v>
      </c>
      <c r="F4003" s="51">
        <f>VLOOKUP(A4003,'Componentes APUs'!$A$1:$D$14,4,0)</f>
        <v>2777.7777777777778</v>
      </c>
      <c r="G4003" s="51">
        <f>ROUNDUP(F4003*(E4003/21)/E3958,0)</f>
        <v>232</v>
      </c>
    </row>
    <row r="4004" spans="1:7" x14ac:dyDescent="0.25">
      <c r="A4004" s="69" t="s">
        <v>402</v>
      </c>
      <c r="B4004" s="72" t="str">
        <f>VLOOKUP(A4004,'Componentes APUs'!$A$1:$D$14,2,0)</f>
        <v>Bota de seguridad PVC dielectrica</v>
      </c>
      <c r="C4004" s="73"/>
      <c r="D4004" s="50" t="str">
        <f>VLOOKUP(A4004,'Componentes APUs'!$A$1:$D$14,3,0)</f>
        <v>Par</v>
      </c>
      <c r="E4004" s="50">
        <f>SUM(C3979:C3984)</f>
        <v>3.5</v>
      </c>
      <c r="F4004" s="51">
        <f>VLOOKUP(A4004,'Componentes APUs'!$A$1:$D$14,4,0)</f>
        <v>2916.6666666666665</v>
      </c>
      <c r="G4004" s="51">
        <f>ROUNDUP(F4004*(E4004/21)/E3958,0)</f>
        <v>244</v>
      </c>
    </row>
    <row r="4005" spans="1:7" x14ac:dyDescent="0.25">
      <c r="A4005" s="50" t="s">
        <v>403</v>
      </c>
      <c r="B4005" s="72" t="str">
        <f>VLOOKUP(A4005,'Componentes APUs'!$A$1:$D$14,2,0)</f>
        <v>Capuchon</v>
      </c>
      <c r="C4005" s="73"/>
      <c r="D4005" s="50" t="str">
        <f>VLOOKUP(A4005,'Componentes APUs'!$A$1:$D$14,3,0)</f>
        <v>U</v>
      </c>
      <c r="E4005" s="50">
        <f>SUM(C3979:C3984)</f>
        <v>3.5</v>
      </c>
      <c r="F4005" s="51">
        <f>VLOOKUP(A4005,'Componentes APUs'!$A$1:$D$14,4,0)</f>
        <v>2525.2525252525252</v>
      </c>
      <c r="G4005" s="51">
        <f>ROUNDUP(F4005*(E4005/21)/E3958,0)</f>
        <v>211</v>
      </c>
    </row>
    <row r="4006" spans="1:7" x14ac:dyDescent="0.25">
      <c r="A4006" s="69" t="s">
        <v>81</v>
      </c>
      <c r="B4006" s="72" t="str">
        <f>VLOOKUP(A4006,'Componentes APUs'!$A$1:$D$14,2,0)</f>
        <v>Guantes Protectores  - ingeniero reforzados</v>
      </c>
      <c r="C4006" s="73"/>
      <c r="D4006" s="50" t="str">
        <f>VLOOKUP(A4006,'Componentes APUs'!$A$1:$D$14,3,0)</f>
        <v>Par</v>
      </c>
      <c r="E4006" s="50">
        <f>C3981+C3982+C3984</f>
        <v>3</v>
      </c>
      <c r="F4006" s="51">
        <f>VLOOKUP(A4006,'Componentes APUs'!$A$1:$D$14,4,0)</f>
        <v>2525.2525252525252</v>
      </c>
      <c r="G4006" s="51">
        <f>ROUNDUP(F4006*(E4006/21)/E3958,0)</f>
        <v>181</v>
      </c>
    </row>
    <row r="4007" spans="1:7" x14ac:dyDescent="0.25">
      <c r="A4007" s="50" t="s">
        <v>83</v>
      </c>
      <c r="B4007" s="72" t="str">
        <f>VLOOKUP(A4007,'Componentes APUs'!$A$1:$D$14,2,0)</f>
        <v>Impermeable (pantalon camisa)</v>
      </c>
      <c r="C4007" s="73"/>
      <c r="D4007" s="50" t="str">
        <f>VLOOKUP(A4007,'Componentes APUs'!$A$1:$D$14,3,0)</f>
        <v>U</v>
      </c>
      <c r="E4007" s="50">
        <f>SUM(C3979:C3984)</f>
        <v>3.5</v>
      </c>
      <c r="F4007" s="51">
        <f>VLOOKUP(A4007,'Componentes APUs'!$A$1:$D$14,4,0)</f>
        <v>3750</v>
      </c>
      <c r="G4007" s="51">
        <f>ROUNDUP(F4007*(E4007/21)/E3958,0)</f>
        <v>313</v>
      </c>
    </row>
    <row r="4008" spans="1:7" x14ac:dyDescent="0.25">
      <c r="A4008" s="69" t="s">
        <v>85</v>
      </c>
      <c r="B4008" s="72" t="str">
        <f>VLOOKUP(A4008,'Componentes APUs'!$A$1:$D$14,2,0)</f>
        <v>Jean Dielectrico</v>
      </c>
      <c r="C4008" s="73"/>
      <c r="D4008" s="50" t="str">
        <f>VLOOKUP(A4008,'Componentes APUs'!$A$1:$D$14,3,0)</f>
        <v>U</v>
      </c>
      <c r="E4008" s="50">
        <f>SUM(C3979:C3984)</f>
        <v>3.5</v>
      </c>
      <c r="F4008" s="51">
        <f>VLOOKUP(A4008,'Componentes APUs'!$A$1:$D$14,4,0)</f>
        <v>7575.757575757576</v>
      </c>
      <c r="G4008" s="51">
        <f>ROUNDUP(F4008*(E4008/21)/E3958,0)</f>
        <v>632</v>
      </c>
    </row>
    <row r="4009" spans="1:7" x14ac:dyDescent="0.25">
      <c r="A4009" s="219" t="s">
        <v>95</v>
      </c>
      <c r="B4009" s="219"/>
      <c r="C4009" s="219"/>
      <c r="D4009" s="219"/>
      <c r="E4009" s="219"/>
      <c r="F4009" s="219"/>
      <c r="G4009" s="52">
        <f>SUM(G3999:G4008)</f>
        <v>4312</v>
      </c>
    </row>
    <row r="4010" spans="1:7" x14ac:dyDescent="0.25">
      <c r="A4010" s="56"/>
      <c r="B4010" s="57"/>
      <c r="C4010" s="57"/>
      <c r="D4010" s="57"/>
      <c r="E4010" s="57"/>
      <c r="F4010" s="57"/>
      <c r="G4010" s="58"/>
    </row>
    <row r="4011" spans="1:7" x14ac:dyDescent="0.25">
      <c r="A4011" s="219" t="s">
        <v>96</v>
      </c>
      <c r="B4011" s="219"/>
      <c r="C4011" s="219"/>
      <c r="D4011" s="219"/>
      <c r="E4011" s="219"/>
      <c r="F4011" s="219"/>
      <c r="G4011" s="219"/>
    </row>
    <row r="4012" spans="1:7" x14ac:dyDescent="0.25">
      <c r="A4012" s="49" t="s">
        <v>35</v>
      </c>
      <c r="B4012" s="225" t="s">
        <v>36</v>
      </c>
      <c r="C4012" s="225"/>
      <c r="D4012" s="49" t="s">
        <v>37</v>
      </c>
      <c r="E4012" s="49" t="s">
        <v>38</v>
      </c>
      <c r="F4012" s="49" t="s">
        <v>39</v>
      </c>
      <c r="G4012" s="49" t="s">
        <v>40</v>
      </c>
    </row>
    <row r="4013" spans="1:7" x14ac:dyDescent="0.25">
      <c r="A4013" s="69" t="s">
        <v>97</v>
      </c>
      <c r="B4013" s="72" t="str">
        <f>VLOOKUP(A4013,'Componentes APUs'!$N$1:$Q$30,2,0)</f>
        <v>Camioneta</v>
      </c>
      <c r="C4013" s="73"/>
      <c r="D4013" s="70" t="str">
        <f>VLOOKUP(A4013,'Componentes APUs'!$N$1:$Q$30,3,0)</f>
        <v>U</v>
      </c>
      <c r="E4013" s="50">
        <v>1</v>
      </c>
      <c r="F4013" s="51">
        <f>VLOOKUP(A4013,'Componentes APUs'!$N$1:$Q$30,4,0)</f>
        <v>5500000</v>
      </c>
      <c r="G4013" s="51">
        <f>IFERROR(ROUNDUP(F4013*(E4013/21)/E3958,0),"-")</f>
        <v>130953</v>
      </c>
    </row>
    <row r="4014" spans="1:7" x14ac:dyDescent="0.25">
      <c r="A4014" s="50" t="s">
        <v>321</v>
      </c>
      <c r="B4014" s="72" t="str">
        <f>VLOOKUP(A4014,'Componentes APUs'!$N$1:$Q$30,2,0)</f>
        <v>Grúa Hidráulica</v>
      </c>
      <c r="C4014" s="73"/>
      <c r="D4014" s="70" t="str">
        <f>VLOOKUP(A4014,'Componentes APUs'!$N$1:$Q$30,3,0)</f>
        <v>U</v>
      </c>
      <c r="E4014" s="50">
        <v>0</v>
      </c>
      <c r="F4014" s="51">
        <f>VLOOKUP(A4014,'Componentes APUs'!$N$1:$Q$30,4,0)</f>
        <v>21000000</v>
      </c>
      <c r="G4014" s="51">
        <f>IFERROR(ROUNDUP(F4014*(E4014/21)/E3958,0),"-")</f>
        <v>0</v>
      </c>
    </row>
    <row r="4015" spans="1:7" x14ac:dyDescent="0.25">
      <c r="A4015" s="69" t="s">
        <v>1379</v>
      </c>
      <c r="B4015" s="72" t="str">
        <f>VLOOKUP(A4015,'Componentes APUs'!$N$1:$Q$30,2,0)</f>
        <v>Dumper de descarga Frontal 2T</v>
      </c>
      <c r="C4015" s="73"/>
      <c r="D4015" s="70" t="str">
        <f>VLOOKUP(A4015,'Componentes APUs'!$N$1:$Q$30,3,0)</f>
        <v>U</v>
      </c>
      <c r="E4015" s="50">
        <v>0</v>
      </c>
      <c r="F4015" s="51">
        <f>VLOOKUP(A4015,'Componentes APUs'!$N$1:$Q$30,4,0)</f>
        <v>4438716.24</v>
      </c>
      <c r="G4015" s="51">
        <f>IFERROR(ROUNDUP(F4015*(E4015/21)/E3958,0),"-")</f>
        <v>0</v>
      </c>
    </row>
    <row r="4016" spans="1:7" x14ac:dyDescent="0.25">
      <c r="A4016" s="50" t="s">
        <v>323</v>
      </c>
      <c r="B4016" s="72" t="str">
        <f>VLOOKUP(A4016,'Componentes APUs'!$N$1:$Q$30,2,0)</f>
        <v>Volqueta</v>
      </c>
      <c r="C4016" s="73"/>
      <c r="D4016" s="70" t="str">
        <f>VLOOKUP(A4016,'Componentes APUs'!$N$1:$Q$30,3,0)</f>
        <v>U</v>
      </c>
      <c r="E4016" s="50">
        <v>0</v>
      </c>
      <c r="F4016" s="51">
        <f>VLOOKUP(A4016,'Componentes APUs'!$N$1:$Q$30,4,0)</f>
        <v>14828184</v>
      </c>
      <c r="G4016" s="51">
        <f>IFERROR(ROUNDUP(F4016*(E4016/21)/E3958,0),"-")</f>
        <v>0</v>
      </c>
    </row>
    <row r="4017" spans="1:8" x14ac:dyDescent="0.25">
      <c r="A4017" s="69" t="s">
        <v>324</v>
      </c>
      <c r="B4017" s="72" t="str">
        <f>VLOOKUP(A4017,'Componentes APUs'!$N$1:$Q$30,2,0)</f>
        <v>Retroexcavadora</v>
      </c>
      <c r="C4017" s="73"/>
      <c r="D4017" s="70" t="str">
        <f>VLOOKUP(A4017,'Componentes APUs'!$N$1:$Q$30,3,0)</f>
        <v>U</v>
      </c>
      <c r="E4017" s="50">
        <v>0</v>
      </c>
      <c r="F4017" s="51">
        <f>VLOOKUP(A4017,'Componentes APUs'!$N$1:$Q$30,4,0)</f>
        <v>46030656</v>
      </c>
      <c r="G4017" s="51">
        <f>IFERROR(ROUNDUP(F4017*(E4017/21)/E3958,0),"-")</f>
        <v>0</v>
      </c>
    </row>
    <row r="4018" spans="1:8" x14ac:dyDescent="0.25">
      <c r="A4018" s="219" t="s">
        <v>99</v>
      </c>
      <c r="B4018" s="219"/>
      <c r="C4018" s="219"/>
      <c r="D4018" s="219"/>
      <c r="E4018" s="219"/>
      <c r="F4018" s="219"/>
      <c r="G4018" s="52">
        <f>SUM(G4013:G4017)</f>
        <v>130953</v>
      </c>
    </row>
    <row r="4019" spans="1:8" x14ac:dyDescent="0.25">
      <c r="A4019" s="56"/>
      <c r="B4019" s="57"/>
      <c r="C4019" s="57"/>
      <c r="D4019" s="57"/>
      <c r="E4019" s="57"/>
      <c r="F4019" s="57"/>
      <c r="G4019" s="58"/>
    </row>
    <row r="4020" spans="1:8" x14ac:dyDescent="0.25">
      <c r="A4020" s="219" t="s">
        <v>1516</v>
      </c>
      <c r="B4020" s="219"/>
      <c r="C4020" s="219"/>
      <c r="D4020" s="219"/>
      <c r="E4020" s="219"/>
      <c r="F4020" s="219"/>
      <c r="G4020" s="52">
        <f>G4018+G4009+G3995+G3985+G3975</f>
        <v>1401163</v>
      </c>
    </row>
    <row r="4021" spans="1:8" x14ac:dyDescent="0.25">
      <c r="A4021" s="59"/>
      <c r="B4021" s="60"/>
      <c r="C4021" s="60"/>
      <c r="D4021" s="60"/>
      <c r="E4021" s="57"/>
      <c r="F4021" s="57"/>
      <c r="G4021" s="58"/>
    </row>
    <row r="4022" spans="1:8" x14ac:dyDescent="0.25">
      <c r="A4022" s="64"/>
      <c r="D4022" s="55"/>
      <c r="E4022" s="49" t="s">
        <v>25</v>
      </c>
      <c r="F4022" s="54">
        <v>0.15</v>
      </c>
      <c r="G4022" s="51">
        <f>G4020*F4022</f>
        <v>210174.44999999998</v>
      </c>
    </row>
    <row r="4023" spans="1:8" x14ac:dyDescent="0.25">
      <c r="A4023" s="64"/>
      <c r="D4023" s="55"/>
      <c r="E4023" s="49" t="s">
        <v>26</v>
      </c>
      <c r="F4023" s="54">
        <v>0.05</v>
      </c>
      <c r="G4023" s="51">
        <f>G4020*F4023</f>
        <v>70058.150000000009</v>
      </c>
    </row>
    <row r="4024" spans="1:8" x14ac:dyDescent="0.25">
      <c r="A4024" s="61"/>
      <c r="B4024" s="65"/>
      <c r="C4024" s="65"/>
      <c r="D4024" s="62"/>
      <c r="E4024" s="49" t="s">
        <v>27</v>
      </c>
      <c r="F4024" s="54">
        <v>0.05</v>
      </c>
      <c r="G4024" s="51">
        <f>G4020*F4024</f>
        <v>70058.150000000009</v>
      </c>
    </row>
    <row r="4025" spans="1:8" x14ac:dyDescent="0.25">
      <c r="A4025" s="61"/>
      <c r="B4025" s="62"/>
      <c r="C4025" s="62"/>
      <c r="D4025" s="62"/>
      <c r="E4025" s="62"/>
      <c r="F4025" s="62"/>
      <c r="G4025" s="63"/>
    </row>
    <row r="4026" spans="1:8" x14ac:dyDescent="0.25">
      <c r="A4026" s="219" t="s">
        <v>1517</v>
      </c>
      <c r="B4026" s="219"/>
      <c r="C4026" s="219"/>
      <c r="D4026" s="219"/>
      <c r="E4026" s="219"/>
      <c r="F4026" s="219"/>
      <c r="G4026" s="52">
        <f>G4020+G4022+G4023+G4024</f>
        <v>1751453.7499999998</v>
      </c>
    </row>
    <row r="4027" spans="1:8" x14ac:dyDescent="0.25">
      <c r="A4027" s="59"/>
      <c r="B4027" s="60"/>
      <c r="C4027" s="60"/>
      <c r="D4027" s="60"/>
      <c r="E4027" s="57"/>
      <c r="F4027" s="57"/>
      <c r="G4027" s="58"/>
    </row>
    <row r="4028" spans="1:8" x14ac:dyDescent="0.25">
      <c r="A4028" s="64"/>
      <c r="D4028" s="55"/>
      <c r="E4028" s="49" t="s">
        <v>102</v>
      </c>
      <c r="F4028" s="49" t="s">
        <v>103</v>
      </c>
      <c r="G4028" s="51">
        <f>G4024*19%</f>
        <v>13311.048500000003</v>
      </c>
    </row>
    <row r="4029" spans="1:8" x14ac:dyDescent="0.25">
      <c r="A4029" s="61"/>
      <c r="B4029" s="62"/>
      <c r="C4029" s="62"/>
      <c r="D4029" s="62"/>
      <c r="E4029" s="57"/>
      <c r="F4029" s="57"/>
      <c r="G4029" s="58"/>
    </row>
    <row r="4030" spans="1:8" x14ac:dyDescent="0.25">
      <c r="A4030" s="219" t="s">
        <v>104</v>
      </c>
      <c r="B4030" s="219"/>
      <c r="C4030" s="219"/>
      <c r="D4030" s="219"/>
      <c r="E4030" s="219"/>
      <c r="F4030" s="219"/>
      <c r="G4030" s="52">
        <f>G4028+G4026</f>
        <v>1764764.7984999998</v>
      </c>
    </row>
    <row r="4032" spans="1:8" x14ac:dyDescent="0.25">
      <c r="A4032" s="74" t="s">
        <v>29</v>
      </c>
      <c r="B4032" s="226" t="s">
        <v>30</v>
      </c>
      <c r="C4032" s="226"/>
      <c r="D4032" s="74" t="s">
        <v>31</v>
      </c>
      <c r="E4032" s="74" t="s">
        <v>32</v>
      </c>
      <c r="F4032" s="74" t="s">
        <v>189</v>
      </c>
      <c r="G4032" s="74" t="s">
        <v>33</v>
      </c>
      <c r="H4032" s="105"/>
    </row>
    <row r="4033" spans="1:9" ht="30.75" customHeight="1" x14ac:dyDescent="0.25">
      <c r="A4033" s="50" t="str">
        <f>Presupuesto!B83</f>
        <v>067_OC</v>
      </c>
      <c r="B4033" s="229" t="str">
        <f>Presupuesto!C83</f>
        <v>PUNTOS HIDRAULICOS DE Ø1/2". LONGITUD PROMEDIO DE 10 METROS.  INCLUYE ACCESORIOS.</v>
      </c>
      <c r="C4033" s="230"/>
      <c r="D4033" s="50" t="s">
        <v>18</v>
      </c>
      <c r="E4033" s="107">
        <v>4</v>
      </c>
      <c r="F4033" s="50"/>
      <c r="G4033" s="51">
        <f>G4102</f>
        <v>234813.62300000002</v>
      </c>
      <c r="H4033" s="45"/>
    </row>
    <row r="4034" spans="1:9" x14ac:dyDescent="0.25">
      <c r="A4034" s="219" t="s">
        <v>34</v>
      </c>
      <c r="B4034" s="219"/>
      <c r="C4034" s="219"/>
      <c r="D4034" s="219"/>
      <c r="E4034" s="219"/>
      <c r="F4034" s="219"/>
      <c r="G4034" s="219"/>
    </row>
    <row r="4035" spans="1:9" x14ac:dyDescent="0.25">
      <c r="A4035" s="49" t="s">
        <v>35</v>
      </c>
      <c r="B4035" s="219" t="s">
        <v>36</v>
      </c>
      <c r="C4035" s="219"/>
      <c r="D4035" s="49" t="s">
        <v>37</v>
      </c>
      <c r="E4035" s="49" t="s">
        <v>38</v>
      </c>
      <c r="F4035" s="49" t="s">
        <v>39</v>
      </c>
      <c r="G4035" s="49" t="s">
        <v>40</v>
      </c>
    </row>
    <row r="4036" spans="1:9" x14ac:dyDescent="0.25">
      <c r="A4036" s="50" t="str">
        <f>Material!A494</f>
        <v>MA-493</v>
      </c>
      <c r="B4036" s="72" t="str">
        <f>IFERROR(VLOOKUP(A4036,Material!$A:$H,2,0),"-")</f>
        <v>TUBO PRESIÓN 1/2"</v>
      </c>
      <c r="C4036" s="76"/>
      <c r="D4036" s="50" t="str">
        <f>IFERROR(VLOOKUP(A4036,Material!$A:$H,4,0),"-")</f>
        <v>ML</v>
      </c>
      <c r="E4036" s="53">
        <v>10</v>
      </c>
      <c r="F4036" s="51">
        <f>IFERROR(VLOOKUP(A4036,Material!$A:$H,3,0),"-")</f>
        <v>2967.9</v>
      </c>
      <c r="G4036" s="51">
        <f t="shared" ref="G4036" si="70">IFERROR(ROUNDUP(F4036*E4036,0),"-")</f>
        <v>29679</v>
      </c>
      <c r="H4036" s="106"/>
    </row>
    <row r="4037" spans="1:9" x14ac:dyDescent="0.25">
      <c r="A4037" s="50" t="str">
        <f>Material!A495</f>
        <v>MA-494</v>
      </c>
      <c r="B4037" s="72" t="str">
        <f>IFERROR(VLOOKUP(A4037,Material!$A:$H,2,0),"-")</f>
        <v>CODO 90 PRESIÓN 1/2"</v>
      </c>
      <c r="C4037" s="76"/>
      <c r="D4037" s="50" t="str">
        <f>IFERROR(VLOOKUP(A4037,Material!$A:$H,4,0),"-")</f>
        <v>ML</v>
      </c>
      <c r="E4037" s="53">
        <v>2</v>
      </c>
      <c r="F4037" s="51">
        <f>IFERROR(VLOOKUP(A4037,Material!$A:$H,3,0),"-")</f>
        <v>520</v>
      </c>
      <c r="G4037" s="51">
        <f>IFERROR(ROUNDUP(F4037*E4037,0),"-")</f>
        <v>1040</v>
      </c>
      <c r="H4037" s="106"/>
    </row>
    <row r="4038" spans="1:9" x14ac:dyDescent="0.25">
      <c r="A4038" s="50" t="str">
        <f>Material!A201</f>
        <v>MA-200</v>
      </c>
      <c r="B4038" s="72" t="str">
        <f>IFERROR(VLOOKUP(A4038,Material!$A:$H,2,0),"-")</f>
        <v>SOLDADURA PVC 1/4 GL</v>
      </c>
      <c r="C4038" s="76"/>
      <c r="D4038" s="50" t="str">
        <f>IFERROR(VLOOKUP(A4038,Material!$A:$H,4,0),"-")</f>
        <v>GALÓN</v>
      </c>
      <c r="E4038" s="107">
        <f>10/60</f>
        <v>0.16666666666666666</v>
      </c>
      <c r="F4038" s="51">
        <f>IFERROR(VLOOKUP(A4038,Material!$A:$H,3,0),"-")</f>
        <v>88270</v>
      </c>
      <c r="G4038" s="51">
        <f>IFERROR(ROUNDUP(F4038*E4038,0),"-")</f>
        <v>14712</v>
      </c>
      <c r="H4038" s="106"/>
    </row>
    <row r="4039" spans="1:9" x14ac:dyDescent="0.25">
      <c r="A4039" s="50" t="str">
        <f>Material!A253</f>
        <v>MA-252</v>
      </c>
      <c r="B4039" s="72" t="str">
        <f>IFERROR(VLOOKUP(A4039,Material!$A:$H,2,0),"-")</f>
        <v>LIMPIADOR DE TUBERÍA PVC 1/4 GL</v>
      </c>
      <c r="C4039" s="76"/>
      <c r="D4039" s="50" t="str">
        <f>IFERROR(VLOOKUP(A4039,Material!$A:$H,4,0),"-")</f>
        <v>GALÓN</v>
      </c>
      <c r="E4039" s="107">
        <f>10/60</f>
        <v>0.16666666666666666</v>
      </c>
      <c r="F4039" s="51">
        <f>IFERROR(VLOOKUP(A4039,Material!$A:$H,3,0),"-")</f>
        <v>60970</v>
      </c>
      <c r="G4039" s="51">
        <f t="shared" ref="G4039:G4043" si="71">IFERROR(ROUNDUP(F4039*E4039,0),"-")</f>
        <v>10162</v>
      </c>
      <c r="H4039" s="106"/>
    </row>
    <row r="4040" spans="1:9" x14ac:dyDescent="0.25">
      <c r="A4040" s="50" t="str">
        <f>Material!A496</f>
        <v>MA-495</v>
      </c>
      <c r="B4040" s="72" t="str">
        <f>IFERROR(VLOOKUP(A4040,Material!$A:$H,2,0),"-")</f>
        <v>TEE PRESIÓN 1/2"</v>
      </c>
      <c r="C4040" s="76"/>
      <c r="D4040" s="50" t="str">
        <f>IFERROR(VLOOKUP(A4040,Material!$A:$H,4,0),"-")</f>
        <v>ML</v>
      </c>
      <c r="E4040" s="107">
        <v>1</v>
      </c>
      <c r="F4040" s="51">
        <f>IFERROR(VLOOKUP(A4040,Material!$A:$H,3,0),"-")</f>
        <v>650</v>
      </c>
      <c r="G4040" s="51">
        <f t="shared" si="71"/>
        <v>650</v>
      </c>
      <c r="H4040" s="106"/>
    </row>
    <row r="4041" spans="1:9" x14ac:dyDescent="0.25">
      <c r="A4041" s="50"/>
      <c r="B4041" s="72" t="str">
        <f>IFERROR(VLOOKUP(A4041,Material!$A:$H,2,0),"-")</f>
        <v>-</v>
      </c>
      <c r="C4041" s="76"/>
      <c r="D4041" s="50" t="str">
        <f>IFERROR(VLOOKUP(A4041,Material!$A:$H,4,0),"-")</f>
        <v>-</v>
      </c>
      <c r="E4041" s="107"/>
      <c r="F4041" s="51" t="str">
        <f>IFERROR(VLOOKUP(A4041,Material!$A:$H,3,0),"-")</f>
        <v>-</v>
      </c>
      <c r="G4041" s="51" t="str">
        <f t="shared" si="71"/>
        <v>-</v>
      </c>
      <c r="H4041" s="106"/>
    </row>
    <row r="4042" spans="1:9" x14ac:dyDescent="0.25">
      <c r="A4042" s="50"/>
      <c r="B4042" s="72" t="str">
        <f>IFERROR(VLOOKUP(A4042,Material!$A:$H,2,0),"-")</f>
        <v>-</v>
      </c>
      <c r="C4042" s="76"/>
      <c r="D4042" s="50" t="str">
        <f>IFERROR(VLOOKUP(A4042,Material!$A:$H,4,0),"-")</f>
        <v>-</v>
      </c>
      <c r="E4042" s="107"/>
      <c r="F4042" s="51" t="str">
        <f>IFERROR(VLOOKUP(A4042,Material!$A:$H,3,0),"-")</f>
        <v>-</v>
      </c>
      <c r="G4042" s="51" t="str">
        <f t="shared" si="71"/>
        <v>-</v>
      </c>
      <c r="H4042" s="106"/>
    </row>
    <row r="4043" spans="1:9" x14ac:dyDescent="0.25">
      <c r="A4043" s="50"/>
      <c r="B4043" s="72" t="str">
        <f>IFERROR(VLOOKUP(A4043,Material!$A:$H,2,0),"-")</f>
        <v>-</v>
      </c>
      <c r="C4043" s="76"/>
      <c r="D4043" s="50" t="str">
        <f>IFERROR(VLOOKUP(A4043,Material!$A:$H,4,0),"-")</f>
        <v>-</v>
      </c>
      <c r="E4043" s="107"/>
      <c r="F4043" s="51" t="str">
        <f>IFERROR(VLOOKUP(A4043,Material!$A:$H,3,0),"-")</f>
        <v>-</v>
      </c>
      <c r="G4043" s="51" t="str">
        <f t="shared" si="71"/>
        <v>-</v>
      </c>
      <c r="H4043" s="106"/>
    </row>
    <row r="4044" spans="1:9" x14ac:dyDescent="0.25">
      <c r="A4044" s="219" t="s">
        <v>41</v>
      </c>
      <c r="B4044" s="219"/>
      <c r="C4044" s="219"/>
      <c r="D4044" s="219"/>
      <c r="E4044" s="219"/>
      <c r="F4044" s="219"/>
      <c r="G4044" s="52">
        <f>SUM(G4036:G4043)</f>
        <v>56243</v>
      </c>
      <c r="I4044" s="104"/>
    </row>
    <row r="4045" spans="1:9" x14ac:dyDescent="0.25">
      <c r="A4045" s="56"/>
      <c r="B4045" s="57"/>
      <c r="C4045" s="57"/>
      <c r="D4045" s="57"/>
      <c r="E4045" s="57"/>
      <c r="F4045" s="57"/>
      <c r="G4045" s="58"/>
    </row>
    <row r="4046" spans="1:9" x14ac:dyDescent="0.25">
      <c r="A4046" s="219" t="s">
        <v>42</v>
      </c>
      <c r="B4046" s="219"/>
      <c r="C4046" s="219"/>
      <c r="D4046" s="219"/>
      <c r="E4046" s="219"/>
      <c r="F4046" s="219"/>
      <c r="G4046" s="219"/>
    </row>
    <row r="4047" spans="1:9" x14ac:dyDescent="0.25">
      <c r="A4047" s="49" t="s">
        <v>35</v>
      </c>
      <c r="B4047" s="49" t="s">
        <v>36</v>
      </c>
      <c r="C4047" s="49" t="s">
        <v>38</v>
      </c>
      <c r="D4047" s="49" t="s">
        <v>43</v>
      </c>
      <c r="E4047" s="49" t="s">
        <v>44</v>
      </c>
      <c r="F4047" s="49" t="s">
        <v>45</v>
      </c>
      <c r="G4047" s="49" t="s">
        <v>40</v>
      </c>
    </row>
    <row r="4048" spans="1:9" x14ac:dyDescent="0.25">
      <c r="A4048" s="50" t="s">
        <v>319</v>
      </c>
      <c r="B4048" s="68" t="str">
        <f>VLOOKUP(A4048,'Componentes APUs'!$H$1:$L$25,2,0)</f>
        <v>Ingeniero Residente de Obra</v>
      </c>
      <c r="C4048" s="93">
        <v>0</v>
      </c>
      <c r="D4048" s="50">
        <f>VLOOKUP(A4048,'Componentes APUs'!$H$1:$L$25,3,0)</f>
        <v>4</v>
      </c>
      <c r="E4048" s="51">
        <f>VLOOKUP(A4048,'Componentes APUs'!$H$1:$L$25,4,0)</f>
        <v>271142.85714285716</v>
      </c>
      <c r="F4048" s="51">
        <f>VLOOKUP(A4048,'Componentes APUs'!$H$1:$L$25,5,0)</f>
        <v>162685.71428571429</v>
      </c>
      <c r="G4048" s="51">
        <f>ROUNDUP((E4048+F4048)*C4048/E4033,0)</f>
        <v>0</v>
      </c>
      <c r="H4048" s="66"/>
    </row>
    <row r="4049" spans="1:9" x14ac:dyDescent="0.25">
      <c r="A4049" s="50" t="s">
        <v>320</v>
      </c>
      <c r="B4049" s="68" t="str">
        <f>VLOOKUP(A4049,'Componentes APUs'!$H$1:$L$25,2,0)</f>
        <v>Tecnico Supervisor</v>
      </c>
      <c r="C4049" s="93">
        <v>0</v>
      </c>
      <c r="D4049" s="50">
        <f>VLOOKUP(A4049,'Componentes APUs'!$H$1:$L$25,3,0)</f>
        <v>2.2999999999999998</v>
      </c>
      <c r="E4049" s="51">
        <f>VLOOKUP(A4049,'Componentes APUs'!$H$1:$L$25,4,0)</f>
        <v>155907.14285714284</v>
      </c>
      <c r="F4049" s="51">
        <f>VLOOKUP(A4049,'Componentes APUs'!$H$1:$L$25,5,0)</f>
        <v>93544.285714285696</v>
      </c>
      <c r="G4049" s="51">
        <f>ROUNDUP((E4049+F4049)*C4049/E4033,0)</f>
        <v>0</v>
      </c>
    </row>
    <row r="4050" spans="1:9" x14ac:dyDescent="0.25">
      <c r="A4050" s="50" t="s">
        <v>54</v>
      </c>
      <c r="B4050" s="68" t="str">
        <f>VLOOKUP(A4050,'Componentes APUs'!$H$1:$L$25,2,0)</f>
        <v>Maestro de obra civil</v>
      </c>
      <c r="C4050" s="93">
        <v>0</v>
      </c>
      <c r="D4050" s="50">
        <f>VLOOKUP(A4050,'Componentes APUs'!$H$1:$L$25,3,0)</f>
        <v>2.5</v>
      </c>
      <c r="E4050" s="51">
        <f>VLOOKUP(A4050,'Componentes APUs'!$H$1:$L$25,4,0)</f>
        <v>169464.28571428571</v>
      </c>
      <c r="F4050" s="51">
        <f>VLOOKUP(A4050,'Componentes APUs'!$H$1:$L$25,5,0)</f>
        <v>101678.57142857142</v>
      </c>
      <c r="G4050" s="51">
        <f>ROUNDUP((E4050+F4050)*C4050/E4033,0)</f>
        <v>0</v>
      </c>
    </row>
    <row r="4051" spans="1:9" x14ac:dyDescent="0.25">
      <c r="A4051" s="50" t="s">
        <v>1110</v>
      </c>
      <c r="B4051" s="68" t="str">
        <f>VLOOKUP(A4051,'Componentes APUs'!$H$1:$L$25,2,0)</f>
        <v>Oficial de Obra Civil</v>
      </c>
      <c r="C4051" s="93">
        <v>1</v>
      </c>
      <c r="D4051" s="50">
        <f>VLOOKUP(A4051,'Componentes APUs'!$H$1:$L$25,3,0)</f>
        <v>1.5</v>
      </c>
      <c r="E4051" s="51">
        <f>VLOOKUP(A4051,'Componentes APUs'!$H$1:$L$25,4,0)</f>
        <v>115964.28571428571</v>
      </c>
      <c r="F4051" s="51">
        <f>VLOOKUP(A4051,'Componentes APUs'!$H$1:$L$25,5,0)</f>
        <v>69578.57142857142</v>
      </c>
      <c r="G4051" s="51">
        <f>ROUNDUP((E4051+F4051)*C4051/E4033,0)</f>
        <v>46386</v>
      </c>
    </row>
    <row r="4052" spans="1:9" x14ac:dyDescent="0.25">
      <c r="A4052" s="50" t="s">
        <v>50</v>
      </c>
      <c r="B4052" s="68" t="str">
        <f>VLOOKUP(A4052,'Componentes APUs'!$H$1:$L$25,2,0)</f>
        <v>Profesional en SST</v>
      </c>
      <c r="C4052" s="93">
        <v>0.25</v>
      </c>
      <c r="D4052" s="50">
        <f>VLOOKUP(A4052,'Componentes APUs'!$H$1:$L$25,3,0)</f>
        <v>2.5</v>
      </c>
      <c r="E4052" s="51">
        <f>VLOOKUP(A4052,'Componentes APUs'!$H$1:$L$25,4,0)</f>
        <v>169464.28571428571</v>
      </c>
      <c r="F4052" s="51">
        <f>VLOOKUP(A4052,'Componentes APUs'!$H$1:$L$25,5,0)</f>
        <v>101678.57142857142</v>
      </c>
      <c r="G4052" s="51">
        <f>ROUNDUP((E4052+F4052)*C4052/E4033,0)</f>
        <v>16947</v>
      </c>
    </row>
    <row r="4053" spans="1:9" x14ac:dyDescent="0.25">
      <c r="A4053" s="50" t="s">
        <v>1109</v>
      </c>
      <c r="B4053" s="68" t="str">
        <f>VLOOKUP(A4053,'Componentes APUs'!$H$1:$L$25,2,0)</f>
        <v>Ayudante de Obra Civil</v>
      </c>
      <c r="C4053" s="93">
        <v>1</v>
      </c>
      <c r="D4053" s="50">
        <f>VLOOKUP(A4053,'Componentes APUs'!$H$1:$L$25,3,0)</f>
        <v>1</v>
      </c>
      <c r="E4053" s="51">
        <f>VLOOKUP(A4053,'Componentes APUs'!$H$1:$L$25,4,0)</f>
        <v>77309.523809523816</v>
      </c>
      <c r="F4053" s="51">
        <f>VLOOKUP(A4053,'Componentes APUs'!$H$1:$L$25,5,0)</f>
        <v>46385.71428571429</v>
      </c>
      <c r="G4053" s="51">
        <f>ROUNDUP((E4053+F4053)*C4053/E4033,0)</f>
        <v>30924</v>
      </c>
    </row>
    <row r="4054" spans="1:9" x14ac:dyDescent="0.25">
      <c r="A4054" s="219" t="s">
        <v>56</v>
      </c>
      <c r="B4054" s="219"/>
      <c r="C4054" s="219"/>
      <c r="D4054" s="219"/>
      <c r="E4054" s="219"/>
      <c r="F4054" s="219"/>
      <c r="G4054" s="52">
        <f>SUM(G4048:G4053)</f>
        <v>94257</v>
      </c>
    </row>
    <row r="4055" spans="1:9" x14ac:dyDescent="0.25">
      <c r="A4055" s="56"/>
      <c r="B4055" s="57"/>
      <c r="C4055" s="57"/>
      <c r="D4055" s="57"/>
      <c r="E4055" s="57"/>
      <c r="F4055" s="57"/>
      <c r="G4055" s="58"/>
    </row>
    <row r="4056" spans="1:9" x14ac:dyDescent="0.25">
      <c r="A4056" s="219" t="s">
        <v>57</v>
      </c>
      <c r="B4056" s="219"/>
      <c r="C4056" s="219"/>
      <c r="D4056" s="219"/>
      <c r="E4056" s="219"/>
      <c r="F4056" s="219"/>
      <c r="G4056" s="219"/>
    </row>
    <row r="4057" spans="1:9" x14ac:dyDescent="0.25">
      <c r="A4057" s="49" t="s">
        <v>35</v>
      </c>
      <c r="B4057" s="219" t="s">
        <v>36</v>
      </c>
      <c r="C4057" s="219"/>
      <c r="D4057" s="49" t="s">
        <v>37</v>
      </c>
      <c r="E4057" s="49" t="s">
        <v>38</v>
      </c>
      <c r="F4057" s="49" t="s">
        <v>39</v>
      </c>
      <c r="G4057" s="49" t="s">
        <v>40</v>
      </c>
    </row>
    <row r="4058" spans="1:9" x14ac:dyDescent="0.25">
      <c r="A4058" s="50" t="s">
        <v>326</v>
      </c>
      <c r="B4058" s="220" t="str">
        <f>VLOOKUP(A4058,'Componentes APUs'!$S$1:$V$10,2,0)</f>
        <v>Juego Llaves</v>
      </c>
      <c r="C4058" s="220"/>
      <c r="D4058" s="50" t="s">
        <v>18</v>
      </c>
      <c r="E4058" s="50">
        <v>0</v>
      </c>
      <c r="F4058" s="51">
        <f>VLOOKUP(A4058,'Componentes APUs'!$S$1:$V$10,4,0)</f>
        <v>9167</v>
      </c>
      <c r="G4058" s="51">
        <f>ROUNDUP(F4058*((E4058/21)/E4033),0)</f>
        <v>0</v>
      </c>
      <c r="I4058" s="91"/>
    </row>
    <row r="4059" spans="1:9" x14ac:dyDescent="0.25">
      <c r="A4059" s="50" t="s">
        <v>58</v>
      </c>
      <c r="B4059" s="220" t="str">
        <f>VLOOKUP(A4059,'Componentes APUs'!$S$1:$V$10,2,0)</f>
        <v>Manila de servicio</v>
      </c>
      <c r="C4059" s="220"/>
      <c r="D4059" s="50" t="s">
        <v>18</v>
      </c>
      <c r="E4059" s="50">
        <v>0</v>
      </c>
      <c r="F4059" s="51">
        <f>VLOOKUP(A4059,'Componentes APUs'!$S$1:$V$10,4,0)</f>
        <v>2333</v>
      </c>
      <c r="G4059" s="51">
        <f>ROUNDUP(F4059*((E4059/21)/E4033),0)</f>
        <v>0</v>
      </c>
    </row>
    <row r="4060" spans="1:9" x14ac:dyDescent="0.25">
      <c r="A4060" s="50" t="s">
        <v>327</v>
      </c>
      <c r="B4060" s="220" t="str">
        <f>VLOOKUP(A4060,'Componentes APUs'!$S$1:$V$10,2,0)</f>
        <v>Tula portaherramientas</v>
      </c>
      <c r="C4060" s="220"/>
      <c r="D4060" s="50" t="s">
        <v>18</v>
      </c>
      <c r="E4060" s="50">
        <v>0</v>
      </c>
      <c r="F4060" s="51">
        <f>VLOOKUP(A4060,'Componentes APUs'!$S$1:$V$10,4,0)</f>
        <v>1250</v>
      </c>
      <c r="G4060" s="51">
        <f>ROUNDUP(F4060*((E4060/21)/E4033),0)</f>
        <v>0</v>
      </c>
    </row>
    <row r="4061" spans="1:9" x14ac:dyDescent="0.25">
      <c r="A4061" s="50" t="s">
        <v>60</v>
      </c>
      <c r="B4061" s="220" t="str">
        <f>VLOOKUP(A4061,'Componentes APUs'!$S$1:$V$10,2,0)</f>
        <v>Agarradoras</v>
      </c>
      <c r="C4061" s="220"/>
      <c r="D4061" s="50" t="s">
        <v>18</v>
      </c>
      <c r="E4061" s="50">
        <v>0</v>
      </c>
      <c r="F4061" s="51">
        <f>VLOOKUP(A4061,'Componentes APUs'!$S$1:$V$10,4,0)</f>
        <v>125000</v>
      </c>
      <c r="G4061" s="51">
        <f>ROUNDUP(F4061*((E4061/21)/E4033),0)</f>
        <v>0</v>
      </c>
    </row>
    <row r="4062" spans="1:9" x14ac:dyDescent="0.25">
      <c r="A4062" s="50" t="s">
        <v>62</v>
      </c>
      <c r="B4062" s="220" t="str">
        <f>VLOOKUP(A4062,'Componentes APUs'!$S$1:$V$10,2,0)</f>
        <v>Templadoras</v>
      </c>
      <c r="C4062" s="220"/>
      <c r="D4062" s="50" t="s">
        <v>18</v>
      </c>
      <c r="E4062" s="50">
        <v>0</v>
      </c>
      <c r="F4062" s="51">
        <f>VLOOKUP(A4062,'Componentes APUs'!$S$1:$V$10,4,0)</f>
        <v>250000</v>
      </c>
      <c r="G4062" s="51">
        <f>ROUNDUP(F4062*((E4062/21)/E4033),0)</f>
        <v>0</v>
      </c>
    </row>
    <row r="4063" spans="1:9" x14ac:dyDescent="0.25">
      <c r="A4063" s="50" t="s">
        <v>328</v>
      </c>
      <c r="B4063" s="220" t="str">
        <f>VLOOKUP(A4063,'Componentes APUs'!$S$1:$V$10,2,0)</f>
        <v>Herramienta Menor</v>
      </c>
      <c r="C4063" s="220"/>
      <c r="D4063" s="50" t="s">
        <v>18</v>
      </c>
      <c r="E4063" s="50">
        <v>2</v>
      </c>
      <c r="F4063" s="51">
        <f>VLOOKUP(A4063,'Componentes APUs'!$S$1:$V$10,4,0)</f>
        <v>75758</v>
      </c>
      <c r="G4063" s="51">
        <f>ROUNDUP(F4063*((E4063/21)/E4033),0)</f>
        <v>1804</v>
      </c>
    </row>
    <row r="4064" spans="1:9" x14ac:dyDescent="0.25">
      <c r="A4064" s="219" t="s">
        <v>69</v>
      </c>
      <c r="B4064" s="219"/>
      <c r="C4064" s="219"/>
      <c r="D4064" s="219"/>
      <c r="E4064" s="219"/>
      <c r="F4064" s="219"/>
      <c r="G4064" s="52">
        <f>SUM(G4058:G4063)</f>
        <v>1804</v>
      </c>
    </row>
    <row r="4065" spans="1:9" x14ac:dyDescent="0.25">
      <c r="A4065" s="56"/>
      <c r="B4065" s="57"/>
      <c r="C4065" s="57"/>
      <c r="D4065" s="57"/>
      <c r="E4065" s="57"/>
      <c r="F4065" s="57"/>
      <c r="G4065" s="58"/>
    </row>
    <row r="4066" spans="1:9" x14ac:dyDescent="0.25">
      <c r="A4066" s="219" t="s">
        <v>70</v>
      </c>
      <c r="B4066" s="219"/>
      <c r="C4066" s="219"/>
      <c r="D4066" s="219"/>
      <c r="E4066" s="219"/>
      <c r="F4066" s="219"/>
      <c r="G4066" s="219"/>
    </row>
    <row r="4067" spans="1:9" x14ac:dyDescent="0.25">
      <c r="A4067" s="49" t="s">
        <v>35</v>
      </c>
      <c r="B4067" s="219" t="s">
        <v>36</v>
      </c>
      <c r="C4067" s="219"/>
      <c r="D4067" s="49" t="s">
        <v>37</v>
      </c>
      <c r="E4067" s="49" t="s">
        <v>38</v>
      </c>
      <c r="F4067" s="49" t="s">
        <v>39</v>
      </c>
      <c r="G4067" s="49" t="s">
        <v>40</v>
      </c>
    </row>
    <row r="4068" spans="1:9" x14ac:dyDescent="0.25">
      <c r="A4068" s="50" t="s">
        <v>71</v>
      </c>
      <c r="B4068" s="71" t="str">
        <f>VLOOKUP(A4068,'Componentes APUs'!$A$1:$D$14,2,0)</f>
        <v>Camisa indigo sin partes metalicas</v>
      </c>
      <c r="C4068" s="71"/>
      <c r="D4068" s="50" t="str">
        <f>VLOOKUP(A4068,'Componentes APUs'!$A$1:$D$14,3,0)</f>
        <v>U</v>
      </c>
      <c r="E4068" s="50">
        <f>SUM(C4048:C4053)</f>
        <v>2.25</v>
      </c>
      <c r="F4068" s="51">
        <f>VLOOKUP(A4068,'Componentes APUs'!$A$1:$D$14,4,0)</f>
        <v>8585.8585858585866</v>
      </c>
      <c r="G4068" s="51">
        <f>ROUNDUP(F4068*(E4068/21)/E4033,0)</f>
        <v>230</v>
      </c>
      <c r="I4068" s="91"/>
    </row>
    <row r="4069" spans="1:9" x14ac:dyDescent="0.25">
      <c r="A4069" s="69" t="s">
        <v>73</v>
      </c>
      <c r="B4069" s="72" t="str">
        <f>VLOOKUP(A4069,'Componentes APUs'!$A$1:$D$14,2,0)</f>
        <v>Bota de seguridad dielectrica</v>
      </c>
      <c r="C4069" s="73"/>
      <c r="D4069" s="70" t="str">
        <f>VLOOKUP(A4069,'Componentes APUs'!$A$1:$D$14,3,0)</f>
        <v>Par</v>
      </c>
      <c r="E4069" s="50">
        <f>SUM(C4048:C4053)</f>
        <v>2.25</v>
      </c>
      <c r="F4069" s="51">
        <f>VLOOKUP(A4069,'Componentes APUs'!$A$1:$D$14,4,0)</f>
        <v>7500</v>
      </c>
      <c r="G4069" s="51">
        <f>ROUNDUP(F4069*(E4069/21)/E4033,0)</f>
        <v>201</v>
      </c>
    </row>
    <row r="4070" spans="1:9" x14ac:dyDescent="0.25">
      <c r="A4070" s="50" t="s">
        <v>76</v>
      </c>
      <c r="B4070" s="72" t="str">
        <f>VLOOKUP(A4070,'Componentes APUs'!$A$1:$D$14,2,0)</f>
        <v>Casco dielectrico Tipo 1 Clase E con barbuquejo</v>
      </c>
      <c r="C4070" s="73"/>
      <c r="D4070" s="50" t="str">
        <f>VLOOKUP(A4070,'Componentes APUs'!$A$1:$D$14,3,0)</f>
        <v>U</v>
      </c>
      <c r="E4070" s="50">
        <f>C4048+C4049+C4051+C4052+C4053+IF(A4050&lt;&gt;"MO-3",C4050,0)</f>
        <v>2.25</v>
      </c>
      <c r="F4070" s="51">
        <f>VLOOKUP(A4070,'Componentes APUs'!$A$1:$D$14,4,0)</f>
        <v>10101.010101010101</v>
      </c>
      <c r="G4070" s="51">
        <f>ROUNDUP(F4070*(E4070/21)/E4033,0)</f>
        <v>271</v>
      </c>
    </row>
    <row r="4071" spans="1:9" x14ac:dyDescent="0.25">
      <c r="A4071" s="69" t="s">
        <v>77</v>
      </c>
      <c r="B4071" s="72" t="str">
        <f>VLOOKUP(A4071,'Componentes APUs'!$A$1:$D$14,2,0)</f>
        <v>Correa plastica y antiflama</v>
      </c>
      <c r="C4071" s="73"/>
      <c r="D4071" s="50" t="str">
        <f>VLOOKUP(A4071,'Componentes APUs'!$A$1:$D$14,3,0)</f>
        <v>U</v>
      </c>
      <c r="E4071" s="50">
        <f>SUM(C4048:C4053)</f>
        <v>2.25</v>
      </c>
      <c r="F4071" s="51">
        <f>VLOOKUP(A4071,'Componentes APUs'!$A$1:$D$14,4,0)</f>
        <v>3787.878787878788</v>
      </c>
      <c r="G4071" s="51">
        <f>ROUNDUP(F4071*(E4071/21)/E4033,0)</f>
        <v>102</v>
      </c>
    </row>
    <row r="4072" spans="1:9" x14ac:dyDescent="0.25">
      <c r="A4072" s="50" t="s">
        <v>79</v>
      </c>
      <c r="B4072" s="72" t="str">
        <f>VLOOKUP(A4072,'Componentes APUs'!$A$1:$D$14,2,0)</f>
        <v>Gafas protectoras filtro UV</v>
      </c>
      <c r="C4072" s="73"/>
      <c r="D4072" s="50" t="str">
        <f>VLOOKUP(A4072,'Componentes APUs'!$A$1:$D$14,3,0)</f>
        <v>U</v>
      </c>
      <c r="E4072" s="50">
        <f>SUM(C4048:C4053)</f>
        <v>2.25</v>
      </c>
      <c r="F4072" s="51">
        <f>VLOOKUP(A4072,'Componentes APUs'!$A$1:$D$14,4,0)</f>
        <v>2777.7777777777778</v>
      </c>
      <c r="G4072" s="51">
        <f>ROUNDUP(F4072*(E4072/21)/E4033,0)</f>
        <v>75</v>
      </c>
    </row>
    <row r="4073" spans="1:9" x14ac:dyDescent="0.25">
      <c r="A4073" s="69" t="s">
        <v>402</v>
      </c>
      <c r="B4073" s="72" t="str">
        <f>VLOOKUP(A4073,'Componentes APUs'!$A$1:$D$14,2,0)</f>
        <v>Bota de seguridad PVC dielectrica</v>
      </c>
      <c r="C4073" s="73"/>
      <c r="D4073" s="50" t="str">
        <f>VLOOKUP(A4073,'Componentes APUs'!$A$1:$D$14,3,0)</f>
        <v>Par</v>
      </c>
      <c r="E4073" s="50">
        <f>SUM(C4048:C4053)</f>
        <v>2.25</v>
      </c>
      <c r="F4073" s="51">
        <f>VLOOKUP(A4073,'Componentes APUs'!$A$1:$D$14,4,0)</f>
        <v>2916.6666666666665</v>
      </c>
      <c r="G4073" s="51">
        <f>ROUNDUP(F4073*(E4073/21)/E4033,0)</f>
        <v>79</v>
      </c>
    </row>
    <row r="4074" spans="1:9" x14ac:dyDescent="0.25">
      <c r="A4074" s="50" t="s">
        <v>403</v>
      </c>
      <c r="B4074" s="72" t="str">
        <f>VLOOKUP(A4074,'Componentes APUs'!$A$1:$D$14,2,0)</f>
        <v>Capuchon</v>
      </c>
      <c r="C4074" s="73"/>
      <c r="D4074" s="50" t="str">
        <f>VLOOKUP(A4074,'Componentes APUs'!$A$1:$D$14,3,0)</f>
        <v>U</v>
      </c>
      <c r="E4074" s="50">
        <f>SUM(C4048:C4053)</f>
        <v>2.25</v>
      </c>
      <c r="F4074" s="51">
        <f>VLOOKUP(A4074,'Componentes APUs'!$A$1:$D$14,4,0)</f>
        <v>2525.2525252525252</v>
      </c>
      <c r="G4074" s="51">
        <f>ROUNDUP(F4074*(E4074/21)/E4033,0)</f>
        <v>68</v>
      </c>
    </row>
    <row r="4075" spans="1:9" x14ac:dyDescent="0.25">
      <c r="A4075" s="69" t="s">
        <v>81</v>
      </c>
      <c r="B4075" s="72" t="str">
        <f>VLOOKUP(A4075,'Componentes APUs'!$A$1:$D$14,2,0)</f>
        <v>Guantes Protectores  - ingeniero reforzados</v>
      </c>
      <c r="C4075" s="73"/>
      <c r="D4075" s="50" t="str">
        <f>VLOOKUP(A4075,'Componentes APUs'!$A$1:$D$14,3,0)</f>
        <v>Par</v>
      </c>
      <c r="E4075" s="50">
        <f>C4050+C4051+C4053</f>
        <v>2</v>
      </c>
      <c r="F4075" s="51">
        <f>VLOOKUP(A4075,'Componentes APUs'!$A$1:$D$14,4,0)</f>
        <v>2525.2525252525252</v>
      </c>
      <c r="G4075" s="51">
        <f>ROUNDUP(F4075*(E4075/21)/E4033,0)</f>
        <v>61</v>
      </c>
    </row>
    <row r="4076" spans="1:9" x14ac:dyDescent="0.25">
      <c r="A4076" s="50" t="s">
        <v>83</v>
      </c>
      <c r="B4076" s="72" t="str">
        <f>VLOOKUP(A4076,'Componentes APUs'!$A$1:$D$14,2,0)</f>
        <v>Impermeable (pantalon camisa)</v>
      </c>
      <c r="C4076" s="73"/>
      <c r="D4076" s="50" t="str">
        <f>VLOOKUP(A4076,'Componentes APUs'!$A$1:$D$14,3,0)</f>
        <v>U</v>
      </c>
      <c r="E4076" s="50">
        <f>SUM(C4048:C4053)</f>
        <v>2.25</v>
      </c>
      <c r="F4076" s="51">
        <f>VLOOKUP(A4076,'Componentes APUs'!$A$1:$D$14,4,0)</f>
        <v>3750</v>
      </c>
      <c r="G4076" s="51">
        <f>ROUNDUP(F4076*(E4076/21)/E4033,0)</f>
        <v>101</v>
      </c>
    </row>
    <row r="4077" spans="1:9" x14ac:dyDescent="0.25">
      <c r="A4077" s="69" t="s">
        <v>85</v>
      </c>
      <c r="B4077" s="72" t="str">
        <f>VLOOKUP(A4077,'Componentes APUs'!$A$1:$D$14,2,0)</f>
        <v>Jean Dielectrico</v>
      </c>
      <c r="C4077" s="73"/>
      <c r="D4077" s="50" t="str">
        <f>VLOOKUP(A4077,'Componentes APUs'!$A$1:$D$14,3,0)</f>
        <v>U</v>
      </c>
      <c r="E4077" s="50">
        <f>SUM(C4048:C4053)</f>
        <v>2.25</v>
      </c>
      <c r="F4077" s="51">
        <f>VLOOKUP(A4077,'Componentes APUs'!$A$1:$D$14,4,0)</f>
        <v>7575.757575757576</v>
      </c>
      <c r="G4077" s="51">
        <f>ROUNDUP(F4077*(E4077/21)/E4033,0)</f>
        <v>203</v>
      </c>
    </row>
    <row r="4078" spans="1:9" x14ac:dyDescent="0.25">
      <c r="A4078" s="50" t="s">
        <v>87</v>
      </c>
      <c r="B4078" s="72" t="str">
        <f>VLOOKUP(A4078,'Componentes APUs'!$A$1:$D$14,2,0)</f>
        <v>Casco dielectrico Tipo 2 Clase E con barboquejo</v>
      </c>
      <c r="C4078" s="73"/>
      <c r="D4078" s="50" t="str">
        <f>VLOOKUP(A4078,'Componentes APUs'!$A$1:$D$14,3,0)</f>
        <v>U</v>
      </c>
      <c r="E4078" s="53">
        <f>IF(A4050="MO-3",C4050,0)</f>
        <v>0</v>
      </c>
      <c r="F4078" s="51">
        <f>VLOOKUP(A4078,'Componentes APUs'!$A$1:$D$14,4,0)</f>
        <v>7500</v>
      </c>
      <c r="G4078" s="51">
        <f>ROUNDUP(F4078*(E4078/21)/E4033,0)</f>
        <v>0</v>
      </c>
    </row>
    <row r="4079" spans="1:9" x14ac:dyDescent="0.25">
      <c r="A4079" s="69" t="s">
        <v>89</v>
      </c>
      <c r="B4079" s="72" t="str">
        <f>VLOOKUP(A4079,'Componentes APUs'!$A$1:$D$14,2,0)</f>
        <v>Kit de rescate para trabajo en alturas</v>
      </c>
      <c r="C4079" s="73"/>
      <c r="D4079" s="50" t="str">
        <f>VLOOKUP(A4079,'Componentes APUs'!$A$1:$D$14,3,0)</f>
        <v>U</v>
      </c>
      <c r="E4079" s="50">
        <f>IF(AND(A4050="MO-3",C4050=2),1,0)</f>
        <v>0</v>
      </c>
      <c r="F4079" s="51">
        <f>VLOOKUP(A4079,'Componentes APUs'!$A$1:$D$14,4,0)</f>
        <v>37500</v>
      </c>
      <c r="G4079" s="51">
        <f>ROUNDUP(F4079*(E4079/21)/E4033,0)</f>
        <v>0</v>
      </c>
    </row>
    <row r="4080" spans="1:9" x14ac:dyDescent="0.25">
      <c r="A4080" s="50" t="s">
        <v>91</v>
      </c>
      <c r="B4080" s="72" t="str">
        <f>VLOOKUP(A4080,'Componentes APUs'!$A$1:$D$14,2,0)</f>
        <v>Equipo completo para trabajo en alturas con pretales (Arnes dielectrico, 1 mosqueton de seguridad, tie off dielectrico, eslinga de posicionamiento, juego de pretales)</v>
      </c>
      <c r="C4080" s="73"/>
      <c r="D4080" s="50" t="str">
        <f>VLOOKUP(A4080,'Componentes APUs'!$A$1:$D$14,3,0)</f>
        <v>U</v>
      </c>
      <c r="E4080" s="50">
        <f>IF(A4050="MO-3",C4050,0)</f>
        <v>0</v>
      </c>
      <c r="F4080" s="51">
        <f>VLOOKUP(A4080,'Componentes APUs'!$A$1:$D$14,4,0)</f>
        <v>26041.666666666668</v>
      </c>
      <c r="G4080" s="51">
        <f>ROUNDUP(F4080*(E4080/21)/E4033,0)</f>
        <v>0</v>
      </c>
    </row>
    <row r="4081" spans="1:7" x14ac:dyDescent="0.25">
      <c r="A4081" s="219" t="s">
        <v>95</v>
      </c>
      <c r="B4081" s="219"/>
      <c r="C4081" s="219"/>
      <c r="D4081" s="219"/>
      <c r="E4081" s="219"/>
      <c r="F4081" s="219"/>
      <c r="G4081" s="52">
        <f>SUM(G4068:G4080)</f>
        <v>1391</v>
      </c>
    </row>
    <row r="4082" spans="1:7" x14ac:dyDescent="0.25">
      <c r="A4082" s="56"/>
      <c r="B4082" s="57"/>
      <c r="C4082" s="57"/>
      <c r="D4082" s="57"/>
      <c r="E4082" s="57"/>
      <c r="F4082" s="57"/>
      <c r="G4082" s="58"/>
    </row>
    <row r="4083" spans="1:7" x14ac:dyDescent="0.25">
      <c r="A4083" s="219" t="s">
        <v>96</v>
      </c>
      <c r="B4083" s="219"/>
      <c r="C4083" s="219"/>
      <c r="D4083" s="219"/>
      <c r="E4083" s="219"/>
      <c r="F4083" s="219"/>
      <c r="G4083" s="219"/>
    </row>
    <row r="4084" spans="1:7" x14ac:dyDescent="0.25">
      <c r="A4084" s="49" t="s">
        <v>35</v>
      </c>
      <c r="B4084" s="225" t="s">
        <v>36</v>
      </c>
      <c r="C4084" s="225"/>
      <c r="D4084" s="49" t="s">
        <v>37</v>
      </c>
      <c r="E4084" s="49" t="s">
        <v>38</v>
      </c>
      <c r="F4084" s="49" t="s">
        <v>39</v>
      </c>
      <c r="G4084" s="49" t="s">
        <v>40</v>
      </c>
    </row>
    <row r="4085" spans="1:7" x14ac:dyDescent="0.25">
      <c r="A4085" s="69" t="s">
        <v>97</v>
      </c>
      <c r="B4085" s="72" t="str">
        <f>VLOOKUP(A4085,'Componentes APUs'!$N$1:$Q$30,2,0)</f>
        <v>Camioneta</v>
      </c>
      <c r="C4085" s="73"/>
      <c r="D4085" s="70" t="str">
        <f>VLOOKUP(A4085,'Componentes APUs'!$N$1:$Q$30,3,0)</f>
        <v>U</v>
      </c>
      <c r="E4085" s="50">
        <v>0.5</v>
      </c>
      <c r="F4085" s="51">
        <f>VLOOKUP(A4085,'Componentes APUs'!$N$1:$Q$30,4,0)</f>
        <v>5500000</v>
      </c>
      <c r="G4085" s="51">
        <f>IFERROR(ROUNDUP(F4085*(E4085/21)/E4033,0),"-")</f>
        <v>32739</v>
      </c>
    </row>
    <row r="4086" spans="1:7" x14ac:dyDescent="0.25">
      <c r="A4086" s="50" t="s">
        <v>321</v>
      </c>
      <c r="B4086" s="72" t="str">
        <f>VLOOKUP(A4086,'Componentes APUs'!$N$1:$Q$30,2,0)</f>
        <v>Grúa Hidráulica</v>
      </c>
      <c r="C4086" s="73"/>
      <c r="D4086" s="70" t="str">
        <f>VLOOKUP(A4086,'Componentes APUs'!$N$1:$Q$30,3,0)</f>
        <v>U</v>
      </c>
      <c r="E4086" s="50">
        <v>0</v>
      </c>
      <c r="F4086" s="51">
        <f>VLOOKUP(A4086,'Componentes APUs'!$N$1:$Q$30,4,0)</f>
        <v>21000000</v>
      </c>
      <c r="G4086" s="51">
        <f>IFERROR(ROUNDUP(F4086*(E4086/21)/E4033,0),"-")</f>
        <v>0</v>
      </c>
    </row>
    <row r="4087" spans="1:7" x14ac:dyDescent="0.25">
      <c r="A4087" s="69" t="s">
        <v>1379</v>
      </c>
      <c r="B4087" s="72" t="str">
        <f>VLOOKUP(A4087,'Componentes APUs'!$N$1:$Q$30,2,0)</f>
        <v>Dumper de descarga Frontal 2T</v>
      </c>
      <c r="C4087" s="73"/>
      <c r="D4087" s="70" t="str">
        <f>VLOOKUP(A4087,'Componentes APUs'!$N$1:$Q$30,3,0)</f>
        <v>U</v>
      </c>
      <c r="E4087" s="50">
        <v>0</v>
      </c>
      <c r="F4087" s="51">
        <f>VLOOKUP(A4087,'Componentes APUs'!$N$1:$Q$30,4,0)</f>
        <v>4438716.24</v>
      </c>
      <c r="G4087" s="51">
        <f>IFERROR(ROUNDUP(F4087*(E4087/21)/E4033,0),"-")</f>
        <v>0</v>
      </c>
    </row>
    <row r="4088" spans="1:7" x14ac:dyDescent="0.25">
      <c r="A4088" s="50" t="s">
        <v>323</v>
      </c>
      <c r="B4088" s="72" t="str">
        <f>VLOOKUP(A4088,'Componentes APUs'!$N$1:$Q$30,2,0)</f>
        <v>Volqueta</v>
      </c>
      <c r="C4088" s="73"/>
      <c r="D4088" s="70" t="str">
        <f>VLOOKUP(A4088,'Componentes APUs'!$N$1:$Q$30,3,0)</f>
        <v>U</v>
      </c>
      <c r="E4088" s="50">
        <v>0</v>
      </c>
      <c r="F4088" s="51">
        <f>VLOOKUP(A4088,'Componentes APUs'!$N$1:$Q$30,4,0)</f>
        <v>14828184</v>
      </c>
      <c r="G4088" s="51">
        <f>IFERROR(ROUNDUP(F4088*(E4088/21)/E4033,0),"-")</f>
        <v>0</v>
      </c>
    </row>
    <row r="4089" spans="1:7" x14ac:dyDescent="0.25">
      <c r="A4089" s="69" t="s">
        <v>324</v>
      </c>
      <c r="B4089" s="72" t="str">
        <f>VLOOKUP(A4089,'Componentes APUs'!$N$1:$Q$30,2,0)</f>
        <v>Retroexcavadora</v>
      </c>
      <c r="C4089" s="73"/>
      <c r="D4089" s="70" t="str">
        <f>VLOOKUP(A4089,'Componentes APUs'!$N$1:$Q$30,3,0)</f>
        <v>U</v>
      </c>
      <c r="E4089" s="50">
        <v>0</v>
      </c>
      <c r="F4089" s="51">
        <f>VLOOKUP(A4089,'Componentes APUs'!$N$1:$Q$30,4,0)</f>
        <v>46030656</v>
      </c>
      <c r="G4089" s="51">
        <f>IFERROR(ROUNDUP(F4089*(E4089/21)/E4033,0),"-")</f>
        <v>0</v>
      </c>
    </row>
    <row r="4090" spans="1:7" x14ac:dyDescent="0.25">
      <c r="A4090" s="219" t="s">
        <v>99</v>
      </c>
      <c r="B4090" s="219"/>
      <c r="C4090" s="219"/>
      <c r="D4090" s="219"/>
      <c r="E4090" s="219"/>
      <c r="F4090" s="219"/>
      <c r="G4090" s="52">
        <f>SUM(G4085:G4089)</f>
        <v>32739</v>
      </c>
    </row>
    <row r="4091" spans="1:7" x14ac:dyDescent="0.25">
      <c r="A4091" s="56"/>
      <c r="B4091" s="57"/>
      <c r="C4091" s="57"/>
      <c r="D4091" s="57"/>
      <c r="E4091" s="57"/>
      <c r="F4091" s="57"/>
      <c r="G4091" s="58"/>
    </row>
    <row r="4092" spans="1:7" x14ac:dyDescent="0.25">
      <c r="A4092" s="219" t="s">
        <v>1516</v>
      </c>
      <c r="B4092" s="219"/>
      <c r="C4092" s="219"/>
      <c r="D4092" s="219"/>
      <c r="E4092" s="219"/>
      <c r="F4092" s="219"/>
      <c r="G4092" s="52">
        <f>G4090+G4081+G4064+G4054+G4044</f>
        <v>186434</v>
      </c>
    </row>
    <row r="4093" spans="1:7" x14ac:dyDescent="0.25">
      <c r="A4093" s="59"/>
      <c r="B4093" s="60"/>
      <c r="C4093" s="60"/>
      <c r="D4093" s="60"/>
      <c r="E4093" s="57"/>
      <c r="F4093" s="57"/>
      <c r="G4093" s="58"/>
    </row>
    <row r="4094" spans="1:7" x14ac:dyDescent="0.25">
      <c r="A4094" s="64"/>
      <c r="D4094" s="55"/>
      <c r="E4094" s="49" t="s">
        <v>25</v>
      </c>
      <c r="F4094" s="54">
        <v>0.15</v>
      </c>
      <c r="G4094" s="51">
        <f>G4092*F4094</f>
        <v>27965.1</v>
      </c>
    </row>
    <row r="4095" spans="1:7" x14ac:dyDescent="0.25">
      <c r="A4095" s="64"/>
      <c r="D4095" s="55"/>
      <c r="E4095" s="49" t="s">
        <v>26</v>
      </c>
      <c r="F4095" s="54">
        <v>0.05</v>
      </c>
      <c r="G4095" s="51">
        <f>G4092*F4095</f>
        <v>9321.7000000000007</v>
      </c>
    </row>
    <row r="4096" spans="1:7" x14ac:dyDescent="0.25">
      <c r="A4096" s="61"/>
      <c r="B4096" s="65"/>
      <c r="C4096" s="65"/>
      <c r="D4096" s="62"/>
      <c r="E4096" s="49" t="s">
        <v>27</v>
      </c>
      <c r="F4096" s="54">
        <v>0.05</v>
      </c>
      <c r="G4096" s="51">
        <f>G4092*F4096</f>
        <v>9321.7000000000007</v>
      </c>
    </row>
    <row r="4097" spans="1:8" x14ac:dyDescent="0.25">
      <c r="A4097" s="61"/>
      <c r="B4097" s="62"/>
      <c r="C4097" s="62"/>
      <c r="D4097" s="62"/>
      <c r="E4097" s="62"/>
      <c r="F4097" s="62"/>
      <c r="G4097" s="63"/>
    </row>
    <row r="4098" spans="1:8" x14ac:dyDescent="0.25">
      <c r="A4098" s="219" t="s">
        <v>1517</v>
      </c>
      <c r="B4098" s="219"/>
      <c r="C4098" s="219"/>
      <c r="D4098" s="219"/>
      <c r="E4098" s="219"/>
      <c r="F4098" s="219"/>
      <c r="G4098" s="52">
        <f>G4092+G4094+G4095+G4096</f>
        <v>233042.50000000003</v>
      </c>
    </row>
    <row r="4099" spans="1:8" x14ac:dyDescent="0.25">
      <c r="A4099" s="59"/>
      <c r="B4099" s="60"/>
      <c r="C4099" s="60"/>
      <c r="D4099" s="60"/>
      <c r="E4099" s="57"/>
      <c r="F4099" s="57"/>
      <c r="G4099" s="58"/>
    </row>
    <row r="4100" spans="1:8" x14ac:dyDescent="0.25">
      <c r="A4100" s="64"/>
      <c r="D4100" s="55"/>
      <c r="E4100" s="49" t="s">
        <v>102</v>
      </c>
      <c r="F4100" s="49" t="s">
        <v>103</v>
      </c>
      <c r="G4100" s="51">
        <f>G4096*19%</f>
        <v>1771.123</v>
      </c>
    </row>
    <row r="4101" spans="1:8" x14ac:dyDescent="0.25">
      <c r="A4101" s="61"/>
      <c r="B4101" s="62"/>
      <c r="C4101" s="62"/>
      <c r="D4101" s="62"/>
      <c r="E4101" s="57"/>
      <c r="F4101" s="57"/>
      <c r="G4101" s="58"/>
    </row>
    <row r="4102" spans="1:8" x14ac:dyDescent="0.25">
      <c r="A4102" s="219" t="s">
        <v>104</v>
      </c>
      <c r="B4102" s="219"/>
      <c r="C4102" s="219"/>
      <c r="D4102" s="219"/>
      <c r="E4102" s="219"/>
      <c r="F4102" s="219"/>
      <c r="G4102" s="52">
        <f>G4100+G4098</f>
        <v>234813.62300000002</v>
      </c>
    </row>
    <row r="4104" spans="1:8" x14ac:dyDescent="0.25">
      <c r="A4104" s="74" t="s">
        <v>29</v>
      </c>
      <c r="B4104" s="226" t="s">
        <v>30</v>
      </c>
      <c r="C4104" s="226"/>
      <c r="D4104" s="74" t="s">
        <v>31</v>
      </c>
      <c r="E4104" s="74" t="s">
        <v>32</v>
      </c>
      <c r="F4104" s="74" t="s">
        <v>189</v>
      </c>
      <c r="G4104" s="74" t="s">
        <v>33</v>
      </c>
      <c r="H4104" s="105"/>
    </row>
    <row r="4105" spans="1:8" ht="21.75" customHeight="1" x14ac:dyDescent="0.25">
      <c r="A4105" s="50" t="str">
        <f>Presupuesto!B84</f>
        <v>068_OC</v>
      </c>
      <c r="B4105" s="229" t="str">
        <f>Presupuesto!C84</f>
        <v>TUBO PVC DE Ø1" Y ACCESORIOS</v>
      </c>
      <c r="C4105" s="230"/>
      <c r="D4105" s="50" t="s">
        <v>108</v>
      </c>
      <c r="E4105" s="107">
        <v>139</v>
      </c>
      <c r="F4105" s="50"/>
      <c r="G4105" s="51">
        <f>G4172</f>
        <v>15440.210500000001</v>
      </c>
      <c r="H4105" s="45"/>
    </row>
    <row r="4106" spans="1:8" x14ac:dyDescent="0.25">
      <c r="A4106" s="219" t="s">
        <v>34</v>
      </c>
      <c r="B4106" s="219"/>
      <c r="C4106" s="219"/>
      <c r="D4106" s="219"/>
      <c r="E4106" s="219"/>
      <c r="F4106" s="219"/>
      <c r="G4106" s="219"/>
    </row>
    <row r="4107" spans="1:8" x14ac:dyDescent="0.25">
      <c r="A4107" s="49" t="s">
        <v>35</v>
      </c>
      <c r="B4107" s="219" t="s">
        <v>36</v>
      </c>
      <c r="C4107" s="219"/>
      <c r="D4107" s="49" t="s">
        <v>37</v>
      </c>
      <c r="E4107" s="49" t="s">
        <v>38</v>
      </c>
      <c r="F4107" s="49" t="s">
        <v>39</v>
      </c>
      <c r="G4107" s="49" t="s">
        <v>40</v>
      </c>
    </row>
    <row r="4108" spans="1:8" x14ac:dyDescent="0.25">
      <c r="A4108" s="50" t="str">
        <f>Material!A505</f>
        <v>MA-504</v>
      </c>
      <c r="B4108" s="72" t="str">
        <f>IFERROR(VLOOKUP(A4108,Material!$A:$H,2,0),"-")</f>
        <v>TUBO PRESION 1"</v>
      </c>
      <c r="C4108" s="76"/>
      <c r="D4108" s="50" t="str">
        <f>IFERROR(VLOOKUP(A4108,Material!$A:$H,4,0),"-")</f>
        <v>ML</v>
      </c>
      <c r="E4108" s="107">
        <v>1</v>
      </c>
      <c r="F4108" s="51">
        <f>IFERROR(VLOOKUP(A4108,Material!$A:$H,3,0),"-")</f>
        <v>7127.9000000000005</v>
      </c>
      <c r="G4108" s="51">
        <f t="shared" ref="G4108:G4111" si="72">IFERROR(ROUNDUP(F4108*E4108,0),"-")</f>
        <v>7128</v>
      </c>
      <c r="H4108" s="106"/>
    </row>
    <row r="4109" spans="1:8" x14ac:dyDescent="0.25">
      <c r="A4109" s="50" t="str">
        <f>Material!A201</f>
        <v>MA-200</v>
      </c>
      <c r="B4109" s="72" t="str">
        <f>IFERROR(VLOOKUP(A4109,Material!$A:$H,2,0),"-")</f>
        <v>SOLDADURA PVC 1/4 GL</v>
      </c>
      <c r="C4109" s="76"/>
      <c r="D4109" s="50" t="str">
        <f>IFERROR(VLOOKUP(A4109,Material!$A:$H,4,0),"-")</f>
        <v>GALÓN</v>
      </c>
      <c r="E4109" s="107">
        <f>1/60</f>
        <v>1.6666666666666666E-2</v>
      </c>
      <c r="F4109" s="51">
        <f>IFERROR(VLOOKUP(A4109,Material!$A:$H,3,0),"-")</f>
        <v>88270</v>
      </c>
      <c r="G4109" s="51">
        <f t="shared" ref="G4109" si="73">IFERROR(ROUNDUP(F4109*E4109,0),"-")</f>
        <v>1472</v>
      </c>
      <c r="H4109" s="106"/>
    </row>
    <row r="4110" spans="1:8" x14ac:dyDescent="0.25">
      <c r="A4110" s="50" t="str">
        <f>Material!A253</f>
        <v>MA-252</v>
      </c>
      <c r="B4110" s="72" t="str">
        <f>IFERROR(VLOOKUP(A4110,Material!$A:$H,2,0),"-")</f>
        <v>LIMPIADOR DE TUBERÍA PVC 1/4 GL</v>
      </c>
      <c r="C4110" s="76"/>
      <c r="D4110" s="50" t="str">
        <f>IFERROR(VLOOKUP(A4110,Material!$A:$H,4,0),"-")</f>
        <v>GALÓN</v>
      </c>
      <c r="E4110" s="107">
        <f>1/60</f>
        <v>1.6666666666666666E-2</v>
      </c>
      <c r="F4110" s="51">
        <f>IFERROR(VLOOKUP(A4110,Material!$A:$H,3,0),"-")</f>
        <v>60970</v>
      </c>
      <c r="G4110" s="51">
        <f t="shared" si="72"/>
        <v>1017</v>
      </c>
      <c r="H4110" s="106"/>
    </row>
    <row r="4111" spans="1:8" x14ac:dyDescent="0.25">
      <c r="A4111" s="50" t="str">
        <f>Material!A506</f>
        <v>MA-505</v>
      </c>
      <c r="B4111" s="72" t="str">
        <f>IFERROR(VLOOKUP(A4111,Material!$A:$H,2,0),"-")</f>
        <v>CODO 90 PRESIÓN 1"</v>
      </c>
      <c r="C4111" s="76"/>
      <c r="D4111" s="50" t="str">
        <f>IFERROR(VLOOKUP(A4111,Material!$A:$H,4,0),"-")</f>
        <v>ML</v>
      </c>
      <c r="E4111" s="107">
        <f>1/20</f>
        <v>0.05</v>
      </c>
      <c r="F4111" s="51">
        <f>IFERROR(VLOOKUP(A4111,Material!$A:$H,3,0),"-")</f>
        <v>3770</v>
      </c>
      <c r="G4111" s="51">
        <f t="shared" si="72"/>
        <v>189</v>
      </c>
      <c r="H4111" s="106"/>
    </row>
    <row r="4112" spans="1:8" x14ac:dyDescent="0.25">
      <c r="A4112" s="50" t="str">
        <f>Material!A507</f>
        <v>MA-506</v>
      </c>
      <c r="B4112" s="72" t="str">
        <f>IFERROR(VLOOKUP(A4112,Material!$A:$H,2,0),"-")</f>
        <v>UNION PRESIÓN 1"</v>
      </c>
      <c r="C4112" s="76"/>
      <c r="D4112" s="50" t="str">
        <f>IFERROR(VLOOKUP(A4112,Material!$A:$H,4,0),"-")</f>
        <v>ML</v>
      </c>
      <c r="E4112" s="107">
        <f>1/20</f>
        <v>0.05</v>
      </c>
      <c r="F4112" s="51">
        <f>IFERROR(VLOOKUP(A4112,Material!$A:$H,3,0),"-")</f>
        <v>1560</v>
      </c>
      <c r="G4112" s="51">
        <f t="shared" ref="G4112" si="74">IFERROR(ROUNDUP(F4112*E4112,0),"-")</f>
        <v>78</v>
      </c>
      <c r="H4112" s="106"/>
    </row>
    <row r="4113" spans="1:9" x14ac:dyDescent="0.25">
      <c r="A4113" s="50" t="str">
        <f>Material!A673</f>
        <v>MA-672</v>
      </c>
      <c r="B4113" s="72" t="str">
        <f>IFERROR(VLOOKUP(A4113,Material!$A:$H,2,0),"-")</f>
        <v>BUJE SOLDADO PRESIÓN 1 - 1/2"</v>
      </c>
      <c r="C4113" s="76"/>
      <c r="D4113" s="50" t="str">
        <f>IFERROR(VLOOKUP(A4113,Material!$A:$H,4,0),"-")</f>
        <v>UN</v>
      </c>
      <c r="E4113" s="107">
        <f>1/20</f>
        <v>0.05</v>
      </c>
      <c r="F4113" s="51">
        <f>IFERROR(VLOOKUP(A4113,Material!$A:$H,3,0),"-")</f>
        <v>2665</v>
      </c>
      <c r="G4113" s="51">
        <f t="shared" ref="G4113" si="75">IFERROR(ROUNDUP(F4113*E4113,0),"-")</f>
        <v>134</v>
      </c>
      <c r="H4113" s="106"/>
    </row>
    <row r="4114" spans="1:9" x14ac:dyDescent="0.25">
      <c r="A4114" s="219" t="s">
        <v>41</v>
      </c>
      <c r="B4114" s="219"/>
      <c r="C4114" s="219"/>
      <c r="D4114" s="219"/>
      <c r="E4114" s="219"/>
      <c r="F4114" s="219"/>
      <c r="G4114" s="52">
        <f>SUM(G4108:G4113)</f>
        <v>10018</v>
      </c>
      <c r="I4114" s="104"/>
    </row>
    <row r="4115" spans="1:9" x14ac:dyDescent="0.25">
      <c r="A4115" s="56"/>
      <c r="B4115" s="57"/>
      <c r="C4115" s="57"/>
      <c r="D4115" s="57"/>
      <c r="E4115" s="57"/>
      <c r="F4115" s="57"/>
      <c r="G4115" s="58"/>
    </row>
    <row r="4116" spans="1:9" x14ac:dyDescent="0.25">
      <c r="A4116" s="219" t="s">
        <v>42</v>
      </c>
      <c r="B4116" s="219"/>
      <c r="C4116" s="219"/>
      <c r="D4116" s="219"/>
      <c r="E4116" s="219"/>
      <c r="F4116" s="219"/>
      <c r="G4116" s="219"/>
    </row>
    <row r="4117" spans="1:9" x14ac:dyDescent="0.25">
      <c r="A4117" s="49" t="s">
        <v>35</v>
      </c>
      <c r="B4117" s="49" t="s">
        <v>36</v>
      </c>
      <c r="C4117" s="49" t="s">
        <v>38</v>
      </c>
      <c r="D4117" s="49" t="s">
        <v>43</v>
      </c>
      <c r="E4117" s="49" t="s">
        <v>44</v>
      </c>
      <c r="F4117" s="49" t="s">
        <v>45</v>
      </c>
      <c r="G4117" s="49" t="s">
        <v>40</v>
      </c>
    </row>
    <row r="4118" spans="1:9" x14ac:dyDescent="0.25">
      <c r="A4118" s="50" t="s">
        <v>319</v>
      </c>
      <c r="B4118" s="68" t="str">
        <f>VLOOKUP(A4118,'Componentes APUs'!$H$1:$L$25,2,0)</f>
        <v>Ingeniero Residente de Obra</v>
      </c>
      <c r="C4118" s="93">
        <v>0</v>
      </c>
      <c r="D4118" s="50">
        <f>VLOOKUP(A4118,'Componentes APUs'!$H$1:$L$25,3,0)</f>
        <v>4</v>
      </c>
      <c r="E4118" s="51">
        <f>VLOOKUP(A4118,'Componentes APUs'!$H$1:$L$25,4,0)</f>
        <v>271142.85714285716</v>
      </c>
      <c r="F4118" s="51">
        <f>VLOOKUP(A4118,'Componentes APUs'!$H$1:$L$25,5,0)</f>
        <v>162685.71428571429</v>
      </c>
      <c r="G4118" s="51">
        <f>ROUNDUP((E4118+F4118)*C4118/E4105,0)</f>
        <v>0</v>
      </c>
      <c r="H4118" s="66"/>
    </row>
    <row r="4119" spans="1:9" x14ac:dyDescent="0.25">
      <c r="A4119" s="50" t="s">
        <v>320</v>
      </c>
      <c r="B4119" s="68" t="str">
        <f>VLOOKUP(A4119,'Componentes APUs'!$H$1:$L$25,2,0)</f>
        <v>Tecnico Supervisor</v>
      </c>
      <c r="C4119" s="93">
        <v>0</v>
      </c>
      <c r="D4119" s="50">
        <f>VLOOKUP(A4119,'Componentes APUs'!$H$1:$L$25,3,0)</f>
        <v>2.2999999999999998</v>
      </c>
      <c r="E4119" s="51">
        <f>VLOOKUP(A4119,'Componentes APUs'!$H$1:$L$25,4,0)</f>
        <v>155907.14285714284</v>
      </c>
      <c r="F4119" s="51">
        <f>VLOOKUP(A4119,'Componentes APUs'!$H$1:$L$25,5,0)</f>
        <v>93544.285714285696</v>
      </c>
      <c r="G4119" s="51">
        <f>ROUNDUP((E4119+F4119)*C4119/E4105,0)</f>
        <v>0</v>
      </c>
    </row>
    <row r="4120" spans="1:9" x14ac:dyDescent="0.25">
      <c r="A4120" s="50" t="s">
        <v>54</v>
      </c>
      <c r="B4120" s="68" t="str">
        <f>VLOOKUP(A4120,'Componentes APUs'!$H$1:$L$25,2,0)</f>
        <v>Maestro de obra civil</v>
      </c>
      <c r="C4120" s="93">
        <v>0</v>
      </c>
      <c r="D4120" s="50">
        <f>VLOOKUP(A4120,'Componentes APUs'!$H$1:$L$25,3,0)</f>
        <v>2.5</v>
      </c>
      <c r="E4120" s="51">
        <f>VLOOKUP(A4120,'Componentes APUs'!$H$1:$L$25,4,0)</f>
        <v>169464.28571428571</v>
      </c>
      <c r="F4120" s="51">
        <f>VLOOKUP(A4120,'Componentes APUs'!$H$1:$L$25,5,0)</f>
        <v>101678.57142857142</v>
      </c>
      <c r="G4120" s="51">
        <f>ROUNDUP((E4120+F4120)*C4120/E4105,0)</f>
        <v>0</v>
      </c>
    </row>
    <row r="4121" spans="1:9" x14ac:dyDescent="0.25">
      <c r="A4121" s="50" t="s">
        <v>1110</v>
      </c>
      <c r="B4121" s="68" t="str">
        <f>VLOOKUP(A4121,'Componentes APUs'!$H$1:$L$25,2,0)</f>
        <v>Oficial de Obra Civil</v>
      </c>
      <c r="C4121" s="93">
        <v>0.25</v>
      </c>
      <c r="D4121" s="50">
        <f>VLOOKUP(A4121,'Componentes APUs'!$H$1:$L$25,3,0)</f>
        <v>1.5</v>
      </c>
      <c r="E4121" s="51">
        <f>VLOOKUP(A4121,'Componentes APUs'!$H$1:$L$25,4,0)</f>
        <v>115964.28571428571</v>
      </c>
      <c r="F4121" s="51">
        <f>VLOOKUP(A4121,'Componentes APUs'!$H$1:$L$25,5,0)</f>
        <v>69578.57142857142</v>
      </c>
      <c r="G4121" s="51">
        <f>ROUNDUP((E4121+F4121)*C4121/E4105,0)</f>
        <v>334</v>
      </c>
    </row>
    <row r="4122" spans="1:9" x14ac:dyDescent="0.25">
      <c r="A4122" s="50" t="s">
        <v>50</v>
      </c>
      <c r="B4122" s="68" t="str">
        <f>VLOOKUP(A4122,'Componentes APUs'!$H$1:$L$25,2,0)</f>
        <v>Profesional en SST</v>
      </c>
      <c r="C4122" s="93">
        <v>0.25</v>
      </c>
      <c r="D4122" s="50">
        <f>VLOOKUP(A4122,'Componentes APUs'!$H$1:$L$25,3,0)</f>
        <v>2.5</v>
      </c>
      <c r="E4122" s="51">
        <f>VLOOKUP(A4122,'Componentes APUs'!$H$1:$L$25,4,0)</f>
        <v>169464.28571428571</v>
      </c>
      <c r="F4122" s="51">
        <f>VLOOKUP(A4122,'Componentes APUs'!$H$1:$L$25,5,0)</f>
        <v>101678.57142857142</v>
      </c>
      <c r="G4122" s="51">
        <f>ROUNDUP((E4122+F4122)*C4122/E4105,0)</f>
        <v>488</v>
      </c>
    </row>
    <row r="4123" spans="1:9" x14ac:dyDescent="0.25">
      <c r="A4123" s="50" t="s">
        <v>1109</v>
      </c>
      <c r="B4123" s="68" t="str">
        <f>VLOOKUP(A4123,'Componentes APUs'!$H$1:$L$25,2,0)</f>
        <v>Ayudante de Obra Civil</v>
      </c>
      <c r="C4123" s="93">
        <v>1</v>
      </c>
      <c r="D4123" s="50">
        <f>VLOOKUP(A4123,'Componentes APUs'!$H$1:$L$25,3,0)</f>
        <v>1</v>
      </c>
      <c r="E4123" s="51">
        <f>VLOOKUP(A4123,'Componentes APUs'!$H$1:$L$25,4,0)</f>
        <v>77309.523809523816</v>
      </c>
      <c r="F4123" s="51">
        <f>VLOOKUP(A4123,'Componentes APUs'!$H$1:$L$25,5,0)</f>
        <v>46385.71428571429</v>
      </c>
      <c r="G4123" s="51">
        <f>ROUNDUP((E4123+F4123)*C4123/E4105,0)</f>
        <v>890</v>
      </c>
    </row>
    <row r="4124" spans="1:9" x14ac:dyDescent="0.25">
      <c r="A4124" s="219" t="s">
        <v>56</v>
      </c>
      <c r="B4124" s="219"/>
      <c r="C4124" s="219"/>
      <c r="D4124" s="219"/>
      <c r="E4124" s="219"/>
      <c r="F4124" s="219"/>
      <c r="G4124" s="52">
        <f>SUM(G4118:G4123)</f>
        <v>1712</v>
      </c>
    </row>
    <row r="4125" spans="1:9" x14ac:dyDescent="0.25">
      <c r="A4125" s="56"/>
      <c r="B4125" s="57"/>
      <c r="C4125" s="57"/>
      <c r="D4125" s="57"/>
      <c r="E4125" s="57"/>
      <c r="F4125" s="57"/>
      <c r="G4125" s="58"/>
    </row>
    <row r="4126" spans="1:9" x14ac:dyDescent="0.25">
      <c r="A4126" s="219" t="s">
        <v>57</v>
      </c>
      <c r="B4126" s="219"/>
      <c r="C4126" s="219"/>
      <c r="D4126" s="219"/>
      <c r="E4126" s="219"/>
      <c r="F4126" s="219"/>
      <c r="G4126" s="219"/>
    </row>
    <row r="4127" spans="1:9" x14ac:dyDescent="0.25">
      <c r="A4127" s="49" t="s">
        <v>35</v>
      </c>
      <c r="B4127" s="219" t="s">
        <v>36</v>
      </c>
      <c r="C4127" s="219"/>
      <c r="D4127" s="49" t="s">
        <v>37</v>
      </c>
      <c r="E4127" s="49" t="s">
        <v>38</v>
      </c>
      <c r="F4127" s="49" t="s">
        <v>39</v>
      </c>
      <c r="G4127" s="49" t="s">
        <v>40</v>
      </c>
    </row>
    <row r="4128" spans="1:9" x14ac:dyDescent="0.25">
      <c r="A4128" s="50" t="s">
        <v>326</v>
      </c>
      <c r="B4128" s="220" t="str">
        <f>VLOOKUP(A4128,'Componentes APUs'!$S$1:$V$10,2,0)</f>
        <v>Juego Llaves</v>
      </c>
      <c r="C4128" s="220"/>
      <c r="D4128" s="50" t="s">
        <v>18</v>
      </c>
      <c r="E4128" s="50">
        <v>0</v>
      </c>
      <c r="F4128" s="51">
        <f>VLOOKUP(A4128,'Componentes APUs'!$S$1:$V$10,4,0)</f>
        <v>9167</v>
      </c>
      <c r="G4128" s="51">
        <f>ROUNDUP(F4128*((E4128/21)/E4105),0)</f>
        <v>0</v>
      </c>
      <c r="I4128" s="91"/>
    </row>
    <row r="4129" spans="1:9" x14ac:dyDescent="0.25">
      <c r="A4129" s="50" t="s">
        <v>58</v>
      </c>
      <c r="B4129" s="220" t="str">
        <f>VLOOKUP(A4129,'Componentes APUs'!$S$1:$V$10,2,0)</f>
        <v>Manila de servicio</v>
      </c>
      <c r="C4129" s="220"/>
      <c r="D4129" s="50" t="s">
        <v>18</v>
      </c>
      <c r="E4129" s="50">
        <v>0</v>
      </c>
      <c r="F4129" s="51">
        <f>VLOOKUP(A4129,'Componentes APUs'!$S$1:$V$10,4,0)</f>
        <v>2333</v>
      </c>
      <c r="G4129" s="51">
        <f>ROUNDUP(F4129*((E4129/21)/E4105),0)</f>
        <v>0</v>
      </c>
    </row>
    <row r="4130" spans="1:9" x14ac:dyDescent="0.25">
      <c r="A4130" s="50" t="s">
        <v>327</v>
      </c>
      <c r="B4130" s="220" t="str">
        <f>VLOOKUP(A4130,'Componentes APUs'!$S$1:$V$10,2,0)</f>
        <v>Tula portaherramientas</v>
      </c>
      <c r="C4130" s="220"/>
      <c r="D4130" s="50" t="s">
        <v>18</v>
      </c>
      <c r="E4130" s="50">
        <v>0</v>
      </c>
      <c r="F4130" s="51">
        <f>VLOOKUP(A4130,'Componentes APUs'!$S$1:$V$10,4,0)</f>
        <v>1250</v>
      </c>
      <c r="G4130" s="51">
        <f>ROUNDUP(F4130*((E4130/21)/E4105),0)</f>
        <v>0</v>
      </c>
    </row>
    <row r="4131" spans="1:9" x14ac:dyDescent="0.25">
      <c r="A4131" s="50" t="s">
        <v>60</v>
      </c>
      <c r="B4131" s="220" t="str">
        <f>VLOOKUP(A4131,'Componentes APUs'!$S$1:$V$10,2,0)</f>
        <v>Agarradoras</v>
      </c>
      <c r="C4131" s="220"/>
      <c r="D4131" s="50" t="s">
        <v>18</v>
      </c>
      <c r="E4131" s="50">
        <v>0</v>
      </c>
      <c r="F4131" s="51">
        <f>VLOOKUP(A4131,'Componentes APUs'!$S$1:$V$10,4,0)</f>
        <v>125000</v>
      </c>
      <c r="G4131" s="51">
        <f>ROUNDUP(F4131*((E4131/21)/E4105),0)</f>
        <v>0</v>
      </c>
    </row>
    <row r="4132" spans="1:9" x14ac:dyDescent="0.25">
      <c r="A4132" s="50" t="s">
        <v>62</v>
      </c>
      <c r="B4132" s="220" t="str">
        <f>VLOOKUP(A4132,'Componentes APUs'!$S$1:$V$10,2,0)</f>
        <v>Templadoras</v>
      </c>
      <c r="C4132" s="220"/>
      <c r="D4132" s="50" t="s">
        <v>18</v>
      </c>
      <c r="E4132" s="50">
        <v>0</v>
      </c>
      <c r="F4132" s="51">
        <f>VLOOKUP(A4132,'Componentes APUs'!$S$1:$V$10,4,0)</f>
        <v>250000</v>
      </c>
      <c r="G4132" s="51">
        <f>ROUNDUP(F4132*((E4132/21)/E4105),0)</f>
        <v>0</v>
      </c>
    </row>
    <row r="4133" spans="1:9" x14ac:dyDescent="0.25">
      <c r="A4133" s="50" t="s">
        <v>328</v>
      </c>
      <c r="B4133" s="220" t="str">
        <f>VLOOKUP(A4133,'Componentes APUs'!$S$1:$V$10,2,0)</f>
        <v>Herramienta Menor</v>
      </c>
      <c r="C4133" s="220"/>
      <c r="D4133" s="50" t="s">
        <v>18</v>
      </c>
      <c r="E4133" s="50">
        <v>1</v>
      </c>
      <c r="F4133" s="51">
        <f>VLOOKUP(A4133,'Componentes APUs'!$S$1:$V$10,4,0)</f>
        <v>75758</v>
      </c>
      <c r="G4133" s="51">
        <f>ROUNDUP(F4133*((E4133/21)/E4105),0)</f>
        <v>26</v>
      </c>
    </row>
    <row r="4134" spans="1:9" x14ac:dyDescent="0.25">
      <c r="A4134" s="219" t="s">
        <v>69</v>
      </c>
      <c r="B4134" s="219"/>
      <c r="C4134" s="219"/>
      <c r="D4134" s="219"/>
      <c r="E4134" s="219"/>
      <c r="F4134" s="219"/>
      <c r="G4134" s="52">
        <f>SUM(G4128:G4133)</f>
        <v>26</v>
      </c>
    </row>
    <row r="4135" spans="1:9" x14ac:dyDescent="0.25">
      <c r="A4135" s="56"/>
      <c r="B4135" s="57"/>
      <c r="C4135" s="57"/>
      <c r="D4135" s="57"/>
      <c r="E4135" s="57"/>
      <c r="F4135" s="57"/>
      <c r="G4135" s="58"/>
    </row>
    <row r="4136" spans="1:9" x14ac:dyDescent="0.25">
      <c r="A4136" s="219" t="s">
        <v>70</v>
      </c>
      <c r="B4136" s="219"/>
      <c r="C4136" s="219"/>
      <c r="D4136" s="219"/>
      <c r="E4136" s="219"/>
      <c r="F4136" s="219"/>
      <c r="G4136" s="219"/>
    </row>
    <row r="4137" spans="1:9" x14ac:dyDescent="0.25">
      <c r="A4137" s="49" t="s">
        <v>35</v>
      </c>
      <c r="B4137" s="219" t="s">
        <v>36</v>
      </c>
      <c r="C4137" s="219"/>
      <c r="D4137" s="49" t="s">
        <v>37</v>
      </c>
      <c r="E4137" s="49" t="s">
        <v>38</v>
      </c>
      <c r="F4137" s="49" t="s">
        <v>39</v>
      </c>
      <c r="G4137" s="49" t="s">
        <v>40</v>
      </c>
    </row>
    <row r="4138" spans="1:9" x14ac:dyDescent="0.25">
      <c r="A4138" s="50" t="s">
        <v>71</v>
      </c>
      <c r="B4138" s="72" t="str">
        <f>VLOOKUP(A4138,'Componentes APUs'!$A$1:$D$14,2,0)</f>
        <v>Camisa indigo sin partes metalicas</v>
      </c>
      <c r="C4138" s="73"/>
      <c r="D4138" s="50" t="str">
        <f>VLOOKUP(A4138,'Componentes APUs'!$A$1:$D$14,3,0)</f>
        <v>U</v>
      </c>
      <c r="E4138" s="50">
        <f>SUM(C4118:C4123)</f>
        <v>1.5</v>
      </c>
      <c r="F4138" s="51">
        <f>VLOOKUP(A4138,'Componentes APUs'!$A$1:$D$14,4,0)</f>
        <v>8585.8585858585866</v>
      </c>
      <c r="G4138" s="51">
        <f>ROUNDUP(F4138*(E4138/21)/E4105,0)</f>
        <v>5</v>
      </c>
      <c r="I4138" s="91"/>
    </row>
    <row r="4139" spans="1:9" x14ac:dyDescent="0.25">
      <c r="A4139" s="69" t="s">
        <v>73</v>
      </c>
      <c r="B4139" s="72" t="str">
        <f>VLOOKUP(A4139,'Componentes APUs'!$A$1:$D$14,2,0)</f>
        <v>Bota de seguridad dielectrica</v>
      </c>
      <c r="C4139" s="73"/>
      <c r="D4139" s="70" t="str">
        <f>VLOOKUP(A4139,'Componentes APUs'!$A$1:$D$14,3,0)</f>
        <v>Par</v>
      </c>
      <c r="E4139" s="50">
        <f>SUM(C4118:C4123)</f>
        <v>1.5</v>
      </c>
      <c r="F4139" s="51">
        <f>VLOOKUP(A4139,'Componentes APUs'!$A$1:$D$14,4,0)</f>
        <v>7500</v>
      </c>
      <c r="G4139" s="51">
        <f>ROUNDUP(F4139*(E4139/21)/E4105,0)</f>
        <v>4</v>
      </c>
    </row>
    <row r="4140" spans="1:9" x14ac:dyDescent="0.25">
      <c r="A4140" s="50" t="s">
        <v>76</v>
      </c>
      <c r="B4140" s="72" t="str">
        <f>VLOOKUP(A4140,'Componentes APUs'!$A$1:$D$14,2,0)</f>
        <v>Casco dielectrico Tipo 1 Clase E con barbuquejo</v>
      </c>
      <c r="C4140" s="73"/>
      <c r="D4140" s="50" t="str">
        <f>VLOOKUP(A4140,'Componentes APUs'!$A$1:$D$14,3,0)</f>
        <v>U</v>
      </c>
      <c r="E4140" s="50">
        <f>C4118+C4119+C4121+C4122+C4123+IF(A4120&lt;&gt;"MO-3",C4120,0)</f>
        <v>1.5</v>
      </c>
      <c r="F4140" s="51">
        <f>VLOOKUP(A4140,'Componentes APUs'!$A$1:$D$14,4,0)</f>
        <v>10101.010101010101</v>
      </c>
      <c r="G4140" s="51">
        <f>ROUNDUP(F4140*(E4140/21)/E4105,0)</f>
        <v>6</v>
      </c>
    </row>
    <row r="4141" spans="1:9" x14ac:dyDescent="0.25">
      <c r="A4141" s="69" t="s">
        <v>77</v>
      </c>
      <c r="B4141" s="72" t="str">
        <f>VLOOKUP(A4141,'Componentes APUs'!$A$1:$D$14,2,0)</f>
        <v>Correa plastica y antiflama</v>
      </c>
      <c r="C4141" s="73"/>
      <c r="D4141" s="50" t="str">
        <f>VLOOKUP(A4141,'Componentes APUs'!$A$1:$D$14,3,0)</f>
        <v>U</v>
      </c>
      <c r="E4141" s="50">
        <f>SUM(C4118:C4123)</f>
        <v>1.5</v>
      </c>
      <c r="F4141" s="51">
        <f>VLOOKUP(A4141,'Componentes APUs'!$A$1:$D$14,4,0)</f>
        <v>3787.878787878788</v>
      </c>
      <c r="G4141" s="51">
        <f>ROUNDUP(F4141*(E4141/21)/E4105,0)</f>
        <v>2</v>
      </c>
    </row>
    <row r="4142" spans="1:9" x14ac:dyDescent="0.25">
      <c r="A4142" s="50" t="s">
        <v>79</v>
      </c>
      <c r="B4142" s="72" t="str">
        <f>VLOOKUP(A4142,'Componentes APUs'!$A$1:$D$14,2,0)</f>
        <v>Gafas protectoras filtro UV</v>
      </c>
      <c r="C4142" s="73"/>
      <c r="D4142" s="50" t="str">
        <f>VLOOKUP(A4142,'Componentes APUs'!$A$1:$D$14,3,0)</f>
        <v>U</v>
      </c>
      <c r="E4142" s="50">
        <f>SUM(C4118:C4123)</f>
        <v>1.5</v>
      </c>
      <c r="F4142" s="51">
        <f>VLOOKUP(A4142,'Componentes APUs'!$A$1:$D$14,4,0)</f>
        <v>2777.7777777777778</v>
      </c>
      <c r="G4142" s="51">
        <f>ROUNDUP(F4142*(E4142/21)/E4105,0)</f>
        <v>2</v>
      </c>
    </row>
    <row r="4143" spans="1:9" x14ac:dyDescent="0.25">
      <c r="A4143" s="69" t="s">
        <v>402</v>
      </c>
      <c r="B4143" s="72" t="str">
        <f>VLOOKUP(A4143,'Componentes APUs'!$A$1:$D$14,2,0)</f>
        <v>Bota de seguridad PVC dielectrica</v>
      </c>
      <c r="C4143" s="73"/>
      <c r="D4143" s="50" t="str">
        <f>VLOOKUP(A4143,'Componentes APUs'!$A$1:$D$14,3,0)</f>
        <v>Par</v>
      </c>
      <c r="E4143" s="50">
        <f>SUM(C4118:C4123)</f>
        <v>1.5</v>
      </c>
      <c r="F4143" s="51">
        <f>VLOOKUP(A4143,'Componentes APUs'!$A$1:$D$14,4,0)</f>
        <v>2916.6666666666665</v>
      </c>
      <c r="G4143" s="51">
        <f>ROUNDUP(F4143*(E4143/21)/E4105,0)</f>
        <v>2</v>
      </c>
    </row>
    <row r="4144" spans="1:9" x14ac:dyDescent="0.25">
      <c r="A4144" s="50" t="s">
        <v>403</v>
      </c>
      <c r="B4144" s="72" t="str">
        <f>VLOOKUP(A4144,'Componentes APUs'!$A$1:$D$14,2,0)</f>
        <v>Capuchon</v>
      </c>
      <c r="C4144" s="73"/>
      <c r="D4144" s="50" t="str">
        <f>VLOOKUP(A4144,'Componentes APUs'!$A$1:$D$14,3,0)</f>
        <v>U</v>
      </c>
      <c r="E4144" s="50">
        <f>SUM(C4118:C4123)</f>
        <v>1.5</v>
      </c>
      <c r="F4144" s="51">
        <f>VLOOKUP(A4144,'Componentes APUs'!$A$1:$D$14,4,0)</f>
        <v>2525.2525252525252</v>
      </c>
      <c r="G4144" s="51">
        <f>ROUNDUP(F4144*(E4144/21)/E4105,0)</f>
        <v>2</v>
      </c>
    </row>
    <row r="4145" spans="1:7" x14ac:dyDescent="0.25">
      <c r="A4145" s="69" t="s">
        <v>81</v>
      </c>
      <c r="B4145" s="72" t="str">
        <f>VLOOKUP(A4145,'Componentes APUs'!$A$1:$D$14,2,0)</f>
        <v>Guantes Protectores  - ingeniero reforzados</v>
      </c>
      <c r="C4145" s="73"/>
      <c r="D4145" s="50" t="str">
        <f>VLOOKUP(A4145,'Componentes APUs'!$A$1:$D$14,3,0)</f>
        <v>Par</v>
      </c>
      <c r="E4145" s="50">
        <f>C4120+C4121+C4123</f>
        <v>1.25</v>
      </c>
      <c r="F4145" s="51">
        <f>VLOOKUP(A4145,'Componentes APUs'!$A$1:$D$14,4,0)</f>
        <v>2525.2525252525252</v>
      </c>
      <c r="G4145" s="51">
        <f>ROUNDUP(F4145*(E4145/21)/E4105,0)</f>
        <v>2</v>
      </c>
    </row>
    <row r="4146" spans="1:7" x14ac:dyDescent="0.25">
      <c r="A4146" s="50" t="s">
        <v>83</v>
      </c>
      <c r="B4146" s="72" t="str">
        <f>VLOOKUP(A4146,'Componentes APUs'!$A$1:$D$14,2,0)</f>
        <v>Impermeable (pantalon camisa)</v>
      </c>
      <c r="C4146" s="73"/>
      <c r="D4146" s="50" t="str">
        <f>VLOOKUP(A4146,'Componentes APUs'!$A$1:$D$14,3,0)</f>
        <v>U</v>
      </c>
      <c r="E4146" s="50">
        <f>SUM(C4118:C4123)</f>
        <v>1.5</v>
      </c>
      <c r="F4146" s="51">
        <f>VLOOKUP(A4146,'Componentes APUs'!$A$1:$D$14,4,0)</f>
        <v>3750</v>
      </c>
      <c r="G4146" s="51">
        <f>ROUNDUP(F4146*(E4146/21)/E4105,0)</f>
        <v>2</v>
      </c>
    </row>
    <row r="4147" spans="1:7" x14ac:dyDescent="0.25">
      <c r="A4147" s="69" t="s">
        <v>85</v>
      </c>
      <c r="B4147" s="72" t="str">
        <f>VLOOKUP(A4147,'Componentes APUs'!$A$1:$D$14,2,0)</f>
        <v>Jean Dielectrico</v>
      </c>
      <c r="C4147" s="73"/>
      <c r="D4147" s="50" t="str">
        <f>VLOOKUP(A4147,'Componentes APUs'!$A$1:$D$14,3,0)</f>
        <v>U</v>
      </c>
      <c r="E4147" s="50">
        <f>SUM(C4118:C4123)</f>
        <v>1.5</v>
      </c>
      <c r="F4147" s="51">
        <f>VLOOKUP(A4147,'Componentes APUs'!$A$1:$D$14,4,0)</f>
        <v>7575.757575757576</v>
      </c>
      <c r="G4147" s="51">
        <f>ROUNDUP(F4147*(E4147/21)/E4105,0)</f>
        <v>4</v>
      </c>
    </row>
    <row r="4148" spans="1:7" x14ac:dyDescent="0.25">
      <c r="A4148" s="50" t="s">
        <v>87</v>
      </c>
      <c r="B4148" s="72" t="str">
        <f>VLOOKUP(A4148,'Componentes APUs'!$A$1:$D$14,2,0)</f>
        <v>Casco dielectrico Tipo 2 Clase E con barboquejo</v>
      </c>
      <c r="C4148" s="73"/>
      <c r="D4148" s="50" t="str">
        <f>VLOOKUP(A4148,'Componentes APUs'!$A$1:$D$14,3,0)</f>
        <v>U</v>
      </c>
      <c r="E4148" s="53">
        <f>IF(A4120="MO-3",C4120,0)</f>
        <v>0</v>
      </c>
      <c r="F4148" s="51">
        <f>VLOOKUP(A4148,'Componentes APUs'!$A$1:$D$14,4,0)</f>
        <v>7500</v>
      </c>
      <c r="G4148" s="51">
        <f>ROUNDUP(F4148*(E4148/21)/E4105,0)</f>
        <v>0</v>
      </c>
    </row>
    <row r="4149" spans="1:7" x14ac:dyDescent="0.25">
      <c r="A4149" s="69" t="s">
        <v>89</v>
      </c>
      <c r="B4149" s="72" t="str">
        <f>VLOOKUP(A4149,'Componentes APUs'!$A$1:$D$14,2,0)</f>
        <v>Kit de rescate para trabajo en alturas</v>
      </c>
      <c r="C4149" s="73"/>
      <c r="D4149" s="50" t="str">
        <f>VLOOKUP(A4149,'Componentes APUs'!$A$1:$D$14,3,0)</f>
        <v>U</v>
      </c>
      <c r="E4149" s="50">
        <f>IF(AND(A4120="MO-3",C4120=2),1,0)</f>
        <v>0</v>
      </c>
      <c r="F4149" s="51">
        <f>VLOOKUP(A4149,'Componentes APUs'!$A$1:$D$14,4,0)</f>
        <v>37500</v>
      </c>
      <c r="G4149" s="51">
        <f>ROUNDUP(F4149*(E4149/21)/E4105,0)</f>
        <v>0</v>
      </c>
    </row>
    <row r="4150" spans="1:7" x14ac:dyDescent="0.25">
      <c r="A4150" s="50" t="s">
        <v>91</v>
      </c>
      <c r="B4150" s="72" t="str">
        <f>VLOOKUP(A4150,'Componentes APUs'!$A$1:$D$14,2,0)</f>
        <v>Equipo completo para trabajo en alturas con pretales (Arnes dielectrico, 1 mosqueton de seguridad, tie off dielectrico, eslinga de posicionamiento, juego de pretales)</v>
      </c>
      <c r="C4150" s="73"/>
      <c r="D4150" s="50" t="str">
        <f>VLOOKUP(A4150,'Componentes APUs'!$A$1:$D$14,3,0)</f>
        <v>U</v>
      </c>
      <c r="E4150" s="50">
        <f>IF(A4120="MO-3",C4120,0)</f>
        <v>0</v>
      </c>
      <c r="F4150" s="51">
        <f>VLOOKUP(A4150,'Componentes APUs'!$A$1:$D$14,4,0)</f>
        <v>26041.666666666668</v>
      </c>
      <c r="G4150" s="51">
        <f>ROUNDUP(F4150*(E4150/21)/E4105,0)</f>
        <v>0</v>
      </c>
    </row>
    <row r="4151" spans="1:7" x14ac:dyDescent="0.25">
      <c r="A4151" s="219" t="s">
        <v>95</v>
      </c>
      <c r="B4151" s="219"/>
      <c r="C4151" s="219"/>
      <c r="D4151" s="219"/>
      <c r="E4151" s="219"/>
      <c r="F4151" s="219"/>
      <c r="G4151" s="52">
        <f>SUM(G4138:G4150)</f>
        <v>31</v>
      </c>
    </row>
    <row r="4152" spans="1:7" x14ac:dyDescent="0.25">
      <c r="A4152" s="56"/>
      <c r="B4152" s="57"/>
      <c r="C4152" s="57"/>
      <c r="D4152" s="57"/>
      <c r="E4152" s="57"/>
      <c r="F4152" s="57"/>
      <c r="G4152" s="58"/>
    </row>
    <row r="4153" spans="1:7" x14ac:dyDescent="0.25">
      <c r="A4153" s="219" t="s">
        <v>96</v>
      </c>
      <c r="B4153" s="219"/>
      <c r="C4153" s="219"/>
      <c r="D4153" s="219"/>
      <c r="E4153" s="219"/>
      <c r="F4153" s="219"/>
      <c r="G4153" s="219"/>
    </row>
    <row r="4154" spans="1:7" x14ac:dyDescent="0.25">
      <c r="A4154" s="49" t="s">
        <v>35</v>
      </c>
      <c r="B4154" s="225" t="s">
        <v>36</v>
      </c>
      <c r="C4154" s="225"/>
      <c r="D4154" s="49" t="s">
        <v>37</v>
      </c>
      <c r="E4154" s="49" t="s">
        <v>38</v>
      </c>
      <c r="F4154" s="49" t="s">
        <v>39</v>
      </c>
      <c r="G4154" s="49" t="s">
        <v>40</v>
      </c>
    </row>
    <row r="4155" spans="1:7" x14ac:dyDescent="0.25">
      <c r="A4155" s="69" t="s">
        <v>97</v>
      </c>
      <c r="B4155" s="72" t="str">
        <f>VLOOKUP(A4155,'Componentes APUs'!$N$1:$Q$30,2,0)</f>
        <v>Camioneta</v>
      </c>
      <c r="C4155" s="73"/>
      <c r="D4155" s="70" t="str">
        <f>VLOOKUP(A4155,'Componentes APUs'!$N$1:$Q$30,3,0)</f>
        <v>U</v>
      </c>
      <c r="E4155" s="50">
        <v>0.25</v>
      </c>
      <c r="F4155" s="51">
        <f>VLOOKUP(A4155,'Componentes APUs'!$N$1:$Q$30,4,0)</f>
        <v>5500000</v>
      </c>
      <c r="G4155" s="51">
        <f>IFERROR(ROUNDUP(F4155*(E4155/21)/E4105,0),"-")</f>
        <v>472</v>
      </c>
    </row>
    <row r="4156" spans="1:7" x14ac:dyDescent="0.25">
      <c r="A4156" s="50" t="s">
        <v>321</v>
      </c>
      <c r="B4156" s="72" t="str">
        <f>VLOOKUP(A4156,'Componentes APUs'!$N$1:$Q$30,2,0)</f>
        <v>Grúa Hidráulica</v>
      </c>
      <c r="C4156" s="73"/>
      <c r="D4156" s="70" t="str">
        <f>VLOOKUP(A4156,'Componentes APUs'!$N$1:$Q$30,3,0)</f>
        <v>U</v>
      </c>
      <c r="E4156" s="50">
        <v>0</v>
      </c>
      <c r="F4156" s="51">
        <f>VLOOKUP(A4156,'Componentes APUs'!$N$1:$Q$30,4,0)</f>
        <v>21000000</v>
      </c>
      <c r="G4156" s="51">
        <f>IFERROR(ROUNDUP(F4156*(E4156/21)/E4105,0),"-")</f>
        <v>0</v>
      </c>
    </row>
    <row r="4157" spans="1:7" x14ac:dyDescent="0.25">
      <c r="A4157" s="69" t="s">
        <v>1379</v>
      </c>
      <c r="B4157" s="72" t="str">
        <f>VLOOKUP(A4157,'Componentes APUs'!$N$1:$Q$30,2,0)</f>
        <v>Dumper de descarga Frontal 2T</v>
      </c>
      <c r="C4157" s="73"/>
      <c r="D4157" s="70" t="str">
        <f>VLOOKUP(A4157,'Componentes APUs'!$N$1:$Q$30,3,0)</f>
        <v>U</v>
      </c>
      <c r="E4157" s="50">
        <v>0</v>
      </c>
      <c r="F4157" s="51">
        <f>VLOOKUP(A4157,'Componentes APUs'!$N$1:$Q$30,4,0)</f>
        <v>4438716.24</v>
      </c>
      <c r="G4157" s="51">
        <f>IFERROR(ROUNDUP(F4157*(E4157/21)/E4105,0),"-")</f>
        <v>0</v>
      </c>
    </row>
    <row r="4158" spans="1:7" x14ac:dyDescent="0.25">
      <c r="A4158" s="50" t="s">
        <v>323</v>
      </c>
      <c r="B4158" s="72" t="str">
        <f>VLOOKUP(A4158,'Componentes APUs'!$N$1:$Q$30,2,0)</f>
        <v>Volqueta</v>
      </c>
      <c r="C4158" s="73"/>
      <c r="D4158" s="70" t="str">
        <f>VLOOKUP(A4158,'Componentes APUs'!$N$1:$Q$30,3,0)</f>
        <v>U</v>
      </c>
      <c r="E4158" s="50">
        <v>0</v>
      </c>
      <c r="F4158" s="51">
        <f>VLOOKUP(A4158,'Componentes APUs'!$N$1:$Q$30,4,0)</f>
        <v>14828184</v>
      </c>
      <c r="G4158" s="51">
        <f>IFERROR(ROUNDUP(F4158*(E4158/21)/E4105,0),"-")</f>
        <v>0</v>
      </c>
    </row>
    <row r="4159" spans="1:7" x14ac:dyDescent="0.25">
      <c r="A4159" s="69" t="s">
        <v>324</v>
      </c>
      <c r="B4159" s="72" t="str">
        <f>VLOOKUP(A4159,'Componentes APUs'!$N$1:$Q$30,2,0)</f>
        <v>Retroexcavadora</v>
      </c>
      <c r="C4159" s="73"/>
      <c r="D4159" s="70" t="str">
        <f>VLOOKUP(A4159,'Componentes APUs'!$N$1:$Q$30,3,0)</f>
        <v>U</v>
      </c>
      <c r="E4159" s="50">
        <v>0</v>
      </c>
      <c r="F4159" s="51">
        <f>VLOOKUP(A4159,'Componentes APUs'!$N$1:$Q$30,4,0)</f>
        <v>46030656</v>
      </c>
      <c r="G4159" s="51">
        <f>IFERROR(ROUNDUP(F4159*(E4159/21)/E4105,0),"-")</f>
        <v>0</v>
      </c>
    </row>
    <row r="4160" spans="1:7" x14ac:dyDescent="0.25">
      <c r="A4160" s="219" t="s">
        <v>99</v>
      </c>
      <c r="B4160" s="219"/>
      <c r="C4160" s="219"/>
      <c r="D4160" s="219"/>
      <c r="E4160" s="219"/>
      <c r="F4160" s="219"/>
      <c r="G4160" s="52">
        <f>SUM(G4155:G4159)</f>
        <v>472</v>
      </c>
    </row>
    <row r="4161" spans="1:8" x14ac:dyDescent="0.25">
      <c r="A4161" s="56"/>
      <c r="B4161" s="57"/>
      <c r="C4161" s="57"/>
      <c r="D4161" s="57"/>
      <c r="E4161" s="57"/>
      <c r="F4161" s="57"/>
      <c r="G4161" s="58"/>
    </row>
    <row r="4162" spans="1:8" x14ac:dyDescent="0.25">
      <c r="A4162" s="219" t="s">
        <v>1516</v>
      </c>
      <c r="B4162" s="219"/>
      <c r="C4162" s="219"/>
      <c r="D4162" s="219"/>
      <c r="E4162" s="219"/>
      <c r="F4162" s="219"/>
      <c r="G4162" s="52">
        <f>G4160+G4151+G4134+G4124+G4114</f>
        <v>12259</v>
      </c>
    </row>
    <row r="4163" spans="1:8" x14ac:dyDescent="0.25">
      <c r="A4163" s="59"/>
      <c r="B4163" s="60"/>
      <c r="C4163" s="60"/>
      <c r="D4163" s="60"/>
      <c r="E4163" s="57"/>
      <c r="F4163" s="57"/>
      <c r="G4163" s="58"/>
    </row>
    <row r="4164" spans="1:8" x14ac:dyDescent="0.25">
      <c r="A4164" s="64"/>
      <c r="D4164" s="55"/>
      <c r="E4164" s="49" t="s">
        <v>25</v>
      </c>
      <c r="F4164" s="54">
        <v>0.15</v>
      </c>
      <c r="G4164" s="51">
        <f>G4162*F4164</f>
        <v>1838.85</v>
      </c>
    </row>
    <row r="4165" spans="1:8" x14ac:dyDescent="0.25">
      <c r="A4165" s="64"/>
      <c r="D4165" s="55"/>
      <c r="E4165" s="49" t="s">
        <v>26</v>
      </c>
      <c r="F4165" s="54">
        <v>0.05</v>
      </c>
      <c r="G4165" s="51">
        <f>G4162*F4165</f>
        <v>612.95000000000005</v>
      </c>
    </row>
    <row r="4166" spans="1:8" x14ac:dyDescent="0.25">
      <c r="A4166" s="61"/>
      <c r="B4166" s="65"/>
      <c r="C4166" s="65"/>
      <c r="D4166" s="62"/>
      <c r="E4166" s="49" t="s">
        <v>27</v>
      </c>
      <c r="F4166" s="54">
        <v>0.05</v>
      </c>
      <c r="G4166" s="51">
        <f>G4162*F4166</f>
        <v>612.95000000000005</v>
      </c>
    </row>
    <row r="4167" spans="1:8" x14ac:dyDescent="0.25">
      <c r="A4167" s="61"/>
      <c r="B4167" s="62"/>
      <c r="C4167" s="62"/>
      <c r="D4167" s="62"/>
      <c r="E4167" s="62"/>
      <c r="F4167" s="62"/>
      <c r="G4167" s="63"/>
    </row>
    <row r="4168" spans="1:8" x14ac:dyDescent="0.25">
      <c r="A4168" s="219" t="s">
        <v>1517</v>
      </c>
      <c r="B4168" s="219"/>
      <c r="C4168" s="219"/>
      <c r="D4168" s="219"/>
      <c r="E4168" s="219"/>
      <c r="F4168" s="219"/>
      <c r="G4168" s="52">
        <f>G4162+G4164+G4165+G4166</f>
        <v>15323.750000000002</v>
      </c>
    </row>
    <row r="4169" spans="1:8" x14ac:dyDescent="0.25">
      <c r="A4169" s="59"/>
      <c r="B4169" s="60"/>
      <c r="C4169" s="60"/>
      <c r="D4169" s="60"/>
      <c r="E4169" s="57"/>
      <c r="F4169" s="57"/>
      <c r="G4169" s="58"/>
    </row>
    <row r="4170" spans="1:8" x14ac:dyDescent="0.25">
      <c r="A4170" s="64"/>
      <c r="D4170" s="55"/>
      <c r="E4170" s="49" t="s">
        <v>102</v>
      </c>
      <c r="F4170" s="49" t="s">
        <v>103</v>
      </c>
      <c r="G4170" s="51">
        <f>G4166*19%</f>
        <v>116.46050000000001</v>
      </c>
    </row>
    <row r="4171" spans="1:8" x14ac:dyDescent="0.25">
      <c r="A4171" s="61"/>
      <c r="B4171" s="62"/>
      <c r="C4171" s="62"/>
      <c r="D4171" s="62"/>
      <c r="E4171" s="57"/>
      <c r="F4171" s="57"/>
      <c r="G4171" s="58"/>
    </row>
    <row r="4172" spans="1:8" x14ac:dyDescent="0.25">
      <c r="A4172" s="219" t="s">
        <v>104</v>
      </c>
      <c r="B4172" s="219"/>
      <c r="C4172" s="219"/>
      <c r="D4172" s="219"/>
      <c r="E4172" s="219"/>
      <c r="F4172" s="219"/>
      <c r="G4172" s="52">
        <f>G4170+G4168</f>
        <v>15440.210500000001</v>
      </c>
    </row>
    <row r="4174" spans="1:8" x14ac:dyDescent="0.25">
      <c r="A4174" s="74" t="s">
        <v>29</v>
      </c>
      <c r="B4174" s="226" t="s">
        <v>30</v>
      </c>
      <c r="C4174" s="226"/>
      <c r="D4174" s="74" t="s">
        <v>31</v>
      </c>
      <c r="E4174" s="74" t="s">
        <v>32</v>
      </c>
      <c r="F4174" s="74" t="s">
        <v>189</v>
      </c>
      <c r="G4174" s="74" t="s">
        <v>33</v>
      </c>
      <c r="H4174" s="105"/>
    </row>
    <row r="4175" spans="1:8" ht="21.75" customHeight="1" x14ac:dyDescent="0.25">
      <c r="A4175" s="50" t="str">
        <f>Presupuesto!B85</f>
        <v>069_OC</v>
      </c>
      <c r="B4175" s="229" t="str">
        <f>Presupuesto!C85</f>
        <v>TUBO PVC DE Ø 1 1/2" Y ACCESORIOS</v>
      </c>
      <c r="C4175" s="230"/>
      <c r="D4175" s="50" t="s">
        <v>108</v>
      </c>
      <c r="E4175" s="107">
        <v>139</v>
      </c>
      <c r="F4175" s="50"/>
      <c r="G4175" s="51">
        <f>G4242</f>
        <v>44931.402999999991</v>
      </c>
      <c r="H4175" s="45"/>
    </row>
    <row r="4176" spans="1:8" x14ac:dyDescent="0.25">
      <c r="A4176" s="219" t="s">
        <v>34</v>
      </c>
      <c r="B4176" s="219"/>
      <c r="C4176" s="219"/>
      <c r="D4176" s="219"/>
      <c r="E4176" s="219"/>
      <c r="F4176" s="219"/>
      <c r="G4176" s="219"/>
    </row>
    <row r="4177" spans="1:9" x14ac:dyDescent="0.25">
      <c r="A4177" s="49" t="s">
        <v>35</v>
      </c>
      <c r="B4177" s="219" t="s">
        <v>36</v>
      </c>
      <c r="C4177" s="219"/>
      <c r="D4177" s="49" t="s">
        <v>37</v>
      </c>
      <c r="E4177" s="49" t="s">
        <v>38</v>
      </c>
      <c r="F4177" s="49" t="s">
        <v>39</v>
      </c>
      <c r="G4177" s="49" t="s">
        <v>40</v>
      </c>
    </row>
    <row r="4178" spans="1:9" x14ac:dyDescent="0.25">
      <c r="A4178" s="50" t="str">
        <f>Material!A670</f>
        <v>MA-669</v>
      </c>
      <c r="B4178" s="72" t="str">
        <f>IFERROR(VLOOKUP(A4178,Material!$A:$H,2,0),"-")</f>
        <v>TUBERÍA PRESIÓN 1 1/2"</v>
      </c>
      <c r="C4178" s="76"/>
      <c r="D4178" s="50" t="str">
        <f>IFERROR(VLOOKUP(A4178,Material!$A:$H,4,0),"-")</f>
        <v>ML</v>
      </c>
      <c r="E4178" s="53">
        <v>1</v>
      </c>
      <c r="F4178" s="51">
        <f>IFERROR(VLOOKUP(A4178,Material!$A:$H,3,0),"-")</f>
        <v>16250</v>
      </c>
      <c r="G4178" s="51">
        <f t="shared" ref="G4178:G4182" si="76">IFERROR(ROUNDUP(F4178*E4178,0),"-")</f>
        <v>16250</v>
      </c>
      <c r="H4178" s="106"/>
    </row>
    <row r="4179" spans="1:9" x14ac:dyDescent="0.25">
      <c r="A4179" s="50" t="str">
        <f>Material!A671</f>
        <v>MA-670</v>
      </c>
      <c r="B4179" s="72" t="str">
        <f>IFERROR(VLOOKUP(A4179,Material!$A:$H,2,0),"-")</f>
        <v>CODO PRESIÓN 1 1/2"</v>
      </c>
      <c r="C4179" s="76"/>
      <c r="D4179" s="50" t="str">
        <f>IFERROR(VLOOKUP(A4179,Material!$A:$H,4,0),"-")</f>
        <v>UN</v>
      </c>
      <c r="E4179" s="53">
        <v>1</v>
      </c>
      <c r="F4179" s="51">
        <f>IFERROR(VLOOKUP(A4179,Material!$A:$H,3,0),"-")</f>
        <v>10335</v>
      </c>
      <c r="G4179" s="51">
        <f t="shared" si="76"/>
        <v>10335</v>
      </c>
      <c r="H4179" s="106"/>
    </row>
    <row r="4180" spans="1:9" x14ac:dyDescent="0.25">
      <c r="A4180" s="50" t="str">
        <f>Material!A672</f>
        <v>MA-671</v>
      </c>
      <c r="B4180" s="72" t="str">
        <f>IFERROR(VLOOKUP(A4180,Material!$A:$H,2,0),"-")</f>
        <v>UNION PRESIÓN 1 1/2"</v>
      </c>
      <c r="C4180" s="76"/>
      <c r="D4180" s="50" t="str">
        <f>IFERROR(VLOOKUP(A4180,Material!$A:$H,4,0),"-")</f>
        <v>UN</v>
      </c>
      <c r="E4180" s="53">
        <v>1</v>
      </c>
      <c r="F4180" s="51">
        <f>IFERROR(VLOOKUP(A4180,Material!$A:$H,3,0),"-")</f>
        <v>4225</v>
      </c>
      <c r="G4180" s="51">
        <f>IFERROR(ROUNDUP(F4180*E4180,0),"-")</f>
        <v>4225</v>
      </c>
      <c r="H4180" s="106"/>
    </row>
    <row r="4181" spans="1:9" x14ac:dyDescent="0.25">
      <c r="A4181" s="50" t="str">
        <f>Material!A201</f>
        <v>MA-200</v>
      </c>
      <c r="B4181" s="72" t="str">
        <f>IFERROR(VLOOKUP(A4181,Material!$A:$H,2,0),"-")</f>
        <v>SOLDADURA PVC 1/4 GL</v>
      </c>
      <c r="C4181" s="76"/>
      <c r="D4181" s="50" t="str">
        <f>IFERROR(VLOOKUP(A4181,Material!$A:$H,4,0),"-")</f>
        <v>GALÓN</v>
      </c>
      <c r="E4181" s="107">
        <f>1/60</f>
        <v>1.6666666666666666E-2</v>
      </c>
      <c r="F4181" s="51">
        <f>IFERROR(VLOOKUP(A4181,Material!$A:$H,3,0),"-")</f>
        <v>88270</v>
      </c>
      <c r="G4181" s="51">
        <f t="shared" si="76"/>
        <v>1472</v>
      </c>
      <c r="H4181" s="106"/>
    </row>
    <row r="4182" spans="1:9" x14ac:dyDescent="0.25">
      <c r="A4182" s="50" t="str">
        <f>Material!A253</f>
        <v>MA-252</v>
      </c>
      <c r="B4182" s="72" t="str">
        <f>IFERROR(VLOOKUP(A4182,Material!$A:$H,2,0),"-")</f>
        <v>LIMPIADOR DE TUBERÍA PVC 1/4 GL</v>
      </c>
      <c r="C4182" s="76"/>
      <c r="D4182" s="50" t="str">
        <f>IFERROR(VLOOKUP(A4182,Material!$A:$H,4,0),"-")</f>
        <v>GALÓN</v>
      </c>
      <c r="E4182" s="107">
        <f>1/60</f>
        <v>1.6666666666666666E-2</v>
      </c>
      <c r="F4182" s="51">
        <f>IFERROR(VLOOKUP(A4182,Material!$A:$H,3,0),"-")</f>
        <v>60970</v>
      </c>
      <c r="G4182" s="51">
        <f t="shared" si="76"/>
        <v>1017</v>
      </c>
      <c r="H4182" s="106"/>
    </row>
    <row r="4183" spans="1:9" x14ac:dyDescent="0.25">
      <c r="A4183" s="50" t="str">
        <f>Material!A673</f>
        <v>MA-672</v>
      </c>
      <c r="B4183" s="72" t="str">
        <f>IFERROR(VLOOKUP(A4183,Material!$A:$H,2,0),"-")</f>
        <v>BUJE SOLDADO PRESIÓN 1 - 1/2"</v>
      </c>
      <c r="C4183" s="76"/>
      <c r="D4183" s="50" t="str">
        <f>IFERROR(VLOOKUP(A4183,Material!$A:$H,4,0),"-")</f>
        <v>UN</v>
      </c>
      <c r="E4183" s="107">
        <f>1/20</f>
        <v>0.05</v>
      </c>
      <c r="F4183" s="51">
        <f>IFERROR(VLOOKUP(A4183,Material!$A:$H,3,0),"-")</f>
        <v>2665</v>
      </c>
      <c r="G4183" s="51">
        <f t="shared" ref="G4183" si="77">IFERROR(ROUNDUP(F4183*E4183,0),"-")</f>
        <v>134</v>
      </c>
      <c r="H4183" s="106"/>
    </row>
    <row r="4184" spans="1:9" x14ac:dyDescent="0.25">
      <c r="A4184" s="219" t="s">
        <v>41</v>
      </c>
      <c r="B4184" s="219"/>
      <c r="C4184" s="219"/>
      <c r="D4184" s="219"/>
      <c r="E4184" s="219"/>
      <c r="F4184" s="219"/>
      <c r="G4184" s="52">
        <f>SUM(G4178:G4183)</f>
        <v>33433</v>
      </c>
      <c r="I4184" s="104"/>
    </row>
    <row r="4185" spans="1:9" x14ac:dyDescent="0.25">
      <c r="A4185" s="56"/>
      <c r="B4185" s="57"/>
      <c r="C4185" s="57"/>
      <c r="D4185" s="57"/>
      <c r="E4185" s="57"/>
      <c r="F4185" s="57"/>
      <c r="G4185" s="58"/>
    </row>
    <row r="4186" spans="1:9" x14ac:dyDescent="0.25">
      <c r="A4186" s="219" t="s">
        <v>42</v>
      </c>
      <c r="B4186" s="219"/>
      <c r="C4186" s="219"/>
      <c r="D4186" s="219"/>
      <c r="E4186" s="219"/>
      <c r="F4186" s="219"/>
      <c r="G4186" s="219"/>
    </row>
    <row r="4187" spans="1:9" x14ac:dyDescent="0.25">
      <c r="A4187" s="49" t="s">
        <v>35</v>
      </c>
      <c r="B4187" s="49" t="s">
        <v>36</v>
      </c>
      <c r="C4187" s="49" t="s">
        <v>38</v>
      </c>
      <c r="D4187" s="49" t="s">
        <v>43</v>
      </c>
      <c r="E4187" s="49" t="s">
        <v>44</v>
      </c>
      <c r="F4187" s="49" t="s">
        <v>45</v>
      </c>
      <c r="G4187" s="49" t="s">
        <v>40</v>
      </c>
    </row>
    <row r="4188" spans="1:9" x14ac:dyDescent="0.25">
      <c r="A4188" s="50" t="s">
        <v>319</v>
      </c>
      <c r="B4188" s="68" t="str">
        <f>VLOOKUP(A4188,'Componentes APUs'!$H$1:$L$25,2,0)</f>
        <v>Ingeniero Residente de Obra</v>
      </c>
      <c r="C4188" s="93">
        <v>0</v>
      </c>
      <c r="D4188" s="50">
        <f>VLOOKUP(A4188,'Componentes APUs'!$H$1:$L$25,3,0)</f>
        <v>4</v>
      </c>
      <c r="E4188" s="51">
        <f>VLOOKUP(A4188,'Componentes APUs'!$H$1:$L$25,4,0)</f>
        <v>271142.85714285716</v>
      </c>
      <c r="F4188" s="51">
        <f>VLOOKUP(A4188,'Componentes APUs'!$H$1:$L$25,5,0)</f>
        <v>162685.71428571429</v>
      </c>
      <c r="G4188" s="51">
        <f>ROUNDUP((E4188+F4188)*C4188/E4175,0)</f>
        <v>0</v>
      </c>
      <c r="H4188" s="66"/>
    </row>
    <row r="4189" spans="1:9" x14ac:dyDescent="0.25">
      <c r="A4189" s="50" t="s">
        <v>320</v>
      </c>
      <c r="B4189" s="68" t="str">
        <f>VLOOKUP(A4189,'Componentes APUs'!$H$1:$L$25,2,0)</f>
        <v>Tecnico Supervisor</v>
      </c>
      <c r="C4189" s="93">
        <v>0</v>
      </c>
      <c r="D4189" s="50">
        <f>VLOOKUP(A4189,'Componentes APUs'!$H$1:$L$25,3,0)</f>
        <v>2.2999999999999998</v>
      </c>
      <c r="E4189" s="51">
        <f>VLOOKUP(A4189,'Componentes APUs'!$H$1:$L$25,4,0)</f>
        <v>155907.14285714284</v>
      </c>
      <c r="F4189" s="51">
        <f>VLOOKUP(A4189,'Componentes APUs'!$H$1:$L$25,5,0)</f>
        <v>93544.285714285696</v>
      </c>
      <c r="G4189" s="51">
        <f>ROUNDUP((E4189+F4189)*C4189/E4175,0)</f>
        <v>0</v>
      </c>
    </row>
    <row r="4190" spans="1:9" x14ac:dyDescent="0.25">
      <c r="A4190" s="50" t="s">
        <v>54</v>
      </c>
      <c r="B4190" s="68" t="str">
        <f>VLOOKUP(A4190,'Componentes APUs'!$H$1:$L$25,2,0)</f>
        <v>Maestro de obra civil</v>
      </c>
      <c r="C4190" s="93">
        <v>0</v>
      </c>
      <c r="D4190" s="50">
        <f>VLOOKUP(A4190,'Componentes APUs'!$H$1:$L$25,3,0)</f>
        <v>2.5</v>
      </c>
      <c r="E4190" s="51">
        <f>VLOOKUP(A4190,'Componentes APUs'!$H$1:$L$25,4,0)</f>
        <v>169464.28571428571</v>
      </c>
      <c r="F4190" s="51">
        <f>VLOOKUP(A4190,'Componentes APUs'!$H$1:$L$25,5,0)</f>
        <v>101678.57142857142</v>
      </c>
      <c r="G4190" s="51">
        <f>ROUNDUP((E4190+F4190)*C4190/E4175,0)</f>
        <v>0</v>
      </c>
    </row>
    <row r="4191" spans="1:9" x14ac:dyDescent="0.25">
      <c r="A4191" s="50" t="s">
        <v>1110</v>
      </c>
      <c r="B4191" s="68" t="str">
        <f>VLOOKUP(A4191,'Componentes APUs'!$H$1:$L$25,2,0)</f>
        <v>Oficial de Obra Civil</v>
      </c>
      <c r="C4191" s="93">
        <v>0.25</v>
      </c>
      <c r="D4191" s="50">
        <f>VLOOKUP(A4191,'Componentes APUs'!$H$1:$L$25,3,0)</f>
        <v>1.5</v>
      </c>
      <c r="E4191" s="51">
        <f>VLOOKUP(A4191,'Componentes APUs'!$H$1:$L$25,4,0)</f>
        <v>115964.28571428571</v>
      </c>
      <c r="F4191" s="51">
        <f>VLOOKUP(A4191,'Componentes APUs'!$H$1:$L$25,5,0)</f>
        <v>69578.57142857142</v>
      </c>
      <c r="G4191" s="51">
        <f>ROUNDUP((E4191+F4191)*C4191/E4175,0)</f>
        <v>334</v>
      </c>
    </row>
    <row r="4192" spans="1:9" x14ac:dyDescent="0.25">
      <c r="A4192" s="50" t="s">
        <v>50</v>
      </c>
      <c r="B4192" s="68" t="str">
        <f>VLOOKUP(A4192,'Componentes APUs'!$H$1:$L$25,2,0)</f>
        <v>Profesional en SST</v>
      </c>
      <c r="C4192" s="93">
        <v>0.25</v>
      </c>
      <c r="D4192" s="50">
        <f>VLOOKUP(A4192,'Componentes APUs'!$H$1:$L$25,3,0)</f>
        <v>2.5</v>
      </c>
      <c r="E4192" s="51">
        <f>VLOOKUP(A4192,'Componentes APUs'!$H$1:$L$25,4,0)</f>
        <v>169464.28571428571</v>
      </c>
      <c r="F4192" s="51">
        <f>VLOOKUP(A4192,'Componentes APUs'!$H$1:$L$25,5,0)</f>
        <v>101678.57142857142</v>
      </c>
      <c r="G4192" s="51">
        <f>ROUNDUP((E4192+F4192)*C4192/E4175,0)</f>
        <v>488</v>
      </c>
    </row>
    <row r="4193" spans="1:9" x14ac:dyDescent="0.25">
      <c r="A4193" s="50" t="s">
        <v>1109</v>
      </c>
      <c r="B4193" s="68" t="str">
        <f>VLOOKUP(A4193,'Componentes APUs'!$H$1:$L$25,2,0)</f>
        <v>Ayudante de Obra Civil</v>
      </c>
      <c r="C4193" s="93">
        <v>1</v>
      </c>
      <c r="D4193" s="50">
        <f>VLOOKUP(A4193,'Componentes APUs'!$H$1:$L$25,3,0)</f>
        <v>1</v>
      </c>
      <c r="E4193" s="51">
        <f>VLOOKUP(A4193,'Componentes APUs'!$H$1:$L$25,4,0)</f>
        <v>77309.523809523816</v>
      </c>
      <c r="F4193" s="51">
        <f>VLOOKUP(A4193,'Componentes APUs'!$H$1:$L$25,5,0)</f>
        <v>46385.71428571429</v>
      </c>
      <c r="G4193" s="51">
        <f>ROUNDUP((E4193+F4193)*C4193/E4175,0)</f>
        <v>890</v>
      </c>
    </row>
    <row r="4194" spans="1:9" x14ac:dyDescent="0.25">
      <c r="A4194" s="219" t="s">
        <v>56</v>
      </c>
      <c r="B4194" s="219"/>
      <c r="C4194" s="219"/>
      <c r="D4194" s="219"/>
      <c r="E4194" s="219"/>
      <c r="F4194" s="219"/>
      <c r="G4194" s="52">
        <f>SUM(G4188:G4193)</f>
        <v>1712</v>
      </c>
    </row>
    <row r="4195" spans="1:9" x14ac:dyDescent="0.25">
      <c r="A4195" s="56"/>
      <c r="B4195" s="57"/>
      <c r="C4195" s="57"/>
      <c r="D4195" s="57"/>
      <c r="E4195" s="57"/>
      <c r="F4195" s="57"/>
      <c r="G4195" s="58"/>
    </row>
    <row r="4196" spans="1:9" x14ac:dyDescent="0.25">
      <c r="A4196" s="219" t="s">
        <v>57</v>
      </c>
      <c r="B4196" s="219"/>
      <c r="C4196" s="219"/>
      <c r="D4196" s="219"/>
      <c r="E4196" s="219"/>
      <c r="F4196" s="219"/>
      <c r="G4196" s="219"/>
    </row>
    <row r="4197" spans="1:9" x14ac:dyDescent="0.25">
      <c r="A4197" s="49" t="s">
        <v>35</v>
      </c>
      <c r="B4197" s="219" t="s">
        <v>36</v>
      </c>
      <c r="C4197" s="219"/>
      <c r="D4197" s="49" t="s">
        <v>37</v>
      </c>
      <c r="E4197" s="49" t="s">
        <v>38</v>
      </c>
      <c r="F4197" s="49" t="s">
        <v>39</v>
      </c>
      <c r="G4197" s="49" t="s">
        <v>40</v>
      </c>
    </row>
    <row r="4198" spans="1:9" x14ac:dyDescent="0.25">
      <c r="A4198" s="50" t="s">
        <v>326</v>
      </c>
      <c r="B4198" s="220" t="str">
        <f>VLOOKUP(A4198,'Componentes APUs'!$S$1:$V$10,2,0)</f>
        <v>Juego Llaves</v>
      </c>
      <c r="C4198" s="220"/>
      <c r="D4198" s="50" t="s">
        <v>18</v>
      </c>
      <c r="E4198" s="50">
        <v>0</v>
      </c>
      <c r="F4198" s="51">
        <f>VLOOKUP(A4198,'Componentes APUs'!$S$1:$V$10,4,0)</f>
        <v>9167</v>
      </c>
      <c r="G4198" s="51">
        <f>ROUNDUP(F4198*((E4198/21)/E4175),0)</f>
        <v>0</v>
      </c>
      <c r="I4198" s="91"/>
    </row>
    <row r="4199" spans="1:9" x14ac:dyDescent="0.25">
      <c r="A4199" s="50" t="s">
        <v>58</v>
      </c>
      <c r="B4199" s="220" t="str">
        <f>VLOOKUP(A4199,'Componentes APUs'!$S$1:$V$10,2,0)</f>
        <v>Manila de servicio</v>
      </c>
      <c r="C4199" s="220"/>
      <c r="D4199" s="50" t="s">
        <v>18</v>
      </c>
      <c r="E4199" s="50">
        <v>0</v>
      </c>
      <c r="F4199" s="51">
        <f>VLOOKUP(A4199,'Componentes APUs'!$S$1:$V$10,4,0)</f>
        <v>2333</v>
      </c>
      <c r="G4199" s="51">
        <f>ROUNDUP(F4199*((E4199/21)/E4175),0)</f>
        <v>0</v>
      </c>
    </row>
    <row r="4200" spans="1:9" x14ac:dyDescent="0.25">
      <c r="A4200" s="50" t="s">
        <v>327</v>
      </c>
      <c r="B4200" s="220" t="str">
        <f>VLOOKUP(A4200,'Componentes APUs'!$S$1:$V$10,2,0)</f>
        <v>Tula portaherramientas</v>
      </c>
      <c r="C4200" s="220"/>
      <c r="D4200" s="50" t="s">
        <v>18</v>
      </c>
      <c r="E4200" s="50">
        <v>0</v>
      </c>
      <c r="F4200" s="51">
        <f>VLOOKUP(A4200,'Componentes APUs'!$S$1:$V$10,4,0)</f>
        <v>1250</v>
      </c>
      <c r="G4200" s="51">
        <f>ROUNDUP(F4200*((E4200/21)/E4175),0)</f>
        <v>0</v>
      </c>
    </row>
    <row r="4201" spans="1:9" x14ac:dyDescent="0.25">
      <c r="A4201" s="50" t="s">
        <v>60</v>
      </c>
      <c r="B4201" s="220" t="str">
        <f>VLOOKUP(A4201,'Componentes APUs'!$S$1:$V$10,2,0)</f>
        <v>Agarradoras</v>
      </c>
      <c r="C4201" s="220"/>
      <c r="D4201" s="50" t="s">
        <v>18</v>
      </c>
      <c r="E4201" s="50">
        <v>0</v>
      </c>
      <c r="F4201" s="51">
        <f>VLOOKUP(A4201,'Componentes APUs'!$S$1:$V$10,4,0)</f>
        <v>125000</v>
      </c>
      <c r="G4201" s="51">
        <f>ROUNDUP(F4201*((E4201/21)/E4175),0)</f>
        <v>0</v>
      </c>
    </row>
    <row r="4202" spans="1:9" x14ac:dyDescent="0.25">
      <c r="A4202" s="50" t="s">
        <v>62</v>
      </c>
      <c r="B4202" s="220" t="str">
        <f>VLOOKUP(A4202,'Componentes APUs'!$S$1:$V$10,2,0)</f>
        <v>Templadoras</v>
      </c>
      <c r="C4202" s="220"/>
      <c r="D4202" s="50" t="s">
        <v>18</v>
      </c>
      <c r="E4202" s="50">
        <v>0</v>
      </c>
      <c r="F4202" s="51">
        <f>VLOOKUP(A4202,'Componentes APUs'!$S$1:$V$10,4,0)</f>
        <v>250000</v>
      </c>
      <c r="G4202" s="51">
        <f>ROUNDUP(F4202*((E4202/21)/E4175),0)</f>
        <v>0</v>
      </c>
    </row>
    <row r="4203" spans="1:9" x14ac:dyDescent="0.25">
      <c r="A4203" s="50" t="s">
        <v>328</v>
      </c>
      <c r="B4203" s="220" t="str">
        <f>VLOOKUP(A4203,'Componentes APUs'!$S$1:$V$10,2,0)</f>
        <v>Herramienta Menor</v>
      </c>
      <c r="C4203" s="220"/>
      <c r="D4203" s="50" t="s">
        <v>18</v>
      </c>
      <c r="E4203" s="50">
        <v>1</v>
      </c>
      <c r="F4203" s="51">
        <f>VLOOKUP(A4203,'Componentes APUs'!$S$1:$V$10,4,0)</f>
        <v>75758</v>
      </c>
      <c r="G4203" s="51">
        <f>ROUNDUP(F4203*((E4203/21)/E4175),0)</f>
        <v>26</v>
      </c>
    </row>
    <row r="4204" spans="1:9" x14ac:dyDescent="0.25">
      <c r="A4204" s="219" t="s">
        <v>69</v>
      </c>
      <c r="B4204" s="219"/>
      <c r="C4204" s="219"/>
      <c r="D4204" s="219"/>
      <c r="E4204" s="219"/>
      <c r="F4204" s="219"/>
      <c r="G4204" s="52">
        <f>SUM(G4198:G4203)</f>
        <v>26</v>
      </c>
    </row>
    <row r="4205" spans="1:9" x14ac:dyDescent="0.25">
      <c r="A4205" s="56"/>
      <c r="B4205" s="57"/>
      <c r="C4205" s="57"/>
      <c r="D4205" s="57"/>
      <c r="E4205" s="57"/>
      <c r="F4205" s="57"/>
      <c r="G4205" s="58"/>
    </row>
    <row r="4206" spans="1:9" x14ac:dyDescent="0.25">
      <c r="A4206" s="219" t="s">
        <v>70</v>
      </c>
      <c r="B4206" s="219"/>
      <c r="C4206" s="219"/>
      <c r="D4206" s="219"/>
      <c r="E4206" s="219"/>
      <c r="F4206" s="219"/>
      <c r="G4206" s="219"/>
    </row>
    <row r="4207" spans="1:9" x14ac:dyDescent="0.25">
      <c r="A4207" s="49" t="s">
        <v>35</v>
      </c>
      <c r="B4207" s="219" t="s">
        <v>36</v>
      </c>
      <c r="C4207" s="219"/>
      <c r="D4207" s="49" t="s">
        <v>37</v>
      </c>
      <c r="E4207" s="49" t="s">
        <v>38</v>
      </c>
      <c r="F4207" s="49" t="s">
        <v>39</v>
      </c>
      <c r="G4207" s="49" t="s">
        <v>40</v>
      </c>
    </row>
    <row r="4208" spans="1:9" x14ac:dyDescent="0.25">
      <c r="A4208" s="50" t="s">
        <v>71</v>
      </c>
      <c r="B4208" s="72" t="str">
        <f>VLOOKUP(A4208,'Componentes APUs'!$A$1:$D$14,2,0)</f>
        <v>Camisa indigo sin partes metalicas</v>
      </c>
      <c r="C4208" s="73"/>
      <c r="D4208" s="50" t="str">
        <f>VLOOKUP(A4208,'Componentes APUs'!$A$1:$D$14,3,0)</f>
        <v>U</v>
      </c>
      <c r="E4208" s="50">
        <f>SUM(C4188:C4193)</f>
        <v>1.5</v>
      </c>
      <c r="F4208" s="51">
        <f>VLOOKUP(A4208,'Componentes APUs'!$A$1:$D$14,4,0)</f>
        <v>8585.8585858585866</v>
      </c>
      <c r="G4208" s="51">
        <f>ROUNDUP(F4208*(E4208/21)/E4175,0)</f>
        <v>5</v>
      </c>
      <c r="I4208" s="91"/>
    </row>
    <row r="4209" spans="1:7" x14ac:dyDescent="0.25">
      <c r="A4209" s="69" t="s">
        <v>73</v>
      </c>
      <c r="B4209" s="72" t="str">
        <f>VLOOKUP(A4209,'Componentes APUs'!$A$1:$D$14,2,0)</f>
        <v>Bota de seguridad dielectrica</v>
      </c>
      <c r="C4209" s="73"/>
      <c r="D4209" s="70" t="str">
        <f>VLOOKUP(A4209,'Componentes APUs'!$A$1:$D$14,3,0)</f>
        <v>Par</v>
      </c>
      <c r="E4209" s="50">
        <f>SUM(C4188:C4193)</f>
        <v>1.5</v>
      </c>
      <c r="F4209" s="51">
        <f>VLOOKUP(A4209,'Componentes APUs'!$A$1:$D$14,4,0)</f>
        <v>7500</v>
      </c>
      <c r="G4209" s="51">
        <f>ROUNDUP(F4209*(E4209/21)/E4175,0)</f>
        <v>4</v>
      </c>
    </row>
    <row r="4210" spans="1:7" x14ac:dyDescent="0.25">
      <c r="A4210" s="50" t="s">
        <v>76</v>
      </c>
      <c r="B4210" s="72" t="str">
        <f>VLOOKUP(A4210,'Componentes APUs'!$A$1:$D$14,2,0)</f>
        <v>Casco dielectrico Tipo 1 Clase E con barbuquejo</v>
      </c>
      <c r="C4210" s="73"/>
      <c r="D4210" s="50" t="str">
        <f>VLOOKUP(A4210,'Componentes APUs'!$A$1:$D$14,3,0)</f>
        <v>U</v>
      </c>
      <c r="E4210" s="50">
        <f>C4188+C4189+C4191+C4192+C4193+IF(A4190&lt;&gt;"MO-3",C4190,0)</f>
        <v>1.5</v>
      </c>
      <c r="F4210" s="51">
        <f>VLOOKUP(A4210,'Componentes APUs'!$A$1:$D$14,4,0)</f>
        <v>10101.010101010101</v>
      </c>
      <c r="G4210" s="51">
        <f>ROUNDUP(F4210*(E4210/21)/E4175,0)</f>
        <v>6</v>
      </c>
    </row>
    <row r="4211" spans="1:7" x14ac:dyDescent="0.25">
      <c r="A4211" s="69" t="s">
        <v>77</v>
      </c>
      <c r="B4211" s="72" t="str">
        <f>VLOOKUP(A4211,'Componentes APUs'!$A$1:$D$14,2,0)</f>
        <v>Correa plastica y antiflama</v>
      </c>
      <c r="C4211" s="73"/>
      <c r="D4211" s="50" t="str">
        <f>VLOOKUP(A4211,'Componentes APUs'!$A$1:$D$14,3,0)</f>
        <v>U</v>
      </c>
      <c r="E4211" s="50">
        <f>SUM(C4188:C4193)</f>
        <v>1.5</v>
      </c>
      <c r="F4211" s="51">
        <f>VLOOKUP(A4211,'Componentes APUs'!$A$1:$D$14,4,0)</f>
        <v>3787.878787878788</v>
      </c>
      <c r="G4211" s="51">
        <f>ROUNDUP(F4211*(E4211/21)/E4175,0)</f>
        <v>2</v>
      </c>
    </row>
    <row r="4212" spans="1:7" x14ac:dyDescent="0.25">
      <c r="A4212" s="50" t="s">
        <v>79</v>
      </c>
      <c r="B4212" s="72" t="str">
        <f>VLOOKUP(A4212,'Componentes APUs'!$A$1:$D$14,2,0)</f>
        <v>Gafas protectoras filtro UV</v>
      </c>
      <c r="C4212" s="73"/>
      <c r="D4212" s="50" t="str">
        <f>VLOOKUP(A4212,'Componentes APUs'!$A$1:$D$14,3,0)</f>
        <v>U</v>
      </c>
      <c r="E4212" s="50">
        <f>SUM(C4188:C4193)</f>
        <v>1.5</v>
      </c>
      <c r="F4212" s="51">
        <f>VLOOKUP(A4212,'Componentes APUs'!$A$1:$D$14,4,0)</f>
        <v>2777.7777777777778</v>
      </c>
      <c r="G4212" s="51">
        <f>ROUNDUP(F4212*(E4212/21)/E4175,0)</f>
        <v>2</v>
      </c>
    </row>
    <row r="4213" spans="1:7" x14ac:dyDescent="0.25">
      <c r="A4213" s="69" t="s">
        <v>402</v>
      </c>
      <c r="B4213" s="72" t="str">
        <f>VLOOKUP(A4213,'Componentes APUs'!$A$1:$D$14,2,0)</f>
        <v>Bota de seguridad PVC dielectrica</v>
      </c>
      <c r="C4213" s="73"/>
      <c r="D4213" s="50" t="str">
        <f>VLOOKUP(A4213,'Componentes APUs'!$A$1:$D$14,3,0)</f>
        <v>Par</v>
      </c>
      <c r="E4213" s="50">
        <f>SUM(C4188:C4193)</f>
        <v>1.5</v>
      </c>
      <c r="F4213" s="51">
        <f>VLOOKUP(A4213,'Componentes APUs'!$A$1:$D$14,4,0)</f>
        <v>2916.6666666666665</v>
      </c>
      <c r="G4213" s="51">
        <f>ROUNDUP(F4213*(E4213/21)/E4175,0)</f>
        <v>2</v>
      </c>
    </row>
    <row r="4214" spans="1:7" x14ac:dyDescent="0.25">
      <c r="A4214" s="50" t="s">
        <v>403</v>
      </c>
      <c r="B4214" s="72" t="str">
        <f>VLOOKUP(A4214,'Componentes APUs'!$A$1:$D$14,2,0)</f>
        <v>Capuchon</v>
      </c>
      <c r="C4214" s="73"/>
      <c r="D4214" s="50" t="str">
        <f>VLOOKUP(A4214,'Componentes APUs'!$A$1:$D$14,3,0)</f>
        <v>U</v>
      </c>
      <c r="E4214" s="50">
        <f>SUM(C4188:C4193)</f>
        <v>1.5</v>
      </c>
      <c r="F4214" s="51">
        <f>VLOOKUP(A4214,'Componentes APUs'!$A$1:$D$14,4,0)</f>
        <v>2525.2525252525252</v>
      </c>
      <c r="G4214" s="51">
        <f>ROUNDUP(F4214*(E4214/21)/E4175,0)</f>
        <v>2</v>
      </c>
    </row>
    <row r="4215" spans="1:7" x14ac:dyDescent="0.25">
      <c r="A4215" s="69" t="s">
        <v>81</v>
      </c>
      <c r="B4215" s="72" t="str">
        <f>VLOOKUP(A4215,'Componentes APUs'!$A$1:$D$14,2,0)</f>
        <v>Guantes Protectores  - ingeniero reforzados</v>
      </c>
      <c r="C4215" s="73"/>
      <c r="D4215" s="50" t="str">
        <f>VLOOKUP(A4215,'Componentes APUs'!$A$1:$D$14,3,0)</f>
        <v>Par</v>
      </c>
      <c r="E4215" s="50">
        <f>C4190+C4191+C4193</f>
        <v>1.25</v>
      </c>
      <c r="F4215" s="51">
        <f>VLOOKUP(A4215,'Componentes APUs'!$A$1:$D$14,4,0)</f>
        <v>2525.2525252525252</v>
      </c>
      <c r="G4215" s="51">
        <f>ROUNDUP(F4215*(E4215/21)/E4175,0)</f>
        <v>2</v>
      </c>
    </row>
    <row r="4216" spans="1:7" x14ac:dyDescent="0.25">
      <c r="A4216" s="50" t="s">
        <v>83</v>
      </c>
      <c r="B4216" s="72" t="str">
        <f>VLOOKUP(A4216,'Componentes APUs'!$A$1:$D$14,2,0)</f>
        <v>Impermeable (pantalon camisa)</v>
      </c>
      <c r="C4216" s="73"/>
      <c r="D4216" s="50" t="str">
        <f>VLOOKUP(A4216,'Componentes APUs'!$A$1:$D$14,3,0)</f>
        <v>U</v>
      </c>
      <c r="E4216" s="50">
        <f>SUM(C4188:C4193)</f>
        <v>1.5</v>
      </c>
      <c r="F4216" s="51">
        <f>VLOOKUP(A4216,'Componentes APUs'!$A$1:$D$14,4,0)</f>
        <v>3750</v>
      </c>
      <c r="G4216" s="51">
        <f>ROUNDUP(F4216*(E4216/21)/E4175,0)</f>
        <v>2</v>
      </c>
    </row>
    <row r="4217" spans="1:7" x14ac:dyDescent="0.25">
      <c r="A4217" s="69" t="s">
        <v>85</v>
      </c>
      <c r="B4217" s="72" t="str">
        <f>VLOOKUP(A4217,'Componentes APUs'!$A$1:$D$14,2,0)</f>
        <v>Jean Dielectrico</v>
      </c>
      <c r="C4217" s="73"/>
      <c r="D4217" s="50" t="str">
        <f>VLOOKUP(A4217,'Componentes APUs'!$A$1:$D$14,3,0)</f>
        <v>U</v>
      </c>
      <c r="E4217" s="50">
        <f>SUM(C4188:C4193)</f>
        <v>1.5</v>
      </c>
      <c r="F4217" s="51">
        <f>VLOOKUP(A4217,'Componentes APUs'!$A$1:$D$14,4,0)</f>
        <v>7575.757575757576</v>
      </c>
      <c r="G4217" s="51">
        <f>ROUNDUP(F4217*(E4217/21)/E4175,0)</f>
        <v>4</v>
      </c>
    </row>
    <row r="4218" spans="1:7" x14ac:dyDescent="0.25">
      <c r="A4218" s="50" t="s">
        <v>87</v>
      </c>
      <c r="B4218" s="72" t="str">
        <f>VLOOKUP(A4218,'Componentes APUs'!$A$1:$D$14,2,0)</f>
        <v>Casco dielectrico Tipo 2 Clase E con barboquejo</v>
      </c>
      <c r="C4218" s="73"/>
      <c r="D4218" s="50" t="str">
        <f>VLOOKUP(A4218,'Componentes APUs'!$A$1:$D$14,3,0)</f>
        <v>U</v>
      </c>
      <c r="E4218" s="53">
        <f>IF(A4190="MO-3",C4190,0)</f>
        <v>0</v>
      </c>
      <c r="F4218" s="51">
        <f>VLOOKUP(A4218,'Componentes APUs'!$A$1:$D$14,4,0)</f>
        <v>7500</v>
      </c>
      <c r="G4218" s="51">
        <f>ROUNDUP(F4218*(E4218/21)/E4175,0)</f>
        <v>0</v>
      </c>
    </row>
    <row r="4219" spans="1:7" x14ac:dyDescent="0.25">
      <c r="A4219" s="69" t="s">
        <v>89</v>
      </c>
      <c r="B4219" s="72" t="str">
        <f>VLOOKUP(A4219,'Componentes APUs'!$A$1:$D$14,2,0)</f>
        <v>Kit de rescate para trabajo en alturas</v>
      </c>
      <c r="C4219" s="73"/>
      <c r="D4219" s="50" t="str">
        <f>VLOOKUP(A4219,'Componentes APUs'!$A$1:$D$14,3,0)</f>
        <v>U</v>
      </c>
      <c r="E4219" s="50">
        <f>IF(AND(A4190="MO-3",C4190=2),1,0)</f>
        <v>0</v>
      </c>
      <c r="F4219" s="51">
        <f>VLOOKUP(A4219,'Componentes APUs'!$A$1:$D$14,4,0)</f>
        <v>37500</v>
      </c>
      <c r="G4219" s="51">
        <f>ROUNDUP(F4219*(E4219/21)/E4175,0)</f>
        <v>0</v>
      </c>
    </row>
    <row r="4220" spans="1:7" x14ac:dyDescent="0.25">
      <c r="A4220" s="50" t="s">
        <v>91</v>
      </c>
      <c r="B4220" s="72" t="str">
        <f>VLOOKUP(A4220,'Componentes APUs'!$A$1:$D$14,2,0)</f>
        <v>Equipo completo para trabajo en alturas con pretales (Arnes dielectrico, 1 mosqueton de seguridad, tie off dielectrico, eslinga de posicionamiento, juego de pretales)</v>
      </c>
      <c r="C4220" s="73"/>
      <c r="D4220" s="50" t="str">
        <f>VLOOKUP(A4220,'Componentes APUs'!$A$1:$D$14,3,0)</f>
        <v>U</v>
      </c>
      <c r="E4220" s="50">
        <f>IF(A4190="MO-3",C4190,0)</f>
        <v>0</v>
      </c>
      <c r="F4220" s="51">
        <f>VLOOKUP(A4220,'Componentes APUs'!$A$1:$D$14,4,0)</f>
        <v>26041.666666666668</v>
      </c>
      <c r="G4220" s="51">
        <f>ROUNDUP(F4220*(E4220/21)/E4175,0)</f>
        <v>0</v>
      </c>
    </row>
    <row r="4221" spans="1:7" x14ac:dyDescent="0.25">
      <c r="A4221" s="219" t="s">
        <v>95</v>
      </c>
      <c r="B4221" s="219"/>
      <c r="C4221" s="219"/>
      <c r="D4221" s="219"/>
      <c r="E4221" s="219"/>
      <c r="F4221" s="219"/>
      <c r="G4221" s="52">
        <f>SUM(G4208:G4220)</f>
        <v>31</v>
      </c>
    </row>
    <row r="4222" spans="1:7" x14ac:dyDescent="0.25">
      <c r="A4222" s="56"/>
      <c r="B4222" s="57"/>
      <c r="C4222" s="57"/>
      <c r="D4222" s="57"/>
      <c r="E4222" s="57"/>
      <c r="F4222" s="57"/>
      <c r="G4222" s="58"/>
    </row>
    <row r="4223" spans="1:7" x14ac:dyDescent="0.25">
      <c r="A4223" s="219" t="s">
        <v>96</v>
      </c>
      <c r="B4223" s="219"/>
      <c r="C4223" s="219"/>
      <c r="D4223" s="219"/>
      <c r="E4223" s="219"/>
      <c r="F4223" s="219"/>
      <c r="G4223" s="219"/>
    </row>
    <row r="4224" spans="1:7" x14ac:dyDescent="0.25">
      <c r="A4224" s="49" t="s">
        <v>35</v>
      </c>
      <c r="B4224" s="225" t="s">
        <v>36</v>
      </c>
      <c r="C4224" s="225"/>
      <c r="D4224" s="49" t="s">
        <v>37</v>
      </c>
      <c r="E4224" s="49" t="s">
        <v>38</v>
      </c>
      <c r="F4224" s="49" t="s">
        <v>39</v>
      </c>
      <c r="G4224" s="49" t="s">
        <v>40</v>
      </c>
    </row>
    <row r="4225" spans="1:7" x14ac:dyDescent="0.25">
      <c r="A4225" s="69" t="s">
        <v>97</v>
      </c>
      <c r="B4225" s="72" t="str">
        <f>VLOOKUP(A4225,'Componentes APUs'!$N$1:$Q$30,2,0)</f>
        <v>Camioneta</v>
      </c>
      <c r="C4225" s="73"/>
      <c r="D4225" s="70" t="str">
        <f>VLOOKUP(A4225,'Componentes APUs'!$N$1:$Q$30,3,0)</f>
        <v>U</v>
      </c>
      <c r="E4225" s="50">
        <v>0.25</v>
      </c>
      <c r="F4225" s="51">
        <f>VLOOKUP(A4225,'Componentes APUs'!$N$1:$Q$30,4,0)</f>
        <v>5500000</v>
      </c>
      <c r="G4225" s="51">
        <f>IFERROR(ROUNDUP(F4225*(E4225/21)/E4175,0),"-")</f>
        <v>472</v>
      </c>
    </row>
    <row r="4226" spans="1:7" x14ac:dyDescent="0.25">
      <c r="A4226" s="50" t="s">
        <v>321</v>
      </c>
      <c r="B4226" s="72" t="str">
        <f>VLOOKUP(A4226,'Componentes APUs'!$N$1:$Q$30,2,0)</f>
        <v>Grúa Hidráulica</v>
      </c>
      <c r="C4226" s="73"/>
      <c r="D4226" s="70" t="str">
        <f>VLOOKUP(A4226,'Componentes APUs'!$N$1:$Q$30,3,0)</f>
        <v>U</v>
      </c>
      <c r="E4226" s="50">
        <v>0</v>
      </c>
      <c r="F4226" s="51">
        <f>VLOOKUP(A4226,'Componentes APUs'!$N$1:$Q$30,4,0)</f>
        <v>21000000</v>
      </c>
      <c r="G4226" s="51">
        <f>IFERROR(ROUNDUP(F4226*(E4226/21)/E4175,0),"-")</f>
        <v>0</v>
      </c>
    </row>
    <row r="4227" spans="1:7" x14ac:dyDescent="0.25">
      <c r="A4227" s="69" t="s">
        <v>1379</v>
      </c>
      <c r="B4227" s="72" t="str">
        <f>VLOOKUP(A4227,'Componentes APUs'!$N$1:$Q$30,2,0)</f>
        <v>Dumper de descarga Frontal 2T</v>
      </c>
      <c r="C4227" s="73"/>
      <c r="D4227" s="70" t="str">
        <f>VLOOKUP(A4227,'Componentes APUs'!$N$1:$Q$30,3,0)</f>
        <v>U</v>
      </c>
      <c r="E4227" s="50">
        <v>0</v>
      </c>
      <c r="F4227" s="51">
        <f>VLOOKUP(A4227,'Componentes APUs'!$N$1:$Q$30,4,0)</f>
        <v>4438716.24</v>
      </c>
      <c r="G4227" s="51">
        <f>IFERROR(ROUNDUP(F4227*(E4227/21)/E4175,0),"-")</f>
        <v>0</v>
      </c>
    </row>
    <row r="4228" spans="1:7" x14ac:dyDescent="0.25">
      <c r="A4228" s="50" t="s">
        <v>323</v>
      </c>
      <c r="B4228" s="72" t="str">
        <f>VLOOKUP(A4228,'Componentes APUs'!$N$1:$Q$30,2,0)</f>
        <v>Volqueta</v>
      </c>
      <c r="C4228" s="73"/>
      <c r="D4228" s="70" t="str">
        <f>VLOOKUP(A4228,'Componentes APUs'!$N$1:$Q$30,3,0)</f>
        <v>U</v>
      </c>
      <c r="E4228" s="50">
        <v>0</v>
      </c>
      <c r="F4228" s="51">
        <f>VLOOKUP(A4228,'Componentes APUs'!$N$1:$Q$30,4,0)</f>
        <v>14828184</v>
      </c>
      <c r="G4228" s="51">
        <f>IFERROR(ROUNDUP(F4228*(E4228/21)/E4175,0),"-")</f>
        <v>0</v>
      </c>
    </row>
    <row r="4229" spans="1:7" x14ac:dyDescent="0.25">
      <c r="A4229" s="69" t="s">
        <v>324</v>
      </c>
      <c r="B4229" s="72" t="str">
        <f>VLOOKUP(A4229,'Componentes APUs'!$N$1:$Q$30,2,0)</f>
        <v>Retroexcavadora</v>
      </c>
      <c r="C4229" s="73"/>
      <c r="D4229" s="70" t="str">
        <f>VLOOKUP(A4229,'Componentes APUs'!$N$1:$Q$30,3,0)</f>
        <v>U</v>
      </c>
      <c r="E4229" s="50">
        <v>0</v>
      </c>
      <c r="F4229" s="51">
        <f>VLOOKUP(A4229,'Componentes APUs'!$N$1:$Q$30,4,0)</f>
        <v>46030656</v>
      </c>
      <c r="G4229" s="51">
        <f>IFERROR(ROUNDUP(F4229*(E4229/21)/E4175,0),"-")</f>
        <v>0</v>
      </c>
    </row>
    <row r="4230" spans="1:7" x14ac:dyDescent="0.25">
      <c r="A4230" s="219" t="s">
        <v>99</v>
      </c>
      <c r="B4230" s="219"/>
      <c r="C4230" s="219"/>
      <c r="D4230" s="219"/>
      <c r="E4230" s="219"/>
      <c r="F4230" s="219"/>
      <c r="G4230" s="52">
        <f>SUM(G4225:G4229)</f>
        <v>472</v>
      </c>
    </row>
    <row r="4231" spans="1:7" x14ac:dyDescent="0.25">
      <c r="A4231" s="56"/>
      <c r="B4231" s="57"/>
      <c r="C4231" s="57"/>
      <c r="D4231" s="57"/>
      <c r="E4231" s="57"/>
      <c r="F4231" s="57"/>
      <c r="G4231" s="58"/>
    </row>
    <row r="4232" spans="1:7" x14ac:dyDescent="0.25">
      <c r="A4232" s="219" t="s">
        <v>1516</v>
      </c>
      <c r="B4232" s="219"/>
      <c r="C4232" s="219"/>
      <c r="D4232" s="219"/>
      <c r="E4232" s="219"/>
      <c r="F4232" s="219"/>
      <c r="G4232" s="52">
        <f>G4230+G4221+G4204+G4194+G4184</f>
        <v>35674</v>
      </c>
    </row>
    <row r="4233" spans="1:7" x14ac:dyDescent="0.25">
      <c r="A4233" s="59"/>
      <c r="B4233" s="60"/>
      <c r="C4233" s="60"/>
      <c r="D4233" s="60"/>
      <c r="E4233" s="57"/>
      <c r="F4233" s="57"/>
      <c r="G4233" s="58"/>
    </row>
    <row r="4234" spans="1:7" x14ac:dyDescent="0.25">
      <c r="A4234" s="64"/>
      <c r="D4234" s="55"/>
      <c r="E4234" s="49" t="s">
        <v>25</v>
      </c>
      <c r="F4234" s="54">
        <v>0.15</v>
      </c>
      <c r="G4234" s="51">
        <f>G4232*F4234</f>
        <v>5351.0999999999995</v>
      </c>
    </row>
    <row r="4235" spans="1:7" x14ac:dyDescent="0.25">
      <c r="A4235" s="64"/>
      <c r="D4235" s="55"/>
      <c r="E4235" s="49" t="s">
        <v>26</v>
      </c>
      <c r="F4235" s="54">
        <v>0.05</v>
      </c>
      <c r="G4235" s="51">
        <f>G4232*F4235</f>
        <v>1783.7</v>
      </c>
    </row>
    <row r="4236" spans="1:7" x14ac:dyDescent="0.25">
      <c r="A4236" s="61"/>
      <c r="B4236" s="65"/>
      <c r="C4236" s="65"/>
      <c r="D4236" s="62"/>
      <c r="E4236" s="49" t="s">
        <v>27</v>
      </c>
      <c r="F4236" s="54">
        <v>0.05</v>
      </c>
      <c r="G4236" s="51">
        <f>G4232*F4236</f>
        <v>1783.7</v>
      </c>
    </row>
    <row r="4237" spans="1:7" x14ac:dyDescent="0.25">
      <c r="A4237" s="61"/>
      <c r="B4237" s="62"/>
      <c r="C4237" s="62"/>
      <c r="D4237" s="62"/>
      <c r="E4237" s="62"/>
      <c r="F4237" s="62"/>
      <c r="G4237" s="63"/>
    </row>
    <row r="4238" spans="1:7" x14ac:dyDescent="0.25">
      <c r="A4238" s="219" t="s">
        <v>1517</v>
      </c>
      <c r="B4238" s="219"/>
      <c r="C4238" s="219"/>
      <c r="D4238" s="219"/>
      <c r="E4238" s="219"/>
      <c r="F4238" s="219"/>
      <c r="G4238" s="52">
        <f>G4232+G4234+G4235+G4236</f>
        <v>44592.499999999993</v>
      </c>
    </row>
    <row r="4239" spans="1:7" x14ac:dyDescent="0.25">
      <c r="A4239" s="59"/>
      <c r="B4239" s="60"/>
      <c r="C4239" s="60"/>
      <c r="D4239" s="60"/>
      <c r="E4239" s="57"/>
      <c r="F4239" s="57"/>
      <c r="G4239" s="58"/>
    </row>
    <row r="4240" spans="1:7" x14ac:dyDescent="0.25">
      <c r="A4240" s="64"/>
      <c r="D4240" s="55"/>
      <c r="E4240" s="49" t="s">
        <v>102</v>
      </c>
      <c r="F4240" s="49" t="s">
        <v>103</v>
      </c>
      <c r="G4240" s="51">
        <f>G4236*19%</f>
        <v>338.90300000000002</v>
      </c>
    </row>
    <row r="4241" spans="1:9" x14ac:dyDescent="0.25">
      <c r="A4241" s="61"/>
      <c r="B4241" s="62"/>
      <c r="C4241" s="62"/>
      <c r="D4241" s="62"/>
      <c r="E4241" s="57"/>
      <c r="F4241" s="57"/>
      <c r="G4241" s="58"/>
    </row>
    <row r="4242" spans="1:9" x14ac:dyDescent="0.25">
      <c r="A4242" s="219" t="s">
        <v>104</v>
      </c>
      <c r="B4242" s="219"/>
      <c r="C4242" s="219"/>
      <c r="D4242" s="219"/>
      <c r="E4242" s="219"/>
      <c r="F4242" s="219"/>
      <c r="G4242" s="52">
        <f>G4240+G4238</f>
        <v>44931.402999999991</v>
      </c>
    </row>
    <row r="4244" spans="1:9" x14ac:dyDescent="0.25">
      <c r="A4244" s="74" t="s">
        <v>29</v>
      </c>
      <c r="B4244" s="226" t="s">
        <v>30</v>
      </c>
      <c r="C4244" s="226"/>
      <c r="D4244" s="74" t="s">
        <v>31</v>
      </c>
      <c r="E4244" s="74" t="s">
        <v>32</v>
      </c>
      <c r="F4244" s="74" t="s">
        <v>189</v>
      </c>
      <c r="G4244" s="74" t="s">
        <v>33</v>
      </c>
      <c r="H4244" s="105"/>
    </row>
    <row r="4245" spans="1:9" ht="21.75" customHeight="1" x14ac:dyDescent="0.25">
      <c r="A4245" s="50" t="str">
        <f>Presupuesto!B86</f>
        <v>070_OC</v>
      </c>
      <c r="B4245" s="229" t="str">
        <f>Presupuesto!C86</f>
        <v>LAVAMANOS INSTITUCIONAL TIPO CORONA O EQUIVALENTE + ACCESORIOS</v>
      </c>
      <c r="C4245" s="230"/>
      <c r="D4245" s="50" t="s">
        <v>8</v>
      </c>
      <c r="E4245" s="107">
        <v>3</v>
      </c>
      <c r="F4245" s="50"/>
      <c r="G4245" s="51">
        <f>G4310</f>
        <v>1247738.7890000003</v>
      </c>
      <c r="H4245" s="45"/>
    </row>
    <row r="4246" spans="1:9" x14ac:dyDescent="0.25">
      <c r="A4246" s="219" t="s">
        <v>34</v>
      </c>
      <c r="B4246" s="219"/>
      <c r="C4246" s="219"/>
      <c r="D4246" s="219"/>
      <c r="E4246" s="219"/>
      <c r="F4246" s="219"/>
      <c r="G4246" s="219"/>
    </row>
    <row r="4247" spans="1:9" x14ac:dyDescent="0.25">
      <c r="A4247" s="49" t="s">
        <v>35</v>
      </c>
      <c r="B4247" s="219" t="s">
        <v>36</v>
      </c>
      <c r="C4247" s="219"/>
      <c r="D4247" s="49" t="s">
        <v>37</v>
      </c>
      <c r="E4247" s="49" t="s">
        <v>38</v>
      </c>
      <c r="F4247" s="49" t="s">
        <v>39</v>
      </c>
      <c r="G4247" s="49" t="s">
        <v>40</v>
      </c>
    </row>
    <row r="4248" spans="1:9" x14ac:dyDescent="0.25">
      <c r="A4248" s="50" t="str">
        <f>Material!A497</f>
        <v>MA-496</v>
      </c>
      <c r="B4248" s="72" t="str">
        <f>IFERROR(VLOOKUP(A4248,Material!$A:$H,2,0),"-")</f>
        <v>LAVAMANOS INSTITUCIONAL</v>
      </c>
      <c r="C4248" s="76"/>
      <c r="D4248" s="50" t="str">
        <f>IFERROR(VLOOKUP(A4248,Material!$A:$H,4,0),"-")</f>
        <v>ML</v>
      </c>
      <c r="E4248" s="53">
        <v>1</v>
      </c>
      <c r="F4248" s="51">
        <f>IFERROR(VLOOKUP(A4248,Material!$A:$H,3,0),"-")</f>
        <v>596570</v>
      </c>
      <c r="G4248" s="51">
        <f t="shared" ref="G4248:G4251" si="78">IFERROR(ROUNDUP(F4248*E4248,0),"-")</f>
        <v>596570</v>
      </c>
      <c r="H4248" s="106"/>
    </row>
    <row r="4249" spans="1:9" x14ac:dyDescent="0.25">
      <c r="A4249" s="50" t="str">
        <f>Material!A498</f>
        <v>MA-497</v>
      </c>
      <c r="B4249" s="72" t="str">
        <f>IFERROR(VLOOKUP(A4249,Material!$A:$H,2,0),"-")</f>
        <v>GRIFERIA LAVANAMOS</v>
      </c>
      <c r="C4249" s="76"/>
      <c r="D4249" s="50" t="str">
        <f>IFERROR(VLOOKUP(A4249,Material!$A:$H,4,0),"-")</f>
        <v>ML</v>
      </c>
      <c r="E4249" s="53">
        <v>1</v>
      </c>
      <c r="F4249" s="51">
        <f>IFERROR(VLOOKUP(A4249,Material!$A:$H,3,0),"-")</f>
        <v>155870</v>
      </c>
      <c r="G4249" s="51">
        <f t="shared" si="78"/>
        <v>155870</v>
      </c>
      <c r="H4249" s="106"/>
    </row>
    <row r="4250" spans="1:9" x14ac:dyDescent="0.25">
      <c r="A4250" s="50"/>
      <c r="B4250" s="72" t="str">
        <f>IFERROR(VLOOKUP(A4250,Material!$A:$H,2,0),"-")</f>
        <v>-</v>
      </c>
      <c r="C4250" s="76"/>
      <c r="D4250" s="50" t="str">
        <f>IFERROR(VLOOKUP(A4250,Material!$A:$H,4,0),"-")</f>
        <v>-</v>
      </c>
      <c r="E4250" s="107"/>
      <c r="F4250" s="51" t="str">
        <f>IFERROR(VLOOKUP(A4250,Material!$A:$H,3,0),"-")</f>
        <v>-</v>
      </c>
      <c r="G4250" s="51" t="str">
        <f t="shared" si="78"/>
        <v>-</v>
      </c>
      <c r="H4250" s="106"/>
    </row>
    <row r="4251" spans="1:9" x14ac:dyDescent="0.25">
      <c r="A4251" s="50"/>
      <c r="B4251" s="72" t="str">
        <f>IFERROR(VLOOKUP(A4251,Material!$A:$H,2,0),"-")</f>
        <v>-</v>
      </c>
      <c r="C4251" s="76"/>
      <c r="D4251" s="50" t="str">
        <f>IFERROR(VLOOKUP(A4251,Material!$A:$H,4,0),"-")</f>
        <v>-</v>
      </c>
      <c r="E4251" s="53"/>
      <c r="F4251" s="51" t="str">
        <f>IFERROR(VLOOKUP(A4251,Material!$A:$H,3,0),"-")</f>
        <v>-</v>
      </c>
      <c r="G4251" s="51" t="str">
        <f t="shared" si="78"/>
        <v>-</v>
      </c>
      <c r="H4251" s="106"/>
    </row>
    <row r="4252" spans="1:9" x14ac:dyDescent="0.25">
      <c r="A4252" s="219" t="s">
        <v>41</v>
      </c>
      <c r="B4252" s="219"/>
      <c r="C4252" s="219"/>
      <c r="D4252" s="219"/>
      <c r="E4252" s="219"/>
      <c r="F4252" s="219"/>
      <c r="G4252" s="52">
        <f>SUM(G4248:G4250)</f>
        <v>752440</v>
      </c>
      <c r="I4252" s="104"/>
    </row>
    <row r="4253" spans="1:9" x14ac:dyDescent="0.25">
      <c r="A4253" s="56"/>
      <c r="B4253" s="57"/>
      <c r="C4253" s="57"/>
      <c r="D4253" s="57"/>
      <c r="E4253" s="57"/>
      <c r="F4253" s="57"/>
      <c r="G4253" s="58"/>
    </row>
    <row r="4254" spans="1:9" x14ac:dyDescent="0.25">
      <c r="A4254" s="219" t="s">
        <v>42</v>
      </c>
      <c r="B4254" s="219"/>
      <c r="C4254" s="219"/>
      <c r="D4254" s="219"/>
      <c r="E4254" s="219"/>
      <c r="F4254" s="219"/>
      <c r="G4254" s="219"/>
    </row>
    <row r="4255" spans="1:9" x14ac:dyDescent="0.25">
      <c r="A4255" s="49" t="s">
        <v>35</v>
      </c>
      <c r="B4255" s="49" t="s">
        <v>36</v>
      </c>
      <c r="C4255" s="49" t="s">
        <v>38</v>
      </c>
      <c r="D4255" s="49" t="s">
        <v>43</v>
      </c>
      <c r="E4255" s="49" t="s">
        <v>44</v>
      </c>
      <c r="F4255" s="49" t="s">
        <v>45</v>
      </c>
      <c r="G4255" s="49" t="s">
        <v>40</v>
      </c>
    </row>
    <row r="4256" spans="1:9" x14ac:dyDescent="0.25">
      <c r="A4256" s="50" t="s">
        <v>319</v>
      </c>
      <c r="B4256" s="68" t="str">
        <f>VLOOKUP(A4256,'Componentes APUs'!$H$1:$L$25,2,0)</f>
        <v>Ingeniero Residente de Obra</v>
      </c>
      <c r="C4256" s="93">
        <v>0</v>
      </c>
      <c r="D4256" s="50">
        <f>VLOOKUP(A4256,'Componentes APUs'!$H$1:$L$25,3,0)</f>
        <v>4</v>
      </c>
      <c r="E4256" s="51">
        <f>VLOOKUP(A4256,'Componentes APUs'!$H$1:$L$25,4,0)</f>
        <v>271142.85714285716</v>
      </c>
      <c r="F4256" s="51">
        <f>VLOOKUP(A4256,'Componentes APUs'!$H$1:$L$25,5,0)</f>
        <v>162685.71428571429</v>
      </c>
      <c r="G4256" s="51">
        <f>ROUNDUP((E4256+F4256)*C4256/E4245,0)</f>
        <v>0</v>
      </c>
      <c r="H4256" s="66"/>
    </row>
    <row r="4257" spans="1:9" x14ac:dyDescent="0.25">
      <c r="A4257" s="50" t="s">
        <v>320</v>
      </c>
      <c r="B4257" s="68" t="str">
        <f>VLOOKUP(A4257,'Componentes APUs'!$H$1:$L$25,2,0)</f>
        <v>Tecnico Supervisor</v>
      </c>
      <c r="C4257" s="93">
        <v>0.25</v>
      </c>
      <c r="D4257" s="50">
        <f>VLOOKUP(A4257,'Componentes APUs'!$H$1:$L$25,3,0)</f>
        <v>2.2999999999999998</v>
      </c>
      <c r="E4257" s="51">
        <f>VLOOKUP(A4257,'Componentes APUs'!$H$1:$L$25,4,0)</f>
        <v>155907.14285714284</v>
      </c>
      <c r="F4257" s="51">
        <f>VLOOKUP(A4257,'Componentes APUs'!$H$1:$L$25,5,0)</f>
        <v>93544.285714285696</v>
      </c>
      <c r="G4257" s="51">
        <f>ROUNDUP((E4257+F4257)*C4257/E4245,0)</f>
        <v>20788</v>
      </c>
    </row>
    <row r="4258" spans="1:9" x14ac:dyDescent="0.25">
      <c r="A4258" s="50" t="s">
        <v>54</v>
      </c>
      <c r="B4258" s="68" t="str">
        <f>VLOOKUP(A4258,'Componentes APUs'!$H$1:$L$25,2,0)</f>
        <v>Maestro de obra civil</v>
      </c>
      <c r="C4258" s="93">
        <v>0</v>
      </c>
      <c r="D4258" s="50">
        <f>VLOOKUP(A4258,'Componentes APUs'!$H$1:$L$25,3,0)</f>
        <v>2.5</v>
      </c>
      <c r="E4258" s="51">
        <f>VLOOKUP(A4258,'Componentes APUs'!$H$1:$L$25,4,0)</f>
        <v>169464.28571428571</v>
      </c>
      <c r="F4258" s="51">
        <f>VLOOKUP(A4258,'Componentes APUs'!$H$1:$L$25,5,0)</f>
        <v>101678.57142857142</v>
      </c>
      <c r="G4258" s="51">
        <f>ROUNDUP((E4258+F4258)*C4258/E4245,0)</f>
        <v>0</v>
      </c>
    </row>
    <row r="4259" spans="1:9" x14ac:dyDescent="0.25">
      <c r="A4259" s="50" t="s">
        <v>1110</v>
      </c>
      <c r="B4259" s="68" t="str">
        <f>VLOOKUP(A4259,'Componentes APUs'!$H$1:$L$25,2,0)</f>
        <v>Oficial de Obra Civil</v>
      </c>
      <c r="C4259" s="93">
        <v>1</v>
      </c>
      <c r="D4259" s="50">
        <f>VLOOKUP(A4259,'Componentes APUs'!$H$1:$L$25,3,0)</f>
        <v>1.5</v>
      </c>
      <c r="E4259" s="51">
        <f>VLOOKUP(A4259,'Componentes APUs'!$H$1:$L$25,4,0)</f>
        <v>115964.28571428571</v>
      </c>
      <c r="F4259" s="51">
        <f>VLOOKUP(A4259,'Componentes APUs'!$H$1:$L$25,5,0)</f>
        <v>69578.57142857142</v>
      </c>
      <c r="G4259" s="51">
        <f>ROUNDUP((E4259+F4259)*C4259/E4245,0)</f>
        <v>61848</v>
      </c>
    </row>
    <row r="4260" spans="1:9" x14ac:dyDescent="0.25">
      <c r="A4260" s="50" t="s">
        <v>50</v>
      </c>
      <c r="B4260" s="68" t="str">
        <f>VLOOKUP(A4260,'Componentes APUs'!$H$1:$L$25,2,0)</f>
        <v>Profesional en SST</v>
      </c>
      <c r="C4260" s="93">
        <v>0.25</v>
      </c>
      <c r="D4260" s="50">
        <f>VLOOKUP(A4260,'Componentes APUs'!$H$1:$L$25,3,0)</f>
        <v>2.5</v>
      </c>
      <c r="E4260" s="51">
        <f>VLOOKUP(A4260,'Componentes APUs'!$H$1:$L$25,4,0)</f>
        <v>169464.28571428571</v>
      </c>
      <c r="F4260" s="51">
        <f>VLOOKUP(A4260,'Componentes APUs'!$H$1:$L$25,5,0)</f>
        <v>101678.57142857142</v>
      </c>
      <c r="G4260" s="51">
        <f>ROUNDUP((E4260+F4260)*C4260/E4245,0)</f>
        <v>22596</v>
      </c>
    </row>
    <row r="4261" spans="1:9" x14ac:dyDescent="0.25">
      <c r="A4261" s="50" t="s">
        <v>1109</v>
      </c>
      <c r="B4261" s="68" t="str">
        <f>VLOOKUP(A4261,'Componentes APUs'!$H$1:$L$25,2,0)</f>
        <v>Ayudante de Obra Civil</v>
      </c>
      <c r="C4261" s="93">
        <v>1</v>
      </c>
      <c r="D4261" s="50">
        <f>VLOOKUP(A4261,'Componentes APUs'!$H$1:$L$25,3,0)</f>
        <v>1</v>
      </c>
      <c r="E4261" s="51">
        <f>VLOOKUP(A4261,'Componentes APUs'!$H$1:$L$25,4,0)</f>
        <v>77309.523809523816</v>
      </c>
      <c r="F4261" s="51">
        <f>VLOOKUP(A4261,'Componentes APUs'!$H$1:$L$25,5,0)</f>
        <v>46385.71428571429</v>
      </c>
      <c r="G4261" s="51">
        <f>ROUNDUP((E4261+F4261)*C4261/E4245,0)</f>
        <v>41232</v>
      </c>
    </row>
    <row r="4262" spans="1:9" x14ac:dyDescent="0.25">
      <c r="A4262" s="219" t="s">
        <v>56</v>
      </c>
      <c r="B4262" s="219"/>
      <c r="C4262" s="219"/>
      <c r="D4262" s="219"/>
      <c r="E4262" s="219"/>
      <c r="F4262" s="219"/>
      <c r="G4262" s="52">
        <f>SUM(G4256:G4261)</f>
        <v>146464</v>
      </c>
    </row>
    <row r="4263" spans="1:9" x14ac:dyDescent="0.25">
      <c r="A4263" s="56"/>
      <c r="B4263" s="57"/>
      <c r="C4263" s="57"/>
      <c r="D4263" s="57"/>
      <c r="E4263" s="57"/>
      <c r="F4263" s="57"/>
      <c r="G4263" s="58"/>
    </row>
    <row r="4264" spans="1:9" x14ac:dyDescent="0.25">
      <c r="A4264" s="219" t="s">
        <v>57</v>
      </c>
      <c r="B4264" s="219"/>
      <c r="C4264" s="219"/>
      <c r="D4264" s="219"/>
      <c r="E4264" s="219"/>
      <c r="F4264" s="219"/>
      <c r="G4264" s="219"/>
    </row>
    <row r="4265" spans="1:9" x14ac:dyDescent="0.25">
      <c r="A4265" s="49" t="s">
        <v>35</v>
      </c>
      <c r="B4265" s="219" t="s">
        <v>36</v>
      </c>
      <c r="C4265" s="219"/>
      <c r="D4265" s="49" t="s">
        <v>37</v>
      </c>
      <c r="E4265" s="49" t="s">
        <v>38</v>
      </c>
      <c r="F4265" s="49" t="s">
        <v>39</v>
      </c>
      <c r="G4265" s="49" t="s">
        <v>40</v>
      </c>
    </row>
    <row r="4266" spans="1:9" x14ac:dyDescent="0.25">
      <c r="A4266" s="50" t="s">
        <v>326</v>
      </c>
      <c r="B4266" s="220" t="str">
        <f>VLOOKUP(A4266,'Componentes APUs'!$S$1:$V$10,2,0)</f>
        <v>Juego Llaves</v>
      </c>
      <c r="C4266" s="220"/>
      <c r="D4266" s="50" t="s">
        <v>18</v>
      </c>
      <c r="E4266" s="50">
        <v>0</v>
      </c>
      <c r="F4266" s="51">
        <f>VLOOKUP(A4266,'Componentes APUs'!$S$1:$V$10,4,0)</f>
        <v>9167</v>
      </c>
      <c r="G4266" s="51">
        <f>ROUNDUP(F4266*((E4266/21)/E4245),0)</f>
        <v>0</v>
      </c>
      <c r="I4266" s="91"/>
    </row>
    <row r="4267" spans="1:9" x14ac:dyDescent="0.25">
      <c r="A4267" s="50" t="s">
        <v>58</v>
      </c>
      <c r="B4267" s="220" t="str">
        <f>VLOOKUP(A4267,'Componentes APUs'!$S$1:$V$10,2,0)</f>
        <v>Manila de servicio</v>
      </c>
      <c r="C4267" s="220"/>
      <c r="D4267" s="50" t="s">
        <v>18</v>
      </c>
      <c r="E4267" s="50">
        <v>0</v>
      </c>
      <c r="F4267" s="51">
        <f>VLOOKUP(A4267,'Componentes APUs'!$S$1:$V$10,4,0)</f>
        <v>2333</v>
      </c>
      <c r="G4267" s="51">
        <f>ROUNDUP(F4267*((E4267/21)/E4245),0)</f>
        <v>0</v>
      </c>
    </row>
    <row r="4268" spans="1:9" x14ac:dyDescent="0.25">
      <c r="A4268" s="50" t="s">
        <v>327</v>
      </c>
      <c r="B4268" s="220" t="str">
        <f>VLOOKUP(A4268,'Componentes APUs'!$S$1:$V$10,2,0)</f>
        <v>Tula portaherramientas</v>
      </c>
      <c r="C4268" s="220"/>
      <c r="D4268" s="50" t="s">
        <v>18</v>
      </c>
      <c r="E4268" s="50">
        <v>0</v>
      </c>
      <c r="F4268" s="51">
        <f>VLOOKUP(A4268,'Componentes APUs'!$S$1:$V$10,4,0)</f>
        <v>1250</v>
      </c>
      <c r="G4268" s="51">
        <f>ROUNDUP(F4268*((E4268/21)/E4245),0)</f>
        <v>0</v>
      </c>
    </row>
    <row r="4269" spans="1:9" x14ac:dyDescent="0.25">
      <c r="A4269" s="50" t="s">
        <v>60</v>
      </c>
      <c r="B4269" s="220" t="str">
        <f>VLOOKUP(A4269,'Componentes APUs'!$S$1:$V$10,2,0)</f>
        <v>Agarradoras</v>
      </c>
      <c r="C4269" s="220"/>
      <c r="D4269" s="50" t="s">
        <v>18</v>
      </c>
      <c r="E4269" s="50">
        <v>0</v>
      </c>
      <c r="F4269" s="51">
        <f>VLOOKUP(A4269,'Componentes APUs'!$S$1:$V$10,4,0)</f>
        <v>125000</v>
      </c>
      <c r="G4269" s="51">
        <f>ROUNDUP(F4269*((E4269/21)/E4245),0)</f>
        <v>0</v>
      </c>
    </row>
    <row r="4270" spans="1:9" x14ac:dyDescent="0.25">
      <c r="A4270" s="50" t="s">
        <v>62</v>
      </c>
      <c r="B4270" s="220" t="str">
        <f>VLOOKUP(A4270,'Componentes APUs'!$S$1:$V$10,2,0)</f>
        <v>Templadoras</v>
      </c>
      <c r="C4270" s="220"/>
      <c r="D4270" s="50" t="s">
        <v>18</v>
      </c>
      <c r="E4270" s="50">
        <v>0</v>
      </c>
      <c r="F4270" s="51">
        <f>VLOOKUP(A4270,'Componentes APUs'!$S$1:$V$10,4,0)</f>
        <v>250000</v>
      </c>
      <c r="G4270" s="51">
        <f>ROUNDUP(F4270*((E4270/21)/E4245),0)</f>
        <v>0</v>
      </c>
    </row>
    <row r="4271" spans="1:9" x14ac:dyDescent="0.25">
      <c r="A4271" s="50" t="s">
        <v>328</v>
      </c>
      <c r="B4271" s="220" t="str">
        <f>VLOOKUP(A4271,'Componentes APUs'!$S$1:$V$10,2,0)</f>
        <v>Herramienta Menor</v>
      </c>
      <c r="C4271" s="220"/>
      <c r="D4271" s="50" t="s">
        <v>18</v>
      </c>
      <c r="E4271" s="50">
        <v>2</v>
      </c>
      <c r="F4271" s="51">
        <f>VLOOKUP(A4271,'Componentes APUs'!$S$1:$V$10,4,0)</f>
        <v>75758</v>
      </c>
      <c r="G4271" s="51">
        <f>ROUNDUP(F4271*((E4271/21)/E4245),0)</f>
        <v>2406</v>
      </c>
    </row>
    <row r="4272" spans="1:9" x14ac:dyDescent="0.25">
      <c r="A4272" s="219" t="s">
        <v>69</v>
      </c>
      <c r="B4272" s="219"/>
      <c r="C4272" s="219"/>
      <c r="D4272" s="219"/>
      <c r="E4272" s="219"/>
      <c r="F4272" s="219"/>
      <c r="G4272" s="52">
        <f>SUM(G4266:G4271)</f>
        <v>2406</v>
      </c>
    </row>
    <row r="4273" spans="1:9" x14ac:dyDescent="0.25">
      <c r="A4273" s="56"/>
      <c r="B4273" s="57"/>
      <c r="C4273" s="57"/>
      <c r="D4273" s="57"/>
      <c r="E4273" s="57"/>
      <c r="F4273" s="57"/>
      <c r="G4273" s="58"/>
    </row>
    <row r="4274" spans="1:9" x14ac:dyDescent="0.25">
      <c r="A4274" s="219" t="s">
        <v>70</v>
      </c>
      <c r="B4274" s="219"/>
      <c r="C4274" s="219"/>
      <c r="D4274" s="219"/>
      <c r="E4274" s="219"/>
      <c r="F4274" s="219"/>
      <c r="G4274" s="219"/>
    </row>
    <row r="4275" spans="1:9" x14ac:dyDescent="0.25">
      <c r="A4275" s="49" t="s">
        <v>35</v>
      </c>
      <c r="B4275" s="219" t="s">
        <v>36</v>
      </c>
      <c r="C4275" s="219"/>
      <c r="D4275" s="49" t="s">
        <v>37</v>
      </c>
      <c r="E4275" s="49" t="s">
        <v>38</v>
      </c>
      <c r="F4275" s="49" t="s">
        <v>39</v>
      </c>
      <c r="G4275" s="49" t="s">
        <v>40</v>
      </c>
    </row>
    <row r="4276" spans="1:9" x14ac:dyDescent="0.25">
      <c r="A4276" s="50" t="s">
        <v>71</v>
      </c>
      <c r="B4276" s="71" t="str">
        <f>VLOOKUP(A4276,'Componentes APUs'!$A$1:$D$14,2,0)</f>
        <v>Camisa indigo sin partes metalicas</v>
      </c>
      <c r="C4276" s="71"/>
      <c r="D4276" s="50" t="str">
        <f>VLOOKUP(A4276,'Componentes APUs'!$A$1:$D$14,3,0)</f>
        <v>U</v>
      </c>
      <c r="E4276" s="50">
        <f>SUM(C4256:C4261)</f>
        <v>2.5</v>
      </c>
      <c r="F4276" s="51">
        <f>VLOOKUP(A4276,'Componentes APUs'!$A$1:$D$14,4,0)</f>
        <v>8585.8585858585866</v>
      </c>
      <c r="G4276" s="51">
        <f>ROUNDUP(F4276*(E4276/21)/E4245,0)</f>
        <v>341</v>
      </c>
      <c r="I4276" s="91"/>
    </row>
    <row r="4277" spans="1:9" x14ac:dyDescent="0.25">
      <c r="A4277" s="69" t="s">
        <v>73</v>
      </c>
      <c r="B4277" s="72" t="str">
        <f>VLOOKUP(A4277,'Componentes APUs'!$A$1:$D$14,2,0)</f>
        <v>Bota de seguridad dielectrica</v>
      </c>
      <c r="C4277" s="73"/>
      <c r="D4277" s="70" t="str">
        <f>VLOOKUP(A4277,'Componentes APUs'!$A$1:$D$14,3,0)</f>
        <v>Par</v>
      </c>
      <c r="E4277" s="50">
        <f>SUM(C4256:C4261)</f>
        <v>2.5</v>
      </c>
      <c r="F4277" s="51">
        <f>VLOOKUP(A4277,'Componentes APUs'!$A$1:$D$14,4,0)</f>
        <v>7500</v>
      </c>
      <c r="G4277" s="51">
        <f>ROUNDUP(F4277*(E4277/21)/E4245,0)</f>
        <v>298</v>
      </c>
    </row>
    <row r="4278" spans="1:9" x14ac:dyDescent="0.25">
      <c r="A4278" s="50" t="s">
        <v>76</v>
      </c>
      <c r="B4278" s="72" t="str">
        <f>VLOOKUP(A4278,'Componentes APUs'!$A$1:$D$14,2,0)</f>
        <v>Casco dielectrico Tipo 1 Clase E con barbuquejo</v>
      </c>
      <c r="C4278" s="73"/>
      <c r="D4278" s="50" t="str">
        <f>VLOOKUP(A4278,'Componentes APUs'!$A$1:$D$14,3,0)</f>
        <v>U</v>
      </c>
      <c r="E4278" s="50">
        <f>C4256+C4257+C4259+C4260+C4261+IF(A4258&lt;&gt;"MO-3",C4258,0)</f>
        <v>2.5</v>
      </c>
      <c r="F4278" s="51">
        <f>VLOOKUP(A4278,'Componentes APUs'!$A$1:$D$14,4,0)</f>
        <v>10101.010101010101</v>
      </c>
      <c r="G4278" s="51">
        <f>ROUNDUP(F4278*(E4278/21)/E4245,0)</f>
        <v>401</v>
      </c>
    </row>
    <row r="4279" spans="1:9" x14ac:dyDescent="0.25">
      <c r="A4279" s="69" t="s">
        <v>77</v>
      </c>
      <c r="B4279" s="72" t="str">
        <f>VLOOKUP(A4279,'Componentes APUs'!$A$1:$D$14,2,0)</f>
        <v>Correa plastica y antiflama</v>
      </c>
      <c r="C4279" s="73"/>
      <c r="D4279" s="50" t="str">
        <f>VLOOKUP(A4279,'Componentes APUs'!$A$1:$D$14,3,0)</f>
        <v>U</v>
      </c>
      <c r="E4279" s="50">
        <f>SUM(C4256:C4261)</f>
        <v>2.5</v>
      </c>
      <c r="F4279" s="51">
        <f>VLOOKUP(A4279,'Componentes APUs'!$A$1:$D$14,4,0)</f>
        <v>3787.878787878788</v>
      </c>
      <c r="G4279" s="51">
        <f>ROUNDUP(F4279*(E4279/21)/E4245,0)</f>
        <v>151</v>
      </c>
    </row>
    <row r="4280" spans="1:9" x14ac:dyDescent="0.25">
      <c r="A4280" s="50" t="s">
        <v>79</v>
      </c>
      <c r="B4280" s="72" t="str">
        <f>VLOOKUP(A4280,'Componentes APUs'!$A$1:$D$14,2,0)</f>
        <v>Gafas protectoras filtro UV</v>
      </c>
      <c r="C4280" s="73"/>
      <c r="D4280" s="50" t="str">
        <f>VLOOKUP(A4280,'Componentes APUs'!$A$1:$D$14,3,0)</f>
        <v>U</v>
      </c>
      <c r="E4280" s="50">
        <f>SUM(C4256:C4261)</f>
        <v>2.5</v>
      </c>
      <c r="F4280" s="51">
        <f>VLOOKUP(A4280,'Componentes APUs'!$A$1:$D$14,4,0)</f>
        <v>2777.7777777777778</v>
      </c>
      <c r="G4280" s="51">
        <f>ROUNDUP(F4280*(E4280/21)/E4245,0)</f>
        <v>111</v>
      </c>
    </row>
    <row r="4281" spans="1:9" x14ac:dyDescent="0.25">
      <c r="A4281" s="69" t="s">
        <v>402</v>
      </c>
      <c r="B4281" s="72" t="str">
        <f>VLOOKUP(A4281,'Componentes APUs'!$A$1:$D$14,2,0)</f>
        <v>Bota de seguridad PVC dielectrica</v>
      </c>
      <c r="C4281" s="73"/>
      <c r="D4281" s="50" t="str">
        <f>VLOOKUP(A4281,'Componentes APUs'!$A$1:$D$14,3,0)</f>
        <v>Par</v>
      </c>
      <c r="E4281" s="50">
        <f>SUM(C4256:C4261)</f>
        <v>2.5</v>
      </c>
      <c r="F4281" s="51">
        <f>VLOOKUP(A4281,'Componentes APUs'!$A$1:$D$14,4,0)</f>
        <v>2916.6666666666665</v>
      </c>
      <c r="G4281" s="51">
        <f>ROUNDUP(F4281*(E4281/21)/E4245,0)</f>
        <v>116</v>
      </c>
    </row>
    <row r="4282" spans="1:9" x14ac:dyDescent="0.25">
      <c r="A4282" s="50" t="s">
        <v>403</v>
      </c>
      <c r="B4282" s="72" t="str">
        <f>VLOOKUP(A4282,'Componentes APUs'!$A$1:$D$14,2,0)</f>
        <v>Capuchon</v>
      </c>
      <c r="C4282" s="73"/>
      <c r="D4282" s="50" t="str">
        <f>VLOOKUP(A4282,'Componentes APUs'!$A$1:$D$14,3,0)</f>
        <v>U</v>
      </c>
      <c r="E4282" s="50">
        <f>SUM(C4256:C4261)</f>
        <v>2.5</v>
      </c>
      <c r="F4282" s="51">
        <f>VLOOKUP(A4282,'Componentes APUs'!$A$1:$D$14,4,0)</f>
        <v>2525.2525252525252</v>
      </c>
      <c r="G4282" s="51">
        <f>ROUNDUP(F4282*(E4282/21)/E4245,0)</f>
        <v>101</v>
      </c>
    </row>
    <row r="4283" spans="1:9" x14ac:dyDescent="0.25">
      <c r="A4283" s="69" t="s">
        <v>81</v>
      </c>
      <c r="B4283" s="72" t="str">
        <f>VLOOKUP(A4283,'Componentes APUs'!$A$1:$D$14,2,0)</f>
        <v>Guantes Protectores  - ingeniero reforzados</v>
      </c>
      <c r="C4283" s="73"/>
      <c r="D4283" s="50" t="str">
        <f>VLOOKUP(A4283,'Componentes APUs'!$A$1:$D$14,3,0)</f>
        <v>Par</v>
      </c>
      <c r="E4283" s="50">
        <f>C4258+C4259+C4261</f>
        <v>2</v>
      </c>
      <c r="F4283" s="51">
        <f>VLOOKUP(A4283,'Componentes APUs'!$A$1:$D$14,4,0)</f>
        <v>2525.2525252525252</v>
      </c>
      <c r="G4283" s="51">
        <f>ROUNDUP(F4283*(E4283/21)/E4245,0)</f>
        <v>81</v>
      </c>
    </row>
    <row r="4284" spans="1:9" x14ac:dyDescent="0.25">
      <c r="A4284" s="50" t="s">
        <v>83</v>
      </c>
      <c r="B4284" s="72" t="str">
        <f>VLOOKUP(A4284,'Componentes APUs'!$A$1:$D$14,2,0)</f>
        <v>Impermeable (pantalon camisa)</v>
      </c>
      <c r="C4284" s="73"/>
      <c r="D4284" s="50" t="str">
        <f>VLOOKUP(A4284,'Componentes APUs'!$A$1:$D$14,3,0)</f>
        <v>U</v>
      </c>
      <c r="E4284" s="50">
        <f>SUM(C4256:C4261)</f>
        <v>2.5</v>
      </c>
      <c r="F4284" s="51">
        <f>VLOOKUP(A4284,'Componentes APUs'!$A$1:$D$14,4,0)</f>
        <v>3750</v>
      </c>
      <c r="G4284" s="51">
        <f>ROUNDUP(F4284*(E4284/21)/E4245,0)</f>
        <v>149</v>
      </c>
    </row>
    <row r="4285" spans="1:9" x14ac:dyDescent="0.25">
      <c r="A4285" s="69" t="s">
        <v>85</v>
      </c>
      <c r="B4285" s="72" t="str">
        <f>VLOOKUP(A4285,'Componentes APUs'!$A$1:$D$14,2,0)</f>
        <v>Jean Dielectrico</v>
      </c>
      <c r="C4285" s="73"/>
      <c r="D4285" s="50" t="str">
        <f>VLOOKUP(A4285,'Componentes APUs'!$A$1:$D$14,3,0)</f>
        <v>U</v>
      </c>
      <c r="E4285" s="50">
        <f>SUM(C4256:C4261)</f>
        <v>2.5</v>
      </c>
      <c r="F4285" s="51">
        <f>VLOOKUP(A4285,'Componentes APUs'!$A$1:$D$14,4,0)</f>
        <v>7575.757575757576</v>
      </c>
      <c r="G4285" s="51">
        <f>ROUNDUP(F4285*(E4285/21)/E4245,0)</f>
        <v>301</v>
      </c>
    </row>
    <row r="4286" spans="1:9" x14ac:dyDescent="0.25">
      <c r="A4286" s="50" t="s">
        <v>87</v>
      </c>
      <c r="B4286" s="72" t="str">
        <f>VLOOKUP(A4286,'Componentes APUs'!$A$1:$D$14,2,0)</f>
        <v>Casco dielectrico Tipo 2 Clase E con barboquejo</v>
      </c>
      <c r="C4286" s="73"/>
      <c r="D4286" s="50" t="str">
        <f>VLOOKUP(A4286,'Componentes APUs'!$A$1:$D$14,3,0)</f>
        <v>U</v>
      </c>
      <c r="E4286" s="53">
        <f>IF(A4258="MO-3",C4258,0)</f>
        <v>0</v>
      </c>
      <c r="F4286" s="51">
        <f>VLOOKUP(A4286,'Componentes APUs'!$A$1:$D$14,4,0)</f>
        <v>7500</v>
      </c>
      <c r="G4286" s="51">
        <f>ROUNDUP(F4286*(E4286/21)/E4245,0)</f>
        <v>0</v>
      </c>
    </row>
    <row r="4287" spans="1:9" x14ac:dyDescent="0.25">
      <c r="A4287" s="69" t="s">
        <v>89</v>
      </c>
      <c r="B4287" s="72" t="str">
        <f>VLOOKUP(A4287,'Componentes APUs'!$A$1:$D$14,2,0)</f>
        <v>Kit de rescate para trabajo en alturas</v>
      </c>
      <c r="C4287" s="73"/>
      <c r="D4287" s="50" t="str">
        <f>VLOOKUP(A4287,'Componentes APUs'!$A$1:$D$14,3,0)</f>
        <v>U</v>
      </c>
      <c r="E4287" s="50">
        <f>IF(AND(A4258="MO-3",C4258=2),1,0)</f>
        <v>0</v>
      </c>
      <c r="F4287" s="51">
        <f>VLOOKUP(A4287,'Componentes APUs'!$A$1:$D$14,4,0)</f>
        <v>37500</v>
      </c>
      <c r="G4287" s="51">
        <f>ROUNDUP(F4287*(E4287/21)/E4245,0)</f>
        <v>0</v>
      </c>
    </row>
    <row r="4288" spans="1:9" x14ac:dyDescent="0.25">
      <c r="A4288" s="50" t="s">
        <v>91</v>
      </c>
      <c r="B4288" s="72" t="str">
        <f>VLOOKUP(A4288,'Componentes APUs'!$A$1:$D$14,2,0)</f>
        <v>Equipo completo para trabajo en alturas con pretales (Arnes dielectrico, 1 mosqueton de seguridad, tie off dielectrico, eslinga de posicionamiento, juego de pretales)</v>
      </c>
      <c r="C4288" s="73"/>
      <c r="D4288" s="50" t="str">
        <f>VLOOKUP(A4288,'Componentes APUs'!$A$1:$D$14,3,0)</f>
        <v>U</v>
      </c>
      <c r="E4288" s="50">
        <f>IF(A4258="MO-3",C4258,0)</f>
        <v>0</v>
      </c>
      <c r="F4288" s="51">
        <f>VLOOKUP(A4288,'Componentes APUs'!$A$1:$D$14,4,0)</f>
        <v>26041.666666666668</v>
      </c>
      <c r="G4288" s="51">
        <f>ROUNDUP(F4288*(E4288/21)/E4245,0)</f>
        <v>0</v>
      </c>
    </row>
    <row r="4289" spans="1:7" x14ac:dyDescent="0.25">
      <c r="A4289" s="219" t="s">
        <v>95</v>
      </c>
      <c r="B4289" s="219"/>
      <c r="C4289" s="219"/>
      <c r="D4289" s="219"/>
      <c r="E4289" s="219"/>
      <c r="F4289" s="219"/>
      <c r="G4289" s="52">
        <f>SUM(G4276:G4288)</f>
        <v>2050</v>
      </c>
    </row>
    <row r="4290" spans="1:7" x14ac:dyDescent="0.25">
      <c r="A4290" s="56"/>
      <c r="B4290" s="57"/>
      <c r="C4290" s="57"/>
      <c r="D4290" s="57"/>
      <c r="E4290" s="57"/>
      <c r="F4290" s="57"/>
      <c r="G4290" s="58"/>
    </row>
    <row r="4291" spans="1:7" x14ac:dyDescent="0.25">
      <c r="A4291" s="219" t="s">
        <v>96</v>
      </c>
      <c r="B4291" s="219"/>
      <c r="C4291" s="219"/>
      <c r="D4291" s="219"/>
      <c r="E4291" s="219"/>
      <c r="F4291" s="219"/>
      <c r="G4291" s="219"/>
    </row>
    <row r="4292" spans="1:7" x14ac:dyDescent="0.25">
      <c r="A4292" s="49" t="s">
        <v>35</v>
      </c>
      <c r="B4292" s="225" t="s">
        <v>36</v>
      </c>
      <c r="C4292" s="225"/>
      <c r="D4292" s="49" t="s">
        <v>37</v>
      </c>
      <c r="E4292" s="49" t="s">
        <v>38</v>
      </c>
      <c r="F4292" s="49" t="s">
        <v>39</v>
      </c>
      <c r="G4292" s="49" t="s">
        <v>40</v>
      </c>
    </row>
    <row r="4293" spans="1:7" x14ac:dyDescent="0.25">
      <c r="A4293" s="69" t="s">
        <v>97</v>
      </c>
      <c r="B4293" s="72" t="str">
        <f>VLOOKUP(A4293,'Componentes APUs'!$N$1:$Q$30,2,0)</f>
        <v>Camioneta</v>
      </c>
      <c r="C4293" s="73"/>
      <c r="D4293" s="70" t="str">
        <f>VLOOKUP(A4293,'Componentes APUs'!$N$1:$Q$30,3,0)</f>
        <v>U</v>
      </c>
      <c r="E4293" s="50">
        <v>1</v>
      </c>
      <c r="F4293" s="51">
        <f>VLOOKUP(A4293,'Componentes APUs'!$N$1:$Q$30,4,0)</f>
        <v>5500000</v>
      </c>
      <c r="G4293" s="51">
        <f>IFERROR(ROUNDUP(F4293*(E4293/21)/E4245,0),"-")</f>
        <v>87302</v>
      </c>
    </row>
    <row r="4294" spans="1:7" x14ac:dyDescent="0.25">
      <c r="A4294" s="50" t="s">
        <v>321</v>
      </c>
      <c r="B4294" s="72" t="str">
        <f>VLOOKUP(A4294,'Componentes APUs'!$N$1:$Q$30,2,0)</f>
        <v>Grúa Hidráulica</v>
      </c>
      <c r="C4294" s="73"/>
      <c r="D4294" s="70" t="str">
        <f>VLOOKUP(A4294,'Componentes APUs'!$N$1:$Q$30,3,0)</f>
        <v>U</v>
      </c>
      <c r="E4294" s="50">
        <v>0</v>
      </c>
      <c r="F4294" s="51">
        <f>VLOOKUP(A4294,'Componentes APUs'!$N$1:$Q$30,4,0)</f>
        <v>21000000</v>
      </c>
      <c r="G4294" s="51">
        <f>IFERROR(ROUNDUP(F4294*(E4294/21)/E4245,0),"-")</f>
        <v>0</v>
      </c>
    </row>
    <row r="4295" spans="1:7" x14ac:dyDescent="0.25">
      <c r="A4295" s="69" t="s">
        <v>1379</v>
      </c>
      <c r="B4295" s="72" t="str">
        <f>VLOOKUP(A4295,'Componentes APUs'!$N$1:$Q$30,2,0)</f>
        <v>Dumper de descarga Frontal 2T</v>
      </c>
      <c r="C4295" s="73"/>
      <c r="D4295" s="70" t="str">
        <f>VLOOKUP(A4295,'Componentes APUs'!$N$1:$Q$30,3,0)</f>
        <v>U</v>
      </c>
      <c r="E4295" s="50">
        <v>0</v>
      </c>
      <c r="F4295" s="51">
        <f>VLOOKUP(A4295,'Componentes APUs'!$N$1:$Q$30,4,0)</f>
        <v>4438716.24</v>
      </c>
      <c r="G4295" s="51">
        <f>IFERROR(ROUNDUP(F4295*(E4295/21)/E4245,0),"-")</f>
        <v>0</v>
      </c>
    </row>
    <row r="4296" spans="1:7" x14ac:dyDescent="0.25">
      <c r="A4296" s="50" t="s">
        <v>323</v>
      </c>
      <c r="B4296" s="72" t="str">
        <f>VLOOKUP(A4296,'Componentes APUs'!$N$1:$Q$30,2,0)</f>
        <v>Volqueta</v>
      </c>
      <c r="C4296" s="73"/>
      <c r="D4296" s="70" t="str">
        <f>VLOOKUP(A4296,'Componentes APUs'!$N$1:$Q$30,3,0)</f>
        <v>U</v>
      </c>
      <c r="E4296" s="50">
        <v>0</v>
      </c>
      <c r="F4296" s="51">
        <f>VLOOKUP(A4296,'Componentes APUs'!$N$1:$Q$30,4,0)</f>
        <v>14828184</v>
      </c>
      <c r="G4296" s="51">
        <f>IFERROR(ROUNDUP(F4296*(E4296/21)/E4245,0),"-")</f>
        <v>0</v>
      </c>
    </row>
    <row r="4297" spans="1:7" x14ac:dyDescent="0.25">
      <c r="A4297" s="69" t="s">
        <v>324</v>
      </c>
      <c r="B4297" s="72" t="str">
        <f>VLOOKUP(A4297,'Componentes APUs'!$N$1:$Q$30,2,0)</f>
        <v>Retroexcavadora</v>
      </c>
      <c r="C4297" s="73"/>
      <c r="D4297" s="70" t="str">
        <f>VLOOKUP(A4297,'Componentes APUs'!$N$1:$Q$30,3,0)</f>
        <v>U</v>
      </c>
      <c r="E4297" s="50">
        <v>0</v>
      </c>
      <c r="F4297" s="51">
        <f>VLOOKUP(A4297,'Componentes APUs'!$N$1:$Q$30,4,0)</f>
        <v>46030656</v>
      </c>
      <c r="G4297" s="51">
        <f>IFERROR(ROUNDUP(F4297*(E4297/21)/E4245,0),"-")</f>
        <v>0</v>
      </c>
    </row>
    <row r="4298" spans="1:7" x14ac:dyDescent="0.25">
      <c r="A4298" s="219" t="s">
        <v>99</v>
      </c>
      <c r="B4298" s="219"/>
      <c r="C4298" s="219"/>
      <c r="D4298" s="219"/>
      <c r="E4298" s="219"/>
      <c r="F4298" s="219"/>
      <c r="G4298" s="52">
        <f>SUM(G4293:G4297)</f>
        <v>87302</v>
      </c>
    </row>
    <row r="4299" spans="1:7" x14ac:dyDescent="0.25">
      <c r="A4299" s="56"/>
      <c r="B4299" s="57"/>
      <c r="C4299" s="57"/>
      <c r="D4299" s="57"/>
      <c r="E4299" s="57"/>
      <c r="F4299" s="57"/>
      <c r="G4299" s="58"/>
    </row>
    <row r="4300" spans="1:7" x14ac:dyDescent="0.25">
      <c r="A4300" s="219" t="s">
        <v>1516</v>
      </c>
      <c r="B4300" s="219"/>
      <c r="C4300" s="219"/>
      <c r="D4300" s="219"/>
      <c r="E4300" s="219"/>
      <c r="F4300" s="219"/>
      <c r="G4300" s="52">
        <f>G4298+G4289+G4272+G4262+G4252</f>
        <v>990662</v>
      </c>
    </row>
    <row r="4301" spans="1:7" x14ac:dyDescent="0.25">
      <c r="A4301" s="59"/>
      <c r="B4301" s="60"/>
      <c r="C4301" s="60"/>
      <c r="D4301" s="60"/>
      <c r="E4301" s="57"/>
      <c r="F4301" s="57"/>
      <c r="G4301" s="58"/>
    </row>
    <row r="4302" spans="1:7" x14ac:dyDescent="0.25">
      <c r="A4302" s="64"/>
      <c r="D4302" s="55"/>
      <c r="E4302" s="49" t="s">
        <v>25</v>
      </c>
      <c r="F4302" s="54">
        <v>0.15</v>
      </c>
      <c r="G4302" s="51">
        <f>G4300*F4302</f>
        <v>148599.29999999999</v>
      </c>
    </row>
    <row r="4303" spans="1:7" x14ac:dyDescent="0.25">
      <c r="A4303" s="64"/>
      <c r="D4303" s="55"/>
      <c r="E4303" s="49" t="s">
        <v>26</v>
      </c>
      <c r="F4303" s="54">
        <v>0.05</v>
      </c>
      <c r="G4303" s="51">
        <f>G4300*F4303</f>
        <v>49533.100000000006</v>
      </c>
    </row>
    <row r="4304" spans="1:7" x14ac:dyDescent="0.25">
      <c r="A4304" s="61"/>
      <c r="B4304" s="65"/>
      <c r="C4304" s="65"/>
      <c r="D4304" s="62"/>
      <c r="E4304" s="49" t="s">
        <v>27</v>
      </c>
      <c r="F4304" s="54">
        <v>0.05</v>
      </c>
      <c r="G4304" s="51">
        <f>G4300*F4304</f>
        <v>49533.100000000006</v>
      </c>
    </row>
    <row r="4305" spans="1:9" x14ac:dyDescent="0.25">
      <c r="A4305" s="61"/>
      <c r="B4305" s="62"/>
      <c r="C4305" s="62"/>
      <c r="D4305" s="62"/>
      <c r="E4305" s="62"/>
      <c r="F4305" s="62"/>
      <c r="G4305" s="63"/>
    </row>
    <row r="4306" spans="1:9" x14ac:dyDescent="0.25">
      <c r="A4306" s="219" t="s">
        <v>1517</v>
      </c>
      <c r="B4306" s="219"/>
      <c r="C4306" s="219"/>
      <c r="D4306" s="219"/>
      <c r="E4306" s="219"/>
      <c r="F4306" s="219"/>
      <c r="G4306" s="52">
        <f>G4300+G4302+G4303+G4304</f>
        <v>1238327.5000000002</v>
      </c>
    </row>
    <row r="4307" spans="1:9" x14ac:dyDescent="0.25">
      <c r="A4307" s="59"/>
      <c r="B4307" s="60"/>
      <c r="C4307" s="60"/>
      <c r="D4307" s="60"/>
      <c r="E4307" s="57"/>
      <c r="F4307" s="57"/>
      <c r="G4307" s="58"/>
    </row>
    <row r="4308" spans="1:9" x14ac:dyDescent="0.25">
      <c r="A4308" s="64"/>
      <c r="D4308" s="55"/>
      <c r="E4308" s="49" t="s">
        <v>102</v>
      </c>
      <c r="F4308" s="49" t="s">
        <v>103</v>
      </c>
      <c r="G4308" s="51">
        <f>G4304*19%</f>
        <v>9411.2890000000007</v>
      </c>
    </row>
    <row r="4309" spans="1:9" x14ac:dyDescent="0.25">
      <c r="A4309" s="61"/>
      <c r="B4309" s="62"/>
      <c r="C4309" s="62"/>
      <c r="D4309" s="62"/>
      <c r="E4309" s="57"/>
      <c r="F4309" s="57"/>
      <c r="G4309" s="58"/>
    </row>
    <row r="4310" spans="1:9" x14ac:dyDescent="0.25">
      <c r="A4310" s="219" t="s">
        <v>104</v>
      </c>
      <c r="B4310" s="219"/>
      <c r="C4310" s="219"/>
      <c r="D4310" s="219"/>
      <c r="E4310" s="219"/>
      <c r="F4310" s="219"/>
      <c r="G4310" s="52">
        <f>G4308+G4306</f>
        <v>1247738.7890000003</v>
      </c>
    </row>
    <row r="4312" spans="1:9" x14ac:dyDescent="0.25">
      <c r="A4312" s="74" t="s">
        <v>29</v>
      </c>
      <c r="B4312" s="226" t="s">
        <v>30</v>
      </c>
      <c r="C4312" s="226"/>
      <c r="D4312" s="74" t="s">
        <v>31</v>
      </c>
      <c r="E4312" s="74" t="s">
        <v>32</v>
      </c>
      <c r="F4312" s="74" t="s">
        <v>189</v>
      </c>
      <c r="G4312" s="74" t="s">
        <v>33</v>
      </c>
      <c r="H4312" s="105"/>
    </row>
    <row r="4313" spans="1:9" ht="27" customHeight="1" x14ac:dyDescent="0.25">
      <c r="A4313" s="50" t="str">
        <f>Presupuesto!B87</f>
        <v>071_OC</v>
      </c>
      <c r="B4313" s="229" t="str">
        <f>Presupuesto!C87</f>
        <v>DUCHA. INCLUYE DIVISIÓN EN VIDRIO OPALIZADO Y ACCESORIOS PARA SU CORRECTA INSTALACIÓN.</v>
      </c>
      <c r="C4313" s="230"/>
      <c r="D4313" s="50" t="s">
        <v>8</v>
      </c>
      <c r="E4313" s="107">
        <v>5</v>
      </c>
      <c r="F4313" s="50"/>
      <c r="G4313" s="51">
        <f>G4378</f>
        <v>3210439.0505000004</v>
      </c>
      <c r="H4313" s="45"/>
    </row>
    <row r="4314" spans="1:9" x14ac:dyDescent="0.25">
      <c r="A4314" s="219" t="s">
        <v>34</v>
      </c>
      <c r="B4314" s="219"/>
      <c r="C4314" s="219"/>
      <c r="D4314" s="219"/>
      <c r="E4314" s="219"/>
      <c r="F4314" s="219"/>
      <c r="G4314" s="219"/>
    </row>
    <row r="4315" spans="1:9" x14ac:dyDescent="0.25">
      <c r="A4315" s="49" t="s">
        <v>35</v>
      </c>
      <c r="B4315" s="219" t="s">
        <v>36</v>
      </c>
      <c r="C4315" s="219"/>
      <c r="D4315" s="49" t="s">
        <v>37</v>
      </c>
      <c r="E4315" s="49" t="s">
        <v>38</v>
      </c>
      <c r="F4315" s="49" t="s">
        <v>39</v>
      </c>
      <c r="G4315" s="49" t="s">
        <v>40</v>
      </c>
    </row>
    <row r="4316" spans="1:9" x14ac:dyDescent="0.25">
      <c r="A4316" s="50" t="str">
        <f>Material!A499</f>
        <v>MA-498</v>
      </c>
      <c r="B4316" s="72" t="str">
        <f>IFERROR(VLOOKUP(A4316,Material!$A:$H,2,0),"-")</f>
        <v>DUCHA</v>
      </c>
      <c r="C4316" s="76"/>
      <c r="D4316" s="50" t="str">
        <f>IFERROR(VLOOKUP(A4316,Material!$A:$H,4,0),"-")</f>
        <v>ML</v>
      </c>
      <c r="E4316" s="53">
        <v>1</v>
      </c>
      <c r="F4316" s="51">
        <f>IFERROR(VLOOKUP(A4316,Material!$A:$H,3,0),"-")</f>
        <v>2079870</v>
      </c>
      <c r="G4316" s="51">
        <f t="shared" ref="G4316:G4319" si="79">IFERROR(ROUNDUP(F4316*E4316,0),"-")</f>
        <v>2079870</v>
      </c>
      <c r="H4316" s="106"/>
    </row>
    <row r="4317" spans="1:9" x14ac:dyDescent="0.25">
      <c r="A4317" s="50" t="str">
        <f>Material!A500</f>
        <v>MA-499</v>
      </c>
      <c r="B4317" s="72" t="str">
        <f>IFERROR(VLOOKUP(A4317,Material!$A:$H,2,0),"-")</f>
        <v>ACCESORIOS DE DUCHA</v>
      </c>
      <c r="C4317" s="76"/>
      <c r="D4317" s="50" t="str">
        <f>IFERROR(VLOOKUP(A4317,Material!$A:$H,4,0),"-")</f>
        <v>ML</v>
      </c>
      <c r="E4317" s="53">
        <v>1</v>
      </c>
      <c r="F4317" s="51">
        <f>IFERROR(VLOOKUP(A4317,Material!$A:$H,3,0),"-")</f>
        <v>326170</v>
      </c>
      <c r="G4317" s="51">
        <f t="shared" si="79"/>
        <v>326170</v>
      </c>
      <c r="H4317" s="106"/>
    </row>
    <row r="4318" spans="1:9" x14ac:dyDescent="0.25">
      <c r="A4318" s="50"/>
      <c r="B4318" s="72" t="str">
        <f>IFERROR(VLOOKUP(A4318,Material!$A:$H,2,0),"-")</f>
        <v>-</v>
      </c>
      <c r="C4318" s="76"/>
      <c r="D4318" s="50" t="str">
        <f>IFERROR(VLOOKUP(A4318,Material!$A:$H,4,0),"-")</f>
        <v>-</v>
      </c>
      <c r="E4318" s="107"/>
      <c r="F4318" s="51" t="str">
        <f>IFERROR(VLOOKUP(A4318,Material!$A:$H,3,0),"-")</f>
        <v>-</v>
      </c>
      <c r="G4318" s="51" t="str">
        <f t="shared" si="79"/>
        <v>-</v>
      </c>
      <c r="H4318" s="106"/>
    </row>
    <row r="4319" spans="1:9" x14ac:dyDescent="0.25">
      <c r="A4319" s="50"/>
      <c r="B4319" s="72" t="str">
        <f>IFERROR(VLOOKUP(A4319,Material!$A:$H,2,0),"-")</f>
        <v>-</v>
      </c>
      <c r="C4319" s="76"/>
      <c r="D4319" s="50" t="str">
        <f>IFERROR(VLOOKUP(A4319,Material!$A:$H,4,0),"-")</f>
        <v>-</v>
      </c>
      <c r="E4319" s="53"/>
      <c r="F4319" s="51" t="str">
        <f>IFERROR(VLOOKUP(A4319,Material!$A:$H,3,0),"-")</f>
        <v>-</v>
      </c>
      <c r="G4319" s="51" t="str">
        <f t="shared" si="79"/>
        <v>-</v>
      </c>
      <c r="H4319" s="106"/>
    </row>
    <row r="4320" spans="1:9" x14ac:dyDescent="0.25">
      <c r="A4320" s="219" t="s">
        <v>41</v>
      </c>
      <c r="B4320" s="219"/>
      <c r="C4320" s="219"/>
      <c r="D4320" s="219"/>
      <c r="E4320" s="219"/>
      <c r="F4320" s="219"/>
      <c r="G4320" s="52">
        <f>SUM(G4316:G4318)</f>
        <v>2406040</v>
      </c>
      <c r="I4320" s="104"/>
    </row>
    <row r="4321" spans="1:9" x14ac:dyDescent="0.25">
      <c r="A4321" s="56"/>
      <c r="B4321" s="57"/>
      <c r="C4321" s="57"/>
      <c r="D4321" s="57"/>
      <c r="E4321" s="57"/>
      <c r="F4321" s="57"/>
      <c r="G4321" s="58"/>
    </row>
    <row r="4322" spans="1:9" x14ac:dyDescent="0.25">
      <c r="A4322" s="219" t="s">
        <v>42</v>
      </c>
      <c r="B4322" s="219"/>
      <c r="C4322" s="219"/>
      <c r="D4322" s="219"/>
      <c r="E4322" s="219"/>
      <c r="F4322" s="219"/>
      <c r="G4322" s="219"/>
    </row>
    <row r="4323" spans="1:9" x14ac:dyDescent="0.25">
      <c r="A4323" s="49" t="s">
        <v>35</v>
      </c>
      <c r="B4323" s="49" t="s">
        <v>36</v>
      </c>
      <c r="C4323" s="49" t="s">
        <v>38</v>
      </c>
      <c r="D4323" s="49" t="s">
        <v>43</v>
      </c>
      <c r="E4323" s="49" t="s">
        <v>44</v>
      </c>
      <c r="F4323" s="49" t="s">
        <v>45</v>
      </c>
      <c r="G4323" s="49" t="s">
        <v>40</v>
      </c>
    </row>
    <row r="4324" spans="1:9" x14ac:dyDescent="0.25">
      <c r="A4324" s="50" t="s">
        <v>319</v>
      </c>
      <c r="B4324" s="68" t="str">
        <f>VLOOKUP(A4324,'Componentes APUs'!$H$1:$L$25,2,0)</f>
        <v>Ingeniero Residente de Obra</v>
      </c>
      <c r="C4324" s="93">
        <v>0</v>
      </c>
      <c r="D4324" s="50">
        <f>VLOOKUP(A4324,'Componentes APUs'!$H$1:$L$25,3,0)</f>
        <v>4</v>
      </c>
      <c r="E4324" s="51">
        <f>VLOOKUP(A4324,'Componentes APUs'!$H$1:$L$25,4,0)</f>
        <v>271142.85714285716</v>
      </c>
      <c r="F4324" s="51">
        <f>VLOOKUP(A4324,'Componentes APUs'!$H$1:$L$25,5,0)</f>
        <v>162685.71428571429</v>
      </c>
      <c r="G4324" s="51">
        <f>ROUNDUP((E4324+F4324)*C4324/E4313,0)</f>
        <v>0</v>
      </c>
      <c r="H4324" s="66"/>
    </row>
    <row r="4325" spans="1:9" x14ac:dyDescent="0.25">
      <c r="A4325" s="50" t="s">
        <v>320</v>
      </c>
      <c r="B4325" s="68" t="str">
        <f>VLOOKUP(A4325,'Componentes APUs'!$H$1:$L$25,2,0)</f>
        <v>Tecnico Supervisor</v>
      </c>
      <c r="C4325" s="93">
        <v>0.25</v>
      </c>
      <c r="D4325" s="50">
        <f>VLOOKUP(A4325,'Componentes APUs'!$H$1:$L$25,3,0)</f>
        <v>2.2999999999999998</v>
      </c>
      <c r="E4325" s="51">
        <f>VLOOKUP(A4325,'Componentes APUs'!$H$1:$L$25,4,0)</f>
        <v>155907.14285714284</v>
      </c>
      <c r="F4325" s="51">
        <f>VLOOKUP(A4325,'Componentes APUs'!$H$1:$L$25,5,0)</f>
        <v>93544.285714285696</v>
      </c>
      <c r="G4325" s="51">
        <f>ROUNDUP((E4325+F4325)*C4325/E4313,0)</f>
        <v>12473</v>
      </c>
    </row>
    <row r="4326" spans="1:9" x14ac:dyDescent="0.25">
      <c r="A4326" s="50" t="s">
        <v>54</v>
      </c>
      <c r="B4326" s="68" t="str">
        <f>VLOOKUP(A4326,'Componentes APUs'!$H$1:$L$25,2,0)</f>
        <v>Maestro de obra civil</v>
      </c>
      <c r="C4326" s="93">
        <v>0</v>
      </c>
      <c r="D4326" s="50">
        <f>VLOOKUP(A4326,'Componentes APUs'!$H$1:$L$25,3,0)</f>
        <v>2.5</v>
      </c>
      <c r="E4326" s="51">
        <f>VLOOKUP(A4326,'Componentes APUs'!$H$1:$L$25,4,0)</f>
        <v>169464.28571428571</v>
      </c>
      <c r="F4326" s="51">
        <f>VLOOKUP(A4326,'Componentes APUs'!$H$1:$L$25,5,0)</f>
        <v>101678.57142857142</v>
      </c>
      <c r="G4326" s="51">
        <f>ROUNDUP((E4326+F4326)*C4326/E4313,0)</f>
        <v>0</v>
      </c>
    </row>
    <row r="4327" spans="1:9" x14ac:dyDescent="0.25">
      <c r="A4327" s="50" t="s">
        <v>1110</v>
      </c>
      <c r="B4327" s="68" t="str">
        <f>VLOOKUP(A4327,'Componentes APUs'!$H$1:$L$25,2,0)</f>
        <v>Oficial de Obra Civil</v>
      </c>
      <c r="C4327" s="93">
        <v>1</v>
      </c>
      <c r="D4327" s="50">
        <f>VLOOKUP(A4327,'Componentes APUs'!$H$1:$L$25,3,0)</f>
        <v>1.5</v>
      </c>
      <c r="E4327" s="51">
        <f>VLOOKUP(A4327,'Componentes APUs'!$H$1:$L$25,4,0)</f>
        <v>115964.28571428571</v>
      </c>
      <c r="F4327" s="51">
        <f>VLOOKUP(A4327,'Componentes APUs'!$H$1:$L$25,5,0)</f>
        <v>69578.57142857142</v>
      </c>
      <c r="G4327" s="51">
        <f>ROUNDUP((E4327+F4327)*C4327/E4313,0)</f>
        <v>37109</v>
      </c>
    </row>
    <row r="4328" spans="1:9" x14ac:dyDescent="0.25">
      <c r="A4328" s="50" t="s">
        <v>50</v>
      </c>
      <c r="B4328" s="68" t="str">
        <f>VLOOKUP(A4328,'Componentes APUs'!$H$1:$L$25,2,0)</f>
        <v>Profesional en SST</v>
      </c>
      <c r="C4328" s="93">
        <v>0.25</v>
      </c>
      <c r="D4328" s="50">
        <f>VLOOKUP(A4328,'Componentes APUs'!$H$1:$L$25,3,0)</f>
        <v>2.5</v>
      </c>
      <c r="E4328" s="51">
        <f>VLOOKUP(A4328,'Componentes APUs'!$H$1:$L$25,4,0)</f>
        <v>169464.28571428571</v>
      </c>
      <c r="F4328" s="51">
        <f>VLOOKUP(A4328,'Componentes APUs'!$H$1:$L$25,5,0)</f>
        <v>101678.57142857142</v>
      </c>
      <c r="G4328" s="51">
        <f>ROUNDUP((E4328+F4328)*C4328/E4313,0)</f>
        <v>13558</v>
      </c>
    </row>
    <row r="4329" spans="1:9" x14ac:dyDescent="0.25">
      <c r="A4329" s="50" t="s">
        <v>1109</v>
      </c>
      <c r="B4329" s="68" t="str">
        <f>VLOOKUP(A4329,'Componentes APUs'!$H$1:$L$25,2,0)</f>
        <v>Ayudante de Obra Civil</v>
      </c>
      <c r="C4329" s="93">
        <v>1</v>
      </c>
      <c r="D4329" s="50">
        <f>VLOOKUP(A4329,'Componentes APUs'!$H$1:$L$25,3,0)</f>
        <v>1</v>
      </c>
      <c r="E4329" s="51">
        <f>VLOOKUP(A4329,'Componentes APUs'!$H$1:$L$25,4,0)</f>
        <v>77309.523809523816</v>
      </c>
      <c r="F4329" s="51">
        <f>VLOOKUP(A4329,'Componentes APUs'!$H$1:$L$25,5,0)</f>
        <v>46385.71428571429</v>
      </c>
      <c r="G4329" s="51">
        <f>ROUNDUP((E4329+F4329)*C4329/E4313,0)</f>
        <v>24740</v>
      </c>
    </row>
    <row r="4330" spans="1:9" x14ac:dyDescent="0.25">
      <c r="A4330" s="219" t="s">
        <v>56</v>
      </c>
      <c r="B4330" s="219"/>
      <c r="C4330" s="219"/>
      <c r="D4330" s="219"/>
      <c r="E4330" s="219"/>
      <c r="F4330" s="219"/>
      <c r="G4330" s="52">
        <f>SUM(G4324:G4329)</f>
        <v>87880</v>
      </c>
    </row>
    <row r="4331" spans="1:9" x14ac:dyDescent="0.25">
      <c r="A4331" s="56"/>
      <c r="B4331" s="57"/>
      <c r="C4331" s="57"/>
      <c r="D4331" s="57"/>
      <c r="E4331" s="57"/>
      <c r="F4331" s="57"/>
      <c r="G4331" s="58"/>
    </row>
    <row r="4332" spans="1:9" x14ac:dyDescent="0.25">
      <c r="A4332" s="219" t="s">
        <v>57</v>
      </c>
      <c r="B4332" s="219"/>
      <c r="C4332" s="219"/>
      <c r="D4332" s="219"/>
      <c r="E4332" s="219"/>
      <c r="F4332" s="219"/>
      <c r="G4332" s="219"/>
    </row>
    <row r="4333" spans="1:9" x14ac:dyDescent="0.25">
      <c r="A4333" s="49" t="s">
        <v>35</v>
      </c>
      <c r="B4333" s="219" t="s">
        <v>36</v>
      </c>
      <c r="C4333" s="219"/>
      <c r="D4333" s="49" t="s">
        <v>37</v>
      </c>
      <c r="E4333" s="49" t="s">
        <v>38</v>
      </c>
      <c r="F4333" s="49" t="s">
        <v>39</v>
      </c>
      <c r="G4333" s="49" t="s">
        <v>40</v>
      </c>
    </row>
    <row r="4334" spans="1:9" x14ac:dyDescent="0.25">
      <c r="A4334" s="50" t="s">
        <v>326</v>
      </c>
      <c r="B4334" s="220" t="str">
        <f>VLOOKUP(A4334,'Componentes APUs'!$S$1:$V$10,2,0)</f>
        <v>Juego Llaves</v>
      </c>
      <c r="C4334" s="220"/>
      <c r="D4334" s="50" t="s">
        <v>18</v>
      </c>
      <c r="E4334" s="50">
        <v>0</v>
      </c>
      <c r="F4334" s="51">
        <f>VLOOKUP(A4334,'Componentes APUs'!$S$1:$V$10,4,0)</f>
        <v>9167</v>
      </c>
      <c r="G4334" s="51">
        <f>ROUNDUP(F4334*((E4334/21)/E4313),0)</f>
        <v>0</v>
      </c>
      <c r="I4334" s="91"/>
    </row>
    <row r="4335" spans="1:9" x14ac:dyDescent="0.25">
      <c r="A4335" s="50" t="s">
        <v>58</v>
      </c>
      <c r="B4335" s="220" t="str">
        <f>VLOOKUP(A4335,'Componentes APUs'!$S$1:$V$10,2,0)</f>
        <v>Manila de servicio</v>
      </c>
      <c r="C4335" s="220"/>
      <c r="D4335" s="50" t="s">
        <v>18</v>
      </c>
      <c r="E4335" s="50">
        <v>0</v>
      </c>
      <c r="F4335" s="51">
        <f>VLOOKUP(A4335,'Componentes APUs'!$S$1:$V$10,4,0)</f>
        <v>2333</v>
      </c>
      <c r="G4335" s="51">
        <f>ROUNDUP(F4335*((E4335/21)/E4313),0)</f>
        <v>0</v>
      </c>
    </row>
    <row r="4336" spans="1:9" x14ac:dyDescent="0.25">
      <c r="A4336" s="50" t="s">
        <v>327</v>
      </c>
      <c r="B4336" s="220" t="str">
        <f>VLOOKUP(A4336,'Componentes APUs'!$S$1:$V$10,2,0)</f>
        <v>Tula portaherramientas</v>
      </c>
      <c r="C4336" s="220"/>
      <c r="D4336" s="50" t="s">
        <v>18</v>
      </c>
      <c r="E4336" s="50">
        <v>0</v>
      </c>
      <c r="F4336" s="51">
        <f>VLOOKUP(A4336,'Componentes APUs'!$S$1:$V$10,4,0)</f>
        <v>1250</v>
      </c>
      <c r="G4336" s="51">
        <f>ROUNDUP(F4336*((E4336/21)/E4313),0)</f>
        <v>0</v>
      </c>
    </row>
    <row r="4337" spans="1:9" x14ac:dyDescent="0.25">
      <c r="A4337" s="50" t="s">
        <v>60</v>
      </c>
      <c r="B4337" s="220" t="str">
        <f>VLOOKUP(A4337,'Componentes APUs'!$S$1:$V$10,2,0)</f>
        <v>Agarradoras</v>
      </c>
      <c r="C4337" s="220"/>
      <c r="D4337" s="50" t="s">
        <v>18</v>
      </c>
      <c r="E4337" s="50">
        <v>0</v>
      </c>
      <c r="F4337" s="51">
        <f>VLOOKUP(A4337,'Componentes APUs'!$S$1:$V$10,4,0)</f>
        <v>125000</v>
      </c>
      <c r="G4337" s="51">
        <f>ROUNDUP(F4337*((E4337/21)/E4313),0)</f>
        <v>0</v>
      </c>
    </row>
    <row r="4338" spans="1:9" x14ac:dyDescent="0.25">
      <c r="A4338" s="50" t="s">
        <v>62</v>
      </c>
      <c r="B4338" s="220" t="str">
        <f>VLOOKUP(A4338,'Componentes APUs'!$S$1:$V$10,2,0)</f>
        <v>Templadoras</v>
      </c>
      <c r="C4338" s="220"/>
      <c r="D4338" s="50" t="s">
        <v>18</v>
      </c>
      <c r="E4338" s="50">
        <v>0</v>
      </c>
      <c r="F4338" s="51">
        <f>VLOOKUP(A4338,'Componentes APUs'!$S$1:$V$10,4,0)</f>
        <v>250000</v>
      </c>
      <c r="G4338" s="51">
        <f>ROUNDUP(F4338*((E4338/21)/E4313),0)</f>
        <v>0</v>
      </c>
    </row>
    <row r="4339" spans="1:9" x14ac:dyDescent="0.25">
      <c r="A4339" s="50" t="s">
        <v>328</v>
      </c>
      <c r="B4339" s="220" t="str">
        <f>VLOOKUP(A4339,'Componentes APUs'!$S$1:$V$10,2,0)</f>
        <v>Herramienta Menor</v>
      </c>
      <c r="C4339" s="220"/>
      <c r="D4339" s="50" t="s">
        <v>18</v>
      </c>
      <c r="E4339" s="50">
        <v>2</v>
      </c>
      <c r="F4339" s="51">
        <f>VLOOKUP(A4339,'Componentes APUs'!$S$1:$V$10,4,0)</f>
        <v>75758</v>
      </c>
      <c r="G4339" s="51">
        <f>ROUNDUP(F4339*((E4339/21)/E4313),0)</f>
        <v>1444</v>
      </c>
    </row>
    <row r="4340" spans="1:9" x14ac:dyDescent="0.25">
      <c r="A4340" s="219" t="s">
        <v>69</v>
      </c>
      <c r="B4340" s="219"/>
      <c r="C4340" s="219"/>
      <c r="D4340" s="219"/>
      <c r="E4340" s="219"/>
      <c r="F4340" s="219"/>
      <c r="G4340" s="52">
        <f>SUM(G4334:G4339)</f>
        <v>1444</v>
      </c>
    </row>
    <row r="4341" spans="1:9" x14ac:dyDescent="0.25">
      <c r="A4341" s="56"/>
      <c r="B4341" s="57"/>
      <c r="C4341" s="57"/>
      <c r="D4341" s="57"/>
      <c r="E4341" s="57"/>
      <c r="F4341" s="57"/>
      <c r="G4341" s="58"/>
    </row>
    <row r="4342" spans="1:9" x14ac:dyDescent="0.25">
      <c r="A4342" s="219" t="s">
        <v>70</v>
      </c>
      <c r="B4342" s="219"/>
      <c r="C4342" s="219"/>
      <c r="D4342" s="219"/>
      <c r="E4342" s="219"/>
      <c r="F4342" s="219"/>
      <c r="G4342" s="219"/>
    </row>
    <row r="4343" spans="1:9" x14ac:dyDescent="0.25">
      <c r="A4343" s="49" t="s">
        <v>35</v>
      </c>
      <c r="B4343" s="219" t="s">
        <v>36</v>
      </c>
      <c r="C4343" s="219"/>
      <c r="D4343" s="49" t="s">
        <v>37</v>
      </c>
      <c r="E4343" s="49" t="s">
        <v>38</v>
      </c>
      <c r="F4343" s="49" t="s">
        <v>39</v>
      </c>
      <c r="G4343" s="49" t="s">
        <v>40</v>
      </c>
    </row>
    <row r="4344" spans="1:9" x14ac:dyDescent="0.25">
      <c r="A4344" s="50" t="s">
        <v>71</v>
      </c>
      <c r="B4344" s="71" t="str">
        <f>VLOOKUP(A4344,'Componentes APUs'!$A$1:$D$14,2,0)</f>
        <v>Camisa indigo sin partes metalicas</v>
      </c>
      <c r="C4344" s="71"/>
      <c r="D4344" s="50" t="str">
        <f>VLOOKUP(A4344,'Componentes APUs'!$A$1:$D$14,3,0)</f>
        <v>U</v>
      </c>
      <c r="E4344" s="50">
        <f>SUM(C4324:C4329)</f>
        <v>2.5</v>
      </c>
      <c r="F4344" s="51">
        <f>VLOOKUP(A4344,'Componentes APUs'!$A$1:$D$14,4,0)</f>
        <v>8585.8585858585866</v>
      </c>
      <c r="G4344" s="51">
        <f>ROUNDUP(F4344*(E4344/21)/E4313,0)</f>
        <v>205</v>
      </c>
      <c r="I4344" s="91"/>
    </row>
    <row r="4345" spans="1:9" x14ac:dyDescent="0.25">
      <c r="A4345" s="69" t="s">
        <v>73</v>
      </c>
      <c r="B4345" s="72" t="str">
        <f>VLOOKUP(A4345,'Componentes APUs'!$A$1:$D$14,2,0)</f>
        <v>Bota de seguridad dielectrica</v>
      </c>
      <c r="C4345" s="73"/>
      <c r="D4345" s="70" t="str">
        <f>VLOOKUP(A4345,'Componentes APUs'!$A$1:$D$14,3,0)</f>
        <v>Par</v>
      </c>
      <c r="E4345" s="50">
        <f>SUM(C4324:C4329)</f>
        <v>2.5</v>
      </c>
      <c r="F4345" s="51">
        <f>VLOOKUP(A4345,'Componentes APUs'!$A$1:$D$14,4,0)</f>
        <v>7500</v>
      </c>
      <c r="G4345" s="51">
        <f>ROUNDUP(F4345*(E4345/21)/E4313,0)</f>
        <v>179</v>
      </c>
    </row>
    <row r="4346" spans="1:9" x14ac:dyDescent="0.25">
      <c r="A4346" s="50" t="s">
        <v>76</v>
      </c>
      <c r="B4346" s="72" t="str">
        <f>VLOOKUP(A4346,'Componentes APUs'!$A$1:$D$14,2,0)</f>
        <v>Casco dielectrico Tipo 1 Clase E con barbuquejo</v>
      </c>
      <c r="C4346" s="73"/>
      <c r="D4346" s="50" t="str">
        <f>VLOOKUP(A4346,'Componentes APUs'!$A$1:$D$14,3,0)</f>
        <v>U</v>
      </c>
      <c r="E4346" s="50">
        <f>C4324+C4325+C4327+C4328+C4329+IF(A4326&lt;&gt;"MO-3",C4326,0)</f>
        <v>2.5</v>
      </c>
      <c r="F4346" s="51">
        <f>VLOOKUP(A4346,'Componentes APUs'!$A$1:$D$14,4,0)</f>
        <v>10101.010101010101</v>
      </c>
      <c r="G4346" s="51">
        <f>ROUNDUP(F4346*(E4346/21)/E4313,0)</f>
        <v>241</v>
      </c>
    </row>
    <row r="4347" spans="1:9" x14ac:dyDescent="0.25">
      <c r="A4347" s="69" t="s">
        <v>77</v>
      </c>
      <c r="B4347" s="72" t="str">
        <f>VLOOKUP(A4347,'Componentes APUs'!$A$1:$D$14,2,0)</f>
        <v>Correa plastica y antiflama</v>
      </c>
      <c r="C4347" s="73"/>
      <c r="D4347" s="50" t="str">
        <f>VLOOKUP(A4347,'Componentes APUs'!$A$1:$D$14,3,0)</f>
        <v>U</v>
      </c>
      <c r="E4347" s="50">
        <f>SUM(C4324:C4329)</f>
        <v>2.5</v>
      </c>
      <c r="F4347" s="51">
        <f>VLOOKUP(A4347,'Componentes APUs'!$A$1:$D$14,4,0)</f>
        <v>3787.878787878788</v>
      </c>
      <c r="G4347" s="51">
        <f>ROUNDUP(F4347*(E4347/21)/E4313,0)</f>
        <v>91</v>
      </c>
    </row>
    <row r="4348" spans="1:9" x14ac:dyDescent="0.25">
      <c r="A4348" s="50" t="s">
        <v>79</v>
      </c>
      <c r="B4348" s="72" t="str">
        <f>VLOOKUP(A4348,'Componentes APUs'!$A$1:$D$14,2,0)</f>
        <v>Gafas protectoras filtro UV</v>
      </c>
      <c r="C4348" s="73"/>
      <c r="D4348" s="50" t="str">
        <f>VLOOKUP(A4348,'Componentes APUs'!$A$1:$D$14,3,0)</f>
        <v>U</v>
      </c>
      <c r="E4348" s="50">
        <f>SUM(C4324:C4329)</f>
        <v>2.5</v>
      </c>
      <c r="F4348" s="51">
        <f>VLOOKUP(A4348,'Componentes APUs'!$A$1:$D$14,4,0)</f>
        <v>2777.7777777777778</v>
      </c>
      <c r="G4348" s="51">
        <f>ROUNDUP(F4348*(E4348/21)/E4313,0)</f>
        <v>67</v>
      </c>
    </row>
    <row r="4349" spans="1:9" x14ac:dyDescent="0.25">
      <c r="A4349" s="69" t="s">
        <v>402</v>
      </c>
      <c r="B4349" s="72" t="str">
        <f>VLOOKUP(A4349,'Componentes APUs'!$A$1:$D$14,2,0)</f>
        <v>Bota de seguridad PVC dielectrica</v>
      </c>
      <c r="C4349" s="73"/>
      <c r="D4349" s="50" t="str">
        <f>VLOOKUP(A4349,'Componentes APUs'!$A$1:$D$14,3,0)</f>
        <v>Par</v>
      </c>
      <c r="E4349" s="50">
        <f>SUM(C4324:C4329)</f>
        <v>2.5</v>
      </c>
      <c r="F4349" s="51">
        <f>VLOOKUP(A4349,'Componentes APUs'!$A$1:$D$14,4,0)</f>
        <v>2916.6666666666665</v>
      </c>
      <c r="G4349" s="51">
        <f>ROUNDUP(F4349*(E4349/21)/E4313,0)</f>
        <v>70</v>
      </c>
    </row>
    <row r="4350" spans="1:9" x14ac:dyDescent="0.25">
      <c r="A4350" s="50" t="s">
        <v>403</v>
      </c>
      <c r="B4350" s="72" t="str">
        <f>VLOOKUP(A4350,'Componentes APUs'!$A$1:$D$14,2,0)</f>
        <v>Capuchon</v>
      </c>
      <c r="C4350" s="73"/>
      <c r="D4350" s="50" t="str">
        <f>VLOOKUP(A4350,'Componentes APUs'!$A$1:$D$14,3,0)</f>
        <v>U</v>
      </c>
      <c r="E4350" s="50">
        <f>SUM(C4324:C4329)</f>
        <v>2.5</v>
      </c>
      <c r="F4350" s="51">
        <f>VLOOKUP(A4350,'Componentes APUs'!$A$1:$D$14,4,0)</f>
        <v>2525.2525252525252</v>
      </c>
      <c r="G4350" s="51">
        <f>ROUNDUP(F4350*(E4350/21)/E4313,0)</f>
        <v>61</v>
      </c>
    </row>
    <row r="4351" spans="1:9" x14ac:dyDescent="0.25">
      <c r="A4351" s="69" t="s">
        <v>81</v>
      </c>
      <c r="B4351" s="72" t="str">
        <f>VLOOKUP(A4351,'Componentes APUs'!$A$1:$D$14,2,0)</f>
        <v>Guantes Protectores  - ingeniero reforzados</v>
      </c>
      <c r="C4351" s="73"/>
      <c r="D4351" s="50" t="str">
        <f>VLOOKUP(A4351,'Componentes APUs'!$A$1:$D$14,3,0)</f>
        <v>Par</v>
      </c>
      <c r="E4351" s="50">
        <f>C4326+C4327+C4329</f>
        <v>2</v>
      </c>
      <c r="F4351" s="51">
        <f>VLOOKUP(A4351,'Componentes APUs'!$A$1:$D$14,4,0)</f>
        <v>2525.2525252525252</v>
      </c>
      <c r="G4351" s="51">
        <f>ROUNDUP(F4351*(E4351/21)/E4313,0)</f>
        <v>49</v>
      </c>
    </row>
    <row r="4352" spans="1:9" x14ac:dyDescent="0.25">
      <c r="A4352" s="50" t="s">
        <v>83</v>
      </c>
      <c r="B4352" s="72" t="str">
        <f>VLOOKUP(A4352,'Componentes APUs'!$A$1:$D$14,2,0)</f>
        <v>Impermeable (pantalon camisa)</v>
      </c>
      <c r="C4352" s="73"/>
      <c r="D4352" s="50" t="str">
        <f>VLOOKUP(A4352,'Componentes APUs'!$A$1:$D$14,3,0)</f>
        <v>U</v>
      </c>
      <c r="E4352" s="50">
        <f>SUM(C4324:C4329)</f>
        <v>2.5</v>
      </c>
      <c r="F4352" s="51">
        <f>VLOOKUP(A4352,'Componentes APUs'!$A$1:$D$14,4,0)</f>
        <v>3750</v>
      </c>
      <c r="G4352" s="51">
        <f>ROUNDUP(F4352*(E4352/21)/E4313,0)</f>
        <v>90</v>
      </c>
    </row>
    <row r="4353" spans="1:7" x14ac:dyDescent="0.25">
      <c r="A4353" s="69" t="s">
        <v>85</v>
      </c>
      <c r="B4353" s="72" t="str">
        <f>VLOOKUP(A4353,'Componentes APUs'!$A$1:$D$14,2,0)</f>
        <v>Jean Dielectrico</v>
      </c>
      <c r="C4353" s="73"/>
      <c r="D4353" s="50" t="str">
        <f>VLOOKUP(A4353,'Componentes APUs'!$A$1:$D$14,3,0)</f>
        <v>U</v>
      </c>
      <c r="E4353" s="50">
        <f>SUM(C4324:C4329)</f>
        <v>2.5</v>
      </c>
      <c r="F4353" s="51">
        <f>VLOOKUP(A4353,'Componentes APUs'!$A$1:$D$14,4,0)</f>
        <v>7575.757575757576</v>
      </c>
      <c r="G4353" s="51">
        <f>ROUNDUP(F4353*(E4353/21)/E4313,0)</f>
        <v>181</v>
      </c>
    </row>
    <row r="4354" spans="1:7" x14ac:dyDescent="0.25">
      <c r="A4354" s="50" t="s">
        <v>87</v>
      </c>
      <c r="B4354" s="72" t="str">
        <f>VLOOKUP(A4354,'Componentes APUs'!$A$1:$D$14,2,0)</f>
        <v>Casco dielectrico Tipo 2 Clase E con barboquejo</v>
      </c>
      <c r="C4354" s="73"/>
      <c r="D4354" s="50" t="str">
        <f>VLOOKUP(A4354,'Componentes APUs'!$A$1:$D$14,3,0)</f>
        <v>U</v>
      </c>
      <c r="E4354" s="53">
        <f>IF(A4326="MO-3",C4326,0)</f>
        <v>0</v>
      </c>
      <c r="F4354" s="51">
        <f>VLOOKUP(A4354,'Componentes APUs'!$A$1:$D$14,4,0)</f>
        <v>7500</v>
      </c>
      <c r="G4354" s="51">
        <f>ROUNDUP(F4354*(E4354/21)/E4313,0)</f>
        <v>0</v>
      </c>
    </row>
    <row r="4355" spans="1:7" x14ac:dyDescent="0.25">
      <c r="A4355" s="69" t="s">
        <v>89</v>
      </c>
      <c r="B4355" s="72" t="str">
        <f>VLOOKUP(A4355,'Componentes APUs'!$A$1:$D$14,2,0)</f>
        <v>Kit de rescate para trabajo en alturas</v>
      </c>
      <c r="C4355" s="73"/>
      <c r="D4355" s="50" t="str">
        <f>VLOOKUP(A4355,'Componentes APUs'!$A$1:$D$14,3,0)</f>
        <v>U</v>
      </c>
      <c r="E4355" s="50">
        <f>IF(AND(A4326="MO-3",C4326=2),1,0)</f>
        <v>0</v>
      </c>
      <c r="F4355" s="51">
        <f>VLOOKUP(A4355,'Componentes APUs'!$A$1:$D$14,4,0)</f>
        <v>37500</v>
      </c>
      <c r="G4355" s="51">
        <f>ROUNDUP(F4355*(E4355/21)/E4313,0)</f>
        <v>0</v>
      </c>
    </row>
    <row r="4356" spans="1:7" x14ac:dyDescent="0.25">
      <c r="A4356" s="50" t="s">
        <v>91</v>
      </c>
      <c r="B4356" s="72" t="str">
        <f>VLOOKUP(A4356,'Componentes APUs'!$A$1:$D$14,2,0)</f>
        <v>Equipo completo para trabajo en alturas con pretales (Arnes dielectrico, 1 mosqueton de seguridad, tie off dielectrico, eslinga de posicionamiento, juego de pretales)</v>
      </c>
      <c r="C4356" s="73"/>
      <c r="D4356" s="50" t="str">
        <f>VLOOKUP(A4356,'Componentes APUs'!$A$1:$D$14,3,0)</f>
        <v>U</v>
      </c>
      <c r="E4356" s="50">
        <f>IF(A4326="MO-3",C4326,0)</f>
        <v>0</v>
      </c>
      <c r="F4356" s="51">
        <f>VLOOKUP(A4356,'Componentes APUs'!$A$1:$D$14,4,0)</f>
        <v>26041.666666666668</v>
      </c>
      <c r="G4356" s="51">
        <f>ROUNDUP(F4356*(E4356/21)/E4313,0)</f>
        <v>0</v>
      </c>
    </row>
    <row r="4357" spans="1:7" x14ac:dyDescent="0.25">
      <c r="A4357" s="219" t="s">
        <v>95</v>
      </c>
      <c r="B4357" s="219"/>
      <c r="C4357" s="219"/>
      <c r="D4357" s="219"/>
      <c r="E4357" s="219"/>
      <c r="F4357" s="219"/>
      <c r="G4357" s="52">
        <f>SUM(G4344:G4356)</f>
        <v>1234</v>
      </c>
    </row>
    <row r="4358" spans="1:7" x14ac:dyDescent="0.25">
      <c r="A4358" s="56"/>
      <c r="B4358" s="57"/>
      <c r="C4358" s="57"/>
      <c r="D4358" s="57"/>
      <c r="E4358" s="57"/>
      <c r="F4358" s="57"/>
      <c r="G4358" s="58"/>
    </row>
    <row r="4359" spans="1:7" x14ac:dyDescent="0.25">
      <c r="A4359" s="219" t="s">
        <v>96</v>
      </c>
      <c r="B4359" s="219"/>
      <c r="C4359" s="219"/>
      <c r="D4359" s="219"/>
      <c r="E4359" s="219"/>
      <c r="F4359" s="219"/>
      <c r="G4359" s="219"/>
    </row>
    <row r="4360" spans="1:7" x14ac:dyDescent="0.25">
      <c r="A4360" s="49" t="s">
        <v>35</v>
      </c>
      <c r="B4360" s="225" t="s">
        <v>36</v>
      </c>
      <c r="C4360" s="225"/>
      <c r="D4360" s="49" t="s">
        <v>37</v>
      </c>
      <c r="E4360" s="49" t="s">
        <v>38</v>
      </c>
      <c r="F4360" s="49" t="s">
        <v>39</v>
      </c>
      <c r="G4360" s="49" t="s">
        <v>40</v>
      </c>
    </row>
    <row r="4361" spans="1:7" x14ac:dyDescent="0.25">
      <c r="A4361" s="69" t="s">
        <v>97</v>
      </c>
      <c r="B4361" s="72" t="str">
        <f>VLOOKUP(A4361,'Componentes APUs'!$N$1:$Q$30,2,0)</f>
        <v>Camioneta</v>
      </c>
      <c r="C4361" s="73"/>
      <c r="D4361" s="70" t="str">
        <f>VLOOKUP(A4361,'Componentes APUs'!$N$1:$Q$30,3,0)</f>
        <v>U</v>
      </c>
      <c r="E4361" s="50">
        <v>1</v>
      </c>
      <c r="F4361" s="51">
        <f>VLOOKUP(A4361,'Componentes APUs'!$N$1:$Q$30,4,0)</f>
        <v>5500000</v>
      </c>
      <c r="G4361" s="51">
        <f>IFERROR(ROUNDUP(F4361*(E4361/21)/E4313,0),"-")</f>
        <v>52381</v>
      </c>
    </row>
    <row r="4362" spans="1:7" x14ac:dyDescent="0.25">
      <c r="A4362" s="50" t="s">
        <v>321</v>
      </c>
      <c r="B4362" s="72" t="str">
        <f>VLOOKUP(A4362,'Componentes APUs'!$N$1:$Q$30,2,0)</f>
        <v>Grúa Hidráulica</v>
      </c>
      <c r="C4362" s="73"/>
      <c r="D4362" s="70" t="str">
        <f>VLOOKUP(A4362,'Componentes APUs'!$N$1:$Q$30,3,0)</f>
        <v>U</v>
      </c>
      <c r="E4362" s="50">
        <v>0</v>
      </c>
      <c r="F4362" s="51">
        <f>VLOOKUP(A4362,'Componentes APUs'!$N$1:$Q$30,4,0)</f>
        <v>21000000</v>
      </c>
      <c r="G4362" s="51">
        <f>IFERROR(ROUNDUP(F4362*(E4362/21)/E4313,0),"-")</f>
        <v>0</v>
      </c>
    </row>
    <row r="4363" spans="1:7" x14ac:dyDescent="0.25">
      <c r="A4363" s="69" t="s">
        <v>1379</v>
      </c>
      <c r="B4363" s="72" t="str">
        <f>VLOOKUP(A4363,'Componentes APUs'!$N$1:$Q$30,2,0)</f>
        <v>Dumper de descarga Frontal 2T</v>
      </c>
      <c r="C4363" s="73"/>
      <c r="D4363" s="70" t="str">
        <f>VLOOKUP(A4363,'Componentes APUs'!$N$1:$Q$30,3,0)</f>
        <v>U</v>
      </c>
      <c r="E4363" s="50">
        <v>0</v>
      </c>
      <c r="F4363" s="51">
        <f>VLOOKUP(A4363,'Componentes APUs'!$N$1:$Q$30,4,0)</f>
        <v>4438716.24</v>
      </c>
      <c r="G4363" s="51">
        <f>IFERROR(ROUNDUP(F4363*(E4363/21)/E4313,0),"-")</f>
        <v>0</v>
      </c>
    </row>
    <row r="4364" spans="1:7" x14ac:dyDescent="0.25">
      <c r="A4364" s="50" t="s">
        <v>323</v>
      </c>
      <c r="B4364" s="72" t="str">
        <f>VLOOKUP(A4364,'Componentes APUs'!$N$1:$Q$30,2,0)</f>
        <v>Volqueta</v>
      </c>
      <c r="C4364" s="73"/>
      <c r="D4364" s="70" t="str">
        <f>VLOOKUP(A4364,'Componentes APUs'!$N$1:$Q$30,3,0)</f>
        <v>U</v>
      </c>
      <c r="E4364" s="50">
        <v>0</v>
      </c>
      <c r="F4364" s="51">
        <f>VLOOKUP(A4364,'Componentes APUs'!$N$1:$Q$30,4,0)</f>
        <v>14828184</v>
      </c>
      <c r="G4364" s="51">
        <f>IFERROR(ROUNDUP(F4364*(E4364/21)/E4313,0),"-")</f>
        <v>0</v>
      </c>
    </row>
    <row r="4365" spans="1:7" x14ac:dyDescent="0.25">
      <c r="A4365" s="69" t="s">
        <v>324</v>
      </c>
      <c r="B4365" s="72" t="str">
        <f>VLOOKUP(A4365,'Componentes APUs'!$N$1:$Q$30,2,0)</f>
        <v>Retroexcavadora</v>
      </c>
      <c r="C4365" s="73"/>
      <c r="D4365" s="70" t="str">
        <f>VLOOKUP(A4365,'Componentes APUs'!$N$1:$Q$30,3,0)</f>
        <v>U</v>
      </c>
      <c r="E4365" s="50">
        <v>0</v>
      </c>
      <c r="F4365" s="51">
        <f>VLOOKUP(A4365,'Componentes APUs'!$N$1:$Q$30,4,0)</f>
        <v>46030656</v>
      </c>
      <c r="G4365" s="51">
        <f>IFERROR(ROUNDUP(F4365*(E4365/21)/E4313,0),"-")</f>
        <v>0</v>
      </c>
    </row>
    <row r="4366" spans="1:7" x14ac:dyDescent="0.25">
      <c r="A4366" s="219" t="s">
        <v>99</v>
      </c>
      <c r="B4366" s="219"/>
      <c r="C4366" s="219"/>
      <c r="D4366" s="219"/>
      <c r="E4366" s="219"/>
      <c r="F4366" s="219"/>
      <c r="G4366" s="52">
        <f>SUM(G4361:G4365)</f>
        <v>52381</v>
      </c>
    </row>
    <row r="4367" spans="1:7" x14ac:dyDescent="0.25">
      <c r="A4367" s="56"/>
      <c r="B4367" s="57"/>
      <c r="C4367" s="57"/>
      <c r="D4367" s="57"/>
      <c r="E4367" s="57"/>
      <c r="F4367" s="57"/>
      <c r="G4367" s="58"/>
    </row>
    <row r="4368" spans="1:7" x14ac:dyDescent="0.25">
      <c r="A4368" s="219" t="s">
        <v>1516</v>
      </c>
      <c r="B4368" s="219"/>
      <c r="C4368" s="219"/>
      <c r="D4368" s="219"/>
      <c r="E4368" s="219"/>
      <c r="F4368" s="219"/>
      <c r="G4368" s="52">
        <f>G4366+G4357+G4340+G4330+G4320</f>
        <v>2548979</v>
      </c>
    </row>
    <row r="4369" spans="1:8" x14ac:dyDescent="0.25">
      <c r="A4369" s="59"/>
      <c r="B4369" s="60"/>
      <c r="C4369" s="60"/>
      <c r="D4369" s="60"/>
      <c r="E4369" s="57"/>
      <c r="F4369" s="57"/>
      <c r="G4369" s="58"/>
    </row>
    <row r="4370" spans="1:8" x14ac:dyDescent="0.25">
      <c r="A4370" s="64"/>
      <c r="D4370" s="55"/>
      <c r="E4370" s="49" t="s">
        <v>25</v>
      </c>
      <c r="F4370" s="54">
        <v>0.15</v>
      </c>
      <c r="G4370" s="51">
        <f>G4368*F4370</f>
        <v>382346.85</v>
      </c>
    </row>
    <row r="4371" spans="1:8" x14ac:dyDescent="0.25">
      <c r="A4371" s="64"/>
      <c r="D4371" s="55"/>
      <c r="E4371" s="49" t="s">
        <v>26</v>
      </c>
      <c r="F4371" s="54">
        <v>0.05</v>
      </c>
      <c r="G4371" s="51">
        <f>G4368*F4371</f>
        <v>127448.95000000001</v>
      </c>
    </row>
    <row r="4372" spans="1:8" x14ac:dyDescent="0.25">
      <c r="A4372" s="61"/>
      <c r="B4372" s="65"/>
      <c r="C4372" s="65"/>
      <c r="D4372" s="62"/>
      <c r="E4372" s="49" t="s">
        <v>27</v>
      </c>
      <c r="F4372" s="54">
        <v>0.05</v>
      </c>
      <c r="G4372" s="51">
        <f>G4368*F4372</f>
        <v>127448.95000000001</v>
      </c>
    </row>
    <row r="4373" spans="1:8" x14ac:dyDescent="0.25">
      <c r="A4373" s="61"/>
      <c r="B4373" s="62"/>
      <c r="C4373" s="62"/>
      <c r="D4373" s="62"/>
      <c r="E4373" s="62"/>
      <c r="F4373" s="62"/>
      <c r="G4373" s="63"/>
    </row>
    <row r="4374" spans="1:8" x14ac:dyDescent="0.25">
      <c r="A4374" s="219" t="s">
        <v>1517</v>
      </c>
      <c r="B4374" s="219"/>
      <c r="C4374" s="219"/>
      <c r="D4374" s="219"/>
      <c r="E4374" s="219"/>
      <c r="F4374" s="219"/>
      <c r="G4374" s="52">
        <f>G4368+G4370+G4371+G4372</f>
        <v>3186223.7500000005</v>
      </c>
    </row>
    <row r="4375" spans="1:8" x14ac:dyDescent="0.25">
      <c r="A4375" s="59"/>
      <c r="B4375" s="60"/>
      <c r="C4375" s="60"/>
      <c r="D4375" s="60"/>
      <c r="E4375" s="57"/>
      <c r="F4375" s="57"/>
      <c r="G4375" s="58"/>
    </row>
    <row r="4376" spans="1:8" x14ac:dyDescent="0.25">
      <c r="A4376" s="64"/>
      <c r="D4376" s="55"/>
      <c r="E4376" s="49" t="s">
        <v>102</v>
      </c>
      <c r="F4376" s="49" t="s">
        <v>103</v>
      </c>
      <c r="G4376" s="51">
        <f>G4372*19%</f>
        <v>24215.300500000001</v>
      </c>
    </row>
    <row r="4377" spans="1:8" x14ac:dyDescent="0.25">
      <c r="A4377" s="61"/>
      <c r="B4377" s="62"/>
      <c r="C4377" s="62"/>
      <c r="D4377" s="62"/>
      <c r="E4377" s="57"/>
      <c r="F4377" s="57"/>
      <c r="G4377" s="58"/>
    </row>
    <row r="4378" spans="1:8" x14ac:dyDescent="0.25">
      <c r="A4378" s="219" t="s">
        <v>104</v>
      </c>
      <c r="B4378" s="219"/>
      <c r="C4378" s="219"/>
      <c r="D4378" s="219"/>
      <c r="E4378" s="219"/>
      <c r="F4378" s="219"/>
      <c r="G4378" s="52">
        <f>G4376+G4374</f>
        <v>3210439.0505000004</v>
      </c>
    </row>
    <row r="4380" spans="1:8" x14ac:dyDescent="0.25">
      <c r="A4380" s="74" t="s">
        <v>29</v>
      </c>
      <c r="B4380" s="226" t="s">
        <v>30</v>
      </c>
      <c r="C4380" s="226"/>
      <c r="D4380" s="74" t="s">
        <v>31</v>
      </c>
      <c r="E4380" s="74" t="s">
        <v>32</v>
      </c>
      <c r="F4380" s="74" t="s">
        <v>189</v>
      </c>
      <c r="G4380" s="74" t="s">
        <v>33</v>
      </c>
      <c r="H4380" s="105"/>
    </row>
    <row r="4381" spans="1:8" ht="21.75" customHeight="1" x14ac:dyDescent="0.25">
      <c r="A4381" s="50" t="str">
        <f>Presupuesto!B88</f>
        <v>072_OC</v>
      </c>
      <c r="B4381" s="229" t="str">
        <f>Presupuesto!C88</f>
        <v>POCETA PREFABRICADA DE 40X40X25 cm</v>
      </c>
      <c r="C4381" s="230"/>
      <c r="D4381" s="50" t="s">
        <v>8</v>
      </c>
      <c r="E4381" s="107">
        <v>3</v>
      </c>
      <c r="F4381" s="50"/>
      <c r="G4381" s="51">
        <f>G4445</f>
        <v>429918.98950000003</v>
      </c>
      <c r="H4381" s="45"/>
    </row>
    <row r="4382" spans="1:8" x14ac:dyDescent="0.25">
      <c r="A4382" s="219" t="s">
        <v>34</v>
      </c>
      <c r="B4382" s="219"/>
      <c r="C4382" s="219"/>
      <c r="D4382" s="219"/>
      <c r="E4382" s="219"/>
      <c r="F4382" s="219"/>
      <c r="G4382" s="219"/>
    </row>
    <row r="4383" spans="1:8" x14ac:dyDescent="0.25">
      <c r="A4383" s="49" t="s">
        <v>35</v>
      </c>
      <c r="B4383" s="219" t="s">
        <v>36</v>
      </c>
      <c r="C4383" s="219"/>
      <c r="D4383" s="49" t="s">
        <v>37</v>
      </c>
      <c r="E4383" s="49" t="s">
        <v>38</v>
      </c>
      <c r="F4383" s="49" t="s">
        <v>39</v>
      </c>
      <c r="G4383" s="49" t="s">
        <v>40</v>
      </c>
    </row>
    <row r="4384" spans="1:8" x14ac:dyDescent="0.25">
      <c r="A4384" s="50" t="str">
        <f>Material!A501</f>
        <v>MA-500</v>
      </c>
      <c r="B4384" s="72" t="str">
        <f>IFERROR(VLOOKUP(A4384,Material!$A:$H,2,0),"-")</f>
        <v>POCETA PREFABRICADA 40X40X25 cm</v>
      </c>
      <c r="C4384" s="76"/>
      <c r="D4384" s="50" t="str">
        <f>IFERROR(VLOOKUP(A4384,Material!$A:$H,4,0),"-")</f>
        <v>ML</v>
      </c>
      <c r="E4384" s="53">
        <v>1</v>
      </c>
      <c r="F4384" s="51">
        <f>IFERROR(VLOOKUP(A4384,Material!$A:$H,3,0),"-")</f>
        <v>97500</v>
      </c>
      <c r="G4384" s="51">
        <f t="shared" ref="G4384:G4386" si="80">IFERROR(ROUNDUP(F4384*E4384,0),"-")</f>
        <v>97500</v>
      </c>
      <c r="H4384" s="106"/>
    </row>
    <row r="4385" spans="1:9" x14ac:dyDescent="0.25">
      <c r="A4385" s="50" t="str">
        <f>Material!A502</f>
        <v>MA-501</v>
      </c>
      <c r="B4385" s="72" t="str">
        <f>IFERROR(VLOOKUP(A4385,Material!$A:$H,2,0),"-")</f>
        <v>TAPÓN DE DESAGÜE</v>
      </c>
      <c r="C4385" s="76"/>
      <c r="D4385" s="50" t="str">
        <f>IFERROR(VLOOKUP(A4385,Material!$A:$H,4,0),"-")</f>
        <v>ML</v>
      </c>
      <c r="E4385" s="53">
        <v>1</v>
      </c>
      <c r="F4385" s="51">
        <f>IFERROR(VLOOKUP(A4385,Material!$A:$H,3,0),"-")</f>
        <v>27300</v>
      </c>
      <c r="G4385" s="51">
        <f t="shared" si="80"/>
        <v>27300</v>
      </c>
      <c r="H4385" s="106"/>
    </row>
    <row r="4386" spans="1:9" x14ac:dyDescent="0.25">
      <c r="A4386" s="50" t="str">
        <f>Material!A675</f>
        <v>MA-674</v>
      </c>
      <c r="B4386" s="72" t="str">
        <f>IFERROR(VLOOKUP(A4386,Material!$A:$H,2,0),"-")</f>
        <v>SIFÓN SENCILLO FLEXIBLE 2"</v>
      </c>
      <c r="C4386" s="76"/>
      <c r="D4386" s="50" t="str">
        <f>IFERROR(VLOOKUP(A4386,Material!$A:$H,4,0),"-")</f>
        <v>UN</v>
      </c>
      <c r="E4386" s="107">
        <v>1</v>
      </c>
      <c r="F4386" s="51">
        <f>IFERROR(VLOOKUP(A4386,Material!$A:$H,3,0),"-")</f>
        <v>21970</v>
      </c>
      <c r="G4386" s="51">
        <f t="shared" si="80"/>
        <v>21970</v>
      </c>
      <c r="H4386" s="106"/>
    </row>
    <row r="4387" spans="1:9" x14ac:dyDescent="0.25">
      <c r="A4387" s="219" t="s">
        <v>41</v>
      </c>
      <c r="B4387" s="219"/>
      <c r="C4387" s="219"/>
      <c r="D4387" s="219"/>
      <c r="E4387" s="219"/>
      <c r="F4387" s="219"/>
      <c r="G4387" s="52">
        <f>SUM(G4384:G4386)</f>
        <v>146770</v>
      </c>
      <c r="I4387" s="104"/>
    </row>
    <row r="4388" spans="1:9" x14ac:dyDescent="0.25">
      <c r="A4388" s="56"/>
      <c r="B4388" s="57"/>
      <c r="C4388" s="57"/>
      <c r="D4388" s="57"/>
      <c r="E4388" s="57"/>
      <c r="F4388" s="57"/>
      <c r="G4388" s="58"/>
    </row>
    <row r="4389" spans="1:9" x14ac:dyDescent="0.25">
      <c r="A4389" s="219" t="s">
        <v>42</v>
      </c>
      <c r="B4389" s="219"/>
      <c r="C4389" s="219"/>
      <c r="D4389" s="219"/>
      <c r="E4389" s="219"/>
      <c r="F4389" s="219"/>
      <c r="G4389" s="219"/>
    </row>
    <row r="4390" spans="1:9" x14ac:dyDescent="0.25">
      <c r="A4390" s="49" t="s">
        <v>35</v>
      </c>
      <c r="B4390" s="49" t="s">
        <v>36</v>
      </c>
      <c r="C4390" s="49" t="s">
        <v>38</v>
      </c>
      <c r="D4390" s="49" t="s">
        <v>43</v>
      </c>
      <c r="E4390" s="49" t="s">
        <v>44</v>
      </c>
      <c r="F4390" s="49" t="s">
        <v>45</v>
      </c>
      <c r="G4390" s="49" t="s">
        <v>40</v>
      </c>
    </row>
    <row r="4391" spans="1:9" x14ac:dyDescent="0.25">
      <c r="A4391" s="50" t="s">
        <v>319</v>
      </c>
      <c r="B4391" s="68" t="str">
        <f>VLOOKUP(A4391,'Componentes APUs'!$H$1:$L$25,2,0)</f>
        <v>Ingeniero Residente de Obra</v>
      </c>
      <c r="C4391" s="93">
        <v>0</v>
      </c>
      <c r="D4391" s="50">
        <f>VLOOKUP(A4391,'Componentes APUs'!$H$1:$L$25,3,0)</f>
        <v>4</v>
      </c>
      <c r="E4391" s="51">
        <f>VLOOKUP(A4391,'Componentes APUs'!$H$1:$L$25,4,0)</f>
        <v>271142.85714285716</v>
      </c>
      <c r="F4391" s="51">
        <f>VLOOKUP(A4391,'Componentes APUs'!$H$1:$L$25,5,0)</f>
        <v>162685.71428571429</v>
      </c>
      <c r="G4391" s="51">
        <f>ROUNDUP((E4391+F4391)*C4391/E4381,0)</f>
        <v>0</v>
      </c>
      <c r="H4391" s="66"/>
    </row>
    <row r="4392" spans="1:9" x14ac:dyDescent="0.25">
      <c r="A4392" s="50" t="s">
        <v>320</v>
      </c>
      <c r="B4392" s="68" t="str">
        <f>VLOOKUP(A4392,'Componentes APUs'!$H$1:$L$25,2,0)</f>
        <v>Tecnico Supervisor</v>
      </c>
      <c r="C4392" s="93">
        <v>0.25</v>
      </c>
      <c r="D4392" s="50">
        <f>VLOOKUP(A4392,'Componentes APUs'!$H$1:$L$25,3,0)</f>
        <v>2.2999999999999998</v>
      </c>
      <c r="E4392" s="51">
        <f>VLOOKUP(A4392,'Componentes APUs'!$H$1:$L$25,4,0)</f>
        <v>155907.14285714284</v>
      </c>
      <c r="F4392" s="51">
        <f>VLOOKUP(A4392,'Componentes APUs'!$H$1:$L$25,5,0)</f>
        <v>93544.285714285696</v>
      </c>
      <c r="G4392" s="51">
        <f>ROUNDUP((E4392+F4392)*C4392/E4381,0)</f>
        <v>20788</v>
      </c>
    </row>
    <row r="4393" spans="1:9" x14ac:dyDescent="0.25">
      <c r="A4393" s="50" t="s">
        <v>54</v>
      </c>
      <c r="B4393" s="68" t="str">
        <f>VLOOKUP(A4393,'Componentes APUs'!$H$1:$L$25,2,0)</f>
        <v>Maestro de obra civil</v>
      </c>
      <c r="C4393" s="93">
        <v>0</v>
      </c>
      <c r="D4393" s="50">
        <f>VLOOKUP(A4393,'Componentes APUs'!$H$1:$L$25,3,0)</f>
        <v>2.5</v>
      </c>
      <c r="E4393" s="51">
        <f>VLOOKUP(A4393,'Componentes APUs'!$H$1:$L$25,4,0)</f>
        <v>169464.28571428571</v>
      </c>
      <c r="F4393" s="51">
        <f>VLOOKUP(A4393,'Componentes APUs'!$H$1:$L$25,5,0)</f>
        <v>101678.57142857142</v>
      </c>
      <c r="G4393" s="51">
        <f>ROUNDUP((E4393+F4393)*C4393/E4381,0)</f>
        <v>0</v>
      </c>
    </row>
    <row r="4394" spans="1:9" x14ac:dyDescent="0.25">
      <c r="A4394" s="50" t="s">
        <v>1110</v>
      </c>
      <c r="B4394" s="68" t="str">
        <f>VLOOKUP(A4394,'Componentes APUs'!$H$1:$L$25,2,0)</f>
        <v>Oficial de Obra Civil</v>
      </c>
      <c r="C4394" s="93">
        <v>1</v>
      </c>
      <c r="D4394" s="50">
        <f>VLOOKUP(A4394,'Componentes APUs'!$H$1:$L$25,3,0)</f>
        <v>1.5</v>
      </c>
      <c r="E4394" s="51">
        <f>VLOOKUP(A4394,'Componentes APUs'!$H$1:$L$25,4,0)</f>
        <v>115964.28571428571</v>
      </c>
      <c r="F4394" s="51">
        <f>VLOOKUP(A4394,'Componentes APUs'!$H$1:$L$25,5,0)</f>
        <v>69578.57142857142</v>
      </c>
      <c r="G4394" s="51">
        <f>ROUNDUP((E4394+F4394)*C4394/E4381,0)</f>
        <v>61848</v>
      </c>
    </row>
    <row r="4395" spans="1:9" x14ac:dyDescent="0.25">
      <c r="A4395" s="50" t="s">
        <v>50</v>
      </c>
      <c r="B4395" s="68" t="str">
        <f>VLOOKUP(A4395,'Componentes APUs'!$H$1:$L$25,2,0)</f>
        <v>Profesional en SST</v>
      </c>
      <c r="C4395" s="93">
        <v>0.25</v>
      </c>
      <c r="D4395" s="50">
        <f>VLOOKUP(A4395,'Componentes APUs'!$H$1:$L$25,3,0)</f>
        <v>2.5</v>
      </c>
      <c r="E4395" s="51">
        <f>VLOOKUP(A4395,'Componentes APUs'!$H$1:$L$25,4,0)</f>
        <v>169464.28571428571</v>
      </c>
      <c r="F4395" s="51">
        <f>VLOOKUP(A4395,'Componentes APUs'!$H$1:$L$25,5,0)</f>
        <v>101678.57142857142</v>
      </c>
      <c r="G4395" s="51">
        <f>ROUNDUP((E4395+F4395)*C4395/E4381,0)</f>
        <v>22596</v>
      </c>
    </row>
    <row r="4396" spans="1:9" x14ac:dyDescent="0.25">
      <c r="A4396" s="50" t="s">
        <v>1109</v>
      </c>
      <c r="B4396" s="68" t="str">
        <f>VLOOKUP(A4396,'Componentes APUs'!$H$1:$L$25,2,0)</f>
        <v>Ayudante de Obra Civil</v>
      </c>
      <c r="C4396" s="93">
        <v>1</v>
      </c>
      <c r="D4396" s="50">
        <f>VLOOKUP(A4396,'Componentes APUs'!$H$1:$L$25,3,0)</f>
        <v>1</v>
      </c>
      <c r="E4396" s="51">
        <f>VLOOKUP(A4396,'Componentes APUs'!$H$1:$L$25,4,0)</f>
        <v>77309.523809523816</v>
      </c>
      <c r="F4396" s="51">
        <f>VLOOKUP(A4396,'Componentes APUs'!$H$1:$L$25,5,0)</f>
        <v>46385.71428571429</v>
      </c>
      <c r="G4396" s="51">
        <f>ROUNDUP((E4396+F4396)*C4396/E4381,0)</f>
        <v>41232</v>
      </c>
    </row>
    <row r="4397" spans="1:9" x14ac:dyDescent="0.25">
      <c r="A4397" s="219" t="s">
        <v>56</v>
      </c>
      <c r="B4397" s="219"/>
      <c r="C4397" s="219"/>
      <c r="D4397" s="219"/>
      <c r="E4397" s="219"/>
      <c r="F4397" s="219"/>
      <c r="G4397" s="52">
        <f>SUM(G4391:G4396)</f>
        <v>146464</v>
      </c>
    </row>
    <row r="4398" spans="1:9" x14ac:dyDescent="0.25">
      <c r="A4398" s="56"/>
      <c r="B4398" s="57"/>
      <c r="C4398" s="57"/>
      <c r="D4398" s="57"/>
      <c r="E4398" s="57"/>
      <c r="F4398" s="57"/>
      <c r="G4398" s="58"/>
    </row>
    <row r="4399" spans="1:9" x14ac:dyDescent="0.25">
      <c r="A4399" s="219" t="s">
        <v>57</v>
      </c>
      <c r="B4399" s="219"/>
      <c r="C4399" s="219"/>
      <c r="D4399" s="219"/>
      <c r="E4399" s="219"/>
      <c r="F4399" s="219"/>
      <c r="G4399" s="219"/>
    </row>
    <row r="4400" spans="1:9" x14ac:dyDescent="0.25">
      <c r="A4400" s="49" t="s">
        <v>35</v>
      </c>
      <c r="B4400" s="219" t="s">
        <v>36</v>
      </c>
      <c r="C4400" s="219"/>
      <c r="D4400" s="49" t="s">
        <v>37</v>
      </c>
      <c r="E4400" s="49" t="s">
        <v>38</v>
      </c>
      <c r="F4400" s="49" t="s">
        <v>39</v>
      </c>
      <c r="G4400" s="49" t="s">
        <v>40</v>
      </c>
    </row>
    <row r="4401" spans="1:9" x14ac:dyDescent="0.25">
      <c r="A4401" s="50" t="s">
        <v>326</v>
      </c>
      <c r="B4401" s="220" t="str">
        <f>VLOOKUP(A4401,'Componentes APUs'!$S$1:$V$10,2,0)</f>
        <v>Juego Llaves</v>
      </c>
      <c r="C4401" s="220"/>
      <c r="D4401" s="50" t="s">
        <v>18</v>
      </c>
      <c r="E4401" s="50">
        <v>0</v>
      </c>
      <c r="F4401" s="51">
        <f>VLOOKUP(A4401,'Componentes APUs'!$S$1:$V$10,4,0)</f>
        <v>9167</v>
      </c>
      <c r="G4401" s="51">
        <f>ROUNDUP(F4401*((E4401/21)/E4381),0)</f>
        <v>0</v>
      </c>
      <c r="I4401" s="91"/>
    </row>
    <row r="4402" spans="1:9" x14ac:dyDescent="0.25">
      <c r="A4402" s="50" t="s">
        <v>58</v>
      </c>
      <c r="B4402" s="220" t="str">
        <f>VLOOKUP(A4402,'Componentes APUs'!$S$1:$V$10,2,0)</f>
        <v>Manila de servicio</v>
      </c>
      <c r="C4402" s="220"/>
      <c r="D4402" s="50" t="s">
        <v>18</v>
      </c>
      <c r="E4402" s="50">
        <v>0</v>
      </c>
      <c r="F4402" s="51">
        <f>VLOOKUP(A4402,'Componentes APUs'!$S$1:$V$10,4,0)</f>
        <v>2333</v>
      </c>
      <c r="G4402" s="51">
        <f>ROUNDUP(F4402*((E4402/21)/E4381),0)</f>
        <v>0</v>
      </c>
    </row>
    <row r="4403" spans="1:9" x14ac:dyDescent="0.25">
      <c r="A4403" s="50" t="s">
        <v>327</v>
      </c>
      <c r="B4403" s="220" t="str">
        <f>VLOOKUP(A4403,'Componentes APUs'!$S$1:$V$10,2,0)</f>
        <v>Tula portaherramientas</v>
      </c>
      <c r="C4403" s="220"/>
      <c r="D4403" s="50" t="s">
        <v>18</v>
      </c>
      <c r="E4403" s="50">
        <v>0</v>
      </c>
      <c r="F4403" s="51">
        <f>VLOOKUP(A4403,'Componentes APUs'!$S$1:$V$10,4,0)</f>
        <v>1250</v>
      </c>
      <c r="G4403" s="51">
        <f>ROUNDUP(F4403*((E4403/21)/E4381),0)</f>
        <v>0</v>
      </c>
    </row>
    <row r="4404" spans="1:9" x14ac:dyDescent="0.25">
      <c r="A4404" s="50" t="s">
        <v>60</v>
      </c>
      <c r="B4404" s="220" t="str">
        <f>VLOOKUP(A4404,'Componentes APUs'!$S$1:$V$10,2,0)</f>
        <v>Agarradoras</v>
      </c>
      <c r="C4404" s="220"/>
      <c r="D4404" s="50" t="s">
        <v>18</v>
      </c>
      <c r="E4404" s="50">
        <v>0</v>
      </c>
      <c r="F4404" s="51">
        <f>VLOOKUP(A4404,'Componentes APUs'!$S$1:$V$10,4,0)</f>
        <v>125000</v>
      </c>
      <c r="G4404" s="51">
        <f>ROUNDUP(F4404*((E4404/21)/E4381),0)</f>
        <v>0</v>
      </c>
    </row>
    <row r="4405" spans="1:9" x14ac:dyDescent="0.25">
      <c r="A4405" s="50" t="s">
        <v>62</v>
      </c>
      <c r="B4405" s="220" t="str">
        <f>VLOOKUP(A4405,'Componentes APUs'!$S$1:$V$10,2,0)</f>
        <v>Templadoras</v>
      </c>
      <c r="C4405" s="220"/>
      <c r="D4405" s="50" t="s">
        <v>18</v>
      </c>
      <c r="E4405" s="50">
        <v>0</v>
      </c>
      <c r="F4405" s="51">
        <f>VLOOKUP(A4405,'Componentes APUs'!$S$1:$V$10,4,0)</f>
        <v>250000</v>
      </c>
      <c r="G4405" s="51">
        <f>ROUNDUP(F4405*((E4405/21)/E4381),0)</f>
        <v>0</v>
      </c>
    </row>
    <row r="4406" spans="1:9" x14ac:dyDescent="0.25">
      <c r="A4406" s="50" t="s">
        <v>328</v>
      </c>
      <c r="B4406" s="220" t="str">
        <f>VLOOKUP(A4406,'Componentes APUs'!$S$1:$V$10,2,0)</f>
        <v>Herramienta Menor</v>
      </c>
      <c r="C4406" s="220"/>
      <c r="D4406" s="50" t="s">
        <v>18</v>
      </c>
      <c r="E4406" s="50">
        <v>2</v>
      </c>
      <c r="F4406" s="51">
        <f>VLOOKUP(A4406,'Componentes APUs'!$S$1:$V$10,4,0)</f>
        <v>75758</v>
      </c>
      <c r="G4406" s="51">
        <f>ROUNDUP(F4406*((E4406/21)/E4381),0)</f>
        <v>2406</v>
      </c>
    </row>
    <row r="4407" spans="1:9" x14ac:dyDescent="0.25">
      <c r="A4407" s="219" t="s">
        <v>69</v>
      </c>
      <c r="B4407" s="219"/>
      <c r="C4407" s="219"/>
      <c r="D4407" s="219"/>
      <c r="E4407" s="219"/>
      <c r="F4407" s="219"/>
      <c r="G4407" s="52">
        <f>SUM(G4401:G4406)</f>
        <v>2406</v>
      </c>
    </row>
    <row r="4408" spans="1:9" x14ac:dyDescent="0.25">
      <c r="A4408" s="56"/>
      <c r="B4408" s="57"/>
      <c r="C4408" s="57"/>
      <c r="D4408" s="57"/>
      <c r="E4408" s="57"/>
      <c r="F4408" s="57"/>
      <c r="G4408" s="58"/>
    </row>
    <row r="4409" spans="1:9" x14ac:dyDescent="0.25">
      <c r="A4409" s="219" t="s">
        <v>70</v>
      </c>
      <c r="B4409" s="219"/>
      <c r="C4409" s="219"/>
      <c r="D4409" s="219"/>
      <c r="E4409" s="219"/>
      <c r="F4409" s="219"/>
      <c r="G4409" s="219"/>
    </row>
    <row r="4410" spans="1:9" x14ac:dyDescent="0.25">
      <c r="A4410" s="49" t="s">
        <v>35</v>
      </c>
      <c r="B4410" s="219" t="s">
        <v>36</v>
      </c>
      <c r="C4410" s="219"/>
      <c r="D4410" s="49" t="s">
        <v>37</v>
      </c>
      <c r="E4410" s="49" t="s">
        <v>38</v>
      </c>
      <c r="F4410" s="49" t="s">
        <v>39</v>
      </c>
      <c r="G4410" s="49" t="s">
        <v>40</v>
      </c>
    </row>
    <row r="4411" spans="1:9" x14ac:dyDescent="0.25">
      <c r="A4411" s="50" t="s">
        <v>71</v>
      </c>
      <c r="B4411" s="71" t="str">
        <f>VLOOKUP(A4411,'Componentes APUs'!$A$1:$D$14,2,0)</f>
        <v>Camisa indigo sin partes metalicas</v>
      </c>
      <c r="C4411" s="71"/>
      <c r="D4411" s="50" t="str">
        <f>VLOOKUP(A4411,'Componentes APUs'!$A$1:$D$14,3,0)</f>
        <v>U</v>
      </c>
      <c r="E4411" s="50">
        <f>SUM(C4391:C4396)</f>
        <v>2.5</v>
      </c>
      <c r="F4411" s="51">
        <f>VLOOKUP(A4411,'Componentes APUs'!$A$1:$D$14,4,0)</f>
        <v>8585.8585858585866</v>
      </c>
      <c r="G4411" s="51">
        <f>ROUNDUP(F4411*(E4411/21)/E4381,0)</f>
        <v>341</v>
      </c>
      <c r="I4411" s="91"/>
    </row>
    <row r="4412" spans="1:9" x14ac:dyDescent="0.25">
      <c r="A4412" s="69" t="s">
        <v>73</v>
      </c>
      <c r="B4412" s="72" t="str">
        <f>VLOOKUP(A4412,'Componentes APUs'!$A$1:$D$14,2,0)</f>
        <v>Bota de seguridad dielectrica</v>
      </c>
      <c r="C4412" s="73"/>
      <c r="D4412" s="70" t="str">
        <f>VLOOKUP(A4412,'Componentes APUs'!$A$1:$D$14,3,0)</f>
        <v>Par</v>
      </c>
      <c r="E4412" s="50">
        <f>SUM(C4391:C4396)</f>
        <v>2.5</v>
      </c>
      <c r="F4412" s="51">
        <f>VLOOKUP(A4412,'Componentes APUs'!$A$1:$D$14,4,0)</f>
        <v>7500</v>
      </c>
      <c r="G4412" s="51">
        <f>ROUNDUP(F4412*(E4412/21)/E4381,0)</f>
        <v>298</v>
      </c>
    </row>
    <row r="4413" spans="1:9" x14ac:dyDescent="0.25">
      <c r="A4413" s="50" t="s">
        <v>76</v>
      </c>
      <c r="B4413" s="72" t="str">
        <f>VLOOKUP(A4413,'Componentes APUs'!$A$1:$D$14,2,0)</f>
        <v>Casco dielectrico Tipo 1 Clase E con barbuquejo</v>
      </c>
      <c r="C4413" s="73"/>
      <c r="D4413" s="50" t="str">
        <f>VLOOKUP(A4413,'Componentes APUs'!$A$1:$D$14,3,0)</f>
        <v>U</v>
      </c>
      <c r="E4413" s="50">
        <f>C4391+C4392+C4394+C4395+C4396+IF(A4393&lt;&gt;"MO-3",C4393,0)</f>
        <v>2.5</v>
      </c>
      <c r="F4413" s="51">
        <f>VLOOKUP(A4413,'Componentes APUs'!$A$1:$D$14,4,0)</f>
        <v>10101.010101010101</v>
      </c>
      <c r="G4413" s="51">
        <f>ROUNDUP(F4413*(E4413/21)/E4381,0)</f>
        <v>401</v>
      </c>
    </row>
    <row r="4414" spans="1:9" x14ac:dyDescent="0.25">
      <c r="A4414" s="69" t="s">
        <v>77</v>
      </c>
      <c r="B4414" s="72" t="str">
        <f>VLOOKUP(A4414,'Componentes APUs'!$A$1:$D$14,2,0)</f>
        <v>Correa plastica y antiflama</v>
      </c>
      <c r="C4414" s="73"/>
      <c r="D4414" s="50" t="str">
        <f>VLOOKUP(A4414,'Componentes APUs'!$A$1:$D$14,3,0)</f>
        <v>U</v>
      </c>
      <c r="E4414" s="50">
        <f>SUM(C4391:C4396)</f>
        <v>2.5</v>
      </c>
      <c r="F4414" s="51">
        <f>VLOOKUP(A4414,'Componentes APUs'!$A$1:$D$14,4,0)</f>
        <v>3787.878787878788</v>
      </c>
      <c r="G4414" s="51">
        <f>ROUNDUP(F4414*(E4414/21)/E4381,0)</f>
        <v>151</v>
      </c>
    </row>
    <row r="4415" spans="1:9" x14ac:dyDescent="0.25">
      <c r="A4415" s="50" t="s">
        <v>79</v>
      </c>
      <c r="B4415" s="72" t="str">
        <f>VLOOKUP(A4415,'Componentes APUs'!$A$1:$D$14,2,0)</f>
        <v>Gafas protectoras filtro UV</v>
      </c>
      <c r="C4415" s="73"/>
      <c r="D4415" s="50" t="str">
        <f>VLOOKUP(A4415,'Componentes APUs'!$A$1:$D$14,3,0)</f>
        <v>U</v>
      </c>
      <c r="E4415" s="50">
        <f>SUM(C4391:C4396)</f>
        <v>2.5</v>
      </c>
      <c r="F4415" s="51">
        <f>VLOOKUP(A4415,'Componentes APUs'!$A$1:$D$14,4,0)</f>
        <v>2777.7777777777778</v>
      </c>
      <c r="G4415" s="51">
        <f>ROUNDUP(F4415*(E4415/21)/E4381,0)</f>
        <v>111</v>
      </c>
    </row>
    <row r="4416" spans="1:9" x14ac:dyDescent="0.25">
      <c r="A4416" s="69" t="s">
        <v>402</v>
      </c>
      <c r="B4416" s="72" t="str">
        <f>VLOOKUP(A4416,'Componentes APUs'!$A$1:$D$14,2,0)</f>
        <v>Bota de seguridad PVC dielectrica</v>
      </c>
      <c r="C4416" s="73"/>
      <c r="D4416" s="50" t="str">
        <f>VLOOKUP(A4416,'Componentes APUs'!$A$1:$D$14,3,0)</f>
        <v>Par</v>
      </c>
      <c r="E4416" s="50">
        <f>SUM(C4391:C4396)</f>
        <v>2.5</v>
      </c>
      <c r="F4416" s="51">
        <f>VLOOKUP(A4416,'Componentes APUs'!$A$1:$D$14,4,0)</f>
        <v>2916.6666666666665</v>
      </c>
      <c r="G4416" s="51">
        <f>ROUNDUP(F4416*(E4416/21)/E4381,0)</f>
        <v>116</v>
      </c>
    </row>
    <row r="4417" spans="1:7" x14ac:dyDescent="0.25">
      <c r="A4417" s="50" t="s">
        <v>403</v>
      </c>
      <c r="B4417" s="72" t="str">
        <f>VLOOKUP(A4417,'Componentes APUs'!$A$1:$D$14,2,0)</f>
        <v>Capuchon</v>
      </c>
      <c r="C4417" s="73"/>
      <c r="D4417" s="50" t="str">
        <f>VLOOKUP(A4417,'Componentes APUs'!$A$1:$D$14,3,0)</f>
        <v>U</v>
      </c>
      <c r="E4417" s="50">
        <f>SUM(C4391:C4396)</f>
        <v>2.5</v>
      </c>
      <c r="F4417" s="51">
        <f>VLOOKUP(A4417,'Componentes APUs'!$A$1:$D$14,4,0)</f>
        <v>2525.2525252525252</v>
      </c>
      <c r="G4417" s="51">
        <f>ROUNDUP(F4417*(E4417/21)/E4381,0)</f>
        <v>101</v>
      </c>
    </row>
    <row r="4418" spans="1:7" x14ac:dyDescent="0.25">
      <c r="A4418" s="69" t="s">
        <v>81</v>
      </c>
      <c r="B4418" s="72" t="str">
        <f>VLOOKUP(A4418,'Componentes APUs'!$A$1:$D$14,2,0)</f>
        <v>Guantes Protectores  - ingeniero reforzados</v>
      </c>
      <c r="C4418" s="73"/>
      <c r="D4418" s="50" t="str">
        <f>VLOOKUP(A4418,'Componentes APUs'!$A$1:$D$14,3,0)</f>
        <v>Par</v>
      </c>
      <c r="E4418" s="50">
        <f>C4393+C4394+C4396</f>
        <v>2</v>
      </c>
      <c r="F4418" s="51">
        <f>VLOOKUP(A4418,'Componentes APUs'!$A$1:$D$14,4,0)</f>
        <v>2525.2525252525252</v>
      </c>
      <c r="G4418" s="51">
        <f>ROUNDUP(F4418*(E4418/21)/E4381,0)</f>
        <v>81</v>
      </c>
    </row>
    <row r="4419" spans="1:7" x14ac:dyDescent="0.25">
      <c r="A4419" s="50" t="s">
        <v>83</v>
      </c>
      <c r="B4419" s="72" t="str">
        <f>VLOOKUP(A4419,'Componentes APUs'!$A$1:$D$14,2,0)</f>
        <v>Impermeable (pantalon camisa)</v>
      </c>
      <c r="C4419" s="73"/>
      <c r="D4419" s="50" t="str">
        <f>VLOOKUP(A4419,'Componentes APUs'!$A$1:$D$14,3,0)</f>
        <v>U</v>
      </c>
      <c r="E4419" s="50">
        <f>SUM(C4391:C4396)</f>
        <v>2.5</v>
      </c>
      <c r="F4419" s="51">
        <f>VLOOKUP(A4419,'Componentes APUs'!$A$1:$D$14,4,0)</f>
        <v>3750</v>
      </c>
      <c r="G4419" s="51">
        <f>ROUNDUP(F4419*(E4419/21)/E4381,0)</f>
        <v>149</v>
      </c>
    </row>
    <row r="4420" spans="1:7" x14ac:dyDescent="0.25">
      <c r="A4420" s="69" t="s">
        <v>85</v>
      </c>
      <c r="B4420" s="72" t="str">
        <f>VLOOKUP(A4420,'Componentes APUs'!$A$1:$D$14,2,0)</f>
        <v>Jean Dielectrico</v>
      </c>
      <c r="C4420" s="73"/>
      <c r="D4420" s="50" t="str">
        <f>VLOOKUP(A4420,'Componentes APUs'!$A$1:$D$14,3,0)</f>
        <v>U</v>
      </c>
      <c r="E4420" s="50">
        <f>SUM(C4391:C4396)</f>
        <v>2.5</v>
      </c>
      <c r="F4420" s="51">
        <f>VLOOKUP(A4420,'Componentes APUs'!$A$1:$D$14,4,0)</f>
        <v>7575.757575757576</v>
      </c>
      <c r="G4420" s="51">
        <f>ROUNDUP(F4420*(E4420/21)/E4381,0)</f>
        <v>301</v>
      </c>
    </row>
    <row r="4421" spans="1:7" x14ac:dyDescent="0.25">
      <c r="A4421" s="50" t="s">
        <v>87</v>
      </c>
      <c r="B4421" s="72" t="str">
        <f>VLOOKUP(A4421,'Componentes APUs'!$A$1:$D$14,2,0)</f>
        <v>Casco dielectrico Tipo 2 Clase E con barboquejo</v>
      </c>
      <c r="C4421" s="73"/>
      <c r="D4421" s="50" t="str">
        <f>VLOOKUP(A4421,'Componentes APUs'!$A$1:$D$14,3,0)</f>
        <v>U</v>
      </c>
      <c r="E4421" s="53">
        <f>IF(A4393="MO-3",C4393,0)</f>
        <v>0</v>
      </c>
      <c r="F4421" s="51">
        <f>VLOOKUP(A4421,'Componentes APUs'!$A$1:$D$14,4,0)</f>
        <v>7500</v>
      </c>
      <c r="G4421" s="51">
        <f>ROUNDUP(F4421*(E4421/21)/E4381,0)</f>
        <v>0</v>
      </c>
    </row>
    <row r="4422" spans="1:7" x14ac:dyDescent="0.25">
      <c r="A4422" s="69" t="s">
        <v>89</v>
      </c>
      <c r="B4422" s="72" t="str">
        <f>VLOOKUP(A4422,'Componentes APUs'!$A$1:$D$14,2,0)</f>
        <v>Kit de rescate para trabajo en alturas</v>
      </c>
      <c r="C4422" s="73"/>
      <c r="D4422" s="50" t="str">
        <f>VLOOKUP(A4422,'Componentes APUs'!$A$1:$D$14,3,0)</f>
        <v>U</v>
      </c>
      <c r="E4422" s="50">
        <f>IF(AND(A4393="MO-3",C4393=2),1,0)</f>
        <v>0</v>
      </c>
      <c r="F4422" s="51">
        <f>VLOOKUP(A4422,'Componentes APUs'!$A$1:$D$14,4,0)</f>
        <v>37500</v>
      </c>
      <c r="G4422" s="51">
        <f>ROUNDUP(F4422*(E4422/21)/E4381,0)</f>
        <v>0</v>
      </c>
    </row>
    <row r="4423" spans="1:7" x14ac:dyDescent="0.25">
      <c r="A4423" s="50" t="s">
        <v>91</v>
      </c>
      <c r="B4423" s="72" t="str">
        <f>VLOOKUP(A4423,'Componentes APUs'!$A$1:$D$14,2,0)</f>
        <v>Equipo completo para trabajo en alturas con pretales (Arnes dielectrico, 1 mosqueton de seguridad, tie off dielectrico, eslinga de posicionamiento, juego de pretales)</v>
      </c>
      <c r="C4423" s="73"/>
      <c r="D4423" s="50" t="str">
        <f>VLOOKUP(A4423,'Componentes APUs'!$A$1:$D$14,3,0)</f>
        <v>U</v>
      </c>
      <c r="E4423" s="50">
        <f>IF(A4393="MO-3",C4393,0)</f>
        <v>0</v>
      </c>
      <c r="F4423" s="51">
        <f>VLOOKUP(A4423,'Componentes APUs'!$A$1:$D$14,4,0)</f>
        <v>26041.666666666668</v>
      </c>
      <c r="G4423" s="51">
        <f>ROUNDUP(F4423*(E4423/21)/E4381,0)</f>
        <v>0</v>
      </c>
    </row>
    <row r="4424" spans="1:7" x14ac:dyDescent="0.25">
      <c r="A4424" s="219" t="s">
        <v>95</v>
      </c>
      <c r="B4424" s="219"/>
      <c r="C4424" s="219"/>
      <c r="D4424" s="219"/>
      <c r="E4424" s="219"/>
      <c r="F4424" s="219"/>
      <c r="G4424" s="52">
        <f>SUM(G4411:G4423)</f>
        <v>2050</v>
      </c>
    </row>
    <row r="4425" spans="1:7" x14ac:dyDescent="0.25">
      <c r="A4425" s="56"/>
      <c r="B4425" s="57"/>
      <c r="C4425" s="57"/>
      <c r="D4425" s="57"/>
      <c r="E4425" s="57"/>
      <c r="F4425" s="57"/>
      <c r="G4425" s="58"/>
    </row>
    <row r="4426" spans="1:7" x14ac:dyDescent="0.25">
      <c r="A4426" s="219" t="s">
        <v>96</v>
      </c>
      <c r="B4426" s="219"/>
      <c r="C4426" s="219"/>
      <c r="D4426" s="219"/>
      <c r="E4426" s="219"/>
      <c r="F4426" s="219"/>
      <c r="G4426" s="219"/>
    </row>
    <row r="4427" spans="1:7" x14ac:dyDescent="0.25">
      <c r="A4427" s="49" t="s">
        <v>35</v>
      </c>
      <c r="B4427" s="225" t="s">
        <v>36</v>
      </c>
      <c r="C4427" s="225"/>
      <c r="D4427" s="49" t="s">
        <v>37</v>
      </c>
      <c r="E4427" s="49" t="s">
        <v>38</v>
      </c>
      <c r="F4427" s="49" t="s">
        <v>39</v>
      </c>
      <c r="G4427" s="49" t="s">
        <v>40</v>
      </c>
    </row>
    <row r="4428" spans="1:7" x14ac:dyDescent="0.25">
      <c r="A4428" s="69" t="s">
        <v>97</v>
      </c>
      <c r="B4428" s="72" t="str">
        <f>VLOOKUP(A4428,'Componentes APUs'!$N$1:$Q$30,2,0)</f>
        <v>Camioneta</v>
      </c>
      <c r="C4428" s="73"/>
      <c r="D4428" s="70" t="str">
        <f>VLOOKUP(A4428,'Componentes APUs'!$N$1:$Q$30,3,0)</f>
        <v>U</v>
      </c>
      <c r="E4428" s="50">
        <v>0.5</v>
      </c>
      <c r="F4428" s="51">
        <f>VLOOKUP(A4428,'Componentes APUs'!$N$1:$Q$30,4,0)</f>
        <v>5500000</v>
      </c>
      <c r="G4428" s="51">
        <f>IFERROR(ROUNDUP(F4428*(E4428/21)/E4381,0),"-")</f>
        <v>43651</v>
      </c>
    </row>
    <row r="4429" spans="1:7" x14ac:dyDescent="0.25">
      <c r="A4429" s="50" t="s">
        <v>321</v>
      </c>
      <c r="B4429" s="72" t="str">
        <f>VLOOKUP(A4429,'Componentes APUs'!$N$1:$Q$30,2,0)</f>
        <v>Grúa Hidráulica</v>
      </c>
      <c r="C4429" s="73"/>
      <c r="D4429" s="70" t="str">
        <f>VLOOKUP(A4429,'Componentes APUs'!$N$1:$Q$30,3,0)</f>
        <v>U</v>
      </c>
      <c r="E4429" s="50">
        <v>0</v>
      </c>
      <c r="F4429" s="51">
        <f>VLOOKUP(A4429,'Componentes APUs'!$N$1:$Q$30,4,0)</f>
        <v>21000000</v>
      </c>
      <c r="G4429" s="51">
        <f>IFERROR(ROUNDUP(F4429*(E4429/21)/E4381,0),"-")</f>
        <v>0</v>
      </c>
    </row>
    <row r="4430" spans="1:7" x14ac:dyDescent="0.25">
      <c r="A4430" s="69" t="s">
        <v>1379</v>
      </c>
      <c r="B4430" s="72" t="str">
        <f>VLOOKUP(A4430,'Componentes APUs'!$N$1:$Q$30,2,0)</f>
        <v>Dumper de descarga Frontal 2T</v>
      </c>
      <c r="C4430" s="73"/>
      <c r="D4430" s="70" t="str">
        <f>VLOOKUP(A4430,'Componentes APUs'!$N$1:$Q$30,3,0)</f>
        <v>U</v>
      </c>
      <c r="E4430" s="50">
        <v>0</v>
      </c>
      <c r="F4430" s="51">
        <f>VLOOKUP(A4430,'Componentes APUs'!$N$1:$Q$30,4,0)</f>
        <v>4438716.24</v>
      </c>
      <c r="G4430" s="51">
        <f>IFERROR(ROUNDUP(F4430*(E4430/21)/E4381,0),"-")</f>
        <v>0</v>
      </c>
    </row>
    <row r="4431" spans="1:7" x14ac:dyDescent="0.25">
      <c r="A4431" s="50" t="s">
        <v>323</v>
      </c>
      <c r="B4431" s="72" t="str">
        <f>VLOOKUP(A4431,'Componentes APUs'!$N$1:$Q$30,2,0)</f>
        <v>Volqueta</v>
      </c>
      <c r="C4431" s="73"/>
      <c r="D4431" s="70" t="str">
        <f>VLOOKUP(A4431,'Componentes APUs'!$N$1:$Q$30,3,0)</f>
        <v>U</v>
      </c>
      <c r="E4431" s="50">
        <v>0</v>
      </c>
      <c r="F4431" s="51">
        <f>VLOOKUP(A4431,'Componentes APUs'!$N$1:$Q$30,4,0)</f>
        <v>14828184</v>
      </c>
      <c r="G4431" s="51">
        <f>IFERROR(ROUNDUP(F4431*(E4431/21)/E4381,0),"-")</f>
        <v>0</v>
      </c>
    </row>
    <row r="4432" spans="1:7" x14ac:dyDescent="0.25">
      <c r="A4432" s="69" t="s">
        <v>324</v>
      </c>
      <c r="B4432" s="72" t="str">
        <f>VLOOKUP(A4432,'Componentes APUs'!$N$1:$Q$30,2,0)</f>
        <v>Retroexcavadora</v>
      </c>
      <c r="C4432" s="73"/>
      <c r="D4432" s="70" t="str">
        <f>VLOOKUP(A4432,'Componentes APUs'!$N$1:$Q$30,3,0)</f>
        <v>U</v>
      </c>
      <c r="E4432" s="50">
        <v>0</v>
      </c>
      <c r="F4432" s="51">
        <f>VLOOKUP(A4432,'Componentes APUs'!$N$1:$Q$30,4,0)</f>
        <v>46030656</v>
      </c>
      <c r="G4432" s="51">
        <f>IFERROR(ROUNDUP(F4432*(E4432/21)/E4381,0),"-")</f>
        <v>0</v>
      </c>
    </row>
    <row r="4433" spans="1:8" x14ac:dyDescent="0.25">
      <c r="A4433" s="219" t="s">
        <v>99</v>
      </c>
      <c r="B4433" s="219"/>
      <c r="C4433" s="219"/>
      <c r="D4433" s="219"/>
      <c r="E4433" s="219"/>
      <c r="F4433" s="219"/>
      <c r="G4433" s="52">
        <f>SUM(G4428:G4432)</f>
        <v>43651</v>
      </c>
    </row>
    <row r="4434" spans="1:8" x14ac:dyDescent="0.25">
      <c r="A4434" s="56"/>
      <c r="B4434" s="57"/>
      <c r="C4434" s="57"/>
      <c r="D4434" s="57"/>
      <c r="E4434" s="57"/>
      <c r="F4434" s="57"/>
      <c r="G4434" s="58"/>
    </row>
    <row r="4435" spans="1:8" x14ac:dyDescent="0.25">
      <c r="A4435" s="219" t="s">
        <v>1516</v>
      </c>
      <c r="B4435" s="219"/>
      <c r="C4435" s="219"/>
      <c r="D4435" s="219"/>
      <c r="E4435" s="219"/>
      <c r="F4435" s="219"/>
      <c r="G4435" s="52">
        <f>G4433+G4424+G4407+G4397+G4387</f>
        <v>341341</v>
      </c>
    </row>
    <row r="4436" spans="1:8" x14ac:dyDescent="0.25">
      <c r="A4436" s="59"/>
      <c r="B4436" s="60"/>
      <c r="C4436" s="60"/>
      <c r="D4436" s="60"/>
      <c r="E4436" s="57"/>
      <c r="F4436" s="57"/>
      <c r="G4436" s="58"/>
    </row>
    <row r="4437" spans="1:8" x14ac:dyDescent="0.25">
      <c r="A4437" s="64"/>
      <c r="D4437" s="55"/>
      <c r="E4437" s="49" t="s">
        <v>25</v>
      </c>
      <c r="F4437" s="54">
        <v>0.15</v>
      </c>
      <c r="G4437" s="51">
        <f>G4435*F4437</f>
        <v>51201.15</v>
      </c>
    </row>
    <row r="4438" spans="1:8" x14ac:dyDescent="0.25">
      <c r="A4438" s="64"/>
      <c r="D4438" s="55"/>
      <c r="E4438" s="49" t="s">
        <v>26</v>
      </c>
      <c r="F4438" s="54">
        <v>0.05</v>
      </c>
      <c r="G4438" s="51">
        <f>G4435*F4438</f>
        <v>17067.05</v>
      </c>
    </row>
    <row r="4439" spans="1:8" x14ac:dyDescent="0.25">
      <c r="A4439" s="61"/>
      <c r="B4439" s="65"/>
      <c r="C4439" s="65"/>
      <c r="D4439" s="62"/>
      <c r="E4439" s="49" t="s">
        <v>27</v>
      </c>
      <c r="F4439" s="54">
        <v>0.05</v>
      </c>
      <c r="G4439" s="51">
        <f>G4435*F4439</f>
        <v>17067.05</v>
      </c>
    </row>
    <row r="4440" spans="1:8" x14ac:dyDescent="0.25">
      <c r="A4440" s="61"/>
      <c r="B4440" s="62"/>
      <c r="C4440" s="62"/>
      <c r="D4440" s="62"/>
      <c r="E4440" s="62"/>
      <c r="F4440" s="62"/>
      <c r="G4440" s="63"/>
    </row>
    <row r="4441" spans="1:8" x14ac:dyDescent="0.25">
      <c r="A4441" s="219" t="s">
        <v>1517</v>
      </c>
      <c r="B4441" s="219"/>
      <c r="C4441" s="219"/>
      <c r="D4441" s="219"/>
      <c r="E4441" s="219"/>
      <c r="F4441" s="219"/>
      <c r="G4441" s="52">
        <f>G4435+G4437+G4438+G4439</f>
        <v>426676.25</v>
      </c>
    </row>
    <row r="4442" spans="1:8" x14ac:dyDescent="0.25">
      <c r="A4442" s="59"/>
      <c r="B4442" s="60"/>
      <c r="C4442" s="60"/>
      <c r="D4442" s="60"/>
      <c r="E4442" s="57"/>
      <c r="F4442" s="57"/>
      <c r="G4442" s="58"/>
    </row>
    <row r="4443" spans="1:8" x14ac:dyDescent="0.25">
      <c r="A4443" s="64"/>
      <c r="D4443" s="55"/>
      <c r="E4443" s="49" t="s">
        <v>102</v>
      </c>
      <c r="F4443" s="49" t="s">
        <v>103</v>
      </c>
      <c r="G4443" s="51">
        <f>G4439*19%</f>
        <v>3242.7394999999997</v>
      </c>
    </row>
    <row r="4444" spans="1:8" x14ac:dyDescent="0.25">
      <c r="A4444" s="61"/>
      <c r="B4444" s="62"/>
      <c r="C4444" s="62"/>
      <c r="D4444" s="62"/>
      <c r="E4444" s="57"/>
      <c r="F4444" s="57"/>
      <c r="G4444" s="58"/>
    </row>
    <row r="4445" spans="1:8" x14ac:dyDescent="0.25">
      <c r="A4445" s="219" t="s">
        <v>104</v>
      </c>
      <c r="B4445" s="219"/>
      <c r="C4445" s="219"/>
      <c r="D4445" s="219"/>
      <c r="E4445" s="219"/>
      <c r="F4445" s="219"/>
      <c r="G4445" s="52">
        <f>G4443+G4441</f>
        <v>429918.98950000003</v>
      </c>
    </row>
    <row r="4447" spans="1:8" x14ac:dyDescent="0.25">
      <c r="A4447" s="74" t="s">
        <v>29</v>
      </c>
      <c r="B4447" s="226" t="s">
        <v>30</v>
      </c>
      <c r="C4447" s="226"/>
      <c r="D4447" s="74" t="s">
        <v>31</v>
      </c>
      <c r="E4447" s="74" t="s">
        <v>32</v>
      </c>
      <c r="F4447" s="74" t="s">
        <v>189</v>
      </c>
      <c r="G4447" s="74" t="s">
        <v>33</v>
      </c>
      <c r="H4447" s="105"/>
    </row>
    <row r="4448" spans="1:8" ht="21.75" customHeight="1" x14ac:dyDescent="0.25">
      <c r="A4448" s="50" t="str">
        <f>Presupuesto!B89</f>
        <v>073_OC</v>
      </c>
      <c r="B4448" s="229" t="str">
        <f>Presupuesto!C89</f>
        <v>LAVAOJOS</v>
      </c>
      <c r="C4448" s="230"/>
      <c r="D4448" s="50" t="s">
        <v>8</v>
      </c>
      <c r="E4448" s="107">
        <v>3</v>
      </c>
      <c r="F4448" s="50"/>
      <c r="G4448" s="51">
        <f>G4513</f>
        <v>2037052.325</v>
      </c>
      <c r="H4448" s="45"/>
    </row>
    <row r="4449" spans="1:9" x14ac:dyDescent="0.25">
      <c r="A4449" s="219" t="s">
        <v>34</v>
      </c>
      <c r="B4449" s="219"/>
      <c r="C4449" s="219"/>
      <c r="D4449" s="219"/>
      <c r="E4449" s="219"/>
      <c r="F4449" s="219"/>
      <c r="G4449" s="219"/>
    </row>
    <row r="4450" spans="1:9" x14ac:dyDescent="0.25">
      <c r="A4450" s="49" t="s">
        <v>35</v>
      </c>
      <c r="B4450" s="219" t="s">
        <v>36</v>
      </c>
      <c r="C4450" s="219"/>
      <c r="D4450" s="49" t="s">
        <v>37</v>
      </c>
      <c r="E4450" s="49" t="s">
        <v>38</v>
      </c>
      <c r="F4450" s="49" t="s">
        <v>39</v>
      </c>
      <c r="G4450" s="49" t="s">
        <v>40</v>
      </c>
    </row>
    <row r="4451" spans="1:9" x14ac:dyDescent="0.25">
      <c r="A4451" s="50" t="str">
        <f>Material!A503</f>
        <v>MA-502</v>
      </c>
      <c r="B4451" s="72" t="str">
        <f>IFERROR(VLOOKUP(A4451,Material!$A:$H,2,0),"-")</f>
        <v>LAVAOJOS</v>
      </c>
      <c r="C4451" s="76"/>
      <c r="D4451" s="50" t="str">
        <f>IFERROR(VLOOKUP(A4451,Material!$A:$H,4,0),"-")</f>
        <v>ML</v>
      </c>
      <c r="E4451" s="53">
        <v>1</v>
      </c>
      <c r="F4451" s="51">
        <f>IFERROR(VLOOKUP(A4451,Material!$A:$H,3,0),"-")</f>
        <v>1400808.5</v>
      </c>
      <c r="G4451" s="51">
        <f t="shared" ref="G4451:G4454" si="81">IFERROR(ROUNDUP(F4451*E4451,0),"-")</f>
        <v>1400809</v>
      </c>
      <c r="H4451" s="106"/>
    </row>
    <row r="4452" spans="1:9" x14ac:dyDescent="0.25">
      <c r="A4452" s="50" t="str">
        <f>Material!A675</f>
        <v>MA-674</v>
      </c>
      <c r="B4452" s="72" t="str">
        <f>IFERROR(VLOOKUP(A4452,Material!$A:$H,2,0),"-")</f>
        <v>SIFÓN SENCILLO FLEXIBLE 2"</v>
      </c>
      <c r="C4452" s="76"/>
      <c r="D4452" s="50" t="str">
        <f>IFERROR(VLOOKUP(A4452,Material!$A:$H,4,0),"-")</f>
        <v>UN</v>
      </c>
      <c r="E4452" s="53">
        <v>1</v>
      </c>
      <c r="F4452" s="51">
        <f>IFERROR(VLOOKUP(A4452,Material!$A:$H,3,0),"-")</f>
        <v>21970</v>
      </c>
      <c r="G4452" s="51">
        <f t="shared" si="81"/>
        <v>21970</v>
      </c>
      <c r="H4452" s="106"/>
    </row>
    <row r="4453" spans="1:9" x14ac:dyDescent="0.25">
      <c r="A4453" s="50"/>
      <c r="B4453" s="72" t="str">
        <f>IFERROR(VLOOKUP(A4453,Material!$A:$H,2,0),"-")</f>
        <v>-</v>
      </c>
      <c r="C4453" s="76"/>
      <c r="D4453" s="50" t="str">
        <f>IFERROR(VLOOKUP(A4453,Material!$A:$H,4,0),"-")</f>
        <v>-</v>
      </c>
      <c r="E4453" s="107"/>
      <c r="F4453" s="51" t="str">
        <f>IFERROR(VLOOKUP(A4453,Material!$A:$H,3,0),"-")</f>
        <v>-</v>
      </c>
      <c r="G4453" s="51" t="str">
        <f t="shared" si="81"/>
        <v>-</v>
      </c>
      <c r="H4453" s="106"/>
    </row>
    <row r="4454" spans="1:9" x14ac:dyDescent="0.25">
      <c r="A4454" s="50"/>
      <c r="B4454" s="72" t="str">
        <f>IFERROR(VLOOKUP(A4454,Material!$A:$H,2,0),"-")</f>
        <v>-</v>
      </c>
      <c r="C4454" s="76"/>
      <c r="D4454" s="50" t="str">
        <f>IFERROR(VLOOKUP(A4454,Material!$A:$H,4,0),"-")</f>
        <v>-</v>
      </c>
      <c r="E4454" s="53"/>
      <c r="F4454" s="51" t="str">
        <f>IFERROR(VLOOKUP(A4454,Material!$A:$H,3,0),"-")</f>
        <v>-</v>
      </c>
      <c r="G4454" s="51" t="str">
        <f t="shared" si="81"/>
        <v>-</v>
      </c>
      <c r="H4454" s="106"/>
    </row>
    <row r="4455" spans="1:9" x14ac:dyDescent="0.25">
      <c r="A4455" s="219" t="s">
        <v>41</v>
      </c>
      <c r="B4455" s="219"/>
      <c r="C4455" s="219"/>
      <c r="D4455" s="219"/>
      <c r="E4455" s="219"/>
      <c r="F4455" s="219"/>
      <c r="G4455" s="52">
        <f>SUM(G4451:G4453)</f>
        <v>1422779</v>
      </c>
      <c r="I4455" s="104"/>
    </row>
    <row r="4456" spans="1:9" x14ac:dyDescent="0.25">
      <c r="A4456" s="56"/>
      <c r="B4456" s="57"/>
      <c r="C4456" s="57"/>
      <c r="D4456" s="57"/>
      <c r="E4456" s="57"/>
      <c r="F4456" s="57"/>
      <c r="G4456" s="58"/>
    </row>
    <row r="4457" spans="1:9" x14ac:dyDescent="0.25">
      <c r="A4457" s="219" t="s">
        <v>42</v>
      </c>
      <c r="B4457" s="219"/>
      <c r="C4457" s="219"/>
      <c r="D4457" s="219"/>
      <c r="E4457" s="219"/>
      <c r="F4457" s="219"/>
      <c r="G4457" s="219"/>
    </row>
    <row r="4458" spans="1:9" x14ac:dyDescent="0.25">
      <c r="A4458" s="49" t="s">
        <v>35</v>
      </c>
      <c r="B4458" s="49" t="s">
        <v>36</v>
      </c>
      <c r="C4458" s="49" t="s">
        <v>38</v>
      </c>
      <c r="D4458" s="49" t="s">
        <v>43</v>
      </c>
      <c r="E4458" s="49" t="s">
        <v>44</v>
      </c>
      <c r="F4458" s="49" t="s">
        <v>45</v>
      </c>
      <c r="G4458" s="49" t="s">
        <v>40</v>
      </c>
    </row>
    <row r="4459" spans="1:9" x14ac:dyDescent="0.25">
      <c r="A4459" s="50" t="s">
        <v>319</v>
      </c>
      <c r="B4459" s="68" t="str">
        <f>VLOOKUP(A4459,'Componentes APUs'!$H$1:$L$25,2,0)</f>
        <v>Ingeniero Residente de Obra</v>
      </c>
      <c r="C4459" s="93">
        <v>0</v>
      </c>
      <c r="D4459" s="50">
        <f>VLOOKUP(A4459,'Componentes APUs'!$H$1:$L$25,3,0)</f>
        <v>4</v>
      </c>
      <c r="E4459" s="51">
        <f>VLOOKUP(A4459,'Componentes APUs'!$H$1:$L$25,4,0)</f>
        <v>271142.85714285716</v>
      </c>
      <c r="F4459" s="51">
        <f>VLOOKUP(A4459,'Componentes APUs'!$H$1:$L$25,5,0)</f>
        <v>162685.71428571429</v>
      </c>
      <c r="G4459" s="51">
        <f>ROUNDUP((E4459+F4459)*C4459/E4448,0)</f>
        <v>0</v>
      </c>
      <c r="H4459" s="66"/>
    </row>
    <row r="4460" spans="1:9" x14ac:dyDescent="0.25">
      <c r="A4460" s="50" t="s">
        <v>320</v>
      </c>
      <c r="B4460" s="68" t="str">
        <f>VLOOKUP(A4460,'Componentes APUs'!$H$1:$L$25,2,0)</f>
        <v>Tecnico Supervisor</v>
      </c>
      <c r="C4460" s="93">
        <v>0.25</v>
      </c>
      <c r="D4460" s="50">
        <f>VLOOKUP(A4460,'Componentes APUs'!$H$1:$L$25,3,0)</f>
        <v>2.2999999999999998</v>
      </c>
      <c r="E4460" s="51">
        <f>VLOOKUP(A4460,'Componentes APUs'!$H$1:$L$25,4,0)</f>
        <v>155907.14285714284</v>
      </c>
      <c r="F4460" s="51">
        <f>VLOOKUP(A4460,'Componentes APUs'!$H$1:$L$25,5,0)</f>
        <v>93544.285714285696</v>
      </c>
      <c r="G4460" s="51">
        <f>ROUNDUP((E4460+F4460)*C4460/E4448,0)</f>
        <v>20788</v>
      </c>
    </row>
    <row r="4461" spans="1:9" x14ac:dyDescent="0.25">
      <c r="A4461" s="50" t="s">
        <v>54</v>
      </c>
      <c r="B4461" s="68" t="str">
        <f>VLOOKUP(A4461,'Componentes APUs'!$H$1:$L$25,2,0)</f>
        <v>Maestro de obra civil</v>
      </c>
      <c r="C4461" s="93">
        <v>0</v>
      </c>
      <c r="D4461" s="50">
        <f>VLOOKUP(A4461,'Componentes APUs'!$H$1:$L$25,3,0)</f>
        <v>2.5</v>
      </c>
      <c r="E4461" s="51">
        <f>VLOOKUP(A4461,'Componentes APUs'!$H$1:$L$25,4,0)</f>
        <v>169464.28571428571</v>
      </c>
      <c r="F4461" s="51">
        <f>VLOOKUP(A4461,'Componentes APUs'!$H$1:$L$25,5,0)</f>
        <v>101678.57142857142</v>
      </c>
      <c r="G4461" s="51">
        <f>ROUNDUP((E4461+F4461)*C4461/E4448,0)</f>
        <v>0</v>
      </c>
    </row>
    <row r="4462" spans="1:9" x14ac:dyDescent="0.25">
      <c r="A4462" s="50" t="s">
        <v>1110</v>
      </c>
      <c r="B4462" s="68" t="str">
        <f>VLOOKUP(A4462,'Componentes APUs'!$H$1:$L$25,2,0)</f>
        <v>Oficial de Obra Civil</v>
      </c>
      <c r="C4462" s="93">
        <v>1</v>
      </c>
      <c r="D4462" s="50">
        <f>VLOOKUP(A4462,'Componentes APUs'!$H$1:$L$25,3,0)</f>
        <v>1.5</v>
      </c>
      <c r="E4462" s="51">
        <f>VLOOKUP(A4462,'Componentes APUs'!$H$1:$L$25,4,0)</f>
        <v>115964.28571428571</v>
      </c>
      <c r="F4462" s="51">
        <f>VLOOKUP(A4462,'Componentes APUs'!$H$1:$L$25,5,0)</f>
        <v>69578.57142857142</v>
      </c>
      <c r="G4462" s="51">
        <f>ROUNDUP((E4462+F4462)*C4462/E4448,0)</f>
        <v>61848</v>
      </c>
    </row>
    <row r="4463" spans="1:9" x14ac:dyDescent="0.25">
      <c r="A4463" s="50" t="s">
        <v>50</v>
      </c>
      <c r="B4463" s="68" t="str">
        <f>VLOOKUP(A4463,'Componentes APUs'!$H$1:$L$25,2,0)</f>
        <v>Profesional en SST</v>
      </c>
      <c r="C4463" s="93">
        <v>0.25</v>
      </c>
      <c r="D4463" s="50">
        <f>VLOOKUP(A4463,'Componentes APUs'!$H$1:$L$25,3,0)</f>
        <v>2.5</v>
      </c>
      <c r="E4463" s="51">
        <f>VLOOKUP(A4463,'Componentes APUs'!$H$1:$L$25,4,0)</f>
        <v>169464.28571428571</v>
      </c>
      <c r="F4463" s="51">
        <f>VLOOKUP(A4463,'Componentes APUs'!$H$1:$L$25,5,0)</f>
        <v>101678.57142857142</v>
      </c>
      <c r="G4463" s="51">
        <f>ROUNDUP((E4463+F4463)*C4463/E4448,0)</f>
        <v>22596</v>
      </c>
    </row>
    <row r="4464" spans="1:9" x14ac:dyDescent="0.25">
      <c r="A4464" s="50" t="s">
        <v>1109</v>
      </c>
      <c r="B4464" s="68" t="str">
        <f>VLOOKUP(A4464,'Componentes APUs'!$H$1:$L$25,2,0)</f>
        <v>Ayudante de Obra Civil</v>
      </c>
      <c r="C4464" s="93">
        <v>1</v>
      </c>
      <c r="D4464" s="50">
        <f>VLOOKUP(A4464,'Componentes APUs'!$H$1:$L$25,3,0)</f>
        <v>1</v>
      </c>
      <c r="E4464" s="51">
        <f>VLOOKUP(A4464,'Componentes APUs'!$H$1:$L$25,4,0)</f>
        <v>77309.523809523816</v>
      </c>
      <c r="F4464" s="51">
        <f>VLOOKUP(A4464,'Componentes APUs'!$H$1:$L$25,5,0)</f>
        <v>46385.71428571429</v>
      </c>
      <c r="G4464" s="51">
        <f>ROUNDUP((E4464+F4464)*C4464/E4448,0)</f>
        <v>41232</v>
      </c>
    </row>
    <row r="4465" spans="1:9" x14ac:dyDescent="0.25">
      <c r="A4465" s="219" t="s">
        <v>56</v>
      </c>
      <c r="B4465" s="219"/>
      <c r="C4465" s="219"/>
      <c r="D4465" s="219"/>
      <c r="E4465" s="219"/>
      <c r="F4465" s="219"/>
      <c r="G4465" s="52">
        <f>SUM(G4459:G4464)</f>
        <v>146464</v>
      </c>
    </row>
    <row r="4466" spans="1:9" x14ac:dyDescent="0.25">
      <c r="A4466" s="56"/>
      <c r="B4466" s="57"/>
      <c r="C4466" s="57"/>
      <c r="D4466" s="57"/>
      <c r="E4466" s="57"/>
      <c r="F4466" s="57"/>
      <c r="G4466" s="58"/>
    </row>
    <row r="4467" spans="1:9" x14ac:dyDescent="0.25">
      <c r="A4467" s="219" t="s">
        <v>57</v>
      </c>
      <c r="B4467" s="219"/>
      <c r="C4467" s="219"/>
      <c r="D4467" s="219"/>
      <c r="E4467" s="219"/>
      <c r="F4467" s="219"/>
      <c r="G4467" s="219"/>
    </row>
    <row r="4468" spans="1:9" x14ac:dyDescent="0.25">
      <c r="A4468" s="49" t="s">
        <v>35</v>
      </c>
      <c r="B4468" s="219" t="s">
        <v>36</v>
      </c>
      <c r="C4468" s="219"/>
      <c r="D4468" s="49" t="s">
        <v>37</v>
      </c>
      <c r="E4468" s="49" t="s">
        <v>38</v>
      </c>
      <c r="F4468" s="49" t="s">
        <v>39</v>
      </c>
      <c r="G4468" s="49" t="s">
        <v>40</v>
      </c>
    </row>
    <row r="4469" spans="1:9" x14ac:dyDescent="0.25">
      <c r="A4469" s="50" t="s">
        <v>326</v>
      </c>
      <c r="B4469" s="220" t="str">
        <f>VLOOKUP(A4469,'Componentes APUs'!$S$1:$V$10,2,0)</f>
        <v>Juego Llaves</v>
      </c>
      <c r="C4469" s="220"/>
      <c r="D4469" s="50" t="s">
        <v>18</v>
      </c>
      <c r="E4469" s="50">
        <v>0</v>
      </c>
      <c r="F4469" s="51">
        <f>VLOOKUP(A4469,'Componentes APUs'!$S$1:$V$10,4,0)</f>
        <v>9167</v>
      </c>
      <c r="G4469" s="51">
        <f>ROUNDUP(F4469*((E4469/21)/E4448),0)</f>
        <v>0</v>
      </c>
      <c r="I4469" s="91"/>
    </row>
    <row r="4470" spans="1:9" x14ac:dyDescent="0.25">
      <c r="A4470" s="50" t="s">
        <v>58</v>
      </c>
      <c r="B4470" s="220" t="str">
        <f>VLOOKUP(A4470,'Componentes APUs'!$S$1:$V$10,2,0)</f>
        <v>Manila de servicio</v>
      </c>
      <c r="C4470" s="220"/>
      <c r="D4470" s="50" t="s">
        <v>18</v>
      </c>
      <c r="E4470" s="50">
        <v>0</v>
      </c>
      <c r="F4470" s="51">
        <f>VLOOKUP(A4470,'Componentes APUs'!$S$1:$V$10,4,0)</f>
        <v>2333</v>
      </c>
      <c r="G4470" s="51">
        <f>ROUNDUP(F4470*((E4470/21)/E4448),0)</f>
        <v>0</v>
      </c>
    </row>
    <row r="4471" spans="1:9" x14ac:dyDescent="0.25">
      <c r="A4471" s="50" t="s">
        <v>327</v>
      </c>
      <c r="B4471" s="220" t="str">
        <f>VLOOKUP(A4471,'Componentes APUs'!$S$1:$V$10,2,0)</f>
        <v>Tula portaherramientas</v>
      </c>
      <c r="C4471" s="220"/>
      <c r="D4471" s="50" t="s">
        <v>18</v>
      </c>
      <c r="E4471" s="50">
        <v>0</v>
      </c>
      <c r="F4471" s="51">
        <f>VLOOKUP(A4471,'Componentes APUs'!$S$1:$V$10,4,0)</f>
        <v>1250</v>
      </c>
      <c r="G4471" s="51">
        <f>ROUNDUP(F4471*((E4471/21)/E4448),0)</f>
        <v>0</v>
      </c>
    </row>
    <row r="4472" spans="1:9" x14ac:dyDescent="0.25">
      <c r="A4472" s="50" t="s">
        <v>60</v>
      </c>
      <c r="B4472" s="220" t="str">
        <f>VLOOKUP(A4472,'Componentes APUs'!$S$1:$V$10,2,0)</f>
        <v>Agarradoras</v>
      </c>
      <c r="C4472" s="220"/>
      <c r="D4472" s="50" t="s">
        <v>18</v>
      </c>
      <c r="E4472" s="50">
        <v>0</v>
      </c>
      <c r="F4472" s="51">
        <f>VLOOKUP(A4472,'Componentes APUs'!$S$1:$V$10,4,0)</f>
        <v>125000</v>
      </c>
      <c r="G4472" s="51">
        <f>ROUNDUP(F4472*((E4472/21)/E4448),0)</f>
        <v>0</v>
      </c>
    </row>
    <row r="4473" spans="1:9" x14ac:dyDescent="0.25">
      <c r="A4473" s="50" t="s">
        <v>62</v>
      </c>
      <c r="B4473" s="220" t="str">
        <f>VLOOKUP(A4473,'Componentes APUs'!$S$1:$V$10,2,0)</f>
        <v>Templadoras</v>
      </c>
      <c r="C4473" s="220"/>
      <c r="D4473" s="50" t="s">
        <v>18</v>
      </c>
      <c r="E4473" s="50">
        <v>0</v>
      </c>
      <c r="F4473" s="51">
        <f>VLOOKUP(A4473,'Componentes APUs'!$S$1:$V$10,4,0)</f>
        <v>250000</v>
      </c>
      <c r="G4473" s="51">
        <f>ROUNDUP(F4473*((E4473/21)/E4448),0)</f>
        <v>0</v>
      </c>
    </row>
    <row r="4474" spans="1:9" x14ac:dyDescent="0.25">
      <c r="A4474" s="50" t="s">
        <v>328</v>
      </c>
      <c r="B4474" s="220" t="str">
        <f>VLOOKUP(A4474,'Componentes APUs'!$S$1:$V$10,2,0)</f>
        <v>Herramienta Menor</v>
      </c>
      <c r="C4474" s="220"/>
      <c r="D4474" s="50" t="s">
        <v>18</v>
      </c>
      <c r="E4474" s="50">
        <v>2</v>
      </c>
      <c r="F4474" s="51">
        <f>VLOOKUP(A4474,'Componentes APUs'!$S$1:$V$10,4,0)</f>
        <v>75758</v>
      </c>
      <c r="G4474" s="51">
        <f>ROUNDUP(F4474*((E4474/21)/E4448),0)</f>
        <v>2406</v>
      </c>
    </row>
    <row r="4475" spans="1:9" x14ac:dyDescent="0.25">
      <c r="A4475" s="219" t="s">
        <v>69</v>
      </c>
      <c r="B4475" s="219"/>
      <c r="C4475" s="219"/>
      <c r="D4475" s="219"/>
      <c r="E4475" s="219"/>
      <c r="F4475" s="219"/>
      <c r="G4475" s="52">
        <f>SUM(G4469:G4474)</f>
        <v>2406</v>
      </c>
    </row>
    <row r="4476" spans="1:9" x14ac:dyDescent="0.25">
      <c r="A4476" s="56"/>
      <c r="B4476" s="57"/>
      <c r="C4476" s="57"/>
      <c r="D4476" s="57"/>
      <c r="E4476" s="57"/>
      <c r="F4476" s="57"/>
      <c r="G4476" s="58"/>
    </row>
    <row r="4477" spans="1:9" x14ac:dyDescent="0.25">
      <c r="A4477" s="219" t="s">
        <v>70</v>
      </c>
      <c r="B4477" s="219"/>
      <c r="C4477" s="219"/>
      <c r="D4477" s="219"/>
      <c r="E4477" s="219"/>
      <c r="F4477" s="219"/>
      <c r="G4477" s="219"/>
    </row>
    <row r="4478" spans="1:9" x14ac:dyDescent="0.25">
      <c r="A4478" s="49" t="s">
        <v>35</v>
      </c>
      <c r="B4478" s="219" t="s">
        <v>36</v>
      </c>
      <c r="C4478" s="219"/>
      <c r="D4478" s="49" t="s">
        <v>37</v>
      </c>
      <c r="E4478" s="49" t="s">
        <v>38</v>
      </c>
      <c r="F4478" s="49" t="s">
        <v>39</v>
      </c>
      <c r="G4478" s="49" t="s">
        <v>40</v>
      </c>
    </row>
    <row r="4479" spans="1:9" x14ac:dyDescent="0.25">
      <c r="A4479" s="50" t="s">
        <v>71</v>
      </c>
      <c r="B4479" s="71" t="str">
        <f>VLOOKUP(A4479,'Componentes APUs'!$A$1:$D$14,2,0)</f>
        <v>Camisa indigo sin partes metalicas</v>
      </c>
      <c r="C4479" s="71"/>
      <c r="D4479" s="50" t="str">
        <f>VLOOKUP(A4479,'Componentes APUs'!$A$1:$D$14,3,0)</f>
        <v>U</v>
      </c>
      <c r="E4479" s="50">
        <f>SUM(C4459:C4464)</f>
        <v>2.5</v>
      </c>
      <c r="F4479" s="51">
        <f>VLOOKUP(A4479,'Componentes APUs'!$A$1:$D$14,4,0)</f>
        <v>8585.8585858585866</v>
      </c>
      <c r="G4479" s="51">
        <f>ROUNDUP(F4479*(E4479/21)/E4448,0)</f>
        <v>341</v>
      </c>
      <c r="I4479" s="91"/>
    </row>
    <row r="4480" spans="1:9" x14ac:dyDescent="0.25">
      <c r="A4480" s="69" t="s">
        <v>73</v>
      </c>
      <c r="B4480" s="72" t="str">
        <f>VLOOKUP(A4480,'Componentes APUs'!$A$1:$D$14,2,0)</f>
        <v>Bota de seguridad dielectrica</v>
      </c>
      <c r="C4480" s="73"/>
      <c r="D4480" s="70" t="str">
        <f>VLOOKUP(A4480,'Componentes APUs'!$A$1:$D$14,3,0)</f>
        <v>Par</v>
      </c>
      <c r="E4480" s="50">
        <f>SUM(C4459:C4464)</f>
        <v>2.5</v>
      </c>
      <c r="F4480" s="51">
        <f>VLOOKUP(A4480,'Componentes APUs'!$A$1:$D$14,4,0)</f>
        <v>7500</v>
      </c>
      <c r="G4480" s="51">
        <f>ROUNDUP(F4480*(E4480/21)/E4448,0)</f>
        <v>298</v>
      </c>
    </row>
    <row r="4481" spans="1:7" x14ac:dyDescent="0.25">
      <c r="A4481" s="50" t="s">
        <v>76</v>
      </c>
      <c r="B4481" s="72" t="str">
        <f>VLOOKUP(A4481,'Componentes APUs'!$A$1:$D$14,2,0)</f>
        <v>Casco dielectrico Tipo 1 Clase E con barbuquejo</v>
      </c>
      <c r="C4481" s="73"/>
      <c r="D4481" s="50" t="str">
        <f>VLOOKUP(A4481,'Componentes APUs'!$A$1:$D$14,3,0)</f>
        <v>U</v>
      </c>
      <c r="E4481" s="50">
        <f>C4459+C4460+C4462+C4463+C4464+IF(A4461&lt;&gt;"MO-3",C4461,0)</f>
        <v>2.5</v>
      </c>
      <c r="F4481" s="51">
        <f>VLOOKUP(A4481,'Componentes APUs'!$A$1:$D$14,4,0)</f>
        <v>10101.010101010101</v>
      </c>
      <c r="G4481" s="51">
        <f>ROUNDUP(F4481*(E4481/21)/E4448,0)</f>
        <v>401</v>
      </c>
    </row>
    <row r="4482" spans="1:7" x14ac:dyDescent="0.25">
      <c r="A4482" s="69" t="s">
        <v>77</v>
      </c>
      <c r="B4482" s="72" t="str">
        <f>VLOOKUP(A4482,'Componentes APUs'!$A$1:$D$14,2,0)</f>
        <v>Correa plastica y antiflama</v>
      </c>
      <c r="C4482" s="73"/>
      <c r="D4482" s="50" t="str">
        <f>VLOOKUP(A4482,'Componentes APUs'!$A$1:$D$14,3,0)</f>
        <v>U</v>
      </c>
      <c r="E4482" s="50">
        <f>SUM(C4459:C4464)</f>
        <v>2.5</v>
      </c>
      <c r="F4482" s="51">
        <f>VLOOKUP(A4482,'Componentes APUs'!$A$1:$D$14,4,0)</f>
        <v>3787.878787878788</v>
      </c>
      <c r="G4482" s="51">
        <f>ROUNDUP(F4482*(E4482/21)/E4448,0)</f>
        <v>151</v>
      </c>
    </row>
    <row r="4483" spans="1:7" x14ac:dyDescent="0.25">
      <c r="A4483" s="50" t="s">
        <v>79</v>
      </c>
      <c r="B4483" s="72" t="str">
        <f>VLOOKUP(A4483,'Componentes APUs'!$A$1:$D$14,2,0)</f>
        <v>Gafas protectoras filtro UV</v>
      </c>
      <c r="C4483" s="73"/>
      <c r="D4483" s="50" t="str">
        <f>VLOOKUP(A4483,'Componentes APUs'!$A$1:$D$14,3,0)</f>
        <v>U</v>
      </c>
      <c r="E4483" s="50">
        <f>SUM(C4459:C4464)</f>
        <v>2.5</v>
      </c>
      <c r="F4483" s="51">
        <f>VLOOKUP(A4483,'Componentes APUs'!$A$1:$D$14,4,0)</f>
        <v>2777.7777777777778</v>
      </c>
      <c r="G4483" s="51">
        <f>ROUNDUP(F4483*(E4483/21)/E4448,0)</f>
        <v>111</v>
      </c>
    </row>
    <row r="4484" spans="1:7" x14ac:dyDescent="0.25">
      <c r="A4484" s="69" t="s">
        <v>402</v>
      </c>
      <c r="B4484" s="72" t="str">
        <f>VLOOKUP(A4484,'Componentes APUs'!$A$1:$D$14,2,0)</f>
        <v>Bota de seguridad PVC dielectrica</v>
      </c>
      <c r="C4484" s="73"/>
      <c r="D4484" s="50" t="str">
        <f>VLOOKUP(A4484,'Componentes APUs'!$A$1:$D$14,3,0)</f>
        <v>Par</v>
      </c>
      <c r="E4484" s="50">
        <f>SUM(C4459:C4464)</f>
        <v>2.5</v>
      </c>
      <c r="F4484" s="51">
        <f>VLOOKUP(A4484,'Componentes APUs'!$A$1:$D$14,4,0)</f>
        <v>2916.6666666666665</v>
      </c>
      <c r="G4484" s="51">
        <f>ROUNDUP(F4484*(E4484/21)/E4448,0)</f>
        <v>116</v>
      </c>
    </row>
    <row r="4485" spans="1:7" x14ac:dyDescent="0.25">
      <c r="A4485" s="50" t="s">
        <v>403</v>
      </c>
      <c r="B4485" s="72" t="str">
        <f>VLOOKUP(A4485,'Componentes APUs'!$A$1:$D$14,2,0)</f>
        <v>Capuchon</v>
      </c>
      <c r="C4485" s="73"/>
      <c r="D4485" s="50" t="str">
        <f>VLOOKUP(A4485,'Componentes APUs'!$A$1:$D$14,3,0)</f>
        <v>U</v>
      </c>
      <c r="E4485" s="50">
        <f>SUM(C4459:C4464)</f>
        <v>2.5</v>
      </c>
      <c r="F4485" s="51">
        <f>VLOOKUP(A4485,'Componentes APUs'!$A$1:$D$14,4,0)</f>
        <v>2525.2525252525252</v>
      </c>
      <c r="G4485" s="51">
        <f>ROUNDUP(F4485*(E4485/21)/E4448,0)</f>
        <v>101</v>
      </c>
    </row>
    <row r="4486" spans="1:7" x14ac:dyDescent="0.25">
      <c r="A4486" s="69" t="s">
        <v>81</v>
      </c>
      <c r="B4486" s="72" t="str">
        <f>VLOOKUP(A4486,'Componentes APUs'!$A$1:$D$14,2,0)</f>
        <v>Guantes Protectores  - ingeniero reforzados</v>
      </c>
      <c r="C4486" s="73"/>
      <c r="D4486" s="50" t="str">
        <f>VLOOKUP(A4486,'Componentes APUs'!$A$1:$D$14,3,0)</f>
        <v>Par</v>
      </c>
      <c r="E4486" s="50">
        <f>C4461+C4462+C4464</f>
        <v>2</v>
      </c>
      <c r="F4486" s="51">
        <f>VLOOKUP(A4486,'Componentes APUs'!$A$1:$D$14,4,0)</f>
        <v>2525.2525252525252</v>
      </c>
      <c r="G4486" s="51">
        <f>ROUNDUP(F4486*(E4486/21)/E4448,0)</f>
        <v>81</v>
      </c>
    </row>
    <row r="4487" spans="1:7" x14ac:dyDescent="0.25">
      <c r="A4487" s="50" t="s">
        <v>83</v>
      </c>
      <c r="B4487" s="72" t="str">
        <f>VLOOKUP(A4487,'Componentes APUs'!$A$1:$D$14,2,0)</f>
        <v>Impermeable (pantalon camisa)</v>
      </c>
      <c r="C4487" s="73"/>
      <c r="D4487" s="50" t="str">
        <f>VLOOKUP(A4487,'Componentes APUs'!$A$1:$D$14,3,0)</f>
        <v>U</v>
      </c>
      <c r="E4487" s="50">
        <f>SUM(C4459:C4464)</f>
        <v>2.5</v>
      </c>
      <c r="F4487" s="51">
        <f>VLOOKUP(A4487,'Componentes APUs'!$A$1:$D$14,4,0)</f>
        <v>3750</v>
      </c>
      <c r="G4487" s="51">
        <f>ROUNDUP(F4487*(E4487/21)/E4448,0)</f>
        <v>149</v>
      </c>
    </row>
    <row r="4488" spans="1:7" x14ac:dyDescent="0.25">
      <c r="A4488" s="69" t="s">
        <v>85</v>
      </c>
      <c r="B4488" s="72" t="str">
        <f>VLOOKUP(A4488,'Componentes APUs'!$A$1:$D$14,2,0)</f>
        <v>Jean Dielectrico</v>
      </c>
      <c r="C4488" s="73"/>
      <c r="D4488" s="50" t="str">
        <f>VLOOKUP(A4488,'Componentes APUs'!$A$1:$D$14,3,0)</f>
        <v>U</v>
      </c>
      <c r="E4488" s="50">
        <f>SUM(C4459:C4464)</f>
        <v>2.5</v>
      </c>
      <c r="F4488" s="51">
        <f>VLOOKUP(A4488,'Componentes APUs'!$A$1:$D$14,4,0)</f>
        <v>7575.757575757576</v>
      </c>
      <c r="G4488" s="51">
        <f>ROUNDUP(F4488*(E4488/21)/E4448,0)</f>
        <v>301</v>
      </c>
    </row>
    <row r="4489" spans="1:7" x14ac:dyDescent="0.25">
      <c r="A4489" s="50" t="s">
        <v>87</v>
      </c>
      <c r="B4489" s="72" t="str">
        <f>VLOOKUP(A4489,'Componentes APUs'!$A$1:$D$14,2,0)</f>
        <v>Casco dielectrico Tipo 2 Clase E con barboquejo</v>
      </c>
      <c r="C4489" s="73"/>
      <c r="D4489" s="50" t="str">
        <f>VLOOKUP(A4489,'Componentes APUs'!$A$1:$D$14,3,0)</f>
        <v>U</v>
      </c>
      <c r="E4489" s="53">
        <f>IF(A4461="MO-3",C4461,0)</f>
        <v>0</v>
      </c>
      <c r="F4489" s="51">
        <f>VLOOKUP(A4489,'Componentes APUs'!$A$1:$D$14,4,0)</f>
        <v>7500</v>
      </c>
      <c r="G4489" s="51">
        <f>ROUNDUP(F4489*(E4489/21)/E4448,0)</f>
        <v>0</v>
      </c>
    </row>
    <row r="4490" spans="1:7" x14ac:dyDescent="0.25">
      <c r="A4490" s="69" t="s">
        <v>89</v>
      </c>
      <c r="B4490" s="72" t="str">
        <f>VLOOKUP(A4490,'Componentes APUs'!$A$1:$D$14,2,0)</f>
        <v>Kit de rescate para trabajo en alturas</v>
      </c>
      <c r="C4490" s="73"/>
      <c r="D4490" s="50" t="str">
        <f>VLOOKUP(A4490,'Componentes APUs'!$A$1:$D$14,3,0)</f>
        <v>U</v>
      </c>
      <c r="E4490" s="50">
        <f>IF(AND(A4461="MO-3",C4461=2),1,0)</f>
        <v>0</v>
      </c>
      <c r="F4490" s="51">
        <f>VLOOKUP(A4490,'Componentes APUs'!$A$1:$D$14,4,0)</f>
        <v>37500</v>
      </c>
      <c r="G4490" s="51">
        <f>ROUNDUP(F4490*(E4490/21)/E4448,0)</f>
        <v>0</v>
      </c>
    </row>
    <row r="4491" spans="1:7" x14ac:dyDescent="0.25">
      <c r="A4491" s="50" t="s">
        <v>91</v>
      </c>
      <c r="B4491" s="72" t="str">
        <f>VLOOKUP(A4491,'Componentes APUs'!$A$1:$D$14,2,0)</f>
        <v>Equipo completo para trabajo en alturas con pretales (Arnes dielectrico, 1 mosqueton de seguridad, tie off dielectrico, eslinga de posicionamiento, juego de pretales)</v>
      </c>
      <c r="C4491" s="73"/>
      <c r="D4491" s="50" t="str">
        <f>VLOOKUP(A4491,'Componentes APUs'!$A$1:$D$14,3,0)</f>
        <v>U</v>
      </c>
      <c r="E4491" s="50">
        <f>IF(A4461="MO-3",C4461,0)</f>
        <v>0</v>
      </c>
      <c r="F4491" s="51">
        <f>VLOOKUP(A4491,'Componentes APUs'!$A$1:$D$14,4,0)</f>
        <v>26041.666666666668</v>
      </c>
      <c r="G4491" s="51">
        <f>ROUNDUP(F4491*(E4491/21)/E4448,0)</f>
        <v>0</v>
      </c>
    </row>
    <row r="4492" spans="1:7" x14ac:dyDescent="0.25">
      <c r="A4492" s="219" t="s">
        <v>95</v>
      </c>
      <c r="B4492" s="219"/>
      <c r="C4492" s="219"/>
      <c r="D4492" s="219"/>
      <c r="E4492" s="219"/>
      <c r="F4492" s="219"/>
      <c r="G4492" s="52">
        <f>SUM(G4479:G4491)</f>
        <v>2050</v>
      </c>
    </row>
    <row r="4493" spans="1:7" x14ac:dyDescent="0.25">
      <c r="A4493" s="56"/>
      <c r="B4493" s="57"/>
      <c r="C4493" s="57"/>
      <c r="D4493" s="57"/>
      <c r="E4493" s="57"/>
      <c r="F4493" s="57"/>
      <c r="G4493" s="58"/>
    </row>
    <row r="4494" spans="1:7" x14ac:dyDescent="0.25">
      <c r="A4494" s="219" t="s">
        <v>96</v>
      </c>
      <c r="B4494" s="219"/>
      <c r="C4494" s="219"/>
      <c r="D4494" s="219"/>
      <c r="E4494" s="219"/>
      <c r="F4494" s="219"/>
      <c r="G4494" s="219"/>
    </row>
    <row r="4495" spans="1:7" x14ac:dyDescent="0.25">
      <c r="A4495" s="49" t="s">
        <v>35</v>
      </c>
      <c r="B4495" s="225" t="s">
        <v>36</v>
      </c>
      <c r="C4495" s="225"/>
      <c r="D4495" s="49" t="s">
        <v>37</v>
      </c>
      <c r="E4495" s="49" t="s">
        <v>38</v>
      </c>
      <c r="F4495" s="49" t="s">
        <v>39</v>
      </c>
      <c r="G4495" s="49" t="s">
        <v>40</v>
      </c>
    </row>
    <row r="4496" spans="1:7" x14ac:dyDescent="0.25">
      <c r="A4496" s="69" t="s">
        <v>97</v>
      </c>
      <c r="B4496" s="72" t="str">
        <f>VLOOKUP(A4496,'Componentes APUs'!$N$1:$Q$30,2,0)</f>
        <v>Camioneta</v>
      </c>
      <c r="C4496" s="73"/>
      <c r="D4496" s="70" t="str">
        <f>VLOOKUP(A4496,'Componentes APUs'!$N$1:$Q$30,3,0)</f>
        <v>U</v>
      </c>
      <c r="E4496" s="50">
        <v>0.5</v>
      </c>
      <c r="F4496" s="51">
        <f>VLOOKUP(A4496,'Componentes APUs'!$N$1:$Q$30,4,0)</f>
        <v>5500000</v>
      </c>
      <c r="G4496" s="51">
        <f>IFERROR(ROUNDUP(F4496*(E4496/21)/E4448,0),"-")</f>
        <v>43651</v>
      </c>
    </row>
    <row r="4497" spans="1:7" x14ac:dyDescent="0.25">
      <c r="A4497" s="50" t="s">
        <v>321</v>
      </c>
      <c r="B4497" s="72" t="str">
        <f>VLOOKUP(A4497,'Componentes APUs'!$N$1:$Q$30,2,0)</f>
        <v>Grúa Hidráulica</v>
      </c>
      <c r="C4497" s="73"/>
      <c r="D4497" s="70" t="str">
        <f>VLOOKUP(A4497,'Componentes APUs'!$N$1:$Q$30,3,0)</f>
        <v>U</v>
      </c>
      <c r="E4497" s="50">
        <v>0</v>
      </c>
      <c r="F4497" s="51">
        <f>VLOOKUP(A4497,'Componentes APUs'!$N$1:$Q$30,4,0)</f>
        <v>21000000</v>
      </c>
      <c r="G4497" s="51">
        <f>IFERROR(ROUNDUP(F4497*(E4497/21)/E4448,0),"-")</f>
        <v>0</v>
      </c>
    </row>
    <row r="4498" spans="1:7" x14ac:dyDescent="0.25">
      <c r="A4498" s="69" t="s">
        <v>1379</v>
      </c>
      <c r="B4498" s="72" t="str">
        <f>VLOOKUP(A4498,'Componentes APUs'!$N$1:$Q$30,2,0)</f>
        <v>Dumper de descarga Frontal 2T</v>
      </c>
      <c r="C4498" s="73"/>
      <c r="D4498" s="70" t="str">
        <f>VLOOKUP(A4498,'Componentes APUs'!$N$1:$Q$30,3,0)</f>
        <v>U</v>
      </c>
      <c r="E4498" s="50">
        <v>0</v>
      </c>
      <c r="F4498" s="51">
        <f>VLOOKUP(A4498,'Componentes APUs'!$N$1:$Q$30,4,0)</f>
        <v>4438716.24</v>
      </c>
      <c r="G4498" s="51">
        <f>IFERROR(ROUNDUP(F4498*(E4498/21)/E4448,0),"-")</f>
        <v>0</v>
      </c>
    </row>
    <row r="4499" spans="1:7" x14ac:dyDescent="0.25">
      <c r="A4499" s="50" t="s">
        <v>323</v>
      </c>
      <c r="B4499" s="72" t="str">
        <f>VLOOKUP(A4499,'Componentes APUs'!$N$1:$Q$30,2,0)</f>
        <v>Volqueta</v>
      </c>
      <c r="C4499" s="73"/>
      <c r="D4499" s="70" t="str">
        <f>VLOOKUP(A4499,'Componentes APUs'!$N$1:$Q$30,3,0)</f>
        <v>U</v>
      </c>
      <c r="E4499" s="50">
        <v>0</v>
      </c>
      <c r="F4499" s="51">
        <f>VLOOKUP(A4499,'Componentes APUs'!$N$1:$Q$30,4,0)</f>
        <v>14828184</v>
      </c>
      <c r="G4499" s="51">
        <f>IFERROR(ROUNDUP(F4499*(E4499/21)/E4448,0),"-")</f>
        <v>0</v>
      </c>
    </row>
    <row r="4500" spans="1:7" x14ac:dyDescent="0.25">
      <c r="A4500" s="69" t="s">
        <v>324</v>
      </c>
      <c r="B4500" s="72" t="str">
        <f>VLOOKUP(A4500,'Componentes APUs'!$N$1:$Q$30,2,0)</f>
        <v>Retroexcavadora</v>
      </c>
      <c r="C4500" s="73"/>
      <c r="D4500" s="70" t="str">
        <f>VLOOKUP(A4500,'Componentes APUs'!$N$1:$Q$30,3,0)</f>
        <v>U</v>
      </c>
      <c r="E4500" s="50">
        <v>0</v>
      </c>
      <c r="F4500" s="51">
        <f>VLOOKUP(A4500,'Componentes APUs'!$N$1:$Q$30,4,0)</f>
        <v>46030656</v>
      </c>
      <c r="G4500" s="51">
        <f>IFERROR(ROUNDUP(F4500*(E4500/21)/E4448,0),"-")</f>
        <v>0</v>
      </c>
    </row>
    <row r="4501" spans="1:7" x14ac:dyDescent="0.25">
      <c r="A4501" s="219" t="s">
        <v>99</v>
      </c>
      <c r="B4501" s="219"/>
      <c r="C4501" s="219"/>
      <c r="D4501" s="219"/>
      <c r="E4501" s="219"/>
      <c r="F4501" s="219"/>
      <c r="G4501" s="52">
        <f>SUM(G4496:G4500)</f>
        <v>43651</v>
      </c>
    </row>
    <row r="4502" spans="1:7" x14ac:dyDescent="0.25">
      <c r="A4502" s="56"/>
      <c r="B4502" s="57"/>
      <c r="C4502" s="57"/>
      <c r="D4502" s="57"/>
      <c r="E4502" s="57"/>
      <c r="F4502" s="57"/>
      <c r="G4502" s="58"/>
    </row>
    <row r="4503" spans="1:7" x14ac:dyDescent="0.25">
      <c r="A4503" s="219" t="s">
        <v>1516</v>
      </c>
      <c r="B4503" s="219"/>
      <c r="C4503" s="219"/>
      <c r="D4503" s="219"/>
      <c r="E4503" s="219"/>
      <c r="F4503" s="219"/>
      <c r="G4503" s="52">
        <f>G4501+G4492+G4475+G4465+G4455</f>
        <v>1617350</v>
      </c>
    </row>
    <row r="4504" spans="1:7" x14ac:dyDescent="0.25">
      <c r="A4504" s="59"/>
      <c r="B4504" s="60"/>
      <c r="C4504" s="60"/>
      <c r="D4504" s="60"/>
      <c r="E4504" s="57"/>
      <c r="F4504" s="57"/>
      <c r="G4504" s="58"/>
    </row>
    <row r="4505" spans="1:7" x14ac:dyDescent="0.25">
      <c r="A4505" s="64"/>
      <c r="D4505" s="55"/>
      <c r="E4505" s="49" t="s">
        <v>25</v>
      </c>
      <c r="F4505" s="54">
        <v>0.15</v>
      </c>
      <c r="G4505" s="51">
        <f>G4503*F4505</f>
        <v>242602.5</v>
      </c>
    </row>
    <row r="4506" spans="1:7" x14ac:dyDescent="0.25">
      <c r="A4506" s="64"/>
      <c r="D4506" s="55"/>
      <c r="E4506" s="49" t="s">
        <v>26</v>
      </c>
      <c r="F4506" s="54">
        <v>0.05</v>
      </c>
      <c r="G4506" s="51">
        <f>G4503*F4506</f>
        <v>80867.5</v>
      </c>
    </row>
    <row r="4507" spans="1:7" x14ac:dyDescent="0.25">
      <c r="A4507" s="61"/>
      <c r="B4507" s="65"/>
      <c r="C4507" s="65"/>
      <c r="D4507" s="62"/>
      <c r="E4507" s="49" t="s">
        <v>27</v>
      </c>
      <c r="F4507" s="54">
        <v>0.05</v>
      </c>
      <c r="G4507" s="51">
        <f>G4503*F4507</f>
        <v>80867.5</v>
      </c>
    </row>
    <row r="4508" spans="1:7" x14ac:dyDescent="0.25">
      <c r="A4508" s="61"/>
      <c r="B4508" s="62"/>
      <c r="C4508" s="62"/>
      <c r="D4508" s="62"/>
      <c r="E4508" s="62"/>
      <c r="F4508" s="62"/>
      <c r="G4508" s="63"/>
    </row>
    <row r="4509" spans="1:7" x14ac:dyDescent="0.25">
      <c r="A4509" s="219" t="s">
        <v>1517</v>
      </c>
      <c r="B4509" s="219"/>
      <c r="C4509" s="219"/>
      <c r="D4509" s="219"/>
      <c r="E4509" s="219"/>
      <c r="F4509" s="219"/>
      <c r="G4509" s="52">
        <f>G4503+G4505+G4506+G4507</f>
        <v>2021687.5</v>
      </c>
    </row>
    <row r="4510" spans="1:7" x14ac:dyDescent="0.25">
      <c r="A4510" s="59"/>
      <c r="B4510" s="60"/>
      <c r="C4510" s="60"/>
      <c r="D4510" s="60"/>
      <c r="E4510" s="57"/>
      <c r="F4510" s="57"/>
      <c r="G4510" s="58"/>
    </row>
    <row r="4511" spans="1:7" x14ac:dyDescent="0.25">
      <c r="A4511" s="64"/>
      <c r="D4511" s="55"/>
      <c r="E4511" s="49" t="s">
        <v>102</v>
      </c>
      <c r="F4511" s="49" t="s">
        <v>103</v>
      </c>
      <c r="G4511" s="51">
        <f>G4507*19%</f>
        <v>15364.825000000001</v>
      </c>
    </row>
    <row r="4512" spans="1:7" x14ac:dyDescent="0.25">
      <c r="A4512" s="61"/>
      <c r="B4512" s="62"/>
      <c r="C4512" s="62"/>
      <c r="D4512" s="62"/>
      <c r="E4512" s="57"/>
      <c r="F4512" s="57"/>
      <c r="G4512" s="58"/>
    </row>
    <row r="4513" spans="1:9" x14ac:dyDescent="0.25">
      <c r="A4513" s="219" t="s">
        <v>104</v>
      </c>
      <c r="B4513" s="219"/>
      <c r="C4513" s="219"/>
      <c r="D4513" s="219"/>
      <c r="E4513" s="219"/>
      <c r="F4513" s="219"/>
      <c r="G4513" s="52">
        <f>G4511+G4509</f>
        <v>2037052.325</v>
      </c>
    </row>
    <row r="4515" spans="1:9" x14ac:dyDescent="0.25">
      <c r="A4515" s="74" t="s">
        <v>29</v>
      </c>
      <c r="B4515" s="226" t="s">
        <v>30</v>
      </c>
      <c r="C4515" s="226"/>
      <c r="D4515" s="74" t="s">
        <v>31</v>
      </c>
      <c r="E4515" s="74" t="s">
        <v>32</v>
      </c>
      <c r="F4515" s="74" t="s">
        <v>189</v>
      </c>
      <c r="G4515" s="74" t="s">
        <v>33</v>
      </c>
      <c r="H4515" s="105"/>
    </row>
    <row r="4516" spans="1:9" ht="26.25" customHeight="1" x14ac:dyDescent="0.25">
      <c r="A4516" s="50" t="str">
        <f>Presupuesto!B90</f>
        <v>074_OC</v>
      </c>
      <c r="B4516" s="229" t="str">
        <f>Presupuesto!C90</f>
        <v>VÁLVULA DE BAY-PASS MARIPOSA 1/2" PARA TANQUE DE ALMACENAMIENTO. INCLUYE CAJA DE REGISTRO</v>
      </c>
      <c r="C4516" s="230"/>
      <c r="D4516" s="50" t="s">
        <v>8</v>
      </c>
      <c r="E4516" s="107">
        <v>10</v>
      </c>
      <c r="F4516" s="50"/>
      <c r="G4516" s="51">
        <f>G4581</f>
        <v>189969.12550000002</v>
      </c>
      <c r="H4516" s="45"/>
    </row>
    <row r="4517" spans="1:9" x14ac:dyDescent="0.25">
      <c r="A4517" s="219" t="s">
        <v>34</v>
      </c>
      <c r="B4517" s="219"/>
      <c r="C4517" s="219"/>
      <c r="D4517" s="219"/>
      <c r="E4517" s="219"/>
      <c r="F4517" s="219"/>
      <c r="G4517" s="219"/>
    </row>
    <row r="4518" spans="1:9" x14ac:dyDescent="0.25">
      <c r="A4518" s="49" t="s">
        <v>35</v>
      </c>
      <c r="B4518" s="219" t="s">
        <v>36</v>
      </c>
      <c r="C4518" s="219"/>
      <c r="D4518" s="49" t="s">
        <v>37</v>
      </c>
      <c r="E4518" s="49" t="s">
        <v>38</v>
      </c>
      <c r="F4518" s="49" t="s">
        <v>39</v>
      </c>
      <c r="G4518" s="49" t="s">
        <v>40</v>
      </c>
    </row>
    <row r="4519" spans="1:9" x14ac:dyDescent="0.25">
      <c r="A4519" s="50" t="str">
        <f>Material!A504</f>
        <v>MA-503</v>
      </c>
      <c r="B4519" s="72" t="str">
        <f>IFERROR(VLOOKUP(A4519,Material!$A:$H,2,0),"-")</f>
        <v>VÁLVULA BOLA MANIJA MARIPOSA 1/2"</v>
      </c>
      <c r="C4519" s="76"/>
      <c r="D4519" s="50" t="str">
        <f>IFERROR(VLOOKUP(A4519,Material!$A:$H,4,0),"-")</f>
        <v>ML</v>
      </c>
      <c r="E4519" s="53">
        <v>1</v>
      </c>
      <c r="F4519" s="51">
        <f>IFERROR(VLOOKUP(A4519,Material!$A:$H,3,0),"-")</f>
        <v>38870</v>
      </c>
      <c r="G4519" s="51">
        <f t="shared" ref="G4519:G4522" si="82">IFERROR(ROUNDUP(F4519*E4519,0),"-")</f>
        <v>38870</v>
      </c>
      <c r="H4519" s="106"/>
    </row>
    <row r="4520" spans="1:9" x14ac:dyDescent="0.25">
      <c r="A4520" s="50" t="str">
        <f>Material!A669</f>
        <v>MA-668</v>
      </c>
      <c r="B4520" s="72" t="str">
        <f>IFERROR(VLOOKUP(A4520,Material!$A:$H,2,0),"-")</f>
        <v>TAPA REGISTSRO DE 15X15 CM</v>
      </c>
      <c r="C4520" s="76"/>
      <c r="D4520" s="50" t="str">
        <f>IFERROR(VLOOKUP(A4520,Material!$A:$H,4,0),"-")</f>
        <v>UN</v>
      </c>
      <c r="E4520" s="53">
        <v>1</v>
      </c>
      <c r="F4520" s="51">
        <f>IFERROR(VLOOKUP(A4520,Material!$A:$H,3,0),"-")</f>
        <v>39000</v>
      </c>
      <c r="G4520" s="51">
        <f t="shared" si="82"/>
        <v>39000</v>
      </c>
      <c r="H4520" s="106"/>
    </row>
    <row r="4521" spans="1:9" x14ac:dyDescent="0.25">
      <c r="A4521" s="50" t="str">
        <f>Material!A494</f>
        <v>MA-493</v>
      </c>
      <c r="B4521" s="72" t="str">
        <f>IFERROR(VLOOKUP(A4521,Material!$A:$H,2,0),"-")</f>
        <v>TUBO PRESIÓN 1/2"</v>
      </c>
      <c r="C4521" s="76"/>
      <c r="D4521" s="50" t="str">
        <f>IFERROR(VLOOKUP(A4521,Material!$A:$H,4,0),"-")</f>
        <v>ML</v>
      </c>
      <c r="E4521" s="107">
        <v>0.5</v>
      </c>
      <c r="F4521" s="51">
        <f>IFERROR(VLOOKUP(A4521,Material!$A:$H,3,0),"-")</f>
        <v>2967.9</v>
      </c>
      <c r="G4521" s="51">
        <f t="shared" si="82"/>
        <v>1484</v>
      </c>
      <c r="H4521" s="106"/>
    </row>
    <row r="4522" spans="1:9" x14ac:dyDescent="0.25">
      <c r="A4522" s="50"/>
      <c r="B4522" s="72" t="str">
        <f>IFERROR(VLOOKUP(A4522,Material!$A:$H,2,0),"-")</f>
        <v>-</v>
      </c>
      <c r="C4522" s="76"/>
      <c r="D4522" s="50" t="str">
        <f>IFERROR(VLOOKUP(A4522,Material!$A:$H,4,0),"-")</f>
        <v>-</v>
      </c>
      <c r="E4522" s="53"/>
      <c r="F4522" s="51" t="str">
        <f>IFERROR(VLOOKUP(A4522,Material!$A:$H,3,0),"-")</f>
        <v>-</v>
      </c>
      <c r="G4522" s="51" t="str">
        <f t="shared" si="82"/>
        <v>-</v>
      </c>
      <c r="H4522" s="106"/>
    </row>
    <row r="4523" spans="1:9" x14ac:dyDescent="0.25">
      <c r="A4523" s="219" t="s">
        <v>41</v>
      </c>
      <c r="B4523" s="219"/>
      <c r="C4523" s="219"/>
      <c r="D4523" s="219"/>
      <c r="E4523" s="219"/>
      <c r="F4523" s="219"/>
      <c r="G4523" s="52">
        <f>SUM(G4519:G4521)</f>
        <v>79354</v>
      </c>
      <c r="I4523" s="104"/>
    </row>
    <row r="4524" spans="1:9" x14ac:dyDescent="0.25">
      <c r="A4524" s="56"/>
      <c r="B4524" s="57"/>
      <c r="C4524" s="57"/>
      <c r="D4524" s="57"/>
      <c r="E4524" s="57"/>
      <c r="F4524" s="57"/>
      <c r="G4524" s="58"/>
    </row>
    <row r="4525" spans="1:9" x14ac:dyDescent="0.25">
      <c r="A4525" s="219" t="s">
        <v>42</v>
      </c>
      <c r="B4525" s="219"/>
      <c r="C4525" s="219"/>
      <c r="D4525" s="219"/>
      <c r="E4525" s="219"/>
      <c r="F4525" s="219"/>
      <c r="G4525" s="219"/>
    </row>
    <row r="4526" spans="1:9" x14ac:dyDescent="0.25">
      <c r="A4526" s="49" t="s">
        <v>35</v>
      </c>
      <c r="B4526" s="49" t="s">
        <v>36</v>
      </c>
      <c r="C4526" s="49" t="s">
        <v>38</v>
      </c>
      <c r="D4526" s="49" t="s">
        <v>43</v>
      </c>
      <c r="E4526" s="49" t="s">
        <v>44</v>
      </c>
      <c r="F4526" s="49" t="s">
        <v>45</v>
      </c>
      <c r="G4526" s="49" t="s">
        <v>40</v>
      </c>
    </row>
    <row r="4527" spans="1:9" x14ac:dyDescent="0.25">
      <c r="A4527" s="50" t="s">
        <v>319</v>
      </c>
      <c r="B4527" s="68" t="str">
        <f>VLOOKUP(A4527,'Componentes APUs'!$H$1:$L$25,2,0)</f>
        <v>Ingeniero Residente de Obra</v>
      </c>
      <c r="C4527" s="93">
        <v>0</v>
      </c>
      <c r="D4527" s="50">
        <f>VLOOKUP(A4527,'Componentes APUs'!$H$1:$L$25,3,0)</f>
        <v>4</v>
      </c>
      <c r="E4527" s="51">
        <f>VLOOKUP(A4527,'Componentes APUs'!$H$1:$L$25,4,0)</f>
        <v>271142.85714285716</v>
      </c>
      <c r="F4527" s="51">
        <f>VLOOKUP(A4527,'Componentes APUs'!$H$1:$L$25,5,0)</f>
        <v>162685.71428571429</v>
      </c>
      <c r="G4527" s="51">
        <f>ROUNDUP((E4527+F4527)*C4527/E4516,0)</f>
        <v>0</v>
      </c>
      <c r="H4527" s="66"/>
    </row>
    <row r="4528" spans="1:9" x14ac:dyDescent="0.25">
      <c r="A4528" s="50" t="s">
        <v>320</v>
      </c>
      <c r="B4528" s="68" t="str">
        <f>VLOOKUP(A4528,'Componentes APUs'!$H$1:$L$25,2,0)</f>
        <v>Tecnico Supervisor</v>
      </c>
      <c r="C4528" s="93">
        <v>0.25</v>
      </c>
      <c r="D4528" s="50">
        <f>VLOOKUP(A4528,'Componentes APUs'!$H$1:$L$25,3,0)</f>
        <v>2.2999999999999998</v>
      </c>
      <c r="E4528" s="51">
        <f>VLOOKUP(A4528,'Componentes APUs'!$H$1:$L$25,4,0)</f>
        <v>155907.14285714284</v>
      </c>
      <c r="F4528" s="51">
        <f>VLOOKUP(A4528,'Componentes APUs'!$H$1:$L$25,5,0)</f>
        <v>93544.285714285696</v>
      </c>
      <c r="G4528" s="51">
        <f>ROUNDUP((E4528+F4528)*C4528/E4516,0)</f>
        <v>6237</v>
      </c>
    </row>
    <row r="4529" spans="1:9" x14ac:dyDescent="0.25">
      <c r="A4529" s="50" t="s">
        <v>54</v>
      </c>
      <c r="B4529" s="68" t="str">
        <f>VLOOKUP(A4529,'Componentes APUs'!$H$1:$L$25,2,0)</f>
        <v>Maestro de obra civil</v>
      </c>
      <c r="C4529" s="93">
        <v>0</v>
      </c>
      <c r="D4529" s="50">
        <f>VLOOKUP(A4529,'Componentes APUs'!$H$1:$L$25,3,0)</f>
        <v>2.5</v>
      </c>
      <c r="E4529" s="51">
        <f>VLOOKUP(A4529,'Componentes APUs'!$H$1:$L$25,4,0)</f>
        <v>169464.28571428571</v>
      </c>
      <c r="F4529" s="51">
        <f>VLOOKUP(A4529,'Componentes APUs'!$H$1:$L$25,5,0)</f>
        <v>101678.57142857142</v>
      </c>
      <c r="G4529" s="51">
        <f>ROUNDUP((E4529+F4529)*C4529/E4516,0)</f>
        <v>0</v>
      </c>
    </row>
    <row r="4530" spans="1:9" x14ac:dyDescent="0.25">
      <c r="A4530" s="50" t="s">
        <v>1110</v>
      </c>
      <c r="B4530" s="68" t="str">
        <f>VLOOKUP(A4530,'Componentes APUs'!$H$1:$L$25,2,0)</f>
        <v>Oficial de Obra Civil</v>
      </c>
      <c r="C4530" s="93">
        <v>1</v>
      </c>
      <c r="D4530" s="50">
        <f>VLOOKUP(A4530,'Componentes APUs'!$H$1:$L$25,3,0)</f>
        <v>1.5</v>
      </c>
      <c r="E4530" s="51">
        <f>VLOOKUP(A4530,'Componentes APUs'!$H$1:$L$25,4,0)</f>
        <v>115964.28571428571</v>
      </c>
      <c r="F4530" s="51">
        <f>VLOOKUP(A4530,'Componentes APUs'!$H$1:$L$25,5,0)</f>
        <v>69578.57142857142</v>
      </c>
      <c r="G4530" s="51">
        <f>ROUNDUP((E4530+F4530)*C4530/E4516,0)</f>
        <v>18555</v>
      </c>
    </row>
    <row r="4531" spans="1:9" x14ac:dyDescent="0.25">
      <c r="A4531" s="50" t="s">
        <v>50</v>
      </c>
      <c r="B4531" s="68" t="str">
        <f>VLOOKUP(A4531,'Componentes APUs'!$H$1:$L$25,2,0)</f>
        <v>Profesional en SST</v>
      </c>
      <c r="C4531" s="93">
        <v>0.25</v>
      </c>
      <c r="D4531" s="50">
        <f>VLOOKUP(A4531,'Componentes APUs'!$H$1:$L$25,3,0)</f>
        <v>2.5</v>
      </c>
      <c r="E4531" s="51">
        <f>VLOOKUP(A4531,'Componentes APUs'!$H$1:$L$25,4,0)</f>
        <v>169464.28571428571</v>
      </c>
      <c r="F4531" s="51">
        <f>VLOOKUP(A4531,'Componentes APUs'!$H$1:$L$25,5,0)</f>
        <v>101678.57142857142</v>
      </c>
      <c r="G4531" s="51">
        <f>ROUNDUP((E4531+F4531)*C4531/E4516,0)</f>
        <v>6779</v>
      </c>
    </row>
    <row r="4532" spans="1:9" x14ac:dyDescent="0.25">
      <c r="A4532" s="50" t="s">
        <v>1109</v>
      </c>
      <c r="B4532" s="68" t="str">
        <f>VLOOKUP(A4532,'Componentes APUs'!$H$1:$L$25,2,0)</f>
        <v>Ayudante de Obra Civil</v>
      </c>
      <c r="C4532" s="93">
        <v>1</v>
      </c>
      <c r="D4532" s="50">
        <f>VLOOKUP(A4532,'Componentes APUs'!$H$1:$L$25,3,0)</f>
        <v>1</v>
      </c>
      <c r="E4532" s="51">
        <f>VLOOKUP(A4532,'Componentes APUs'!$H$1:$L$25,4,0)</f>
        <v>77309.523809523816</v>
      </c>
      <c r="F4532" s="51">
        <f>VLOOKUP(A4532,'Componentes APUs'!$H$1:$L$25,5,0)</f>
        <v>46385.71428571429</v>
      </c>
      <c r="G4532" s="51">
        <f>ROUNDUP((E4532+F4532)*C4532/E4516,0)</f>
        <v>12370</v>
      </c>
    </row>
    <row r="4533" spans="1:9" x14ac:dyDescent="0.25">
      <c r="A4533" s="219" t="s">
        <v>56</v>
      </c>
      <c r="B4533" s="219"/>
      <c r="C4533" s="219"/>
      <c r="D4533" s="219"/>
      <c r="E4533" s="219"/>
      <c r="F4533" s="219"/>
      <c r="G4533" s="52">
        <f>SUM(G4527:G4532)</f>
        <v>43941</v>
      </c>
    </row>
    <row r="4534" spans="1:9" x14ac:dyDescent="0.25">
      <c r="A4534" s="56"/>
      <c r="B4534" s="57"/>
      <c r="C4534" s="57"/>
      <c r="D4534" s="57"/>
      <c r="E4534" s="57"/>
      <c r="F4534" s="57"/>
      <c r="G4534" s="58"/>
    </row>
    <row r="4535" spans="1:9" x14ac:dyDescent="0.25">
      <c r="A4535" s="219" t="s">
        <v>57</v>
      </c>
      <c r="B4535" s="219"/>
      <c r="C4535" s="219"/>
      <c r="D4535" s="219"/>
      <c r="E4535" s="219"/>
      <c r="F4535" s="219"/>
      <c r="G4535" s="219"/>
    </row>
    <row r="4536" spans="1:9" x14ac:dyDescent="0.25">
      <c r="A4536" s="49" t="s">
        <v>35</v>
      </c>
      <c r="B4536" s="219" t="s">
        <v>36</v>
      </c>
      <c r="C4536" s="219"/>
      <c r="D4536" s="49" t="s">
        <v>37</v>
      </c>
      <c r="E4536" s="49" t="s">
        <v>38</v>
      </c>
      <c r="F4536" s="49" t="s">
        <v>39</v>
      </c>
      <c r="G4536" s="49" t="s">
        <v>40</v>
      </c>
    </row>
    <row r="4537" spans="1:9" x14ac:dyDescent="0.25">
      <c r="A4537" s="50" t="s">
        <v>326</v>
      </c>
      <c r="B4537" s="220" t="str">
        <f>VLOOKUP(A4537,'Componentes APUs'!$S$1:$V$10,2,0)</f>
        <v>Juego Llaves</v>
      </c>
      <c r="C4537" s="220"/>
      <c r="D4537" s="50" t="s">
        <v>18</v>
      </c>
      <c r="E4537" s="50">
        <v>0</v>
      </c>
      <c r="F4537" s="51">
        <f>VLOOKUP(A4537,'Componentes APUs'!$S$1:$V$10,4,0)</f>
        <v>9167</v>
      </c>
      <c r="G4537" s="51">
        <f>ROUNDUP(F4537*((E4537/21)/E4516),0)</f>
        <v>0</v>
      </c>
      <c r="I4537" s="91"/>
    </row>
    <row r="4538" spans="1:9" x14ac:dyDescent="0.25">
      <c r="A4538" s="50" t="s">
        <v>58</v>
      </c>
      <c r="B4538" s="220" t="str">
        <f>VLOOKUP(A4538,'Componentes APUs'!$S$1:$V$10,2,0)</f>
        <v>Manila de servicio</v>
      </c>
      <c r="C4538" s="220"/>
      <c r="D4538" s="50" t="s">
        <v>18</v>
      </c>
      <c r="E4538" s="50">
        <v>0</v>
      </c>
      <c r="F4538" s="51">
        <f>VLOOKUP(A4538,'Componentes APUs'!$S$1:$V$10,4,0)</f>
        <v>2333</v>
      </c>
      <c r="G4538" s="51">
        <f>ROUNDUP(F4538*((E4538/21)/E4516),0)</f>
        <v>0</v>
      </c>
    </row>
    <row r="4539" spans="1:9" x14ac:dyDescent="0.25">
      <c r="A4539" s="50" t="s">
        <v>327</v>
      </c>
      <c r="B4539" s="220" t="str">
        <f>VLOOKUP(A4539,'Componentes APUs'!$S$1:$V$10,2,0)</f>
        <v>Tula portaherramientas</v>
      </c>
      <c r="C4539" s="220"/>
      <c r="D4539" s="50" t="s">
        <v>18</v>
      </c>
      <c r="E4539" s="50">
        <v>0</v>
      </c>
      <c r="F4539" s="51">
        <f>VLOOKUP(A4539,'Componentes APUs'!$S$1:$V$10,4,0)</f>
        <v>1250</v>
      </c>
      <c r="G4539" s="51">
        <f>ROUNDUP(F4539*((E4539/21)/E4516),0)</f>
        <v>0</v>
      </c>
    </row>
    <row r="4540" spans="1:9" x14ac:dyDescent="0.25">
      <c r="A4540" s="50" t="s">
        <v>60</v>
      </c>
      <c r="B4540" s="220" t="str">
        <f>VLOOKUP(A4540,'Componentes APUs'!$S$1:$V$10,2,0)</f>
        <v>Agarradoras</v>
      </c>
      <c r="C4540" s="220"/>
      <c r="D4540" s="50" t="s">
        <v>18</v>
      </c>
      <c r="E4540" s="50">
        <v>0</v>
      </c>
      <c r="F4540" s="51">
        <f>VLOOKUP(A4540,'Componentes APUs'!$S$1:$V$10,4,0)</f>
        <v>125000</v>
      </c>
      <c r="G4540" s="51">
        <f>ROUNDUP(F4540*((E4540/21)/E4516),0)</f>
        <v>0</v>
      </c>
    </row>
    <row r="4541" spans="1:9" x14ac:dyDescent="0.25">
      <c r="A4541" s="50" t="s">
        <v>62</v>
      </c>
      <c r="B4541" s="220" t="str">
        <f>VLOOKUP(A4541,'Componentes APUs'!$S$1:$V$10,2,0)</f>
        <v>Templadoras</v>
      </c>
      <c r="C4541" s="220"/>
      <c r="D4541" s="50" t="s">
        <v>18</v>
      </c>
      <c r="E4541" s="50">
        <v>0</v>
      </c>
      <c r="F4541" s="51">
        <f>VLOOKUP(A4541,'Componentes APUs'!$S$1:$V$10,4,0)</f>
        <v>250000</v>
      </c>
      <c r="G4541" s="51">
        <f>ROUNDUP(F4541*((E4541/21)/E4516),0)</f>
        <v>0</v>
      </c>
    </row>
    <row r="4542" spans="1:9" x14ac:dyDescent="0.25">
      <c r="A4542" s="50" t="s">
        <v>328</v>
      </c>
      <c r="B4542" s="220" t="str">
        <f>VLOOKUP(A4542,'Componentes APUs'!$S$1:$V$10,2,0)</f>
        <v>Herramienta Menor</v>
      </c>
      <c r="C4542" s="220"/>
      <c r="D4542" s="50" t="s">
        <v>18</v>
      </c>
      <c r="E4542" s="50">
        <v>2</v>
      </c>
      <c r="F4542" s="51">
        <f>VLOOKUP(A4542,'Componentes APUs'!$S$1:$V$10,4,0)</f>
        <v>75758</v>
      </c>
      <c r="G4542" s="51">
        <f>ROUNDUP(F4542*((E4542/21)/E4516),0)</f>
        <v>722</v>
      </c>
    </row>
    <row r="4543" spans="1:9" x14ac:dyDescent="0.25">
      <c r="A4543" s="219" t="s">
        <v>69</v>
      </c>
      <c r="B4543" s="219"/>
      <c r="C4543" s="219"/>
      <c r="D4543" s="219"/>
      <c r="E4543" s="219"/>
      <c r="F4543" s="219"/>
      <c r="G4543" s="52">
        <f>SUM(G4537:G4542)</f>
        <v>722</v>
      </c>
    </row>
    <row r="4544" spans="1:9" x14ac:dyDescent="0.25">
      <c r="A4544" s="56"/>
      <c r="B4544" s="57"/>
      <c r="C4544" s="57"/>
      <c r="D4544" s="57"/>
      <c r="E4544" s="57"/>
      <c r="F4544" s="57"/>
      <c r="G4544" s="58"/>
    </row>
    <row r="4545" spans="1:9" x14ac:dyDescent="0.25">
      <c r="A4545" s="219" t="s">
        <v>70</v>
      </c>
      <c r="B4545" s="219"/>
      <c r="C4545" s="219"/>
      <c r="D4545" s="219"/>
      <c r="E4545" s="219"/>
      <c r="F4545" s="219"/>
      <c r="G4545" s="219"/>
    </row>
    <row r="4546" spans="1:9" x14ac:dyDescent="0.25">
      <c r="A4546" s="49" t="s">
        <v>35</v>
      </c>
      <c r="B4546" s="219" t="s">
        <v>36</v>
      </c>
      <c r="C4546" s="219"/>
      <c r="D4546" s="49" t="s">
        <v>37</v>
      </c>
      <c r="E4546" s="49" t="s">
        <v>38</v>
      </c>
      <c r="F4546" s="49" t="s">
        <v>39</v>
      </c>
      <c r="G4546" s="49" t="s">
        <v>40</v>
      </c>
    </row>
    <row r="4547" spans="1:9" x14ac:dyDescent="0.25">
      <c r="A4547" s="50" t="s">
        <v>71</v>
      </c>
      <c r="B4547" s="71" t="str">
        <f>VLOOKUP(A4547,'Componentes APUs'!$A$1:$D$14,2,0)</f>
        <v>Camisa indigo sin partes metalicas</v>
      </c>
      <c r="C4547" s="71"/>
      <c r="D4547" s="50" t="str">
        <f>VLOOKUP(A4547,'Componentes APUs'!$A$1:$D$14,3,0)</f>
        <v>U</v>
      </c>
      <c r="E4547" s="50">
        <f>SUM(C4527:C4532)</f>
        <v>2.5</v>
      </c>
      <c r="F4547" s="51">
        <f>VLOOKUP(A4547,'Componentes APUs'!$A$1:$D$14,4,0)</f>
        <v>8585.8585858585866</v>
      </c>
      <c r="G4547" s="51">
        <f>ROUNDUP(F4547*(E4547/21)/E4516,0)</f>
        <v>103</v>
      </c>
      <c r="I4547" s="91"/>
    </row>
    <row r="4548" spans="1:9" x14ac:dyDescent="0.25">
      <c r="A4548" s="69" t="s">
        <v>73</v>
      </c>
      <c r="B4548" s="72" t="str">
        <f>VLOOKUP(A4548,'Componentes APUs'!$A$1:$D$14,2,0)</f>
        <v>Bota de seguridad dielectrica</v>
      </c>
      <c r="C4548" s="73"/>
      <c r="D4548" s="70" t="str">
        <f>VLOOKUP(A4548,'Componentes APUs'!$A$1:$D$14,3,0)</f>
        <v>Par</v>
      </c>
      <c r="E4548" s="50">
        <f>SUM(C4527:C4532)</f>
        <v>2.5</v>
      </c>
      <c r="F4548" s="51">
        <f>VLOOKUP(A4548,'Componentes APUs'!$A$1:$D$14,4,0)</f>
        <v>7500</v>
      </c>
      <c r="G4548" s="51">
        <f>ROUNDUP(F4548*(E4548/21)/E4516,0)</f>
        <v>90</v>
      </c>
    </row>
    <row r="4549" spans="1:9" x14ac:dyDescent="0.25">
      <c r="A4549" s="50" t="s">
        <v>76</v>
      </c>
      <c r="B4549" s="72" t="str">
        <f>VLOOKUP(A4549,'Componentes APUs'!$A$1:$D$14,2,0)</f>
        <v>Casco dielectrico Tipo 1 Clase E con barbuquejo</v>
      </c>
      <c r="C4549" s="73"/>
      <c r="D4549" s="50" t="str">
        <f>VLOOKUP(A4549,'Componentes APUs'!$A$1:$D$14,3,0)</f>
        <v>U</v>
      </c>
      <c r="E4549" s="50">
        <f>C4527+C4528+C4530+C4531+C4532+IF(A4529&lt;&gt;"MO-3",C4529,0)</f>
        <v>2.5</v>
      </c>
      <c r="F4549" s="51">
        <f>VLOOKUP(A4549,'Componentes APUs'!$A$1:$D$14,4,0)</f>
        <v>10101.010101010101</v>
      </c>
      <c r="G4549" s="51">
        <f>ROUNDUP(F4549*(E4549/21)/E4516,0)</f>
        <v>121</v>
      </c>
    </row>
    <row r="4550" spans="1:9" x14ac:dyDescent="0.25">
      <c r="A4550" s="69" t="s">
        <v>77</v>
      </c>
      <c r="B4550" s="72" t="str">
        <f>VLOOKUP(A4550,'Componentes APUs'!$A$1:$D$14,2,0)</f>
        <v>Correa plastica y antiflama</v>
      </c>
      <c r="C4550" s="73"/>
      <c r="D4550" s="50" t="str">
        <f>VLOOKUP(A4550,'Componentes APUs'!$A$1:$D$14,3,0)</f>
        <v>U</v>
      </c>
      <c r="E4550" s="50">
        <f>SUM(C4527:C4532)</f>
        <v>2.5</v>
      </c>
      <c r="F4550" s="51">
        <f>VLOOKUP(A4550,'Componentes APUs'!$A$1:$D$14,4,0)</f>
        <v>3787.878787878788</v>
      </c>
      <c r="G4550" s="51">
        <f>ROUNDUP(F4550*(E4550/21)/E4516,0)</f>
        <v>46</v>
      </c>
    </row>
    <row r="4551" spans="1:9" x14ac:dyDescent="0.25">
      <c r="A4551" s="50" t="s">
        <v>79</v>
      </c>
      <c r="B4551" s="72" t="str">
        <f>VLOOKUP(A4551,'Componentes APUs'!$A$1:$D$14,2,0)</f>
        <v>Gafas protectoras filtro UV</v>
      </c>
      <c r="C4551" s="73"/>
      <c r="D4551" s="50" t="str">
        <f>VLOOKUP(A4551,'Componentes APUs'!$A$1:$D$14,3,0)</f>
        <v>U</v>
      </c>
      <c r="E4551" s="50">
        <f>SUM(C4527:C4532)</f>
        <v>2.5</v>
      </c>
      <c r="F4551" s="51">
        <f>VLOOKUP(A4551,'Componentes APUs'!$A$1:$D$14,4,0)</f>
        <v>2777.7777777777778</v>
      </c>
      <c r="G4551" s="51">
        <f>ROUNDUP(F4551*(E4551/21)/E4516,0)</f>
        <v>34</v>
      </c>
    </row>
    <row r="4552" spans="1:9" x14ac:dyDescent="0.25">
      <c r="A4552" s="69" t="s">
        <v>402</v>
      </c>
      <c r="B4552" s="72" t="str">
        <f>VLOOKUP(A4552,'Componentes APUs'!$A$1:$D$14,2,0)</f>
        <v>Bota de seguridad PVC dielectrica</v>
      </c>
      <c r="C4552" s="73"/>
      <c r="D4552" s="50" t="str">
        <f>VLOOKUP(A4552,'Componentes APUs'!$A$1:$D$14,3,0)</f>
        <v>Par</v>
      </c>
      <c r="E4552" s="50">
        <f>SUM(C4527:C4532)</f>
        <v>2.5</v>
      </c>
      <c r="F4552" s="51">
        <f>VLOOKUP(A4552,'Componentes APUs'!$A$1:$D$14,4,0)</f>
        <v>2916.6666666666665</v>
      </c>
      <c r="G4552" s="51">
        <f>ROUNDUP(F4552*(E4552/21)/E4516,0)</f>
        <v>35</v>
      </c>
    </row>
    <row r="4553" spans="1:9" x14ac:dyDescent="0.25">
      <c r="A4553" s="50" t="s">
        <v>403</v>
      </c>
      <c r="B4553" s="72" t="str">
        <f>VLOOKUP(A4553,'Componentes APUs'!$A$1:$D$14,2,0)</f>
        <v>Capuchon</v>
      </c>
      <c r="C4553" s="73"/>
      <c r="D4553" s="50" t="str">
        <f>VLOOKUP(A4553,'Componentes APUs'!$A$1:$D$14,3,0)</f>
        <v>U</v>
      </c>
      <c r="E4553" s="50">
        <f>SUM(C4527:C4532)</f>
        <v>2.5</v>
      </c>
      <c r="F4553" s="51">
        <f>VLOOKUP(A4553,'Componentes APUs'!$A$1:$D$14,4,0)</f>
        <v>2525.2525252525252</v>
      </c>
      <c r="G4553" s="51">
        <f>ROUNDUP(F4553*(E4553/21)/E4516,0)</f>
        <v>31</v>
      </c>
    </row>
    <row r="4554" spans="1:9" x14ac:dyDescent="0.25">
      <c r="A4554" s="69" t="s">
        <v>81</v>
      </c>
      <c r="B4554" s="72" t="str">
        <f>VLOOKUP(A4554,'Componentes APUs'!$A$1:$D$14,2,0)</f>
        <v>Guantes Protectores  - ingeniero reforzados</v>
      </c>
      <c r="C4554" s="73"/>
      <c r="D4554" s="50" t="str">
        <f>VLOOKUP(A4554,'Componentes APUs'!$A$1:$D$14,3,0)</f>
        <v>Par</v>
      </c>
      <c r="E4554" s="50">
        <f>C4529+C4530+C4532</f>
        <v>2</v>
      </c>
      <c r="F4554" s="51">
        <f>VLOOKUP(A4554,'Componentes APUs'!$A$1:$D$14,4,0)</f>
        <v>2525.2525252525252</v>
      </c>
      <c r="G4554" s="51">
        <f>ROUNDUP(F4554*(E4554/21)/E4516,0)</f>
        <v>25</v>
      </c>
    </row>
    <row r="4555" spans="1:9" x14ac:dyDescent="0.25">
      <c r="A4555" s="50" t="s">
        <v>83</v>
      </c>
      <c r="B4555" s="72" t="str">
        <f>VLOOKUP(A4555,'Componentes APUs'!$A$1:$D$14,2,0)</f>
        <v>Impermeable (pantalon camisa)</v>
      </c>
      <c r="C4555" s="73"/>
      <c r="D4555" s="50" t="str">
        <f>VLOOKUP(A4555,'Componentes APUs'!$A$1:$D$14,3,0)</f>
        <v>U</v>
      </c>
      <c r="E4555" s="50">
        <f>SUM(C4527:C4532)</f>
        <v>2.5</v>
      </c>
      <c r="F4555" s="51">
        <f>VLOOKUP(A4555,'Componentes APUs'!$A$1:$D$14,4,0)</f>
        <v>3750</v>
      </c>
      <c r="G4555" s="51">
        <f>ROUNDUP(F4555*(E4555/21)/E4516,0)</f>
        <v>45</v>
      </c>
    </row>
    <row r="4556" spans="1:9" x14ac:dyDescent="0.25">
      <c r="A4556" s="69" t="s">
        <v>85</v>
      </c>
      <c r="B4556" s="72" t="str">
        <f>VLOOKUP(A4556,'Componentes APUs'!$A$1:$D$14,2,0)</f>
        <v>Jean Dielectrico</v>
      </c>
      <c r="C4556" s="73"/>
      <c r="D4556" s="50" t="str">
        <f>VLOOKUP(A4556,'Componentes APUs'!$A$1:$D$14,3,0)</f>
        <v>U</v>
      </c>
      <c r="E4556" s="50">
        <f>SUM(C4527:C4532)</f>
        <v>2.5</v>
      </c>
      <c r="F4556" s="51">
        <f>VLOOKUP(A4556,'Componentes APUs'!$A$1:$D$14,4,0)</f>
        <v>7575.757575757576</v>
      </c>
      <c r="G4556" s="51">
        <f>ROUNDUP(F4556*(E4556/21)/E4516,0)</f>
        <v>91</v>
      </c>
    </row>
    <row r="4557" spans="1:9" x14ac:dyDescent="0.25">
      <c r="A4557" s="50" t="s">
        <v>87</v>
      </c>
      <c r="B4557" s="72" t="str">
        <f>VLOOKUP(A4557,'Componentes APUs'!$A$1:$D$14,2,0)</f>
        <v>Casco dielectrico Tipo 2 Clase E con barboquejo</v>
      </c>
      <c r="C4557" s="73"/>
      <c r="D4557" s="50" t="str">
        <f>VLOOKUP(A4557,'Componentes APUs'!$A$1:$D$14,3,0)</f>
        <v>U</v>
      </c>
      <c r="E4557" s="53">
        <f>IF(A4529="MO-3",C4529,0)</f>
        <v>0</v>
      </c>
      <c r="F4557" s="51">
        <f>VLOOKUP(A4557,'Componentes APUs'!$A$1:$D$14,4,0)</f>
        <v>7500</v>
      </c>
      <c r="G4557" s="51">
        <f>ROUNDUP(F4557*(E4557/21)/E4516,0)</f>
        <v>0</v>
      </c>
    </row>
    <row r="4558" spans="1:9" x14ac:dyDescent="0.25">
      <c r="A4558" s="69" t="s">
        <v>89</v>
      </c>
      <c r="B4558" s="72" t="str">
        <f>VLOOKUP(A4558,'Componentes APUs'!$A$1:$D$14,2,0)</f>
        <v>Kit de rescate para trabajo en alturas</v>
      </c>
      <c r="C4558" s="73"/>
      <c r="D4558" s="50" t="str">
        <f>VLOOKUP(A4558,'Componentes APUs'!$A$1:$D$14,3,0)</f>
        <v>U</v>
      </c>
      <c r="E4558" s="50">
        <f>IF(AND(A4529="MO-3",C4529=2),1,0)</f>
        <v>0</v>
      </c>
      <c r="F4558" s="51">
        <f>VLOOKUP(A4558,'Componentes APUs'!$A$1:$D$14,4,0)</f>
        <v>37500</v>
      </c>
      <c r="G4558" s="51">
        <f>ROUNDUP(F4558*(E4558/21)/E4516,0)</f>
        <v>0</v>
      </c>
    </row>
    <row r="4559" spans="1:9" x14ac:dyDescent="0.25">
      <c r="A4559" s="50" t="s">
        <v>91</v>
      </c>
      <c r="B4559" s="72" t="str">
        <f>VLOOKUP(A4559,'Componentes APUs'!$A$1:$D$14,2,0)</f>
        <v>Equipo completo para trabajo en alturas con pretales (Arnes dielectrico, 1 mosqueton de seguridad, tie off dielectrico, eslinga de posicionamiento, juego de pretales)</v>
      </c>
      <c r="C4559" s="73"/>
      <c r="D4559" s="50" t="str">
        <f>VLOOKUP(A4559,'Componentes APUs'!$A$1:$D$14,3,0)</f>
        <v>U</v>
      </c>
      <c r="E4559" s="50">
        <f>IF(A4529="MO-3",C4529,0)</f>
        <v>0</v>
      </c>
      <c r="F4559" s="51">
        <f>VLOOKUP(A4559,'Componentes APUs'!$A$1:$D$14,4,0)</f>
        <v>26041.666666666668</v>
      </c>
      <c r="G4559" s="51">
        <f>ROUNDUP(F4559*(E4559/21)/E4516,0)</f>
        <v>0</v>
      </c>
    </row>
    <row r="4560" spans="1:9" x14ac:dyDescent="0.25">
      <c r="A4560" s="219" t="s">
        <v>95</v>
      </c>
      <c r="B4560" s="219"/>
      <c r="C4560" s="219"/>
      <c r="D4560" s="219"/>
      <c r="E4560" s="219"/>
      <c r="F4560" s="219"/>
      <c r="G4560" s="52">
        <f>SUM(G4547:G4559)</f>
        <v>621</v>
      </c>
    </row>
    <row r="4561" spans="1:7" x14ac:dyDescent="0.25">
      <c r="A4561" s="56"/>
      <c r="B4561" s="57"/>
      <c r="C4561" s="57"/>
      <c r="D4561" s="57"/>
      <c r="E4561" s="57"/>
      <c r="F4561" s="57"/>
      <c r="G4561" s="58"/>
    </row>
    <row r="4562" spans="1:7" x14ac:dyDescent="0.25">
      <c r="A4562" s="219" t="s">
        <v>96</v>
      </c>
      <c r="B4562" s="219"/>
      <c r="C4562" s="219"/>
      <c r="D4562" s="219"/>
      <c r="E4562" s="219"/>
      <c r="F4562" s="219"/>
      <c r="G4562" s="219"/>
    </row>
    <row r="4563" spans="1:7" x14ac:dyDescent="0.25">
      <c r="A4563" s="49" t="s">
        <v>35</v>
      </c>
      <c r="B4563" s="225" t="s">
        <v>36</v>
      </c>
      <c r="C4563" s="225"/>
      <c r="D4563" s="49" t="s">
        <v>37</v>
      </c>
      <c r="E4563" s="49" t="s">
        <v>38</v>
      </c>
      <c r="F4563" s="49" t="s">
        <v>39</v>
      </c>
      <c r="G4563" s="49" t="s">
        <v>40</v>
      </c>
    </row>
    <row r="4564" spans="1:7" x14ac:dyDescent="0.25">
      <c r="A4564" s="69" t="s">
        <v>97</v>
      </c>
      <c r="B4564" s="72" t="str">
        <f>VLOOKUP(A4564,'Componentes APUs'!$N$1:$Q$30,2,0)</f>
        <v>Camioneta</v>
      </c>
      <c r="C4564" s="73"/>
      <c r="D4564" s="70" t="str">
        <f>VLOOKUP(A4564,'Componentes APUs'!$N$1:$Q$30,3,0)</f>
        <v>U</v>
      </c>
      <c r="E4564" s="50">
        <v>1</v>
      </c>
      <c r="F4564" s="51">
        <f>VLOOKUP(A4564,'Componentes APUs'!$N$1:$Q$30,4,0)</f>
        <v>5500000</v>
      </c>
      <c r="G4564" s="51">
        <f>IFERROR(ROUNDUP(F4564*(E4564/21)/E4516,0),"-")</f>
        <v>26191</v>
      </c>
    </row>
    <row r="4565" spans="1:7" x14ac:dyDescent="0.25">
      <c r="A4565" s="50" t="s">
        <v>321</v>
      </c>
      <c r="B4565" s="72" t="str">
        <f>VLOOKUP(A4565,'Componentes APUs'!$N$1:$Q$30,2,0)</f>
        <v>Grúa Hidráulica</v>
      </c>
      <c r="C4565" s="73"/>
      <c r="D4565" s="70" t="str">
        <f>VLOOKUP(A4565,'Componentes APUs'!$N$1:$Q$30,3,0)</f>
        <v>U</v>
      </c>
      <c r="E4565" s="50">
        <v>0</v>
      </c>
      <c r="F4565" s="51">
        <f>VLOOKUP(A4565,'Componentes APUs'!$N$1:$Q$30,4,0)</f>
        <v>21000000</v>
      </c>
      <c r="G4565" s="51">
        <f>IFERROR(ROUNDUP(F4565*(E4565/21)/E4516,0),"-")</f>
        <v>0</v>
      </c>
    </row>
    <row r="4566" spans="1:7" x14ac:dyDescent="0.25">
      <c r="A4566" s="69" t="s">
        <v>1379</v>
      </c>
      <c r="B4566" s="72" t="str">
        <f>VLOOKUP(A4566,'Componentes APUs'!$N$1:$Q$30,2,0)</f>
        <v>Dumper de descarga Frontal 2T</v>
      </c>
      <c r="C4566" s="73"/>
      <c r="D4566" s="70" t="str">
        <f>VLOOKUP(A4566,'Componentes APUs'!$N$1:$Q$30,3,0)</f>
        <v>U</v>
      </c>
      <c r="E4566" s="50">
        <v>0</v>
      </c>
      <c r="F4566" s="51">
        <f>VLOOKUP(A4566,'Componentes APUs'!$N$1:$Q$30,4,0)</f>
        <v>4438716.24</v>
      </c>
      <c r="G4566" s="51">
        <f>IFERROR(ROUNDUP(F4566*(E4566/21)/E4516,0),"-")</f>
        <v>0</v>
      </c>
    </row>
    <row r="4567" spans="1:7" x14ac:dyDescent="0.25">
      <c r="A4567" s="50" t="s">
        <v>323</v>
      </c>
      <c r="B4567" s="72" t="str">
        <f>VLOOKUP(A4567,'Componentes APUs'!$N$1:$Q$30,2,0)</f>
        <v>Volqueta</v>
      </c>
      <c r="C4567" s="73"/>
      <c r="D4567" s="70" t="str">
        <f>VLOOKUP(A4567,'Componentes APUs'!$N$1:$Q$30,3,0)</f>
        <v>U</v>
      </c>
      <c r="E4567" s="50">
        <v>0</v>
      </c>
      <c r="F4567" s="51">
        <f>VLOOKUP(A4567,'Componentes APUs'!$N$1:$Q$30,4,0)</f>
        <v>14828184</v>
      </c>
      <c r="G4567" s="51">
        <f>IFERROR(ROUNDUP(F4567*(E4567/21)/E4516,0),"-")</f>
        <v>0</v>
      </c>
    </row>
    <row r="4568" spans="1:7" x14ac:dyDescent="0.25">
      <c r="A4568" s="69" t="s">
        <v>324</v>
      </c>
      <c r="B4568" s="72" t="str">
        <f>VLOOKUP(A4568,'Componentes APUs'!$N$1:$Q$30,2,0)</f>
        <v>Retroexcavadora</v>
      </c>
      <c r="C4568" s="73"/>
      <c r="D4568" s="70" t="str">
        <f>VLOOKUP(A4568,'Componentes APUs'!$N$1:$Q$30,3,0)</f>
        <v>U</v>
      </c>
      <c r="E4568" s="50">
        <v>0</v>
      </c>
      <c r="F4568" s="51">
        <f>VLOOKUP(A4568,'Componentes APUs'!$N$1:$Q$30,4,0)</f>
        <v>46030656</v>
      </c>
      <c r="G4568" s="51">
        <f>IFERROR(ROUNDUP(F4568*(E4568/21)/E4516,0),"-")</f>
        <v>0</v>
      </c>
    </row>
    <row r="4569" spans="1:7" x14ac:dyDescent="0.25">
      <c r="A4569" s="219" t="s">
        <v>99</v>
      </c>
      <c r="B4569" s="219"/>
      <c r="C4569" s="219"/>
      <c r="D4569" s="219"/>
      <c r="E4569" s="219"/>
      <c r="F4569" s="219"/>
      <c r="G4569" s="52">
        <f>SUM(G4564:G4568)</f>
        <v>26191</v>
      </c>
    </row>
    <row r="4570" spans="1:7" x14ac:dyDescent="0.25">
      <c r="A4570" s="56"/>
      <c r="B4570" s="57"/>
      <c r="C4570" s="57"/>
      <c r="D4570" s="57"/>
      <c r="E4570" s="57"/>
      <c r="F4570" s="57"/>
      <c r="G4570" s="58"/>
    </row>
    <row r="4571" spans="1:7" x14ac:dyDescent="0.25">
      <c r="A4571" s="219" t="s">
        <v>1516</v>
      </c>
      <c r="B4571" s="219"/>
      <c r="C4571" s="219"/>
      <c r="D4571" s="219"/>
      <c r="E4571" s="219"/>
      <c r="F4571" s="219"/>
      <c r="G4571" s="52">
        <f>G4569+G4560+G4543+G4533+G4523</f>
        <v>150829</v>
      </c>
    </row>
    <row r="4572" spans="1:7" x14ac:dyDescent="0.25">
      <c r="A4572" s="59"/>
      <c r="B4572" s="60"/>
      <c r="C4572" s="60"/>
      <c r="D4572" s="60"/>
      <c r="E4572" s="57"/>
      <c r="F4572" s="57"/>
      <c r="G4572" s="58"/>
    </row>
    <row r="4573" spans="1:7" x14ac:dyDescent="0.25">
      <c r="A4573" s="64"/>
      <c r="D4573" s="55"/>
      <c r="E4573" s="49" t="s">
        <v>25</v>
      </c>
      <c r="F4573" s="54">
        <v>0.15</v>
      </c>
      <c r="G4573" s="51">
        <f>G4571*F4573</f>
        <v>22624.35</v>
      </c>
    </row>
    <row r="4574" spans="1:7" x14ac:dyDescent="0.25">
      <c r="A4574" s="64"/>
      <c r="D4574" s="55"/>
      <c r="E4574" s="49" t="s">
        <v>26</v>
      </c>
      <c r="F4574" s="54">
        <v>0.05</v>
      </c>
      <c r="G4574" s="51">
        <f>G4571*F4574</f>
        <v>7541.4500000000007</v>
      </c>
    </row>
    <row r="4575" spans="1:7" x14ac:dyDescent="0.25">
      <c r="A4575" s="61"/>
      <c r="B4575" s="65"/>
      <c r="C4575" s="65"/>
      <c r="D4575" s="62"/>
      <c r="E4575" s="49" t="s">
        <v>27</v>
      </c>
      <c r="F4575" s="54">
        <v>0.05</v>
      </c>
      <c r="G4575" s="51">
        <f>G4571*F4575</f>
        <v>7541.4500000000007</v>
      </c>
    </row>
    <row r="4576" spans="1:7" x14ac:dyDescent="0.25">
      <c r="A4576" s="61"/>
      <c r="B4576" s="62"/>
      <c r="C4576" s="62"/>
      <c r="D4576" s="62"/>
      <c r="E4576" s="62"/>
      <c r="F4576" s="62"/>
      <c r="G4576" s="63"/>
    </row>
    <row r="4577" spans="1:8" x14ac:dyDescent="0.25">
      <c r="A4577" s="219" t="s">
        <v>1517</v>
      </c>
      <c r="B4577" s="219"/>
      <c r="C4577" s="219"/>
      <c r="D4577" s="219"/>
      <c r="E4577" s="219"/>
      <c r="F4577" s="219"/>
      <c r="G4577" s="52">
        <f>G4571+G4573+G4574+G4575</f>
        <v>188536.25000000003</v>
      </c>
    </row>
    <row r="4578" spans="1:8" x14ac:dyDescent="0.25">
      <c r="A4578" s="59"/>
      <c r="B4578" s="60"/>
      <c r="C4578" s="60"/>
      <c r="D4578" s="60"/>
      <c r="E4578" s="57"/>
      <c r="F4578" s="57"/>
      <c r="G4578" s="58"/>
    </row>
    <row r="4579" spans="1:8" x14ac:dyDescent="0.25">
      <c r="A4579" s="64"/>
      <c r="D4579" s="55"/>
      <c r="E4579" s="49" t="s">
        <v>102</v>
      </c>
      <c r="F4579" s="49" t="s">
        <v>103</v>
      </c>
      <c r="G4579" s="51">
        <f>G4575*19%</f>
        <v>1432.8755000000001</v>
      </c>
    </row>
    <row r="4580" spans="1:8" x14ac:dyDescent="0.25">
      <c r="A4580" s="61"/>
      <c r="B4580" s="62"/>
      <c r="C4580" s="62"/>
      <c r="D4580" s="62"/>
      <c r="E4580" s="57"/>
      <c r="F4580" s="57"/>
      <c r="G4580" s="58"/>
    </row>
    <row r="4581" spans="1:8" x14ac:dyDescent="0.25">
      <c r="A4581" s="219" t="s">
        <v>104</v>
      </c>
      <c r="B4581" s="219"/>
      <c r="C4581" s="219"/>
      <c r="D4581" s="219"/>
      <c r="E4581" s="219"/>
      <c r="F4581" s="219"/>
      <c r="G4581" s="52">
        <f>G4579+G4577</f>
        <v>189969.12550000002</v>
      </c>
    </row>
    <row r="4583" spans="1:8" x14ac:dyDescent="0.25">
      <c r="A4583" s="74" t="s">
        <v>29</v>
      </c>
      <c r="B4583" s="226" t="s">
        <v>30</v>
      </c>
      <c r="C4583" s="226"/>
      <c r="D4583" s="74" t="s">
        <v>31</v>
      </c>
      <c r="E4583" s="74" t="s">
        <v>32</v>
      </c>
      <c r="F4583" s="74" t="s">
        <v>189</v>
      </c>
      <c r="G4583" s="74" t="s">
        <v>33</v>
      </c>
      <c r="H4583" s="105"/>
    </row>
    <row r="4584" spans="1:8" ht="27.75" customHeight="1" x14ac:dyDescent="0.25">
      <c r="A4584" s="50" t="str">
        <f>Presupuesto!B91</f>
        <v>075_OC</v>
      </c>
      <c r="B4584" s="229" t="str">
        <f>Presupuesto!C91</f>
        <v>PUNTO DE CONEXIÓN MEDIDOR. INCLUYE (VÁLVULA DE PASO DE MEDIDOR PRINCIPAL, CHEQUE)</v>
      </c>
      <c r="C4584" s="230"/>
      <c r="D4584" s="50" t="s">
        <v>8</v>
      </c>
      <c r="E4584" s="107">
        <v>1</v>
      </c>
      <c r="F4584" s="50"/>
      <c r="G4584" s="51">
        <f>G4654</f>
        <v>2214824.4525000001</v>
      </c>
      <c r="H4584" s="45"/>
    </row>
    <row r="4585" spans="1:8" x14ac:dyDescent="0.25">
      <c r="A4585" s="219" t="s">
        <v>34</v>
      </c>
      <c r="B4585" s="219"/>
      <c r="C4585" s="219"/>
      <c r="D4585" s="219"/>
      <c r="E4585" s="219"/>
      <c r="F4585" s="219"/>
      <c r="G4585" s="219"/>
    </row>
    <row r="4586" spans="1:8" x14ac:dyDescent="0.25">
      <c r="A4586" s="49" t="s">
        <v>35</v>
      </c>
      <c r="B4586" s="219" t="s">
        <v>36</v>
      </c>
      <c r="C4586" s="219"/>
      <c r="D4586" s="49" t="s">
        <v>37</v>
      </c>
      <c r="E4586" s="49" t="s">
        <v>38</v>
      </c>
      <c r="F4586" s="49" t="s">
        <v>39</v>
      </c>
      <c r="G4586" s="49" t="s">
        <v>40</v>
      </c>
    </row>
    <row r="4587" spans="1:8" x14ac:dyDescent="0.25">
      <c r="A4587" s="50" t="str">
        <f>Material!A676</f>
        <v>MA-675</v>
      </c>
      <c r="B4587" s="72" t="str">
        <f>IFERROR(VLOOKUP(A4587,Material!$A:$H,2,0),"-")</f>
        <v>MEDIDOR DE AGUA 1 1/2"</v>
      </c>
      <c r="C4587" s="76"/>
      <c r="D4587" s="50" t="str">
        <f>IFERROR(VLOOKUP(A4587,Material!$A:$H,4,0),"-")</f>
        <v>UN</v>
      </c>
      <c r="E4587" s="53">
        <v>1</v>
      </c>
      <c r="F4587" s="51">
        <f>IFERROR(VLOOKUP(A4587,Material!$A:$H,3,0),"-")</f>
        <v>802100</v>
      </c>
      <c r="G4587" s="51">
        <f t="shared" ref="G4587:G4591" si="83">IFERROR(ROUNDUP(F4587*E4587,0),"-")</f>
        <v>802100</v>
      </c>
      <c r="H4587" s="106"/>
    </row>
    <row r="4588" spans="1:8" x14ac:dyDescent="0.25">
      <c r="A4588" s="50" t="str">
        <f>Material!A677</f>
        <v>MA-676</v>
      </c>
      <c r="B4588" s="72" t="str">
        <f>IFERROR(VLOOKUP(A4588,Material!$A:$H,2,0),"-")</f>
        <v>VÁLVULA BOLA MANIJA MARIPOSA 1 1/2"</v>
      </c>
      <c r="C4588" s="76"/>
      <c r="D4588" s="50" t="str">
        <f>IFERROR(VLOOKUP(A4588,Material!$A:$H,4,0),"-")</f>
        <v>UN</v>
      </c>
      <c r="E4588" s="53">
        <v>1</v>
      </c>
      <c r="F4588" s="51">
        <f>IFERROR(VLOOKUP(A4588,Material!$A:$H,3,0),"-")</f>
        <v>151816.6</v>
      </c>
      <c r="G4588" s="51">
        <f t="shared" si="83"/>
        <v>151817</v>
      </c>
      <c r="H4588" s="106"/>
    </row>
    <row r="4589" spans="1:8" x14ac:dyDescent="0.25">
      <c r="A4589" s="50" t="str">
        <f>Material!A671</f>
        <v>MA-670</v>
      </c>
      <c r="B4589" s="72" t="str">
        <f>IFERROR(VLOOKUP(A4589,Material!$A:$H,2,0),"-")</f>
        <v>CODO PRESIÓN 1 1/2"</v>
      </c>
      <c r="C4589" s="76"/>
      <c r="D4589" s="50" t="str">
        <f>IFERROR(VLOOKUP(A4589,Material!$A:$H,4,0),"-")</f>
        <v>UN</v>
      </c>
      <c r="E4589" s="107">
        <v>1</v>
      </c>
      <c r="F4589" s="51">
        <f>IFERROR(VLOOKUP(A4589,Material!$A:$H,3,0),"-")</f>
        <v>10335</v>
      </c>
      <c r="G4589" s="51">
        <f t="shared" si="83"/>
        <v>10335</v>
      </c>
      <c r="H4589" s="106"/>
    </row>
    <row r="4590" spans="1:8" x14ac:dyDescent="0.25">
      <c r="A4590" s="50" t="str">
        <f>Material!A678</f>
        <v>MA-677</v>
      </c>
      <c r="B4590" s="72" t="str">
        <f>IFERROR(VLOOKUP(A4590,Material!$A:$H,2,0),"-")</f>
        <v>CHEQUE CORTINA 1 1/2″"</v>
      </c>
      <c r="C4590" s="76"/>
      <c r="D4590" s="50" t="str">
        <f>IFERROR(VLOOKUP(A4590,Material!$A:$H,4,0),"-")</f>
        <v>UN</v>
      </c>
      <c r="E4590" s="107">
        <v>1</v>
      </c>
      <c r="F4590" s="51">
        <f>IFERROR(VLOOKUP(A4590,Material!$A:$H,3,0),"-")</f>
        <v>258385.40000000002</v>
      </c>
      <c r="G4590" s="51">
        <f t="shared" ref="G4590" si="84">IFERROR(ROUNDUP(F4590*E4590,0),"-")</f>
        <v>258386</v>
      </c>
      <c r="H4590" s="106"/>
    </row>
    <row r="4591" spans="1:8" x14ac:dyDescent="0.25">
      <c r="A4591" s="50" t="str">
        <f>Material!A679</f>
        <v>MA-678</v>
      </c>
      <c r="B4591" s="72" t="str">
        <f>IFERROR(VLOOKUP(A4591,Material!$A:$H,2,0),"-")</f>
        <v>NIPLE 1 1/2″"</v>
      </c>
      <c r="C4591" s="76"/>
      <c r="D4591" s="50" t="str">
        <f>IFERROR(VLOOKUP(A4591,Material!$A:$H,4,0),"-")</f>
        <v>UN</v>
      </c>
      <c r="E4591" s="107">
        <v>1</v>
      </c>
      <c r="F4591" s="51">
        <f>IFERROR(VLOOKUP(A4591,Material!$A:$H,3,0),"-")</f>
        <v>8320</v>
      </c>
      <c r="G4591" s="51">
        <f t="shared" si="83"/>
        <v>8320</v>
      </c>
      <c r="H4591" s="106"/>
    </row>
    <row r="4592" spans="1:8" x14ac:dyDescent="0.25">
      <c r="A4592" s="50" t="str">
        <f>Material!A201</f>
        <v>MA-200</v>
      </c>
      <c r="B4592" s="72" t="str">
        <f>IFERROR(VLOOKUP(A4592,Material!$A:$H,2,0),"-")</f>
        <v>SOLDADURA PVC 1/4 GL</v>
      </c>
      <c r="C4592" s="76"/>
      <c r="D4592" s="50" t="str">
        <f>IFERROR(VLOOKUP(A4592,Material!$A:$H,4,0),"-")</f>
        <v>GALÓN</v>
      </c>
      <c r="E4592" s="107">
        <f>1/60</f>
        <v>1.6666666666666666E-2</v>
      </c>
      <c r="F4592" s="51">
        <f>IFERROR(VLOOKUP(A4592,Material!$A:$H,3,0),"-")</f>
        <v>88270</v>
      </c>
      <c r="G4592" s="51">
        <f t="shared" ref="G4592:G4593" si="85">IFERROR(ROUNDUP(F4592*E4592,0),"-")</f>
        <v>1472</v>
      </c>
      <c r="H4592" s="106"/>
    </row>
    <row r="4593" spans="1:9" x14ac:dyDescent="0.25">
      <c r="A4593" s="50" t="str">
        <f>Material!A253</f>
        <v>MA-252</v>
      </c>
      <c r="B4593" s="72" t="str">
        <f>IFERROR(VLOOKUP(A4593,Material!$A:$H,2,0),"-")</f>
        <v>LIMPIADOR DE TUBERÍA PVC 1/4 GL</v>
      </c>
      <c r="C4593" s="76"/>
      <c r="D4593" s="50" t="str">
        <f>IFERROR(VLOOKUP(A4593,Material!$A:$H,4,0),"-")</f>
        <v>GALÓN</v>
      </c>
      <c r="E4593" s="107">
        <f>1/60</f>
        <v>1.6666666666666666E-2</v>
      </c>
      <c r="F4593" s="51">
        <f>IFERROR(VLOOKUP(A4593,Material!$A:$H,3,0),"-")</f>
        <v>60970</v>
      </c>
      <c r="G4593" s="51">
        <f t="shared" si="85"/>
        <v>1017</v>
      </c>
      <c r="H4593" s="106"/>
    </row>
    <row r="4594" spans="1:9" x14ac:dyDescent="0.25">
      <c r="A4594" s="50" t="str">
        <f>Material!A680</f>
        <v>MA-679</v>
      </c>
      <c r="B4594" s="72" t="str">
        <f>IFERROR(VLOOKUP(A4594,Material!$A:$H,2,0),"-")</f>
        <v>ADAPTADOR MACHO / HEMBRA 1 1/2"</v>
      </c>
      <c r="C4594" s="76"/>
      <c r="D4594" s="50" t="str">
        <f>IFERROR(VLOOKUP(A4594,Material!$A:$H,4,0),"-")</f>
        <v>UN</v>
      </c>
      <c r="E4594" s="107">
        <v>2</v>
      </c>
      <c r="F4594" s="51">
        <f>IFERROR(VLOOKUP(A4594,Material!$A:$H,3,0),"-")</f>
        <v>8970</v>
      </c>
      <c r="G4594" s="51">
        <f t="shared" ref="G4594" si="86">IFERROR(ROUNDUP(F4594*E4594,0),"-")</f>
        <v>17940</v>
      </c>
      <c r="H4594" s="106"/>
    </row>
    <row r="4595" spans="1:9" x14ac:dyDescent="0.25">
      <c r="A4595" s="50" t="str">
        <f>Material!A513</f>
        <v>MA-512</v>
      </c>
      <c r="B4595" s="72" t="str">
        <f>IFERROR(VLOOKUP(A4595,Material!$A:$H,2,0),"-")</f>
        <v>CINTA TEFLÓN PTFE BÁSICA 3/4 "</v>
      </c>
      <c r="C4595" s="76"/>
      <c r="D4595" s="50" t="str">
        <f>IFERROR(VLOOKUP(A4595,Material!$A:$H,4,0),"-")</f>
        <v>UN</v>
      </c>
      <c r="E4595" s="107">
        <v>0.1</v>
      </c>
      <c r="F4595" s="51">
        <f>IFERROR(VLOOKUP(A4595,Material!$A:$H,3,0),"-")</f>
        <v>335.40000000000003</v>
      </c>
      <c r="G4595" s="51">
        <f t="shared" ref="G4595" si="87">IFERROR(ROUNDUP(F4595*E4595,0),"-")</f>
        <v>34</v>
      </c>
      <c r="H4595" s="106"/>
    </row>
    <row r="4596" spans="1:9" x14ac:dyDescent="0.25">
      <c r="A4596" s="219" t="s">
        <v>41</v>
      </c>
      <c r="B4596" s="219"/>
      <c r="C4596" s="219"/>
      <c r="D4596" s="219"/>
      <c r="E4596" s="219"/>
      <c r="F4596" s="219"/>
      <c r="G4596" s="52">
        <f>SUM(G4587:G4595)</f>
        <v>1251421</v>
      </c>
      <c r="I4596" s="104"/>
    </row>
    <row r="4597" spans="1:9" x14ac:dyDescent="0.25">
      <c r="A4597" s="56"/>
      <c r="B4597" s="57"/>
      <c r="C4597" s="57"/>
      <c r="D4597" s="57"/>
      <c r="E4597" s="57"/>
      <c r="F4597" s="57"/>
      <c r="G4597" s="58"/>
    </row>
    <row r="4598" spans="1:9" x14ac:dyDescent="0.25">
      <c r="A4598" s="219" t="s">
        <v>42</v>
      </c>
      <c r="B4598" s="219"/>
      <c r="C4598" s="219"/>
      <c r="D4598" s="219"/>
      <c r="E4598" s="219"/>
      <c r="F4598" s="219"/>
      <c r="G4598" s="219"/>
    </row>
    <row r="4599" spans="1:9" x14ac:dyDescent="0.25">
      <c r="A4599" s="49" t="s">
        <v>35</v>
      </c>
      <c r="B4599" s="49" t="s">
        <v>36</v>
      </c>
      <c r="C4599" s="49" t="s">
        <v>38</v>
      </c>
      <c r="D4599" s="49" t="s">
        <v>43</v>
      </c>
      <c r="E4599" s="49" t="s">
        <v>44</v>
      </c>
      <c r="F4599" s="49" t="s">
        <v>45</v>
      </c>
      <c r="G4599" s="49" t="s">
        <v>40</v>
      </c>
    </row>
    <row r="4600" spans="1:9" x14ac:dyDescent="0.25">
      <c r="A4600" s="50" t="s">
        <v>319</v>
      </c>
      <c r="B4600" s="68" t="str">
        <f>VLOOKUP(A4600,'Componentes APUs'!$H$1:$L$25,2,0)</f>
        <v>Ingeniero Residente de Obra</v>
      </c>
      <c r="C4600" s="93">
        <v>0</v>
      </c>
      <c r="D4600" s="50">
        <f>VLOOKUP(A4600,'Componentes APUs'!$H$1:$L$25,3,0)</f>
        <v>4</v>
      </c>
      <c r="E4600" s="51">
        <f>VLOOKUP(A4600,'Componentes APUs'!$H$1:$L$25,4,0)</f>
        <v>271142.85714285716</v>
      </c>
      <c r="F4600" s="51">
        <f>VLOOKUP(A4600,'Componentes APUs'!$H$1:$L$25,5,0)</f>
        <v>162685.71428571429</v>
      </c>
      <c r="G4600" s="51">
        <f>ROUNDUP((E4600+F4600)*C4600/E4584,0)</f>
        <v>0</v>
      </c>
      <c r="H4600" s="66"/>
    </row>
    <row r="4601" spans="1:9" x14ac:dyDescent="0.25">
      <c r="A4601" s="50" t="s">
        <v>320</v>
      </c>
      <c r="B4601" s="68" t="str">
        <f>VLOOKUP(A4601,'Componentes APUs'!$H$1:$L$25,2,0)</f>
        <v>Tecnico Supervisor</v>
      </c>
      <c r="C4601" s="93">
        <v>0</v>
      </c>
      <c r="D4601" s="50">
        <f>VLOOKUP(A4601,'Componentes APUs'!$H$1:$L$25,3,0)</f>
        <v>2.2999999999999998</v>
      </c>
      <c r="E4601" s="51">
        <f>VLOOKUP(A4601,'Componentes APUs'!$H$1:$L$25,4,0)</f>
        <v>155907.14285714284</v>
      </c>
      <c r="F4601" s="51">
        <f>VLOOKUP(A4601,'Componentes APUs'!$H$1:$L$25,5,0)</f>
        <v>93544.285714285696</v>
      </c>
      <c r="G4601" s="51">
        <f>ROUNDUP((E4601+F4601)*C4601/E4584,0)</f>
        <v>0</v>
      </c>
    </row>
    <row r="4602" spans="1:9" x14ac:dyDescent="0.25">
      <c r="A4602" s="50" t="s">
        <v>54</v>
      </c>
      <c r="B4602" s="68" t="str">
        <f>VLOOKUP(A4602,'Componentes APUs'!$H$1:$L$25,2,0)</f>
        <v>Maestro de obra civil</v>
      </c>
      <c r="C4602" s="93">
        <v>0</v>
      </c>
      <c r="D4602" s="50">
        <f>VLOOKUP(A4602,'Componentes APUs'!$H$1:$L$25,3,0)</f>
        <v>2.5</v>
      </c>
      <c r="E4602" s="51">
        <f>VLOOKUP(A4602,'Componentes APUs'!$H$1:$L$25,4,0)</f>
        <v>169464.28571428571</v>
      </c>
      <c r="F4602" s="51">
        <f>VLOOKUP(A4602,'Componentes APUs'!$H$1:$L$25,5,0)</f>
        <v>101678.57142857142</v>
      </c>
      <c r="G4602" s="51">
        <f>ROUNDUP((E4602+F4602)*C4602/E4584,0)</f>
        <v>0</v>
      </c>
    </row>
    <row r="4603" spans="1:9" x14ac:dyDescent="0.25">
      <c r="A4603" s="50" t="s">
        <v>1110</v>
      </c>
      <c r="B4603" s="68" t="str">
        <f>VLOOKUP(A4603,'Componentes APUs'!$H$1:$L$25,2,0)</f>
        <v>Oficial de Obra Civil</v>
      </c>
      <c r="C4603" s="93">
        <v>0.25</v>
      </c>
      <c r="D4603" s="50">
        <f>VLOOKUP(A4603,'Componentes APUs'!$H$1:$L$25,3,0)</f>
        <v>1.5</v>
      </c>
      <c r="E4603" s="51">
        <f>VLOOKUP(A4603,'Componentes APUs'!$H$1:$L$25,4,0)</f>
        <v>115964.28571428571</v>
      </c>
      <c r="F4603" s="51">
        <f>VLOOKUP(A4603,'Componentes APUs'!$H$1:$L$25,5,0)</f>
        <v>69578.57142857142</v>
      </c>
      <c r="G4603" s="51">
        <f>ROUNDUP((E4603+F4603)*C4603/E4584,0)</f>
        <v>46386</v>
      </c>
    </row>
    <row r="4604" spans="1:9" x14ac:dyDescent="0.25">
      <c r="A4604" s="50" t="s">
        <v>50</v>
      </c>
      <c r="B4604" s="68" t="str">
        <f>VLOOKUP(A4604,'Componentes APUs'!$H$1:$L$25,2,0)</f>
        <v>Profesional en SST</v>
      </c>
      <c r="C4604" s="93">
        <v>0.25</v>
      </c>
      <c r="D4604" s="50">
        <f>VLOOKUP(A4604,'Componentes APUs'!$H$1:$L$25,3,0)</f>
        <v>2.5</v>
      </c>
      <c r="E4604" s="51">
        <f>VLOOKUP(A4604,'Componentes APUs'!$H$1:$L$25,4,0)</f>
        <v>169464.28571428571</v>
      </c>
      <c r="F4604" s="51">
        <f>VLOOKUP(A4604,'Componentes APUs'!$H$1:$L$25,5,0)</f>
        <v>101678.57142857142</v>
      </c>
      <c r="G4604" s="51">
        <f>ROUNDUP((E4604+F4604)*C4604/E4584,0)</f>
        <v>67786</v>
      </c>
    </row>
    <row r="4605" spans="1:9" x14ac:dyDescent="0.25">
      <c r="A4605" s="50" t="s">
        <v>1109</v>
      </c>
      <c r="B4605" s="68" t="str">
        <f>VLOOKUP(A4605,'Componentes APUs'!$H$1:$L$25,2,0)</f>
        <v>Ayudante de Obra Civil</v>
      </c>
      <c r="C4605" s="93">
        <v>1</v>
      </c>
      <c r="D4605" s="50">
        <f>VLOOKUP(A4605,'Componentes APUs'!$H$1:$L$25,3,0)</f>
        <v>1</v>
      </c>
      <c r="E4605" s="51">
        <f>VLOOKUP(A4605,'Componentes APUs'!$H$1:$L$25,4,0)</f>
        <v>77309.523809523816</v>
      </c>
      <c r="F4605" s="51">
        <f>VLOOKUP(A4605,'Componentes APUs'!$H$1:$L$25,5,0)</f>
        <v>46385.71428571429</v>
      </c>
      <c r="G4605" s="51">
        <f>ROUNDUP((E4605+F4605)*C4605/E4584,0)</f>
        <v>123696</v>
      </c>
    </row>
    <row r="4606" spans="1:9" x14ac:dyDescent="0.25">
      <c r="A4606" s="219" t="s">
        <v>56</v>
      </c>
      <c r="B4606" s="219"/>
      <c r="C4606" s="219"/>
      <c r="D4606" s="219"/>
      <c r="E4606" s="219"/>
      <c r="F4606" s="219"/>
      <c r="G4606" s="52">
        <f>SUM(G4600:G4605)</f>
        <v>237868</v>
      </c>
    </row>
    <row r="4607" spans="1:9" x14ac:dyDescent="0.25">
      <c r="A4607" s="56"/>
      <c r="B4607" s="57"/>
      <c r="C4607" s="57"/>
      <c r="D4607" s="57"/>
      <c r="E4607" s="57"/>
      <c r="F4607" s="57"/>
      <c r="G4607" s="58"/>
    </row>
    <row r="4608" spans="1:9" x14ac:dyDescent="0.25">
      <c r="A4608" s="219" t="s">
        <v>57</v>
      </c>
      <c r="B4608" s="219"/>
      <c r="C4608" s="219"/>
      <c r="D4608" s="219"/>
      <c r="E4608" s="219"/>
      <c r="F4608" s="219"/>
      <c r="G4608" s="219"/>
    </row>
    <row r="4609" spans="1:9" x14ac:dyDescent="0.25">
      <c r="A4609" s="49" t="s">
        <v>35</v>
      </c>
      <c r="B4609" s="219" t="s">
        <v>36</v>
      </c>
      <c r="C4609" s="219"/>
      <c r="D4609" s="49" t="s">
        <v>37</v>
      </c>
      <c r="E4609" s="49" t="s">
        <v>38</v>
      </c>
      <c r="F4609" s="49" t="s">
        <v>39</v>
      </c>
      <c r="G4609" s="49" t="s">
        <v>40</v>
      </c>
    </row>
    <row r="4610" spans="1:9" x14ac:dyDescent="0.25">
      <c r="A4610" s="50" t="s">
        <v>326</v>
      </c>
      <c r="B4610" s="220" t="str">
        <f>VLOOKUP(A4610,'Componentes APUs'!$S$1:$V$10,2,0)</f>
        <v>Juego Llaves</v>
      </c>
      <c r="C4610" s="220"/>
      <c r="D4610" s="50" t="s">
        <v>18</v>
      </c>
      <c r="E4610" s="50">
        <v>0</v>
      </c>
      <c r="F4610" s="51">
        <f>VLOOKUP(A4610,'Componentes APUs'!$S$1:$V$10,4,0)</f>
        <v>9167</v>
      </c>
      <c r="G4610" s="51">
        <f>ROUNDUP(F4610*((E4610/21)/E4584),0)</f>
        <v>0</v>
      </c>
      <c r="I4610" s="91"/>
    </row>
    <row r="4611" spans="1:9" x14ac:dyDescent="0.25">
      <c r="A4611" s="50" t="s">
        <v>58</v>
      </c>
      <c r="B4611" s="220" t="str">
        <f>VLOOKUP(A4611,'Componentes APUs'!$S$1:$V$10,2,0)</f>
        <v>Manila de servicio</v>
      </c>
      <c r="C4611" s="220"/>
      <c r="D4611" s="50" t="s">
        <v>18</v>
      </c>
      <c r="E4611" s="50">
        <v>0</v>
      </c>
      <c r="F4611" s="51">
        <f>VLOOKUP(A4611,'Componentes APUs'!$S$1:$V$10,4,0)</f>
        <v>2333</v>
      </c>
      <c r="G4611" s="51">
        <f>ROUNDUP(F4611*((E4611/21)/E4584),0)</f>
        <v>0</v>
      </c>
    </row>
    <row r="4612" spans="1:9" x14ac:dyDescent="0.25">
      <c r="A4612" s="50" t="s">
        <v>327</v>
      </c>
      <c r="B4612" s="220" t="str">
        <f>VLOOKUP(A4612,'Componentes APUs'!$S$1:$V$10,2,0)</f>
        <v>Tula portaherramientas</v>
      </c>
      <c r="C4612" s="220"/>
      <c r="D4612" s="50" t="s">
        <v>18</v>
      </c>
      <c r="E4612" s="50">
        <v>0</v>
      </c>
      <c r="F4612" s="51">
        <f>VLOOKUP(A4612,'Componentes APUs'!$S$1:$V$10,4,0)</f>
        <v>1250</v>
      </c>
      <c r="G4612" s="51">
        <f>ROUNDUP(F4612*((E4612/21)/E4584),0)</f>
        <v>0</v>
      </c>
    </row>
    <row r="4613" spans="1:9" x14ac:dyDescent="0.25">
      <c r="A4613" s="50" t="s">
        <v>60</v>
      </c>
      <c r="B4613" s="220" t="str">
        <f>VLOOKUP(A4613,'Componentes APUs'!$S$1:$V$10,2,0)</f>
        <v>Agarradoras</v>
      </c>
      <c r="C4613" s="220"/>
      <c r="D4613" s="50" t="s">
        <v>18</v>
      </c>
      <c r="E4613" s="50">
        <v>0</v>
      </c>
      <c r="F4613" s="51">
        <f>VLOOKUP(A4613,'Componentes APUs'!$S$1:$V$10,4,0)</f>
        <v>125000</v>
      </c>
      <c r="G4613" s="51">
        <f>ROUNDUP(F4613*((E4613/21)/E4584),0)</f>
        <v>0</v>
      </c>
    </row>
    <row r="4614" spans="1:9" x14ac:dyDescent="0.25">
      <c r="A4614" s="50" t="s">
        <v>62</v>
      </c>
      <c r="B4614" s="220" t="str">
        <f>VLOOKUP(A4614,'Componentes APUs'!$S$1:$V$10,2,0)</f>
        <v>Templadoras</v>
      </c>
      <c r="C4614" s="220"/>
      <c r="D4614" s="50" t="s">
        <v>18</v>
      </c>
      <c r="E4614" s="50">
        <v>0</v>
      </c>
      <c r="F4614" s="51">
        <f>VLOOKUP(A4614,'Componentes APUs'!$S$1:$V$10,4,0)</f>
        <v>250000</v>
      </c>
      <c r="G4614" s="51">
        <f>ROUNDUP(F4614*((E4614/21)/E4584),0)</f>
        <v>0</v>
      </c>
    </row>
    <row r="4615" spans="1:9" x14ac:dyDescent="0.25">
      <c r="A4615" s="50" t="s">
        <v>328</v>
      </c>
      <c r="B4615" s="220" t="str">
        <f>VLOOKUP(A4615,'Componentes APUs'!$S$1:$V$10,2,0)</f>
        <v>Herramienta Menor</v>
      </c>
      <c r="C4615" s="220"/>
      <c r="D4615" s="50" t="s">
        <v>18</v>
      </c>
      <c r="E4615" s="50">
        <v>1</v>
      </c>
      <c r="F4615" s="51">
        <f>VLOOKUP(A4615,'Componentes APUs'!$S$1:$V$10,4,0)</f>
        <v>75758</v>
      </c>
      <c r="G4615" s="51">
        <f>ROUNDUP(F4615*((E4615/21)/E4584),0)</f>
        <v>3608</v>
      </c>
    </row>
    <row r="4616" spans="1:9" x14ac:dyDescent="0.25">
      <c r="A4616" s="219" t="s">
        <v>69</v>
      </c>
      <c r="B4616" s="219"/>
      <c r="C4616" s="219"/>
      <c r="D4616" s="219"/>
      <c r="E4616" s="219"/>
      <c r="F4616" s="219"/>
      <c r="G4616" s="52">
        <f>SUM(G4610:G4615)</f>
        <v>3608</v>
      </c>
    </row>
    <row r="4617" spans="1:9" x14ac:dyDescent="0.25">
      <c r="A4617" s="56"/>
      <c r="B4617" s="57"/>
      <c r="C4617" s="57"/>
      <c r="D4617" s="57"/>
      <c r="E4617" s="57"/>
      <c r="F4617" s="57"/>
      <c r="G4617" s="58"/>
    </row>
    <row r="4618" spans="1:9" x14ac:dyDescent="0.25">
      <c r="A4618" s="219" t="s">
        <v>70</v>
      </c>
      <c r="B4618" s="219"/>
      <c r="C4618" s="219"/>
      <c r="D4618" s="219"/>
      <c r="E4618" s="219"/>
      <c r="F4618" s="219"/>
      <c r="G4618" s="219"/>
    </row>
    <row r="4619" spans="1:9" x14ac:dyDescent="0.25">
      <c r="A4619" s="49" t="s">
        <v>35</v>
      </c>
      <c r="B4619" s="219" t="s">
        <v>36</v>
      </c>
      <c r="C4619" s="219"/>
      <c r="D4619" s="49" t="s">
        <v>37</v>
      </c>
      <c r="E4619" s="49" t="s">
        <v>38</v>
      </c>
      <c r="F4619" s="49" t="s">
        <v>39</v>
      </c>
      <c r="G4619" s="49" t="s">
        <v>40</v>
      </c>
    </row>
    <row r="4620" spans="1:9" x14ac:dyDescent="0.25">
      <c r="A4620" s="50" t="s">
        <v>71</v>
      </c>
      <c r="B4620" s="71" t="str">
        <f>VLOOKUP(A4620,'Componentes APUs'!$A$1:$D$14,2,0)</f>
        <v>Camisa indigo sin partes metalicas</v>
      </c>
      <c r="C4620" s="71"/>
      <c r="D4620" s="50" t="str">
        <f>VLOOKUP(A4620,'Componentes APUs'!$A$1:$D$14,3,0)</f>
        <v>U</v>
      </c>
      <c r="E4620" s="50">
        <f>SUM(C4600:C4605)</f>
        <v>1.5</v>
      </c>
      <c r="F4620" s="51">
        <f>VLOOKUP(A4620,'Componentes APUs'!$A$1:$D$14,4,0)</f>
        <v>8585.8585858585866</v>
      </c>
      <c r="G4620" s="51">
        <f>ROUNDUP(F4620*(E4620/21)/E4584,0)</f>
        <v>614</v>
      </c>
      <c r="I4620" s="91"/>
    </row>
    <row r="4621" spans="1:9" x14ac:dyDescent="0.25">
      <c r="A4621" s="69" t="s">
        <v>73</v>
      </c>
      <c r="B4621" s="72" t="str">
        <f>VLOOKUP(A4621,'Componentes APUs'!$A$1:$D$14,2,0)</f>
        <v>Bota de seguridad dielectrica</v>
      </c>
      <c r="C4621" s="73"/>
      <c r="D4621" s="70" t="str">
        <f>VLOOKUP(A4621,'Componentes APUs'!$A$1:$D$14,3,0)</f>
        <v>Par</v>
      </c>
      <c r="E4621" s="50">
        <f>SUM(C4600:C4605)</f>
        <v>1.5</v>
      </c>
      <c r="F4621" s="51">
        <f>VLOOKUP(A4621,'Componentes APUs'!$A$1:$D$14,4,0)</f>
        <v>7500</v>
      </c>
      <c r="G4621" s="51">
        <f>ROUNDUP(F4621*(E4621/21)/E4584,0)</f>
        <v>536</v>
      </c>
    </row>
    <row r="4622" spans="1:9" x14ac:dyDescent="0.25">
      <c r="A4622" s="50" t="s">
        <v>76</v>
      </c>
      <c r="B4622" s="72" t="str">
        <f>VLOOKUP(A4622,'Componentes APUs'!$A$1:$D$14,2,0)</f>
        <v>Casco dielectrico Tipo 1 Clase E con barbuquejo</v>
      </c>
      <c r="C4622" s="73"/>
      <c r="D4622" s="50" t="str">
        <f>VLOOKUP(A4622,'Componentes APUs'!$A$1:$D$14,3,0)</f>
        <v>U</v>
      </c>
      <c r="E4622" s="50">
        <f>C4600+C4601+C4603+C4604+C4605+IF(A4602&lt;&gt;"MO-3",C4602,0)</f>
        <v>1.5</v>
      </c>
      <c r="F4622" s="51">
        <f>VLOOKUP(A4622,'Componentes APUs'!$A$1:$D$14,4,0)</f>
        <v>10101.010101010101</v>
      </c>
      <c r="G4622" s="51">
        <f>ROUNDUP(F4622*(E4622/21)/E4584,0)</f>
        <v>722</v>
      </c>
    </row>
    <row r="4623" spans="1:9" x14ac:dyDescent="0.25">
      <c r="A4623" s="69" t="s">
        <v>77</v>
      </c>
      <c r="B4623" s="72" t="str">
        <f>VLOOKUP(A4623,'Componentes APUs'!$A$1:$D$14,2,0)</f>
        <v>Correa plastica y antiflama</v>
      </c>
      <c r="C4623" s="73"/>
      <c r="D4623" s="50" t="str">
        <f>VLOOKUP(A4623,'Componentes APUs'!$A$1:$D$14,3,0)</f>
        <v>U</v>
      </c>
      <c r="E4623" s="50">
        <f>SUM(C4600:C4605)</f>
        <v>1.5</v>
      </c>
      <c r="F4623" s="51">
        <f>VLOOKUP(A4623,'Componentes APUs'!$A$1:$D$14,4,0)</f>
        <v>3787.878787878788</v>
      </c>
      <c r="G4623" s="51">
        <f>ROUNDUP(F4623*(E4623/21)/E4584,0)</f>
        <v>271</v>
      </c>
    </row>
    <row r="4624" spans="1:9" x14ac:dyDescent="0.25">
      <c r="A4624" s="50" t="s">
        <v>79</v>
      </c>
      <c r="B4624" s="72" t="str">
        <f>VLOOKUP(A4624,'Componentes APUs'!$A$1:$D$14,2,0)</f>
        <v>Gafas protectoras filtro UV</v>
      </c>
      <c r="C4624" s="73"/>
      <c r="D4624" s="50" t="str">
        <f>VLOOKUP(A4624,'Componentes APUs'!$A$1:$D$14,3,0)</f>
        <v>U</v>
      </c>
      <c r="E4624" s="50">
        <f>SUM(C4600:C4605)</f>
        <v>1.5</v>
      </c>
      <c r="F4624" s="51">
        <f>VLOOKUP(A4624,'Componentes APUs'!$A$1:$D$14,4,0)</f>
        <v>2777.7777777777778</v>
      </c>
      <c r="G4624" s="51">
        <f>ROUNDUP(F4624*(E4624/21)/E4584,0)</f>
        <v>199</v>
      </c>
    </row>
    <row r="4625" spans="1:7" x14ac:dyDescent="0.25">
      <c r="A4625" s="69" t="s">
        <v>402</v>
      </c>
      <c r="B4625" s="72" t="str">
        <f>VLOOKUP(A4625,'Componentes APUs'!$A$1:$D$14,2,0)</f>
        <v>Bota de seguridad PVC dielectrica</v>
      </c>
      <c r="C4625" s="73"/>
      <c r="D4625" s="50" t="str">
        <f>VLOOKUP(A4625,'Componentes APUs'!$A$1:$D$14,3,0)</f>
        <v>Par</v>
      </c>
      <c r="E4625" s="50">
        <f>SUM(C4600:C4605)</f>
        <v>1.5</v>
      </c>
      <c r="F4625" s="51">
        <f>VLOOKUP(A4625,'Componentes APUs'!$A$1:$D$14,4,0)</f>
        <v>2916.6666666666665</v>
      </c>
      <c r="G4625" s="51">
        <f>ROUNDUP(F4625*(E4625/21)/E4584,0)</f>
        <v>209</v>
      </c>
    </row>
    <row r="4626" spans="1:7" x14ac:dyDescent="0.25">
      <c r="A4626" s="50" t="s">
        <v>403</v>
      </c>
      <c r="B4626" s="72" t="str">
        <f>VLOOKUP(A4626,'Componentes APUs'!$A$1:$D$14,2,0)</f>
        <v>Capuchon</v>
      </c>
      <c r="C4626" s="73"/>
      <c r="D4626" s="50" t="str">
        <f>VLOOKUP(A4626,'Componentes APUs'!$A$1:$D$14,3,0)</f>
        <v>U</v>
      </c>
      <c r="E4626" s="50">
        <f>SUM(C4600:C4605)</f>
        <v>1.5</v>
      </c>
      <c r="F4626" s="51">
        <f>VLOOKUP(A4626,'Componentes APUs'!$A$1:$D$14,4,0)</f>
        <v>2525.2525252525252</v>
      </c>
      <c r="G4626" s="51">
        <f>ROUNDUP(F4626*(E4626/21)/E4584,0)</f>
        <v>181</v>
      </c>
    </row>
    <row r="4627" spans="1:7" x14ac:dyDescent="0.25">
      <c r="A4627" s="69" t="s">
        <v>81</v>
      </c>
      <c r="B4627" s="72" t="str">
        <f>VLOOKUP(A4627,'Componentes APUs'!$A$1:$D$14,2,0)</f>
        <v>Guantes Protectores  - ingeniero reforzados</v>
      </c>
      <c r="C4627" s="73"/>
      <c r="D4627" s="50" t="str">
        <f>VLOOKUP(A4627,'Componentes APUs'!$A$1:$D$14,3,0)</f>
        <v>Par</v>
      </c>
      <c r="E4627" s="50">
        <f>C4602+C4603+C4605</f>
        <v>1.25</v>
      </c>
      <c r="F4627" s="51">
        <f>VLOOKUP(A4627,'Componentes APUs'!$A$1:$D$14,4,0)</f>
        <v>2525.2525252525252</v>
      </c>
      <c r="G4627" s="51">
        <f>ROUNDUP(F4627*(E4627/21)/E4584,0)</f>
        <v>151</v>
      </c>
    </row>
    <row r="4628" spans="1:7" x14ac:dyDescent="0.25">
      <c r="A4628" s="50" t="s">
        <v>83</v>
      </c>
      <c r="B4628" s="72" t="str">
        <f>VLOOKUP(A4628,'Componentes APUs'!$A$1:$D$14,2,0)</f>
        <v>Impermeable (pantalon camisa)</v>
      </c>
      <c r="C4628" s="73"/>
      <c r="D4628" s="50" t="str">
        <f>VLOOKUP(A4628,'Componentes APUs'!$A$1:$D$14,3,0)</f>
        <v>U</v>
      </c>
      <c r="E4628" s="50">
        <f>SUM(C4600:C4605)</f>
        <v>1.5</v>
      </c>
      <c r="F4628" s="51">
        <f>VLOOKUP(A4628,'Componentes APUs'!$A$1:$D$14,4,0)</f>
        <v>3750</v>
      </c>
      <c r="G4628" s="51">
        <f>ROUNDUP(F4628*(E4628/21)/E4584,0)</f>
        <v>268</v>
      </c>
    </row>
    <row r="4629" spans="1:7" x14ac:dyDescent="0.25">
      <c r="A4629" s="69" t="s">
        <v>85</v>
      </c>
      <c r="B4629" s="72" t="str">
        <f>VLOOKUP(A4629,'Componentes APUs'!$A$1:$D$14,2,0)</f>
        <v>Jean Dielectrico</v>
      </c>
      <c r="C4629" s="73"/>
      <c r="D4629" s="50" t="str">
        <f>VLOOKUP(A4629,'Componentes APUs'!$A$1:$D$14,3,0)</f>
        <v>U</v>
      </c>
      <c r="E4629" s="50">
        <f>SUM(C4600:C4605)</f>
        <v>1.5</v>
      </c>
      <c r="F4629" s="51">
        <f>VLOOKUP(A4629,'Componentes APUs'!$A$1:$D$14,4,0)</f>
        <v>7575.757575757576</v>
      </c>
      <c r="G4629" s="51">
        <f>ROUNDUP(F4629*(E4629/21)/E4584,0)</f>
        <v>542</v>
      </c>
    </row>
    <row r="4630" spans="1:7" x14ac:dyDescent="0.25">
      <c r="A4630" s="50" t="s">
        <v>87</v>
      </c>
      <c r="B4630" s="72" t="str">
        <f>VLOOKUP(A4630,'Componentes APUs'!$A$1:$D$14,2,0)</f>
        <v>Casco dielectrico Tipo 2 Clase E con barboquejo</v>
      </c>
      <c r="C4630" s="73"/>
      <c r="D4630" s="50" t="str">
        <f>VLOOKUP(A4630,'Componentes APUs'!$A$1:$D$14,3,0)</f>
        <v>U</v>
      </c>
      <c r="E4630" s="53">
        <f>IF(A4602="MO-3",C4602,0)</f>
        <v>0</v>
      </c>
      <c r="F4630" s="51">
        <f>VLOOKUP(A4630,'Componentes APUs'!$A$1:$D$14,4,0)</f>
        <v>7500</v>
      </c>
      <c r="G4630" s="51">
        <f>ROUNDUP(F4630*(E4630/21)/E4584,0)</f>
        <v>0</v>
      </c>
    </row>
    <row r="4631" spans="1:7" x14ac:dyDescent="0.25">
      <c r="A4631" s="69" t="s">
        <v>89</v>
      </c>
      <c r="B4631" s="72" t="str">
        <f>VLOOKUP(A4631,'Componentes APUs'!$A$1:$D$14,2,0)</f>
        <v>Kit de rescate para trabajo en alturas</v>
      </c>
      <c r="C4631" s="73"/>
      <c r="D4631" s="50" t="str">
        <f>VLOOKUP(A4631,'Componentes APUs'!$A$1:$D$14,3,0)</f>
        <v>U</v>
      </c>
      <c r="E4631" s="50">
        <f>IF(AND(A4602="MO-3",C4602=2),1,0)</f>
        <v>0</v>
      </c>
      <c r="F4631" s="51">
        <f>VLOOKUP(A4631,'Componentes APUs'!$A$1:$D$14,4,0)</f>
        <v>37500</v>
      </c>
      <c r="G4631" s="51">
        <f>ROUNDUP(F4631*(E4631/21)/E4584,0)</f>
        <v>0</v>
      </c>
    </row>
    <row r="4632" spans="1:7" x14ac:dyDescent="0.25">
      <c r="A4632" s="50" t="s">
        <v>91</v>
      </c>
      <c r="B4632" s="72" t="str">
        <f>VLOOKUP(A4632,'Componentes APUs'!$A$1:$D$14,2,0)</f>
        <v>Equipo completo para trabajo en alturas con pretales (Arnes dielectrico, 1 mosqueton de seguridad, tie off dielectrico, eslinga de posicionamiento, juego de pretales)</v>
      </c>
      <c r="C4632" s="73"/>
      <c r="D4632" s="50" t="str">
        <f>VLOOKUP(A4632,'Componentes APUs'!$A$1:$D$14,3,0)</f>
        <v>U</v>
      </c>
      <c r="E4632" s="50">
        <f>IF(A4602="MO-3",C4602,0)</f>
        <v>0</v>
      </c>
      <c r="F4632" s="51">
        <f>VLOOKUP(A4632,'Componentes APUs'!$A$1:$D$14,4,0)</f>
        <v>26041.666666666668</v>
      </c>
      <c r="G4632" s="51">
        <f>ROUNDUP(F4632*(E4632/21)/E4584,0)</f>
        <v>0</v>
      </c>
    </row>
    <row r="4633" spans="1:7" x14ac:dyDescent="0.25">
      <c r="A4633" s="219" t="s">
        <v>95</v>
      </c>
      <c r="B4633" s="219"/>
      <c r="C4633" s="219"/>
      <c r="D4633" s="219"/>
      <c r="E4633" s="219"/>
      <c r="F4633" s="219"/>
      <c r="G4633" s="52">
        <f>SUM(G4620:G4632)</f>
        <v>3693</v>
      </c>
    </row>
    <row r="4634" spans="1:7" x14ac:dyDescent="0.25">
      <c r="A4634" s="56"/>
      <c r="B4634" s="57"/>
      <c r="C4634" s="57"/>
      <c r="D4634" s="57"/>
      <c r="E4634" s="57"/>
      <c r="F4634" s="57"/>
      <c r="G4634" s="58"/>
    </row>
    <row r="4635" spans="1:7" x14ac:dyDescent="0.25">
      <c r="A4635" s="219" t="s">
        <v>96</v>
      </c>
      <c r="B4635" s="219"/>
      <c r="C4635" s="219"/>
      <c r="D4635" s="219"/>
      <c r="E4635" s="219"/>
      <c r="F4635" s="219"/>
      <c r="G4635" s="219"/>
    </row>
    <row r="4636" spans="1:7" x14ac:dyDescent="0.25">
      <c r="A4636" s="49" t="s">
        <v>35</v>
      </c>
      <c r="B4636" s="225" t="s">
        <v>36</v>
      </c>
      <c r="C4636" s="225"/>
      <c r="D4636" s="49" t="s">
        <v>37</v>
      </c>
      <c r="E4636" s="49" t="s">
        <v>38</v>
      </c>
      <c r="F4636" s="49" t="s">
        <v>39</v>
      </c>
      <c r="G4636" s="49" t="s">
        <v>40</v>
      </c>
    </row>
    <row r="4637" spans="1:7" x14ac:dyDescent="0.25">
      <c r="A4637" s="69" t="s">
        <v>97</v>
      </c>
      <c r="B4637" s="72" t="str">
        <f>VLOOKUP(A4637,'Componentes APUs'!$N$1:$Q$30,2,0)</f>
        <v>Camioneta</v>
      </c>
      <c r="C4637" s="73"/>
      <c r="D4637" s="70" t="str">
        <f>VLOOKUP(A4637,'Componentes APUs'!$N$1:$Q$30,3,0)</f>
        <v>U</v>
      </c>
      <c r="E4637" s="50">
        <v>1</v>
      </c>
      <c r="F4637" s="51">
        <f>VLOOKUP(A4637,'Componentes APUs'!$N$1:$Q$30,4,0)</f>
        <v>5500000</v>
      </c>
      <c r="G4637" s="51">
        <f>IFERROR(ROUNDUP(F4637*(E4637/21)/E4584,0),"-")</f>
        <v>261905</v>
      </c>
    </row>
    <row r="4638" spans="1:7" x14ac:dyDescent="0.25">
      <c r="A4638" s="50" t="s">
        <v>321</v>
      </c>
      <c r="B4638" s="72" t="str">
        <f>VLOOKUP(A4638,'Componentes APUs'!$N$1:$Q$30,2,0)</f>
        <v>Grúa Hidráulica</v>
      </c>
      <c r="C4638" s="73"/>
      <c r="D4638" s="70" t="str">
        <f>VLOOKUP(A4638,'Componentes APUs'!$N$1:$Q$30,3,0)</f>
        <v>U</v>
      </c>
      <c r="E4638" s="50">
        <v>0</v>
      </c>
      <c r="F4638" s="51">
        <f>VLOOKUP(A4638,'Componentes APUs'!$N$1:$Q$30,4,0)</f>
        <v>21000000</v>
      </c>
      <c r="G4638" s="51">
        <f>IFERROR(ROUNDUP(F4638*(E4638/21)/E4584,0),"-")</f>
        <v>0</v>
      </c>
    </row>
    <row r="4639" spans="1:7" x14ac:dyDescent="0.25">
      <c r="A4639" s="69" t="s">
        <v>1379</v>
      </c>
      <c r="B4639" s="72" t="str">
        <f>VLOOKUP(A4639,'Componentes APUs'!$N$1:$Q$30,2,0)</f>
        <v>Dumper de descarga Frontal 2T</v>
      </c>
      <c r="C4639" s="73"/>
      <c r="D4639" s="70" t="str">
        <f>VLOOKUP(A4639,'Componentes APUs'!$N$1:$Q$30,3,0)</f>
        <v>U</v>
      </c>
      <c r="E4639" s="50">
        <v>0</v>
      </c>
      <c r="F4639" s="51">
        <f>VLOOKUP(A4639,'Componentes APUs'!$N$1:$Q$30,4,0)</f>
        <v>4438716.24</v>
      </c>
      <c r="G4639" s="51">
        <f>IFERROR(ROUNDUP(F4639*(E4639/21)/E4584,0),"-")</f>
        <v>0</v>
      </c>
    </row>
    <row r="4640" spans="1:7" x14ac:dyDescent="0.25">
      <c r="A4640" s="50" t="s">
        <v>323</v>
      </c>
      <c r="B4640" s="72" t="str">
        <f>VLOOKUP(A4640,'Componentes APUs'!$N$1:$Q$30,2,0)</f>
        <v>Volqueta</v>
      </c>
      <c r="C4640" s="73"/>
      <c r="D4640" s="70" t="str">
        <f>VLOOKUP(A4640,'Componentes APUs'!$N$1:$Q$30,3,0)</f>
        <v>U</v>
      </c>
      <c r="E4640" s="50">
        <v>0</v>
      </c>
      <c r="F4640" s="51">
        <f>VLOOKUP(A4640,'Componentes APUs'!$N$1:$Q$30,4,0)</f>
        <v>14828184</v>
      </c>
      <c r="G4640" s="51">
        <f>IFERROR(ROUNDUP(F4640*(E4640/21)/E4584,0),"-")</f>
        <v>0</v>
      </c>
    </row>
    <row r="4641" spans="1:8" x14ac:dyDescent="0.25">
      <c r="A4641" s="69" t="s">
        <v>324</v>
      </c>
      <c r="B4641" s="72" t="str">
        <f>VLOOKUP(A4641,'Componentes APUs'!$N$1:$Q$30,2,0)</f>
        <v>Retroexcavadora</v>
      </c>
      <c r="C4641" s="73"/>
      <c r="D4641" s="70" t="str">
        <f>VLOOKUP(A4641,'Componentes APUs'!$N$1:$Q$30,3,0)</f>
        <v>U</v>
      </c>
      <c r="E4641" s="50">
        <v>0</v>
      </c>
      <c r="F4641" s="51">
        <f>VLOOKUP(A4641,'Componentes APUs'!$N$1:$Q$30,4,0)</f>
        <v>46030656</v>
      </c>
      <c r="G4641" s="51">
        <f>IFERROR(ROUNDUP(F4641*(E4641/21)/E4584,0),"-")</f>
        <v>0</v>
      </c>
    </row>
    <row r="4642" spans="1:8" x14ac:dyDescent="0.25">
      <c r="A4642" s="219" t="s">
        <v>99</v>
      </c>
      <c r="B4642" s="219"/>
      <c r="C4642" s="219"/>
      <c r="D4642" s="219"/>
      <c r="E4642" s="219"/>
      <c r="F4642" s="219"/>
      <c r="G4642" s="52">
        <f>SUM(G4637:G4641)</f>
        <v>261905</v>
      </c>
    </row>
    <row r="4643" spans="1:8" x14ac:dyDescent="0.25">
      <c r="A4643" s="56"/>
      <c r="B4643" s="57"/>
      <c r="C4643" s="57"/>
      <c r="D4643" s="57"/>
      <c r="E4643" s="57"/>
      <c r="F4643" s="57"/>
      <c r="G4643" s="58"/>
    </row>
    <row r="4644" spans="1:8" x14ac:dyDescent="0.25">
      <c r="A4644" s="219" t="s">
        <v>1516</v>
      </c>
      <c r="B4644" s="219"/>
      <c r="C4644" s="219"/>
      <c r="D4644" s="219"/>
      <c r="E4644" s="219"/>
      <c r="F4644" s="219"/>
      <c r="G4644" s="52">
        <f>G4642+G4633+G4616+G4606+G4596</f>
        <v>1758495</v>
      </c>
    </row>
    <row r="4645" spans="1:8" x14ac:dyDescent="0.25">
      <c r="A4645" s="59"/>
      <c r="B4645" s="60"/>
      <c r="C4645" s="60"/>
      <c r="D4645" s="60"/>
      <c r="E4645" s="57"/>
      <c r="F4645" s="57"/>
      <c r="G4645" s="58"/>
    </row>
    <row r="4646" spans="1:8" x14ac:dyDescent="0.25">
      <c r="A4646" s="64"/>
      <c r="D4646" s="55"/>
      <c r="E4646" s="49" t="s">
        <v>25</v>
      </c>
      <c r="F4646" s="54">
        <v>0.15</v>
      </c>
      <c r="G4646" s="51">
        <f>G4644*F4646</f>
        <v>263774.25</v>
      </c>
    </row>
    <row r="4647" spans="1:8" x14ac:dyDescent="0.25">
      <c r="A4647" s="64"/>
      <c r="D4647" s="55"/>
      <c r="E4647" s="49" t="s">
        <v>26</v>
      </c>
      <c r="F4647" s="54">
        <v>0.05</v>
      </c>
      <c r="G4647" s="51">
        <f>G4644*F4647</f>
        <v>87924.75</v>
      </c>
    </row>
    <row r="4648" spans="1:8" x14ac:dyDescent="0.25">
      <c r="A4648" s="61"/>
      <c r="B4648" s="65"/>
      <c r="C4648" s="65"/>
      <c r="D4648" s="62"/>
      <c r="E4648" s="49" t="s">
        <v>27</v>
      </c>
      <c r="F4648" s="54">
        <v>0.05</v>
      </c>
      <c r="G4648" s="51">
        <f>G4644*F4648</f>
        <v>87924.75</v>
      </c>
    </row>
    <row r="4649" spans="1:8" x14ac:dyDescent="0.25">
      <c r="A4649" s="61"/>
      <c r="B4649" s="62"/>
      <c r="C4649" s="62"/>
      <c r="D4649" s="62"/>
      <c r="E4649" s="62"/>
      <c r="F4649" s="62"/>
      <c r="G4649" s="63"/>
    </row>
    <row r="4650" spans="1:8" x14ac:dyDescent="0.25">
      <c r="A4650" s="219" t="s">
        <v>1517</v>
      </c>
      <c r="B4650" s="219"/>
      <c r="C4650" s="219"/>
      <c r="D4650" s="219"/>
      <c r="E4650" s="219"/>
      <c r="F4650" s="219"/>
      <c r="G4650" s="52">
        <f>G4644+G4646+G4647+G4648</f>
        <v>2198118.75</v>
      </c>
    </row>
    <row r="4651" spans="1:8" x14ac:dyDescent="0.25">
      <c r="A4651" s="59"/>
      <c r="B4651" s="60"/>
      <c r="C4651" s="60"/>
      <c r="D4651" s="60"/>
      <c r="E4651" s="57"/>
      <c r="F4651" s="57"/>
      <c r="G4651" s="58"/>
    </row>
    <row r="4652" spans="1:8" x14ac:dyDescent="0.25">
      <c r="A4652" s="64"/>
      <c r="D4652" s="55"/>
      <c r="E4652" s="49" t="s">
        <v>102</v>
      </c>
      <c r="F4652" s="49" t="s">
        <v>103</v>
      </c>
      <c r="G4652" s="51">
        <f>G4648*19%</f>
        <v>16705.702499999999</v>
      </c>
    </row>
    <row r="4653" spans="1:8" x14ac:dyDescent="0.25">
      <c r="A4653" s="61"/>
      <c r="B4653" s="62"/>
      <c r="C4653" s="62"/>
      <c r="D4653" s="62"/>
      <c r="E4653" s="57"/>
      <c r="F4653" s="57"/>
      <c r="G4653" s="58"/>
    </row>
    <row r="4654" spans="1:8" x14ac:dyDescent="0.25">
      <c r="A4654" s="219" t="s">
        <v>104</v>
      </c>
      <c r="B4654" s="219"/>
      <c r="C4654" s="219"/>
      <c r="D4654" s="219"/>
      <c r="E4654" s="219"/>
      <c r="F4654" s="219"/>
      <c r="G4654" s="52">
        <f>G4652+G4650</f>
        <v>2214824.4525000001</v>
      </c>
    </row>
    <row r="4656" spans="1:8" x14ac:dyDescent="0.25">
      <c r="A4656" s="74" t="s">
        <v>29</v>
      </c>
      <c r="B4656" s="226" t="s">
        <v>30</v>
      </c>
      <c r="C4656" s="226"/>
      <c r="D4656" s="74" t="s">
        <v>31</v>
      </c>
      <c r="E4656" s="74" t="s">
        <v>32</v>
      </c>
      <c r="F4656" s="74" t="s">
        <v>189</v>
      </c>
      <c r="G4656" s="74" t="s">
        <v>33</v>
      </c>
      <c r="H4656" s="105"/>
    </row>
    <row r="4657" spans="1:9" ht="23.25" customHeight="1" x14ac:dyDescent="0.25">
      <c r="A4657" s="50" t="str">
        <f>Presupuesto!B92</f>
        <v>076_OC</v>
      </c>
      <c r="B4657" s="229" t="str">
        <f>Presupuesto!C92</f>
        <v>CAJA EN CONCRETO PARA MEDIDOR. TAPA EN HIERRO FUNDIDO</v>
      </c>
      <c r="C4657" s="230"/>
      <c r="D4657" s="50" t="s">
        <v>8</v>
      </c>
      <c r="E4657" s="107">
        <v>2</v>
      </c>
      <c r="F4657" s="50"/>
      <c r="G4657" s="51">
        <f>G4722</f>
        <v>503386.88399999996</v>
      </c>
      <c r="H4657" s="45"/>
    </row>
    <row r="4658" spans="1:9" x14ac:dyDescent="0.25">
      <c r="A4658" s="219" t="s">
        <v>34</v>
      </c>
      <c r="B4658" s="219"/>
      <c r="C4658" s="219"/>
      <c r="D4658" s="219"/>
      <c r="E4658" s="219"/>
      <c r="F4658" s="219"/>
      <c r="G4658" s="219"/>
    </row>
    <row r="4659" spans="1:9" x14ac:dyDescent="0.25">
      <c r="A4659" s="49" t="s">
        <v>35</v>
      </c>
      <c r="B4659" s="219" t="s">
        <v>36</v>
      </c>
      <c r="C4659" s="219"/>
      <c r="D4659" s="49" t="s">
        <v>37</v>
      </c>
      <c r="E4659" s="49" t="s">
        <v>38</v>
      </c>
      <c r="F4659" s="49" t="s">
        <v>39</v>
      </c>
      <c r="G4659" s="49" t="s">
        <v>40</v>
      </c>
    </row>
    <row r="4660" spans="1:9" ht="30.75" customHeight="1" x14ac:dyDescent="0.25">
      <c r="A4660" s="50" t="str">
        <f>Material!A508</f>
        <v>MA-507</v>
      </c>
      <c r="B4660" s="221" t="str">
        <f>IFERROR(VLOOKUP(A4660,Material!$A:$H,2,0),"-")</f>
        <v>CAJILLA EN CONCRETO PARA MEDIDOR TAPA EN HIERRO FUNDIDO</v>
      </c>
      <c r="C4660" s="222"/>
      <c r="D4660" s="50" t="str">
        <f>IFERROR(VLOOKUP(A4660,Material!$A:$H,4,0),"-")</f>
        <v>ML</v>
      </c>
      <c r="E4660" s="53">
        <v>1</v>
      </c>
      <c r="F4660" s="51">
        <f>IFERROR(VLOOKUP(A4660,Material!$A:$H,3,0),"-")</f>
        <v>208000</v>
      </c>
      <c r="G4660" s="51">
        <f t="shared" ref="G4660:G4663" si="88">IFERROR(ROUNDUP(F4660*E4660,0),"-")</f>
        <v>208000</v>
      </c>
      <c r="H4660" s="106"/>
    </row>
    <row r="4661" spans="1:9" x14ac:dyDescent="0.25">
      <c r="A4661" s="50"/>
      <c r="B4661" s="72" t="str">
        <f>IFERROR(VLOOKUP(A4661,Material!$A:$H,2,0),"-")</f>
        <v>-</v>
      </c>
      <c r="C4661" s="76"/>
      <c r="D4661" s="50" t="str">
        <f>IFERROR(VLOOKUP(A4661,Material!$A:$H,4,0),"-")</f>
        <v>-</v>
      </c>
      <c r="E4661" s="53"/>
      <c r="F4661" s="51" t="str">
        <f>IFERROR(VLOOKUP(A4661,Material!$A:$H,3,0),"-")</f>
        <v>-</v>
      </c>
      <c r="G4661" s="51" t="str">
        <f t="shared" si="88"/>
        <v>-</v>
      </c>
      <c r="H4661" s="106"/>
    </row>
    <row r="4662" spans="1:9" x14ac:dyDescent="0.25">
      <c r="A4662" s="50"/>
      <c r="B4662" s="72" t="str">
        <f>IFERROR(VLOOKUP(A4662,Material!$A:$H,2,0),"-")</f>
        <v>-</v>
      </c>
      <c r="C4662" s="76"/>
      <c r="D4662" s="50" t="str">
        <f>IFERROR(VLOOKUP(A4662,Material!$A:$H,4,0),"-")</f>
        <v>-</v>
      </c>
      <c r="E4662" s="107"/>
      <c r="F4662" s="51" t="str">
        <f>IFERROR(VLOOKUP(A4662,Material!$A:$H,3,0),"-")</f>
        <v>-</v>
      </c>
      <c r="G4662" s="51" t="str">
        <f t="shared" si="88"/>
        <v>-</v>
      </c>
      <c r="H4662" s="106"/>
    </row>
    <row r="4663" spans="1:9" x14ac:dyDescent="0.25">
      <c r="A4663" s="50"/>
      <c r="B4663" s="72" t="str">
        <f>IFERROR(VLOOKUP(A4663,Material!$A:$H,2,0),"-")</f>
        <v>-</v>
      </c>
      <c r="C4663" s="76"/>
      <c r="D4663" s="50" t="str">
        <f>IFERROR(VLOOKUP(A4663,Material!$A:$H,4,0),"-")</f>
        <v>-</v>
      </c>
      <c r="E4663" s="107"/>
      <c r="F4663" s="51" t="str">
        <f>IFERROR(VLOOKUP(A4663,Material!$A:$H,3,0),"-")</f>
        <v>-</v>
      </c>
      <c r="G4663" s="51" t="str">
        <f t="shared" si="88"/>
        <v>-</v>
      </c>
      <c r="H4663" s="106"/>
    </row>
    <row r="4664" spans="1:9" x14ac:dyDescent="0.25">
      <c r="A4664" s="219" t="s">
        <v>41</v>
      </c>
      <c r="B4664" s="219"/>
      <c r="C4664" s="219"/>
      <c r="D4664" s="219"/>
      <c r="E4664" s="219"/>
      <c r="F4664" s="219"/>
      <c r="G4664" s="52">
        <f>SUM(G4660:G4663)</f>
        <v>208000</v>
      </c>
      <c r="I4664" s="104"/>
    </row>
    <row r="4665" spans="1:9" x14ac:dyDescent="0.25">
      <c r="A4665" s="56"/>
      <c r="B4665" s="57"/>
      <c r="C4665" s="57"/>
      <c r="D4665" s="57"/>
      <c r="E4665" s="57"/>
      <c r="F4665" s="57"/>
      <c r="G4665" s="58"/>
    </row>
    <row r="4666" spans="1:9" x14ac:dyDescent="0.25">
      <c r="A4666" s="219" t="s">
        <v>42</v>
      </c>
      <c r="B4666" s="219"/>
      <c r="C4666" s="219"/>
      <c r="D4666" s="219"/>
      <c r="E4666" s="219"/>
      <c r="F4666" s="219"/>
      <c r="G4666" s="219"/>
    </row>
    <row r="4667" spans="1:9" x14ac:dyDescent="0.25">
      <c r="A4667" s="49" t="s">
        <v>35</v>
      </c>
      <c r="B4667" s="49" t="s">
        <v>36</v>
      </c>
      <c r="C4667" s="49" t="s">
        <v>38</v>
      </c>
      <c r="D4667" s="49" t="s">
        <v>43</v>
      </c>
      <c r="E4667" s="49" t="s">
        <v>44</v>
      </c>
      <c r="F4667" s="49" t="s">
        <v>45</v>
      </c>
      <c r="G4667" s="49" t="s">
        <v>40</v>
      </c>
    </row>
    <row r="4668" spans="1:9" x14ac:dyDescent="0.25">
      <c r="A4668" s="50" t="s">
        <v>319</v>
      </c>
      <c r="B4668" s="68" t="str">
        <f>VLOOKUP(A4668,'Componentes APUs'!$H$1:$L$25,2,0)</f>
        <v>Ingeniero Residente de Obra</v>
      </c>
      <c r="C4668" s="93">
        <v>0</v>
      </c>
      <c r="D4668" s="50">
        <f>VLOOKUP(A4668,'Componentes APUs'!$H$1:$L$25,3,0)</f>
        <v>4</v>
      </c>
      <c r="E4668" s="51">
        <f>VLOOKUP(A4668,'Componentes APUs'!$H$1:$L$25,4,0)</f>
        <v>271142.85714285716</v>
      </c>
      <c r="F4668" s="51">
        <f>VLOOKUP(A4668,'Componentes APUs'!$H$1:$L$25,5,0)</f>
        <v>162685.71428571429</v>
      </c>
      <c r="G4668" s="51">
        <f>ROUNDUP((E4668+F4668)*C4668/E4657,0)</f>
        <v>0</v>
      </c>
      <c r="H4668" s="66"/>
    </row>
    <row r="4669" spans="1:9" x14ac:dyDescent="0.25">
      <c r="A4669" s="50" t="s">
        <v>320</v>
      </c>
      <c r="B4669" s="68" t="str">
        <f>VLOOKUP(A4669,'Componentes APUs'!$H$1:$L$25,2,0)</f>
        <v>Tecnico Supervisor</v>
      </c>
      <c r="C4669" s="93">
        <v>0</v>
      </c>
      <c r="D4669" s="50">
        <f>VLOOKUP(A4669,'Componentes APUs'!$H$1:$L$25,3,0)</f>
        <v>2.2999999999999998</v>
      </c>
      <c r="E4669" s="51">
        <f>VLOOKUP(A4669,'Componentes APUs'!$H$1:$L$25,4,0)</f>
        <v>155907.14285714284</v>
      </c>
      <c r="F4669" s="51">
        <f>VLOOKUP(A4669,'Componentes APUs'!$H$1:$L$25,5,0)</f>
        <v>93544.285714285696</v>
      </c>
      <c r="G4669" s="51">
        <f>ROUNDUP((E4669+F4669)*C4669/E4657,0)</f>
        <v>0</v>
      </c>
    </row>
    <row r="4670" spans="1:9" x14ac:dyDescent="0.25">
      <c r="A4670" s="50" t="s">
        <v>54</v>
      </c>
      <c r="B4670" s="68" t="str">
        <f>VLOOKUP(A4670,'Componentes APUs'!$H$1:$L$25,2,0)</f>
        <v>Maestro de obra civil</v>
      </c>
      <c r="C4670" s="93">
        <v>0</v>
      </c>
      <c r="D4670" s="50">
        <f>VLOOKUP(A4670,'Componentes APUs'!$H$1:$L$25,3,0)</f>
        <v>2.5</v>
      </c>
      <c r="E4670" s="51">
        <f>VLOOKUP(A4670,'Componentes APUs'!$H$1:$L$25,4,0)</f>
        <v>169464.28571428571</v>
      </c>
      <c r="F4670" s="51">
        <f>VLOOKUP(A4670,'Componentes APUs'!$H$1:$L$25,5,0)</f>
        <v>101678.57142857142</v>
      </c>
      <c r="G4670" s="51">
        <f>ROUNDUP((E4670+F4670)*C4670/E4657,0)</f>
        <v>0</v>
      </c>
    </row>
    <row r="4671" spans="1:9" x14ac:dyDescent="0.25">
      <c r="A4671" s="50" t="s">
        <v>1110</v>
      </c>
      <c r="B4671" s="68" t="str">
        <f>VLOOKUP(A4671,'Componentes APUs'!$H$1:$L$25,2,0)</f>
        <v>Oficial de Obra Civil</v>
      </c>
      <c r="C4671" s="93">
        <v>0.25</v>
      </c>
      <c r="D4671" s="50">
        <f>VLOOKUP(A4671,'Componentes APUs'!$H$1:$L$25,3,0)</f>
        <v>1.5</v>
      </c>
      <c r="E4671" s="51">
        <f>VLOOKUP(A4671,'Componentes APUs'!$H$1:$L$25,4,0)</f>
        <v>115964.28571428571</v>
      </c>
      <c r="F4671" s="51">
        <f>VLOOKUP(A4671,'Componentes APUs'!$H$1:$L$25,5,0)</f>
        <v>69578.57142857142</v>
      </c>
      <c r="G4671" s="51">
        <f>ROUNDUP((E4671+F4671)*C4671/E4657,0)</f>
        <v>23193</v>
      </c>
    </row>
    <row r="4672" spans="1:9" x14ac:dyDescent="0.25">
      <c r="A4672" s="50" t="s">
        <v>50</v>
      </c>
      <c r="B4672" s="68" t="str">
        <f>VLOOKUP(A4672,'Componentes APUs'!$H$1:$L$25,2,0)</f>
        <v>Profesional en SST</v>
      </c>
      <c r="C4672" s="93">
        <v>0.25</v>
      </c>
      <c r="D4672" s="50">
        <f>VLOOKUP(A4672,'Componentes APUs'!$H$1:$L$25,3,0)</f>
        <v>2.5</v>
      </c>
      <c r="E4672" s="51">
        <f>VLOOKUP(A4672,'Componentes APUs'!$H$1:$L$25,4,0)</f>
        <v>169464.28571428571</v>
      </c>
      <c r="F4672" s="51">
        <f>VLOOKUP(A4672,'Componentes APUs'!$H$1:$L$25,5,0)</f>
        <v>101678.57142857142</v>
      </c>
      <c r="G4672" s="51">
        <f>ROUNDUP((E4672+F4672)*C4672/E4657,0)</f>
        <v>33893</v>
      </c>
    </row>
    <row r="4673" spans="1:9" x14ac:dyDescent="0.25">
      <c r="A4673" s="50" t="s">
        <v>1109</v>
      </c>
      <c r="B4673" s="68" t="str">
        <f>VLOOKUP(A4673,'Componentes APUs'!$H$1:$L$25,2,0)</f>
        <v>Ayudante de Obra Civil</v>
      </c>
      <c r="C4673" s="93">
        <v>1</v>
      </c>
      <c r="D4673" s="50">
        <f>VLOOKUP(A4673,'Componentes APUs'!$H$1:$L$25,3,0)</f>
        <v>1</v>
      </c>
      <c r="E4673" s="51">
        <f>VLOOKUP(A4673,'Componentes APUs'!$H$1:$L$25,4,0)</f>
        <v>77309.523809523816</v>
      </c>
      <c r="F4673" s="51">
        <f>VLOOKUP(A4673,'Componentes APUs'!$H$1:$L$25,5,0)</f>
        <v>46385.71428571429</v>
      </c>
      <c r="G4673" s="51">
        <f>ROUNDUP((E4673+F4673)*C4673/E4657,0)</f>
        <v>61848</v>
      </c>
    </row>
    <row r="4674" spans="1:9" x14ac:dyDescent="0.25">
      <c r="A4674" s="219" t="s">
        <v>56</v>
      </c>
      <c r="B4674" s="219"/>
      <c r="C4674" s="219"/>
      <c r="D4674" s="219"/>
      <c r="E4674" s="219"/>
      <c r="F4674" s="219"/>
      <c r="G4674" s="52">
        <f>SUM(G4668:G4673)</f>
        <v>118934</v>
      </c>
    </row>
    <row r="4675" spans="1:9" x14ac:dyDescent="0.25">
      <c r="A4675" s="56"/>
      <c r="B4675" s="57"/>
      <c r="C4675" s="57"/>
      <c r="D4675" s="57"/>
      <c r="E4675" s="57"/>
      <c r="F4675" s="57"/>
      <c r="G4675" s="58"/>
    </row>
    <row r="4676" spans="1:9" x14ac:dyDescent="0.25">
      <c r="A4676" s="219" t="s">
        <v>57</v>
      </c>
      <c r="B4676" s="219"/>
      <c r="C4676" s="219"/>
      <c r="D4676" s="219"/>
      <c r="E4676" s="219"/>
      <c r="F4676" s="219"/>
      <c r="G4676" s="219"/>
    </row>
    <row r="4677" spans="1:9" x14ac:dyDescent="0.25">
      <c r="A4677" s="49" t="s">
        <v>35</v>
      </c>
      <c r="B4677" s="219" t="s">
        <v>36</v>
      </c>
      <c r="C4677" s="219"/>
      <c r="D4677" s="49" t="s">
        <v>37</v>
      </c>
      <c r="E4677" s="49" t="s">
        <v>38</v>
      </c>
      <c r="F4677" s="49" t="s">
        <v>39</v>
      </c>
      <c r="G4677" s="49" t="s">
        <v>40</v>
      </c>
    </row>
    <row r="4678" spans="1:9" x14ac:dyDescent="0.25">
      <c r="A4678" s="50" t="s">
        <v>326</v>
      </c>
      <c r="B4678" s="220" t="str">
        <f>VLOOKUP(A4678,'Componentes APUs'!$S$1:$V$10,2,0)</f>
        <v>Juego Llaves</v>
      </c>
      <c r="C4678" s="220"/>
      <c r="D4678" s="50" t="s">
        <v>18</v>
      </c>
      <c r="E4678" s="50">
        <v>0</v>
      </c>
      <c r="F4678" s="51">
        <f>VLOOKUP(A4678,'Componentes APUs'!$S$1:$V$10,4,0)</f>
        <v>9167</v>
      </c>
      <c r="G4678" s="51">
        <f>ROUNDUP(F4678*((E4678/21)/E4657),0)</f>
        <v>0</v>
      </c>
      <c r="I4678" s="91"/>
    </row>
    <row r="4679" spans="1:9" x14ac:dyDescent="0.25">
      <c r="A4679" s="50" t="s">
        <v>58</v>
      </c>
      <c r="B4679" s="220" t="str">
        <f>VLOOKUP(A4679,'Componentes APUs'!$S$1:$V$10,2,0)</f>
        <v>Manila de servicio</v>
      </c>
      <c r="C4679" s="220"/>
      <c r="D4679" s="50" t="s">
        <v>18</v>
      </c>
      <c r="E4679" s="50">
        <v>0</v>
      </c>
      <c r="F4679" s="51">
        <f>VLOOKUP(A4679,'Componentes APUs'!$S$1:$V$10,4,0)</f>
        <v>2333</v>
      </c>
      <c r="G4679" s="51">
        <f>ROUNDUP(F4679*((E4679/21)/E4657),0)</f>
        <v>0</v>
      </c>
    </row>
    <row r="4680" spans="1:9" x14ac:dyDescent="0.25">
      <c r="A4680" s="50" t="s">
        <v>327</v>
      </c>
      <c r="B4680" s="220" t="str">
        <f>VLOOKUP(A4680,'Componentes APUs'!$S$1:$V$10,2,0)</f>
        <v>Tula portaherramientas</v>
      </c>
      <c r="C4680" s="220"/>
      <c r="D4680" s="50" t="s">
        <v>18</v>
      </c>
      <c r="E4680" s="50">
        <v>0</v>
      </c>
      <c r="F4680" s="51">
        <f>VLOOKUP(A4680,'Componentes APUs'!$S$1:$V$10,4,0)</f>
        <v>1250</v>
      </c>
      <c r="G4680" s="51">
        <f>ROUNDUP(F4680*((E4680/21)/E4657),0)</f>
        <v>0</v>
      </c>
    </row>
    <row r="4681" spans="1:9" x14ac:dyDescent="0.25">
      <c r="A4681" s="50" t="s">
        <v>60</v>
      </c>
      <c r="B4681" s="220" t="str">
        <f>VLOOKUP(A4681,'Componentes APUs'!$S$1:$V$10,2,0)</f>
        <v>Agarradoras</v>
      </c>
      <c r="C4681" s="220"/>
      <c r="D4681" s="50" t="s">
        <v>18</v>
      </c>
      <c r="E4681" s="50">
        <v>0</v>
      </c>
      <c r="F4681" s="51">
        <f>VLOOKUP(A4681,'Componentes APUs'!$S$1:$V$10,4,0)</f>
        <v>125000</v>
      </c>
      <c r="G4681" s="51">
        <f>ROUNDUP(F4681*((E4681/21)/E4657),0)</f>
        <v>0</v>
      </c>
    </row>
    <row r="4682" spans="1:9" x14ac:dyDescent="0.25">
      <c r="A4682" s="50" t="s">
        <v>62</v>
      </c>
      <c r="B4682" s="220" t="str">
        <f>VLOOKUP(A4682,'Componentes APUs'!$S$1:$V$10,2,0)</f>
        <v>Templadoras</v>
      </c>
      <c r="C4682" s="220"/>
      <c r="D4682" s="50" t="s">
        <v>18</v>
      </c>
      <c r="E4682" s="50">
        <v>0</v>
      </c>
      <c r="F4682" s="51">
        <f>VLOOKUP(A4682,'Componentes APUs'!$S$1:$V$10,4,0)</f>
        <v>250000</v>
      </c>
      <c r="G4682" s="51">
        <f>ROUNDUP(F4682*((E4682/21)/E4657),0)</f>
        <v>0</v>
      </c>
    </row>
    <row r="4683" spans="1:9" x14ac:dyDescent="0.25">
      <c r="A4683" s="50" t="s">
        <v>328</v>
      </c>
      <c r="B4683" s="220" t="str">
        <f>VLOOKUP(A4683,'Componentes APUs'!$S$1:$V$10,2,0)</f>
        <v>Herramienta Menor</v>
      </c>
      <c r="C4683" s="220"/>
      <c r="D4683" s="50" t="s">
        <v>18</v>
      </c>
      <c r="E4683" s="50">
        <v>3</v>
      </c>
      <c r="F4683" s="51">
        <f>VLOOKUP(A4683,'Componentes APUs'!$S$1:$V$10,4,0)</f>
        <v>75758</v>
      </c>
      <c r="G4683" s="51">
        <f>ROUNDUP(F4683*((E4683/21)/E4657),0)</f>
        <v>5412</v>
      </c>
    </row>
    <row r="4684" spans="1:9" x14ac:dyDescent="0.25">
      <c r="A4684" s="219" t="s">
        <v>69</v>
      </c>
      <c r="B4684" s="219"/>
      <c r="C4684" s="219"/>
      <c r="D4684" s="219"/>
      <c r="E4684" s="219"/>
      <c r="F4684" s="219"/>
      <c r="G4684" s="52">
        <f>SUM(G4678:G4683)</f>
        <v>5412</v>
      </c>
    </row>
    <row r="4685" spans="1:9" x14ac:dyDescent="0.25">
      <c r="A4685" s="56"/>
      <c r="B4685" s="57"/>
      <c r="C4685" s="57"/>
      <c r="D4685" s="57"/>
      <c r="E4685" s="57"/>
      <c r="F4685" s="57"/>
      <c r="G4685" s="58"/>
    </row>
    <row r="4686" spans="1:9" x14ac:dyDescent="0.25">
      <c r="A4686" s="219" t="s">
        <v>70</v>
      </c>
      <c r="B4686" s="219"/>
      <c r="C4686" s="219"/>
      <c r="D4686" s="219"/>
      <c r="E4686" s="219"/>
      <c r="F4686" s="219"/>
      <c r="G4686" s="219"/>
    </row>
    <row r="4687" spans="1:9" x14ac:dyDescent="0.25">
      <c r="A4687" s="49" t="s">
        <v>35</v>
      </c>
      <c r="B4687" s="219" t="s">
        <v>36</v>
      </c>
      <c r="C4687" s="219"/>
      <c r="D4687" s="49" t="s">
        <v>37</v>
      </c>
      <c r="E4687" s="49" t="s">
        <v>38</v>
      </c>
      <c r="F4687" s="49" t="s">
        <v>39</v>
      </c>
      <c r="G4687" s="49" t="s">
        <v>40</v>
      </c>
    </row>
    <row r="4688" spans="1:9" x14ac:dyDescent="0.25">
      <c r="A4688" s="50" t="s">
        <v>71</v>
      </c>
      <c r="B4688" s="71" t="str">
        <f>VLOOKUP(A4688,'Componentes APUs'!$A$1:$D$14,2,0)</f>
        <v>Camisa indigo sin partes metalicas</v>
      </c>
      <c r="C4688" s="71"/>
      <c r="D4688" s="50" t="str">
        <f>VLOOKUP(A4688,'Componentes APUs'!$A$1:$D$14,3,0)</f>
        <v>U</v>
      </c>
      <c r="E4688" s="50">
        <f>SUM(C4668:C4673)</f>
        <v>1.5</v>
      </c>
      <c r="F4688" s="51">
        <f>VLOOKUP(A4688,'Componentes APUs'!$A$1:$D$14,4,0)</f>
        <v>8585.8585858585866</v>
      </c>
      <c r="G4688" s="51">
        <f>ROUNDUP(F4688*(E4688/21)/E4657,0)</f>
        <v>307</v>
      </c>
      <c r="I4688" s="91"/>
    </row>
    <row r="4689" spans="1:7" x14ac:dyDescent="0.25">
      <c r="A4689" s="69" t="s">
        <v>73</v>
      </c>
      <c r="B4689" s="72" t="str">
        <f>VLOOKUP(A4689,'Componentes APUs'!$A$1:$D$14,2,0)</f>
        <v>Bota de seguridad dielectrica</v>
      </c>
      <c r="C4689" s="73"/>
      <c r="D4689" s="70" t="str">
        <f>VLOOKUP(A4689,'Componentes APUs'!$A$1:$D$14,3,0)</f>
        <v>Par</v>
      </c>
      <c r="E4689" s="50">
        <f>SUM(C4668:C4673)</f>
        <v>1.5</v>
      </c>
      <c r="F4689" s="51">
        <f>VLOOKUP(A4689,'Componentes APUs'!$A$1:$D$14,4,0)</f>
        <v>7500</v>
      </c>
      <c r="G4689" s="51">
        <f>ROUNDUP(F4689*(E4689/21)/E4657,0)</f>
        <v>268</v>
      </c>
    </row>
    <row r="4690" spans="1:7" x14ac:dyDescent="0.25">
      <c r="A4690" s="50" t="s">
        <v>76</v>
      </c>
      <c r="B4690" s="72" t="str">
        <f>VLOOKUP(A4690,'Componentes APUs'!$A$1:$D$14,2,0)</f>
        <v>Casco dielectrico Tipo 1 Clase E con barbuquejo</v>
      </c>
      <c r="C4690" s="73"/>
      <c r="D4690" s="50" t="str">
        <f>VLOOKUP(A4690,'Componentes APUs'!$A$1:$D$14,3,0)</f>
        <v>U</v>
      </c>
      <c r="E4690" s="50">
        <f>C4668+C4669+C4671+C4672+C4673+IF(A4670&lt;&gt;"MO-3",C4670,0)</f>
        <v>1.5</v>
      </c>
      <c r="F4690" s="51">
        <f>VLOOKUP(A4690,'Componentes APUs'!$A$1:$D$14,4,0)</f>
        <v>10101.010101010101</v>
      </c>
      <c r="G4690" s="51">
        <f>ROUNDUP(F4690*(E4690/21)/E4657,0)</f>
        <v>361</v>
      </c>
    </row>
    <row r="4691" spans="1:7" x14ac:dyDescent="0.25">
      <c r="A4691" s="69" t="s">
        <v>77</v>
      </c>
      <c r="B4691" s="72" t="str">
        <f>VLOOKUP(A4691,'Componentes APUs'!$A$1:$D$14,2,0)</f>
        <v>Correa plastica y antiflama</v>
      </c>
      <c r="C4691" s="73"/>
      <c r="D4691" s="50" t="str">
        <f>VLOOKUP(A4691,'Componentes APUs'!$A$1:$D$14,3,0)</f>
        <v>U</v>
      </c>
      <c r="E4691" s="50">
        <f>SUM(C4668:C4673)</f>
        <v>1.5</v>
      </c>
      <c r="F4691" s="51">
        <f>VLOOKUP(A4691,'Componentes APUs'!$A$1:$D$14,4,0)</f>
        <v>3787.878787878788</v>
      </c>
      <c r="G4691" s="51">
        <f>ROUNDUP(F4691*(E4691/21)/E4657,0)</f>
        <v>136</v>
      </c>
    </row>
    <row r="4692" spans="1:7" x14ac:dyDescent="0.25">
      <c r="A4692" s="50" t="s">
        <v>79</v>
      </c>
      <c r="B4692" s="72" t="str">
        <f>VLOOKUP(A4692,'Componentes APUs'!$A$1:$D$14,2,0)</f>
        <v>Gafas protectoras filtro UV</v>
      </c>
      <c r="C4692" s="73"/>
      <c r="D4692" s="50" t="str">
        <f>VLOOKUP(A4692,'Componentes APUs'!$A$1:$D$14,3,0)</f>
        <v>U</v>
      </c>
      <c r="E4692" s="50">
        <f>SUM(C4668:C4673)</f>
        <v>1.5</v>
      </c>
      <c r="F4692" s="51">
        <f>VLOOKUP(A4692,'Componentes APUs'!$A$1:$D$14,4,0)</f>
        <v>2777.7777777777778</v>
      </c>
      <c r="G4692" s="51">
        <f>ROUNDUP(F4692*(E4692/21)/E4657,0)</f>
        <v>100</v>
      </c>
    </row>
    <row r="4693" spans="1:7" x14ac:dyDescent="0.25">
      <c r="A4693" s="69" t="s">
        <v>402</v>
      </c>
      <c r="B4693" s="72" t="str">
        <f>VLOOKUP(A4693,'Componentes APUs'!$A$1:$D$14,2,0)</f>
        <v>Bota de seguridad PVC dielectrica</v>
      </c>
      <c r="C4693" s="73"/>
      <c r="D4693" s="50" t="str">
        <f>VLOOKUP(A4693,'Componentes APUs'!$A$1:$D$14,3,0)</f>
        <v>Par</v>
      </c>
      <c r="E4693" s="50">
        <f>SUM(C4668:C4673)</f>
        <v>1.5</v>
      </c>
      <c r="F4693" s="51">
        <f>VLOOKUP(A4693,'Componentes APUs'!$A$1:$D$14,4,0)</f>
        <v>2916.6666666666665</v>
      </c>
      <c r="G4693" s="51">
        <f>ROUNDUP(F4693*(E4693/21)/E4657,0)</f>
        <v>105</v>
      </c>
    </row>
    <row r="4694" spans="1:7" x14ac:dyDescent="0.25">
      <c r="A4694" s="50" t="s">
        <v>403</v>
      </c>
      <c r="B4694" s="72" t="str">
        <f>VLOOKUP(A4694,'Componentes APUs'!$A$1:$D$14,2,0)</f>
        <v>Capuchon</v>
      </c>
      <c r="C4694" s="73"/>
      <c r="D4694" s="50" t="str">
        <f>VLOOKUP(A4694,'Componentes APUs'!$A$1:$D$14,3,0)</f>
        <v>U</v>
      </c>
      <c r="E4694" s="50">
        <f>SUM(C4668:C4673)</f>
        <v>1.5</v>
      </c>
      <c r="F4694" s="51">
        <f>VLOOKUP(A4694,'Componentes APUs'!$A$1:$D$14,4,0)</f>
        <v>2525.2525252525252</v>
      </c>
      <c r="G4694" s="51">
        <f>ROUNDUP(F4694*(E4694/21)/E4657,0)</f>
        <v>91</v>
      </c>
    </row>
    <row r="4695" spans="1:7" x14ac:dyDescent="0.25">
      <c r="A4695" s="69" t="s">
        <v>81</v>
      </c>
      <c r="B4695" s="72" t="str">
        <f>VLOOKUP(A4695,'Componentes APUs'!$A$1:$D$14,2,0)</f>
        <v>Guantes Protectores  - ingeniero reforzados</v>
      </c>
      <c r="C4695" s="73"/>
      <c r="D4695" s="50" t="str">
        <f>VLOOKUP(A4695,'Componentes APUs'!$A$1:$D$14,3,0)</f>
        <v>Par</v>
      </c>
      <c r="E4695" s="50">
        <f>C4670+C4671+C4673</f>
        <v>1.25</v>
      </c>
      <c r="F4695" s="51">
        <f>VLOOKUP(A4695,'Componentes APUs'!$A$1:$D$14,4,0)</f>
        <v>2525.2525252525252</v>
      </c>
      <c r="G4695" s="51">
        <f>ROUNDUP(F4695*(E4695/21)/E4657,0)</f>
        <v>76</v>
      </c>
    </row>
    <row r="4696" spans="1:7" x14ac:dyDescent="0.25">
      <c r="A4696" s="50" t="s">
        <v>83</v>
      </c>
      <c r="B4696" s="72" t="str">
        <f>VLOOKUP(A4696,'Componentes APUs'!$A$1:$D$14,2,0)</f>
        <v>Impermeable (pantalon camisa)</v>
      </c>
      <c r="C4696" s="73"/>
      <c r="D4696" s="50" t="str">
        <f>VLOOKUP(A4696,'Componentes APUs'!$A$1:$D$14,3,0)</f>
        <v>U</v>
      </c>
      <c r="E4696" s="50">
        <f>SUM(C4668:C4673)</f>
        <v>1.5</v>
      </c>
      <c r="F4696" s="51">
        <f>VLOOKUP(A4696,'Componentes APUs'!$A$1:$D$14,4,0)</f>
        <v>3750</v>
      </c>
      <c r="G4696" s="51">
        <f>ROUNDUP(F4696*(E4696/21)/E4657,0)</f>
        <v>134</v>
      </c>
    </row>
    <row r="4697" spans="1:7" x14ac:dyDescent="0.25">
      <c r="A4697" s="69" t="s">
        <v>85</v>
      </c>
      <c r="B4697" s="72" t="str">
        <f>VLOOKUP(A4697,'Componentes APUs'!$A$1:$D$14,2,0)</f>
        <v>Jean Dielectrico</v>
      </c>
      <c r="C4697" s="73"/>
      <c r="D4697" s="50" t="str">
        <f>VLOOKUP(A4697,'Componentes APUs'!$A$1:$D$14,3,0)</f>
        <v>U</v>
      </c>
      <c r="E4697" s="50">
        <f>SUM(C4668:C4673)</f>
        <v>1.5</v>
      </c>
      <c r="F4697" s="51">
        <f>VLOOKUP(A4697,'Componentes APUs'!$A$1:$D$14,4,0)</f>
        <v>7575.757575757576</v>
      </c>
      <c r="G4697" s="51">
        <f>ROUNDUP(F4697*(E4697/21)/E4657,0)</f>
        <v>271</v>
      </c>
    </row>
    <row r="4698" spans="1:7" x14ac:dyDescent="0.25">
      <c r="A4698" s="50" t="s">
        <v>87</v>
      </c>
      <c r="B4698" s="72" t="str">
        <f>VLOOKUP(A4698,'Componentes APUs'!$A$1:$D$14,2,0)</f>
        <v>Casco dielectrico Tipo 2 Clase E con barboquejo</v>
      </c>
      <c r="C4698" s="73"/>
      <c r="D4698" s="50" t="str">
        <f>VLOOKUP(A4698,'Componentes APUs'!$A$1:$D$14,3,0)</f>
        <v>U</v>
      </c>
      <c r="E4698" s="53">
        <f>IF(A4670="MO-3",C4670,0)</f>
        <v>0</v>
      </c>
      <c r="F4698" s="51">
        <f>VLOOKUP(A4698,'Componentes APUs'!$A$1:$D$14,4,0)</f>
        <v>7500</v>
      </c>
      <c r="G4698" s="51">
        <f>ROUNDUP(F4698*(E4698/21)/E4657,0)</f>
        <v>0</v>
      </c>
    </row>
    <row r="4699" spans="1:7" x14ac:dyDescent="0.25">
      <c r="A4699" s="69" t="s">
        <v>89</v>
      </c>
      <c r="B4699" s="72" t="str">
        <f>VLOOKUP(A4699,'Componentes APUs'!$A$1:$D$14,2,0)</f>
        <v>Kit de rescate para trabajo en alturas</v>
      </c>
      <c r="C4699" s="73"/>
      <c r="D4699" s="50" t="str">
        <f>VLOOKUP(A4699,'Componentes APUs'!$A$1:$D$14,3,0)</f>
        <v>U</v>
      </c>
      <c r="E4699" s="50">
        <f>IF(AND(A4670="MO-3",C4670=2),1,0)</f>
        <v>0</v>
      </c>
      <c r="F4699" s="51">
        <f>VLOOKUP(A4699,'Componentes APUs'!$A$1:$D$14,4,0)</f>
        <v>37500</v>
      </c>
      <c r="G4699" s="51">
        <f>ROUNDUP(F4699*(E4699/21)/E4657,0)</f>
        <v>0</v>
      </c>
    </row>
    <row r="4700" spans="1:7" x14ac:dyDescent="0.25">
      <c r="A4700" s="50" t="s">
        <v>91</v>
      </c>
      <c r="B4700" s="72" t="str">
        <f>VLOOKUP(A4700,'Componentes APUs'!$A$1:$D$14,2,0)</f>
        <v>Equipo completo para trabajo en alturas con pretales (Arnes dielectrico, 1 mosqueton de seguridad, tie off dielectrico, eslinga de posicionamiento, juego de pretales)</v>
      </c>
      <c r="C4700" s="73"/>
      <c r="D4700" s="50" t="str">
        <f>VLOOKUP(A4700,'Componentes APUs'!$A$1:$D$14,3,0)</f>
        <v>U</v>
      </c>
      <c r="E4700" s="50">
        <f>IF(A4670="MO-3",C4670,0)</f>
        <v>0</v>
      </c>
      <c r="F4700" s="51">
        <f>VLOOKUP(A4700,'Componentes APUs'!$A$1:$D$14,4,0)</f>
        <v>26041.666666666668</v>
      </c>
      <c r="G4700" s="51">
        <f>ROUNDUP(F4700*(E4700/21)/E4657,0)</f>
        <v>0</v>
      </c>
    </row>
    <row r="4701" spans="1:7" x14ac:dyDescent="0.25">
      <c r="A4701" s="219" t="s">
        <v>95</v>
      </c>
      <c r="B4701" s="219"/>
      <c r="C4701" s="219"/>
      <c r="D4701" s="219"/>
      <c r="E4701" s="219"/>
      <c r="F4701" s="219"/>
      <c r="G4701" s="52">
        <f>SUM(G4688:G4700)</f>
        <v>1849</v>
      </c>
    </row>
    <row r="4702" spans="1:7" x14ac:dyDescent="0.25">
      <c r="A4702" s="56"/>
      <c r="B4702" s="57"/>
      <c r="C4702" s="57"/>
      <c r="D4702" s="57"/>
      <c r="E4702" s="57"/>
      <c r="F4702" s="57"/>
      <c r="G4702" s="58"/>
    </row>
    <row r="4703" spans="1:7" x14ac:dyDescent="0.25">
      <c r="A4703" s="219" t="s">
        <v>96</v>
      </c>
      <c r="B4703" s="219"/>
      <c r="C4703" s="219"/>
      <c r="D4703" s="219"/>
      <c r="E4703" s="219"/>
      <c r="F4703" s="219"/>
      <c r="G4703" s="219"/>
    </row>
    <row r="4704" spans="1:7" x14ac:dyDescent="0.25">
      <c r="A4704" s="49" t="s">
        <v>35</v>
      </c>
      <c r="B4704" s="225" t="s">
        <v>36</v>
      </c>
      <c r="C4704" s="225"/>
      <c r="D4704" s="49" t="s">
        <v>37</v>
      </c>
      <c r="E4704" s="49" t="s">
        <v>38</v>
      </c>
      <c r="F4704" s="49" t="s">
        <v>39</v>
      </c>
      <c r="G4704" s="49" t="s">
        <v>40</v>
      </c>
    </row>
    <row r="4705" spans="1:7" x14ac:dyDescent="0.25">
      <c r="A4705" s="69" t="s">
        <v>97</v>
      </c>
      <c r="B4705" s="72" t="str">
        <f>VLOOKUP(A4705,'Componentes APUs'!$N$1:$Q$30,2,0)</f>
        <v>Camioneta</v>
      </c>
      <c r="C4705" s="73"/>
      <c r="D4705" s="70" t="str">
        <f>VLOOKUP(A4705,'Componentes APUs'!$N$1:$Q$30,3,0)</f>
        <v>U</v>
      </c>
      <c r="E4705" s="50">
        <v>0.5</v>
      </c>
      <c r="F4705" s="51">
        <f>VLOOKUP(A4705,'Componentes APUs'!$N$1:$Q$30,4,0)</f>
        <v>5500000</v>
      </c>
      <c r="G4705" s="51">
        <f>IFERROR(ROUNDUP(F4705*(E4705/21)/E4657,0),"-")</f>
        <v>65477</v>
      </c>
    </row>
    <row r="4706" spans="1:7" x14ac:dyDescent="0.25">
      <c r="A4706" s="50" t="s">
        <v>321</v>
      </c>
      <c r="B4706" s="72" t="str">
        <f>VLOOKUP(A4706,'Componentes APUs'!$N$1:$Q$30,2,0)</f>
        <v>Grúa Hidráulica</v>
      </c>
      <c r="C4706" s="73"/>
      <c r="D4706" s="70" t="str">
        <f>VLOOKUP(A4706,'Componentes APUs'!$N$1:$Q$30,3,0)</f>
        <v>U</v>
      </c>
      <c r="E4706" s="50">
        <v>0</v>
      </c>
      <c r="F4706" s="51">
        <f>VLOOKUP(A4706,'Componentes APUs'!$N$1:$Q$30,4,0)</f>
        <v>21000000</v>
      </c>
      <c r="G4706" s="51">
        <f>IFERROR(ROUNDUP(F4706*(E4706/21)/E4657,0),"-")</f>
        <v>0</v>
      </c>
    </row>
    <row r="4707" spans="1:7" x14ac:dyDescent="0.25">
      <c r="A4707" s="69" t="s">
        <v>1379</v>
      </c>
      <c r="B4707" s="72" t="str">
        <f>VLOOKUP(A4707,'Componentes APUs'!$N$1:$Q$30,2,0)</f>
        <v>Dumper de descarga Frontal 2T</v>
      </c>
      <c r="C4707" s="73"/>
      <c r="D4707" s="70" t="str">
        <f>VLOOKUP(A4707,'Componentes APUs'!$N$1:$Q$30,3,0)</f>
        <v>U</v>
      </c>
      <c r="E4707" s="50">
        <v>0</v>
      </c>
      <c r="F4707" s="51">
        <f>VLOOKUP(A4707,'Componentes APUs'!$N$1:$Q$30,4,0)</f>
        <v>4438716.24</v>
      </c>
      <c r="G4707" s="51">
        <f>IFERROR(ROUNDUP(F4707*(E4707/21)/E4657,0),"-")</f>
        <v>0</v>
      </c>
    </row>
    <row r="4708" spans="1:7" x14ac:dyDescent="0.25">
      <c r="A4708" s="50" t="s">
        <v>323</v>
      </c>
      <c r="B4708" s="72" t="str">
        <f>VLOOKUP(A4708,'Componentes APUs'!$N$1:$Q$30,2,0)</f>
        <v>Volqueta</v>
      </c>
      <c r="C4708" s="73"/>
      <c r="D4708" s="70" t="str">
        <f>VLOOKUP(A4708,'Componentes APUs'!$N$1:$Q$30,3,0)</f>
        <v>U</v>
      </c>
      <c r="E4708" s="50">
        <v>0</v>
      </c>
      <c r="F4708" s="51">
        <f>VLOOKUP(A4708,'Componentes APUs'!$N$1:$Q$30,4,0)</f>
        <v>14828184</v>
      </c>
      <c r="G4708" s="51">
        <f>IFERROR(ROUNDUP(F4708*(E4708/21)/E4657,0),"-")</f>
        <v>0</v>
      </c>
    </row>
    <row r="4709" spans="1:7" x14ac:dyDescent="0.25">
      <c r="A4709" s="69" t="s">
        <v>324</v>
      </c>
      <c r="B4709" s="72" t="str">
        <f>VLOOKUP(A4709,'Componentes APUs'!$N$1:$Q$30,2,0)</f>
        <v>Retroexcavadora</v>
      </c>
      <c r="C4709" s="73"/>
      <c r="D4709" s="70" t="str">
        <f>VLOOKUP(A4709,'Componentes APUs'!$N$1:$Q$30,3,0)</f>
        <v>U</v>
      </c>
      <c r="E4709" s="50">
        <v>0</v>
      </c>
      <c r="F4709" s="51">
        <f>VLOOKUP(A4709,'Componentes APUs'!$N$1:$Q$30,4,0)</f>
        <v>46030656</v>
      </c>
      <c r="G4709" s="51">
        <f>IFERROR(ROUNDUP(F4709*(E4709/21)/E4657,0),"-")</f>
        <v>0</v>
      </c>
    </row>
    <row r="4710" spans="1:7" x14ac:dyDescent="0.25">
      <c r="A4710" s="219" t="s">
        <v>99</v>
      </c>
      <c r="B4710" s="219"/>
      <c r="C4710" s="219"/>
      <c r="D4710" s="219"/>
      <c r="E4710" s="219"/>
      <c r="F4710" s="219"/>
      <c r="G4710" s="52">
        <f>SUM(G4705:G4709)</f>
        <v>65477</v>
      </c>
    </row>
    <row r="4711" spans="1:7" x14ac:dyDescent="0.25">
      <c r="A4711" s="56"/>
      <c r="B4711" s="57"/>
      <c r="C4711" s="57"/>
      <c r="D4711" s="57"/>
      <c r="E4711" s="57"/>
      <c r="F4711" s="57"/>
      <c r="G4711" s="58"/>
    </row>
    <row r="4712" spans="1:7" x14ac:dyDescent="0.25">
      <c r="A4712" s="219" t="s">
        <v>1516</v>
      </c>
      <c r="B4712" s="219"/>
      <c r="C4712" s="219"/>
      <c r="D4712" s="219"/>
      <c r="E4712" s="219"/>
      <c r="F4712" s="219"/>
      <c r="G4712" s="52">
        <f>G4710+G4701+G4684+G4674+G4664</f>
        <v>399672</v>
      </c>
    </row>
    <row r="4713" spans="1:7" x14ac:dyDescent="0.25">
      <c r="A4713" s="59"/>
      <c r="B4713" s="60"/>
      <c r="C4713" s="60"/>
      <c r="D4713" s="60"/>
      <c r="E4713" s="57"/>
      <c r="F4713" s="57"/>
      <c r="G4713" s="58"/>
    </row>
    <row r="4714" spans="1:7" x14ac:dyDescent="0.25">
      <c r="A4714" s="64"/>
      <c r="D4714" s="55"/>
      <c r="E4714" s="49" t="s">
        <v>25</v>
      </c>
      <c r="F4714" s="54">
        <v>0.15</v>
      </c>
      <c r="G4714" s="51">
        <f>G4712*F4714</f>
        <v>59950.799999999996</v>
      </c>
    </row>
    <row r="4715" spans="1:7" x14ac:dyDescent="0.25">
      <c r="A4715" s="64"/>
      <c r="D4715" s="55"/>
      <c r="E4715" s="49" t="s">
        <v>26</v>
      </c>
      <c r="F4715" s="54">
        <v>0.05</v>
      </c>
      <c r="G4715" s="51">
        <f>G4712*F4715</f>
        <v>19983.600000000002</v>
      </c>
    </row>
    <row r="4716" spans="1:7" x14ac:dyDescent="0.25">
      <c r="A4716" s="61"/>
      <c r="B4716" s="65"/>
      <c r="C4716" s="65"/>
      <c r="D4716" s="62"/>
      <c r="E4716" s="49" t="s">
        <v>27</v>
      </c>
      <c r="F4716" s="54">
        <v>0.05</v>
      </c>
      <c r="G4716" s="51">
        <f>G4712*F4716</f>
        <v>19983.600000000002</v>
      </c>
    </row>
    <row r="4717" spans="1:7" x14ac:dyDescent="0.25">
      <c r="A4717" s="61"/>
      <c r="B4717" s="62"/>
      <c r="C4717" s="62"/>
      <c r="D4717" s="62"/>
      <c r="E4717" s="62"/>
      <c r="F4717" s="62"/>
      <c r="G4717" s="63"/>
    </row>
    <row r="4718" spans="1:7" x14ac:dyDescent="0.25">
      <c r="A4718" s="219" t="s">
        <v>1517</v>
      </c>
      <c r="B4718" s="219"/>
      <c r="C4718" s="219"/>
      <c r="D4718" s="219"/>
      <c r="E4718" s="219"/>
      <c r="F4718" s="219"/>
      <c r="G4718" s="52">
        <f>G4712+G4714+G4715+G4716</f>
        <v>499589.99999999994</v>
      </c>
    </row>
    <row r="4719" spans="1:7" x14ac:dyDescent="0.25">
      <c r="A4719" s="59"/>
      <c r="B4719" s="60"/>
      <c r="C4719" s="60"/>
      <c r="D4719" s="60"/>
      <c r="E4719" s="57"/>
      <c r="F4719" s="57"/>
      <c r="G4719" s="58"/>
    </row>
    <row r="4720" spans="1:7" x14ac:dyDescent="0.25">
      <c r="A4720" s="64"/>
      <c r="D4720" s="55"/>
      <c r="E4720" s="49" t="s">
        <v>102</v>
      </c>
      <c r="F4720" s="49" t="s">
        <v>103</v>
      </c>
      <c r="G4720" s="51">
        <f>G4716*19%</f>
        <v>3796.8840000000005</v>
      </c>
    </row>
    <row r="4721" spans="1:9" x14ac:dyDescent="0.25">
      <c r="A4721" s="61"/>
      <c r="B4721" s="62"/>
      <c r="C4721" s="62"/>
      <c r="D4721" s="62"/>
      <c r="E4721" s="57"/>
      <c r="F4721" s="57"/>
      <c r="G4721" s="58"/>
    </row>
    <row r="4722" spans="1:9" x14ac:dyDescent="0.25">
      <c r="A4722" s="219" t="s">
        <v>104</v>
      </c>
      <c r="B4722" s="219"/>
      <c r="C4722" s="219"/>
      <c r="D4722" s="219"/>
      <c r="E4722" s="219"/>
      <c r="F4722" s="219"/>
      <c r="G4722" s="52">
        <f>G4720+G4718</f>
        <v>503386.88399999996</v>
      </c>
    </row>
    <row r="4724" spans="1:9" x14ac:dyDescent="0.25">
      <c r="A4724" s="74" t="s">
        <v>29</v>
      </c>
      <c r="B4724" s="226" t="s">
        <v>30</v>
      </c>
      <c r="C4724" s="226"/>
      <c r="D4724" s="74" t="s">
        <v>31</v>
      </c>
      <c r="E4724" s="74" t="s">
        <v>32</v>
      </c>
      <c r="F4724" s="74" t="s">
        <v>189</v>
      </c>
      <c r="G4724" s="74" t="s">
        <v>33</v>
      </c>
      <c r="H4724" s="105"/>
    </row>
    <row r="4725" spans="1:9" x14ac:dyDescent="0.25">
      <c r="A4725" s="50" t="str">
        <f>Presupuesto!B96</f>
        <v>077_OC</v>
      </c>
      <c r="B4725" s="227" t="str">
        <f>Presupuesto!C96</f>
        <v>MANPOSTERIA EN LADRILLO PRENSADO LIVIANO</v>
      </c>
      <c r="C4725" s="228"/>
      <c r="D4725" s="50" t="s">
        <v>113</v>
      </c>
      <c r="E4725" s="107">
        <v>15</v>
      </c>
      <c r="F4725" s="50"/>
      <c r="G4725" s="51">
        <f>G4789</f>
        <v>196953.05300000004</v>
      </c>
      <c r="H4725" s="45"/>
    </row>
    <row r="4726" spans="1:9" x14ac:dyDescent="0.25">
      <c r="A4726" s="219" t="s">
        <v>34</v>
      </c>
      <c r="B4726" s="219"/>
      <c r="C4726" s="219"/>
      <c r="D4726" s="219"/>
      <c r="E4726" s="219"/>
      <c r="F4726" s="219"/>
      <c r="G4726" s="219"/>
    </row>
    <row r="4727" spans="1:9" x14ac:dyDescent="0.25">
      <c r="A4727" s="49" t="s">
        <v>35</v>
      </c>
      <c r="B4727" s="219" t="s">
        <v>36</v>
      </c>
      <c r="C4727" s="219"/>
      <c r="D4727" s="49" t="s">
        <v>37</v>
      </c>
      <c r="E4727" s="49" t="s">
        <v>38</v>
      </c>
      <c r="F4727" s="49" t="s">
        <v>39</v>
      </c>
      <c r="G4727" s="49" t="s">
        <v>40</v>
      </c>
    </row>
    <row r="4728" spans="1:9" ht="42" customHeight="1" x14ac:dyDescent="0.25">
      <c r="A4728" s="50" t="str">
        <f>Material!A313</f>
        <v>MA-312</v>
      </c>
      <c r="B4728" s="221" t="str">
        <f>IFERROR(VLOOKUP(A4728,Material!$A:$H,2,0),"-")</f>
        <v>MORTERO DE CEMENTO CEM II/B-P 32,5 N TIPO M-5, CONFECCIONADO EN OBRA CON 250 KG/M³ DE CEMENTO Y UNA PROPORCIÓN EN VOLUMEN 1/6.</v>
      </c>
      <c r="C4728" s="222"/>
      <c r="D4728" s="50" t="str">
        <f>IFERROR(VLOOKUP(A4728,Material!$A:$H,4,0),"-")</f>
        <v>M3</v>
      </c>
      <c r="E4728" s="107">
        <f>0.019*2</f>
        <v>3.7999999999999999E-2</v>
      </c>
      <c r="F4728" s="51">
        <f>IFERROR(VLOOKUP(A4728,Material!$A:$H,3,0),"-")</f>
        <v>392629.9</v>
      </c>
      <c r="G4728" s="51">
        <f>IFERROR(ROUNDUP(F4728*E4728,0),"-")</f>
        <v>14920</v>
      </c>
      <c r="H4728" s="106"/>
    </row>
    <row r="4729" spans="1:9" ht="15" customHeight="1" x14ac:dyDescent="0.25">
      <c r="A4729" s="50" t="str">
        <f>Material!A600</f>
        <v>MA-599</v>
      </c>
      <c r="B4729" s="146" t="str">
        <f>IFERROR(VLOOKUP(A4729,Material!$A:$H,2,0),"-")</f>
        <v>LADRILLO PRENSADO LIVIANO</v>
      </c>
      <c r="C4729" s="76"/>
      <c r="D4729" s="50" t="str">
        <f>IFERROR(VLOOKUP(A4729,Material!$A:$H,4,0),"-")</f>
        <v>UN</v>
      </c>
      <c r="E4729" s="107">
        <v>69</v>
      </c>
      <c r="F4729" s="51">
        <f>IFERROR(VLOOKUP(A4729,Material!$A:$H,3,0),"-")</f>
        <v>1560</v>
      </c>
      <c r="G4729" s="51">
        <f>IFERROR(ROUNDUP(F4729*E4729,0),"-")</f>
        <v>107640</v>
      </c>
      <c r="H4729" s="106"/>
    </row>
    <row r="4730" spans="1:9" x14ac:dyDescent="0.25">
      <c r="A4730" s="50"/>
      <c r="B4730" s="72" t="str">
        <f>IFERROR(VLOOKUP(A4730,Material!$A:$H,2,0),"-")</f>
        <v>-</v>
      </c>
      <c r="C4730" s="76"/>
      <c r="D4730" s="50" t="str">
        <f>IFERROR(VLOOKUP(A4730,Material!$A:$H,4,0),"-")</f>
        <v>-</v>
      </c>
      <c r="E4730" s="107"/>
      <c r="F4730" s="51" t="str">
        <f>IFERROR(VLOOKUP(A4730,Material!$A:$H,3,0),"-")</f>
        <v>-</v>
      </c>
      <c r="G4730" s="51" t="str">
        <f>IFERROR(ROUNDUP(F4730*E4730,0),"-")</f>
        <v>-</v>
      </c>
      <c r="H4730" s="106"/>
    </row>
    <row r="4731" spans="1:9" x14ac:dyDescent="0.25">
      <c r="A4731" s="219" t="s">
        <v>41</v>
      </c>
      <c r="B4731" s="219"/>
      <c r="C4731" s="219"/>
      <c r="D4731" s="219"/>
      <c r="E4731" s="219"/>
      <c r="F4731" s="219"/>
      <c r="G4731" s="52">
        <f>SUM(G4728:G4730)</f>
        <v>122560</v>
      </c>
      <c r="I4731" s="104"/>
    </row>
    <row r="4732" spans="1:9" x14ac:dyDescent="0.25">
      <c r="A4732" s="56"/>
      <c r="B4732" s="57"/>
      <c r="C4732" s="57"/>
      <c r="D4732" s="57"/>
      <c r="E4732" s="57"/>
      <c r="F4732" s="57"/>
      <c r="G4732" s="58"/>
    </row>
    <row r="4733" spans="1:9" x14ac:dyDescent="0.25">
      <c r="A4733" s="219" t="s">
        <v>42</v>
      </c>
      <c r="B4733" s="219"/>
      <c r="C4733" s="219"/>
      <c r="D4733" s="219"/>
      <c r="E4733" s="219"/>
      <c r="F4733" s="219"/>
      <c r="G4733" s="219"/>
    </row>
    <row r="4734" spans="1:9" x14ac:dyDescent="0.25">
      <c r="A4734" s="49" t="s">
        <v>35</v>
      </c>
      <c r="B4734" s="49" t="s">
        <v>36</v>
      </c>
      <c r="C4734" s="49" t="s">
        <v>38</v>
      </c>
      <c r="D4734" s="49" t="s">
        <v>43</v>
      </c>
      <c r="E4734" s="49" t="s">
        <v>44</v>
      </c>
      <c r="F4734" s="49" t="s">
        <v>45</v>
      </c>
      <c r="G4734" s="49" t="s">
        <v>40</v>
      </c>
    </row>
    <row r="4735" spans="1:9" x14ac:dyDescent="0.25">
      <c r="A4735" s="50" t="s">
        <v>319</v>
      </c>
      <c r="B4735" s="68" t="str">
        <f>VLOOKUP(A4735,'Componentes APUs'!$H$1:$L$25,2,0)</f>
        <v>Ingeniero Residente de Obra</v>
      </c>
      <c r="C4735" s="93">
        <v>0</v>
      </c>
      <c r="D4735" s="50">
        <f>VLOOKUP(A4735,'Componentes APUs'!$H$1:$L$25,3,0)</f>
        <v>4</v>
      </c>
      <c r="E4735" s="51">
        <f>VLOOKUP(A4735,'Componentes APUs'!$H$1:$L$25,4,0)</f>
        <v>271142.85714285716</v>
      </c>
      <c r="F4735" s="51">
        <f>VLOOKUP(A4735,'Componentes APUs'!$H$1:$L$25,5,0)</f>
        <v>162685.71428571429</v>
      </c>
      <c r="G4735" s="51">
        <f>ROUNDUP((E4735+F4735)*C4735/E4725,0)</f>
        <v>0</v>
      </c>
      <c r="H4735" s="66"/>
    </row>
    <row r="4736" spans="1:9" x14ac:dyDescent="0.25">
      <c r="A4736" s="50" t="s">
        <v>320</v>
      </c>
      <c r="B4736" s="68" t="str">
        <f>VLOOKUP(A4736,'Componentes APUs'!$H$1:$L$25,2,0)</f>
        <v>Tecnico Supervisor</v>
      </c>
      <c r="C4736" s="93">
        <v>0</v>
      </c>
      <c r="D4736" s="50">
        <f>VLOOKUP(A4736,'Componentes APUs'!$H$1:$L$25,3,0)</f>
        <v>2.2999999999999998</v>
      </c>
      <c r="E4736" s="51">
        <f>VLOOKUP(A4736,'Componentes APUs'!$H$1:$L$25,4,0)</f>
        <v>155907.14285714284</v>
      </c>
      <c r="F4736" s="51">
        <f>VLOOKUP(A4736,'Componentes APUs'!$H$1:$L$25,5,0)</f>
        <v>93544.285714285696</v>
      </c>
      <c r="G4736" s="51">
        <f>ROUNDUP((E4736+F4736)*C4736/E4725,0)</f>
        <v>0</v>
      </c>
    </row>
    <row r="4737" spans="1:9" x14ac:dyDescent="0.25">
      <c r="A4737" s="50" t="s">
        <v>54</v>
      </c>
      <c r="B4737" s="68" t="str">
        <f>VLOOKUP(A4737,'Componentes APUs'!$H$1:$L$25,2,0)</f>
        <v>Maestro de obra civil</v>
      </c>
      <c r="C4737" s="93">
        <v>0</v>
      </c>
      <c r="D4737" s="50">
        <f>VLOOKUP(A4737,'Componentes APUs'!$H$1:$L$25,3,0)</f>
        <v>2.5</v>
      </c>
      <c r="E4737" s="51">
        <f>VLOOKUP(A4737,'Componentes APUs'!$H$1:$L$25,4,0)</f>
        <v>169464.28571428571</v>
      </c>
      <c r="F4737" s="51">
        <f>VLOOKUP(A4737,'Componentes APUs'!$H$1:$L$25,5,0)</f>
        <v>101678.57142857142</v>
      </c>
      <c r="G4737" s="51">
        <f>ROUNDUP((E4737+F4737)*C4737/E4725,0)</f>
        <v>0</v>
      </c>
    </row>
    <row r="4738" spans="1:9" x14ac:dyDescent="0.25">
      <c r="A4738" s="50" t="s">
        <v>1110</v>
      </c>
      <c r="B4738" s="68" t="str">
        <f>VLOOKUP(A4738,'Componentes APUs'!$H$1:$L$25,2,0)</f>
        <v>Oficial de Obra Civil</v>
      </c>
      <c r="C4738" s="93">
        <v>0.25</v>
      </c>
      <c r="D4738" s="50">
        <f>VLOOKUP(A4738,'Componentes APUs'!$H$1:$L$25,3,0)</f>
        <v>1.5</v>
      </c>
      <c r="E4738" s="51">
        <f>VLOOKUP(A4738,'Componentes APUs'!$H$1:$L$25,4,0)</f>
        <v>115964.28571428571</v>
      </c>
      <c r="F4738" s="51">
        <f>VLOOKUP(A4738,'Componentes APUs'!$H$1:$L$25,5,0)</f>
        <v>69578.57142857142</v>
      </c>
      <c r="G4738" s="51">
        <f>ROUNDUP((E4738+F4738)*C4738/E4725,0)</f>
        <v>3093</v>
      </c>
    </row>
    <row r="4739" spans="1:9" x14ac:dyDescent="0.25">
      <c r="A4739" s="50" t="s">
        <v>50</v>
      </c>
      <c r="B4739" s="68" t="str">
        <f>VLOOKUP(A4739,'Componentes APUs'!$H$1:$L$25,2,0)</f>
        <v>Profesional en SST</v>
      </c>
      <c r="C4739" s="93">
        <v>0.25</v>
      </c>
      <c r="D4739" s="50">
        <f>VLOOKUP(A4739,'Componentes APUs'!$H$1:$L$25,3,0)</f>
        <v>2.5</v>
      </c>
      <c r="E4739" s="51">
        <f>VLOOKUP(A4739,'Componentes APUs'!$H$1:$L$25,4,0)</f>
        <v>169464.28571428571</v>
      </c>
      <c r="F4739" s="51">
        <f>VLOOKUP(A4739,'Componentes APUs'!$H$1:$L$25,5,0)</f>
        <v>101678.57142857142</v>
      </c>
      <c r="G4739" s="51">
        <f>ROUNDUP((E4739+F4739)*C4739/E4725,0)</f>
        <v>4520</v>
      </c>
    </row>
    <row r="4740" spans="1:9" x14ac:dyDescent="0.25">
      <c r="A4740" s="50" t="s">
        <v>1109</v>
      </c>
      <c r="B4740" s="68" t="str">
        <f>VLOOKUP(A4740,'Componentes APUs'!$H$1:$L$25,2,0)</f>
        <v>Ayudante de Obra Civil</v>
      </c>
      <c r="C4740" s="93">
        <v>1</v>
      </c>
      <c r="D4740" s="50">
        <f>VLOOKUP(A4740,'Componentes APUs'!$H$1:$L$25,3,0)</f>
        <v>1</v>
      </c>
      <c r="E4740" s="51">
        <f>VLOOKUP(A4740,'Componentes APUs'!$H$1:$L$25,4,0)</f>
        <v>77309.523809523816</v>
      </c>
      <c r="F4740" s="51">
        <f>VLOOKUP(A4740,'Componentes APUs'!$H$1:$L$25,5,0)</f>
        <v>46385.71428571429</v>
      </c>
      <c r="G4740" s="51">
        <f>ROUNDUP((E4740+F4740)*C4740/E4725,0)</f>
        <v>8247</v>
      </c>
    </row>
    <row r="4741" spans="1:9" x14ac:dyDescent="0.25">
      <c r="A4741" s="219" t="s">
        <v>56</v>
      </c>
      <c r="B4741" s="219"/>
      <c r="C4741" s="219"/>
      <c r="D4741" s="219"/>
      <c r="E4741" s="219"/>
      <c r="F4741" s="219"/>
      <c r="G4741" s="52">
        <f>SUM(G4735:G4740)</f>
        <v>15860</v>
      </c>
    </row>
    <row r="4742" spans="1:9" x14ac:dyDescent="0.25">
      <c r="A4742" s="56"/>
      <c r="B4742" s="57"/>
      <c r="C4742" s="57"/>
      <c r="D4742" s="57"/>
      <c r="E4742" s="57"/>
      <c r="F4742" s="57"/>
      <c r="G4742" s="58"/>
    </row>
    <row r="4743" spans="1:9" x14ac:dyDescent="0.25">
      <c r="A4743" s="219" t="s">
        <v>57</v>
      </c>
      <c r="B4743" s="219"/>
      <c r="C4743" s="219"/>
      <c r="D4743" s="219"/>
      <c r="E4743" s="219"/>
      <c r="F4743" s="219"/>
      <c r="G4743" s="219"/>
    </row>
    <row r="4744" spans="1:9" x14ac:dyDescent="0.25">
      <c r="A4744" s="49" t="s">
        <v>35</v>
      </c>
      <c r="B4744" s="219" t="s">
        <v>36</v>
      </c>
      <c r="C4744" s="219"/>
      <c r="D4744" s="49" t="s">
        <v>37</v>
      </c>
      <c r="E4744" s="49" t="s">
        <v>38</v>
      </c>
      <c r="F4744" s="49" t="s">
        <v>39</v>
      </c>
      <c r="G4744" s="49" t="s">
        <v>40</v>
      </c>
    </row>
    <row r="4745" spans="1:9" x14ac:dyDescent="0.25">
      <c r="A4745" s="50" t="s">
        <v>326</v>
      </c>
      <c r="B4745" s="220" t="str">
        <f>VLOOKUP(A4745,'Componentes APUs'!$S$1:$V$10,2,0)</f>
        <v>Juego Llaves</v>
      </c>
      <c r="C4745" s="220"/>
      <c r="D4745" s="50" t="s">
        <v>18</v>
      </c>
      <c r="E4745" s="50">
        <v>0</v>
      </c>
      <c r="F4745" s="51">
        <f>VLOOKUP(A4745,'Componentes APUs'!$S$1:$V$10,4,0)</f>
        <v>9167</v>
      </c>
      <c r="G4745" s="51">
        <f>ROUNDUP(F4745*((E4745/21)/E4725),0)</f>
        <v>0</v>
      </c>
      <c r="I4745" s="91"/>
    </row>
    <row r="4746" spans="1:9" x14ac:dyDescent="0.25">
      <c r="A4746" s="50" t="s">
        <v>58</v>
      </c>
      <c r="B4746" s="220" t="str">
        <f>VLOOKUP(A4746,'Componentes APUs'!$S$1:$V$10,2,0)</f>
        <v>Manila de servicio</v>
      </c>
      <c r="C4746" s="220"/>
      <c r="D4746" s="50" t="s">
        <v>18</v>
      </c>
      <c r="E4746" s="50">
        <v>0</v>
      </c>
      <c r="F4746" s="51">
        <f>VLOOKUP(A4746,'Componentes APUs'!$S$1:$V$10,4,0)</f>
        <v>2333</v>
      </c>
      <c r="G4746" s="51">
        <f>ROUNDUP(F4746*((E4746/21)/E4725),0)</f>
        <v>0</v>
      </c>
    </row>
    <row r="4747" spans="1:9" x14ac:dyDescent="0.25">
      <c r="A4747" s="50" t="s">
        <v>327</v>
      </c>
      <c r="B4747" s="220" t="str">
        <f>VLOOKUP(A4747,'Componentes APUs'!$S$1:$V$10,2,0)</f>
        <v>Tula portaherramientas</v>
      </c>
      <c r="C4747" s="220"/>
      <c r="D4747" s="50" t="s">
        <v>18</v>
      </c>
      <c r="E4747" s="50">
        <v>0</v>
      </c>
      <c r="F4747" s="51">
        <f>VLOOKUP(A4747,'Componentes APUs'!$S$1:$V$10,4,0)</f>
        <v>1250</v>
      </c>
      <c r="G4747" s="51">
        <f>ROUNDUP(F4747*((E4747/21)/E4725),0)</f>
        <v>0</v>
      </c>
    </row>
    <row r="4748" spans="1:9" x14ac:dyDescent="0.25">
      <c r="A4748" s="50" t="s">
        <v>60</v>
      </c>
      <c r="B4748" s="220" t="str">
        <f>VLOOKUP(A4748,'Componentes APUs'!$S$1:$V$10,2,0)</f>
        <v>Agarradoras</v>
      </c>
      <c r="C4748" s="220"/>
      <c r="D4748" s="50" t="s">
        <v>18</v>
      </c>
      <c r="E4748" s="50">
        <v>0</v>
      </c>
      <c r="F4748" s="51">
        <f>VLOOKUP(A4748,'Componentes APUs'!$S$1:$V$10,4,0)</f>
        <v>125000</v>
      </c>
      <c r="G4748" s="51">
        <f>ROUNDUP(F4748*((E4748/21)/E4725),0)</f>
        <v>0</v>
      </c>
    </row>
    <row r="4749" spans="1:9" x14ac:dyDescent="0.25">
      <c r="A4749" s="50" t="s">
        <v>62</v>
      </c>
      <c r="B4749" s="220" t="str">
        <f>VLOOKUP(A4749,'Componentes APUs'!$S$1:$V$10,2,0)</f>
        <v>Templadoras</v>
      </c>
      <c r="C4749" s="220"/>
      <c r="D4749" s="50" t="s">
        <v>18</v>
      </c>
      <c r="E4749" s="50">
        <v>0</v>
      </c>
      <c r="F4749" s="51">
        <f>VLOOKUP(A4749,'Componentes APUs'!$S$1:$V$10,4,0)</f>
        <v>250000</v>
      </c>
      <c r="G4749" s="51">
        <f>ROUNDUP(F4749*((E4749/21)/E4725),0)</f>
        <v>0</v>
      </c>
    </row>
    <row r="4750" spans="1:9" x14ac:dyDescent="0.25">
      <c r="A4750" s="50" t="s">
        <v>328</v>
      </c>
      <c r="B4750" s="220" t="str">
        <f>VLOOKUP(A4750,'Componentes APUs'!$S$1:$V$10,2,0)</f>
        <v>Herramienta Menor</v>
      </c>
      <c r="C4750" s="220"/>
      <c r="D4750" s="50" t="s">
        <v>18</v>
      </c>
      <c r="E4750" s="50">
        <v>1</v>
      </c>
      <c r="F4750" s="51">
        <f>VLOOKUP(A4750,'Componentes APUs'!$S$1:$V$10,4,0)</f>
        <v>75758</v>
      </c>
      <c r="G4750" s="51">
        <f>ROUNDUP(F4750*((E4750/21)/E4725),0)</f>
        <v>241</v>
      </c>
    </row>
    <row r="4751" spans="1:9" x14ac:dyDescent="0.25">
      <c r="A4751" s="219" t="s">
        <v>69</v>
      </c>
      <c r="B4751" s="219"/>
      <c r="C4751" s="219"/>
      <c r="D4751" s="219"/>
      <c r="E4751" s="219"/>
      <c r="F4751" s="219"/>
      <c r="G4751" s="52">
        <f>SUM(G4745:G4750)</f>
        <v>241</v>
      </c>
    </row>
    <row r="4752" spans="1:9" x14ac:dyDescent="0.25">
      <c r="A4752" s="56"/>
      <c r="B4752" s="57"/>
      <c r="C4752" s="57"/>
      <c r="D4752" s="57"/>
      <c r="E4752" s="57"/>
      <c r="F4752" s="57"/>
      <c r="G4752" s="58"/>
    </row>
    <row r="4753" spans="1:9" x14ac:dyDescent="0.25">
      <c r="A4753" s="219" t="s">
        <v>70</v>
      </c>
      <c r="B4753" s="219"/>
      <c r="C4753" s="219"/>
      <c r="D4753" s="219"/>
      <c r="E4753" s="219"/>
      <c r="F4753" s="219"/>
      <c r="G4753" s="219"/>
    </row>
    <row r="4754" spans="1:9" x14ac:dyDescent="0.25">
      <c r="A4754" s="49" t="s">
        <v>35</v>
      </c>
      <c r="B4754" s="219" t="s">
        <v>36</v>
      </c>
      <c r="C4754" s="219"/>
      <c r="D4754" s="49" t="s">
        <v>37</v>
      </c>
      <c r="E4754" s="49" t="s">
        <v>38</v>
      </c>
      <c r="F4754" s="49" t="s">
        <v>39</v>
      </c>
      <c r="G4754" s="49" t="s">
        <v>40</v>
      </c>
    </row>
    <row r="4755" spans="1:9" x14ac:dyDescent="0.25">
      <c r="A4755" s="50" t="s">
        <v>71</v>
      </c>
      <c r="B4755" s="71" t="str">
        <f>VLOOKUP(A4755,'Componentes APUs'!$A$1:$D$14,2,0)</f>
        <v>Camisa indigo sin partes metalicas</v>
      </c>
      <c r="C4755" s="71"/>
      <c r="D4755" s="50" t="str">
        <f>VLOOKUP(A4755,'Componentes APUs'!$A$1:$D$14,3,0)</f>
        <v>U</v>
      </c>
      <c r="E4755" s="50">
        <f>SUM(C4735:C4740)</f>
        <v>1.5</v>
      </c>
      <c r="F4755" s="51">
        <f>VLOOKUP(A4755,'Componentes APUs'!$A$1:$D$14,4,0)</f>
        <v>8585.8585858585866</v>
      </c>
      <c r="G4755" s="51">
        <f>ROUNDUP(F4755*(E4755/21)/E4725,0)</f>
        <v>41</v>
      </c>
      <c r="I4755" s="91"/>
    </row>
    <row r="4756" spans="1:9" x14ac:dyDescent="0.25">
      <c r="A4756" s="69" t="s">
        <v>73</v>
      </c>
      <c r="B4756" s="72" t="str">
        <f>VLOOKUP(A4756,'Componentes APUs'!$A$1:$D$14,2,0)</f>
        <v>Bota de seguridad dielectrica</v>
      </c>
      <c r="C4756" s="73"/>
      <c r="D4756" s="70" t="str">
        <f>VLOOKUP(A4756,'Componentes APUs'!$A$1:$D$14,3,0)</f>
        <v>Par</v>
      </c>
      <c r="E4756" s="50">
        <f>SUM(C4735:C4740)</f>
        <v>1.5</v>
      </c>
      <c r="F4756" s="51">
        <f>VLOOKUP(A4756,'Componentes APUs'!$A$1:$D$14,4,0)</f>
        <v>7500</v>
      </c>
      <c r="G4756" s="51">
        <f>ROUNDUP(F4756*(E4756/21)/E4725,0)</f>
        <v>36</v>
      </c>
    </row>
    <row r="4757" spans="1:9" x14ac:dyDescent="0.25">
      <c r="A4757" s="50" t="s">
        <v>76</v>
      </c>
      <c r="B4757" s="72" t="str">
        <f>VLOOKUP(A4757,'Componentes APUs'!$A$1:$D$14,2,0)</f>
        <v>Casco dielectrico Tipo 1 Clase E con barbuquejo</v>
      </c>
      <c r="C4757" s="73"/>
      <c r="D4757" s="50" t="str">
        <f>VLOOKUP(A4757,'Componentes APUs'!$A$1:$D$14,3,0)</f>
        <v>U</v>
      </c>
      <c r="E4757" s="50">
        <f>C4735+C4736+C4738+C4739+C4740+IF(A4737&lt;&gt;"MO-3",C4737,0)</f>
        <v>1.5</v>
      </c>
      <c r="F4757" s="51">
        <f>VLOOKUP(A4757,'Componentes APUs'!$A$1:$D$14,4,0)</f>
        <v>10101.010101010101</v>
      </c>
      <c r="G4757" s="51">
        <f>ROUNDUP(F4757*(E4757/21)/E4725,0)</f>
        <v>49</v>
      </c>
    </row>
    <row r="4758" spans="1:9" x14ac:dyDescent="0.25">
      <c r="A4758" s="69" t="s">
        <v>77</v>
      </c>
      <c r="B4758" s="72" t="str">
        <f>VLOOKUP(A4758,'Componentes APUs'!$A$1:$D$14,2,0)</f>
        <v>Correa plastica y antiflama</v>
      </c>
      <c r="C4758" s="73"/>
      <c r="D4758" s="50" t="str">
        <f>VLOOKUP(A4758,'Componentes APUs'!$A$1:$D$14,3,0)</f>
        <v>U</v>
      </c>
      <c r="E4758" s="50">
        <f>SUM(C4735:C4740)</f>
        <v>1.5</v>
      </c>
      <c r="F4758" s="51">
        <f>VLOOKUP(A4758,'Componentes APUs'!$A$1:$D$14,4,0)</f>
        <v>3787.878787878788</v>
      </c>
      <c r="G4758" s="51">
        <f>ROUNDUP(F4758*(E4758/21)/E4725,0)</f>
        <v>19</v>
      </c>
    </row>
    <row r="4759" spans="1:9" x14ac:dyDescent="0.25">
      <c r="A4759" s="50" t="s">
        <v>79</v>
      </c>
      <c r="B4759" s="72" t="str">
        <f>VLOOKUP(A4759,'Componentes APUs'!$A$1:$D$14,2,0)</f>
        <v>Gafas protectoras filtro UV</v>
      </c>
      <c r="C4759" s="73"/>
      <c r="D4759" s="50" t="str">
        <f>VLOOKUP(A4759,'Componentes APUs'!$A$1:$D$14,3,0)</f>
        <v>U</v>
      </c>
      <c r="E4759" s="50">
        <f>SUM(C4735:C4740)</f>
        <v>1.5</v>
      </c>
      <c r="F4759" s="51">
        <f>VLOOKUP(A4759,'Componentes APUs'!$A$1:$D$14,4,0)</f>
        <v>2777.7777777777778</v>
      </c>
      <c r="G4759" s="51">
        <f>ROUNDUP(F4759*(E4759/21)/E4725,0)</f>
        <v>14</v>
      </c>
    </row>
    <row r="4760" spans="1:9" x14ac:dyDescent="0.25">
      <c r="A4760" s="69" t="s">
        <v>402</v>
      </c>
      <c r="B4760" s="72" t="str">
        <f>VLOOKUP(A4760,'Componentes APUs'!$A$1:$D$14,2,0)</f>
        <v>Bota de seguridad PVC dielectrica</v>
      </c>
      <c r="C4760" s="73"/>
      <c r="D4760" s="50" t="str">
        <f>VLOOKUP(A4760,'Componentes APUs'!$A$1:$D$14,3,0)</f>
        <v>Par</v>
      </c>
      <c r="E4760" s="50">
        <f>SUM(C4735:C4740)</f>
        <v>1.5</v>
      </c>
      <c r="F4760" s="51">
        <f>VLOOKUP(A4760,'Componentes APUs'!$A$1:$D$14,4,0)</f>
        <v>2916.6666666666665</v>
      </c>
      <c r="G4760" s="51">
        <f>ROUNDUP(F4760*(E4760/21)/E4725,0)</f>
        <v>14</v>
      </c>
    </row>
    <row r="4761" spans="1:9" x14ac:dyDescent="0.25">
      <c r="A4761" s="50" t="s">
        <v>403</v>
      </c>
      <c r="B4761" s="72" t="str">
        <f>VLOOKUP(A4761,'Componentes APUs'!$A$1:$D$14,2,0)</f>
        <v>Capuchon</v>
      </c>
      <c r="C4761" s="73"/>
      <c r="D4761" s="50" t="str">
        <f>VLOOKUP(A4761,'Componentes APUs'!$A$1:$D$14,3,0)</f>
        <v>U</v>
      </c>
      <c r="E4761" s="50">
        <f>SUM(C4735:C4740)</f>
        <v>1.5</v>
      </c>
      <c r="F4761" s="51">
        <f>VLOOKUP(A4761,'Componentes APUs'!$A$1:$D$14,4,0)</f>
        <v>2525.2525252525252</v>
      </c>
      <c r="G4761" s="51">
        <f>ROUNDUP(F4761*(E4761/21)/E4725,0)</f>
        <v>13</v>
      </c>
    </row>
    <row r="4762" spans="1:9" x14ac:dyDescent="0.25">
      <c r="A4762" s="69" t="s">
        <v>81</v>
      </c>
      <c r="B4762" s="72" t="str">
        <f>VLOOKUP(A4762,'Componentes APUs'!$A$1:$D$14,2,0)</f>
        <v>Guantes Protectores  - ingeniero reforzados</v>
      </c>
      <c r="C4762" s="73"/>
      <c r="D4762" s="50" t="str">
        <f>VLOOKUP(A4762,'Componentes APUs'!$A$1:$D$14,3,0)</f>
        <v>Par</v>
      </c>
      <c r="E4762" s="50">
        <f>C4737+C4738+C4740</f>
        <v>1.25</v>
      </c>
      <c r="F4762" s="51">
        <f>VLOOKUP(A4762,'Componentes APUs'!$A$1:$D$14,4,0)</f>
        <v>2525.2525252525252</v>
      </c>
      <c r="G4762" s="51">
        <f>ROUNDUP(F4762*(E4762/21)/E4725,0)</f>
        <v>11</v>
      </c>
    </row>
    <row r="4763" spans="1:9" x14ac:dyDescent="0.25">
      <c r="A4763" s="50" t="s">
        <v>83</v>
      </c>
      <c r="B4763" s="72" t="str">
        <f>VLOOKUP(A4763,'Componentes APUs'!$A$1:$D$14,2,0)</f>
        <v>Impermeable (pantalon camisa)</v>
      </c>
      <c r="C4763" s="73"/>
      <c r="D4763" s="50" t="str">
        <f>VLOOKUP(A4763,'Componentes APUs'!$A$1:$D$14,3,0)</f>
        <v>U</v>
      </c>
      <c r="E4763" s="50">
        <f>SUM(C4735:C4740)</f>
        <v>1.5</v>
      </c>
      <c r="F4763" s="51">
        <f>VLOOKUP(A4763,'Componentes APUs'!$A$1:$D$14,4,0)</f>
        <v>3750</v>
      </c>
      <c r="G4763" s="51">
        <f>ROUNDUP(F4763*(E4763/21)/E4725,0)</f>
        <v>18</v>
      </c>
    </row>
    <row r="4764" spans="1:9" x14ac:dyDescent="0.25">
      <c r="A4764" s="69" t="s">
        <v>85</v>
      </c>
      <c r="B4764" s="72" t="str">
        <f>VLOOKUP(A4764,'Componentes APUs'!$A$1:$D$14,2,0)</f>
        <v>Jean Dielectrico</v>
      </c>
      <c r="C4764" s="73"/>
      <c r="D4764" s="50" t="str">
        <f>VLOOKUP(A4764,'Componentes APUs'!$A$1:$D$14,3,0)</f>
        <v>U</v>
      </c>
      <c r="E4764" s="50">
        <f>SUM(C4735:C4740)</f>
        <v>1.5</v>
      </c>
      <c r="F4764" s="51">
        <f>VLOOKUP(A4764,'Componentes APUs'!$A$1:$D$14,4,0)</f>
        <v>7575.757575757576</v>
      </c>
      <c r="G4764" s="51">
        <f>ROUNDUP(F4764*(E4764/21)/E4725,0)</f>
        <v>37</v>
      </c>
    </row>
    <row r="4765" spans="1:9" x14ac:dyDescent="0.25">
      <c r="A4765" s="50" t="s">
        <v>87</v>
      </c>
      <c r="B4765" s="72" t="str">
        <f>VLOOKUP(A4765,'Componentes APUs'!$A$1:$D$14,2,0)</f>
        <v>Casco dielectrico Tipo 2 Clase E con barboquejo</v>
      </c>
      <c r="C4765" s="73"/>
      <c r="D4765" s="50" t="str">
        <f>VLOOKUP(A4765,'Componentes APUs'!$A$1:$D$14,3,0)</f>
        <v>U</v>
      </c>
      <c r="E4765" s="53">
        <f>IF(A4737="MO-3",C4737,0)</f>
        <v>0</v>
      </c>
      <c r="F4765" s="51">
        <f>VLOOKUP(A4765,'Componentes APUs'!$A$1:$D$14,4,0)</f>
        <v>7500</v>
      </c>
      <c r="G4765" s="51">
        <f>ROUNDUP(F4765*(E4765/21)/E4725,0)</f>
        <v>0</v>
      </c>
    </row>
    <row r="4766" spans="1:9" x14ac:dyDescent="0.25">
      <c r="A4766" s="69" t="s">
        <v>89</v>
      </c>
      <c r="B4766" s="72" t="str">
        <f>VLOOKUP(A4766,'Componentes APUs'!$A$1:$D$14,2,0)</f>
        <v>Kit de rescate para trabajo en alturas</v>
      </c>
      <c r="C4766" s="73"/>
      <c r="D4766" s="50" t="str">
        <f>VLOOKUP(A4766,'Componentes APUs'!$A$1:$D$14,3,0)</f>
        <v>U</v>
      </c>
      <c r="E4766" s="50">
        <f>IF(AND(A4737="MO-3",C4737=2),1,0)</f>
        <v>0</v>
      </c>
      <c r="F4766" s="51">
        <f>VLOOKUP(A4766,'Componentes APUs'!$A$1:$D$14,4,0)</f>
        <v>37500</v>
      </c>
      <c r="G4766" s="51">
        <f>ROUNDUP(F4766*(E4766/21)/E4725,0)</f>
        <v>0</v>
      </c>
    </row>
    <row r="4767" spans="1:9" x14ac:dyDescent="0.25">
      <c r="A4767" s="50" t="s">
        <v>91</v>
      </c>
      <c r="B4767" s="72" t="str">
        <f>VLOOKUP(A4767,'Componentes APUs'!$A$1:$D$14,2,0)</f>
        <v>Equipo completo para trabajo en alturas con pretales (Arnes dielectrico, 1 mosqueton de seguridad, tie off dielectrico, eslinga de posicionamiento, juego de pretales)</v>
      </c>
      <c r="C4767" s="73"/>
      <c r="D4767" s="50" t="str">
        <f>VLOOKUP(A4767,'Componentes APUs'!$A$1:$D$14,3,0)</f>
        <v>U</v>
      </c>
      <c r="E4767" s="50">
        <f>IF(A4737="MO-3",C4737,0)</f>
        <v>0</v>
      </c>
      <c r="F4767" s="51">
        <f>VLOOKUP(A4767,'Componentes APUs'!$A$1:$D$14,4,0)</f>
        <v>26041.666666666668</v>
      </c>
      <c r="G4767" s="51">
        <f>ROUNDUP(F4767*(E4767/21)/E4725,0)</f>
        <v>0</v>
      </c>
    </row>
    <row r="4768" spans="1:9" x14ac:dyDescent="0.25">
      <c r="A4768" s="219" t="s">
        <v>95</v>
      </c>
      <c r="B4768" s="219"/>
      <c r="C4768" s="219"/>
      <c r="D4768" s="219"/>
      <c r="E4768" s="219"/>
      <c r="F4768" s="219"/>
      <c r="G4768" s="52">
        <f>SUM(G4755:G4767)</f>
        <v>252</v>
      </c>
    </row>
    <row r="4769" spans="1:7" x14ac:dyDescent="0.25">
      <c r="A4769" s="56"/>
      <c r="B4769" s="57"/>
      <c r="C4769" s="57"/>
      <c r="D4769" s="57"/>
      <c r="E4769" s="57"/>
      <c r="F4769" s="57"/>
      <c r="G4769" s="58"/>
    </row>
    <row r="4770" spans="1:7" x14ac:dyDescent="0.25">
      <c r="A4770" s="219" t="s">
        <v>96</v>
      </c>
      <c r="B4770" s="219"/>
      <c r="C4770" s="219"/>
      <c r="D4770" s="219"/>
      <c r="E4770" s="219"/>
      <c r="F4770" s="219"/>
      <c r="G4770" s="219"/>
    </row>
    <row r="4771" spans="1:7" x14ac:dyDescent="0.25">
      <c r="A4771" s="49" t="s">
        <v>35</v>
      </c>
      <c r="B4771" s="225" t="s">
        <v>36</v>
      </c>
      <c r="C4771" s="225"/>
      <c r="D4771" s="49" t="s">
        <v>37</v>
      </c>
      <c r="E4771" s="49" t="s">
        <v>38</v>
      </c>
      <c r="F4771" s="49" t="s">
        <v>39</v>
      </c>
      <c r="G4771" s="49" t="s">
        <v>40</v>
      </c>
    </row>
    <row r="4772" spans="1:7" x14ac:dyDescent="0.25">
      <c r="A4772" s="69" t="s">
        <v>97</v>
      </c>
      <c r="B4772" s="72" t="str">
        <f>VLOOKUP(A4772,'Componentes APUs'!$N$1:$Q$30,2,0)</f>
        <v>Camioneta</v>
      </c>
      <c r="C4772" s="73"/>
      <c r="D4772" s="70" t="str">
        <f>VLOOKUP(A4772,'Componentes APUs'!$N$1:$Q$30,3,0)</f>
        <v>U</v>
      </c>
      <c r="E4772" s="50">
        <v>1</v>
      </c>
      <c r="F4772" s="51">
        <f>VLOOKUP(A4772,'Componentes APUs'!$N$1:$Q$30,4,0)</f>
        <v>5500000</v>
      </c>
      <c r="G4772" s="51">
        <f>IFERROR(ROUNDUP(F4772*(E4772/21)/E4725,0),"-")</f>
        <v>17461</v>
      </c>
    </row>
    <row r="4773" spans="1:7" x14ac:dyDescent="0.25">
      <c r="A4773" s="50" t="s">
        <v>321</v>
      </c>
      <c r="B4773" s="72" t="str">
        <f>VLOOKUP(A4773,'Componentes APUs'!$N$1:$Q$30,2,0)</f>
        <v>Grúa Hidráulica</v>
      </c>
      <c r="C4773" s="73"/>
      <c r="D4773" s="70" t="str">
        <f>VLOOKUP(A4773,'Componentes APUs'!$N$1:$Q$30,3,0)</f>
        <v>U</v>
      </c>
      <c r="E4773" s="50">
        <v>0</v>
      </c>
      <c r="F4773" s="51">
        <f>VLOOKUP(A4773,'Componentes APUs'!$N$1:$Q$30,4,0)</f>
        <v>21000000</v>
      </c>
      <c r="G4773" s="51">
        <f>IFERROR(ROUNDUP(F4773*(E4773/21)/E4725,0),"-")</f>
        <v>0</v>
      </c>
    </row>
    <row r="4774" spans="1:7" x14ac:dyDescent="0.25">
      <c r="A4774" s="69" t="s">
        <v>1379</v>
      </c>
      <c r="B4774" s="72" t="str">
        <f>VLOOKUP(A4774,'Componentes APUs'!$N$1:$Q$30,2,0)</f>
        <v>Dumper de descarga Frontal 2T</v>
      </c>
      <c r="C4774" s="73"/>
      <c r="D4774" s="70" t="str">
        <f>VLOOKUP(A4774,'Componentes APUs'!$N$1:$Q$30,3,0)</f>
        <v>U</v>
      </c>
      <c r="E4774" s="50">
        <v>0</v>
      </c>
      <c r="F4774" s="51">
        <f>VLOOKUP(A4774,'Componentes APUs'!$N$1:$Q$30,4,0)</f>
        <v>4438716.24</v>
      </c>
      <c r="G4774" s="51">
        <f>IFERROR(ROUNDUP(F4774*(E4774/21)/E4725,0),"-")</f>
        <v>0</v>
      </c>
    </row>
    <row r="4775" spans="1:7" x14ac:dyDescent="0.25">
      <c r="A4775" s="50" t="s">
        <v>323</v>
      </c>
      <c r="B4775" s="72" t="str">
        <f>VLOOKUP(A4775,'Componentes APUs'!$N$1:$Q$30,2,0)</f>
        <v>Volqueta</v>
      </c>
      <c r="C4775" s="73"/>
      <c r="D4775" s="70" t="str">
        <f>VLOOKUP(A4775,'Componentes APUs'!$N$1:$Q$30,3,0)</f>
        <v>U</v>
      </c>
      <c r="E4775" s="50">
        <v>0</v>
      </c>
      <c r="F4775" s="51">
        <f>VLOOKUP(A4775,'Componentes APUs'!$N$1:$Q$30,4,0)</f>
        <v>14828184</v>
      </c>
      <c r="G4775" s="51">
        <f>IFERROR(ROUNDUP(F4775*(E4775/21)/E4725,0),"-")</f>
        <v>0</v>
      </c>
    </row>
    <row r="4776" spans="1:7" x14ac:dyDescent="0.25">
      <c r="A4776" s="69" t="s">
        <v>324</v>
      </c>
      <c r="B4776" s="72" t="str">
        <f>VLOOKUP(A4776,'Componentes APUs'!$N$1:$Q$30,2,0)</f>
        <v>Retroexcavadora</v>
      </c>
      <c r="C4776" s="73"/>
      <c r="D4776" s="70" t="str">
        <f>VLOOKUP(A4776,'Componentes APUs'!$N$1:$Q$30,3,0)</f>
        <v>U</v>
      </c>
      <c r="E4776" s="50">
        <v>0</v>
      </c>
      <c r="F4776" s="51">
        <f>VLOOKUP(A4776,'Componentes APUs'!$N$1:$Q$30,4,0)</f>
        <v>46030656</v>
      </c>
      <c r="G4776" s="51">
        <f>IFERROR(ROUNDUP(F4776*(E4776/21)/E4725,0),"-")</f>
        <v>0</v>
      </c>
    </row>
    <row r="4777" spans="1:7" x14ac:dyDescent="0.25">
      <c r="A4777" s="219" t="s">
        <v>99</v>
      </c>
      <c r="B4777" s="219"/>
      <c r="C4777" s="219"/>
      <c r="D4777" s="219"/>
      <c r="E4777" s="219"/>
      <c r="F4777" s="219"/>
      <c r="G4777" s="52">
        <f>SUM(G4772:G4776)</f>
        <v>17461</v>
      </c>
    </row>
    <row r="4778" spans="1:7" x14ac:dyDescent="0.25">
      <c r="A4778" s="56"/>
      <c r="B4778" s="57"/>
      <c r="C4778" s="57"/>
      <c r="D4778" s="57"/>
      <c r="E4778" s="57"/>
      <c r="F4778" s="57"/>
      <c r="G4778" s="58"/>
    </row>
    <row r="4779" spans="1:7" x14ac:dyDescent="0.25">
      <c r="A4779" s="219" t="s">
        <v>100</v>
      </c>
      <c r="B4779" s="219"/>
      <c r="C4779" s="219"/>
      <c r="D4779" s="219"/>
      <c r="E4779" s="219"/>
      <c r="F4779" s="219"/>
      <c r="G4779" s="52">
        <f>G4777+G4768+G4751+G4741+G4731</f>
        <v>156374</v>
      </c>
    </row>
    <row r="4780" spans="1:7" x14ac:dyDescent="0.25">
      <c r="A4780" s="59"/>
      <c r="B4780" s="60"/>
      <c r="C4780" s="60"/>
      <c r="D4780" s="60"/>
      <c r="E4780" s="57"/>
      <c r="F4780" s="57"/>
      <c r="G4780" s="58"/>
    </row>
    <row r="4781" spans="1:7" x14ac:dyDescent="0.25">
      <c r="A4781" s="64"/>
      <c r="D4781" s="55"/>
      <c r="E4781" s="49" t="s">
        <v>25</v>
      </c>
      <c r="F4781" s="54">
        <v>0.15</v>
      </c>
      <c r="G4781" s="51">
        <f>G4779*F4781</f>
        <v>23456.1</v>
      </c>
    </row>
    <row r="4782" spans="1:7" x14ac:dyDescent="0.25">
      <c r="A4782" s="64"/>
      <c r="D4782" s="55"/>
      <c r="E4782" s="49" t="s">
        <v>26</v>
      </c>
      <c r="F4782" s="54">
        <v>0.05</v>
      </c>
      <c r="G4782" s="51">
        <f>G4779*F4782</f>
        <v>7818.7000000000007</v>
      </c>
    </row>
    <row r="4783" spans="1:7" x14ac:dyDescent="0.25">
      <c r="A4783" s="61"/>
      <c r="B4783" s="65"/>
      <c r="C4783" s="65"/>
      <c r="D4783" s="62"/>
      <c r="E4783" s="49" t="s">
        <v>27</v>
      </c>
      <c r="F4783" s="54">
        <v>0.05</v>
      </c>
      <c r="G4783" s="51">
        <f>G4779*F4783</f>
        <v>7818.7000000000007</v>
      </c>
    </row>
    <row r="4784" spans="1:7" x14ac:dyDescent="0.25">
      <c r="A4784" s="61"/>
      <c r="B4784" s="62"/>
      <c r="C4784" s="62"/>
      <c r="D4784" s="62"/>
      <c r="E4784" s="62"/>
      <c r="F4784" s="62"/>
      <c r="G4784" s="63"/>
    </row>
    <row r="4785" spans="1:9" x14ac:dyDescent="0.25">
      <c r="A4785" s="219" t="s">
        <v>101</v>
      </c>
      <c r="B4785" s="219"/>
      <c r="C4785" s="219"/>
      <c r="D4785" s="219"/>
      <c r="E4785" s="219"/>
      <c r="F4785" s="219"/>
      <c r="G4785" s="52">
        <f>G4779+G4781+G4782+G4783</f>
        <v>195467.50000000003</v>
      </c>
    </row>
    <row r="4786" spans="1:9" x14ac:dyDescent="0.25">
      <c r="A4786" s="59"/>
      <c r="B4786" s="60"/>
      <c r="C4786" s="60"/>
      <c r="D4786" s="60"/>
      <c r="E4786" s="57"/>
      <c r="F4786" s="57"/>
      <c r="G4786" s="58"/>
    </row>
    <row r="4787" spans="1:9" x14ac:dyDescent="0.25">
      <c r="A4787" s="64"/>
      <c r="D4787" s="55"/>
      <c r="E4787" s="49" t="s">
        <v>102</v>
      </c>
      <c r="F4787" s="49" t="s">
        <v>103</v>
      </c>
      <c r="G4787" s="51">
        <f>G4783*19%</f>
        <v>1485.5530000000001</v>
      </c>
    </row>
    <row r="4788" spans="1:9" x14ac:dyDescent="0.25">
      <c r="A4788" s="61"/>
      <c r="B4788" s="62"/>
      <c r="C4788" s="62"/>
      <c r="D4788" s="62"/>
      <c r="E4788" s="57"/>
      <c r="F4788" s="57"/>
      <c r="G4788" s="58"/>
    </row>
    <row r="4789" spans="1:9" x14ac:dyDescent="0.25">
      <c r="A4789" s="219" t="s">
        <v>104</v>
      </c>
      <c r="B4789" s="219"/>
      <c r="C4789" s="219"/>
      <c r="D4789" s="219"/>
      <c r="E4789" s="219"/>
      <c r="F4789" s="219"/>
      <c r="G4789" s="52">
        <f>G4787+G4785</f>
        <v>196953.05300000004</v>
      </c>
    </row>
    <row r="4791" spans="1:9" x14ac:dyDescent="0.25">
      <c r="A4791" s="74" t="s">
        <v>29</v>
      </c>
      <c r="B4791" s="226" t="s">
        <v>30</v>
      </c>
      <c r="C4791" s="226"/>
      <c r="D4791" s="74" t="s">
        <v>31</v>
      </c>
      <c r="E4791" s="74" t="s">
        <v>32</v>
      </c>
      <c r="F4791" s="74" t="s">
        <v>189</v>
      </c>
      <c r="G4791" s="74" t="s">
        <v>33</v>
      </c>
      <c r="H4791" s="105"/>
    </row>
    <row r="4792" spans="1:9" x14ac:dyDescent="0.25">
      <c r="A4792" s="50" t="str">
        <f>Presupuesto!B97</f>
        <v>078_OC</v>
      </c>
      <c r="B4792" s="227" t="str">
        <f>Presupuesto!C97</f>
        <v>MURO BLOQUE ESTRUCTURAL14X19X39+ AS + GRAFIL  (M2)</v>
      </c>
      <c r="C4792" s="228"/>
      <c r="D4792" s="50" t="s">
        <v>113</v>
      </c>
      <c r="E4792" s="107">
        <v>4</v>
      </c>
      <c r="F4792" s="50"/>
      <c r="G4792" s="51">
        <f>G4858</f>
        <v>410181.36499999999</v>
      </c>
      <c r="H4792" s="45"/>
    </row>
    <row r="4793" spans="1:9" x14ac:dyDescent="0.25">
      <c r="A4793" s="219" t="s">
        <v>34</v>
      </c>
      <c r="B4793" s="219"/>
      <c r="C4793" s="219"/>
      <c r="D4793" s="219"/>
      <c r="E4793" s="219"/>
      <c r="F4793" s="219"/>
      <c r="G4793" s="219"/>
    </row>
    <row r="4794" spans="1:9" x14ac:dyDescent="0.25">
      <c r="A4794" s="49" t="s">
        <v>35</v>
      </c>
      <c r="B4794" s="219" t="s">
        <v>36</v>
      </c>
      <c r="C4794" s="219"/>
      <c r="D4794" s="49" t="s">
        <v>37</v>
      </c>
      <c r="E4794" s="49" t="s">
        <v>38</v>
      </c>
      <c r="F4794" s="49" t="s">
        <v>39</v>
      </c>
      <c r="G4794" s="49" t="s">
        <v>40</v>
      </c>
    </row>
    <row r="4795" spans="1:9" x14ac:dyDescent="0.25">
      <c r="A4795" s="50" t="str">
        <f>Material!A607</f>
        <v>MA-606</v>
      </c>
      <c r="B4795" s="143" t="str">
        <f>IFERROR(VLOOKUP(A4795,Material!$A:$H,2,0),"-")</f>
        <v xml:space="preserve">ANDAMIO DE TIJERA COMPLETO 1.5 X 1.5 X 2,3 </v>
      </c>
      <c r="C4795" s="76"/>
      <c r="D4795" s="50" t="str">
        <f>IFERROR(VLOOKUP(A4795,Material!$A:$H,4,0),"-")</f>
        <v>DIA</v>
      </c>
      <c r="E4795" s="107">
        <v>0.25</v>
      </c>
      <c r="F4795" s="51">
        <f>IFERROR(VLOOKUP(A4795,Material!$A:$H,3,0),"-")</f>
        <v>1247.3500000000001</v>
      </c>
      <c r="G4795" s="51">
        <f>IFERROR(ROUNDUP(F4795*E4795,0),"-")</f>
        <v>312</v>
      </c>
      <c r="H4795" s="106"/>
    </row>
    <row r="4796" spans="1:9" x14ac:dyDescent="0.25">
      <c r="A4796" s="50" t="str">
        <f>Material!A608</f>
        <v>MA-607</v>
      </c>
      <c r="B4796" s="143" t="str">
        <f>IFERROR(VLOOKUP(A4796,Material!$A:$H,2,0),"-")</f>
        <v>BLOQUE DE CEMENTO DE 0,20 X 0,19 X 0,39 M ESTRUCTURAL</v>
      </c>
      <c r="C4796" s="76"/>
      <c r="D4796" s="50" t="str">
        <f>IFERROR(VLOOKUP(A4796,Material!$A:$H,4,0),"-")</f>
        <v>UN</v>
      </c>
      <c r="E4796" s="107">
        <v>13</v>
      </c>
      <c r="F4796" s="51">
        <f>IFERROR(VLOOKUP(A4796,Material!$A:$H,3,0),"-")</f>
        <v>3986.6666666666665</v>
      </c>
      <c r="G4796" s="51">
        <f>IFERROR(ROUNDUP(F4796*E4796,0),"-")</f>
        <v>51827</v>
      </c>
      <c r="H4796" s="106"/>
    </row>
    <row r="4797" spans="1:9" x14ac:dyDescent="0.25">
      <c r="A4797" s="50" t="str">
        <f>Material!A609</f>
        <v>MA-608</v>
      </c>
      <c r="B4797" s="72" t="str">
        <f>IFERROR(VLOOKUP(A4797,Material!$A:$H,2,0),"-")</f>
        <v>ACERO DE FY = 60.000 PSI D&gt;1/4</v>
      </c>
      <c r="C4797" s="76"/>
      <c r="D4797" s="50" t="str">
        <f>IFERROR(VLOOKUP(A4797,Material!$A:$H,4,0),"-")</f>
        <v>kG</v>
      </c>
      <c r="E4797" s="107">
        <v>18</v>
      </c>
      <c r="F4797" s="51">
        <f>IFERROR(VLOOKUP(A4797,Material!$A:$H,3,0),"-")</f>
        <v>8010.166666666667</v>
      </c>
      <c r="G4797" s="51">
        <f>IFERROR(ROUNDUP(F4797*E4797,0),"-")</f>
        <v>144183</v>
      </c>
      <c r="H4797" s="106"/>
    </row>
    <row r="4798" spans="1:9" x14ac:dyDescent="0.25">
      <c r="A4798" s="50" t="str">
        <f>Material!A610</f>
        <v>MA-609</v>
      </c>
      <c r="B4798" s="72" t="str">
        <f>IFERROR(VLOOKUP(A4798,Material!$A:$H,2,0),"-")</f>
        <v>GRAFIL 5,5 MM</v>
      </c>
      <c r="C4798" s="76"/>
      <c r="D4798" s="50" t="str">
        <f>IFERROR(VLOOKUP(A4798,Material!$A:$H,4,0),"-")</f>
        <v>kG</v>
      </c>
      <c r="E4798" s="107">
        <v>4</v>
      </c>
      <c r="F4798" s="51">
        <f>IFERROR(VLOOKUP(A4798,Material!$A:$H,3,0),"-")</f>
        <v>2035.8000000000002</v>
      </c>
      <c r="G4798" s="51">
        <f t="shared" ref="G4798:G4799" si="89">IFERROR(ROUNDUP(F4798*E4798,0),"-")</f>
        <v>8144</v>
      </c>
      <c r="H4798" s="106"/>
    </row>
    <row r="4799" spans="1:9" x14ac:dyDescent="0.25">
      <c r="A4799" s="50" t="str">
        <f>Material!A611</f>
        <v>MA-610</v>
      </c>
      <c r="B4799" s="72" t="str">
        <f>IFERROR(VLOOKUP(A4799,Material!$A:$H,2,0),"-")</f>
        <v>MORTERO 1:3  (M3)</v>
      </c>
      <c r="C4799" s="76"/>
      <c r="D4799" s="50" t="str">
        <f>IFERROR(VLOOKUP(A4799,Material!$A:$H,4,0),"-")</f>
        <v>M3</v>
      </c>
      <c r="E4799" s="107">
        <v>2.9000000000000001E-2</v>
      </c>
      <c r="F4799" s="51">
        <f>IFERROR(VLOOKUP(A4799,Material!$A:$H,3,0),"-")</f>
        <v>874606.20000000007</v>
      </c>
      <c r="G4799" s="51">
        <f t="shared" si="89"/>
        <v>25364</v>
      </c>
      <c r="H4799" s="106"/>
    </row>
    <row r="4800" spans="1:9" x14ac:dyDescent="0.25">
      <c r="A4800" s="219" t="s">
        <v>41</v>
      </c>
      <c r="B4800" s="219"/>
      <c r="C4800" s="219"/>
      <c r="D4800" s="219"/>
      <c r="E4800" s="219"/>
      <c r="F4800" s="219"/>
      <c r="G4800" s="52">
        <f>SUM(G4795:G4799)</f>
        <v>229830</v>
      </c>
      <c r="I4800" s="104"/>
    </row>
    <row r="4801" spans="1:9" x14ac:dyDescent="0.25">
      <c r="A4801" s="56"/>
      <c r="B4801" s="57"/>
      <c r="C4801" s="57"/>
      <c r="D4801" s="57"/>
      <c r="E4801" s="57"/>
      <c r="F4801" s="57"/>
      <c r="G4801" s="58"/>
    </row>
    <row r="4802" spans="1:9" x14ac:dyDescent="0.25">
      <c r="A4802" s="219" t="s">
        <v>42</v>
      </c>
      <c r="B4802" s="219"/>
      <c r="C4802" s="219"/>
      <c r="D4802" s="219"/>
      <c r="E4802" s="219"/>
      <c r="F4802" s="219"/>
      <c r="G4802" s="219"/>
    </row>
    <row r="4803" spans="1:9" x14ac:dyDescent="0.25">
      <c r="A4803" s="49" t="s">
        <v>35</v>
      </c>
      <c r="B4803" s="49" t="s">
        <v>36</v>
      </c>
      <c r="C4803" s="49" t="s">
        <v>38</v>
      </c>
      <c r="D4803" s="49" t="s">
        <v>43</v>
      </c>
      <c r="E4803" s="49" t="s">
        <v>44</v>
      </c>
      <c r="F4803" s="49" t="s">
        <v>45</v>
      </c>
      <c r="G4803" s="49" t="s">
        <v>40</v>
      </c>
    </row>
    <row r="4804" spans="1:9" x14ac:dyDescent="0.25">
      <c r="A4804" s="50" t="s">
        <v>319</v>
      </c>
      <c r="B4804" s="68" t="str">
        <f>VLOOKUP(A4804,'Componentes APUs'!$H$1:$L$25,2,0)</f>
        <v>Ingeniero Residente de Obra</v>
      </c>
      <c r="C4804" s="93">
        <v>0</v>
      </c>
      <c r="D4804" s="50">
        <f>VLOOKUP(A4804,'Componentes APUs'!$H$1:$L$25,3,0)</f>
        <v>4</v>
      </c>
      <c r="E4804" s="51">
        <f>VLOOKUP(A4804,'Componentes APUs'!$H$1:$L$25,4,0)</f>
        <v>271142.85714285716</v>
      </c>
      <c r="F4804" s="51">
        <f>VLOOKUP(A4804,'Componentes APUs'!$H$1:$L$25,5,0)</f>
        <v>162685.71428571429</v>
      </c>
      <c r="G4804" s="51">
        <f>ROUNDUP((E4804+F4804)*C4804/E4792,0)</f>
        <v>0</v>
      </c>
      <c r="H4804" s="66"/>
    </row>
    <row r="4805" spans="1:9" x14ac:dyDescent="0.25">
      <c r="A4805" s="50" t="s">
        <v>320</v>
      </c>
      <c r="B4805" s="68" t="str">
        <f>VLOOKUP(A4805,'Componentes APUs'!$H$1:$L$25,2,0)</f>
        <v>Tecnico Supervisor</v>
      </c>
      <c r="C4805" s="93">
        <v>0</v>
      </c>
      <c r="D4805" s="50">
        <f>VLOOKUP(A4805,'Componentes APUs'!$H$1:$L$25,3,0)</f>
        <v>2.2999999999999998</v>
      </c>
      <c r="E4805" s="51">
        <f>VLOOKUP(A4805,'Componentes APUs'!$H$1:$L$25,4,0)</f>
        <v>155907.14285714284</v>
      </c>
      <c r="F4805" s="51">
        <f>VLOOKUP(A4805,'Componentes APUs'!$H$1:$L$25,5,0)</f>
        <v>93544.285714285696</v>
      </c>
      <c r="G4805" s="51">
        <f>ROUNDUP((E4805+F4805)*C4805/E4792,0)</f>
        <v>0</v>
      </c>
    </row>
    <row r="4806" spans="1:9" x14ac:dyDescent="0.25">
      <c r="A4806" s="50" t="s">
        <v>54</v>
      </c>
      <c r="B4806" s="68" t="str">
        <f>VLOOKUP(A4806,'Componentes APUs'!$H$1:$L$25,2,0)</f>
        <v>Maestro de obra civil</v>
      </c>
      <c r="C4806" s="93">
        <v>0</v>
      </c>
      <c r="D4806" s="50">
        <f>VLOOKUP(A4806,'Componentes APUs'!$H$1:$L$25,3,0)</f>
        <v>2.5</v>
      </c>
      <c r="E4806" s="51">
        <f>VLOOKUP(A4806,'Componentes APUs'!$H$1:$L$25,4,0)</f>
        <v>169464.28571428571</v>
      </c>
      <c r="F4806" s="51">
        <f>VLOOKUP(A4806,'Componentes APUs'!$H$1:$L$25,5,0)</f>
        <v>101678.57142857142</v>
      </c>
      <c r="G4806" s="51">
        <f>ROUNDUP((E4806+F4806)*C4806/E4792,0)</f>
        <v>0</v>
      </c>
    </row>
    <row r="4807" spans="1:9" x14ac:dyDescent="0.25">
      <c r="A4807" s="50" t="s">
        <v>1110</v>
      </c>
      <c r="B4807" s="68" t="str">
        <f>VLOOKUP(A4807,'Componentes APUs'!$H$1:$L$25,2,0)</f>
        <v>Oficial de Obra Civil</v>
      </c>
      <c r="C4807" s="93">
        <v>0.25</v>
      </c>
      <c r="D4807" s="50">
        <f>VLOOKUP(A4807,'Componentes APUs'!$H$1:$L$25,3,0)</f>
        <v>1.5</v>
      </c>
      <c r="E4807" s="51">
        <f>VLOOKUP(A4807,'Componentes APUs'!$H$1:$L$25,4,0)</f>
        <v>115964.28571428571</v>
      </c>
      <c r="F4807" s="51">
        <f>VLOOKUP(A4807,'Componentes APUs'!$H$1:$L$25,5,0)</f>
        <v>69578.57142857142</v>
      </c>
      <c r="G4807" s="51">
        <f>ROUNDUP((E4807+F4807)*C4807/E4792,0)</f>
        <v>11597</v>
      </c>
    </row>
    <row r="4808" spans="1:9" x14ac:dyDescent="0.25">
      <c r="A4808" s="50" t="s">
        <v>50</v>
      </c>
      <c r="B4808" s="68" t="str">
        <f>VLOOKUP(A4808,'Componentes APUs'!$H$1:$L$25,2,0)</f>
        <v>Profesional en SST</v>
      </c>
      <c r="C4808" s="93">
        <v>0.25</v>
      </c>
      <c r="D4808" s="50">
        <f>VLOOKUP(A4808,'Componentes APUs'!$H$1:$L$25,3,0)</f>
        <v>2.5</v>
      </c>
      <c r="E4808" s="51">
        <f>VLOOKUP(A4808,'Componentes APUs'!$H$1:$L$25,4,0)</f>
        <v>169464.28571428571</v>
      </c>
      <c r="F4808" s="51">
        <f>VLOOKUP(A4808,'Componentes APUs'!$H$1:$L$25,5,0)</f>
        <v>101678.57142857142</v>
      </c>
      <c r="G4808" s="51">
        <f>ROUNDUP((E4808+F4808)*C4808/E4792,0)</f>
        <v>16947</v>
      </c>
    </row>
    <row r="4809" spans="1:9" x14ac:dyDescent="0.25">
      <c r="A4809" s="50" t="s">
        <v>1109</v>
      </c>
      <c r="B4809" s="68" t="str">
        <f>VLOOKUP(A4809,'Componentes APUs'!$H$1:$L$25,2,0)</f>
        <v>Ayudante de Obra Civil</v>
      </c>
      <c r="C4809" s="93">
        <v>1</v>
      </c>
      <c r="D4809" s="50">
        <f>VLOOKUP(A4809,'Componentes APUs'!$H$1:$L$25,3,0)</f>
        <v>1</v>
      </c>
      <c r="E4809" s="51">
        <f>VLOOKUP(A4809,'Componentes APUs'!$H$1:$L$25,4,0)</f>
        <v>77309.523809523816</v>
      </c>
      <c r="F4809" s="51">
        <f>VLOOKUP(A4809,'Componentes APUs'!$H$1:$L$25,5,0)</f>
        <v>46385.71428571429</v>
      </c>
      <c r="G4809" s="51">
        <f>ROUNDUP((E4809+F4809)*C4809/E4792,0)</f>
        <v>30924</v>
      </c>
    </row>
    <row r="4810" spans="1:9" x14ac:dyDescent="0.25">
      <c r="A4810" s="219" t="s">
        <v>56</v>
      </c>
      <c r="B4810" s="219"/>
      <c r="C4810" s="219"/>
      <c r="D4810" s="219"/>
      <c r="E4810" s="219"/>
      <c r="F4810" s="219"/>
      <c r="G4810" s="52">
        <f>SUM(G4804:G4809)</f>
        <v>59468</v>
      </c>
    </row>
    <row r="4811" spans="1:9" x14ac:dyDescent="0.25">
      <c r="A4811" s="56"/>
      <c r="B4811" s="57"/>
      <c r="C4811" s="57"/>
      <c r="D4811" s="57"/>
      <c r="E4811" s="57"/>
      <c r="F4811" s="57"/>
      <c r="G4811" s="58"/>
    </row>
    <row r="4812" spans="1:9" x14ac:dyDescent="0.25">
      <c r="A4812" s="219" t="s">
        <v>57</v>
      </c>
      <c r="B4812" s="219"/>
      <c r="C4812" s="219"/>
      <c r="D4812" s="219"/>
      <c r="E4812" s="219"/>
      <c r="F4812" s="219"/>
      <c r="G4812" s="219"/>
    </row>
    <row r="4813" spans="1:9" x14ac:dyDescent="0.25">
      <c r="A4813" s="49" t="s">
        <v>35</v>
      </c>
      <c r="B4813" s="219" t="s">
        <v>36</v>
      </c>
      <c r="C4813" s="219"/>
      <c r="D4813" s="49" t="s">
        <v>37</v>
      </c>
      <c r="E4813" s="49" t="s">
        <v>38</v>
      </c>
      <c r="F4813" s="49" t="s">
        <v>39</v>
      </c>
      <c r="G4813" s="49" t="s">
        <v>40</v>
      </c>
    </row>
    <row r="4814" spans="1:9" x14ac:dyDescent="0.25">
      <c r="A4814" s="50" t="s">
        <v>326</v>
      </c>
      <c r="B4814" s="220" t="str">
        <f>VLOOKUP(A4814,'Componentes APUs'!$S$1:$V$10,2,0)</f>
        <v>Juego Llaves</v>
      </c>
      <c r="C4814" s="220"/>
      <c r="D4814" s="50" t="s">
        <v>18</v>
      </c>
      <c r="E4814" s="50">
        <v>0</v>
      </c>
      <c r="F4814" s="51">
        <f>VLOOKUP(A4814,'Componentes APUs'!$S$1:$V$10,4,0)</f>
        <v>9167</v>
      </c>
      <c r="G4814" s="51">
        <f>ROUNDUP(F4814*((E4814/21)/E4792),0)</f>
        <v>0</v>
      </c>
      <c r="I4814" s="91"/>
    </row>
    <row r="4815" spans="1:9" x14ac:dyDescent="0.25">
      <c r="A4815" s="50" t="s">
        <v>58</v>
      </c>
      <c r="B4815" s="220" t="str">
        <f>VLOOKUP(A4815,'Componentes APUs'!$S$1:$V$10,2,0)</f>
        <v>Manila de servicio</v>
      </c>
      <c r="C4815" s="220"/>
      <c r="D4815" s="50" t="s">
        <v>18</v>
      </c>
      <c r="E4815" s="50">
        <v>0</v>
      </c>
      <c r="F4815" s="51">
        <f>VLOOKUP(A4815,'Componentes APUs'!$S$1:$V$10,4,0)</f>
        <v>2333</v>
      </c>
      <c r="G4815" s="51">
        <f>ROUNDUP(F4815*((E4815/21)/E4792),0)</f>
        <v>0</v>
      </c>
    </row>
    <row r="4816" spans="1:9" x14ac:dyDescent="0.25">
      <c r="A4816" s="50" t="s">
        <v>327</v>
      </c>
      <c r="B4816" s="220" t="str">
        <f>VLOOKUP(A4816,'Componentes APUs'!$S$1:$V$10,2,0)</f>
        <v>Tula portaherramientas</v>
      </c>
      <c r="C4816" s="220"/>
      <c r="D4816" s="50" t="s">
        <v>18</v>
      </c>
      <c r="E4816" s="50">
        <v>0</v>
      </c>
      <c r="F4816" s="51">
        <f>VLOOKUP(A4816,'Componentes APUs'!$S$1:$V$10,4,0)</f>
        <v>1250</v>
      </c>
      <c r="G4816" s="51">
        <f>ROUNDUP(F4816*((E4816/21)/E4792),0)</f>
        <v>0</v>
      </c>
    </row>
    <row r="4817" spans="1:9" x14ac:dyDescent="0.25">
      <c r="A4817" s="50" t="s">
        <v>60</v>
      </c>
      <c r="B4817" s="220" t="str">
        <f>VLOOKUP(A4817,'Componentes APUs'!$S$1:$V$10,2,0)</f>
        <v>Agarradoras</v>
      </c>
      <c r="C4817" s="220"/>
      <c r="D4817" s="50" t="s">
        <v>18</v>
      </c>
      <c r="E4817" s="50">
        <v>0</v>
      </c>
      <c r="F4817" s="51">
        <f>VLOOKUP(A4817,'Componentes APUs'!$S$1:$V$10,4,0)</f>
        <v>125000</v>
      </c>
      <c r="G4817" s="51">
        <f>ROUNDUP(F4817*((E4817/21)/E4792),0)</f>
        <v>0</v>
      </c>
    </row>
    <row r="4818" spans="1:9" x14ac:dyDescent="0.25">
      <c r="A4818" s="50" t="s">
        <v>62</v>
      </c>
      <c r="B4818" s="220" t="str">
        <f>VLOOKUP(A4818,'Componentes APUs'!$S$1:$V$10,2,0)</f>
        <v>Templadoras</v>
      </c>
      <c r="C4818" s="220"/>
      <c r="D4818" s="50" t="s">
        <v>18</v>
      </c>
      <c r="E4818" s="50">
        <v>0</v>
      </c>
      <c r="F4818" s="51">
        <f>VLOOKUP(A4818,'Componentes APUs'!$S$1:$V$10,4,0)</f>
        <v>250000</v>
      </c>
      <c r="G4818" s="51">
        <f>ROUNDUP(F4818*((E4818/21)/E4792),0)</f>
        <v>0</v>
      </c>
    </row>
    <row r="4819" spans="1:9" x14ac:dyDescent="0.25">
      <c r="A4819" s="50" t="s">
        <v>328</v>
      </c>
      <c r="B4819" s="220" t="str">
        <f>VLOOKUP(A4819,'Componentes APUs'!$S$1:$V$10,2,0)</f>
        <v>Herramienta Menor</v>
      </c>
      <c r="C4819" s="220"/>
      <c r="D4819" s="50" t="s">
        <v>18</v>
      </c>
      <c r="E4819" s="50">
        <v>3</v>
      </c>
      <c r="F4819" s="51">
        <f>VLOOKUP(A4819,'Componentes APUs'!$S$1:$V$10,4,0)</f>
        <v>75758</v>
      </c>
      <c r="G4819" s="51">
        <f>ROUNDUP(F4819*((E4819/21)/E4792),0)</f>
        <v>2706</v>
      </c>
    </row>
    <row r="4820" spans="1:9" x14ac:dyDescent="0.25">
      <c r="A4820" s="219" t="s">
        <v>69</v>
      </c>
      <c r="B4820" s="219"/>
      <c r="C4820" s="219"/>
      <c r="D4820" s="219"/>
      <c r="E4820" s="219"/>
      <c r="F4820" s="219"/>
      <c r="G4820" s="52">
        <f>SUM(G4814:G4819)</f>
        <v>2706</v>
      </c>
    </row>
    <row r="4821" spans="1:9" x14ac:dyDescent="0.25">
      <c r="A4821" s="56"/>
      <c r="B4821" s="57"/>
      <c r="C4821" s="57"/>
      <c r="D4821" s="57"/>
      <c r="E4821" s="57"/>
      <c r="F4821" s="57"/>
      <c r="G4821" s="58"/>
    </row>
    <row r="4822" spans="1:9" x14ac:dyDescent="0.25">
      <c r="A4822" s="219" t="s">
        <v>70</v>
      </c>
      <c r="B4822" s="219"/>
      <c r="C4822" s="219"/>
      <c r="D4822" s="219"/>
      <c r="E4822" s="219"/>
      <c r="F4822" s="219"/>
      <c r="G4822" s="219"/>
    </row>
    <row r="4823" spans="1:9" x14ac:dyDescent="0.25">
      <c r="A4823" s="49" t="s">
        <v>35</v>
      </c>
      <c r="B4823" s="219" t="s">
        <v>36</v>
      </c>
      <c r="C4823" s="219"/>
      <c r="D4823" s="49" t="s">
        <v>37</v>
      </c>
      <c r="E4823" s="49" t="s">
        <v>38</v>
      </c>
      <c r="F4823" s="49" t="s">
        <v>39</v>
      </c>
      <c r="G4823" s="49" t="s">
        <v>40</v>
      </c>
    </row>
    <row r="4824" spans="1:9" x14ac:dyDescent="0.25">
      <c r="A4824" s="50" t="s">
        <v>71</v>
      </c>
      <c r="B4824" s="71" t="str">
        <f>VLOOKUP(A4824,'Componentes APUs'!$A$1:$D$14,2,0)</f>
        <v>Camisa indigo sin partes metalicas</v>
      </c>
      <c r="C4824" s="71"/>
      <c r="D4824" s="50" t="str">
        <f>VLOOKUP(A4824,'Componentes APUs'!$A$1:$D$14,3,0)</f>
        <v>U</v>
      </c>
      <c r="E4824" s="50">
        <f>SUM(C4804:C4809)</f>
        <v>1.5</v>
      </c>
      <c r="F4824" s="51">
        <f>VLOOKUP(A4824,'Componentes APUs'!$A$1:$D$14,4,0)</f>
        <v>8585.8585858585866</v>
      </c>
      <c r="G4824" s="51">
        <f>ROUNDUP(F4824*(E4824/21)/E4792,0)</f>
        <v>154</v>
      </c>
      <c r="I4824" s="91"/>
    </row>
    <row r="4825" spans="1:9" x14ac:dyDescent="0.25">
      <c r="A4825" s="69" t="s">
        <v>73</v>
      </c>
      <c r="B4825" s="72" t="str">
        <f>VLOOKUP(A4825,'Componentes APUs'!$A$1:$D$14,2,0)</f>
        <v>Bota de seguridad dielectrica</v>
      </c>
      <c r="C4825" s="73"/>
      <c r="D4825" s="70" t="str">
        <f>VLOOKUP(A4825,'Componentes APUs'!$A$1:$D$14,3,0)</f>
        <v>Par</v>
      </c>
      <c r="E4825" s="50">
        <f>SUM(C4804:C4809)</f>
        <v>1.5</v>
      </c>
      <c r="F4825" s="51">
        <f>VLOOKUP(A4825,'Componentes APUs'!$A$1:$D$14,4,0)</f>
        <v>7500</v>
      </c>
      <c r="G4825" s="51">
        <f>ROUNDUP(F4825*(E4825/21)/E4792,0)</f>
        <v>134</v>
      </c>
    </row>
    <row r="4826" spans="1:9" x14ac:dyDescent="0.25">
      <c r="A4826" s="50" t="s">
        <v>76</v>
      </c>
      <c r="B4826" s="72" t="str">
        <f>VLOOKUP(A4826,'Componentes APUs'!$A$1:$D$14,2,0)</f>
        <v>Casco dielectrico Tipo 1 Clase E con barbuquejo</v>
      </c>
      <c r="C4826" s="73"/>
      <c r="D4826" s="50" t="str">
        <f>VLOOKUP(A4826,'Componentes APUs'!$A$1:$D$14,3,0)</f>
        <v>U</v>
      </c>
      <c r="E4826" s="50">
        <f>C4804+C4805+C4807+C4808+C4809+IF(A4806&lt;&gt;"MO-3",C4806,0)</f>
        <v>1.5</v>
      </c>
      <c r="F4826" s="51">
        <f>VLOOKUP(A4826,'Componentes APUs'!$A$1:$D$14,4,0)</f>
        <v>10101.010101010101</v>
      </c>
      <c r="G4826" s="51">
        <f>ROUNDUP(F4826*(E4826/21)/E4792,0)</f>
        <v>181</v>
      </c>
    </row>
    <row r="4827" spans="1:9" x14ac:dyDescent="0.25">
      <c r="A4827" s="69" t="s">
        <v>77</v>
      </c>
      <c r="B4827" s="72" t="str">
        <f>VLOOKUP(A4827,'Componentes APUs'!$A$1:$D$14,2,0)</f>
        <v>Correa plastica y antiflama</v>
      </c>
      <c r="C4827" s="73"/>
      <c r="D4827" s="50" t="str">
        <f>VLOOKUP(A4827,'Componentes APUs'!$A$1:$D$14,3,0)</f>
        <v>U</v>
      </c>
      <c r="E4827" s="50">
        <f>SUM(C4804:C4809)</f>
        <v>1.5</v>
      </c>
      <c r="F4827" s="51">
        <f>VLOOKUP(A4827,'Componentes APUs'!$A$1:$D$14,4,0)</f>
        <v>3787.878787878788</v>
      </c>
      <c r="G4827" s="51">
        <f>ROUNDUP(F4827*(E4827/21)/E4792,0)</f>
        <v>68</v>
      </c>
    </row>
    <row r="4828" spans="1:9" x14ac:dyDescent="0.25">
      <c r="A4828" s="50" t="s">
        <v>79</v>
      </c>
      <c r="B4828" s="72" t="str">
        <f>VLOOKUP(A4828,'Componentes APUs'!$A$1:$D$14,2,0)</f>
        <v>Gafas protectoras filtro UV</v>
      </c>
      <c r="C4828" s="73"/>
      <c r="D4828" s="50" t="str">
        <f>VLOOKUP(A4828,'Componentes APUs'!$A$1:$D$14,3,0)</f>
        <v>U</v>
      </c>
      <c r="E4828" s="50">
        <f>SUM(C4804:C4809)</f>
        <v>1.5</v>
      </c>
      <c r="F4828" s="51">
        <f>VLOOKUP(A4828,'Componentes APUs'!$A$1:$D$14,4,0)</f>
        <v>2777.7777777777778</v>
      </c>
      <c r="G4828" s="51">
        <f>ROUNDUP(F4828*(E4828/21)/E4792,0)</f>
        <v>50</v>
      </c>
    </row>
    <row r="4829" spans="1:9" x14ac:dyDescent="0.25">
      <c r="A4829" s="69" t="s">
        <v>402</v>
      </c>
      <c r="B4829" s="72" t="str">
        <f>VLOOKUP(A4829,'Componentes APUs'!$A$1:$D$14,2,0)</f>
        <v>Bota de seguridad PVC dielectrica</v>
      </c>
      <c r="C4829" s="73"/>
      <c r="D4829" s="50" t="str">
        <f>VLOOKUP(A4829,'Componentes APUs'!$A$1:$D$14,3,0)</f>
        <v>Par</v>
      </c>
      <c r="E4829" s="50">
        <f>SUM(C4804:C4809)</f>
        <v>1.5</v>
      </c>
      <c r="F4829" s="51">
        <f>VLOOKUP(A4829,'Componentes APUs'!$A$1:$D$14,4,0)</f>
        <v>2916.6666666666665</v>
      </c>
      <c r="G4829" s="51">
        <f>ROUNDUP(F4829*(E4829/21)/E4792,0)</f>
        <v>53</v>
      </c>
    </row>
    <row r="4830" spans="1:9" x14ac:dyDescent="0.25">
      <c r="A4830" s="50" t="s">
        <v>403</v>
      </c>
      <c r="B4830" s="72" t="str">
        <f>VLOOKUP(A4830,'Componentes APUs'!$A$1:$D$14,2,0)</f>
        <v>Capuchon</v>
      </c>
      <c r="C4830" s="73"/>
      <c r="D4830" s="50" t="str">
        <f>VLOOKUP(A4830,'Componentes APUs'!$A$1:$D$14,3,0)</f>
        <v>U</v>
      </c>
      <c r="E4830" s="50">
        <f>SUM(C4804:C4809)</f>
        <v>1.5</v>
      </c>
      <c r="F4830" s="51">
        <f>VLOOKUP(A4830,'Componentes APUs'!$A$1:$D$14,4,0)</f>
        <v>2525.2525252525252</v>
      </c>
      <c r="G4830" s="51">
        <f>ROUNDUP(F4830*(E4830/21)/E4792,0)</f>
        <v>46</v>
      </c>
    </row>
    <row r="4831" spans="1:9" x14ac:dyDescent="0.25">
      <c r="A4831" s="69" t="s">
        <v>81</v>
      </c>
      <c r="B4831" s="72" t="str">
        <f>VLOOKUP(A4831,'Componentes APUs'!$A$1:$D$14,2,0)</f>
        <v>Guantes Protectores  - ingeniero reforzados</v>
      </c>
      <c r="C4831" s="73"/>
      <c r="D4831" s="50" t="str">
        <f>VLOOKUP(A4831,'Componentes APUs'!$A$1:$D$14,3,0)</f>
        <v>Par</v>
      </c>
      <c r="E4831" s="50">
        <f>C4806+C4807+C4809</f>
        <v>1.25</v>
      </c>
      <c r="F4831" s="51">
        <f>VLOOKUP(A4831,'Componentes APUs'!$A$1:$D$14,4,0)</f>
        <v>2525.2525252525252</v>
      </c>
      <c r="G4831" s="51">
        <f>ROUNDUP(F4831*(E4831/21)/E4792,0)</f>
        <v>38</v>
      </c>
    </row>
    <row r="4832" spans="1:9" x14ac:dyDescent="0.25">
      <c r="A4832" s="50" t="s">
        <v>83</v>
      </c>
      <c r="B4832" s="72" t="str">
        <f>VLOOKUP(A4832,'Componentes APUs'!$A$1:$D$14,2,0)</f>
        <v>Impermeable (pantalon camisa)</v>
      </c>
      <c r="C4832" s="73"/>
      <c r="D4832" s="50" t="str">
        <f>VLOOKUP(A4832,'Componentes APUs'!$A$1:$D$14,3,0)</f>
        <v>U</v>
      </c>
      <c r="E4832" s="50">
        <f>SUM(C4804:C4809)</f>
        <v>1.5</v>
      </c>
      <c r="F4832" s="51">
        <f>VLOOKUP(A4832,'Componentes APUs'!$A$1:$D$14,4,0)</f>
        <v>3750</v>
      </c>
      <c r="G4832" s="51">
        <f>ROUNDUP(F4832*(E4832/21)/E4792,0)</f>
        <v>67</v>
      </c>
    </row>
    <row r="4833" spans="1:7" x14ac:dyDescent="0.25">
      <c r="A4833" s="69" t="s">
        <v>85</v>
      </c>
      <c r="B4833" s="72" t="str">
        <f>VLOOKUP(A4833,'Componentes APUs'!$A$1:$D$14,2,0)</f>
        <v>Jean Dielectrico</v>
      </c>
      <c r="C4833" s="73"/>
      <c r="D4833" s="50" t="str">
        <f>VLOOKUP(A4833,'Componentes APUs'!$A$1:$D$14,3,0)</f>
        <v>U</v>
      </c>
      <c r="E4833" s="50">
        <f>SUM(C4804:C4809)</f>
        <v>1.5</v>
      </c>
      <c r="F4833" s="51">
        <f>VLOOKUP(A4833,'Componentes APUs'!$A$1:$D$14,4,0)</f>
        <v>7575.757575757576</v>
      </c>
      <c r="G4833" s="51">
        <f>ROUNDUP(F4833*(E4833/21)/E4792,0)</f>
        <v>136</v>
      </c>
    </row>
    <row r="4834" spans="1:7" x14ac:dyDescent="0.25">
      <c r="A4834" s="50" t="s">
        <v>87</v>
      </c>
      <c r="B4834" s="72" t="str">
        <f>VLOOKUP(A4834,'Componentes APUs'!$A$1:$D$14,2,0)</f>
        <v>Casco dielectrico Tipo 2 Clase E con barboquejo</v>
      </c>
      <c r="C4834" s="73"/>
      <c r="D4834" s="50" t="str">
        <f>VLOOKUP(A4834,'Componentes APUs'!$A$1:$D$14,3,0)</f>
        <v>U</v>
      </c>
      <c r="E4834" s="53">
        <f>IF(A4806="MO-3",C4806,0)</f>
        <v>0</v>
      </c>
      <c r="F4834" s="51">
        <f>VLOOKUP(A4834,'Componentes APUs'!$A$1:$D$14,4,0)</f>
        <v>7500</v>
      </c>
      <c r="G4834" s="51">
        <f>ROUNDUP(F4834*(E4834/21)/E4792,0)</f>
        <v>0</v>
      </c>
    </row>
    <row r="4835" spans="1:7" x14ac:dyDescent="0.25">
      <c r="A4835" s="69" t="s">
        <v>89</v>
      </c>
      <c r="B4835" s="72" t="str">
        <f>VLOOKUP(A4835,'Componentes APUs'!$A$1:$D$14,2,0)</f>
        <v>Kit de rescate para trabajo en alturas</v>
      </c>
      <c r="C4835" s="73"/>
      <c r="D4835" s="50" t="str">
        <f>VLOOKUP(A4835,'Componentes APUs'!$A$1:$D$14,3,0)</f>
        <v>U</v>
      </c>
      <c r="E4835" s="50">
        <f>IF(AND(A4806="MO-3",C4806=2),1,0)</f>
        <v>0</v>
      </c>
      <c r="F4835" s="51">
        <f>VLOOKUP(A4835,'Componentes APUs'!$A$1:$D$14,4,0)</f>
        <v>37500</v>
      </c>
      <c r="G4835" s="51">
        <f>ROUNDUP(F4835*(E4835/21)/E4792,0)</f>
        <v>0</v>
      </c>
    </row>
    <row r="4836" spans="1:7" x14ac:dyDescent="0.25">
      <c r="A4836" s="50" t="s">
        <v>91</v>
      </c>
      <c r="B4836" s="72" t="str">
        <f>VLOOKUP(A4836,'Componentes APUs'!$A$1:$D$14,2,0)</f>
        <v>Equipo completo para trabajo en alturas con pretales (Arnes dielectrico, 1 mosqueton de seguridad, tie off dielectrico, eslinga de posicionamiento, juego de pretales)</v>
      </c>
      <c r="C4836" s="73"/>
      <c r="D4836" s="50" t="str">
        <f>VLOOKUP(A4836,'Componentes APUs'!$A$1:$D$14,3,0)</f>
        <v>U</v>
      </c>
      <c r="E4836" s="50">
        <f>IF(A4806="MO-3",C4806,0)</f>
        <v>0</v>
      </c>
      <c r="F4836" s="51">
        <f>VLOOKUP(A4836,'Componentes APUs'!$A$1:$D$14,4,0)</f>
        <v>26041.666666666668</v>
      </c>
      <c r="G4836" s="51">
        <f>ROUNDUP(F4836*(E4836/21)/E4792,0)</f>
        <v>0</v>
      </c>
    </row>
    <row r="4837" spans="1:7" x14ac:dyDescent="0.25">
      <c r="A4837" s="219" t="s">
        <v>95</v>
      </c>
      <c r="B4837" s="219"/>
      <c r="C4837" s="219"/>
      <c r="D4837" s="219"/>
      <c r="E4837" s="219"/>
      <c r="F4837" s="219"/>
      <c r="G4837" s="52">
        <f>SUM(G4824:G4836)</f>
        <v>927</v>
      </c>
    </row>
    <row r="4838" spans="1:7" x14ac:dyDescent="0.25">
      <c r="A4838" s="56"/>
      <c r="B4838" s="57"/>
      <c r="C4838" s="57"/>
      <c r="D4838" s="57"/>
      <c r="E4838" s="57"/>
      <c r="F4838" s="57"/>
      <c r="G4838" s="58"/>
    </row>
    <row r="4839" spans="1:7" x14ac:dyDescent="0.25">
      <c r="A4839" s="219" t="s">
        <v>96</v>
      </c>
      <c r="B4839" s="219"/>
      <c r="C4839" s="219"/>
      <c r="D4839" s="219"/>
      <c r="E4839" s="219"/>
      <c r="F4839" s="219"/>
      <c r="G4839" s="219"/>
    </row>
    <row r="4840" spans="1:7" x14ac:dyDescent="0.25">
      <c r="A4840" s="49" t="s">
        <v>35</v>
      </c>
      <c r="B4840" s="225" t="s">
        <v>36</v>
      </c>
      <c r="C4840" s="225"/>
      <c r="D4840" s="49" t="s">
        <v>37</v>
      </c>
      <c r="E4840" s="49" t="s">
        <v>38</v>
      </c>
      <c r="F4840" s="49" t="s">
        <v>39</v>
      </c>
      <c r="G4840" s="49" t="s">
        <v>40</v>
      </c>
    </row>
    <row r="4841" spans="1:7" x14ac:dyDescent="0.25">
      <c r="A4841" s="69" t="s">
        <v>97</v>
      </c>
      <c r="B4841" s="72" t="str">
        <f>VLOOKUP(A4841,'Componentes APUs'!$N$1:$Q$30,2,0)</f>
        <v>Camioneta</v>
      </c>
      <c r="C4841" s="73"/>
      <c r="D4841" s="70" t="str">
        <f>VLOOKUP(A4841,'Componentes APUs'!$N$1:$Q$30,3,0)</f>
        <v>U</v>
      </c>
      <c r="E4841" s="50">
        <v>0.5</v>
      </c>
      <c r="F4841" s="51">
        <f>VLOOKUP(A4841,'Componentes APUs'!$N$1:$Q$30,4,0)</f>
        <v>5500000</v>
      </c>
      <c r="G4841" s="51">
        <f>IFERROR(ROUNDUP(F4841*(E4841/21)/E4792,0),"-")</f>
        <v>32739</v>
      </c>
    </row>
    <row r="4842" spans="1:7" x14ac:dyDescent="0.25">
      <c r="A4842" s="50" t="s">
        <v>321</v>
      </c>
      <c r="B4842" s="72" t="str">
        <f>VLOOKUP(A4842,'Componentes APUs'!$N$1:$Q$30,2,0)</f>
        <v>Grúa Hidráulica</v>
      </c>
      <c r="C4842" s="73"/>
      <c r="D4842" s="70" t="str">
        <f>VLOOKUP(A4842,'Componentes APUs'!$N$1:$Q$30,3,0)</f>
        <v>U</v>
      </c>
      <c r="E4842" s="50">
        <v>0</v>
      </c>
      <c r="F4842" s="51">
        <f>VLOOKUP(A4842,'Componentes APUs'!$N$1:$Q$30,4,0)</f>
        <v>21000000</v>
      </c>
      <c r="G4842" s="51">
        <f>IFERROR(ROUNDUP(F4842*(E4842/21)/E4792,0),"-")</f>
        <v>0</v>
      </c>
    </row>
    <row r="4843" spans="1:7" x14ac:dyDescent="0.25">
      <c r="A4843" s="69" t="s">
        <v>1379</v>
      </c>
      <c r="B4843" s="72" t="str">
        <f>VLOOKUP(A4843,'Componentes APUs'!$N$1:$Q$30,2,0)</f>
        <v>Dumper de descarga Frontal 2T</v>
      </c>
      <c r="C4843" s="73"/>
      <c r="D4843" s="70" t="str">
        <f>VLOOKUP(A4843,'Componentes APUs'!$N$1:$Q$30,3,0)</f>
        <v>U</v>
      </c>
      <c r="E4843" s="50">
        <v>0</v>
      </c>
      <c r="F4843" s="51">
        <f>VLOOKUP(A4843,'Componentes APUs'!$N$1:$Q$30,4,0)</f>
        <v>4438716.24</v>
      </c>
      <c r="G4843" s="51">
        <f>IFERROR(ROUNDUP(F4843*(E4843/21)/E4792,0),"-")</f>
        <v>0</v>
      </c>
    </row>
    <row r="4844" spans="1:7" x14ac:dyDescent="0.25">
      <c r="A4844" s="50" t="s">
        <v>323</v>
      </c>
      <c r="B4844" s="72" t="str">
        <f>VLOOKUP(A4844,'Componentes APUs'!$N$1:$Q$30,2,0)</f>
        <v>Volqueta</v>
      </c>
      <c r="C4844" s="73"/>
      <c r="D4844" s="70" t="str">
        <f>VLOOKUP(A4844,'Componentes APUs'!$N$1:$Q$30,3,0)</f>
        <v>U</v>
      </c>
      <c r="E4844" s="50">
        <v>0</v>
      </c>
      <c r="F4844" s="51">
        <f>VLOOKUP(A4844,'Componentes APUs'!$N$1:$Q$30,4,0)</f>
        <v>14828184</v>
      </c>
      <c r="G4844" s="51">
        <f>IFERROR(ROUNDUP(F4844*(E4844/21)/E4792,0),"-")</f>
        <v>0</v>
      </c>
    </row>
    <row r="4845" spans="1:7" x14ac:dyDescent="0.25">
      <c r="A4845" s="69" t="s">
        <v>324</v>
      </c>
      <c r="B4845" s="72" t="str">
        <f>VLOOKUP(A4845,'Componentes APUs'!$N$1:$Q$30,2,0)</f>
        <v>Retroexcavadora</v>
      </c>
      <c r="C4845" s="73"/>
      <c r="D4845" s="70" t="str">
        <f>VLOOKUP(A4845,'Componentes APUs'!$N$1:$Q$30,3,0)</f>
        <v>U</v>
      </c>
      <c r="E4845" s="50">
        <v>0</v>
      </c>
      <c r="F4845" s="51">
        <f>VLOOKUP(A4845,'Componentes APUs'!$N$1:$Q$30,4,0)</f>
        <v>46030656</v>
      </c>
      <c r="G4845" s="51">
        <f>IFERROR(ROUNDUP(F4845*(E4845/21)/E4792,0),"-")</f>
        <v>0</v>
      </c>
    </row>
    <row r="4846" spans="1:7" x14ac:dyDescent="0.25">
      <c r="A4846" s="219" t="s">
        <v>99</v>
      </c>
      <c r="B4846" s="219"/>
      <c r="C4846" s="219"/>
      <c r="D4846" s="219"/>
      <c r="E4846" s="219"/>
      <c r="F4846" s="219"/>
      <c r="G4846" s="52">
        <f>SUM(G4841:G4845)</f>
        <v>32739</v>
      </c>
    </row>
    <row r="4847" spans="1:7" x14ac:dyDescent="0.25">
      <c r="A4847" s="56"/>
      <c r="B4847" s="57"/>
      <c r="C4847" s="57"/>
      <c r="D4847" s="57"/>
      <c r="E4847" s="57"/>
      <c r="F4847" s="57"/>
      <c r="G4847" s="58"/>
    </row>
    <row r="4848" spans="1:7" x14ac:dyDescent="0.25">
      <c r="A4848" s="219" t="s">
        <v>100</v>
      </c>
      <c r="B4848" s="219"/>
      <c r="C4848" s="219"/>
      <c r="D4848" s="219"/>
      <c r="E4848" s="219"/>
      <c r="F4848" s="219"/>
      <c r="G4848" s="52">
        <f>G4846+G4837+G4820+G4810+G4800</f>
        <v>325670</v>
      </c>
    </row>
    <row r="4849" spans="1:12" x14ac:dyDescent="0.25">
      <c r="A4849" s="59"/>
      <c r="B4849" s="60"/>
      <c r="C4849" s="60"/>
      <c r="D4849" s="60"/>
      <c r="E4849" s="57"/>
      <c r="F4849" s="57"/>
      <c r="G4849" s="58"/>
    </row>
    <row r="4850" spans="1:12" x14ac:dyDescent="0.25">
      <c r="A4850" s="64"/>
      <c r="D4850" s="55"/>
      <c r="E4850" s="49" t="s">
        <v>25</v>
      </c>
      <c r="F4850" s="54">
        <v>0.15</v>
      </c>
      <c r="G4850" s="51">
        <f>G4848*F4850</f>
        <v>48850.5</v>
      </c>
    </row>
    <row r="4851" spans="1:12" x14ac:dyDescent="0.25">
      <c r="A4851" s="64"/>
      <c r="D4851" s="55"/>
      <c r="E4851" s="49" t="s">
        <v>26</v>
      </c>
      <c r="F4851" s="54">
        <v>0.05</v>
      </c>
      <c r="G4851" s="51">
        <f>G4848*F4851</f>
        <v>16283.5</v>
      </c>
    </row>
    <row r="4852" spans="1:12" x14ac:dyDescent="0.25">
      <c r="A4852" s="61"/>
      <c r="B4852" s="65"/>
      <c r="C4852" s="65"/>
      <c r="D4852" s="62"/>
      <c r="E4852" s="49" t="s">
        <v>27</v>
      </c>
      <c r="F4852" s="54">
        <v>0.05</v>
      </c>
      <c r="G4852" s="51">
        <f>G4848*F4852</f>
        <v>16283.5</v>
      </c>
    </row>
    <row r="4853" spans="1:12" x14ac:dyDescent="0.25">
      <c r="A4853" s="61"/>
      <c r="B4853" s="62"/>
      <c r="C4853" s="62"/>
      <c r="D4853" s="62"/>
      <c r="E4853" s="62"/>
      <c r="F4853" s="62"/>
      <c r="G4853" s="63"/>
    </row>
    <row r="4854" spans="1:12" x14ac:dyDescent="0.25">
      <c r="A4854" s="219" t="s">
        <v>101</v>
      </c>
      <c r="B4854" s="219"/>
      <c r="C4854" s="219"/>
      <c r="D4854" s="219"/>
      <c r="E4854" s="219"/>
      <c r="F4854" s="219"/>
      <c r="G4854" s="52">
        <f>G4848+G4850+G4851+G4852</f>
        <v>407087.5</v>
      </c>
    </row>
    <row r="4855" spans="1:12" x14ac:dyDescent="0.25">
      <c r="A4855" s="59"/>
      <c r="B4855" s="60"/>
      <c r="C4855" s="60"/>
      <c r="D4855" s="60"/>
      <c r="E4855" s="57"/>
      <c r="F4855" s="57"/>
      <c r="G4855" s="58"/>
    </row>
    <row r="4856" spans="1:12" x14ac:dyDescent="0.25">
      <c r="A4856" s="64"/>
      <c r="D4856" s="55"/>
      <c r="E4856" s="49" t="s">
        <v>102</v>
      </c>
      <c r="F4856" s="49" t="s">
        <v>103</v>
      </c>
      <c r="G4856" s="51">
        <f>G4852*19%</f>
        <v>3093.8650000000002</v>
      </c>
    </row>
    <row r="4857" spans="1:12" x14ac:dyDescent="0.25">
      <c r="A4857" s="61"/>
      <c r="B4857" s="62"/>
      <c r="C4857" s="62"/>
      <c r="D4857" s="62"/>
      <c r="E4857" s="57"/>
      <c r="F4857" s="57"/>
      <c r="G4857" s="58"/>
    </row>
    <row r="4858" spans="1:12" x14ac:dyDescent="0.25">
      <c r="A4858" s="219" t="s">
        <v>104</v>
      </c>
      <c r="B4858" s="219"/>
      <c r="C4858" s="219"/>
      <c r="D4858" s="219"/>
      <c r="E4858" s="219"/>
      <c r="F4858" s="219"/>
      <c r="G4858" s="52">
        <f>G4856+G4854</f>
        <v>410181.36499999999</v>
      </c>
    </row>
    <row r="4860" spans="1:12" x14ac:dyDescent="0.25">
      <c r="A4860" s="74" t="s">
        <v>29</v>
      </c>
      <c r="B4860" s="226" t="s">
        <v>30</v>
      </c>
      <c r="C4860" s="226"/>
      <c r="D4860" s="74" t="s">
        <v>31</v>
      </c>
      <c r="E4860" s="74" t="s">
        <v>32</v>
      </c>
      <c r="F4860" s="74" t="s">
        <v>189</v>
      </c>
      <c r="G4860" s="74" t="s">
        <v>33</v>
      </c>
      <c r="H4860" s="105"/>
    </row>
    <row r="4861" spans="1:12" ht="24.75" customHeight="1" x14ac:dyDescent="0.25">
      <c r="A4861" s="50" t="str">
        <f>Presupuesto!B98</f>
        <v>079_OC</v>
      </c>
      <c r="B4861" s="229" t="str">
        <f>Presupuesto!C98</f>
        <v>CONTRAPISO EN CONCRETO DE 3000 PSI E=0,15 M, INCLUYE REFUERZO</v>
      </c>
      <c r="C4861" s="230"/>
      <c r="D4861" s="50" t="s">
        <v>113</v>
      </c>
      <c r="E4861" s="107">
        <v>11</v>
      </c>
      <c r="F4861" s="50"/>
      <c r="G4861" s="51">
        <f>G4927</f>
        <v>210481.3425</v>
      </c>
      <c r="H4861" s="45"/>
    </row>
    <row r="4862" spans="1:12" x14ac:dyDescent="0.25">
      <c r="A4862" s="219" t="s">
        <v>34</v>
      </c>
      <c r="B4862" s="219"/>
      <c r="C4862" s="219"/>
      <c r="D4862" s="219"/>
      <c r="E4862" s="219"/>
      <c r="F4862" s="219"/>
      <c r="G4862" s="219"/>
    </row>
    <row r="4863" spans="1:12" x14ac:dyDescent="0.25">
      <c r="A4863" s="49" t="s">
        <v>35</v>
      </c>
      <c r="B4863" s="219" t="s">
        <v>36</v>
      </c>
      <c r="C4863" s="219"/>
      <c r="D4863" s="49" t="s">
        <v>37</v>
      </c>
      <c r="E4863" s="49" t="s">
        <v>38</v>
      </c>
      <c r="F4863" s="49" t="s">
        <v>39</v>
      </c>
      <c r="G4863" s="49" t="s">
        <v>40</v>
      </c>
      <c r="K4863" s="23"/>
      <c r="L4863" s="23"/>
    </row>
    <row r="4864" spans="1:12" ht="24" x14ac:dyDescent="0.25">
      <c r="A4864" s="50" t="str">
        <f>Material!A218</f>
        <v>MA-217</v>
      </c>
      <c r="B4864" s="146" t="str">
        <f>IFERROR(VLOOKUP(A4864,Material!$A:$H,2,0),"-")</f>
        <v>FORMALETA EN MADERA CON TABLA DE 1"</v>
      </c>
      <c r="C4864" s="76"/>
      <c r="D4864" s="50" t="str">
        <f>IFERROR(VLOOKUP(A4864,Material!$A:$H,4,0),"-")</f>
        <v>M2</v>
      </c>
      <c r="E4864" s="107">
        <v>0.105</v>
      </c>
      <c r="F4864" s="51">
        <f>IFERROR(VLOOKUP(A4864,Material!$A:$H,3,0),"-")</f>
        <v>24691.116165303549</v>
      </c>
      <c r="G4864" s="51">
        <f>IFERROR(ROUNDUP(F4864*E4864,0),"-")</f>
        <v>2593</v>
      </c>
      <c r="H4864" s="106"/>
    </row>
    <row r="4865" spans="1:9" x14ac:dyDescent="0.25">
      <c r="A4865" s="50" t="str">
        <f>Material!A15</f>
        <v>MA-14</v>
      </c>
      <c r="B4865" s="146" t="str">
        <f>IFERROR(VLOOKUP(A4865,Material!$A:$H,2,0),"-")</f>
        <v>CONCRETO DE 3000 PSI</v>
      </c>
      <c r="C4865" s="76"/>
      <c r="D4865" s="50" t="str">
        <f>IFERROR(VLOOKUP(A4865,Material!$A:$H,4,0),"-")</f>
        <v>M3</v>
      </c>
      <c r="E4865" s="107">
        <v>0.15</v>
      </c>
      <c r="F4865" s="51">
        <f>IFERROR(VLOOKUP(A4865,Material!$A:$H,3,0),"-")</f>
        <v>620227.23330691375</v>
      </c>
      <c r="G4865" s="51">
        <f>IFERROR(ROUNDUP(F4865*E4865,0),"-")</f>
        <v>93035</v>
      </c>
      <c r="H4865" s="106"/>
    </row>
    <row r="4866" spans="1:9" x14ac:dyDescent="0.25">
      <c r="A4866" s="50" t="str">
        <f>Material!A14</f>
        <v>MA-13</v>
      </c>
      <c r="B4866" s="146" t="str">
        <f>IFERROR(VLOOKUP(A4866,Material!$A:$H,2,0),"-")</f>
        <v>MALLA ELECTROSOLDADA 4 mm</v>
      </c>
      <c r="C4866" s="76"/>
      <c r="D4866" s="50" t="str">
        <f>IFERROR(VLOOKUP(A4866,Material!$A:$H,4,0),"-")</f>
        <v>M2</v>
      </c>
      <c r="E4866" s="107">
        <v>1.05</v>
      </c>
      <c r="F4866" s="51">
        <f>IFERROR(VLOOKUP(A4866,Material!$A:$H,3,0),"-")</f>
        <v>8577</v>
      </c>
      <c r="G4866" s="51">
        <f>IFERROR(ROUNDUP(F4866*E4866,0),"-")</f>
        <v>9006</v>
      </c>
      <c r="H4866" s="106"/>
    </row>
    <row r="4867" spans="1:9" x14ac:dyDescent="0.25">
      <c r="A4867" s="50" t="str">
        <f>Material!A599</f>
        <v>MA-598</v>
      </c>
      <c r="B4867" s="72" t="str">
        <f>IFERROR(VLOOKUP(A4867,Material!$A:$H,2,0),"-")</f>
        <v>GASOLINA</v>
      </c>
      <c r="C4867" s="76"/>
      <c r="D4867" s="50" t="str">
        <f>IFERROR(VLOOKUP(A4867,Material!$A:$H,4,0),"-")</f>
        <v>GAL</v>
      </c>
      <c r="E4867" s="107">
        <v>0.03</v>
      </c>
      <c r="F4867" s="51">
        <f>IFERROR(VLOOKUP(A4867,Material!$A:$H,3,0),"-")</f>
        <v>20694.7</v>
      </c>
      <c r="G4867" s="51">
        <f>IFERROR(ROUNDUP(F4867*E4867,0),"-")</f>
        <v>621</v>
      </c>
      <c r="H4867" s="106"/>
    </row>
    <row r="4868" spans="1:9" x14ac:dyDescent="0.25">
      <c r="A4868" s="50"/>
      <c r="B4868" s="72" t="str">
        <f>IFERROR(VLOOKUP(A4868,Material!$A:$H,2,0),"-")</f>
        <v>-</v>
      </c>
      <c r="C4868" s="76"/>
      <c r="D4868" s="50" t="str">
        <f>IFERROR(VLOOKUP(A4868,Material!$A:$H,4,0),"-")</f>
        <v>-</v>
      </c>
      <c r="E4868" s="107"/>
      <c r="F4868" s="51" t="str">
        <f>IFERROR(VLOOKUP(A4868,Material!$A:$H,3,0),"-")</f>
        <v>-</v>
      </c>
      <c r="G4868" s="51" t="str">
        <f>IFERROR(ROUNDUP(F4868*E4868,0),"-")</f>
        <v>-</v>
      </c>
      <c r="H4868" s="106"/>
    </row>
    <row r="4869" spans="1:9" x14ac:dyDescent="0.25">
      <c r="A4869" s="219" t="s">
        <v>41</v>
      </c>
      <c r="B4869" s="219"/>
      <c r="C4869" s="219"/>
      <c r="D4869" s="219"/>
      <c r="E4869" s="219"/>
      <c r="F4869" s="219"/>
      <c r="G4869" s="52">
        <f>SUM(G4864:G4868)</f>
        <v>105255</v>
      </c>
      <c r="I4869" s="104"/>
    </row>
    <row r="4870" spans="1:9" x14ac:dyDescent="0.25">
      <c r="A4870" s="56"/>
      <c r="B4870" s="57"/>
      <c r="C4870" s="57"/>
      <c r="D4870" s="57"/>
      <c r="E4870" s="57"/>
      <c r="F4870" s="57"/>
      <c r="G4870" s="58"/>
    </row>
    <row r="4871" spans="1:9" x14ac:dyDescent="0.25">
      <c r="A4871" s="219" t="s">
        <v>42</v>
      </c>
      <c r="B4871" s="219"/>
      <c r="C4871" s="219"/>
      <c r="D4871" s="219"/>
      <c r="E4871" s="219"/>
      <c r="F4871" s="219"/>
      <c r="G4871" s="219"/>
    </row>
    <row r="4872" spans="1:9" x14ac:dyDescent="0.25">
      <c r="A4872" s="49" t="s">
        <v>35</v>
      </c>
      <c r="B4872" s="49" t="s">
        <v>36</v>
      </c>
      <c r="C4872" s="49" t="s">
        <v>38</v>
      </c>
      <c r="D4872" s="49" t="s">
        <v>43</v>
      </c>
      <c r="E4872" s="49" t="s">
        <v>44</v>
      </c>
      <c r="F4872" s="49" t="s">
        <v>45</v>
      </c>
      <c r="G4872" s="49" t="s">
        <v>40</v>
      </c>
    </row>
    <row r="4873" spans="1:9" x14ac:dyDescent="0.25">
      <c r="A4873" s="50" t="s">
        <v>319</v>
      </c>
      <c r="B4873" s="68" t="str">
        <f>VLOOKUP(A4873,'Componentes APUs'!$H$1:$L$25,2,0)</f>
        <v>Ingeniero Residente de Obra</v>
      </c>
      <c r="C4873" s="93">
        <v>0.25</v>
      </c>
      <c r="D4873" s="50">
        <f>VLOOKUP(A4873,'Componentes APUs'!$H$1:$L$25,3,0)</f>
        <v>4</v>
      </c>
      <c r="E4873" s="51">
        <f>VLOOKUP(A4873,'Componentes APUs'!$H$1:$L$25,4,0)</f>
        <v>271142.85714285716</v>
      </c>
      <c r="F4873" s="51">
        <f>VLOOKUP(A4873,'Componentes APUs'!$H$1:$L$25,5,0)</f>
        <v>162685.71428571429</v>
      </c>
      <c r="G4873" s="51">
        <f>ROUNDUP((E4873+F4873)*C4873/E4861,0)</f>
        <v>9860</v>
      </c>
      <c r="H4873" s="66"/>
    </row>
    <row r="4874" spans="1:9" x14ac:dyDescent="0.25">
      <c r="A4874" s="50" t="s">
        <v>320</v>
      </c>
      <c r="B4874" s="68" t="str">
        <f>VLOOKUP(A4874,'Componentes APUs'!$H$1:$L$25,2,0)</f>
        <v>Tecnico Supervisor</v>
      </c>
      <c r="C4874" s="93">
        <v>0</v>
      </c>
      <c r="D4874" s="50">
        <f>VLOOKUP(A4874,'Componentes APUs'!$H$1:$L$25,3,0)</f>
        <v>2.2999999999999998</v>
      </c>
      <c r="E4874" s="51">
        <f>VLOOKUP(A4874,'Componentes APUs'!$H$1:$L$25,4,0)</f>
        <v>155907.14285714284</v>
      </c>
      <c r="F4874" s="51">
        <f>VLOOKUP(A4874,'Componentes APUs'!$H$1:$L$25,5,0)</f>
        <v>93544.285714285696</v>
      </c>
      <c r="G4874" s="51">
        <f>ROUNDUP((E4874+F4874)*C4874/E4861,0)</f>
        <v>0</v>
      </c>
    </row>
    <row r="4875" spans="1:9" x14ac:dyDescent="0.25">
      <c r="A4875" s="50" t="s">
        <v>54</v>
      </c>
      <c r="B4875" s="68" t="str">
        <f>VLOOKUP(A4875,'Componentes APUs'!$H$1:$L$25,2,0)</f>
        <v>Maestro de obra civil</v>
      </c>
      <c r="C4875" s="93">
        <v>0</v>
      </c>
      <c r="D4875" s="50">
        <f>VLOOKUP(A4875,'Componentes APUs'!$H$1:$L$25,3,0)</f>
        <v>2.5</v>
      </c>
      <c r="E4875" s="51">
        <f>VLOOKUP(A4875,'Componentes APUs'!$H$1:$L$25,4,0)</f>
        <v>169464.28571428571</v>
      </c>
      <c r="F4875" s="51">
        <f>VLOOKUP(A4875,'Componentes APUs'!$H$1:$L$25,5,0)</f>
        <v>101678.57142857142</v>
      </c>
      <c r="G4875" s="51">
        <f>ROUNDUP((E4875+F4875)*C4875/E4861,0)</f>
        <v>0</v>
      </c>
    </row>
    <row r="4876" spans="1:9" x14ac:dyDescent="0.25">
      <c r="A4876" s="50" t="s">
        <v>1110</v>
      </c>
      <c r="B4876" s="68" t="str">
        <f>VLOOKUP(A4876,'Componentes APUs'!$H$1:$L$25,2,0)</f>
        <v>Oficial de Obra Civil</v>
      </c>
      <c r="C4876" s="93">
        <v>1</v>
      </c>
      <c r="D4876" s="50">
        <f>VLOOKUP(A4876,'Componentes APUs'!$H$1:$L$25,3,0)</f>
        <v>1.5</v>
      </c>
      <c r="E4876" s="51">
        <f>VLOOKUP(A4876,'Componentes APUs'!$H$1:$L$25,4,0)</f>
        <v>115964.28571428571</v>
      </c>
      <c r="F4876" s="51">
        <f>VLOOKUP(A4876,'Componentes APUs'!$H$1:$L$25,5,0)</f>
        <v>69578.57142857142</v>
      </c>
      <c r="G4876" s="51">
        <f>ROUNDUP((E4876+F4876)*C4876/E4861,0)</f>
        <v>16868</v>
      </c>
    </row>
    <row r="4877" spans="1:9" x14ac:dyDescent="0.25">
      <c r="A4877" s="50" t="s">
        <v>50</v>
      </c>
      <c r="B4877" s="68" t="str">
        <f>VLOOKUP(A4877,'Componentes APUs'!$H$1:$L$25,2,0)</f>
        <v>Profesional en SST</v>
      </c>
      <c r="C4877" s="93">
        <v>0.25</v>
      </c>
      <c r="D4877" s="50">
        <f>VLOOKUP(A4877,'Componentes APUs'!$H$1:$L$25,3,0)</f>
        <v>2.5</v>
      </c>
      <c r="E4877" s="51">
        <f>VLOOKUP(A4877,'Componentes APUs'!$H$1:$L$25,4,0)</f>
        <v>169464.28571428571</v>
      </c>
      <c r="F4877" s="51">
        <f>VLOOKUP(A4877,'Componentes APUs'!$H$1:$L$25,5,0)</f>
        <v>101678.57142857142</v>
      </c>
      <c r="G4877" s="51">
        <f>ROUNDUP((E4877+F4877)*C4877/E4861,0)</f>
        <v>6163</v>
      </c>
    </row>
    <row r="4878" spans="1:9" x14ac:dyDescent="0.25">
      <c r="A4878" s="50" t="s">
        <v>1109</v>
      </c>
      <c r="B4878" s="68" t="str">
        <f>VLOOKUP(A4878,'Componentes APUs'!$H$1:$L$25,2,0)</f>
        <v>Ayudante de Obra Civil</v>
      </c>
      <c r="C4878" s="93">
        <v>2</v>
      </c>
      <c r="D4878" s="50">
        <f>VLOOKUP(A4878,'Componentes APUs'!$H$1:$L$25,3,0)</f>
        <v>1</v>
      </c>
      <c r="E4878" s="51">
        <f>VLOOKUP(A4878,'Componentes APUs'!$H$1:$L$25,4,0)</f>
        <v>77309.523809523816</v>
      </c>
      <c r="F4878" s="51">
        <f>VLOOKUP(A4878,'Componentes APUs'!$H$1:$L$25,5,0)</f>
        <v>46385.71428571429</v>
      </c>
      <c r="G4878" s="51">
        <f>ROUNDUP((E4878+F4878)*C4878/E4861,0)</f>
        <v>22491</v>
      </c>
    </row>
    <row r="4879" spans="1:9" x14ac:dyDescent="0.25">
      <c r="A4879" s="219" t="s">
        <v>56</v>
      </c>
      <c r="B4879" s="219"/>
      <c r="C4879" s="219"/>
      <c r="D4879" s="219"/>
      <c r="E4879" s="219"/>
      <c r="F4879" s="219"/>
      <c r="G4879" s="52">
        <f>SUM(G4873:G4878)</f>
        <v>55382</v>
      </c>
    </row>
    <row r="4880" spans="1:9" x14ac:dyDescent="0.25">
      <c r="A4880" s="56"/>
      <c r="B4880" s="57"/>
      <c r="C4880" s="57"/>
      <c r="D4880" s="57"/>
      <c r="E4880" s="57"/>
      <c r="F4880" s="57"/>
      <c r="G4880" s="58"/>
    </row>
    <row r="4881" spans="1:9" x14ac:dyDescent="0.25">
      <c r="A4881" s="219" t="s">
        <v>57</v>
      </c>
      <c r="B4881" s="219"/>
      <c r="C4881" s="219"/>
      <c r="D4881" s="219"/>
      <c r="E4881" s="219"/>
      <c r="F4881" s="219"/>
      <c r="G4881" s="219"/>
    </row>
    <row r="4882" spans="1:9" x14ac:dyDescent="0.25">
      <c r="A4882" s="49" t="s">
        <v>35</v>
      </c>
      <c r="B4882" s="219" t="s">
        <v>36</v>
      </c>
      <c r="C4882" s="219"/>
      <c r="D4882" s="49" t="s">
        <v>37</v>
      </c>
      <c r="E4882" s="49" t="s">
        <v>38</v>
      </c>
      <c r="F4882" s="49" t="s">
        <v>39</v>
      </c>
      <c r="G4882" s="49" t="s">
        <v>40</v>
      </c>
    </row>
    <row r="4883" spans="1:9" x14ac:dyDescent="0.25">
      <c r="A4883" s="50" t="s">
        <v>326</v>
      </c>
      <c r="B4883" s="220" t="str">
        <f>VLOOKUP(A4883,'Componentes APUs'!$S$1:$V$10,2,0)</f>
        <v>Juego Llaves</v>
      </c>
      <c r="C4883" s="220"/>
      <c r="D4883" s="50" t="s">
        <v>18</v>
      </c>
      <c r="E4883" s="50">
        <v>0</v>
      </c>
      <c r="F4883" s="51">
        <f>VLOOKUP(A4883,'Componentes APUs'!$S$1:$V$10,4,0)</f>
        <v>9167</v>
      </c>
      <c r="G4883" s="51">
        <f>ROUNDUP(F4883*((E4883/21)/E4861),0)</f>
        <v>0</v>
      </c>
      <c r="I4883" s="91"/>
    </row>
    <row r="4884" spans="1:9" x14ac:dyDescent="0.25">
      <c r="A4884" s="50" t="s">
        <v>58</v>
      </c>
      <c r="B4884" s="220" t="str">
        <f>VLOOKUP(A4884,'Componentes APUs'!$S$1:$V$10,2,0)</f>
        <v>Manila de servicio</v>
      </c>
      <c r="C4884" s="220"/>
      <c r="D4884" s="50" t="s">
        <v>18</v>
      </c>
      <c r="E4884" s="50">
        <v>0</v>
      </c>
      <c r="F4884" s="51">
        <f>VLOOKUP(A4884,'Componentes APUs'!$S$1:$V$10,4,0)</f>
        <v>2333</v>
      </c>
      <c r="G4884" s="51">
        <f>ROUNDUP(F4884*((E4884/21)/E4861),0)</f>
        <v>0</v>
      </c>
    </row>
    <row r="4885" spans="1:9" x14ac:dyDescent="0.25">
      <c r="A4885" s="50" t="s">
        <v>327</v>
      </c>
      <c r="B4885" s="220" t="str">
        <f>VLOOKUP(A4885,'Componentes APUs'!$S$1:$V$10,2,0)</f>
        <v>Tula portaherramientas</v>
      </c>
      <c r="C4885" s="220"/>
      <c r="D4885" s="50" t="s">
        <v>18</v>
      </c>
      <c r="E4885" s="50">
        <v>0</v>
      </c>
      <c r="F4885" s="51">
        <f>VLOOKUP(A4885,'Componentes APUs'!$S$1:$V$10,4,0)</f>
        <v>1250</v>
      </c>
      <c r="G4885" s="51">
        <f>ROUNDUP(F4885*((E4885/21)/E4861),0)</f>
        <v>0</v>
      </c>
    </row>
    <row r="4886" spans="1:9" x14ac:dyDescent="0.25">
      <c r="A4886" s="50" t="s">
        <v>60</v>
      </c>
      <c r="B4886" s="220" t="str">
        <f>VLOOKUP(A4886,'Componentes APUs'!$S$1:$V$10,2,0)</f>
        <v>Agarradoras</v>
      </c>
      <c r="C4886" s="220"/>
      <c r="D4886" s="50" t="s">
        <v>18</v>
      </c>
      <c r="E4886" s="50">
        <v>0</v>
      </c>
      <c r="F4886" s="51">
        <f>VLOOKUP(A4886,'Componentes APUs'!$S$1:$V$10,4,0)</f>
        <v>125000</v>
      </c>
      <c r="G4886" s="51">
        <f>ROUNDUP(F4886*((E4886/21)/E4861),0)</f>
        <v>0</v>
      </c>
    </row>
    <row r="4887" spans="1:9" x14ac:dyDescent="0.25">
      <c r="A4887" s="50" t="s">
        <v>62</v>
      </c>
      <c r="B4887" s="220" t="str">
        <f>VLOOKUP(A4887,'Componentes APUs'!$S$1:$V$10,2,0)</f>
        <v>Templadoras</v>
      </c>
      <c r="C4887" s="220"/>
      <c r="D4887" s="50" t="s">
        <v>18</v>
      </c>
      <c r="E4887" s="50">
        <v>0</v>
      </c>
      <c r="F4887" s="51">
        <f>VLOOKUP(A4887,'Componentes APUs'!$S$1:$V$10,4,0)</f>
        <v>250000</v>
      </c>
      <c r="G4887" s="51">
        <f>ROUNDUP(F4887*((E4887/21)/E4861),0)</f>
        <v>0</v>
      </c>
    </row>
    <row r="4888" spans="1:9" x14ac:dyDescent="0.25">
      <c r="A4888" s="50" t="s">
        <v>328</v>
      </c>
      <c r="B4888" s="220" t="str">
        <f>VLOOKUP(A4888,'Componentes APUs'!$S$1:$V$10,2,0)</f>
        <v>Herramienta Menor</v>
      </c>
      <c r="C4888" s="220"/>
      <c r="D4888" s="50" t="s">
        <v>18</v>
      </c>
      <c r="E4888" s="50">
        <v>1</v>
      </c>
      <c r="F4888" s="51">
        <f>VLOOKUP(A4888,'Componentes APUs'!$S$1:$V$10,4,0)</f>
        <v>75758</v>
      </c>
      <c r="G4888" s="51">
        <f>ROUNDUP(F4888*((E4888/21)/E4861),0)</f>
        <v>328</v>
      </c>
    </row>
    <row r="4889" spans="1:9" x14ac:dyDescent="0.25">
      <c r="A4889" s="219" t="s">
        <v>69</v>
      </c>
      <c r="B4889" s="219"/>
      <c r="C4889" s="219"/>
      <c r="D4889" s="219"/>
      <c r="E4889" s="219"/>
      <c r="F4889" s="219"/>
      <c r="G4889" s="52">
        <f>SUM(G4883:G4888)</f>
        <v>328</v>
      </c>
    </row>
    <row r="4890" spans="1:9" x14ac:dyDescent="0.25">
      <c r="A4890" s="56"/>
      <c r="B4890" s="57"/>
      <c r="C4890" s="57"/>
      <c r="D4890" s="57"/>
      <c r="E4890" s="57"/>
      <c r="F4890" s="57"/>
      <c r="G4890" s="58"/>
    </row>
    <row r="4891" spans="1:9" x14ac:dyDescent="0.25">
      <c r="A4891" s="219" t="s">
        <v>70</v>
      </c>
      <c r="B4891" s="219"/>
      <c r="C4891" s="219"/>
      <c r="D4891" s="219"/>
      <c r="E4891" s="219"/>
      <c r="F4891" s="219"/>
      <c r="G4891" s="219"/>
    </row>
    <row r="4892" spans="1:9" x14ac:dyDescent="0.25">
      <c r="A4892" s="49" t="s">
        <v>35</v>
      </c>
      <c r="B4892" s="219" t="s">
        <v>36</v>
      </c>
      <c r="C4892" s="219"/>
      <c r="D4892" s="49" t="s">
        <v>37</v>
      </c>
      <c r="E4892" s="49" t="s">
        <v>38</v>
      </c>
      <c r="F4892" s="49" t="s">
        <v>39</v>
      </c>
      <c r="G4892" s="49" t="s">
        <v>40</v>
      </c>
    </row>
    <row r="4893" spans="1:9" x14ac:dyDescent="0.25">
      <c r="A4893" s="50" t="s">
        <v>71</v>
      </c>
      <c r="B4893" s="71" t="str">
        <f>VLOOKUP(A4893,'Componentes APUs'!$A$1:$D$14,2,0)</f>
        <v>Camisa indigo sin partes metalicas</v>
      </c>
      <c r="C4893" s="71"/>
      <c r="D4893" s="50" t="str">
        <f>VLOOKUP(A4893,'Componentes APUs'!$A$1:$D$14,3,0)</f>
        <v>U</v>
      </c>
      <c r="E4893" s="50">
        <f>SUM(C4873:C4878)</f>
        <v>3.5</v>
      </c>
      <c r="F4893" s="51">
        <f>VLOOKUP(A4893,'Componentes APUs'!$A$1:$D$14,4,0)</f>
        <v>8585.8585858585866</v>
      </c>
      <c r="G4893" s="51">
        <f>ROUNDUP(F4893*(E4893/21)/E4861,0)</f>
        <v>131</v>
      </c>
      <c r="I4893" s="91"/>
    </row>
    <row r="4894" spans="1:9" x14ac:dyDescent="0.25">
      <c r="A4894" s="69" t="s">
        <v>73</v>
      </c>
      <c r="B4894" s="72" t="str">
        <f>VLOOKUP(A4894,'Componentes APUs'!$A$1:$D$14,2,0)</f>
        <v>Bota de seguridad dielectrica</v>
      </c>
      <c r="C4894" s="73"/>
      <c r="D4894" s="70" t="str">
        <f>VLOOKUP(A4894,'Componentes APUs'!$A$1:$D$14,3,0)</f>
        <v>Par</v>
      </c>
      <c r="E4894" s="50">
        <f>SUM(C4873:C4878)</f>
        <v>3.5</v>
      </c>
      <c r="F4894" s="51">
        <f>VLOOKUP(A4894,'Componentes APUs'!$A$1:$D$14,4,0)</f>
        <v>7500</v>
      </c>
      <c r="G4894" s="51">
        <f>ROUNDUP(F4894*(E4894/21)/E4861,0)</f>
        <v>114</v>
      </c>
    </row>
    <row r="4895" spans="1:9" x14ac:dyDescent="0.25">
      <c r="A4895" s="50" t="s">
        <v>76</v>
      </c>
      <c r="B4895" s="72" t="str">
        <f>VLOOKUP(A4895,'Componentes APUs'!$A$1:$D$14,2,0)</f>
        <v>Casco dielectrico Tipo 1 Clase E con barbuquejo</v>
      </c>
      <c r="C4895" s="73"/>
      <c r="D4895" s="50" t="str">
        <f>VLOOKUP(A4895,'Componentes APUs'!$A$1:$D$14,3,0)</f>
        <v>U</v>
      </c>
      <c r="E4895" s="50">
        <f>C4873+C4874+C4876+C4877+C4878+IF(A4875&lt;&gt;"MO-3",C4875,0)</f>
        <v>3.5</v>
      </c>
      <c r="F4895" s="51">
        <f>VLOOKUP(A4895,'Componentes APUs'!$A$1:$D$14,4,0)</f>
        <v>10101.010101010101</v>
      </c>
      <c r="G4895" s="51">
        <f>ROUNDUP(F4895*(E4895/21)/E4861,0)</f>
        <v>154</v>
      </c>
    </row>
    <row r="4896" spans="1:9" x14ac:dyDescent="0.25">
      <c r="A4896" s="69" t="s">
        <v>77</v>
      </c>
      <c r="B4896" s="72" t="str">
        <f>VLOOKUP(A4896,'Componentes APUs'!$A$1:$D$14,2,0)</f>
        <v>Correa plastica y antiflama</v>
      </c>
      <c r="C4896" s="73"/>
      <c r="D4896" s="50" t="str">
        <f>VLOOKUP(A4896,'Componentes APUs'!$A$1:$D$14,3,0)</f>
        <v>U</v>
      </c>
      <c r="E4896" s="50">
        <f>SUM(C4873:C4878)</f>
        <v>3.5</v>
      </c>
      <c r="F4896" s="51">
        <f>VLOOKUP(A4896,'Componentes APUs'!$A$1:$D$14,4,0)</f>
        <v>3787.878787878788</v>
      </c>
      <c r="G4896" s="51">
        <f>ROUNDUP(F4896*(E4896/21)/E4861,0)</f>
        <v>58</v>
      </c>
    </row>
    <row r="4897" spans="1:7" x14ac:dyDescent="0.25">
      <c r="A4897" s="50" t="s">
        <v>79</v>
      </c>
      <c r="B4897" s="72" t="str">
        <f>VLOOKUP(A4897,'Componentes APUs'!$A$1:$D$14,2,0)</f>
        <v>Gafas protectoras filtro UV</v>
      </c>
      <c r="C4897" s="73"/>
      <c r="D4897" s="50" t="str">
        <f>VLOOKUP(A4897,'Componentes APUs'!$A$1:$D$14,3,0)</f>
        <v>U</v>
      </c>
      <c r="E4897" s="50">
        <f>SUM(C4873:C4878)</f>
        <v>3.5</v>
      </c>
      <c r="F4897" s="51">
        <f>VLOOKUP(A4897,'Componentes APUs'!$A$1:$D$14,4,0)</f>
        <v>2777.7777777777778</v>
      </c>
      <c r="G4897" s="51">
        <f>ROUNDUP(F4897*(E4897/21)/E4861,0)</f>
        <v>43</v>
      </c>
    </row>
    <row r="4898" spans="1:7" x14ac:dyDescent="0.25">
      <c r="A4898" s="69" t="s">
        <v>402</v>
      </c>
      <c r="B4898" s="72" t="str">
        <f>VLOOKUP(A4898,'Componentes APUs'!$A$1:$D$14,2,0)</f>
        <v>Bota de seguridad PVC dielectrica</v>
      </c>
      <c r="C4898" s="73"/>
      <c r="D4898" s="50" t="str">
        <f>VLOOKUP(A4898,'Componentes APUs'!$A$1:$D$14,3,0)</f>
        <v>Par</v>
      </c>
      <c r="E4898" s="50">
        <f>SUM(C4873:C4878)</f>
        <v>3.5</v>
      </c>
      <c r="F4898" s="51">
        <f>VLOOKUP(A4898,'Componentes APUs'!$A$1:$D$14,4,0)</f>
        <v>2916.6666666666665</v>
      </c>
      <c r="G4898" s="51">
        <f>ROUNDUP(F4898*(E4898/21)/E4861,0)</f>
        <v>45</v>
      </c>
    </row>
    <row r="4899" spans="1:7" x14ac:dyDescent="0.25">
      <c r="A4899" s="50" t="s">
        <v>403</v>
      </c>
      <c r="B4899" s="72" t="str">
        <f>VLOOKUP(A4899,'Componentes APUs'!$A$1:$D$14,2,0)</f>
        <v>Capuchon</v>
      </c>
      <c r="C4899" s="73"/>
      <c r="D4899" s="50" t="str">
        <f>VLOOKUP(A4899,'Componentes APUs'!$A$1:$D$14,3,0)</f>
        <v>U</v>
      </c>
      <c r="E4899" s="50">
        <f>SUM(C4873:C4878)</f>
        <v>3.5</v>
      </c>
      <c r="F4899" s="51">
        <f>VLOOKUP(A4899,'Componentes APUs'!$A$1:$D$14,4,0)</f>
        <v>2525.2525252525252</v>
      </c>
      <c r="G4899" s="51">
        <f>ROUNDUP(F4899*(E4899/21)/E4861,0)</f>
        <v>39</v>
      </c>
    </row>
    <row r="4900" spans="1:7" x14ac:dyDescent="0.25">
      <c r="A4900" s="69" t="s">
        <v>81</v>
      </c>
      <c r="B4900" s="72" t="str">
        <f>VLOOKUP(A4900,'Componentes APUs'!$A$1:$D$14,2,0)</f>
        <v>Guantes Protectores  - ingeniero reforzados</v>
      </c>
      <c r="C4900" s="73"/>
      <c r="D4900" s="50" t="str">
        <f>VLOOKUP(A4900,'Componentes APUs'!$A$1:$D$14,3,0)</f>
        <v>Par</v>
      </c>
      <c r="E4900" s="50">
        <f>C4875+C4876+C4878</f>
        <v>3</v>
      </c>
      <c r="F4900" s="51">
        <f>VLOOKUP(A4900,'Componentes APUs'!$A$1:$D$14,4,0)</f>
        <v>2525.2525252525252</v>
      </c>
      <c r="G4900" s="51">
        <f>ROUNDUP(F4900*(E4900/21)/E4861,0)</f>
        <v>33</v>
      </c>
    </row>
    <row r="4901" spans="1:7" x14ac:dyDescent="0.25">
      <c r="A4901" s="50" t="s">
        <v>83</v>
      </c>
      <c r="B4901" s="72" t="str">
        <f>VLOOKUP(A4901,'Componentes APUs'!$A$1:$D$14,2,0)</f>
        <v>Impermeable (pantalon camisa)</v>
      </c>
      <c r="C4901" s="73"/>
      <c r="D4901" s="50" t="str">
        <f>VLOOKUP(A4901,'Componentes APUs'!$A$1:$D$14,3,0)</f>
        <v>U</v>
      </c>
      <c r="E4901" s="50">
        <f>SUM(C4873:C4878)</f>
        <v>3.5</v>
      </c>
      <c r="F4901" s="51">
        <f>VLOOKUP(A4901,'Componentes APUs'!$A$1:$D$14,4,0)</f>
        <v>3750</v>
      </c>
      <c r="G4901" s="51">
        <f>ROUNDUP(F4901*(E4901/21)/E4861,0)</f>
        <v>57</v>
      </c>
    </row>
    <row r="4902" spans="1:7" x14ac:dyDescent="0.25">
      <c r="A4902" s="69" t="s">
        <v>85</v>
      </c>
      <c r="B4902" s="72" t="str">
        <f>VLOOKUP(A4902,'Componentes APUs'!$A$1:$D$14,2,0)</f>
        <v>Jean Dielectrico</v>
      </c>
      <c r="C4902" s="73"/>
      <c r="D4902" s="50" t="str">
        <f>VLOOKUP(A4902,'Componentes APUs'!$A$1:$D$14,3,0)</f>
        <v>U</v>
      </c>
      <c r="E4902" s="50">
        <f>SUM(C4873:C4878)</f>
        <v>3.5</v>
      </c>
      <c r="F4902" s="51">
        <f>VLOOKUP(A4902,'Componentes APUs'!$A$1:$D$14,4,0)</f>
        <v>7575.757575757576</v>
      </c>
      <c r="G4902" s="51">
        <f>ROUNDUP(F4902*(E4902/21)/E4861,0)</f>
        <v>115</v>
      </c>
    </row>
    <row r="4903" spans="1:7" x14ac:dyDescent="0.25">
      <c r="A4903" s="50" t="s">
        <v>87</v>
      </c>
      <c r="B4903" s="72" t="str">
        <f>VLOOKUP(A4903,'Componentes APUs'!$A$1:$D$14,2,0)</f>
        <v>Casco dielectrico Tipo 2 Clase E con barboquejo</v>
      </c>
      <c r="C4903" s="73"/>
      <c r="D4903" s="50" t="str">
        <f>VLOOKUP(A4903,'Componentes APUs'!$A$1:$D$14,3,0)</f>
        <v>U</v>
      </c>
      <c r="E4903" s="53">
        <f>IF(A4875="MO-3",C4875,0)</f>
        <v>0</v>
      </c>
      <c r="F4903" s="51">
        <f>VLOOKUP(A4903,'Componentes APUs'!$A$1:$D$14,4,0)</f>
        <v>7500</v>
      </c>
      <c r="G4903" s="51">
        <f>ROUNDUP(F4903*(E4903/21)/E4861,0)</f>
        <v>0</v>
      </c>
    </row>
    <row r="4904" spans="1:7" x14ac:dyDescent="0.25">
      <c r="A4904" s="69" t="s">
        <v>89</v>
      </c>
      <c r="B4904" s="72" t="str">
        <f>VLOOKUP(A4904,'Componentes APUs'!$A$1:$D$14,2,0)</f>
        <v>Kit de rescate para trabajo en alturas</v>
      </c>
      <c r="C4904" s="73"/>
      <c r="D4904" s="50" t="str">
        <f>VLOOKUP(A4904,'Componentes APUs'!$A$1:$D$14,3,0)</f>
        <v>U</v>
      </c>
      <c r="E4904" s="50">
        <f>IF(AND(A4875="MO-3",C4875=2),1,0)</f>
        <v>0</v>
      </c>
      <c r="F4904" s="51">
        <f>VLOOKUP(A4904,'Componentes APUs'!$A$1:$D$14,4,0)</f>
        <v>37500</v>
      </c>
      <c r="G4904" s="51">
        <f>ROUNDUP(F4904*(E4904/21)/E4861,0)</f>
        <v>0</v>
      </c>
    </row>
    <row r="4905" spans="1:7" x14ac:dyDescent="0.25">
      <c r="A4905" s="50" t="s">
        <v>91</v>
      </c>
      <c r="B4905" s="72" t="str">
        <f>VLOOKUP(A4905,'Componentes APUs'!$A$1:$D$14,2,0)</f>
        <v>Equipo completo para trabajo en alturas con pretales (Arnes dielectrico, 1 mosqueton de seguridad, tie off dielectrico, eslinga de posicionamiento, juego de pretales)</v>
      </c>
      <c r="C4905" s="73"/>
      <c r="D4905" s="50" t="str">
        <f>VLOOKUP(A4905,'Componentes APUs'!$A$1:$D$14,3,0)</f>
        <v>U</v>
      </c>
      <c r="E4905" s="50">
        <f>IF(A4875="MO-3",C4875,0)</f>
        <v>0</v>
      </c>
      <c r="F4905" s="51">
        <f>VLOOKUP(A4905,'Componentes APUs'!$A$1:$D$14,4,0)</f>
        <v>26041.666666666668</v>
      </c>
      <c r="G4905" s="51">
        <f>ROUNDUP(F4905*(E4905/21)/E4861,0)</f>
        <v>0</v>
      </c>
    </row>
    <row r="4906" spans="1:7" x14ac:dyDescent="0.25">
      <c r="A4906" s="219" t="s">
        <v>95</v>
      </c>
      <c r="B4906" s="219"/>
      <c r="C4906" s="219"/>
      <c r="D4906" s="219"/>
      <c r="E4906" s="219"/>
      <c r="F4906" s="219"/>
      <c r="G4906" s="52">
        <f>SUM(G4893:G4905)</f>
        <v>789</v>
      </c>
    </row>
    <row r="4907" spans="1:7" x14ac:dyDescent="0.25">
      <c r="A4907" s="56"/>
      <c r="B4907" s="57"/>
      <c r="C4907" s="57"/>
      <c r="D4907" s="57"/>
      <c r="E4907" s="57"/>
      <c r="F4907" s="57"/>
      <c r="G4907" s="58"/>
    </row>
    <row r="4908" spans="1:7" x14ac:dyDescent="0.25">
      <c r="A4908" s="219" t="s">
        <v>96</v>
      </c>
      <c r="B4908" s="219"/>
      <c r="C4908" s="219"/>
      <c r="D4908" s="219"/>
      <c r="E4908" s="219"/>
      <c r="F4908" s="219"/>
      <c r="G4908" s="219"/>
    </row>
    <row r="4909" spans="1:7" x14ac:dyDescent="0.25">
      <c r="A4909" s="49" t="s">
        <v>35</v>
      </c>
      <c r="B4909" s="225" t="s">
        <v>36</v>
      </c>
      <c r="C4909" s="225"/>
      <c r="D4909" s="49" t="s">
        <v>37</v>
      </c>
      <c r="E4909" s="49" t="s">
        <v>38</v>
      </c>
      <c r="F4909" s="49" t="s">
        <v>39</v>
      </c>
      <c r="G4909" s="49" t="s">
        <v>40</v>
      </c>
    </row>
    <row r="4910" spans="1:7" x14ac:dyDescent="0.25">
      <c r="A4910" s="69" t="s">
        <v>97</v>
      </c>
      <c r="B4910" s="72" t="str">
        <f>VLOOKUP(A4910,'Componentes APUs'!$N$1:$Q$30,2,0)</f>
        <v>Camioneta</v>
      </c>
      <c r="C4910" s="73"/>
      <c r="D4910" s="70" t="str">
        <f>VLOOKUP(A4910,'Componentes APUs'!$N$1:$Q$30,3,0)</f>
        <v>U</v>
      </c>
      <c r="E4910" s="50">
        <f>1/8</f>
        <v>0.125</v>
      </c>
      <c r="F4910" s="51">
        <f>VLOOKUP(A4910,'Componentes APUs'!$N$1:$Q$30,4,0)</f>
        <v>5500000</v>
      </c>
      <c r="G4910" s="51">
        <f>IFERROR(ROUNDUP(F4910*(E4910/21)/E4861,0),"-")</f>
        <v>2977</v>
      </c>
    </row>
    <row r="4911" spans="1:7" x14ac:dyDescent="0.25">
      <c r="A4911" s="50" t="s">
        <v>1473</v>
      </c>
      <c r="B4911" s="72" t="str">
        <f>VLOOKUP(A4911,'Componentes APUs'!$N$1:$Q$30,2,0)</f>
        <v>Concretera</v>
      </c>
      <c r="C4911" s="73"/>
      <c r="D4911" s="70" t="str">
        <f>VLOOKUP(A4911,'Componentes APUs'!$N$1:$Q$30,3,0)</f>
        <v>U</v>
      </c>
      <c r="E4911" s="50">
        <v>1</v>
      </c>
      <c r="F4911" s="51">
        <f>VLOOKUP(A4911,'Componentes APUs'!$N$1:$Q$30,4,0)</f>
        <v>550704</v>
      </c>
      <c r="G4911" s="51">
        <f>IFERROR(ROUNDUP(F4911*(E4911/21)/E4861,0),"-")</f>
        <v>2384</v>
      </c>
    </row>
    <row r="4912" spans="1:7" x14ac:dyDescent="0.25">
      <c r="A4912" s="69" t="s">
        <v>1379</v>
      </c>
      <c r="B4912" s="72" t="str">
        <f>VLOOKUP(A4912,'Componentes APUs'!$N$1:$Q$30,2,0)</f>
        <v>Dumper de descarga Frontal 2T</v>
      </c>
      <c r="C4912" s="73"/>
      <c r="D4912" s="70" t="str">
        <f>VLOOKUP(A4912,'Componentes APUs'!$N$1:$Q$30,3,0)</f>
        <v>U</v>
      </c>
      <c r="E4912" s="50">
        <v>0</v>
      </c>
      <c r="F4912" s="51">
        <f>VLOOKUP(A4912,'Componentes APUs'!$N$1:$Q$30,4,0)</f>
        <v>4438716.24</v>
      </c>
      <c r="G4912" s="51">
        <f>IFERROR(ROUNDUP(F4912*(E4912/21)/E4861,0),"-")</f>
        <v>0</v>
      </c>
    </row>
    <row r="4913" spans="1:7" x14ac:dyDescent="0.25">
      <c r="A4913" s="50" t="s">
        <v>323</v>
      </c>
      <c r="B4913" s="72" t="str">
        <f>VLOOKUP(A4913,'Componentes APUs'!$N$1:$Q$30,2,0)</f>
        <v>Volqueta</v>
      </c>
      <c r="C4913" s="73"/>
      <c r="D4913" s="70" t="str">
        <f>VLOOKUP(A4913,'Componentes APUs'!$N$1:$Q$30,3,0)</f>
        <v>U</v>
      </c>
      <c r="E4913" s="50">
        <v>0</v>
      </c>
      <c r="F4913" s="51">
        <f>VLOOKUP(A4913,'Componentes APUs'!$N$1:$Q$30,4,0)</f>
        <v>14828184</v>
      </c>
      <c r="G4913" s="51">
        <f>IFERROR(ROUNDUP(F4913*(E4913/21)/E4861,0),"-")</f>
        <v>0</v>
      </c>
    </row>
    <row r="4914" spans="1:7" x14ac:dyDescent="0.25">
      <c r="A4914" s="69" t="s">
        <v>324</v>
      </c>
      <c r="B4914" s="72" t="str">
        <f>VLOOKUP(A4914,'Componentes APUs'!$N$1:$Q$30,2,0)</f>
        <v>Retroexcavadora</v>
      </c>
      <c r="C4914" s="73"/>
      <c r="D4914" s="70" t="str">
        <f>VLOOKUP(A4914,'Componentes APUs'!$N$1:$Q$30,3,0)</f>
        <v>U</v>
      </c>
      <c r="E4914" s="50">
        <v>0</v>
      </c>
      <c r="F4914" s="51">
        <f>VLOOKUP(A4914,'Componentes APUs'!$N$1:$Q$30,4,0)</f>
        <v>46030656</v>
      </c>
      <c r="G4914" s="51">
        <f>IFERROR(ROUNDUP(F4914*(E4914/21)/E4861,0),"-")</f>
        <v>0</v>
      </c>
    </row>
    <row r="4915" spans="1:7" x14ac:dyDescent="0.25">
      <c r="A4915" s="219" t="s">
        <v>99</v>
      </c>
      <c r="B4915" s="219"/>
      <c r="C4915" s="219"/>
      <c r="D4915" s="219"/>
      <c r="E4915" s="219"/>
      <c r="F4915" s="219"/>
      <c r="G4915" s="52">
        <f>SUM(G4910:G4914)</f>
        <v>5361</v>
      </c>
    </row>
    <row r="4916" spans="1:7" x14ac:dyDescent="0.25">
      <c r="A4916" s="56"/>
      <c r="B4916" s="57"/>
      <c r="C4916" s="57"/>
      <c r="D4916" s="57"/>
      <c r="E4916" s="57"/>
      <c r="F4916" s="57"/>
      <c r="G4916" s="58"/>
    </row>
    <row r="4917" spans="1:7" x14ac:dyDescent="0.25">
      <c r="A4917" s="219" t="s">
        <v>100</v>
      </c>
      <c r="B4917" s="219"/>
      <c r="C4917" s="219"/>
      <c r="D4917" s="219"/>
      <c r="E4917" s="219"/>
      <c r="F4917" s="219"/>
      <c r="G4917" s="52">
        <f>G4915+G4906+G4889+G4879+G4869</f>
        <v>167115</v>
      </c>
    </row>
    <row r="4918" spans="1:7" x14ac:dyDescent="0.25">
      <c r="A4918" s="59"/>
      <c r="B4918" s="60"/>
      <c r="C4918" s="60"/>
      <c r="D4918" s="60"/>
      <c r="E4918" s="57"/>
      <c r="F4918" s="57"/>
      <c r="G4918" s="58"/>
    </row>
    <row r="4919" spans="1:7" x14ac:dyDescent="0.25">
      <c r="A4919" s="64"/>
      <c r="D4919" s="55"/>
      <c r="E4919" s="49" t="s">
        <v>25</v>
      </c>
      <c r="F4919" s="54">
        <v>0.15</v>
      </c>
      <c r="G4919" s="51">
        <f>G4917*F4919</f>
        <v>25067.25</v>
      </c>
    </row>
    <row r="4920" spans="1:7" x14ac:dyDescent="0.25">
      <c r="A4920" s="64"/>
      <c r="D4920" s="55"/>
      <c r="E4920" s="49" t="s">
        <v>26</v>
      </c>
      <c r="F4920" s="54">
        <v>0.05</v>
      </c>
      <c r="G4920" s="51">
        <f>G4917*F4920</f>
        <v>8355.75</v>
      </c>
    </row>
    <row r="4921" spans="1:7" x14ac:dyDescent="0.25">
      <c r="A4921" s="61"/>
      <c r="B4921" s="65"/>
      <c r="C4921" s="65"/>
      <c r="D4921" s="62"/>
      <c r="E4921" s="49" t="s">
        <v>27</v>
      </c>
      <c r="F4921" s="54">
        <v>0.05</v>
      </c>
      <c r="G4921" s="51">
        <f>G4917*F4921</f>
        <v>8355.75</v>
      </c>
    </row>
    <row r="4922" spans="1:7" x14ac:dyDescent="0.25">
      <c r="A4922" s="61"/>
      <c r="B4922" s="62"/>
      <c r="C4922" s="62"/>
      <c r="D4922" s="62"/>
      <c r="E4922" s="62"/>
      <c r="F4922" s="62"/>
      <c r="G4922" s="63"/>
    </row>
    <row r="4923" spans="1:7" x14ac:dyDescent="0.25">
      <c r="A4923" s="219" t="s">
        <v>101</v>
      </c>
      <c r="B4923" s="219"/>
      <c r="C4923" s="219"/>
      <c r="D4923" s="219"/>
      <c r="E4923" s="219"/>
      <c r="F4923" s="219"/>
      <c r="G4923" s="52">
        <f>G4917+G4919+G4920+G4921</f>
        <v>208893.75</v>
      </c>
    </row>
    <row r="4924" spans="1:7" x14ac:dyDescent="0.25">
      <c r="A4924" s="59"/>
      <c r="B4924" s="60"/>
      <c r="C4924" s="60"/>
      <c r="D4924" s="60"/>
      <c r="E4924" s="57"/>
      <c r="F4924" s="57"/>
      <c r="G4924" s="58"/>
    </row>
    <row r="4925" spans="1:7" x14ac:dyDescent="0.25">
      <c r="A4925" s="64"/>
      <c r="D4925" s="55"/>
      <c r="E4925" s="49" t="s">
        <v>102</v>
      </c>
      <c r="F4925" s="49" t="s">
        <v>103</v>
      </c>
      <c r="G4925" s="51">
        <f>G4921*19%</f>
        <v>1587.5925</v>
      </c>
    </row>
    <row r="4926" spans="1:7" x14ac:dyDescent="0.25">
      <c r="A4926" s="61"/>
      <c r="B4926" s="62"/>
      <c r="C4926" s="62"/>
      <c r="D4926" s="62"/>
      <c r="E4926" s="57"/>
      <c r="F4926" s="57"/>
      <c r="G4926" s="58"/>
    </row>
    <row r="4927" spans="1:7" x14ac:dyDescent="0.25">
      <c r="A4927" s="219" t="s">
        <v>104</v>
      </c>
      <c r="B4927" s="219"/>
      <c r="C4927" s="219"/>
      <c r="D4927" s="219"/>
      <c r="E4927" s="219"/>
      <c r="F4927" s="219"/>
      <c r="G4927" s="52">
        <f>G4925+G4923</f>
        <v>210481.3425</v>
      </c>
    </row>
    <row r="4929" spans="1:12" x14ac:dyDescent="0.25">
      <c r="A4929" s="74" t="s">
        <v>29</v>
      </c>
      <c r="B4929" s="226" t="s">
        <v>30</v>
      </c>
      <c r="C4929" s="226"/>
      <c r="D4929" s="74" t="s">
        <v>31</v>
      </c>
      <c r="E4929" s="74" t="s">
        <v>32</v>
      </c>
      <c r="F4929" s="74" t="s">
        <v>189</v>
      </c>
      <c r="G4929" s="74" t="s">
        <v>33</v>
      </c>
      <c r="H4929" s="105"/>
    </row>
    <row r="4930" spans="1:12" ht="23.25" customHeight="1" x14ac:dyDescent="0.25">
      <c r="A4930" s="50" t="str">
        <f>Presupuesto!B99</f>
        <v>080_OC</v>
      </c>
      <c r="B4930" s="229" t="str">
        <f>Presupuesto!C99</f>
        <v>PLACA EN CONCRETO DE 3000 PSI E: 0,10 MTS INCLUYE MALLA ELECTROSOLDADA.</v>
      </c>
      <c r="C4930" s="230"/>
      <c r="D4930" s="50" t="s">
        <v>113</v>
      </c>
      <c r="E4930" s="107">
        <v>13</v>
      </c>
      <c r="F4930" s="50"/>
      <c r="G4930" s="51">
        <f>G4996</f>
        <v>170702.554</v>
      </c>
      <c r="H4930" s="45"/>
    </row>
    <row r="4931" spans="1:12" x14ac:dyDescent="0.25">
      <c r="A4931" s="219" t="s">
        <v>34</v>
      </c>
      <c r="B4931" s="219"/>
      <c r="C4931" s="219"/>
      <c r="D4931" s="219"/>
      <c r="E4931" s="219"/>
      <c r="F4931" s="219"/>
      <c r="G4931" s="219"/>
    </row>
    <row r="4932" spans="1:12" x14ac:dyDescent="0.25">
      <c r="A4932" s="49" t="s">
        <v>35</v>
      </c>
      <c r="B4932" s="219" t="s">
        <v>36</v>
      </c>
      <c r="C4932" s="219"/>
      <c r="D4932" s="49" t="s">
        <v>37</v>
      </c>
      <c r="E4932" s="49" t="s">
        <v>38</v>
      </c>
      <c r="F4932" s="49" t="s">
        <v>39</v>
      </c>
      <c r="G4932" s="49" t="s">
        <v>40</v>
      </c>
      <c r="K4932" s="23"/>
      <c r="L4932" s="23"/>
    </row>
    <row r="4933" spans="1:12" x14ac:dyDescent="0.25">
      <c r="A4933" s="50" t="str">
        <f>Material!A218</f>
        <v>MA-217</v>
      </c>
      <c r="B4933" s="72" t="str">
        <f>IFERROR(VLOOKUP(A4933,Material!$A:$H,2,0),"-")</f>
        <v>FORMALETA EN MADERA CON TABLA DE 1"</v>
      </c>
      <c r="C4933" s="76"/>
      <c r="D4933" s="50" t="str">
        <f>IFERROR(VLOOKUP(A4933,Material!$A:$H,4,0),"-")</f>
        <v>M2</v>
      </c>
      <c r="E4933" s="96">
        <v>0.105</v>
      </c>
      <c r="F4933" s="51">
        <f>IFERROR(VLOOKUP(A4933,Material!$A:$H,3,0),"-")</f>
        <v>24691.116165303549</v>
      </c>
      <c r="G4933" s="51">
        <f>IFERROR(ROUNDUP(F4933*E4933,0),"-")</f>
        <v>2593</v>
      </c>
      <c r="H4933" s="106"/>
    </row>
    <row r="4934" spans="1:12" x14ac:dyDescent="0.25">
      <c r="A4934" s="50" t="str">
        <f>Material!A15</f>
        <v>MA-14</v>
      </c>
      <c r="B4934" s="72" t="str">
        <f>IFERROR(VLOOKUP(A4934,Material!$A:$H,2,0),"-")</f>
        <v>CONCRETO DE 3000 PSI</v>
      </c>
      <c r="C4934" s="76"/>
      <c r="D4934" s="50" t="str">
        <f>IFERROR(VLOOKUP(A4934,Material!$A:$H,4,0),"-")</f>
        <v>M3</v>
      </c>
      <c r="E4934" s="107">
        <v>0.1</v>
      </c>
      <c r="F4934" s="51">
        <f>IFERROR(VLOOKUP(A4934,Material!$A:$H,3,0),"-")</f>
        <v>620227.23330691375</v>
      </c>
      <c r="G4934" s="51">
        <f>IFERROR(ROUNDUP(F4934*E4934,0),"-")</f>
        <v>62023</v>
      </c>
      <c r="H4934" s="106"/>
    </row>
    <row r="4935" spans="1:12" x14ac:dyDescent="0.25">
      <c r="A4935" s="50" t="str">
        <f>Material!A14</f>
        <v>MA-13</v>
      </c>
      <c r="B4935" s="72" t="str">
        <f>IFERROR(VLOOKUP(A4935,Material!$A:$H,2,0),"-")</f>
        <v>MALLA ELECTROSOLDADA 4 mm</v>
      </c>
      <c r="C4935" s="76"/>
      <c r="D4935" s="50" t="str">
        <f>IFERROR(VLOOKUP(A4935,Material!$A:$H,4,0),"-")</f>
        <v>M2</v>
      </c>
      <c r="E4935" s="107">
        <v>1.05</v>
      </c>
      <c r="F4935" s="51">
        <f>IFERROR(VLOOKUP(A4935,Material!$A:$H,3,0),"-")</f>
        <v>8577</v>
      </c>
      <c r="G4935" s="51">
        <f>IFERROR(ROUNDUP(F4935*E4935,0),"-")</f>
        <v>9006</v>
      </c>
      <c r="H4935" s="106"/>
    </row>
    <row r="4936" spans="1:12" x14ac:dyDescent="0.25">
      <c r="A4936" s="50" t="str">
        <f>Material!A599</f>
        <v>MA-598</v>
      </c>
      <c r="B4936" s="72" t="str">
        <f>IFERROR(VLOOKUP(A4936,Material!$A:$H,2,0),"-")</f>
        <v>GASOLINA</v>
      </c>
      <c r="C4936" s="76"/>
      <c r="D4936" s="50" t="str">
        <f>IFERROR(VLOOKUP(A4936,Material!$A:$H,4,0),"-")</f>
        <v>GAL</v>
      </c>
      <c r="E4936" s="107">
        <v>0.03</v>
      </c>
      <c r="F4936" s="51">
        <f>IFERROR(VLOOKUP(A4936,Material!$A:$H,3,0),"-")</f>
        <v>20694.7</v>
      </c>
      <c r="G4936" s="51">
        <f>IFERROR(ROUNDUP(F4936*E4936,0),"-")</f>
        <v>621</v>
      </c>
      <c r="H4936" s="106"/>
    </row>
    <row r="4937" spans="1:12" x14ac:dyDescent="0.25">
      <c r="A4937" s="50"/>
      <c r="B4937" s="72" t="str">
        <f>IFERROR(VLOOKUP(A4937,Material!$A:$H,2,0),"-")</f>
        <v>-</v>
      </c>
      <c r="C4937" s="76"/>
      <c r="D4937" s="50" t="str">
        <f>IFERROR(VLOOKUP(A4937,Material!$A:$H,4,0),"-")</f>
        <v>-</v>
      </c>
      <c r="E4937" s="107"/>
      <c r="F4937" s="51" t="str">
        <f>IFERROR(VLOOKUP(A4937,Material!$A:$H,3,0),"-")</f>
        <v>-</v>
      </c>
      <c r="G4937" s="51" t="str">
        <f>IFERROR(ROUNDUP(F4937*E4937,0),"-")</f>
        <v>-</v>
      </c>
      <c r="H4937" s="106"/>
    </row>
    <row r="4938" spans="1:12" x14ac:dyDescent="0.25">
      <c r="A4938" s="219" t="s">
        <v>41</v>
      </c>
      <c r="B4938" s="219"/>
      <c r="C4938" s="219"/>
      <c r="D4938" s="219"/>
      <c r="E4938" s="219"/>
      <c r="F4938" s="219"/>
      <c r="G4938" s="52">
        <f>SUM(G4933:G4937)</f>
        <v>74243</v>
      </c>
      <c r="I4938" s="104"/>
    </row>
    <row r="4939" spans="1:12" x14ac:dyDescent="0.25">
      <c r="A4939" s="56"/>
      <c r="B4939" s="57"/>
      <c r="C4939" s="57"/>
      <c r="D4939" s="57"/>
      <c r="E4939" s="57"/>
      <c r="F4939" s="57"/>
      <c r="G4939" s="58"/>
    </row>
    <row r="4940" spans="1:12" x14ac:dyDescent="0.25">
      <c r="A4940" s="219" t="s">
        <v>42</v>
      </c>
      <c r="B4940" s="219"/>
      <c r="C4940" s="219"/>
      <c r="D4940" s="219"/>
      <c r="E4940" s="219"/>
      <c r="F4940" s="219"/>
      <c r="G4940" s="219"/>
    </row>
    <row r="4941" spans="1:12" x14ac:dyDescent="0.25">
      <c r="A4941" s="49" t="s">
        <v>35</v>
      </c>
      <c r="B4941" s="49" t="s">
        <v>36</v>
      </c>
      <c r="C4941" s="49" t="s">
        <v>38</v>
      </c>
      <c r="D4941" s="49" t="s">
        <v>43</v>
      </c>
      <c r="E4941" s="49" t="s">
        <v>44</v>
      </c>
      <c r="F4941" s="49" t="s">
        <v>45</v>
      </c>
      <c r="G4941" s="49" t="s">
        <v>40</v>
      </c>
    </row>
    <row r="4942" spans="1:12" x14ac:dyDescent="0.25">
      <c r="A4942" s="50" t="s">
        <v>319</v>
      </c>
      <c r="B4942" s="68" t="str">
        <f>VLOOKUP(A4942,'Componentes APUs'!$H$1:$L$25,2,0)</f>
        <v>Ingeniero Residente de Obra</v>
      </c>
      <c r="C4942" s="93">
        <v>0.25</v>
      </c>
      <c r="D4942" s="50">
        <f>VLOOKUP(A4942,'Componentes APUs'!$H$1:$L$25,3,0)</f>
        <v>4</v>
      </c>
      <c r="E4942" s="51">
        <f>VLOOKUP(A4942,'Componentes APUs'!$H$1:$L$25,4,0)</f>
        <v>271142.85714285716</v>
      </c>
      <c r="F4942" s="51">
        <f>VLOOKUP(A4942,'Componentes APUs'!$H$1:$L$25,5,0)</f>
        <v>162685.71428571429</v>
      </c>
      <c r="G4942" s="51">
        <f>ROUNDUP((E4942+F4942)*C4942/E4930,0)</f>
        <v>8343</v>
      </c>
      <c r="H4942" s="66"/>
    </row>
    <row r="4943" spans="1:12" x14ac:dyDescent="0.25">
      <c r="A4943" s="50" t="s">
        <v>320</v>
      </c>
      <c r="B4943" s="68" t="str">
        <f>VLOOKUP(A4943,'Componentes APUs'!$H$1:$L$25,2,0)</f>
        <v>Tecnico Supervisor</v>
      </c>
      <c r="C4943" s="93">
        <v>0</v>
      </c>
      <c r="D4943" s="50">
        <f>VLOOKUP(A4943,'Componentes APUs'!$H$1:$L$25,3,0)</f>
        <v>2.2999999999999998</v>
      </c>
      <c r="E4943" s="51">
        <f>VLOOKUP(A4943,'Componentes APUs'!$H$1:$L$25,4,0)</f>
        <v>155907.14285714284</v>
      </c>
      <c r="F4943" s="51">
        <f>VLOOKUP(A4943,'Componentes APUs'!$H$1:$L$25,5,0)</f>
        <v>93544.285714285696</v>
      </c>
      <c r="G4943" s="51">
        <f>ROUNDUP((E4943+F4943)*C4943/E4930,0)</f>
        <v>0</v>
      </c>
    </row>
    <row r="4944" spans="1:12" x14ac:dyDescent="0.25">
      <c r="A4944" s="50" t="s">
        <v>54</v>
      </c>
      <c r="B4944" s="68" t="str">
        <f>VLOOKUP(A4944,'Componentes APUs'!$H$1:$L$25,2,0)</f>
        <v>Maestro de obra civil</v>
      </c>
      <c r="C4944" s="93">
        <v>0</v>
      </c>
      <c r="D4944" s="50">
        <f>VLOOKUP(A4944,'Componentes APUs'!$H$1:$L$25,3,0)</f>
        <v>2.5</v>
      </c>
      <c r="E4944" s="51">
        <f>VLOOKUP(A4944,'Componentes APUs'!$H$1:$L$25,4,0)</f>
        <v>169464.28571428571</v>
      </c>
      <c r="F4944" s="51">
        <f>VLOOKUP(A4944,'Componentes APUs'!$H$1:$L$25,5,0)</f>
        <v>101678.57142857142</v>
      </c>
      <c r="G4944" s="51">
        <f>ROUNDUP((E4944+F4944)*C4944/E4930,0)</f>
        <v>0</v>
      </c>
    </row>
    <row r="4945" spans="1:9" x14ac:dyDescent="0.25">
      <c r="A4945" s="50" t="s">
        <v>1110</v>
      </c>
      <c r="B4945" s="68" t="str">
        <f>VLOOKUP(A4945,'Componentes APUs'!$H$1:$L$25,2,0)</f>
        <v>Oficial de Obra Civil</v>
      </c>
      <c r="C4945" s="93">
        <v>1</v>
      </c>
      <c r="D4945" s="50">
        <f>VLOOKUP(A4945,'Componentes APUs'!$H$1:$L$25,3,0)</f>
        <v>1.5</v>
      </c>
      <c r="E4945" s="51">
        <f>VLOOKUP(A4945,'Componentes APUs'!$H$1:$L$25,4,0)</f>
        <v>115964.28571428571</v>
      </c>
      <c r="F4945" s="51">
        <f>VLOOKUP(A4945,'Componentes APUs'!$H$1:$L$25,5,0)</f>
        <v>69578.57142857142</v>
      </c>
      <c r="G4945" s="51">
        <f>ROUNDUP((E4945+F4945)*C4945/E4930,0)</f>
        <v>14273</v>
      </c>
    </row>
    <row r="4946" spans="1:9" x14ac:dyDescent="0.25">
      <c r="A4946" s="50" t="s">
        <v>50</v>
      </c>
      <c r="B4946" s="68" t="str">
        <f>VLOOKUP(A4946,'Componentes APUs'!$H$1:$L$25,2,0)</f>
        <v>Profesional en SST</v>
      </c>
      <c r="C4946" s="93">
        <v>0.25</v>
      </c>
      <c r="D4946" s="50">
        <f>VLOOKUP(A4946,'Componentes APUs'!$H$1:$L$25,3,0)</f>
        <v>2.5</v>
      </c>
      <c r="E4946" s="51">
        <f>VLOOKUP(A4946,'Componentes APUs'!$H$1:$L$25,4,0)</f>
        <v>169464.28571428571</v>
      </c>
      <c r="F4946" s="51">
        <f>VLOOKUP(A4946,'Componentes APUs'!$H$1:$L$25,5,0)</f>
        <v>101678.57142857142</v>
      </c>
      <c r="G4946" s="51">
        <f>ROUNDUP((E4946+F4946)*C4946/E4930,0)</f>
        <v>5215</v>
      </c>
    </row>
    <row r="4947" spans="1:9" x14ac:dyDescent="0.25">
      <c r="A4947" s="50" t="s">
        <v>1109</v>
      </c>
      <c r="B4947" s="68" t="str">
        <f>VLOOKUP(A4947,'Componentes APUs'!$H$1:$L$25,2,0)</f>
        <v>Ayudante de Obra Civil</v>
      </c>
      <c r="C4947" s="93">
        <v>2</v>
      </c>
      <c r="D4947" s="50">
        <f>VLOOKUP(A4947,'Componentes APUs'!$H$1:$L$25,3,0)</f>
        <v>1</v>
      </c>
      <c r="E4947" s="51">
        <f>VLOOKUP(A4947,'Componentes APUs'!$H$1:$L$25,4,0)</f>
        <v>77309.523809523816</v>
      </c>
      <c r="F4947" s="51">
        <f>VLOOKUP(A4947,'Componentes APUs'!$H$1:$L$25,5,0)</f>
        <v>46385.71428571429</v>
      </c>
      <c r="G4947" s="51">
        <f>ROUNDUP((E4947+F4947)*C4947/E4930,0)</f>
        <v>19031</v>
      </c>
    </row>
    <row r="4948" spans="1:9" x14ac:dyDescent="0.25">
      <c r="A4948" s="219" t="s">
        <v>56</v>
      </c>
      <c r="B4948" s="219"/>
      <c r="C4948" s="219"/>
      <c r="D4948" s="219"/>
      <c r="E4948" s="219"/>
      <c r="F4948" s="219"/>
      <c r="G4948" s="52">
        <f>SUM(G4942:G4947)</f>
        <v>46862</v>
      </c>
    </row>
    <row r="4949" spans="1:9" x14ac:dyDescent="0.25">
      <c r="A4949" s="56"/>
      <c r="B4949" s="57"/>
      <c r="C4949" s="57"/>
      <c r="D4949" s="57"/>
      <c r="E4949" s="57"/>
      <c r="F4949" s="57"/>
      <c r="G4949" s="58"/>
    </row>
    <row r="4950" spans="1:9" x14ac:dyDescent="0.25">
      <c r="A4950" s="219" t="s">
        <v>57</v>
      </c>
      <c r="B4950" s="219"/>
      <c r="C4950" s="219"/>
      <c r="D4950" s="219"/>
      <c r="E4950" s="219"/>
      <c r="F4950" s="219"/>
      <c r="G4950" s="219"/>
    </row>
    <row r="4951" spans="1:9" x14ac:dyDescent="0.25">
      <c r="A4951" s="49" t="s">
        <v>35</v>
      </c>
      <c r="B4951" s="219" t="s">
        <v>36</v>
      </c>
      <c r="C4951" s="219"/>
      <c r="D4951" s="49" t="s">
        <v>37</v>
      </c>
      <c r="E4951" s="49" t="s">
        <v>38</v>
      </c>
      <c r="F4951" s="49" t="s">
        <v>39</v>
      </c>
      <c r="G4951" s="49" t="s">
        <v>40</v>
      </c>
    </row>
    <row r="4952" spans="1:9" x14ac:dyDescent="0.25">
      <c r="A4952" s="50" t="s">
        <v>326</v>
      </c>
      <c r="B4952" s="220" t="str">
        <f>VLOOKUP(A4952,'Componentes APUs'!$S$1:$V$10,2,0)</f>
        <v>Juego Llaves</v>
      </c>
      <c r="C4952" s="220"/>
      <c r="D4952" s="50" t="s">
        <v>18</v>
      </c>
      <c r="E4952" s="50">
        <v>0</v>
      </c>
      <c r="F4952" s="51">
        <f>VLOOKUP(A4952,'Componentes APUs'!$S$1:$V$10,4,0)</f>
        <v>9167</v>
      </c>
      <c r="G4952" s="51">
        <f>ROUNDUP(F4952*((E4952/21)/E4930),0)</f>
        <v>0</v>
      </c>
      <c r="I4952" s="91"/>
    </row>
    <row r="4953" spans="1:9" x14ac:dyDescent="0.25">
      <c r="A4953" s="50" t="s">
        <v>58</v>
      </c>
      <c r="B4953" s="220" t="str">
        <f>VLOOKUP(A4953,'Componentes APUs'!$S$1:$V$10,2,0)</f>
        <v>Manila de servicio</v>
      </c>
      <c r="C4953" s="220"/>
      <c r="D4953" s="50" t="s">
        <v>18</v>
      </c>
      <c r="E4953" s="50">
        <v>0</v>
      </c>
      <c r="F4953" s="51">
        <f>VLOOKUP(A4953,'Componentes APUs'!$S$1:$V$10,4,0)</f>
        <v>2333</v>
      </c>
      <c r="G4953" s="51">
        <f>ROUNDUP(F4953*((E4953/21)/E4930),0)</f>
        <v>0</v>
      </c>
    </row>
    <row r="4954" spans="1:9" x14ac:dyDescent="0.25">
      <c r="A4954" s="50" t="s">
        <v>327</v>
      </c>
      <c r="B4954" s="220" t="str">
        <f>VLOOKUP(A4954,'Componentes APUs'!$S$1:$V$10,2,0)</f>
        <v>Tula portaherramientas</v>
      </c>
      <c r="C4954" s="220"/>
      <c r="D4954" s="50" t="s">
        <v>18</v>
      </c>
      <c r="E4954" s="50">
        <v>0</v>
      </c>
      <c r="F4954" s="51">
        <f>VLOOKUP(A4954,'Componentes APUs'!$S$1:$V$10,4,0)</f>
        <v>1250</v>
      </c>
      <c r="G4954" s="51">
        <f>ROUNDUP(F4954*((E4954/21)/E4930),0)</f>
        <v>0</v>
      </c>
    </row>
    <row r="4955" spans="1:9" x14ac:dyDescent="0.25">
      <c r="A4955" s="50" t="s">
        <v>60</v>
      </c>
      <c r="B4955" s="220" t="str">
        <f>VLOOKUP(A4955,'Componentes APUs'!$S$1:$V$10,2,0)</f>
        <v>Agarradoras</v>
      </c>
      <c r="C4955" s="220"/>
      <c r="D4955" s="50" t="s">
        <v>18</v>
      </c>
      <c r="E4955" s="50">
        <v>0</v>
      </c>
      <c r="F4955" s="51">
        <f>VLOOKUP(A4955,'Componentes APUs'!$S$1:$V$10,4,0)</f>
        <v>125000</v>
      </c>
      <c r="G4955" s="51">
        <f>ROUNDUP(F4955*((E4955/21)/E4930),0)</f>
        <v>0</v>
      </c>
    </row>
    <row r="4956" spans="1:9" x14ac:dyDescent="0.25">
      <c r="A4956" s="50" t="s">
        <v>62</v>
      </c>
      <c r="B4956" s="220" t="str">
        <f>VLOOKUP(A4956,'Componentes APUs'!$S$1:$V$10,2,0)</f>
        <v>Templadoras</v>
      </c>
      <c r="C4956" s="220"/>
      <c r="D4956" s="50" t="s">
        <v>18</v>
      </c>
      <c r="E4956" s="50">
        <v>0</v>
      </c>
      <c r="F4956" s="51">
        <f>VLOOKUP(A4956,'Componentes APUs'!$S$1:$V$10,4,0)</f>
        <v>250000</v>
      </c>
      <c r="G4956" s="51">
        <f>ROUNDUP(F4956*((E4956/21)/E4930),0)</f>
        <v>0</v>
      </c>
    </row>
    <row r="4957" spans="1:9" x14ac:dyDescent="0.25">
      <c r="A4957" s="50" t="s">
        <v>328</v>
      </c>
      <c r="B4957" s="220" t="str">
        <f>VLOOKUP(A4957,'Componentes APUs'!$S$1:$V$10,2,0)</f>
        <v>Herramienta Menor</v>
      </c>
      <c r="C4957" s="220"/>
      <c r="D4957" s="50" t="s">
        <v>18</v>
      </c>
      <c r="E4957" s="50">
        <v>6</v>
      </c>
      <c r="F4957" s="51">
        <f>VLOOKUP(A4957,'Componentes APUs'!$S$1:$V$10,4,0)</f>
        <v>75758</v>
      </c>
      <c r="G4957" s="51">
        <f>ROUNDUP(F4957*((E4957/21)/E4930),0)</f>
        <v>1666</v>
      </c>
    </row>
    <row r="4958" spans="1:9" x14ac:dyDescent="0.25">
      <c r="A4958" s="219" t="s">
        <v>69</v>
      </c>
      <c r="B4958" s="219"/>
      <c r="C4958" s="219"/>
      <c r="D4958" s="219"/>
      <c r="E4958" s="219"/>
      <c r="F4958" s="219"/>
      <c r="G4958" s="52">
        <f>SUM(G4952:G4957)</f>
        <v>1666</v>
      </c>
    </row>
    <row r="4959" spans="1:9" x14ac:dyDescent="0.25">
      <c r="A4959" s="56"/>
      <c r="B4959" s="57"/>
      <c r="C4959" s="57"/>
      <c r="D4959" s="57"/>
      <c r="E4959" s="57"/>
      <c r="F4959" s="57"/>
      <c r="G4959" s="58"/>
    </row>
    <row r="4960" spans="1:9" x14ac:dyDescent="0.25">
      <c r="A4960" s="219" t="s">
        <v>70</v>
      </c>
      <c r="B4960" s="219"/>
      <c r="C4960" s="219"/>
      <c r="D4960" s="219"/>
      <c r="E4960" s="219"/>
      <c r="F4960" s="219"/>
      <c r="G4960" s="219"/>
    </row>
    <row r="4961" spans="1:9" x14ac:dyDescent="0.25">
      <c r="A4961" s="49" t="s">
        <v>35</v>
      </c>
      <c r="B4961" s="219" t="s">
        <v>36</v>
      </c>
      <c r="C4961" s="219"/>
      <c r="D4961" s="49" t="s">
        <v>37</v>
      </c>
      <c r="E4961" s="49" t="s">
        <v>38</v>
      </c>
      <c r="F4961" s="49" t="s">
        <v>39</v>
      </c>
      <c r="G4961" s="49" t="s">
        <v>40</v>
      </c>
    </row>
    <row r="4962" spans="1:9" x14ac:dyDescent="0.25">
      <c r="A4962" s="50" t="s">
        <v>71</v>
      </c>
      <c r="B4962" s="71" t="str">
        <f>VLOOKUP(A4962,'Componentes APUs'!$A$1:$D$14,2,0)</f>
        <v>Camisa indigo sin partes metalicas</v>
      </c>
      <c r="C4962" s="71"/>
      <c r="D4962" s="50" t="str">
        <f>VLOOKUP(A4962,'Componentes APUs'!$A$1:$D$14,3,0)</f>
        <v>U</v>
      </c>
      <c r="E4962" s="50">
        <f>SUM(C4942:C4947)</f>
        <v>3.5</v>
      </c>
      <c r="F4962" s="51">
        <f>VLOOKUP(A4962,'Componentes APUs'!$A$1:$D$14,4,0)</f>
        <v>8585.8585858585866</v>
      </c>
      <c r="G4962" s="51">
        <f>ROUNDUP(F4962*(E4962/21)/E4930,0)</f>
        <v>111</v>
      </c>
      <c r="I4962" s="91"/>
    </row>
    <row r="4963" spans="1:9" x14ac:dyDescent="0.25">
      <c r="A4963" s="69" t="s">
        <v>73</v>
      </c>
      <c r="B4963" s="72" t="str">
        <f>VLOOKUP(A4963,'Componentes APUs'!$A$1:$D$14,2,0)</f>
        <v>Bota de seguridad dielectrica</v>
      </c>
      <c r="C4963" s="73"/>
      <c r="D4963" s="70" t="str">
        <f>VLOOKUP(A4963,'Componentes APUs'!$A$1:$D$14,3,0)</f>
        <v>Par</v>
      </c>
      <c r="E4963" s="50">
        <f>SUM(C4942:C4947)</f>
        <v>3.5</v>
      </c>
      <c r="F4963" s="51">
        <f>VLOOKUP(A4963,'Componentes APUs'!$A$1:$D$14,4,0)</f>
        <v>7500</v>
      </c>
      <c r="G4963" s="51">
        <f>ROUNDUP(F4963*(E4963/21)/E4930,0)</f>
        <v>97</v>
      </c>
    </row>
    <row r="4964" spans="1:9" x14ac:dyDescent="0.25">
      <c r="A4964" s="50" t="s">
        <v>76</v>
      </c>
      <c r="B4964" s="72" t="str">
        <f>VLOOKUP(A4964,'Componentes APUs'!$A$1:$D$14,2,0)</f>
        <v>Casco dielectrico Tipo 1 Clase E con barbuquejo</v>
      </c>
      <c r="C4964" s="73"/>
      <c r="D4964" s="50" t="str">
        <f>VLOOKUP(A4964,'Componentes APUs'!$A$1:$D$14,3,0)</f>
        <v>U</v>
      </c>
      <c r="E4964" s="50">
        <f>C4942+C4943+C4945+C4946+C4947+IF(A4944&lt;&gt;"MO-3",C4944,0)</f>
        <v>3.5</v>
      </c>
      <c r="F4964" s="51">
        <f>VLOOKUP(A4964,'Componentes APUs'!$A$1:$D$14,4,0)</f>
        <v>10101.010101010101</v>
      </c>
      <c r="G4964" s="51">
        <f>ROUNDUP(F4964*(E4964/21)/E4930,0)</f>
        <v>130</v>
      </c>
    </row>
    <row r="4965" spans="1:9" x14ac:dyDescent="0.25">
      <c r="A4965" s="69" t="s">
        <v>77</v>
      </c>
      <c r="B4965" s="72" t="str">
        <f>VLOOKUP(A4965,'Componentes APUs'!$A$1:$D$14,2,0)</f>
        <v>Correa plastica y antiflama</v>
      </c>
      <c r="C4965" s="73"/>
      <c r="D4965" s="50" t="str">
        <f>VLOOKUP(A4965,'Componentes APUs'!$A$1:$D$14,3,0)</f>
        <v>U</v>
      </c>
      <c r="E4965" s="50">
        <f>SUM(C4942:C4947)</f>
        <v>3.5</v>
      </c>
      <c r="F4965" s="51">
        <f>VLOOKUP(A4965,'Componentes APUs'!$A$1:$D$14,4,0)</f>
        <v>3787.878787878788</v>
      </c>
      <c r="G4965" s="51">
        <f>ROUNDUP(F4965*(E4965/21)/E4930,0)</f>
        <v>49</v>
      </c>
    </row>
    <row r="4966" spans="1:9" x14ac:dyDescent="0.25">
      <c r="A4966" s="50" t="s">
        <v>79</v>
      </c>
      <c r="B4966" s="72" t="str">
        <f>VLOOKUP(A4966,'Componentes APUs'!$A$1:$D$14,2,0)</f>
        <v>Gafas protectoras filtro UV</v>
      </c>
      <c r="C4966" s="73"/>
      <c r="D4966" s="50" t="str">
        <f>VLOOKUP(A4966,'Componentes APUs'!$A$1:$D$14,3,0)</f>
        <v>U</v>
      </c>
      <c r="E4966" s="50">
        <f>SUM(C4942:C4947)</f>
        <v>3.5</v>
      </c>
      <c r="F4966" s="51">
        <f>VLOOKUP(A4966,'Componentes APUs'!$A$1:$D$14,4,0)</f>
        <v>2777.7777777777778</v>
      </c>
      <c r="G4966" s="51">
        <f>ROUNDUP(F4966*(E4966/21)/E4930,0)</f>
        <v>36</v>
      </c>
    </row>
    <row r="4967" spans="1:9" x14ac:dyDescent="0.25">
      <c r="A4967" s="69" t="s">
        <v>402</v>
      </c>
      <c r="B4967" s="72" t="str">
        <f>VLOOKUP(A4967,'Componentes APUs'!$A$1:$D$14,2,0)</f>
        <v>Bota de seguridad PVC dielectrica</v>
      </c>
      <c r="C4967" s="73"/>
      <c r="D4967" s="50" t="str">
        <f>VLOOKUP(A4967,'Componentes APUs'!$A$1:$D$14,3,0)</f>
        <v>Par</v>
      </c>
      <c r="E4967" s="50">
        <f>SUM(C4942:C4947)</f>
        <v>3.5</v>
      </c>
      <c r="F4967" s="51">
        <f>VLOOKUP(A4967,'Componentes APUs'!$A$1:$D$14,4,0)</f>
        <v>2916.6666666666665</v>
      </c>
      <c r="G4967" s="51">
        <f>ROUNDUP(F4967*(E4967/21)/E4930,0)</f>
        <v>38</v>
      </c>
    </row>
    <row r="4968" spans="1:9" x14ac:dyDescent="0.25">
      <c r="A4968" s="50" t="s">
        <v>403</v>
      </c>
      <c r="B4968" s="72" t="str">
        <f>VLOOKUP(A4968,'Componentes APUs'!$A$1:$D$14,2,0)</f>
        <v>Capuchon</v>
      </c>
      <c r="C4968" s="73"/>
      <c r="D4968" s="50" t="str">
        <f>VLOOKUP(A4968,'Componentes APUs'!$A$1:$D$14,3,0)</f>
        <v>U</v>
      </c>
      <c r="E4968" s="50">
        <f>SUM(C4942:C4947)</f>
        <v>3.5</v>
      </c>
      <c r="F4968" s="51">
        <f>VLOOKUP(A4968,'Componentes APUs'!$A$1:$D$14,4,0)</f>
        <v>2525.2525252525252</v>
      </c>
      <c r="G4968" s="51">
        <f>ROUNDUP(F4968*(E4968/21)/E4930,0)</f>
        <v>33</v>
      </c>
    </row>
    <row r="4969" spans="1:9" x14ac:dyDescent="0.25">
      <c r="A4969" s="69" t="s">
        <v>81</v>
      </c>
      <c r="B4969" s="72" t="str">
        <f>VLOOKUP(A4969,'Componentes APUs'!$A$1:$D$14,2,0)</f>
        <v>Guantes Protectores  - ingeniero reforzados</v>
      </c>
      <c r="C4969" s="73"/>
      <c r="D4969" s="50" t="str">
        <f>VLOOKUP(A4969,'Componentes APUs'!$A$1:$D$14,3,0)</f>
        <v>Par</v>
      </c>
      <c r="E4969" s="50">
        <f>C4944+C4945+C4947</f>
        <v>3</v>
      </c>
      <c r="F4969" s="51">
        <f>VLOOKUP(A4969,'Componentes APUs'!$A$1:$D$14,4,0)</f>
        <v>2525.2525252525252</v>
      </c>
      <c r="G4969" s="51">
        <f>ROUNDUP(F4969*(E4969/21)/E4930,0)</f>
        <v>28</v>
      </c>
    </row>
    <row r="4970" spans="1:9" x14ac:dyDescent="0.25">
      <c r="A4970" s="50" t="s">
        <v>83</v>
      </c>
      <c r="B4970" s="72" t="str">
        <f>VLOOKUP(A4970,'Componentes APUs'!$A$1:$D$14,2,0)</f>
        <v>Impermeable (pantalon camisa)</v>
      </c>
      <c r="C4970" s="73"/>
      <c r="D4970" s="50" t="str">
        <f>VLOOKUP(A4970,'Componentes APUs'!$A$1:$D$14,3,0)</f>
        <v>U</v>
      </c>
      <c r="E4970" s="50">
        <f>SUM(C4942:C4947)</f>
        <v>3.5</v>
      </c>
      <c r="F4970" s="51">
        <f>VLOOKUP(A4970,'Componentes APUs'!$A$1:$D$14,4,0)</f>
        <v>3750</v>
      </c>
      <c r="G4970" s="51">
        <f>ROUNDUP(F4970*(E4970/21)/E4930,0)</f>
        <v>49</v>
      </c>
    </row>
    <row r="4971" spans="1:9" x14ac:dyDescent="0.25">
      <c r="A4971" s="69" t="s">
        <v>85</v>
      </c>
      <c r="B4971" s="72" t="str">
        <f>VLOOKUP(A4971,'Componentes APUs'!$A$1:$D$14,2,0)</f>
        <v>Jean Dielectrico</v>
      </c>
      <c r="C4971" s="73"/>
      <c r="D4971" s="50" t="str">
        <f>VLOOKUP(A4971,'Componentes APUs'!$A$1:$D$14,3,0)</f>
        <v>U</v>
      </c>
      <c r="E4971" s="50">
        <f>SUM(C4942:C4947)</f>
        <v>3.5</v>
      </c>
      <c r="F4971" s="51">
        <f>VLOOKUP(A4971,'Componentes APUs'!$A$1:$D$14,4,0)</f>
        <v>7575.757575757576</v>
      </c>
      <c r="G4971" s="51">
        <f>ROUNDUP(F4971*(E4971/21)/E4930,0)</f>
        <v>98</v>
      </c>
    </row>
    <row r="4972" spans="1:9" x14ac:dyDescent="0.25">
      <c r="A4972" s="50" t="s">
        <v>87</v>
      </c>
      <c r="B4972" s="72" t="str">
        <f>VLOOKUP(A4972,'Componentes APUs'!$A$1:$D$14,2,0)</f>
        <v>Casco dielectrico Tipo 2 Clase E con barboquejo</v>
      </c>
      <c r="C4972" s="73"/>
      <c r="D4972" s="50" t="str">
        <f>VLOOKUP(A4972,'Componentes APUs'!$A$1:$D$14,3,0)</f>
        <v>U</v>
      </c>
      <c r="E4972" s="53">
        <f>IF(A4944="MO-3",C4944,0)</f>
        <v>0</v>
      </c>
      <c r="F4972" s="51">
        <f>VLOOKUP(A4972,'Componentes APUs'!$A$1:$D$14,4,0)</f>
        <v>7500</v>
      </c>
      <c r="G4972" s="51">
        <f>ROUNDUP(F4972*(E4972/21)/E4930,0)</f>
        <v>0</v>
      </c>
    </row>
    <row r="4973" spans="1:9" x14ac:dyDescent="0.25">
      <c r="A4973" s="69" t="s">
        <v>89</v>
      </c>
      <c r="B4973" s="72" t="str">
        <f>VLOOKUP(A4973,'Componentes APUs'!$A$1:$D$14,2,0)</f>
        <v>Kit de rescate para trabajo en alturas</v>
      </c>
      <c r="C4973" s="73"/>
      <c r="D4973" s="50" t="str">
        <f>VLOOKUP(A4973,'Componentes APUs'!$A$1:$D$14,3,0)</f>
        <v>U</v>
      </c>
      <c r="E4973" s="50">
        <f>IF(AND(A4944="MO-3",C4944=2),1,0)</f>
        <v>0</v>
      </c>
      <c r="F4973" s="51">
        <f>VLOOKUP(A4973,'Componentes APUs'!$A$1:$D$14,4,0)</f>
        <v>37500</v>
      </c>
      <c r="G4973" s="51">
        <f>ROUNDUP(F4973*(E4973/21)/E4930,0)</f>
        <v>0</v>
      </c>
    </row>
    <row r="4974" spans="1:9" x14ac:dyDescent="0.25">
      <c r="A4974" s="50" t="s">
        <v>91</v>
      </c>
      <c r="B4974" s="72" t="str">
        <f>VLOOKUP(A4974,'Componentes APUs'!$A$1:$D$14,2,0)</f>
        <v>Equipo completo para trabajo en alturas con pretales (Arnes dielectrico, 1 mosqueton de seguridad, tie off dielectrico, eslinga de posicionamiento, juego de pretales)</v>
      </c>
      <c r="C4974" s="73"/>
      <c r="D4974" s="50" t="str">
        <f>VLOOKUP(A4974,'Componentes APUs'!$A$1:$D$14,3,0)</f>
        <v>U</v>
      </c>
      <c r="E4974" s="50">
        <f>IF(A4944="MO-3",C4944,0)</f>
        <v>0</v>
      </c>
      <c r="F4974" s="51">
        <f>VLOOKUP(A4974,'Componentes APUs'!$A$1:$D$14,4,0)</f>
        <v>26041.666666666668</v>
      </c>
      <c r="G4974" s="51">
        <f>ROUNDUP(F4974*(E4974/21)/E4930,0)</f>
        <v>0</v>
      </c>
    </row>
    <row r="4975" spans="1:9" x14ac:dyDescent="0.25">
      <c r="A4975" s="219" t="s">
        <v>95</v>
      </c>
      <c r="B4975" s="219"/>
      <c r="C4975" s="219"/>
      <c r="D4975" s="219"/>
      <c r="E4975" s="219"/>
      <c r="F4975" s="219"/>
      <c r="G4975" s="52">
        <f>SUM(G4962:G4974)</f>
        <v>669</v>
      </c>
    </row>
    <row r="4976" spans="1:9" x14ac:dyDescent="0.25">
      <c r="A4976" s="56"/>
      <c r="B4976" s="57"/>
      <c r="C4976" s="57"/>
      <c r="D4976" s="57"/>
      <c r="E4976" s="57"/>
      <c r="F4976" s="57"/>
      <c r="G4976" s="58"/>
    </row>
    <row r="4977" spans="1:7" x14ac:dyDescent="0.25">
      <c r="A4977" s="219" t="s">
        <v>96</v>
      </c>
      <c r="B4977" s="219"/>
      <c r="C4977" s="219"/>
      <c r="D4977" s="219"/>
      <c r="E4977" s="219"/>
      <c r="F4977" s="219"/>
      <c r="G4977" s="219"/>
    </row>
    <row r="4978" spans="1:7" x14ac:dyDescent="0.25">
      <c r="A4978" s="49" t="s">
        <v>35</v>
      </c>
      <c r="B4978" s="225" t="s">
        <v>36</v>
      </c>
      <c r="C4978" s="225"/>
      <c r="D4978" s="49" t="s">
        <v>37</v>
      </c>
      <c r="E4978" s="49" t="s">
        <v>38</v>
      </c>
      <c r="F4978" s="49" t="s">
        <v>39</v>
      </c>
      <c r="G4978" s="49" t="s">
        <v>40</v>
      </c>
    </row>
    <row r="4979" spans="1:7" x14ac:dyDescent="0.25">
      <c r="A4979" s="69" t="s">
        <v>97</v>
      </c>
      <c r="B4979" s="72" t="str">
        <f>VLOOKUP(A4979,'Componentes APUs'!$N$1:$Q$30,2,0)</f>
        <v>Camioneta</v>
      </c>
      <c r="C4979" s="73"/>
      <c r="D4979" s="70" t="str">
        <f>VLOOKUP(A4979,'Componentes APUs'!$N$1:$Q$30,3,0)</f>
        <v>U</v>
      </c>
      <c r="E4979" s="50">
        <v>0.5</v>
      </c>
      <c r="F4979" s="51">
        <f>VLOOKUP(A4979,'Componentes APUs'!$N$1:$Q$30,4,0)</f>
        <v>5500000</v>
      </c>
      <c r="G4979" s="51">
        <f>IFERROR(ROUNDUP(F4979*(E4979/21)/E4930,0),"-")</f>
        <v>10074</v>
      </c>
    </row>
    <row r="4980" spans="1:7" x14ac:dyDescent="0.25">
      <c r="A4980" s="50" t="s">
        <v>1473</v>
      </c>
      <c r="B4980" s="72" t="str">
        <f>VLOOKUP(A4980,'Componentes APUs'!$N$1:$Q$30,2,0)</f>
        <v>Concretera</v>
      </c>
      <c r="C4980" s="73"/>
      <c r="D4980" s="70" t="str">
        <f>VLOOKUP(A4980,'Componentes APUs'!$N$1:$Q$30,3,0)</f>
        <v>U</v>
      </c>
      <c r="E4980" s="50">
        <v>1</v>
      </c>
      <c r="F4980" s="51">
        <f>VLOOKUP(A4980,'Componentes APUs'!$N$1:$Q$30,4,0)</f>
        <v>550704</v>
      </c>
      <c r="G4980" s="51">
        <f>IFERROR(ROUNDUP(F4980*(E4980/21)/E4930,0),"-")</f>
        <v>2018</v>
      </c>
    </row>
    <row r="4981" spans="1:7" x14ac:dyDescent="0.25">
      <c r="A4981" s="69" t="s">
        <v>1379</v>
      </c>
      <c r="B4981" s="72" t="str">
        <f>VLOOKUP(A4981,'Componentes APUs'!$N$1:$Q$30,2,0)</f>
        <v>Dumper de descarga Frontal 2T</v>
      </c>
      <c r="C4981" s="73"/>
      <c r="D4981" s="70" t="str">
        <f>VLOOKUP(A4981,'Componentes APUs'!$N$1:$Q$30,3,0)</f>
        <v>U</v>
      </c>
      <c r="E4981" s="50">
        <v>0</v>
      </c>
      <c r="F4981" s="51">
        <f>VLOOKUP(A4981,'Componentes APUs'!$N$1:$Q$30,4,0)</f>
        <v>4438716.24</v>
      </c>
      <c r="G4981" s="51">
        <f>IFERROR(ROUNDUP(F4981*(E4981/21)/E4930,0),"-")</f>
        <v>0</v>
      </c>
    </row>
    <row r="4982" spans="1:7" x14ac:dyDescent="0.25">
      <c r="A4982" s="50" t="s">
        <v>323</v>
      </c>
      <c r="B4982" s="72" t="str">
        <f>VLOOKUP(A4982,'Componentes APUs'!$N$1:$Q$30,2,0)</f>
        <v>Volqueta</v>
      </c>
      <c r="C4982" s="73"/>
      <c r="D4982" s="70" t="str">
        <f>VLOOKUP(A4982,'Componentes APUs'!$N$1:$Q$30,3,0)</f>
        <v>U</v>
      </c>
      <c r="E4982" s="50">
        <v>0</v>
      </c>
      <c r="F4982" s="51">
        <f>VLOOKUP(A4982,'Componentes APUs'!$N$1:$Q$30,4,0)</f>
        <v>14828184</v>
      </c>
      <c r="G4982" s="51">
        <f>IFERROR(ROUNDUP(F4982*(E4982/21)/E4930,0),"-")</f>
        <v>0</v>
      </c>
    </row>
    <row r="4983" spans="1:7" x14ac:dyDescent="0.25">
      <c r="A4983" s="69" t="s">
        <v>324</v>
      </c>
      <c r="B4983" s="72" t="str">
        <f>VLOOKUP(A4983,'Componentes APUs'!$N$1:$Q$30,2,0)</f>
        <v>Retroexcavadora</v>
      </c>
      <c r="C4983" s="73"/>
      <c r="D4983" s="70" t="str">
        <f>VLOOKUP(A4983,'Componentes APUs'!$N$1:$Q$30,3,0)</f>
        <v>U</v>
      </c>
      <c r="E4983" s="50">
        <v>0</v>
      </c>
      <c r="F4983" s="51">
        <f>VLOOKUP(A4983,'Componentes APUs'!$N$1:$Q$30,4,0)</f>
        <v>46030656</v>
      </c>
      <c r="G4983" s="51">
        <f>IFERROR(ROUNDUP(F4983*(E4983/21)/E4930,0),"-")</f>
        <v>0</v>
      </c>
    </row>
    <row r="4984" spans="1:7" x14ac:dyDescent="0.25">
      <c r="A4984" s="219" t="s">
        <v>99</v>
      </c>
      <c r="B4984" s="219"/>
      <c r="C4984" s="219"/>
      <c r="D4984" s="219"/>
      <c r="E4984" s="219"/>
      <c r="F4984" s="219"/>
      <c r="G4984" s="52">
        <f>SUM(G4979:G4983)</f>
        <v>12092</v>
      </c>
    </row>
    <row r="4985" spans="1:7" x14ac:dyDescent="0.25">
      <c r="A4985" s="56"/>
      <c r="B4985" s="57"/>
      <c r="C4985" s="57"/>
      <c r="D4985" s="57"/>
      <c r="E4985" s="57"/>
      <c r="F4985" s="57"/>
      <c r="G4985" s="58"/>
    </row>
    <row r="4986" spans="1:7" x14ac:dyDescent="0.25">
      <c r="A4986" s="219" t="s">
        <v>100</v>
      </c>
      <c r="B4986" s="219"/>
      <c r="C4986" s="219"/>
      <c r="D4986" s="219"/>
      <c r="E4986" s="219"/>
      <c r="F4986" s="219"/>
      <c r="G4986" s="52">
        <f>G4984+G4975+G4958+G4948+G4938</f>
        <v>135532</v>
      </c>
    </row>
    <row r="4987" spans="1:7" x14ac:dyDescent="0.25">
      <c r="A4987" s="59"/>
      <c r="B4987" s="60"/>
      <c r="C4987" s="60"/>
      <c r="D4987" s="60"/>
      <c r="E4987" s="57"/>
      <c r="F4987" s="57"/>
      <c r="G4987" s="58"/>
    </row>
    <row r="4988" spans="1:7" x14ac:dyDescent="0.25">
      <c r="A4988" s="64"/>
      <c r="D4988" s="55"/>
      <c r="E4988" s="49" t="s">
        <v>25</v>
      </c>
      <c r="F4988" s="54">
        <v>0.15</v>
      </c>
      <c r="G4988" s="51">
        <f>G4986*F4988</f>
        <v>20329.8</v>
      </c>
    </row>
    <row r="4989" spans="1:7" x14ac:dyDescent="0.25">
      <c r="A4989" s="64"/>
      <c r="D4989" s="55"/>
      <c r="E4989" s="49" t="s">
        <v>26</v>
      </c>
      <c r="F4989" s="54">
        <v>0.05</v>
      </c>
      <c r="G4989" s="51">
        <f>G4986*F4989</f>
        <v>6776.6</v>
      </c>
    </row>
    <row r="4990" spans="1:7" x14ac:dyDescent="0.25">
      <c r="A4990" s="61"/>
      <c r="B4990" s="65"/>
      <c r="C4990" s="65"/>
      <c r="D4990" s="62"/>
      <c r="E4990" s="49" t="s">
        <v>27</v>
      </c>
      <c r="F4990" s="54">
        <v>0.05</v>
      </c>
      <c r="G4990" s="51">
        <f>G4986*F4990</f>
        <v>6776.6</v>
      </c>
    </row>
    <row r="4991" spans="1:7" x14ac:dyDescent="0.25">
      <c r="A4991" s="61"/>
      <c r="B4991" s="62"/>
      <c r="C4991" s="62"/>
      <c r="D4991" s="62"/>
      <c r="E4991" s="62"/>
      <c r="F4991" s="62"/>
      <c r="G4991" s="63"/>
    </row>
    <row r="4992" spans="1:7" x14ac:dyDescent="0.25">
      <c r="A4992" s="219" t="s">
        <v>101</v>
      </c>
      <c r="B4992" s="219"/>
      <c r="C4992" s="219"/>
      <c r="D4992" s="219"/>
      <c r="E4992" s="219"/>
      <c r="F4992" s="219"/>
      <c r="G4992" s="52">
        <f>G4986+G4988+G4989+G4990</f>
        <v>169415</v>
      </c>
    </row>
    <row r="4993" spans="1:12" x14ac:dyDescent="0.25">
      <c r="A4993" s="59"/>
      <c r="B4993" s="60"/>
      <c r="C4993" s="60"/>
      <c r="D4993" s="60"/>
      <c r="E4993" s="57"/>
      <c r="F4993" s="57"/>
      <c r="G4993" s="58"/>
    </row>
    <row r="4994" spans="1:12" x14ac:dyDescent="0.25">
      <c r="A4994" s="64"/>
      <c r="D4994" s="55"/>
      <c r="E4994" s="49" t="s">
        <v>102</v>
      </c>
      <c r="F4994" s="49" t="s">
        <v>103</v>
      </c>
      <c r="G4994" s="51">
        <f>G4990*19%</f>
        <v>1287.5540000000001</v>
      </c>
    </row>
    <row r="4995" spans="1:12" x14ac:dyDescent="0.25">
      <c r="A4995" s="61"/>
      <c r="B4995" s="62"/>
      <c r="C4995" s="62"/>
      <c r="D4995" s="62"/>
      <c r="E4995" s="57"/>
      <c r="F4995" s="57"/>
      <c r="G4995" s="58"/>
    </row>
    <row r="4996" spans="1:12" x14ac:dyDescent="0.25">
      <c r="A4996" s="219" t="s">
        <v>104</v>
      </c>
      <c r="B4996" s="219"/>
      <c r="C4996" s="219"/>
      <c r="D4996" s="219"/>
      <c r="E4996" s="219"/>
      <c r="F4996" s="219"/>
      <c r="G4996" s="52">
        <f>G4994+G4992</f>
        <v>170702.554</v>
      </c>
    </row>
    <row r="4998" spans="1:12" x14ac:dyDescent="0.25">
      <c r="A4998" s="74" t="s">
        <v>29</v>
      </c>
      <c r="B4998" s="226" t="s">
        <v>30</v>
      </c>
      <c r="C4998" s="226"/>
      <c r="D4998" s="74" t="s">
        <v>31</v>
      </c>
      <c r="E4998" s="74" t="s">
        <v>32</v>
      </c>
      <c r="F4998" s="74" t="s">
        <v>189</v>
      </c>
      <c r="G4998" s="74" t="s">
        <v>33</v>
      </c>
      <c r="H4998" s="105"/>
    </row>
    <row r="4999" spans="1:12" x14ac:dyDescent="0.25">
      <c r="A4999" s="50" t="str">
        <f>Presupuesto!B100</f>
        <v>081_OC</v>
      </c>
      <c r="B4999" s="229" t="str">
        <f>Presupuesto!C100</f>
        <v>ZAPATA DE CIMENTACIÓN DE CONCRETO SIMPLE</v>
      </c>
      <c r="C4999" s="230"/>
      <c r="D4999" s="50" t="s">
        <v>114</v>
      </c>
      <c r="E4999" s="107">
        <v>7</v>
      </c>
      <c r="F4999" s="50"/>
      <c r="G4999" s="51">
        <f>G5062</f>
        <v>990055.16500000004</v>
      </c>
      <c r="H4999" s="45"/>
    </row>
    <row r="5000" spans="1:12" x14ac:dyDescent="0.25">
      <c r="A5000" s="219" t="s">
        <v>34</v>
      </c>
      <c r="B5000" s="219"/>
      <c r="C5000" s="219"/>
      <c r="D5000" s="219"/>
      <c r="E5000" s="219"/>
      <c r="F5000" s="219"/>
      <c r="G5000" s="219"/>
    </row>
    <row r="5001" spans="1:12" x14ac:dyDescent="0.25">
      <c r="A5001" s="49" t="s">
        <v>35</v>
      </c>
      <c r="B5001" s="219" t="s">
        <v>36</v>
      </c>
      <c r="C5001" s="219"/>
      <c r="D5001" s="49" t="s">
        <v>37</v>
      </c>
      <c r="E5001" s="49" t="s">
        <v>38</v>
      </c>
      <c r="F5001" s="49" t="s">
        <v>39</v>
      </c>
      <c r="G5001" s="49" t="s">
        <v>40</v>
      </c>
      <c r="K5001" s="23"/>
      <c r="L5001" s="23"/>
    </row>
    <row r="5002" spans="1:12" x14ac:dyDescent="0.25">
      <c r="A5002" s="50" t="str">
        <f>Material!A218</f>
        <v>MA-217</v>
      </c>
      <c r="B5002" s="72" t="str">
        <f>IFERROR(VLOOKUP(A5002,Material!$A:$H,2,0),"-")</f>
        <v>FORMALETA EN MADERA CON TABLA DE 1"</v>
      </c>
      <c r="C5002" s="76"/>
      <c r="D5002" s="50" t="str">
        <f>IFERROR(VLOOKUP(A5002,Material!$A:$H,4,0),"-")</f>
        <v>M2</v>
      </c>
      <c r="E5002" s="96">
        <v>0.04</v>
      </c>
      <c r="F5002" s="51">
        <f>IFERROR(VLOOKUP(A5002,Material!$A:$H,3,0),"-")</f>
        <v>24691.116165303549</v>
      </c>
      <c r="G5002" s="51">
        <f>IFERROR(ROUNDUP(F5002*E5002,0),"-")</f>
        <v>988</v>
      </c>
      <c r="H5002" s="106"/>
    </row>
    <row r="5003" spans="1:12" x14ac:dyDescent="0.25">
      <c r="A5003" s="50" t="str">
        <f>Material!A15</f>
        <v>MA-14</v>
      </c>
      <c r="B5003" s="72" t="str">
        <f>IFERROR(VLOOKUP(A5003,Material!$A:$H,2,0),"-")</f>
        <v>CONCRETO DE 3000 PSI</v>
      </c>
      <c r="C5003" s="76"/>
      <c r="D5003" s="50" t="str">
        <f>IFERROR(VLOOKUP(A5003,Material!$A:$H,4,0),"-")</f>
        <v>M3</v>
      </c>
      <c r="E5003" s="23">
        <v>1.03</v>
      </c>
      <c r="F5003" s="51">
        <f>IFERROR(VLOOKUP(A5003,Material!$A:$H,3,0),"-")</f>
        <v>620227.23330691375</v>
      </c>
      <c r="G5003" s="51">
        <f>IFERROR(ROUNDUP(F5003*E5003,0),"-")</f>
        <v>638835</v>
      </c>
      <c r="H5003" s="106"/>
    </row>
    <row r="5004" spans="1:12" x14ac:dyDescent="0.25">
      <c r="A5004" s="219" t="s">
        <v>41</v>
      </c>
      <c r="B5004" s="219"/>
      <c r="C5004" s="219"/>
      <c r="D5004" s="219"/>
      <c r="E5004" s="219"/>
      <c r="F5004" s="219"/>
      <c r="G5004" s="52">
        <f>SUM(G5002:G5003)</f>
        <v>639823</v>
      </c>
      <c r="I5004" s="104"/>
    </row>
    <row r="5005" spans="1:12" x14ac:dyDescent="0.25">
      <c r="A5005" s="56"/>
      <c r="B5005" s="57"/>
      <c r="C5005" s="57"/>
      <c r="D5005" s="57"/>
      <c r="E5005" s="57"/>
      <c r="F5005" s="57"/>
      <c r="G5005" s="58"/>
    </row>
    <row r="5006" spans="1:12" x14ac:dyDescent="0.25">
      <c r="A5006" s="219" t="s">
        <v>42</v>
      </c>
      <c r="B5006" s="219"/>
      <c r="C5006" s="219"/>
      <c r="D5006" s="219"/>
      <c r="E5006" s="219"/>
      <c r="F5006" s="219"/>
      <c r="G5006" s="219"/>
    </row>
    <row r="5007" spans="1:12" x14ac:dyDescent="0.25">
      <c r="A5007" s="49" t="s">
        <v>35</v>
      </c>
      <c r="B5007" s="49" t="s">
        <v>36</v>
      </c>
      <c r="C5007" s="49" t="s">
        <v>38</v>
      </c>
      <c r="D5007" s="49" t="s">
        <v>43</v>
      </c>
      <c r="E5007" s="49" t="s">
        <v>44</v>
      </c>
      <c r="F5007" s="49" t="s">
        <v>45</v>
      </c>
      <c r="G5007" s="49" t="s">
        <v>40</v>
      </c>
    </row>
    <row r="5008" spans="1:12" x14ac:dyDescent="0.25">
      <c r="A5008" s="50" t="s">
        <v>319</v>
      </c>
      <c r="B5008" s="68" t="str">
        <f>VLOOKUP(A5008,'Componentes APUs'!$H$1:$L$25,2,0)</f>
        <v>Ingeniero Residente de Obra</v>
      </c>
      <c r="C5008" s="93">
        <v>0.25</v>
      </c>
      <c r="D5008" s="50">
        <f>VLOOKUP(A5008,'Componentes APUs'!$H$1:$L$25,3,0)</f>
        <v>4</v>
      </c>
      <c r="E5008" s="51">
        <f>VLOOKUP(A5008,'Componentes APUs'!$H$1:$L$25,4,0)</f>
        <v>271142.85714285716</v>
      </c>
      <c r="F5008" s="51">
        <f>VLOOKUP(A5008,'Componentes APUs'!$H$1:$L$25,5,0)</f>
        <v>162685.71428571429</v>
      </c>
      <c r="G5008" s="51">
        <f>ROUNDUP((E5008+F5008)*C5008/E4999,0)</f>
        <v>15494</v>
      </c>
      <c r="H5008" s="66"/>
    </row>
    <row r="5009" spans="1:9" x14ac:dyDescent="0.25">
      <c r="A5009" s="50" t="s">
        <v>320</v>
      </c>
      <c r="B5009" s="68" t="str">
        <f>VLOOKUP(A5009,'Componentes APUs'!$H$1:$L$25,2,0)</f>
        <v>Tecnico Supervisor</v>
      </c>
      <c r="C5009" s="93">
        <v>0</v>
      </c>
      <c r="D5009" s="50">
        <f>VLOOKUP(A5009,'Componentes APUs'!$H$1:$L$25,3,0)</f>
        <v>2.2999999999999998</v>
      </c>
      <c r="E5009" s="51">
        <f>VLOOKUP(A5009,'Componentes APUs'!$H$1:$L$25,4,0)</f>
        <v>155907.14285714284</v>
      </c>
      <c r="F5009" s="51">
        <f>VLOOKUP(A5009,'Componentes APUs'!$H$1:$L$25,5,0)</f>
        <v>93544.285714285696</v>
      </c>
      <c r="G5009" s="51">
        <f>ROUNDUP((E5009+F5009)*C5009/E4999,0)</f>
        <v>0</v>
      </c>
    </row>
    <row r="5010" spans="1:9" x14ac:dyDescent="0.25">
      <c r="A5010" s="50" t="s">
        <v>54</v>
      </c>
      <c r="B5010" s="68" t="str">
        <f>VLOOKUP(A5010,'Componentes APUs'!$H$1:$L$25,2,0)</f>
        <v>Maestro de obra civil</v>
      </c>
      <c r="C5010" s="93">
        <v>0.25</v>
      </c>
      <c r="D5010" s="50">
        <f>VLOOKUP(A5010,'Componentes APUs'!$H$1:$L$25,3,0)</f>
        <v>2.5</v>
      </c>
      <c r="E5010" s="51">
        <f>VLOOKUP(A5010,'Componentes APUs'!$H$1:$L$25,4,0)</f>
        <v>169464.28571428571</v>
      </c>
      <c r="F5010" s="51">
        <f>VLOOKUP(A5010,'Componentes APUs'!$H$1:$L$25,5,0)</f>
        <v>101678.57142857142</v>
      </c>
      <c r="G5010" s="51">
        <f>ROUNDUP((E5010+F5010)*C5010/E4999,0)</f>
        <v>9684</v>
      </c>
    </row>
    <row r="5011" spans="1:9" x14ac:dyDescent="0.25">
      <c r="A5011" s="50" t="s">
        <v>1110</v>
      </c>
      <c r="B5011" s="68" t="str">
        <f>VLOOKUP(A5011,'Componentes APUs'!$H$1:$L$25,2,0)</f>
        <v>Oficial de Obra Civil</v>
      </c>
      <c r="C5011" s="93">
        <v>1</v>
      </c>
      <c r="D5011" s="50">
        <f>VLOOKUP(A5011,'Componentes APUs'!$H$1:$L$25,3,0)</f>
        <v>1.5</v>
      </c>
      <c r="E5011" s="51">
        <f>VLOOKUP(A5011,'Componentes APUs'!$H$1:$L$25,4,0)</f>
        <v>115964.28571428571</v>
      </c>
      <c r="F5011" s="51">
        <f>VLOOKUP(A5011,'Componentes APUs'!$H$1:$L$25,5,0)</f>
        <v>69578.57142857142</v>
      </c>
      <c r="G5011" s="51">
        <f>ROUNDUP((E5011+F5011)*C5011/E4999,0)</f>
        <v>26507</v>
      </c>
    </row>
    <row r="5012" spans="1:9" x14ac:dyDescent="0.25">
      <c r="A5012" s="50" t="s">
        <v>50</v>
      </c>
      <c r="B5012" s="68" t="str">
        <f>VLOOKUP(A5012,'Componentes APUs'!$H$1:$L$25,2,0)</f>
        <v>Profesional en SST</v>
      </c>
      <c r="C5012" s="93">
        <v>0.25</v>
      </c>
      <c r="D5012" s="50">
        <f>VLOOKUP(A5012,'Componentes APUs'!$H$1:$L$25,3,0)</f>
        <v>2.5</v>
      </c>
      <c r="E5012" s="51">
        <f>VLOOKUP(A5012,'Componentes APUs'!$H$1:$L$25,4,0)</f>
        <v>169464.28571428571</v>
      </c>
      <c r="F5012" s="51">
        <f>VLOOKUP(A5012,'Componentes APUs'!$H$1:$L$25,5,0)</f>
        <v>101678.57142857142</v>
      </c>
      <c r="G5012" s="51">
        <f>ROUNDUP((E5012+F5012)*C5012/E4999,0)</f>
        <v>9684</v>
      </c>
    </row>
    <row r="5013" spans="1:9" x14ac:dyDescent="0.25">
      <c r="A5013" s="50" t="s">
        <v>1109</v>
      </c>
      <c r="B5013" s="68" t="str">
        <f>VLOOKUP(A5013,'Componentes APUs'!$H$1:$L$25,2,0)</f>
        <v>Ayudante de Obra Civil</v>
      </c>
      <c r="C5013" s="93">
        <v>3</v>
      </c>
      <c r="D5013" s="50">
        <f>VLOOKUP(A5013,'Componentes APUs'!$H$1:$L$25,3,0)</f>
        <v>1</v>
      </c>
      <c r="E5013" s="51">
        <f>VLOOKUP(A5013,'Componentes APUs'!$H$1:$L$25,4,0)</f>
        <v>77309.523809523816</v>
      </c>
      <c r="F5013" s="51">
        <f>VLOOKUP(A5013,'Componentes APUs'!$H$1:$L$25,5,0)</f>
        <v>46385.71428571429</v>
      </c>
      <c r="G5013" s="51">
        <f>ROUNDUP((E5013+F5013)*C5013/E4999,0)</f>
        <v>53013</v>
      </c>
    </row>
    <row r="5014" spans="1:9" x14ac:dyDescent="0.25">
      <c r="A5014" s="219" t="s">
        <v>56</v>
      </c>
      <c r="B5014" s="219"/>
      <c r="C5014" s="219"/>
      <c r="D5014" s="219"/>
      <c r="E5014" s="219"/>
      <c r="F5014" s="219"/>
      <c r="G5014" s="52">
        <f>SUM(G5008:G5013)</f>
        <v>114382</v>
      </c>
    </row>
    <row r="5015" spans="1:9" x14ac:dyDescent="0.25">
      <c r="A5015" s="56"/>
      <c r="B5015" s="57"/>
      <c r="C5015" s="57"/>
      <c r="D5015" s="57"/>
      <c r="E5015" s="57"/>
      <c r="F5015" s="57"/>
      <c r="G5015" s="58"/>
    </row>
    <row r="5016" spans="1:9" x14ac:dyDescent="0.25">
      <c r="A5016" s="219" t="s">
        <v>57</v>
      </c>
      <c r="B5016" s="219"/>
      <c r="C5016" s="219"/>
      <c r="D5016" s="219"/>
      <c r="E5016" s="219"/>
      <c r="F5016" s="219"/>
      <c r="G5016" s="219"/>
    </row>
    <row r="5017" spans="1:9" x14ac:dyDescent="0.25">
      <c r="A5017" s="49" t="s">
        <v>35</v>
      </c>
      <c r="B5017" s="219" t="s">
        <v>36</v>
      </c>
      <c r="C5017" s="219"/>
      <c r="D5017" s="49" t="s">
        <v>37</v>
      </c>
      <c r="E5017" s="49" t="s">
        <v>38</v>
      </c>
      <c r="F5017" s="49" t="s">
        <v>39</v>
      </c>
      <c r="G5017" s="49" t="s">
        <v>40</v>
      </c>
    </row>
    <row r="5018" spans="1:9" x14ac:dyDescent="0.25">
      <c r="A5018" s="50" t="s">
        <v>326</v>
      </c>
      <c r="B5018" s="220" t="str">
        <f>VLOOKUP(A5018,'Componentes APUs'!$S$1:$V$10,2,0)</f>
        <v>Juego Llaves</v>
      </c>
      <c r="C5018" s="220"/>
      <c r="D5018" s="50" t="s">
        <v>18</v>
      </c>
      <c r="E5018" s="50">
        <v>0</v>
      </c>
      <c r="F5018" s="51">
        <f>VLOOKUP(A5018,'Componentes APUs'!$S$1:$V$10,4,0)</f>
        <v>9167</v>
      </c>
      <c r="G5018" s="51">
        <f>ROUNDUP(F5018*((E5018/21)/E4999),0)</f>
        <v>0</v>
      </c>
      <c r="I5018" s="91"/>
    </row>
    <row r="5019" spans="1:9" x14ac:dyDescent="0.25">
      <c r="A5019" s="50" t="s">
        <v>58</v>
      </c>
      <c r="B5019" s="220" t="str">
        <f>VLOOKUP(A5019,'Componentes APUs'!$S$1:$V$10,2,0)</f>
        <v>Manila de servicio</v>
      </c>
      <c r="C5019" s="220"/>
      <c r="D5019" s="50" t="s">
        <v>18</v>
      </c>
      <c r="E5019" s="50">
        <v>0</v>
      </c>
      <c r="F5019" s="51">
        <f>VLOOKUP(A5019,'Componentes APUs'!$S$1:$V$10,4,0)</f>
        <v>2333</v>
      </c>
      <c r="G5019" s="51">
        <f>ROUNDUP(F5019*((E5019/21)/E4999),0)</f>
        <v>0</v>
      </c>
    </row>
    <row r="5020" spans="1:9" x14ac:dyDescent="0.25">
      <c r="A5020" s="50" t="s">
        <v>327</v>
      </c>
      <c r="B5020" s="220" t="str">
        <f>VLOOKUP(A5020,'Componentes APUs'!$S$1:$V$10,2,0)</f>
        <v>Tula portaherramientas</v>
      </c>
      <c r="C5020" s="220"/>
      <c r="D5020" s="50" t="s">
        <v>18</v>
      </c>
      <c r="E5020" s="50">
        <v>0</v>
      </c>
      <c r="F5020" s="51">
        <f>VLOOKUP(A5020,'Componentes APUs'!$S$1:$V$10,4,0)</f>
        <v>1250</v>
      </c>
      <c r="G5020" s="51">
        <f>ROUNDUP(F5020*((E5020/21)/E4999),0)</f>
        <v>0</v>
      </c>
    </row>
    <row r="5021" spans="1:9" x14ac:dyDescent="0.25">
      <c r="A5021" s="50" t="s">
        <v>60</v>
      </c>
      <c r="B5021" s="220" t="str">
        <f>VLOOKUP(A5021,'Componentes APUs'!$S$1:$V$10,2,0)</f>
        <v>Agarradoras</v>
      </c>
      <c r="C5021" s="220"/>
      <c r="D5021" s="50" t="s">
        <v>18</v>
      </c>
      <c r="E5021" s="50">
        <v>0</v>
      </c>
      <c r="F5021" s="51">
        <f>VLOOKUP(A5021,'Componentes APUs'!$S$1:$V$10,4,0)</f>
        <v>125000</v>
      </c>
      <c r="G5021" s="51">
        <f>ROUNDUP(F5021*((E5021/21)/E4999),0)</f>
        <v>0</v>
      </c>
    </row>
    <row r="5022" spans="1:9" x14ac:dyDescent="0.25">
      <c r="A5022" s="50" t="s">
        <v>62</v>
      </c>
      <c r="B5022" s="220" t="str">
        <f>VLOOKUP(A5022,'Componentes APUs'!$S$1:$V$10,2,0)</f>
        <v>Templadoras</v>
      </c>
      <c r="C5022" s="220"/>
      <c r="D5022" s="50" t="s">
        <v>18</v>
      </c>
      <c r="E5022" s="50">
        <v>0</v>
      </c>
      <c r="F5022" s="51">
        <f>VLOOKUP(A5022,'Componentes APUs'!$S$1:$V$10,4,0)</f>
        <v>250000</v>
      </c>
      <c r="G5022" s="51">
        <f>ROUNDUP(F5022*((E5022/21)/E4999),0)</f>
        <v>0</v>
      </c>
    </row>
    <row r="5023" spans="1:9" x14ac:dyDescent="0.25">
      <c r="A5023" s="50" t="s">
        <v>328</v>
      </c>
      <c r="B5023" s="220" t="str">
        <f>VLOOKUP(A5023,'Componentes APUs'!$S$1:$V$10,2,0)</f>
        <v>Herramienta Menor</v>
      </c>
      <c r="C5023" s="220"/>
      <c r="D5023" s="50" t="s">
        <v>18</v>
      </c>
      <c r="E5023" s="50">
        <v>15</v>
      </c>
      <c r="F5023" s="51">
        <f>VLOOKUP(A5023,'Componentes APUs'!$S$1:$V$10,4,0)</f>
        <v>75758</v>
      </c>
      <c r="G5023" s="51">
        <f>ROUNDUP(F5023*((E5023/21)/E4999),0)</f>
        <v>7731</v>
      </c>
    </row>
    <row r="5024" spans="1:9" x14ac:dyDescent="0.25">
      <c r="A5024" s="219" t="s">
        <v>69</v>
      </c>
      <c r="B5024" s="219"/>
      <c r="C5024" s="219"/>
      <c r="D5024" s="219"/>
      <c r="E5024" s="219"/>
      <c r="F5024" s="219"/>
      <c r="G5024" s="52">
        <f>SUM(G5018:G5023)</f>
        <v>7731</v>
      </c>
    </row>
    <row r="5025" spans="1:9" x14ac:dyDescent="0.25">
      <c r="A5025" s="56"/>
      <c r="B5025" s="57"/>
      <c r="C5025" s="57"/>
      <c r="D5025" s="57"/>
      <c r="E5025" s="57"/>
      <c r="F5025" s="57"/>
      <c r="G5025" s="58"/>
    </row>
    <row r="5026" spans="1:9" x14ac:dyDescent="0.25">
      <c r="A5026" s="219" t="s">
        <v>70</v>
      </c>
      <c r="B5026" s="219"/>
      <c r="C5026" s="219"/>
      <c r="D5026" s="219"/>
      <c r="E5026" s="219"/>
      <c r="F5026" s="219"/>
      <c r="G5026" s="219"/>
    </row>
    <row r="5027" spans="1:9" x14ac:dyDescent="0.25">
      <c r="A5027" s="49" t="s">
        <v>35</v>
      </c>
      <c r="B5027" s="219" t="s">
        <v>36</v>
      </c>
      <c r="C5027" s="219"/>
      <c r="D5027" s="49" t="s">
        <v>37</v>
      </c>
      <c r="E5027" s="49" t="s">
        <v>38</v>
      </c>
      <c r="F5027" s="49" t="s">
        <v>39</v>
      </c>
      <c r="G5027" s="49" t="s">
        <v>40</v>
      </c>
    </row>
    <row r="5028" spans="1:9" x14ac:dyDescent="0.25">
      <c r="A5028" s="50" t="s">
        <v>71</v>
      </c>
      <c r="B5028" s="71" t="str">
        <f>VLOOKUP(A5028,'Componentes APUs'!$A$1:$D$14,2,0)</f>
        <v>Camisa indigo sin partes metalicas</v>
      </c>
      <c r="C5028" s="71"/>
      <c r="D5028" s="50" t="str">
        <f>VLOOKUP(A5028,'Componentes APUs'!$A$1:$D$14,3,0)</f>
        <v>U</v>
      </c>
      <c r="E5028" s="50">
        <f>SUM(C5008:C5013)</f>
        <v>4.75</v>
      </c>
      <c r="F5028" s="51">
        <f>VLOOKUP(A5028,'Componentes APUs'!$A$1:$D$14,4,0)</f>
        <v>8585.8585858585866</v>
      </c>
      <c r="G5028" s="51">
        <f>ROUNDUP(F5028*(E5028/21)/E4999,0)</f>
        <v>278</v>
      </c>
      <c r="I5028" s="91"/>
    </row>
    <row r="5029" spans="1:9" x14ac:dyDescent="0.25">
      <c r="A5029" s="69" t="s">
        <v>73</v>
      </c>
      <c r="B5029" s="72" t="str">
        <f>VLOOKUP(A5029,'Componentes APUs'!$A$1:$D$14,2,0)</f>
        <v>Bota de seguridad dielectrica</v>
      </c>
      <c r="C5029" s="73"/>
      <c r="D5029" s="70" t="str">
        <f>VLOOKUP(A5029,'Componentes APUs'!$A$1:$D$14,3,0)</f>
        <v>Par</v>
      </c>
      <c r="E5029" s="50">
        <f>SUM(C5008:C5013)</f>
        <v>4.75</v>
      </c>
      <c r="F5029" s="51">
        <f>VLOOKUP(A5029,'Componentes APUs'!$A$1:$D$14,4,0)</f>
        <v>7500</v>
      </c>
      <c r="G5029" s="51">
        <f>ROUNDUP(F5029*(E5029/21)/E4999,0)</f>
        <v>243</v>
      </c>
    </row>
    <row r="5030" spans="1:9" x14ac:dyDescent="0.25">
      <c r="A5030" s="50" t="s">
        <v>76</v>
      </c>
      <c r="B5030" s="72" t="str">
        <f>VLOOKUP(A5030,'Componentes APUs'!$A$1:$D$14,2,0)</f>
        <v>Casco dielectrico Tipo 1 Clase E con barbuquejo</v>
      </c>
      <c r="C5030" s="73"/>
      <c r="D5030" s="50" t="str">
        <f>VLOOKUP(A5030,'Componentes APUs'!$A$1:$D$14,3,0)</f>
        <v>U</v>
      </c>
      <c r="E5030" s="50">
        <f>C5008+C5009+C5011+C5012+C5013+IF(A5010&lt;&gt;"MO-3",C5010,0)</f>
        <v>4.75</v>
      </c>
      <c r="F5030" s="51">
        <f>VLOOKUP(A5030,'Componentes APUs'!$A$1:$D$14,4,0)</f>
        <v>10101.010101010101</v>
      </c>
      <c r="G5030" s="51">
        <f>ROUNDUP(F5030*(E5030/21)/E4999,0)</f>
        <v>327</v>
      </c>
    </row>
    <row r="5031" spans="1:9" x14ac:dyDescent="0.25">
      <c r="A5031" s="69" t="s">
        <v>77</v>
      </c>
      <c r="B5031" s="72" t="str">
        <f>VLOOKUP(A5031,'Componentes APUs'!$A$1:$D$14,2,0)</f>
        <v>Correa plastica y antiflama</v>
      </c>
      <c r="C5031" s="73"/>
      <c r="D5031" s="50" t="str">
        <f>VLOOKUP(A5031,'Componentes APUs'!$A$1:$D$14,3,0)</f>
        <v>U</v>
      </c>
      <c r="E5031" s="50">
        <f>SUM(C5008:C5013)</f>
        <v>4.75</v>
      </c>
      <c r="F5031" s="51">
        <f>VLOOKUP(A5031,'Componentes APUs'!$A$1:$D$14,4,0)</f>
        <v>3787.878787878788</v>
      </c>
      <c r="G5031" s="51">
        <f>ROUNDUP(F5031*(E5031/21)/E4999,0)</f>
        <v>123</v>
      </c>
    </row>
    <row r="5032" spans="1:9" x14ac:dyDescent="0.25">
      <c r="A5032" s="50" t="s">
        <v>79</v>
      </c>
      <c r="B5032" s="72" t="str">
        <f>VLOOKUP(A5032,'Componentes APUs'!$A$1:$D$14,2,0)</f>
        <v>Gafas protectoras filtro UV</v>
      </c>
      <c r="C5032" s="73"/>
      <c r="D5032" s="50" t="str">
        <f>VLOOKUP(A5032,'Componentes APUs'!$A$1:$D$14,3,0)</f>
        <v>U</v>
      </c>
      <c r="E5032" s="50">
        <f>SUM(C5008:C5013)</f>
        <v>4.75</v>
      </c>
      <c r="F5032" s="51">
        <f>VLOOKUP(A5032,'Componentes APUs'!$A$1:$D$14,4,0)</f>
        <v>2777.7777777777778</v>
      </c>
      <c r="G5032" s="51">
        <f>ROUNDUP(F5032*(E5032/21)/E4999,0)</f>
        <v>90</v>
      </c>
    </row>
    <row r="5033" spans="1:9" x14ac:dyDescent="0.25">
      <c r="A5033" s="69" t="s">
        <v>402</v>
      </c>
      <c r="B5033" s="72" t="str">
        <f>VLOOKUP(A5033,'Componentes APUs'!$A$1:$D$14,2,0)</f>
        <v>Bota de seguridad PVC dielectrica</v>
      </c>
      <c r="C5033" s="73"/>
      <c r="D5033" s="50" t="str">
        <f>VLOOKUP(A5033,'Componentes APUs'!$A$1:$D$14,3,0)</f>
        <v>Par</v>
      </c>
      <c r="E5033" s="50">
        <f>SUM(C5008:C5013)</f>
        <v>4.75</v>
      </c>
      <c r="F5033" s="51">
        <f>VLOOKUP(A5033,'Componentes APUs'!$A$1:$D$14,4,0)</f>
        <v>2916.6666666666665</v>
      </c>
      <c r="G5033" s="51">
        <f>ROUNDUP(F5033*(E5033/21)/E4999,0)</f>
        <v>95</v>
      </c>
    </row>
    <row r="5034" spans="1:9" x14ac:dyDescent="0.25">
      <c r="A5034" s="50" t="s">
        <v>403</v>
      </c>
      <c r="B5034" s="72" t="str">
        <f>VLOOKUP(A5034,'Componentes APUs'!$A$1:$D$14,2,0)</f>
        <v>Capuchon</v>
      </c>
      <c r="C5034" s="73"/>
      <c r="D5034" s="50" t="str">
        <f>VLOOKUP(A5034,'Componentes APUs'!$A$1:$D$14,3,0)</f>
        <v>U</v>
      </c>
      <c r="E5034" s="50">
        <f>SUM(C5008:C5013)</f>
        <v>4.75</v>
      </c>
      <c r="F5034" s="51">
        <f>VLOOKUP(A5034,'Componentes APUs'!$A$1:$D$14,4,0)</f>
        <v>2525.2525252525252</v>
      </c>
      <c r="G5034" s="51">
        <f>ROUNDUP(F5034*(E5034/21)/E4999,0)</f>
        <v>82</v>
      </c>
    </row>
    <row r="5035" spans="1:9" x14ac:dyDescent="0.25">
      <c r="A5035" s="69" t="s">
        <v>81</v>
      </c>
      <c r="B5035" s="72" t="str">
        <f>VLOOKUP(A5035,'Componentes APUs'!$A$1:$D$14,2,0)</f>
        <v>Guantes Protectores  - ingeniero reforzados</v>
      </c>
      <c r="C5035" s="73"/>
      <c r="D5035" s="50" t="str">
        <f>VLOOKUP(A5035,'Componentes APUs'!$A$1:$D$14,3,0)</f>
        <v>Par</v>
      </c>
      <c r="E5035" s="50">
        <f>C5010+C5011+C5013</f>
        <v>4.25</v>
      </c>
      <c r="F5035" s="51">
        <f>VLOOKUP(A5035,'Componentes APUs'!$A$1:$D$14,4,0)</f>
        <v>2525.2525252525252</v>
      </c>
      <c r="G5035" s="51">
        <f>ROUNDUP(F5035*(E5035/21)/E4999,0)</f>
        <v>74</v>
      </c>
    </row>
    <row r="5036" spans="1:9" x14ac:dyDescent="0.25">
      <c r="A5036" s="50" t="s">
        <v>83</v>
      </c>
      <c r="B5036" s="72" t="str">
        <f>VLOOKUP(A5036,'Componentes APUs'!$A$1:$D$14,2,0)</f>
        <v>Impermeable (pantalon camisa)</v>
      </c>
      <c r="C5036" s="73"/>
      <c r="D5036" s="50" t="str">
        <f>VLOOKUP(A5036,'Componentes APUs'!$A$1:$D$14,3,0)</f>
        <v>U</v>
      </c>
      <c r="E5036" s="50">
        <f>SUM(C5008:C5013)</f>
        <v>4.75</v>
      </c>
      <c r="F5036" s="51">
        <f>VLOOKUP(A5036,'Componentes APUs'!$A$1:$D$14,4,0)</f>
        <v>3750</v>
      </c>
      <c r="G5036" s="51">
        <f>ROUNDUP(F5036*(E5036/21)/E4999,0)</f>
        <v>122</v>
      </c>
    </row>
    <row r="5037" spans="1:9" x14ac:dyDescent="0.25">
      <c r="A5037" s="69" t="s">
        <v>85</v>
      </c>
      <c r="B5037" s="72" t="str">
        <f>VLOOKUP(A5037,'Componentes APUs'!$A$1:$D$14,2,0)</f>
        <v>Jean Dielectrico</v>
      </c>
      <c r="C5037" s="73"/>
      <c r="D5037" s="50" t="str">
        <f>VLOOKUP(A5037,'Componentes APUs'!$A$1:$D$14,3,0)</f>
        <v>U</v>
      </c>
      <c r="E5037" s="50">
        <f>SUM(C5008:C5013)</f>
        <v>4.75</v>
      </c>
      <c r="F5037" s="51">
        <f>VLOOKUP(A5037,'Componentes APUs'!$A$1:$D$14,4,0)</f>
        <v>7575.757575757576</v>
      </c>
      <c r="G5037" s="51">
        <f>ROUNDUP(F5037*(E5037/21)/E4999,0)</f>
        <v>245</v>
      </c>
    </row>
    <row r="5038" spans="1:9" x14ac:dyDescent="0.25">
      <c r="A5038" s="50" t="s">
        <v>87</v>
      </c>
      <c r="B5038" s="72" t="str">
        <f>VLOOKUP(A5038,'Componentes APUs'!$A$1:$D$14,2,0)</f>
        <v>Casco dielectrico Tipo 2 Clase E con barboquejo</v>
      </c>
      <c r="C5038" s="73"/>
      <c r="D5038" s="50" t="str">
        <f>VLOOKUP(A5038,'Componentes APUs'!$A$1:$D$14,3,0)</f>
        <v>U</v>
      </c>
      <c r="E5038" s="53">
        <f>IF(A5010="MO-3",C5010,0)</f>
        <v>0</v>
      </c>
      <c r="F5038" s="51">
        <f>VLOOKUP(A5038,'Componentes APUs'!$A$1:$D$14,4,0)</f>
        <v>7500</v>
      </c>
      <c r="G5038" s="51">
        <f>ROUNDUP(F5038*(E5038/21)/E4999,0)</f>
        <v>0</v>
      </c>
    </row>
    <row r="5039" spans="1:9" x14ac:dyDescent="0.25">
      <c r="A5039" s="69" t="s">
        <v>89</v>
      </c>
      <c r="B5039" s="72" t="str">
        <f>VLOOKUP(A5039,'Componentes APUs'!$A$1:$D$14,2,0)</f>
        <v>Kit de rescate para trabajo en alturas</v>
      </c>
      <c r="C5039" s="73"/>
      <c r="D5039" s="50" t="str">
        <f>VLOOKUP(A5039,'Componentes APUs'!$A$1:$D$14,3,0)</f>
        <v>U</v>
      </c>
      <c r="E5039" s="50">
        <f>IF(AND(A5010="MO-3",C5010=2),1,0)</f>
        <v>0</v>
      </c>
      <c r="F5039" s="51">
        <f>VLOOKUP(A5039,'Componentes APUs'!$A$1:$D$14,4,0)</f>
        <v>37500</v>
      </c>
      <c r="G5039" s="51">
        <f>ROUNDUP(F5039*(E5039/21)/E4999,0)</f>
        <v>0</v>
      </c>
    </row>
    <row r="5040" spans="1:9" x14ac:dyDescent="0.25">
      <c r="A5040" s="50" t="s">
        <v>91</v>
      </c>
      <c r="B5040" s="72" t="str">
        <f>VLOOKUP(A5040,'Componentes APUs'!$A$1:$D$14,2,0)</f>
        <v>Equipo completo para trabajo en alturas con pretales (Arnes dielectrico, 1 mosqueton de seguridad, tie off dielectrico, eslinga de posicionamiento, juego de pretales)</v>
      </c>
      <c r="C5040" s="73"/>
      <c r="D5040" s="50" t="str">
        <f>VLOOKUP(A5040,'Componentes APUs'!$A$1:$D$14,3,0)</f>
        <v>U</v>
      </c>
      <c r="E5040" s="50">
        <f>IF(A5010="MO-3",C5010,0)</f>
        <v>0</v>
      </c>
      <c r="F5040" s="51">
        <f>VLOOKUP(A5040,'Componentes APUs'!$A$1:$D$14,4,0)</f>
        <v>26041.666666666668</v>
      </c>
      <c r="G5040" s="51">
        <f>ROUNDUP(F5040*(E5040/21)/E4999,0)</f>
        <v>0</v>
      </c>
    </row>
    <row r="5041" spans="1:7" x14ac:dyDescent="0.25">
      <c r="A5041" s="219" t="s">
        <v>95</v>
      </c>
      <c r="B5041" s="219"/>
      <c r="C5041" s="219"/>
      <c r="D5041" s="219"/>
      <c r="E5041" s="219"/>
      <c r="F5041" s="219"/>
      <c r="G5041" s="52">
        <f>SUM(G5028:G5040)</f>
        <v>1679</v>
      </c>
    </row>
    <row r="5042" spans="1:7" x14ac:dyDescent="0.25">
      <c r="A5042" s="56"/>
      <c r="B5042" s="57"/>
      <c r="C5042" s="57"/>
      <c r="D5042" s="57"/>
      <c r="E5042" s="57"/>
      <c r="F5042" s="57"/>
      <c r="G5042" s="58"/>
    </row>
    <row r="5043" spans="1:7" x14ac:dyDescent="0.25">
      <c r="A5043" s="219" t="s">
        <v>96</v>
      </c>
      <c r="B5043" s="219"/>
      <c r="C5043" s="219"/>
      <c r="D5043" s="219"/>
      <c r="E5043" s="219"/>
      <c r="F5043" s="219"/>
      <c r="G5043" s="219"/>
    </row>
    <row r="5044" spans="1:7" x14ac:dyDescent="0.25">
      <c r="A5044" s="49" t="s">
        <v>35</v>
      </c>
      <c r="B5044" s="225" t="s">
        <v>36</v>
      </c>
      <c r="C5044" s="225"/>
      <c r="D5044" s="49" t="s">
        <v>37</v>
      </c>
      <c r="E5044" s="49" t="s">
        <v>38</v>
      </c>
      <c r="F5044" s="49" t="s">
        <v>39</v>
      </c>
      <c r="G5044" s="49" t="s">
        <v>40</v>
      </c>
    </row>
    <row r="5045" spans="1:7" x14ac:dyDescent="0.25">
      <c r="A5045" s="69" t="s">
        <v>97</v>
      </c>
      <c r="B5045" s="72" t="str">
        <f>VLOOKUP(A5045,'Componentes APUs'!$N$1:$Q$30,2,0)</f>
        <v>Camioneta</v>
      </c>
      <c r="C5045" s="73"/>
      <c r="D5045" s="70" t="str">
        <f>VLOOKUP(A5045,'Componentes APUs'!$N$1:$Q$30,3,0)</f>
        <v>U</v>
      </c>
      <c r="E5045" s="50">
        <v>0.5</v>
      </c>
      <c r="F5045" s="51">
        <f>VLOOKUP(A5045,'Componentes APUs'!$N$1:$Q$30,4,0)</f>
        <v>5500000</v>
      </c>
      <c r="G5045" s="51">
        <f>IFERROR(ROUNDUP(F5045*(E5045/21)/E4999,0),"-")</f>
        <v>18708</v>
      </c>
    </row>
    <row r="5046" spans="1:7" x14ac:dyDescent="0.25">
      <c r="A5046" s="50" t="s">
        <v>1473</v>
      </c>
      <c r="B5046" s="72" t="str">
        <f>VLOOKUP(A5046,'Componentes APUs'!$N$1:$Q$30,2,0)</f>
        <v>Concretera</v>
      </c>
      <c r="C5046" s="73"/>
      <c r="D5046" s="70" t="str">
        <f>VLOOKUP(A5046,'Componentes APUs'!$N$1:$Q$30,3,0)</f>
        <v>U</v>
      </c>
      <c r="E5046" s="50">
        <v>1</v>
      </c>
      <c r="F5046" s="51">
        <f>VLOOKUP(A5046,'Componentes APUs'!$N$1:$Q$30,4,0)</f>
        <v>550704</v>
      </c>
      <c r="G5046" s="51">
        <f>IFERROR(ROUNDUP(F5046*(E5046/21)/E4999,0),"-")</f>
        <v>3747</v>
      </c>
    </row>
    <row r="5047" spans="1:7" x14ac:dyDescent="0.25">
      <c r="A5047" s="69" t="s">
        <v>1379</v>
      </c>
      <c r="B5047" s="72" t="str">
        <f>VLOOKUP(A5047,'Componentes APUs'!$N$1:$Q$30,2,0)</f>
        <v>Dumper de descarga Frontal 2T</v>
      </c>
      <c r="C5047" s="73"/>
      <c r="D5047" s="70" t="str">
        <f>VLOOKUP(A5047,'Componentes APUs'!$N$1:$Q$30,3,0)</f>
        <v>U</v>
      </c>
      <c r="E5047" s="50">
        <v>0</v>
      </c>
      <c r="F5047" s="51">
        <f>VLOOKUP(A5047,'Componentes APUs'!$N$1:$Q$30,4,0)</f>
        <v>4438716.24</v>
      </c>
      <c r="G5047" s="51">
        <f>IFERROR(ROUNDUP(F5047*(E5047/21)/E4999,0),"-")</f>
        <v>0</v>
      </c>
    </row>
    <row r="5048" spans="1:7" x14ac:dyDescent="0.25">
      <c r="A5048" s="50" t="s">
        <v>323</v>
      </c>
      <c r="B5048" s="72" t="str">
        <f>VLOOKUP(A5048,'Componentes APUs'!$N$1:$Q$30,2,0)</f>
        <v>Volqueta</v>
      </c>
      <c r="C5048" s="73"/>
      <c r="D5048" s="70" t="str">
        <f>VLOOKUP(A5048,'Componentes APUs'!$N$1:$Q$30,3,0)</f>
        <v>U</v>
      </c>
      <c r="E5048" s="50">
        <v>0</v>
      </c>
      <c r="F5048" s="51">
        <f>VLOOKUP(A5048,'Componentes APUs'!$N$1:$Q$30,4,0)</f>
        <v>14828184</v>
      </c>
      <c r="G5048" s="51">
        <f>IFERROR(ROUNDUP(F5048*(E5048/21)/E4999,0),"-")</f>
        <v>0</v>
      </c>
    </row>
    <row r="5049" spans="1:7" x14ac:dyDescent="0.25">
      <c r="A5049" s="69" t="s">
        <v>324</v>
      </c>
      <c r="B5049" s="72" t="str">
        <f>VLOOKUP(A5049,'Componentes APUs'!$N$1:$Q$30,2,0)</f>
        <v>Retroexcavadora</v>
      </c>
      <c r="C5049" s="73"/>
      <c r="D5049" s="70" t="str">
        <f>VLOOKUP(A5049,'Componentes APUs'!$N$1:$Q$30,3,0)</f>
        <v>U</v>
      </c>
      <c r="E5049" s="50">
        <v>0</v>
      </c>
      <c r="F5049" s="51">
        <f>VLOOKUP(A5049,'Componentes APUs'!$N$1:$Q$30,4,0)</f>
        <v>46030656</v>
      </c>
      <c r="G5049" s="51">
        <f>IFERROR(ROUNDUP(F5049*(E5049/21)/E4999,0),"-")</f>
        <v>0</v>
      </c>
    </row>
    <row r="5050" spans="1:7" x14ac:dyDescent="0.25">
      <c r="A5050" s="219" t="s">
        <v>99</v>
      </c>
      <c r="B5050" s="219"/>
      <c r="C5050" s="219"/>
      <c r="D5050" s="219"/>
      <c r="E5050" s="219"/>
      <c r="F5050" s="219"/>
      <c r="G5050" s="52">
        <f>SUM(G5045:G5049)</f>
        <v>22455</v>
      </c>
    </row>
    <row r="5051" spans="1:7" x14ac:dyDescent="0.25">
      <c r="A5051" s="56"/>
      <c r="B5051" s="57"/>
      <c r="C5051" s="57"/>
      <c r="D5051" s="57"/>
      <c r="E5051" s="57"/>
      <c r="F5051" s="57"/>
      <c r="G5051" s="58"/>
    </row>
    <row r="5052" spans="1:7" x14ac:dyDescent="0.25">
      <c r="A5052" s="219" t="s">
        <v>100</v>
      </c>
      <c r="B5052" s="219"/>
      <c r="C5052" s="219"/>
      <c r="D5052" s="219"/>
      <c r="E5052" s="219"/>
      <c r="F5052" s="219"/>
      <c r="G5052" s="52">
        <f>G5050+G5041+G5024+G5014+G5004</f>
        <v>786070</v>
      </c>
    </row>
    <row r="5053" spans="1:7" x14ac:dyDescent="0.25">
      <c r="A5053" s="59"/>
      <c r="B5053" s="60"/>
      <c r="C5053" s="60"/>
      <c r="D5053" s="60"/>
      <c r="E5053" s="57"/>
      <c r="F5053" s="57"/>
      <c r="G5053" s="58"/>
    </row>
    <row r="5054" spans="1:7" x14ac:dyDescent="0.25">
      <c r="A5054" s="64"/>
      <c r="D5054" s="55"/>
      <c r="E5054" s="49" t="s">
        <v>25</v>
      </c>
      <c r="F5054" s="54">
        <v>0.15</v>
      </c>
      <c r="G5054" s="51">
        <f>G5052*F5054</f>
        <v>117910.5</v>
      </c>
    </row>
    <row r="5055" spans="1:7" x14ac:dyDescent="0.25">
      <c r="A5055" s="64"/>
      <c r="D5055" s="55"/>
      <c r="E5055" s="49" t="s">
        <v>26</v>
      </c>
      <c r="F5055" s="54">
        <v>0.05</v>
      </c>
      <c r="G5055" s="51">
        <f>G5052*F5055</f>
        <v>39303.5</v>
      </c>
    </row>
    <row r="5056" spans="1:7" x14ac:dyDescent="0.25">
      <c r="A5056" s="61"/>
      <c r="B5056" s="65"/>
      <c r="C5056" s="65"/>
      <c r="D5056" s="62"/>
      <c r="E5056" s="49" t="s">
        <v>27</v>
      </c>
      <c r="F5056" s="54">
        <v>0.05</v>
      </c>
      <c r="G5056" s="51">
        <f>G5052*F5056</f>
        <v>39303.5</v>
      </c>
    </row>
    <row r="5057" spans="1:13" x14ac:dyDescent="0.25">
      <c r="A5057" s="61"/>
      <c r="B5057" s="62"/>
      <c r="C5057" s="62"/>
      <c r="D5057" s="62"/>
      <c r="E5057" s="62"/>
      <c r="F5057" s="62"/>
      <c r="G5057" s="63"/>
    </row>
    <row r="5058" spans="1:13" x14ac:dyDescent="0.25">
      <c r="A5058" s="219" t="s">
        <v>101</v>
      </c>
      <c r="B5058" s="219"/>
      <c r="C5058" s="219"/>
      <c r="D5058" s="219"/>
      <c r="E5058" s="219"/>
      <c r="F5058" s="219"/>
      <c r="G5058" s="52">
        <f>G5052+G5054+G5055+G5056</f>
        <v>982587.5</v>
      </c>
    </row>
    <row r="5059" spans="1:13" x14ac:dyDescent="0.25">
      <c r="A5059" s="59"/>
      <c r="B5059" s="60"/>
      <c r="C5059" s="60"/>
      <c r="D5059" s="60"/>
      <c r="E5059" s="57"/>
      <c r="F5059" s="57"/>
      <c r="G5059" s="58"/>
    </row>
    <row r="5060" spans="1:13" x14ac:dyDescent="0.25">
      <c r="A5060" s="64"/>
      <c r="D5060" s="55"/>
      <c r="E5060" s="49" t="s">
        <v>102</v>
      </c>
      <c r="F5060" s="49" t="s">
        <v>103</v>
      </c>
      <c r="G5060" s="51">
        <f>G5056*19%</f>
        <v>7467.665</v>
      </c>
    </row>
    <row r="5061" spans="1:13" x14ac:dyDescent="0.25">
      <c r="A5061" s="61"/>
      <c r="B5061" s="62"/>
      <c r="C5061" s="62"/>
      <c r="D5061" s="62"/>
      <c r="E5061" s="57"/>
      <c r="F5061" s="57"/>
      <c r="G5061" s="58"/>
    </row>
    <row r="5062" spans="1:13" x14ac:dyDescent="0.25">
      <c r="A5062" s="219" t="s">
        <v>104</v>
      </c>
      <c r="B5062" s="219"/>
      <c r="C5062" s="219"/>
      <c r="D5062" s="219"/>
      <c r="E5062" s="219"/>
      <c r="F5062" s="219"/>
      <c r="G5062" s="52">
        <f>G5060+G5058</f>
        <v>990055.16500000004</v>
      </c>
    </row>
    <row r="5064" spans="1:13" x14ac:dyDescent="0.25">
      <c r="A5064" s="74" t="s">
        <v>29</v>
      </c>
      <c r="B5064" s="226" t="s">
        <v>30</v>
      </c>
      <c r="C5064" s="226"/>
      <c r="D5064" s="74" t="s">
        <v>31</v>
      </c>
      <c r="E5064" s="74" t="s">
        <v>32</v>
      </c>
      <c r="F5064" s="74" t="s">
        <v>189</v>
      </c>
      <c r="G5064" s="74" t="s">
        <v>33</v>
      </c>
      <c r="H5064" s="105"/>
    </row>
    <row r="5065" spans="1:13" x14ac:dyDescent="0.25">
      <c r="A5065" s="50" t="str">
        <f>Presupuesto!B102</f>
        <v>083_OC</v>
      </c>
      <c r="B5065" s="229" t="str">
        <f>Presupuesto!C102</f>
        <v>VIGA DE CIMENTACIÓN 30X30 CM</v>
      </c>
      <c r="C5065" s="230"/>
      <c r="D5065" s="50" t="s">
        <v>108</v>
      </c>
      <c r="E5065" s="107">
        <v>30</v>
      </c>
      <c r="F5065" s="50"/>
      <c r="G5065" s="51">
        <f>G5130</f>
        <v>293244.34700000001</v>
      </c>
      <c r="H5065" s="111"/>
    </row>
    <row r="5066" spans="1:13" x14ac:dyDescent="0.25">
      <c r="A5066" s="219" t="s">
        <v>34</v>
      </c>
      <c r="B5066" s="219"/>
      <c r="C5066" s="219"/>
      <c r="D5066" s="219"/>
      <c r="E5066" s="219"/>
      <c r="F5066" s="219"/>
      <c r="G5066" s="219"/>
    </row>
    <row r="5067" spans="1:13" ht="30.75" customHeight="1" x14ac:dyDescent="0.25">
      <c r="A5067" s="49" t="s">
        <v>35</v>
      </c>
      <c r="B5067" s="219" t="s">
        <v>36</v>
      </c>
      <c r="C5067" s="219"/>
      <c r="D5067" s="49" t="s">
        <v>37</v>
      </c>
      <c r="E5067" s="49" t="s">
        <v>38</v>
      </c>
      <c r="F5067" s="49" t="s">
        <v>39</v>
      </c>
      <c r="G5067" s="49" t="s">
        <v>40</v>
      </c>
      <c r="K5067" s="23"/>
      <c r="L5067" s="23"/>
    </row>
    <row r="5068" spans="1:13" x14ac:dyDescent="0.25">
      <c r="A5068" s="50" t="str">
        <f>Material!A218</f>
        <v>MA-217</v>
      </c>
      <c r="B5068" s="72" t="str">
        <f>IFERROR(VLOOKUP(A5068,Material!$A:$H,2,0),"-")</f>
        <v>FORMALETA EN MADERA CON TABLA DE 1"</v>
      </c>
      <c r="C5068" s="76"/>
      <c r="D5068" s="50" t="str">
        <f>IFERROR(VLOOKUP(A5068,Material!$A:$H,4,0),"-")</f>
        <v>M2</v>
      </c>
      <c r="E5068" s="107">
        <f>0.3*1*3</f>
        <v>0.89999999999999991</v>
      </c>
      <c r="F5068" s="51">
        <f>IFERROR(VLOOKUP(A5068,Material!$A:$H,3,0),"-")</f>
        <v>24691.116165303549</v>
      </c>
      <c r="G5068" s="51">
        <f t="shared" ref="G5068:G5071" si="90">IFERROR(ROUNDUP(F5068*E5068,0),"-")</f>
        <v>22223</v>
      </c>
      <c r="H5068" s="112"/>
      <c r="I5068" s="110"/>
      <c r="J5068" s="113"/>
      <c r="K5068" s="114"/>
      <c r="L5068" s="115"/>
      <c r="M5068" s="115"/>
    </row>
    <row r="5069" spans="1:13" x14ac:dyDescent="0.25">
      <c r="A5069" s="50" t="str">
        <f>Material!A15</f>
        <v>MA-14</v>
      </c>
      <c r="B5069" s="72" t="str">
        <f>IFERROR(VLOOKUP(A5069,Material!$A:$H,2,0),"-")</f>
        <v>CONCRETO DE 3000 PSI</v>
      </c>
      <c r="C5069" s="76"/>
      <c r="D5069" s="50" t="str">
        <f>IFERROR(VLOOKUP(A5069,Material!$A:$H,4,0),"-")</f>
        <v>M3</v>
      </c>
      <c r="E5069" s="107">
        <f>0.3*0.3*1</f>
        <v>0.09</v>
      </c>
      <c r="F5069" s="51">
        <f>IFERROR(VLOOKUP(A5069,Material!$A:$H,3,0),"-")</f>
        <v>620227.23330691375</v>
      </c>
      <c r="G5069" s="51">
        <f t="shared" si="90"/>
        <v>55821</v>
      </c>
      <c r="H5069" s="112"/>
      <c r="I5069" s="110"/>
      <c r="J5069" s="113"/>
      <c r="K5069" s="114"/>
      <c r="L5069" s="115"/>
      <c r="M5069" s="115"/>
    </row>
    <row r="5070" spans="1:13" x14ac:dyDescent="0.25">
      <c r="A5070" s="50" t="str">
        <f>Material!A587</f>
        <v>MA-586</v>
      </c>
      <c r="B5070" s="72" t="str">
        <f>IFERROR(VLOOKUP(A5070,Material!$A:$H,2,0),"-")</f>
        <v>ACERO Fy= 420 MPa</v>
      </c>
      <c r="C5070" s="76"/>
      <c r="D5070" s="50" t="str">
        <f>IFERROR(VLOOKUP(A5070,Material!$A:$H,4,0),"-")</f>
        <v>KG</v>
      </c>
      <c r="E5070" s="107">
        <f>200*E5069</f>
        <v>18</v>
      </c>
      <c r="F5070" s="51">
        <f>IFERROR(VLOOKUP(A5070,Material!$A:$H,3,0),"-")</f>
        <v>6962.8</v>
      </c>
      <c r="G5070" s="51">
        <f t="shared" si="90"/>
        <v>125331</v>
      </c>
      <c r="H5070" s="112"/>
      <c r="I5070" s="110"/>
      <c r="J5070" s="113"/>
      <c r="K5070" s="114"/>
      <c r="L5070" s="115"/>
      <c r="M5070" s="115"/>
    </row>
    <row r="5071" spans="1:13" x14ac:dyDescent="0.25">
      <c r="A5071" s="50"/>
      <c r="B5071" s="72" t="str">
        <f>IFERROR(VLOOKUP(A5071,Material!$A:$H,2,0),"-")</f>
        <v>-</v>
      </c>
      <c r="C5071" s="76"/>
      <c r="D5071" s="50" t="str">
        <f>IFERROR(VLOOKUP(A5071,Material!$A:$H,4,0),"-")</f>
        <v>-</v>
      </c>
      <c r="E5071" s="107"/>
      <c r="F5071" s="51" t="str">
        <f>IFERROR(VLOOKUP(A5071,Material!$A:$H,3,0),"-")</f>
        <v>-</v>
      </c>
      <c r="G5071" s="51" t="str">
        <f t="shared" si="90"/>
        <v>-</v>
      </c>
      <c r="H5071" s="112"/>
      <c r="I5071" s="110"/>
      <c r="J5071" s="113"/>
      <c r="K5071" s="114"/>
      <c r="L5071" s="115"/>
      <c r="M5071" s="115"/>
    </row>
    <row r="5072" spans="1:13" x14ac:dyDescent="0.25">
      <c r="A5072" s="219" t="s">
        <v>41</v>
      </c>
      <c r="B5072" s="219"/>
      <c r="C5072" s="219"/>
      <c r="D5072" s="219"/>
      <c r="E5072" s="219"/>
      <c r="F5072" s="219"/>
      <c r="G5072" s="52">
        <f>SUM(G5068:G5071)</f>
        <v>203375</v>
      </c>
      <c r="I5072" s="104"/>
    </row>
    <row r="5073" spans="1:9" x14ac:dyDescent="0.25">
      <c r="A5073" s="56"/>
      <c r="B5073" s="57"/>
      <c r="C5073" s="57"/>
      <c r="D5073" s="57"/>
      <c r="E5073" s="57"/>
      <c r="F5073" s="57"/>
      <c r="G5073" s="58"/>
    </row>
    <row r="5074" spans="1:9" x14ac:dyDescent="0.25">
      <c r="A5074" s="219" t="s">
        <v>42</v>
      </c>
      <c r="B5074" s="219"/>
      <c r="C5074" s="219"/>
      <c r="D5074" s="219"/>
      <c r="E5074" s="219"/>
      <c r="F5074" s="219"/>
      <c r="G5074" s="219"/>
    </row>
    <row r="5075" spans="1:9" x14ac:dyDescent="0.25">
      <c r="A5075" s="49" t="s">
        <v>35</v>
      </c>
      <c r="B5075" s="49" t="s">
        <v>36</v>
      </c>
      <c r="C5075" s="49" t="s">
        <v>38</v>
      </c>
      <c r="D5075" s="49" t="s">
        <v>43</v>
      </c>
      <c r="E5075" s="49" t="s">
        <v>44</v>
      </c>
      <c r="F5075" s="49" t="s">
        <v>45</v>
      </c>
      <c r="G5075" s="49" t="s">
        <v>40</v>
      </c>
    </row>
    <row r="5076" spans="1:9" x14ac:dyDescent="0.25">
      <c r="A5076" s="50" t="s">
        <v>319</v>
      </c>
      <c r="B5076" s="68" t="str">
        <f>VLOOKUP(A5076,'Componentes APUs'!$H$1:$L$25,2,0)</f>
        <v>Ingeniero Residente de Obra</v>
      </c>
      <c r="C5076" s="93">
        <v>0.25</v>
      </c>
      <c r="D5076" s="50">
        <f>VLOOKUP(A5076,'Componentes APUs'!$H$1:$L$25,3,0)</f>
        <v>4</v>
      </c>
      <c r="E5076" s="51">
        <f>VLOOKUP(A5076,'Componentes APUs'!$H$1:$L$25,4,0)</f>
        <v>271142.85714285716</v>
      </c>
      <c r="F5076" s="51">
        <f>VLOOKUP(A5076,'Componentes APUs'!$H$1:$L$25,5,0)</f>
        <v>162685.71428571429</v>
      </c>
      <c r="G5076" s="51">
        <f>ROUNDUP((E5076+F5076)*C5076/E5065,0)</f>
        <v>3616</v>
      </c>
      <c r="H5076" s="66"/>
    </row>
    <row r="5077" spans="1:9" x14ac:dyDescent="0.25">
      <c r="A5077" s="50" t="s">
        <v>320</v>
      </c>
      <c r="B5077" s="68" t="str">
        <f>VLOOKUP(A5077,'Componentes APUs'!$H$1:$L$25,2,0)</f>
        <v>Tecnico Supervisor</v>
      </c>
      <c r="C5077" s="93">
        <v>0</v>
      </c>
      <c r="D5077" s="50">
        <f>VLOOKUP(A5077,'Componentes APUs'!$H$1:$L$25,3,0)</f>
        <v>2.2999999999999998</v>
      </c>
      <c r="E5077" s="51">
        <f>VLOOKUP(A5077,'Componentes APUs'!$H$1:$L$25,4,0)</f>
        <v>155907.14285714284</v>
      </c>
      <c r="F5077" s="51">
        <f>VLOOKUP(A5077,'Componentes APUs'!$H$1:$L$25,5,0)</f>
        <v>93544.285714285696</v>
      </c>
      <c r="G5077" s="51">
        <f>ROUNDUP((E5077+F5077)*C5077/E5065,0)</f>
        <v>0</v>
      </c>
    </row>
    <row r="5078" spans="1:9" x14ac:dyDescent="0.25">
      <c r="A5078" s="50" t="s">
        <v>54</v>
      </c>
      <c r="B5078" s="68" t="str">
        <f>VLOOKUP(A5078,'Componentes APUs'!$H$1:$L$25,2,0)</f>
        <v>Maestro de obra civil</v>
      </c>
      <c r="C5078" s="93">
        <v>0</v>
      </c>
      <c r="D5078" s="50">
        <f>VLOOKUP(A5078,'Componentes APUs'!$H$1:$L$25,3,0)</f>
        <v>2.5</v>
      </c>
      <c r="E5078" s="51">
        <f>VLOOKUP(A5078,'Componentes APUs'!$H$1:$L$25,4,0)</f>
        <v>169464.28571428571</v>
      </c>
      <c r="F5078" s="51">
        <f>VLOOKUP(A5078,'Componentes APUs'!$H$1:$L$25,5,0)</f>
        <v>101678.57142857142</v>
      </c>
      <c r="G5078" s="51">
        <f>ROUNDUP((E5078+F5078)*C5078/E5065,0)</f>
        <v>0</v>
      </c>
    </row>
    <row r="5079" spans="1:9" x14ac:dyDescent="0.25">
      <c r="A5079" s="50" t="s">
        <v>1110</v>
      </c>
      <c r="B5079" s="68" t="str">
        <f>VLOOKUP(A5079,'Componentes APUs'!$H$1:$L$25,2,0)</f>
        <v>Oficial de Obra Civil</v>
      </c>
      <c r="C5079" s="93">
        <v>1</v>
      </c>
      <c r="D5079" s="50">
        <f>VLOOKUP(A5079,'Componentes APUs'!$H$1:$L$25,3,0)</f>
        <v>1.5</v>
      </c>
      <c r="E5079" s="51">
        <f>VLOOKUP(A5079,'Componentes APUs'!$H$1:$L$25,4,0)</f>
        <v>115964.28571428571</v>
      </c>
      <c r="F5079" s="51">
        <f>VLOOKUP(A5079,'Componentes APUs'!$H$1:$L$25,5,0)</f>
        <v>69578.57142857142</v>
      </c>
      <c r="G5079" s="51">
        <f>ROUNDUP((E5079+F5079)*C5079/E5065,0)</f>
        <v>6185</v>
      </c>
    </row>
    <row r="5080" spans="1:9" x14ac:dyDescent="0.25">
      <c r="A5080" s="50" t="s">
        <v>50</v>
      </c>
      <c r="B5080" s="68" t="str">
        <f>VLOOKUP(A5080,'Componentes APUs'!$H$1:$L$25,2,0)</f>
        <v>Profesional en SST</v>
      </c>
      <c r="C5080" s="93">
        <v>0.25</v>
      </c>
      <c r="D5080" s="50">
        <f>VLOOKUP(A5080,'Componentes APUs'!$H$1:$L$25,3,0)</f>
        <v>2.5</v>
      </c>
      <c r="E5080" s="51">
        <f>VLOOKUP(A5080,'Componentes APUs'!$H$1:$L$25,4,0)</f>
        <v>169464.28571428571</v>
      </c>
      <c r="F5080" s="51">
        <f>VLOOKUP(A5080,'Componentes APUs'!$H$1:$L$25,5,0)</f>
        <v>101678.57142857142</v>
      </c>
      <c r="G5080" s="51">
        <f>ROUNDUP((E5080+F5080)*C5080/E5065,0)</f>
        <v>2260</v>
      </c>
    </row>
    <row r="5081" spans="1:9" x14ac:dyDescent="0.25">
      <c r="A5081" s="50" t="s">
        <v>1109</v>
      </c>
      <c r="B5081" s="68" t="str">
        <f>VLOOKUP(A5081,'Componentes APUs'!$H$1:$L$25,2,0)</f>
        <v>Ayudante de Obra Civil</v>
      </c>
      <c r="C5081" s="93">
        <v>2</v>
      </c>
      <c r="D5081" s="50">
        <f>VLOOKUP(A5081,'Componentes APUs'!$H$1:$L$25,3,0)</f>
        <v>1</v>
      </c>
      <c r="E5081" s="51">
        <f>VLOOKUP(A5081,'Componentes APUs'!$H$1:$L$25,4,0)</f>
        <v>77309.523809523816</v>
      </c>
      <c r="F5081" s="51">
        <f>VLOOKUP(A5081,'Componentes APUs'!$H$1:$L$25,5,0)</f>
        <v>46385.71428571429</v>
      </c>
      <c r="G5081" s="51">
        <f>ROUNDUP((E5081+F5081)*C5081/E5065,0)</f>
        <v>8247</v>
      </c>
    </row>
    <row r="5082" spans="1:9" x14ac:dyDescent="0.25">
      <c r="A5082" s="219" t="s">
        <v>56</v>
      </c>
      <c r="B5082" s="219"/>
      <c r="C5082" s="219"/>
      <c r="D5082" s="219"/>
      <c r="E5082" s="219"/>
      <c r="F5082" s="219"/>
      <c r="G5082" s="52">
        <f>SUM(G5076:G5081)</f>
        <v>20308</v>
      </c>
    </row>
    <row r="5083" spans="1:9" x14ac:dyDescent="0.25">
      <c r="A5083" s="56"/>
      <c r="B5083" s="57"/>
      <c r="C5083" s="57"/>
      <c r="D5083" s="57"/>
      <c r="E5083" s="57"/>
      <c r="F5083" s="57"/>
      <c r="G5083" s="58"/>
    </row>
    <row r="5084" spans="1:9" x14ac:dyDescent="0.25">
      <c r="A5084" s="219" t="s">
        <v>57</v>
      </c>
      <c r="B5084" s="219"/>
      <c r="C5084" s="219"/>
      <c r="D5084" s="219"/>
      <c r="E5084" s="219"/>
      <c r="F5084" s="219"/>
      <c r="G5084" s="219"/>
    </row>
    <row r="5085" spans="1:9" x14ac:dyDescent="0.25">
      <c r="A5085" s="49" t="s">
        <v>35</v>
      </c>
      <c r="B5085" s="219" t="s">
        <v>36</v>
      </c>
      <c r="C5085" s="219"/>
      <c r="D5085" s="49" t="s">
        <v>37</v>
      </c>
      <c r="E5085" s="49" t="s">
        <v>38</v>
      </c>
      <c r="F5085" s="49" t="s">
        <v>39</v>
      </c>
      <c r="G5085" s="49" t="s">
        <v>40</v>
      </c>
    </row>
    <row r="5086" spans="1:9" x14ac:dyDescent="0.25">
      <c r="A5086" s="50" t="s">
        <v>326</v>
      </c>
      <c r="B5086" s="220" t="str">
        <f>VLOOKUP(A5086,'Componentes APUs'!$S$1:$V$10,2,0)</f>
        <v>Juego Llaves</v>
      </c>
      <c r="C5086" s="220"/>
      <c r="D5086" s="50" t="s">
        <v>18</v>
      </c>
      <c r="E5086" s="50">
        <v>0</v>
      </c>
      <c r="F5086" s="51">
        <f>VLOOKUP(A5086,'Componentes APUs'!$S$1:$V$10,4,0)</f>
        <v>9167</v>
      </c>
      <c r="G5086" s="51">
        <f>ROUNDUP(F5086*((E5086/21)/E5065),0)</f>
        <v>0</v>
      </c>
      <c r="I5086" s="91"/>
    </row>
    <row r="5087" spans="1:9" x14ac:dyDescent="0.25">
      <c r="A5087" s="50" t="s">
        <v>58</v>
      </c>
      <c r="B5087" s="220" t="str">
        <f>VLOOKUP(A5087,'Componentes APUs'!$S$1:$V$10,2,0)</f>
        <v>Manila de servicio</v>
      </c>
      <c r="C5087" s="220"/>
      <c r="D5087" s="50" t="s">
        <v>18</v>
      </c>
      <c r="E5087" s="50">
        <v>0</v>
      </c>
      <c r="F5087" s="51">
        <f>VLOOKUP(A5087,'Componentes APUs'!$S$1:$V$10,4,0)</f>
        <v>2333</v>
      </c>
      <c r="G5087" s="51">
        <f>ROUNDUP(F5087*((E5087/21)/E5065),0)</f>
        <v>0</v>
      </c>
    </row>
    <row r="5088" spans="1:9" x14ac:dyDescent="0.25">
      <c r="A5088" s="50" t="s">
        <v>327</v>
      </c>
      <c r="B5088" s="220" t="str">
        <f>VLOOKUP(A5088,'Componentes APUs'!$S$1:$V$10,2,0)</f>
        <v>Tula portaherramientas</v>
      </c>
      <c r="C5088" s="220"/>
      <c r="D5088" s="50" t="s">
        <v>18</v>
      </c>
      <c r="E5088" s="50">
        <v>0</v>
      </c>
      <c r="F5088" s="51">
        <f>VLOOKUP(A5088,'Componentes APUs'!$S$1:$V$10,4,0)</f>
        <v>1250</v>
      </c>
      <c r="G5088" s="51">
        <f>ROUNDUP(F5088*((E5088/21)/E5065),0)</f>
        <v>0</v>
      </c>
    </row>
    <row r="5089" spans="1:9" x14ac:dyDescent="0.25">
      <c r="A5089" s="50" t="s">
        <v>60</v>
      </c>
      <c r="B5089" s="220" t="str">
        <f>VLOOKUP(A5089,'Componentes APUs'!$S$1:$V$10,2,0)</f>
        <v>Agarradoras</v>
      </c>
      <c r="C5089" s="220"/>
      <c r="D5089" s="50" t="s">
        <v>18</v>
      </c>
      <c r="E5089" s="50">
        <v>0</v>
      </c>
      <c r="F5089" s="51">
        <f>VLOOKUP(A5089,'Componentes APUs'!$S$1:$V$10,4,0)</f>
        <v>125000</v>
      </c>
      <c r="G5089" s="51">
        <f>ROUNDUP(F5089*((E5089/21)/E5065),0)</f>
        <v>0</v>
      </c>
    </row>
    <row r="5090" spans="1:9" x14ac:dyDescent="0.25">
      <c r="A5090" s="50" t="s">
        <v>62</v>
      </c>
      <c r="B5090" s="220" t="str">
        <f>VLOOKUP(A5090,'Componentes APUs'!$S$1:$V$10,2,0)</f>
        <v>Templadoras</v>
      </c>
      <c r="C5090" s="220"/>
      <c r="D5090" s="50" t="s">
        <v>18</v>
      </c>
      <c r="E5090" s="50">
        <v>0</v>
      </c>
      <c r="F5090" s="51">
        <f>VLOOKUP(A5090,'Componentes APUs'!$S$1:$V$10,4,0)</f>
        <v>250000</v>
      </c>
      <c r="G5090" s="51">
        <f>ROUNDUP(F5090*((E5090/21)/E5065),0)</f>
        <v>0</v>
      </c>
    </row>
    <row r="5091" spans="1:9" x14ac:dyDescent="0.25">
      <c r="A5091" s="50" t="s">
        <v>328</v>
      </c>
      <c r="B5091" s="220" t="str">
        <f>VLOOKUP(A5091,'Componentes APUs'!$S$1:$V$10,2,0)</f>
        <v>Herramienta Menor</v>
      </c>
      <c r="C5091" s="220"/>
      <c r="D5091" s="50" t="s">
        <v>18</v>
      </c>
      <c r="E5091" s="50">
        <v>30</v>
      </c>
      <c r="F5091" s="51">
        <f>VLOOKUP(A5091,'Componentes APUs'!$S$1:$V$10,4,0)</f>
        <v>75758</v>
      </c>
      <c r="G5091" s="51">
        <f>ROUNDUP(F5091*((E5091/21)/E5065),0)</f>
        <v>3608</v>
      </c>
    </row>
    <row r="5092" spans="1:9" x14ac:dyDescent="0.25">
      <c r="A5092" s="219" t="s">
        <v>69</v>
      </c>
      <c r="B5092" s="219"/>
      <c r="C5092" s="219"/>
      <c r="D5092" s="219"/>
      <c r="E5092" s="219"/>
      <c r="F5092" s="219"/>
      <c r="G5092" s="52">
        <f>SUM(G5086:G5091)</f>
        <v>3608</v>
      </c>
    </row>
    <row r="5093" spans="1:9" x14ac:dyDescent="0.25">
      <c r="A5093" s="56"/>
      <c r="B5093" s="57"/>
      <c r="C5093" s="57"/>
      <c r="D5093" s="57"/>
      <c r="E5093" s="57"/>
      <c r="F5093" s="57"/>
      <c r="G5093" s="58"/>
    </row>
    <row r="5094" spans="1:9" x14ac:dyDescent="0.25">
      <c r="A5094" s="219" t="s">
        <v>70</v>
      </c>
      <c r="B5094" s="219"/>
      <c r="C5094" s="219"/>
      <c r="D5094" s="219"/>
      <c r="E5094" s="219"/>
      <c r="F5094" s="219"/>
      <c r="G5094" s="219"/>
    </row>
    <row r="5095" spans="1:9" x14ac:dyDescent="0.25">
      <c r="A5095" s="49" t="s">
        <v>35</v>
      </c>
      <c r="B5095" s="219" t="s">
        <v>36</v>
      </c>
      <c r="C5095" s="219"/>
      <c r="D5095" s="49" t="s">
        <v>37</v>
      </c>
      <c r="E5095" s="49" t="s">
        <v>38</v>
      </c>
      <c r="F5095" s="49" t="s">
        <v>39</v>
      </c>
      <c r="G5095" s="49" t="s">
        <v>40</v>
      </c>
    </row>
    <row r="5096" spans="1:9" x14ac:dyDescent="0.25">
      <c r="A5096" s="50" t="s">
        <v>71</v>
      </c>
      <c r="B5096" s="71" t="str">
        <f>VLOOKUP(A5096,'Componentes APUs'!$A$1:$D$14,2,0)</f>
        <v>Camisa indigo sin partes metalicas</v>
      </c>
      <c r="C5096" s="71"/>
      <c r="D5096" s="50" t="str">
        <f>VLOOKUP(A5096,'Componentes APUs'!$A$1:$D$14,3,0)</f>
        <v>U</v>
      </c>
      <c r="E5096" s="50">
        <f>SUM(C5076:C5081)</f>
        <v>3.5</v>
      </c>
      <c r="F5096" s="51">
        <f>VLOOKUP(A5096,'Componentes APUs'!$A$1:$D$14,4,0)</f>
        <v>8585.8585858585866</v>
      </c>
      <c r="G5096" s="51">
        <f>ROUNDUP(F5096*(E5096/21)/E5065,0)</f>
        <v>48</v>
      </c>
      <c r="I5096" s="91"/>
    </row>
    <row r="5097" spans="1:9" x14ac:dyDescent="0.25">
      <c r="A5097" s="69" t="s">
        <v>73</v>
      </c>
      <c r="B5097" s="72" t="str">
        <f>VLOOKUP(A5097,'Componentes APUs'!$A$1:$D$14,2,0)</f>
        <v>Bota de seguridad dielectrica</v>
      </c>
      <c r="C5097" s="73"/>
      <c r="D5097" s="70" t="str">
        <f>VLOOKUP(A5097,'Componentes APUs'!$A$1:$D$14,3,0)</f>
        <v>Par</v>
      </c>
      <c r="E5097" s="50">
        <f>SUM(C5076:C5081)</f>
        <v>3.5</v>
      </c>
      <c r="F5097" s="51">
        <f>VLOOKUP(A5097,'Componentes APUs'!$A$1:$D$14,4,0)</f>
        <v>7500</v>
      </c>
      <c r="G5097" s="51">
        <f>ROUNDUP(F5097*(E5097/21)/E5065,0)</f>
        <v>42</v>
      </c>
    </row>
    <row r="5098" spans="1:9" x14ac:dyDescent="0.25">
      <c r="A5098" s="50" t="s">
        <v>76</v>
      </c>
      <c r="B5098" s="72" t="str">
        <f>VLOOKUP(A5098,'Componentes APUs'!$A$1:$D$14,2,0)</f>
        <v>Casco dielectrico Tipo 1 Clase E con barbuquejo</v>
      </c>
      <c r="C5098" s="73"/>
      <c r="D5098" s="50" t="str">
        <f>VLOOKUP(A5098,'Componentes APUs'!$A$1:$D$14,3,0)</f>
        <v>U</v>
      </c>
      <c r="E5098" s="50">
        <f>C5076+C5077+C5079+C5080+C5081+IF(A5078&lt;&gt;"MO-3",C5078,0)</f>
        <v>3.5</v>
      </c>
      <c r="F5098" s="51">
        <f>VLOOKUP(A5098,'Componentes APUs'!$A$1:$D$14,4,0)</f>
        <v>10101.010101010101</v>
      </c>
      <c r="G5098" s="51">
        <f>ROUNDUP(F5098*(E5098/21)/E5065,0)</f>
        <v>57</v>
      </c>
    </row>
    <row r="5099" spans="1:9" x14ac:dyDescent="0.25">
      <c r="A5099" s="69" t="s">
        <v>77</v>
      </c>
      <c r="B5099" s="72" t="str">
        <f>VLOOKUP(A5099,'Componentes APUs'!$A$1:$D$14,2,0)</f>
        <v>Correa plastica y antiflama</v>
      </c>
      <c r="C5099" s="73"/>
      <c r="D5099" s="50" t="str">
        <f>VLOOKUP(A5099,'Componentes APUs'!$A$1:$D$14,3,0)</f>
        <v>U</v>
      </c>
      <c r="E5099" s="50">
        <f>SUM(C5076:C5081)</f>
        <v>3.5</v>
      </c>
      <c r="F5099" s="51">
        <f>VLOOKUP(A5099,'Componentes APUs'!$A$1:$D$14,4,0)</f>
        <v>3787.878787878788</v>
      </c>
      <c r="G5099" s="51">
        <f>ROUNDUP(F5099*(E5099/21)/E5065,0)</f>
        <v>22</v>
      </c>
    </row>
    <row r="5100" spans="1:9" x14ac:dyDescent="0.25">
      <c r="A5100" s="50" t="s">
        <v>79</v>
      </c>
      <c r="B5100" s="72" t="str">
        <f>VLOOKUP(A5100,'Componentes APUs'!$A$1:$D$14,2,0)</f>
        <v>Gafas protectoras filtro UV</v>
      </c>
      <c r="C5100" s="73"/>
      <c r="D5100" s="50" t="str">
        <f>VLOOKUP(A5100,'Componentes APUs'!$A$1:$D$14,3,0)</f>
        <v>U</v>
      </c>
      <c r="E5100" s="50">
        <f>SUM(C5076:C5081)</f>
        <v>3.5</v>
      </c>
      <c r="F5100" s="51">
        <f>VLOOKUP(A5100,'Componentes APUs'!$A$1:$D$14,4,0)</f>
        <v>2777.7777777777778</v>
      </c>
      <c r="G5100" s="51">
        <f>ROUNDUP(F5100*(E5100/21)/E5065,0)</f>
        <v>16</v>
      </c>
    </row>
    <row r="5101" spans="1:9" x14ac:dyDescent="0.25">
      <c r="A5101" s="69" t="s">
        <v>402</v>
      </c>
      <c r="B5101" s="72" t="str">
        <f>VLOOKUP(A5101,'Componentes APUs'!$A$1:$D$14,2,0)</f>
        <v>Bota de seguridad PVC dielectrica</v>
      </c>
      <c r="C5101" s="73"/>
      <c r="D5101" s="50" t="str">
        <f>VLOOKUP(A5101,'Componentes APUs'!$A$1:$D$14,3,0)</f>
        <v>Par</v>
      </c>
      <c r="E5101" s="50">
        <f>SUM(C5076:C5081)</f>
        <v>3.5</v>
      </c>
      <c r="F5101" s="51">
        <f>VLOOKUP(A5101,'Componentes APUs'!$A$1:$D$14,4,0)</f>
        <v>2916.6666666666665</v>
      </c>
      <c r="G5101" s="51">
        <f>ROUNDUP(F5101*(E5101/21)/E5065,0)</f>
        <v>17</v>
      </c>
    </row>
    <row r="5102" spans="1:9" x14ac:dyDescent="0.25">
      <c r="A5102" s="50" t="s">
        <v>403</v>
      </c>
      <c r="B5102" s="72" t="str">
        <f>VLOOKUP(A5102,'Componentes APUs'!$A$1:$D$14,2,0)</f>
        <v>Capuchon</v>
      </c>
      <c r="C5102" s="73"/>
      <c r="D5102" s="50" t="str">
        <f>VLOOKUP(A5102,'Componentes APUs'!$A$1:$D$14,3,0)</f>
        <v>U</v>
      </c>
      <c r="E5102" s="50">
        <f>SUM(C5076:C5081)</f>
        <v>3.5</v>
      </c>
      <c r="F5102" s="51">
        <f>VLOOKUP(A5102,'Componentes APUs'!$A$1:$D$14,4,0)</f>
        <v>2525.2525252525252</v>
      </c>
      <c r="G5102" s="51">
        <f>ROUNDUP(F5102*(E5102/21)/E5065,0)</f>
        <v>15</v>
      </c>
    </row>
    <row r="5103" spans="1:9" x14ac:dyDescent="0.25">
      <c r="A5103" s="69" t="s">
        <v>81</v>
      </c>
      <c r="B5103" s="72" t="str">
        <f>VLOOKUP(A5103,'Componentes APUs'!$A$1:$D$14,2,0)</f>
        <v>Guantes Protectores  - ingeniero reforzados</v>
      </c>
      <c r="C5103" s="73"/>
      <c r="D5103" s="50" t="str">
        <f>VLOOKUP(A5103,'Componentes APUs'!$A$1:$D$14,3,0)</f>
        <v>Par</v>
      </c>
      <c r="E5103" s="50">
        <f>C5078+C5079+C5081</f>
        <v>3</v>
      </c>
      <c r="F5103" s="51">
        <f>VLOOKUP(A5103,'Componentes APUs'!$A$1:$D$14,4,0)</f>
        <v>2525.2525252525252</v>
      </c>
      <c r="G5103" s="51">
        <f>ROUNDUP(F5103*(E5103/21)/E5065,0)</f>
        <v>13</v>
      </c>
    </row>
    <row r="5104" spans="1:9" x14ac:dyDescent="0.25">
      <c r="A5104" s="50" t="s">
        <v>83</v>
      </c>
      <c r="B5104" s="72" t="str">
        <f>VLOOKUP(A5104,'Componentes APUs'!$A$1:$D$14,2,0)</f>
        <v>Impermeable (pantalon camisa)</v>
      </c>
      <c r="C5104" s="73"/>
      <c r="D5104" s="50" t="str">
        <f>VLOOKUP(A5104,'Componentes APUs'!$A$1:$D$14,3,0)</f>
        <v>U</v>
      </c>
      <c r="E5104" s="50">
        <f>SUM(C5076:C5081)</f>
        <v>3.5</v>
      </c>
      <c r="F5104" s="51">
        <f>VLOOKUP(A5104,'Componentes APUs'!$A$1:$D$14,4,0)</f>
        <v>3750</v>
      </c>
      <c r="G5104" s="51">
        <f>ROUNDUP(F5104*(E5104/21)/E5065,0)</f>
        <v>21</v>
      </c>
    </row>
    <row r="5105" spans="1:7" x14ac:dyDescent="0.25">
      <c r="A5105" s="69" t="s">
        <v>85</v>
      </c>
      <c r="B5105" s="72" t="str">
        <f>VLOOKUP(A5105,'Componentes APUs'!$A$1:$D$14,2,0)</f>
        <v>Jean Dielectrico</v>
      </c>
      <c r="C5105" s="73"/>
      <c r="D5105" s="50" t="str">
        <f>VLOOKUP(A5105,'Componentes APUs'!$A$1:$D$14,3,0)</f>
        <v>U</v>
      </c>
      <c r="E5105" s="50">
        <f>SUM(C5076:C5081)</f>
        <v>3.5</v>
      </c>
      <c r="F5105" s="51">
        <f>VLOOKUP(A5105,'Componentes APUs'!$A$1:$D$14,4,0)</f>
        <v>7575.757575757576</v>
      </c>
      <c r="G5105" s="51">
        <f>ROUNDUP(F5105*(E5105/21)/E5065,0)</f>
        <v>43</v>
      </c>
    </row>
    <row r="5106" spans="1:7" x14ac:dyDescent="0.25">
      <c r="A5106" s="50" t="s">
        <v>87</v>
      </c>
      <c r="B5106" s="72" t="str">
        <f>VLOOKUP(A5106,'Componentes APUs'!$A$1:$D$14,2,0)</f>
        <v>Casco dielectrico Tipo 2 Clase E con barboquejo</v>
      </c>
      <c r="C5106" s="73"/>
      <c r="D5106" s="50" t="str">
        <f>VLOOKUP(A5106,'Componentes APUs'!$A$1:$D$14,3,0)</f>
        <v>U</v>
      </c>
      <c r="E5106" s="53">
        <f>IF(A5078="MO-3",C5078,0)</f>
        <v>0</v>
      </c>
      <c r="F5106" s="51">
        <f>VLOOKUP(A5106,'Componentes APUs'!$A$1:$D$14,4,0)</f>
        <v>7500</v>
      </c>
      <c r="G5106" s="51">
        <f>ROUNDUP(F5106*(E5106/21)/E5065,0)</f>
        <v>0</v>
      </c>
    </row>
    <row r="5107" spans="1:7" x14ac:dyDescent="0.25">
      <c r="A5107" s="69" t="s">
        <v>89</v>
      </c>
      <c r="B5107" s="72" t="str">
        <f>VLOOKUP(A5107,'Componentes APUs'!$A$1:$D$14,2,0)</f>
        <v>Kit de rescate para trabajo en alturas</v>
      </c>
      <c r="C5107" s="73"/>
      <c r="D5107" s="50" t="str">
        <f>VLOOKUP(A5107,'Componentes APUs'!$A$1:$D$14,3,0)</f>
        <v>U</v>
      </c>
      <c r="E5107" s="50">
        <f>IF(AND(A5078="MO-3",C5078=2),1,0)</f>
        <v>0</v>
      </c>
      <c r="F5107" s="51">
        <f>VLOOKUP(A5107,'Componentes APUs'!$A$1:$D$14,4,0)</f>
        <v>37500</v>
      </c>
      <c r="G5107" s="51">
        <f>ROUNDUP(F5107*(E5107/21)/E5065,0)</f>
        <v>0</v>
      </c>
    </row>
    <row r="5108" spans="1:7" x14ac:dyDescent="0.25">
      <c r="A5108" s="50" t="s">
        <v>91</v>
      </c>
      <c r="B5108" s="72" t="str">
        <f>VLOOKUP(A5108,'Componentes APUs'!$A$1:$D$14,2,0)</f>
        <v>Equipo completo para trabajo en alturas con pretales (Arnes dielectrico, 1 mosqueton de seguridad, tie off dielectrico, eslinga de posicionamiento, juego de pretales)</v>
      </c>
      <c r="C5108" s="73"/>
      <c r="D5108" s="50" t="str">
        <f>VLOOKUP(A5108,'Componentes APUs'!$A$1:$D$14,3,0)</f>
        <v>U</v>
      </c>
      <c r="E5108" s="50">
        <f>IF(A5078="MO-3",C5078,0)</f>
        <v>0</v>
      </c>
      <c r="F5108" s="51">
        <f>VLOOKUP(A5108,'Componentes APUs'!$A$1:$D$14,4,0)</f>
        <v>26041.666666666668</v>
      </c>
      <c r="G5108" s="51">
        <f>ROUNDUP(F5108*(E5108/21)/E5065,0)</f>
        <v>0</v>
      </c>
    </row>
    <row r="5109" spans="1:7" x14ac:dyDescent="0.25">
      <c r="A5109" s="219" t="s">
        <v>95</v>
      </c>
      <c r="B5109" s="219"/>
      <c r="C5109" s="219"/>
      <c r="D5109" s="219"/>
      <c r="E5109" s="219"/>
      <c r="F5109" s="219"/>
      <c r="G5109" s="52">
        <f>SUM(G5096:G5108)</f>
        <v>294</v>
      </c>
    </row>
    <row r="5110" spans="1:7" x14ac:dyDescent="0.25">
      <c r="A5110" s="56"/>
      <c r="B5110" s="57"/>
      <c r="C5110" s="57"/>
      <c r="D5110" s="57"/>
      <c r="E5110" s="57"/>
      <c r="F5110" s="57"/>
      <c r="G5110" s="58"/>
    </row>
    <row r="5111" spans="1:7" x14ac:dyDescent="0.25">
      <c r="A5111" s="219" t="s">
        <v>96</v>
      </c>
      <c r="B5111" s="219"/>
      <c r="C5111" s="219"/>
      <c r="D5111" s="219"/>
      <c r="E5111" s="219"/>
      <c r="F5111" s="219"/>
      <c r="G5111" s="219"/>
    </row>
    <row r="5112" spans="1:7" x14ac:dyDescent="0.25">
      <c r="A5112" s="49" t="s">
        <v>35</v>
      </c>
      <c r="B5112" s="225" t="s">
        <v>36</v>
      </c>
      <c r="C5112" s="225"/>
      <c r="D5112" s="49" t="s">
        <v>37</v>
      </c>
      <c r="E5112" s="49" t="s">
        <v>38</v>
      </c>
      <c r="F5112" s="49" t="s">
        <v>39</v>
      </c>
      <c r="G5112" s="49" t="s">
        <v>40</v>
      </c>
    </row>
    <row r="5113" spans="1:7" x14ac:dyDescent="0.25">
      <c r="A5113" s="69" t="s">
        <v>97</v>
      </c>
      <c r="B5113" s="72" t="str">
        <f>VLOOKUP(A5113,'Componentes APUs'!$N$1:$Q$30,2,0)</f>
        <v>Camioneta</v>
      </c>
      <c r="C5113" s="73"/>
      <c r="D5113" s="70" t="str">
        <f>VLOOKUP(A5113,'Componentes APUs'!$N$1:$Q$30,3,0)</f>
        <v>U</v>
      </c>
      <c r="E5113" s="50">
        <v>0.5</v>
      </c>
      <c r="F5113" s="51">
        <f>VLOOKUP(A5113,'Componentes APUs'!$N$1:$Q$30,4,0)</f>
        <v>5500000</v>
      </c>
      <c r="G5113" s="51">
        <f>IFERROR(ROUNDUP(F5113*(E5113/21)/E5065,0),"-")</f>
        <v>4366</v>
      </c>
    </row>
    <row r="5114" spans="1:7" x14ac:dyDescent="0.25">
      <c r="A5114" s="50" t="s">
        <v>1473</v>
      </c>
      <c r="B5114" s="72" t="str">
        <f>VLOOKUP(A5114,'Componentes APUs'!$N$1:$Q$30,2,0)</f>
        <v>Concretera</v>
      </c>
      <c r="C5114" s="73"/>
      <c r="D5114" s="70" t="str">
        <f>VLOOKUP(A5114,'Componentes APUs'!$N$1:$Q$30,3,0)</f>
        <v>U</v>
      </c>
      <c r="E5114" s="50">
        <v>1</v>
      </c>
      <c r="F5114" s="51">
        <f>VLOOKUP(A5114,'Componentes APUs'!$N$1:$Q$30,4,0)</f>
        <v>550704</v>
      </c>
      <c r="G5114" s="51">
        <f>IFERROR(ROUNDUP(F5114*(E5114/21)/E5065,0),"-")</f>
        <v>875</v>
      </c>
    </row>
    <row r="5115" spans="1:7" x14ac:dyDescent="0.25">
      <c r="A5115" s="69" t="s">
        <v>1379</v>
      </c>
      <c r="B5115" s="72" t="str">
        <f>VLOOKUP(A5115,'Componentes APUs'!$N$1:$Q$30,2,0)</f>
        <v>Dumper de descarga Frontal 2T</v>
      </c>
      <c r="C5115" s="73"/>
      <c r="D5115" s="70" t="str">
        <f>VLOOKUP(A5115,'Componentes APUs'!$N$1:$Q$30,3,0)</f>
        <v>U</v>
      </c>
      <c r="E5115" s="50">
        <v>0</v>
      </c>
      <c r="F5115" s="51">
        <f>VLOOKUP(A5115,'Componentes APUs'!$N$1:$Q$30,4,0)</f>
        <v>4438716.24</v>
      </c>
      <c r="G5115" s="51">
        <f>IFERROR(ROUNDUP(F5115*(E5115/21)/E5065,0),"-")</f>
        <v>0</v>
      </c>
    </row>
    <row r="5116" spans="1:7" x14ac:dyDescent="0.25">
      <c r="A5116" s="50" t="s">
        <v>323</v>
      </c>
      <c r="B5116" s="72" t="str">
        <f>VLOOKUP(A5116,'Componentes APUs'!$N$1:$Q$30,2,0)</f>
        <v>Volqueta</v>
      </c>
      <c r="C5116" s="73"/>
      <c r="D5116" s="70" t="str">
        <f>VLOOKUP(A5116,'Componentes APUs'!$N$1:$Q$30,3,0)</f>
        <v>U</v>
      </c>
      <c r="E5116" s="50">
        <v>0</v>
      </c>
      <c r="F5116" s="51">
        <f>VLOOKUP(A5116,'Componentes APUs'!$N$1:$Q$30,4,0)</f>
        <v>14828184</v>
      </c>
      <c r="G5116" s="51">
        <f>IFERROR(ROUNDUP(F5116*(E5116/21)/E5065,0),"-")</f>
        <v>0</v>
      </c>
    </row>
    <row r="5117" spans="1:7" x14ac:dyDescent="0.25">
      <c r="A5117" s="69" t="s">
        <v>324</v>
      </c>
      <c r="B5117" s="72" t="str">
        <f>VLOOKUP(A5117,'Componentes APUs'!$N$1:$Q$30,2,0)</f>
        <v>Retroexcavadora</v>
      </c>
      <c r="C5117" s="73"/>
      <c r="D5117" s="70" t="str">
        <f>VLOOKUP(A5117,'Componentes APUs'!$N$1:$Q$30,3,0)</f>
        <v>U</v>
      </c>
      <c r="E5117" s="50">
        <v>0</v>
      </c>
      <c r="F5117" s="51">
        <f>VLOOKUP(A5117,'Componentes APUs'!$N$1:$Q$30,4,0)</f>
        <v>46030656</v>
      </c>
      <c r="G5117" s="51">
        <f>IFERROR(ROUNDUP(F5117*(E5117/21)/E5065,0),"-")</f>
        <v>0</v>
      </c>
    </row>
    <row r="5118" spans="1:7" x14ac:dyDescent="0.25">
      <c r="A5118" s="219" t="s">
        <v>99</v>
      </c>
      <c r="B5118" s="219"/>
      <c r="C5118" s="219"/>
      <c r="D5118" s="219"/>
      <c r="E5118" s="219"/>
      <c r="F5118" s="219"/>
      <c r="G5118" s="52">
        <f>SUM(G5113:G5117)</f>
        <v>5241</v>
      </c>
    </row>
    <row r="5119" spans="1:7" x14ac:dyDescent="0.25">
      <c r="A5119" s="56"/>
      <c r="B5119" s="57"/>
      <c r="C5119" s="57"/>
      <c r="D5119" s="57"/>
      <c r="E5119" s="57"/>
      <c r="F5119" s="57"/>
      <c r="G5119" s="58"/>
    </row>
    <row r="5120" spans="1:7" x14ac:dyDescent="0.25">
      <c r="A5120" s="219" t="s">
        <v>100</v>
      </c>
      <c r="B5120" s="219"/>
      <c r="C5120" s="219"/>
      <c r="D5120" s="219"/>
      <c r="E5120" s="219"/>
      <c r="F5120" s="219"/>
      <c r="G5120" s="52">
        <f>G5118+G5109+G5092+G5082+G5072</f>
        <v>232826</v>
      </c>
    </row>
    <row r="5121" spans="1:13" x14ac:dyDescent="0.25">
      <c r="A5121" s="59"/>
      <c r="B5121" s="60"/>
      <c r="C5121" s="60"/>
      <c r="D5121" s="60"/>
      <c r="E5121" s="57"/>
      <c r="F5121" s="57"/>
      <c r="G5121" s="58"/>
    </row>
    <row r="5122" spans="1:13" x14ac:dyDescent="0.25">
      <c r="A5122" s="64"/>
      <c r="D5122" s="55"/>
      <c r="E5122" s="49" t="s">
        <v>25</v>
      </c>
      <c r="F5122" s="54">
        <v>0.15</v>
      </c>
      <c r="G5122" s="51">
        <f>G5120*F5122</f>
        <v>34923.9</v>
      </c>
    </row>
    <row r="5123" spans="1:13" x14ac:dyDescent="0.25">
      <c r="A5123" s="64"/>
      <c r="D5123" s="55"/>
      <c r="E5123" s="49" t="s">
        <v>26</v>
      </c>
      <c r="F5123" s="54">
        <v>0.05</v>
      </c>
      <c r="G5123" s="51">
        <f>G5120*F5123</f>
        <v>11641.300000000001</v>
      </c>
    </row>
    <row r="5124" spans="1:13" x14ac:dyDescent="0.25">
      <c r="A5124" s="61"/>
      <c r="B5124" s="65"/>
      <c r="C5124" s="65"/>
      <c r="D5124" s="62"/>
      <c r="E5124" s="49" t="s">
        <v>27</v>
      </c>
      <c r="F5124" s="54">
        <v>0.05</v>
      </c>
      <c r="G5124" s="51">
        <f>G5120*F5124</f>
        <v>11641.300000000001</v>
      </c>
    </row>
    <row r="5125" spans="1:13" x14ac:dyDescent="0.25">
      <c r="A5125" s="61"/>
      <c r="B5125" s="62"/>
      <c r="C5125" s="62"/>
      <c r="D5125" s="62"/>
      <c r="E5125" s="62"/>
      <c r="F5125" s="62"/>
      <c r="G5125" s="63"/>
    </row>
    <row r="5126" spans="1:13" x14ac:dyDescent="0.25">
      <c r="A5126" s="219" t="s">
        <v>101</v>
      </c>
      <c r="B5126" s="219"/>
      <c r="C5126" s="219"/>
      <c r="D5126" s="219"/>
      <c r="E5126" s="219"/>
      <c r="F5126" s="219"/>
      <c r="G5126" s="52">
        <f>G5120+G5122+G5123+G5124</f>
        <v>291032.5</v>
      </c>
    </row>
    <row r="5127" spans="1:13" x14ac:dyDescent="0.25">
      <c r="A5127" s="59"/>
      <c r="B5127" s="60"/>
      <c r="C5127" s="60"/>
      <c r="D5127" s="60"/>
      <c r="E5127" s="57"/>
      <c r="F5127" s="57"/>
      <c r="G5127" s="58"/>
    </row>
    <row r="5128" spans="1:13" x14ac:dyDescent="0.25">
      <c r="A5128" s="64"/>
      <c r="D5128" s="55"/>
      <c r="E5128" s="49" t="s">
        <v>102</v>
      </c>
      <c r="F5128" s="49" t="s">
        <v>103</v>
      </c>
      <c r="G5128" s="51">
        <f>G5124*19%</f>
        <v>2211.8470000000002</v>
      </c>
    </row>
    <row r="5129" spans="1:13" x14ac:dyDescent="0.25">
      <c r="A5129" s="61"/>
      <c r="B5129" s="62"/>
      <c r="C5129" s="62"/>
      <c r="D5129" s="62"/>
      <c r="E5129" s="57"/>
      <c r="F5129" s="57"/>
      <c r="G5129" s="58"/>
    </row>
    <row r="5130" spans="1:13" x14ac:dyDescent="0.25">
      <c r="A5130" s="219" t="s">
        <v>104</v>
      </c>
      <c r="B5130" s="219"/>
      <c r="C5130" s="219"/>
      <c r="D5130" s="219"/>
      <c r="E5130" s="219"/>
      <c r="F5130" s="219"/>
      <c r="G5130" s="52">
        <f>G5128+G5126</f>
        <v>293244.34700000001</v>
      </c>
    </row>
    <row r="5132" spans="1:13" x14ac:dyDescent="0.25">
      <c r="A5132" s="74" t="s">
        <v>29</v>
      </c>
      <c r="B5132" s="226" t="s">
        <v>30</v>
      </c>
      <c r="C5132" s="226"/>
      <c r="D5132" s="74" t="s">
        <v>31</v>
      </c>
      <c r="E5132" s="74" t="s">
        <v>32</v>
      </c>
      <c r="F5132" s="74" t="s">
        <v>189</v>
      </c>
      <c r="G5132" s="74" t="s">
        <v>33</v>
      </c>
      <c r="H5132" s="105"/>
    </row>
    <row r="5133" spans="1:13" x14ac:dyDescent="0.25">
      <c r="A5133" s="50" t="str">
        <f>Presupuesto!B103</f>
        <v>084_OC</v>
      </c>
      <c r="B5133" s="229" t="str">
        <f>Presupuesto!C103</f>
        <v>VIGA DE CIMENTACIÓN 30X40 CM</v>
      </c>
      <c r="C5133" s="230"/>
      <c r="D5133" s="50" t="s">
        <v>108</v>
      </c>
      <c r="E5133" s="107">
        <v>25</v>
      </c>
      <c r="F5133" s="50"/>
      <c r="G5133" s="51">
        <f>G5198</f>
        <v>382929.56350000005</v>
      </c>
      <c r="H5133" s="111"/>
    </row>
    <row r="5134" spans="1:13" x14ac:dyDescent="0.25">
      <c r="A5134" s="219" t="s">
        <v>34</v>
      </c>
      <c r="B5134" s="219"/>
      <c r="C5134" s="219"/>
      <c r="D5134" s="219"/>
      <c r="E5134" s="219"/>
      <c r="F5134" s="219"/>
      <c r="G5134" s="219"/>
    </row>
    <row r="5135" spans="1:13" ht="30.75" customHeight="1" x14ac:dyDescent="0.25">
      <c r="A5135" s="49" t="s">
        <v>35</v>
      </c>
      <c r="B5135" s="219" t="s">
        <v>36</v>
      </c>
      <c r="C5135" s="219"/>
      <c r="D5135" s="49" t="s">
        <v>37</v>
      </c>
      <c r="E5135" s="49" t="s">
        <v>38</v>
      </c>
      <c r="F5135" s="49" t="s">
        <v>39</v>
      </c>
      <c r="G5135" s="49" t="s">
        <v>40</v>
      </c>
      <c r="K5135" s="23"/>
      <c r="L5135" s="23"/>
    </row>
    <row r="5136" spans="1:13" x14ac:dyDescent="0.25">
      <c r="A5136" s="50" t="str">
        <f>Material!A218</f>
        <v>MA-217</v>
      </c>
      <c r="B5136" s="72" t="str">
        <f>IFERROR(VLOOKUP(A5136,Material!$A:$H,2,0),"-")</f>
        <v>FORMALETA EN MADERA CON TABLA DE 1"</v>
      </c>
      <c r="C5136" s="76"/>
      <c r="D5136" s="50" t="str">
        <f>IFERROR(VLOOKUP(A5136,Material!$A:$H,4,0),"-")</f>
        <v>M2</v>
      </c>
      <c r="E5136" s="107">
        <f>0.3+0.4*2</f>
        <v>1.1000000000000001</v>
      </c>
      <c r="F5136" s="51">
        <f>IFERROR(VLOOKUP(A5136,Material!$A:$H,3,0),"-")</f>
        <v>24691.116165303549</v>
      </c>
      <c r="G5136" s="51">
        <f t="shared" ref="G5136:G5139" si="91">IFERROR(ROUNDUP(F5136*E5136,0),"-")</f>
        <v>27161</v>
      </c>
      <c r="H5136" s="112"/>
      <c r="I5136" s="110"/>
      <c r="J5136" s="113"/>
      <c r="K5136" s="114"/>
      <c r="L5136" s="115"/>
      <c r="M5136" s="115"/>
    </row>
    <row r="5137" spans="1:13" x14ac:dyDescent="0.25">
      <c r="A5137" s="50" t="str">
        <f>Material!A15</f>
        <v>MA-14</v>
      </c>
      <c r="B5137" s="72" t="str">
        <f>IFERROR(VLOOKUP(A5137,Material!$A:$H,2,0),"-")</f>
        <v>CONCRETO DE 3000 PSI</v>
      </c>
      <c r="C5137" s="76"/>
      <c r="D5137" s="50" t="str">
        <f>IFERROR(VLOOKUP(A5137,Material!$A:$H,4,0),"-")</f>
        <v>M3</v>
      </c>
      <c r="E5137" s="107">
        <f>0.3*0.4</f>
        <v>0.12</v>
      </c>
      <c r="F5137" s="51">
        <f>IFERROR(VLOOKUP(A5137,Material!$A:$H,3,0),"-")</f>
        <v>620227.23330691375</v>
      </c>
      <c r="G5137" s="51">
        <f t="shared" si="91"/>
        <v>74428</v>
      </c>
      <c r="H5137" s="112"/>
      <c r="I5137" s="110"/>
      <c r="J5137" s="113"/>
      <c r="K5137" s="114"/>
      <c r="L5137" s="115"/>
      <c r="M5137" s="115"/>
    </row>
    <row r="5138" spans="1:13" x14ac:dyDescent="0.25">
      <c r="A5138" s="50" t="str">
        <f>Material!A587</f>
        <v>MA-586</v>
      </c>
      <c r="B5138" s="72" t="str">
        <f>IFERROR(VLOOKUP(A5138,Material!$A:$H,2,0),"-")</f>
        <v>ACERO Fy= 420 MPa</v>
      </c>
      <c r="C5138" s="76"/>
      <c r="D5138" s="50" t="str">
        <f>IFERROR(VLOOKUP(A5138,Material!$A:$H,4,0),"-")</f>
        <v>KG</v>
      </c>
      <c r="E5138" s="107">
        <f>200*E5137</f>
        <v>24</v>
      </c>
      <c r="F5138" s="51">
        <f>IFERROR(VLOOKUP(A5138,Material!$A:$H,3,0),"-")</f>
        <v>6962.8</v>
      </c>
      <c r="G5138" s="51">
        <f t="shared" si="91"/>
        <v>167108</v>
      </c>
      <c r="H5138" s="112"/>
      <c r="I5138" s="110"/>
      <c r="J5138" s="113"/>
      <c r="K5138" s="114"/>
      <c r="L5138" s="115"/>
      <c r="M5138" s="115"/>
    </row>
    <row r="5139" spans="1:13" x14ac:dyDescent="0.25">
      <c r="A5139" s="50"/>
      <c r="B5139" s="72" t="str">
        <f>IFERROR(VLOOKUP(A5139,Material!$A:$H,2,0),"-")</f>
        <v>-</v>
      </c>
      <c r="C5139" s="76"/>
      <c r="D5139" s="50" t="str">
        <f>IFERROR(VLOOKUP(A5139,Material!$A:$H,4,0),"-")</f>
        <v>-</v>
      </c>
      <c r="E5139" s="107"/>
      <c r="F5139" s="51" t="str">
        <f>IFERROR(VLOOKUP(A5139,Material!$A:$H,3,0),"-")</f>
        <v>-</v>
      </c>
      <c r="G5139" s="51" t="str">
        <f t="shared" si="91"/>
        <v>-</v>
      </c>
      <c r="H5139" s="112"/>
      <c r="I5139" s="110"/>
      <c r="J5139" s="113"/>
      <c r="K5139" s="114"/>
      <c r="L5139" s="115"/>
      <c r="M5139" s="115"/>
    </row>
    <row r="5140" spans="1:13" x14ac:dyDescent="0.25">
      <c r="A5140" s="219" t="s">
        <v>41</v>
      </c>
      <c r="B5140" s="219"/>
      <c r="C5140" s="219"/>
      <c r="D5140" s="219"/>
      <c r="E5140" s="219"/>
      <c r="F5140" s="219"/>
      <c r="G5140" s="52">
        <f>SUM(G5136:G5139)</f>
        <v>268697</v>
      </c>
      <c r="I5140" s="104"/>
    </row>
    <row r="5141" spans="1:13" x14ac:dyDescent="0.25">
      <c r="A5141" s="56"/>
      <c r="B5141" s="57"/>
      <c r="C5141" s="57"/>
      <c r="D5141" s="57"/>
      <c r="E5141" s="57"/>
      <c r="F5141" s="57"/>
      <c r="G5141" s="58"/>
    </row>
    <row r="5142" spans="1:13" x14ac:dyDescent="0.25">
      <c r="A5142" s="219" t="s">
        <v>42</v>
      </c>
      <c r="B5142" s="219"/>
      <c r="C5142" s="219"/>
      <c r="D5142" s="219"/>
      <c r="E5142" s="219"/>
      <c r="F5142" s="219"/>
      <c r="G5142" s="219"/>
    </row>
    <row r="5143" spans="1:13" x14ac:dyDescent="0.25">
      <c r="A5143" s="49" t="s">
        <v>35</v>
      </c>
      <c r="B5143" s="49" t="s">
        <v>36</v>
      </c>
      <c r="C5143" s="49" t="s">
        <v>38</v>
      </c>
      <c r="D5143" s="49" t="s">
        <v>43</v>
      </c>
      <c r="E5143" s="49" t="s">
        <v>44</v>
      </c>
      <c r="F5143" s="49" t="s">
        <v>45</v>
      </c>
      <c r="G5143" s="49" t="s">
        <v>40</v>
      </c>
    </row>
    <row r="5144" spans="1:13" x14ac:dyDescent="0.25">
      <c r="A5144" s="50" t="s">
        <v>319</v>
      </c>
      <c r="B5144" s="68" t="str">
        <f>VLOOKUP(A5144,'Componentes APUs'!$H$1:$L$25,2,0)</f>
        <v>Ingeniero Residente de Obra</v>
      </c>
      <c r="C5144" s="93">
        <v>0.25</v>
      </c>
      <c r="D5144" s="50">
        <f>VLOOKUP(A5144,'Componentes APUs'!$H$1:$L$25,3,0)</f>
        <v>4</v>
      </c>
      <c r="E5144" s="51">
        <f>VLOOKUP(A5144,'Componentes APUs'!$H$1:$L$25,4,0)</f>
        <v>271142.85714285716</v>
      </c>
      <c r="F5144" s="51">
        <f>VLOOKUP(A5144,'Componentes APUs'!$H$1:$L$25,5,0)</f>
        <v>162685.71428571429</v>
      </c>
      <c r="G5144" s="51">
        <f>ROUNDUP((E5144+F5144)*C5144/E5133,0)</f>
        <v>4339</v>
      </c>
      <c r="H5144" s="66"/>
    </row>
    <row r="5145" spans="1:13" x14ac:dyDescent="0.25">
      <c r="A5145" s="50" t="s">
        <v>320</v>
      </c>
      <c r="B5145" s="68" t="str">
        <f>VLOOKUP(A5145,'Componentes APUs'!$H$1:$L$25,2,0)</f>
        <v>Tecnico Supervisor</v>
      </c>
      <c r="C5145" s="93">
        <v>0</v>
      </c>
      <c r="D5145" s="50">
        <f>VLOOKUP(A5145,'Componentes APUs'!$H$1:$L$25,3,0)</f>
        <v>2.2999999999999998</v>
      </c>
      <c r="E5145" s="51">
        <f>VLOOKUP(A5145,'Componentes APUs'!$H$1:$L$25,4,0)</f>
        <v>155907.14285714284</v>
      </c>
      <c r="F5145" s="51">
        <f>VLOOKUP(A5145,'Componentes APUs'!$H$1:$L$25,5,0)</f>
        <v>93544.285714285696</v>
      </c>
      <c r="G5145" s="51">
        <f>ROUNDUP((E5145+F5145)*C5145/E5133,0)</f>
        <v>0</v>
      </c>
    </row>
    <row r="5146" spans="1:13" x14ac:dyDescent="0.25">
      <c r="A5146" s="50" t="s">
        <v>54</v>
      </c>
      <c r="B5146" s="68" t="str">
        <f>VLOOKUP(A5146,'Componentes APUs'!$H$1:$L$25,2,0)</f>
        <v>Maestro de obra civil</v>
      </c>
      <c r="C5146" s="93">
        <v>0</v>
      </c>
      <c r="D5146" s="50">
        <f>VLOOKUP(A5146,'Componentes APUs'!$H$1:$L$25,3,0)</f>
        <v>2.5</v>
      </c>
      <c r="E5146" s="51">
        <f>VLOOKUP(A5146,'Componentes APUs'!$H$1:$L$25,4,0)</f>
        <v>169464.28571428571</v>
      </c>
      <c r="F5146" s="51">
        <f>VLOOKUP(A5146,'Componentes APUs'!$H$1:$L$25,5,0)</f>
        <v>101678.57142857142</v>
      </c>
      <c r="G5146" s="51">
        <f>ROUNDUP((E5146+F5146)*C5146/E5133,0)</f>
        <v>0</v>
      </c>
    </row>
    <row r="5147" spans="1:13" x14ac:dyDescent="0.25">
      <c r="A5147" s="50" t="s">
        <v>1110</v>
      </c>
      <c r="B5147" s="68" t="str">
        <f>VLOOKUP(A5147,'Componentes APUs'!$H$1:$L$25,2,0)</f>
        <v>Oficial de Obra Civil</v>
      </c>
      <c r="C5147" s="93">
        <v>1</v>
      </c>
      <c r="D5147" s="50">
        <f>VLOOKUP(A5147,'Componentes APUs'!$H$1:$L$25,3,0)</f>
        <v>1.5</v>
      </c>
      <c r="E5147" s="51">
        <f>VLOOKUP(A5147,'Componentes APUs'!$H$1:$L$25,4,0)</f>
        <v>115964.28571428571</v>
      </c>
      <c r="F5147" s="51">
        <f>VLOOKUP(A5147,'Componentes APUs'!$H$1:$L$25,5,0)</f>
        <v>69578.57142857142</v>
      </c>
      <c r="G5147" s="51">
        <f>ROUNDUP((E5147+F5147)*C5147/E5133,0)</f>
        <v>7422</v>
      </c>
    </row>
    <row r="5148" spans="1:13" x14ac:dyDescent="0.25">
      <c r="A5148" s="50" t="s">
        <v>50</v>
      </c>
      <c r="B5148" s="68" t="str">
        <f>VLOOKUP(A5148,'Componentes APUs'!$H$1:$L$25,2,0)</f>
        <v>Profesional en SST</v>
      </c>
      <c r="C5148" s="93">
        <v>0.25</v>
      </c>
      <c r="D5148" s="50">
        <f>VLOOKUP(A5148,'Componentes APUs'!$H$1:$L$25,3,0)</f>
        <v>2.5</v>
      </c>
      <c r="E5148" s="51">
        <f>VLOOKUP(A5148,'Componentes APUs'!$H$1:$L$25,4,0)</f>
        <v>169464.28571428571</v>
      </c>
      <c r="F5148" s="51">
        <f>VLOOKUP(A5148,'Componentes APUs'!$H$1:$L$25,5,0)</f>
        <v>101678.57142857142</v>
      </c>
      <c r="G5148" s="51">
        <f>ROUNDUP((E5148+F5148)*C5148/E5133,0)</f>
        <v>2712</v>
      </c>
    </row>
    <row r="5149" spans="1:13" x14ac:dyDescent="0.25">
      <c r="A5149" s="50" t="s">
        <v>1109</v>
      </c>
      <c r="B5149" s="68" t="str">
        <f>VLOOKUP(A5149,'Componentes APUs'!$H$1:$L$25,2,0)</f>
        <v>Ayudante de Obra Civil</v>
      </c>
      <c r="C5149" s="93">
        <v>2</v>
      </c>
      <c r="D5149" s="50">
        <f>VLOOKUP(A5149,'Componentes APUs'!$H$1:$L$25,3,0)</f>
        <v>1</v>
      </c>
      <c r="E5149" s="51">
        <f>VLOOKUP(A5149,'Componentes APUs'!$H$1:$L$25,4,0)</f>
        <v>77309.523809523816</v>
      </c>
      <c r="F5149" s="51">
        <f>VLOOKUP(A5149,'Componentes APUs'!$H$1:$L$25,5,0)</f>
        <v>46385.71428571429</v>
      </c>
      <c r="G5149" s="51">
        <f>ROUNDUP((E5149+F5149)*C5149/E5133,0)</f>
        <v>9896</v>
      </c>
    </row>
    <row r="5150" spans="1:13" x14ac:dyDescent="0.25">
      <c r="A5150" s="219" t="s">
        <v>56</v>
      </c>
      <c r="B5150" s="219"/>
      <c r="C5150" s="219"/>
      <c r="D5150" s="219"/>
      <c r="E5150" s="219"/>
      <c r="F5150" s="219"/>
      <c r="G5150" s="52">
        <f>SUM(G5144:G5149)</f>
        <v>24369</v>
      </c>
    </row>
    <row r="5151" spans="1:13" x14ac:dyDescent="0.25">
      <c r="A5151" s="56"/>
      <c r="B5151" s="57"/>
      <c r="C5151" s="57"/>
      <c r="D5151" s="57"/>
      <c r="E5151" s="57"/>
      <c r="F5151" s="57"/>
      <c r="G5151" s="58"/>
    </row>
    <row r="5152" spans="1:13" x14ac:dyDescent="0.25">
      <c r="A5152" s="219" t="s">
        <v>57</v>
      </c>
      <c r="B5152" s="219"/>
      <c r="C5152" s="219"/>
      <c r="D5152" s="219"/>
      <c r="E5152" s="219"/>
      <c r="F5152" s="219"/>
      <c r="G5152" s="219"/>
    </row>
    <row r="5153" spans="1:9" x14ac:dyDescent="0.25">
      <c r="A5153" s="49" t="s">
        <v>35</v>
      </c>
      <c r="B5153" s="219" t="s">
        <v>36</v>
      </c>
      <c r="C5153" s="219"/>
      <c r="D5153" s="49" t="s">
        <v>37</v>
      </c>
      <c r="E5153" s="49" t="s">
        <v>38</v>
      </c>
      <c r="F5153" s="49" t="s">
        <v>39</v>
      </c>
      <c r="G5153" s="49" t="s">
        <v>40</v>
      </c>
    </row>
    <row r="5154" spans="1:9" x14ac:dyDescent="0.25">
      <c r="A5154" s="50" t="s">
        <v>326</v>
      </c>
      <c r="B5154" s="220" t="str">
        <f>VLOOKUP(A5154,'Componentes APUs'!$S$1:$V$10,2,0)</f>
        <v>Juego Llaves</v>
      </c>
      <c r="C5154" s="220"/>
      <c r="D5154" s="50" t="s">
        <v>18</v>
      </c>
      <c r="E5154" s="50">
        <v>0</v>
      </c>
      <c r="F5154" s="51">
        <f>VLOOKUP(A5154,'Componentes APUs'!$S$1:$V$10,4,0)</f>
        <v>9167</v>
      </c>
      <c r="G5154" s="51">
        <f>ROUNDUP(F5154*((E5154/21)/E5133),0)</f>
        <v>0</v>
      </c>
      <c r="I5154" s="91"/>
    </row>
    <row r="5155" spans="1:9" x14ac:dyDescent="0.25">
      <c r="A5155" s="50" t="s">
        <v>58</v>
      </c>
      <c r="B5155" s="220" t="str">
        <f>VLOOKUP(A5155,'Componentes APUs'!$S$1:$V$10,2,0)</f>
        <v>Manila de servicio</v>
      </c>
      <c r="C5155" s="220"/>
      <c r="D5155" s="50" t="s">
        <v>18</v>
      </c>
      <c r="E5155" s="50">
        <v>0</v>
      </c>
      <c r="F5155" s="51">
        <f>VLOOKUP(A5155,'Componentes APUs'!$S$1:$V$10,4,0)</f>
        <v>2333</v>
      </c>
      <c r="G5155" s="51">
        <f>ROUNDUP(F5155*((E5155/21)/E5133),0)</f>
        <v>0</v>
      </c>
    </row>
    <row r="5156" spans="1:9" x14ac:dyDescent="0.25">
      <c r="A5156" s="50" t="s">
        <v>327</v>
      </c>
      <c r="B5156" s="220" t="str">
        <f>VLOOKUP(A5156,'Componentes APUs'!$S$1:$V$10,2,0)</f>
        <v>Tula portaherramientas</v>
      </c>
      <c r="C5156" s="220"/>
      <c r="D5156" s="50" t="s">
        <v>18</v>
      </c>
      <c r="E5156" s="50">
        <v>0</v>
      </c>
      <c r="F5156" s="51">
        <f>VLOOKUP(A5156,'Componentes APUs'!$S$1:$V$10,4,0)</f>
        <v>1250</v>
      </c>
      <c r="G5156" s="51">
        <f>ROUNDUP(F5156*((E5156/21)/E5133),0)</f>
        <v>0</v>
      </c>
    </row>
    <row r="5157" spans="1:9" x14ac:dyDescent="0.25">
      <c r="A5157" s="50" t="s">
        <v>60</v>
      </c>
      <c r="B5157" s="220" t="str">
        <f>VLOOKUP(A5157,'Componentes APUs'!$S$1:$V$10,2,0)</f>
        <v>Agarradoras</v>
      </c>
      <c r="C5157" s="220"/>
      <c r="D5157" s="50" t="s">
        <v>18</v>
      </c>
      <c r="E5157" s="50">
        <v>0</v>
      </c>
      <c r="F5157" s="51">
        <f>VLOOKUP(A5157,'Componentes APUs'!$S$1:$V$10,4,0)</f>
        <v>125000</v>
      </c>
      <c r="G5157" s="51">
        <f>ROUNDUP(F5157*((E5157/21)/E5133),0)</f>
        <v>0</v>
      </c>
    </row>
    <row r="5158" spans="1:9" x14ac:dyDescent="0.25">
      <c r="A5158" s="50" t="s">
        <v>62</v>
      </c>
      <c r="B5158" s="220" t="str">
        <f>VLOOKUP(A5158,'Componentes APUs'!$S$1:$V$10,2,0)</f>
        <v>Templadoras</v>
      </c>
      <c r="C5158" s="220"/>
      <c r="D5158" s="50" t="s">
        <v>18</v>
      </c>
      <c r="E5158" s="50">
        <v>0</v>
      </c>
      <c r="F5158" s="51">
        <f>VLOOKUP(A5158,'Componentes APUs'!$S$1:$V$10,4,0)</f>
        <v>250000</v>
      </c>
      <c r="G5158" s="51">
        <f>ROUNDUP(F5158*((E5158/21)/E5133),0)</f>
        <v>0</v>
      </c>
    </row>
    <row r="5159" spans="1:9" x14ac:dyDescent="0.25">
      <c r="A5159" s="50" t="s">
        <v>328</v>
      </c>
      <c r="B5159" s="220" t="str">
        <f>VLOOKUP(A5159,'Componentes APUs'!$S$1:$V$10,2,0)</f>
        <v>Herramienta Menor</v>
      </c>
      <c r="C5159" s="220"/>
      <c r="D5159" s="50" t="s">
        <v>18</v>
      </c>
      <c r="E5159" s="50">
        <v>30</v>
      </c>
      <c r="F5159" s="51">
        <f>VLOOKUP(A5159,'Componentes APUs'!$S$1:$V$10,4,0)</f>
        <v>75758</v>
      </c>
      <c r="G5159" s="51">
        <f>ROUNDUP(F5159*((E5159/21)/E5133),0)</f>
        <v>4330</v>
      </c>
    </row>
    <row r="5160" spans="1:9" x14ac:dyDescent="0.25">
      <c r="A5160" s="219" t="s">
        <v>69</v>
      </c>
      <c r="B5160" s="219"/>
      <c r="C5160" s="219"/>
      <c r="D5160" s="219"/>
      <c r="E5160" s="219"/>
      <c r="F5160" s="219"/>
      <c r="G5160" s="52">
        <f>SUM(G5154:G5159)</f>
        <v>4330</v>
      </c>
    </row>
    <row r="5161" spans="1:9" x14ac:dyDescent="0.25">
      <c r="A5161" s="56"/>
      <c r="B5161" s="57"/>
      <c r="C5161" s="57"/>
      <c r="D5161" s="57"/>
      <c r="E5161" s="57"/>
      <c r="F5161" s="57"/>
      <c r="G5161" s="58"/>
    </row>
    <row r="5162" spans="1:9" x14ac:dyDescent="0.25">
      <c r="A5162" s="219" t="s">
        <v>70</v>
      </c>
      <c r="B5162" s="219"/>
      <c r="C5162" s="219"/>
      <c r="D5162" s="219"/>
      <c r="E5162" s="219"/>
      <c r="F5162" s="219"/>
      <c r="G5162" s="219"/>
    </row>
    <row r="5163" spans="1:9" x14ac:dyDescent="0.25">
      <c r="A5163" s="49" t="s">
        <v>35</v>
      </c>
      <c r="B5163" s="219" t="s">
        <v>36</v>
      </c>
      <c r="C5163" s="219"/>
      <c r="D5163" s="49" t="s">
        <v>37</v>
      </c>
      <c r="E5163" s="49" t="s">
        <v>38</v>
      </c>
      <c r="F5163" s="49" t="s">
        <v>39</v>
      </c>
      <c r="G5163" s="49" t="s">
        <v>40</v>
      </c>
    </row>
    <row r="5164" spans="1:9" x14ac:dyDescent="0.25">
      <c r="A5164" s="50" t="s">
        <v>71</v>
      </c>
      <c r="B5164" s="71" t="str">
        <f>VLOOKUP(A5164,'Componentes APUs'!$A$1:$D$14,2,0)</f>
        <v>Camisa indigo sin partes metalicas</v>
      </c>
      <c r="C5164" s="71"/>
      <c r="D5164" s="50" t="str">
        <f>VLOOKUP(A5164,'Componentes APUs'!$A$1:$D$14,3,0)</f>
        <v>U</v>
      </c>
      <c r="E5164" s="50">
        <f>SUM(C5144:C5149)</f>
        <v>3.5</v>
      </c>
      <c r="F5164" s="51">
        <f>VLOOKUP(A5164,'Componentes APUs'!$A$1:$D$14,4,0)</f>
        <v>8585.8585858585866</v>
      </c>
      <c r="G5164" s="51">
        <f>ROUNDUP(F5164*(E5164/21)/E5133,0)</f>
        <v>58</v>
      </c>
      <c r="I5164" s="91"/>
    </row>
    <row r="5165" spans="1:9" x14ac:dyDescent="0.25">
      <c r="A5165" s="69" t="s">
        <v>73</v>
      </c>
      <c r="B5165" s="72" t="str">
        <f>VLOOKUP(A5165,'Componentes APUs'!$A$1:$D$14,2,0)</f>
        <v>Bota de seguridad dielectrica</v>
      </c>
      <c r="C5165" s="73"/>
      <c r="D5165" s="70" t="str">
        <f>VLOOKUP(A5165,'Componentes APUs'!$A$1:$D$14,3,0)</f>
        <v>Par</v>
      </c>
      <c r="E5165" s="50">
        <f>SUM(C5144:C5149)</f>
        <v>3.5</v>
      </c>
      <c r="F5165" s="51">
        <f>VLOOKUP(A5165,'Componentes APUs'!$A$1:$D$14,4,0)</f>
        <v>7500</v>
      </c>
      <c r="G5165" s="51">
        <f>ROUNDUP(F5165*(E5165/21)/E5133,0)</f>
        <v>50</v>
      </c>
    </row>
    <row r="5166" spans="1:9" x14ac:dyDescent="0.25">
      <c r="A5166" s="50" t="s">
        <v>76</v>
      </c>
      <c r="B5166" s="72" t="str">
        <f>VLOOKUP(A5166,'Componentes APUs'!$A$1:$D$14,2,0)</f>
        <v>Casco dielectrico Tipo 1 Clase E con barbuquejo</v>
      </c>
      <c r="C5166" s="73"/>
      <c r="D5166" s="50" t="str">
        <f>VLOOKUP(A5166,'Componentes APUs'!$A$1:$D$14,3,0)</f>
        <v>U</v>
      </c>
      <c r="E5166" s="50">
        <f>C5144+C5145+C5147+C5148+C5149+IF(A5146&lt;&gt;"MO-3",C5146,0)</f>
        <v>3.5</v>
      </c>
      <c r="F5166" s="51">
        <f>VLOOKUP(A5166,'Componentes APUs'!$A$1:$D$14,4,0)</f>
        <v>10101.010101010101</v>
      </c>
      <c r="G5166" s="51">
        <f>ROUNDUP(F5166*(E5166/21)/E5133,0)</f>
        <v>68</v>
      </c>
    </row>
    <row r="5167" spans="1:9" x14ac:dyDescent="0.25">
      <c r="A5167" s="69" t="s">
        <v>77</v>
      </c>
      <c r="B5167" s="72" t="str">
        <f>VLOOKUP(A5167,'Componentes APUs'!$A$1:$D$14,2,0)</f>
        <v>Correa plastica y antiflama</v>
      </c>
      <c r="C5167" s="73"/>
      <c r="D5167" s="50" t="str">
        <f>VLOOKUP(A5167,'Componentes APUs'!$A$1:$D$14,3,0)</f>
        <v>U</v>
      </c>
      <c r="E5167" s="50">
        <f>SUM(C5144:C5149)</f>
        <v>3.5</v>
      </c>
      <c r="F5167" s="51">
        <f>VLOOKUP(A5167,'Componentes APUs'!$A$1:$D$14,4,0)</f>
        <v>3787.878787878788</v>
      </c>
      <c r="G5167" s="51">
        <f>ROUNDUP(F5167*(E5167/21)/E5133,0)</f>
        <v>26</v>
      </c>
    </row>
    <row r="5168" spans="1:9" x14ac:dyDescent="0.25">
      <c r="A5168" s="50" t="s">
        <v>79</v>
      </c>
      <c r="B5168" s="72" t="str">
        <f>VLOOKUP(A5168,'Componentes APUs'!$A$1:$D$14,2,0)</f>
        <v>Gafas protectoras filtro UV</v>
      </c>
      <c r="C5168" s="73"/>
      <c r="D5168" s="50" t="str">
        <f>VLOOKUP(A5168,'Componentes APUs'!$A$1:$D$14,3,0)</f>
        <v>U</v>
      </c>
      <c r="E5168" s="50">
        <f>SUM(C5144:C5149)</f>
        <v>3.5</v>
      </c>
      <c r="F5168" s="51">
        <f>VLOOKUP(A5168,'Componentes APUs'!$A$1:$D$14,4,0)</f>
        <v>2777.7777777777778</v>
      </c>
      <c r="G5168" s="51">
        <f>ROUNDUP(F5168*(E5168/21)/E5133,0)</f>
        <v>19</v>
      </c>
    </row>
    <row r="5169" spans="1:7" x14ac:dyDescent="0.25">
      <c r="A5169" s="69" t="s">
        <v>402</v>
      </c>
      <c r="B5169" s="72" t="str">
        <f>VLOOKUP(A5169,'Componentes APUs'!$A$1:$D$14,2,0)</f>
        <v>Bota de seguridad PVC dielectrica</v>
      </c>
      <c r="C5169" s="73"/>
      <c r="D5169" s="50" t="str">
        <f>VLOOKUP(A5169,'Componentes APUs'!$A$1:$D$14,3,0)</f>
        <v>Par</v>
      </c>
      <c r="E5169" s="50">
        <f>SUM(C5144:C5149)</f>
        <v>3.5</v>
      </c>
      <c r="F5169" s="51">
        <f>VLOOKUP(A5169,'Componentes APUs'!$A$1:$D$14,4,0)</f>
        <v>2916.6666666666665</v>
      </c>
      <c r="G5169" s="51">
        <f>ROUNDUP(F5169*(E5169/21)/E5133,0)</f>
        <v>20</v>
      </c>
    </row>
    <row r="5170" spans="1:7" x14ac:dyDescent="0.25">
      <c r="A5170" s="50" t="s">
        <v>403</v>
      </c>
      <c r="B5170" s="72" t="str">
        <f>VLOOKUP(A5170,'Componentes APUs'!$A$1:$D$14,2,0)</f>
        <v>Capuchon</v>
      </c>
      <c r="C5170" s="73"/>
      <c r="D5170" s="50" t="str">
        <f>VLOOKUP(A5170,'Componentes APUs'!$A$1:$D$14,3,0)</f>
        <v>U</v>
      </c>
      <c r="E5170" s="50">
        <f>SUM(C5144:C5149)</f>
        <v>3.5</v>
      </c>
      <c r="F5170" s="51">
        <f>VLOOKUP(A5170,'Componentes APUs'!$A$1:$D$14,4,0)</f>
        <v>2525.2525252525252</v>
      </c>
      <c r="G5170" s="51">
        <f>ROUNDUP(F5170*(E5170/21)/E5133,0)</f>
        <v>17</v>
      </c>
    </row>
    <row r="5171" spans="1:7" x14ac:dyDescent="0.25">
      <c r="A5171" s="69" t="s">
        <v>81</v>
      </c>
      <c r="B5171" s="72" t="str">
        <f>VLOOKUP(A5171,'Componentes APUs'!$A$1:$D$14,2,0)</f>
        <v>Guantes Protectores  - ingeniero reforzados</v>
      </c>
      <c r="C5171" s="73"/>
      <c r="D5171" s="50" t="str">
        <f>VLOOKUP(A5171,'Componentes APUs'!$A$1:$D$14,3,0)</f>
        <v>Par</v>
      </c>
      <c r="E5171" s="50">
        <f>C5146+C5147+C5149</f>
        <v>3</v>
      </c>
      <c r="F5171" s="51">
        <f>VLOOKUP(A5171,'Componentes APUs'!$A$1:$D$14,4,0)</f>
        <v>2525.2525252525252</v>
      </c>
      <c r="G5171" s="51">
        <f>ROUNDUP(F5171*(E5171/21)/E5133,0)</f>
        <v>15</v>
      </c>
    </row>
    <row r="5172" spans="1:7" x14ac:dyDescent="0.25">
      <c r="A5172" s="50" t="s">
        <v>83</v>
      </c>
      <c r="B5172" s="72" t="str">
        <f>VLOOKUP(A5172,'Componentes APUs'!$A$1:$D$14,2,0)</f>
        <v>Impermeable (pantalon camisa)</v>
      </c>
      <c r="C5172" s="73"/>
      <c r="D5172" s="50" t="str">
        <f>VLOOKUP(A5172,'Componentes APUs'!$A$1:$D$14,3,0)</f>
        <v>U</v>
      </c>
      <c r="E5172" s="50">
        <f>SUM(C5144:C5149)</f>
        <v>3.5</v>
      </c>
      <c r="F5172" s="51">
        <f>VLOOKUP(A5172,'Componentes APUs'!$A$1:$D$14,4,0)</f>
        <v>3750</v>
      </c>
      <c r="G5172" s="51">
        <f>ROUNDUP(F5172*(E5172/21)/E5133,0)</f>
        <v>25</v>
      </c>
    </row>
    <row r="5173" spans="1:7" x14ac:dyDescent="0.25">
      <c r="A5173" s="69" t="s">
        <v>85</v>
      </c>
      <c r="B5173" s="72" t="str">
        <f>VLOOKUP(A5173,'Componentes APUs'!$A$1:$D$14,2,0)</f>
        <v>Jean Dielectrico</v>
      </c>
      <c r="C5173" s="73"/>
      <c r="D5173" s="50" t="str">
        <f>VLOOKUP(A5173,'Componentes APUs'!$A$1:$D$14,3,0)</f>
        <v>U</v>
      </c>
      <c r="E5173" s="50">
        <f>SUM(C5144:C5149)</f>
        <v>3.5</v>
      </c>
      <c r="F5173" s="51">
        <f>VLOOKUP(A5173,'Componentes APUs'!$A$1:$D$14,4,0)</f>
        <v>7575.757575757576</v>
      </c>
      <c r="G5173" s="51">
        <f>ROUNDUP(F5173*(E5173/21)/E5133,0)</f>
        <v>51</v>
      </c>
    </row>
    <row r="5174" spans="1:7" x14ac:dyDescent="0.25">
      <c r="A5174" s="50" t="s">
        <v>87</v>
      </c>
      <c r="B5174" s="72" t="str">
        <f>VLOOKUP(A5174,'Componentes APUs'!$A$1:$D$14,2,0)</f>
        <v>Casco dielectrico Tipo 2 Clase E con barboquejo</v>
      </c>
      <c r="C5174" s="73"/>
      <c r="D5174" s="50" t="str">
        <f>VLOOKUP(A5174,'Componentes APUs'!$A$1:$D$14,3,0)</f>
        <v>U</v>
      </c>
      <c r="E5174" s="53">
        <f>IF(A5146="MO-3",C5146,0)</f>
        <v>0</v>
      </c>
      <c r="F5174" s="51">
        <f>VLOOKUP(A5174,'Componentes APUs'!$A$1:$D$14,4,0)</f>
        <v>7500</v>
      </c>
      <c r="G5174" s="51">
        <f>ROUNDUP(F5174*(E5174/21)/E5133,0)</f>
        <v>0</v>
      </c>
    </row>
    <row r="5175" spans="1:7" x14ac:dyDescent="0.25">
      <c r="A5175" s="69" t="s">
        <v>89</v>
      </c>
      <c r="B5175" s="72" t="str">
        <f>VLOOKUP(A5175,'Componentes APUs'!$A$1:$D$14,2,0)</f>
        <v>Kit de rescate para trabajo en alturas</v>
      </c>
      <c r="C5175" s="73"/>
      <c r="D5175" s="50" t="str">
        <f>VLOOKUP(A5175,'Componentes APUs'!$A$1:$D$14,3,0)</f>
        <v>U</v>
      </c>
      <c r="E5175" s="50">
        <f>IF(AND(A5146="MO-3",C5146=2),1,0)</f>
        <v>0</v>
      </c>
      <c r="F5175" s="51">
        <f>VLOOKUP(A5175,'Componentes APUs'!$A$1:$D$14,4,0)</f>
        <v>37500</v>
      </c>
      <c r="G5175" s="51">
        <f>ROUNDUP(F5175*(E5175/21)/E5133,0)</f>
        <v>0</v>
      </c>
    </row>
    <row r="5176" spans="1:7" x14ac:dyDescent="0.25">
      <c r="A5176" s="50" t="s">
        <v>91</v>
      </c>
      <c r="B5176" s="72" t="str">
        <f>VLOOKUP(A5176,'Componentes APUs'!$A$1:$D$14,2,0)</f>
        <v>Equipo completo para trabajo en alturas con pretales (Arnes dielectrico, 1 mosqueton de seguridad, tie off dielectrico, eslinga de posicionamiento, juego de pretales)</v>
      </c>
      <c r="C5176" s="73"/>
      <c r="D5176" s="50" t="str">
        <f>VLOOKUP(A5176,'Componentes APUs'!$A$1:$D$14,3,0)</f>
        <v>U</v>
      </c>
      <c r="E5176" s="50">
        <f>IF(A5146="MO-3",C5146,0)</f>
        <v>0</v>
      </c>
      <c r="F5176" s="51">
        <f>VLOOKUP(A5176,'Componentes APUs'!$A$1:$D$14,4,0)</f>
        <v>26041.666666666668</v>
      </c>
      <c r="G5176" s="51">
        <f>ROUNDUP(F5176*(E5176/21)/E5133,0)</f>
        <v>0</v>
      </c>
    </row>
    <row r="5177" spans="1:7" x14ac:dyDescent="0.25">
      <c r="A5177" s="219" t="s">
        <v>95</v>
      </c>
      <c r="B5177" s="219"/>
      <c r="C5177" s="219"/>
      <c r="D5177" s="219"/>
      <c r="E5177" s="219"/>
      <c r="F5177" s="219"/>
      <c r="G5177" s="52">
        <f>SUM(G5164:G5176)</f>
        <v>349</v>
      </c>
    </row>
    <row r="5178" spans="1:7" x14ac:dyDescent="0.25">
      <c r="A5178" s="56"/>
      <c r="B5178" s="57"/>
      <c r="C5178" s="57"/>
      <c r="D5178" s="57"/>
      <c r="E5178" s="57"/>
      <c r="F5178" s="57"/>
      <c r="G5178" s="58"/>
    </row>
    <row r="5179" spans="1:7" x14ac:dyDescent="0.25">
      <c r="A5179" s="219" t="s">
        <v>96</v>
      </c>
      <c r="B5179" s="219"/>
      <c r="C5179" s="219"/>
      <c r="D5179" s="219"/>
      <c r="E5179" s="219"/>
      <c r="F5179" s="219"/>
      <c r="G5179" s="219"/>
    </row>
    <row r="5180" spans="1:7" x14ac:dyDescent="0.25">
      <c r="A5180" s="49" t="s">
        <v>35</v>
      </c>
      <c r="B5180" s="225" t="s">
        <v>36</v>
      </c>
      <c r="C5180" s="225"/>
      <c r="D5180" s="49" t="s">
        <v>37</v>
      </c>
      <c r="E5180" s="49" t="s">
        <v>38</v>
      </c>
      <c r="F5180" s="49" t="s">
        <v>39</v>
      </c>
      <c r="G5180" s="49" t="s">
        <v>40</v>
      </c>
    </row>
    <row r="5181" spans="1:7" x14ac:dyDescent="0.25">
      <c r="A5181" s="69" t="s">
        <v>97</v>
      </c>
      <c r="B5181" s="72" t="str">
        <f>VLOOKUP(A5181,'Componentes APUs'!$N$1:$Q$30,2,0)</f>
        <v>Camioneta</v>
      </c>
      <c r="C5181" s="73"/>
      <c r="D5181" s="70" t="str">
        <f>VLOOKUP(A5181,'Componentes APUs'!$N$1:$Q$30,3,0)</f>
        <v>U</v>
      </c>
      <c r="E5181" s="50">
        <v>0.5</v>
      </c>
      <c r="F5181" s="51">
        <f>VLOOKUP(A5181,'Componentes APUs'!$N$1:$Q$30,4,0)</f>
        <v>5500000</v>
      </c>
      <c r="G5181" s="51">
        <f>IFERROR(ROUNDUP(F5181*(E5181/21)/E5133,0),"-")</f>
        <v>5239</v>
      </c>
    </row>
    <row r="5182" spans="1:7" x14ac:dyDescent="0.25">
      <c r="A5182" s="50" t="s">
        <v>1473</v>
      </c>
      <c r="B5182" s="72" t="str">
        <f>VLOOKUP(A5182,'Componentes APUs'!$N$1:$Q$30,2,0)</f>
        <v>Concretera</v>
      </c>
      <c r="C5182" s="73"/>
      <c r="D5182" s="70" t="str">
        <f>VLOOKUP(A5182,'Componentes APUs'!$N$1:$Q$30,3,0)</f>
        <v>U</v>
      </c>
      <c r="E5182" s="50">
        <v>1</v>
      </c>
      <c r="F5182" s="51">
        <f>VLOOKUP(A5182,'Componentes APUs'!$N$1:$Q$30,4,0)</f>
        <v>550704</v>
      </c>
      <c r="G5182" s="51">
        <f>IFERROR(ROUNDUP(F5182*(E5182/21)/E5133,0),"-")</f>
        <v>1049</v>
      </c>
    </row>
    <row r="5183" spans="1:7" x14ac:dyDescent="0.25">
      <c r="A5183" s="69" t="s">
        <v>1379</v>
      </c>
      <c r="B5183" s="72" t="str">
        <f>VLOOKUP(A5183,'Componentes APUs'!$N$1:$Q$30,2,0)</f>
        <v>Dumper de descarga Frontal 2T</v>
      </c>
      <c r="C5183" s="73"/>
      <c r="D5183" s="70" t="str">
        <f>VLOOKUP(A5183,'Componentes APUs'!$N$1:$Q$30,3,0)</f>
        <v>U</v>
      </c>
      <c r="E5183" s="50">
        <v>0</v>
      </c>
      <c r="F5183" s="51">
        <f>VLOOKUP(A5183,'Componentes APUs'!$N$1:$Q$30,4,0)</f>
        <v>4438716.24</v>
      </c>
      <c r="G5183" s="51">
        <f>IFERROR(ROUNDUP(F5183*(E5183/21)/E5133,0),"-")</f>
        <v>0</v>
      </c>
    </row>
    <row r="5184" spans="1:7" x14ac:dyDescent="0.25">
      <c r="A5184" s="50" t="s">
        <v>323</v>
      </c>
      <c r="B5184" s="72" t="str">
        <f>VLOOKUP(A5184,'Componentes APUs'!$N$1:$Q$30,2,0)</f>
        <v>Volqueta</v>
      </c>
      <c r="C5184" s="73"/>
      <c r="D5184" s="70" t="str">
        <f>VLOOKUP(A5184,'Componentes APUs'!$N$1:$Q$30,3,0)</f>
        <v>U</v>
      </c>
      <c r="E5184" s="50">
        <v>0</v>
      </c>
      <c r="F5184" s="51">
        <f>VLOOKUP(A5184,'Componentes APUs'!$N$1:$Q$30,4,0)</f>
        <v>14828184</v>
      </c>
      <c r="G5184" s="51">
        <f>IFERROR(ROUNDUP(F5184*(E5184/21)/E5133,0),"-")</f>
        <v>0</v>
      </c>
    </row>
    <row r="5185" spans="1:8" x14ac:dyDescent="0.25">
      <c r="A5185" s="69" t="s">
        <v>324</v>
      </c>
      <c r="B5185" s="72" t="str">
        <f>VLOOKUP(A5185,'Componentes APUs'!$N$1:$Q$30,2,0)</f>
        <v>Retroexcavadora</v>
      </c>
      <c r="C5185" s="73"/>
      <c r="D5185" s="70" t="str">
        <f>VLOOKUP(A5185,'Componentes APUs'!$N$1:$Q$30,3,0)</f>
        <v>U</v>
      </c>
      <c r="E5185" s="50">
        <v>0</v>
      </c>
      <c r="F5185" s="51">
        <f>VLOOKUP(A5185,'Componentes APUs'!$N$1:$Q$30,4,0)</f>
        <v>46030656</v>
      </c>
      <c r="G5185" s="51">
        <f>IFERROR(ROUNDUP(F5185*(E5185/21)/E5133,0),"-")</f>
        <v>0</v>
      </c>
    </row>
    <row r="5186" spans="1:8" x14ac:dyDescent="0.25">
      <c r="A5186" s="219" t="s">
        <v>99</v>
      </c>
      <c r="B5186" s="219"/>
      <c r="C5186" s="219"/>
      <c r="D5186" s="219"/>
      <c r="E5186" s="219"/>
      <c r="F5186" s="219"/>
      <c r="G5186" s="52">
        <f>SUM(G5181:G5185)</f>
        <v>6288</v>
      </c>
    </row>
    <row r="5187" spans="1:8" x14ac:dyDescent="0.25">
      <c r="A5187" s="56"/>
      <c r="B5187" s="57"/>
      <c r="C5187" s="57"/>
      <c r="D5187" s="57"/>
      <c r="E5187" s="57"/>
      <c r="F5187" s="57"/>
      <c r="G5187" s="58"/>
    </row>
    <row r="5188" spans="1:8" x14ac:dyDescent="0.25">
      <c r="A5188" s="219" t="s">
        <v>100</v>
      </c>
      <c r="B5188" s="219"/>
      <c r="C5188" s="219"/>
      <c r="D5188" s="219"/>
      <c r="E5188" s="219"/>
      <c r="F5188" s="219"/>
      <c r="G5188" s="52">
        <f>G5186+G5177+G5160+G5150+G5140</f>
        <v>304033</v>
      </c>
    </row>
    <row r="5189" spans="1:8" x14ac:dyDescent="0.25">
      <c r="A5189" s="59"/>
      <c r="B5189" s="60"/>
      <c r="C5189" s="60"/>
      <c r="D5189" s="60"/>
      <c r="E5189" s="57"/>
      <c r="F5189" s="57"/>
      <c r="G5189" s="58"/>
    </row>
    <row r="5190" spans="1:8" x14ac:dyDescent="0.25">
      <c r="A5190" s="64"/>
      <c r="D5190" s="55"/>
      <c r="E5190" s="49" t="s">
        <v>25</v>
      </c>
      <c r="F5190" s="54">
        <v>0.15</v>
      </c>
      <c r="G5190" s="51">
        <f>G5188*F5190</f>
        <v>45604.95</v>
      </c>
    </row>
    <row r="5191" spans="1:8" x14ac:dyDescent="0.25">
      <c r="A5191" s="64"/>
      <c r="D5191" s="55"/>
      <c r="E5191" s="49" t="s">
        <v>26</v>
      </c>
      <c r="F5191" s="54">
        <v>0.05</v>
      </c>
      <c r="G5191" s="51">
        <f>G5188*F5191</f>
        <v>15201.650000000001</v>
      </c>
    </row>
    <row r="5192" spans="1:8" x14ac:dyDescent="0.25">
      <c r="A5192" s="61"/>
      <c r="B5192" s="65"/>
      <c r="C5192" s="65"/>
      <c r="D5192" s="62"/>
      <c r="E5192" s="49" t="s">
        <v>27</v>
      </c>
      <c r="F5192" s="54">
        <v>0.05</v>
      </c>
      <c r="G5192" s="51">
        <f>G5188*F5192</f>
        <v>15201.650000000001</v>
      </c>
    </row>
    <row r="5193" spans="1:8" x14ac:dyDescent="0.25">
      <c r="A5193" s="61"/>
      <c r="B5193" s="62"/>
      <c r="C5193" s="62"/>
      <c r="D5193" s="62"/>
      <c r="E5193" s="62"/>
      <c r="F5193" s="62"/>
      <c r="G5193" s="63"/>
    </row>
    <row r="5194" spans="1:8" x14ac:dyDescent="0.25">
      <c r="A5194" s="219" t="s">
        <v>101</v>
      </c>
      <c r="B5194" s="219"/>
      <c r="C5194" s="219"/>
      <c r="D5194" s="219"/>
      <c r="E5194" s="219"/>
      <c r="F5194" s="219"/>
      <c r="G5194" s="52">
        <f>G5188+G5190+G5191+G5192</f>
        <v>380041.25000000006</v>
      </c>
    </row>
    <row r="5195" spans="1:8" x14ac:dyDescent="0.25">
      <c r="A5195" s="59"/>
      <c r="B5195" s="60"/>
      <c r="C5195" s="60"/>
      <c r="D5195" s="60"/>
      <c r="E5195" s="57"/>
      <c r="F5195" s="57"/>
      <c r="G5195" s="58"/>
    </row>
    <row r="5196" spans="1:8" x14ac:dyDescent="0.25">
      <c r="A5196" s="64"/>
      <c r="D5196" s="55"/>
      <c r="E5196" s="49" t="s">
        <v>102</v>
      </c>
      <c r="F5196" s="49" t="s">
        <v>103</v>
      </c>
      <c r="G5196" s="51">
        <f>G5192*19%</f>
        <v>2888.3135000000002</v>
      </c>
    </row>
    <row r="5197" spans="1:8" x14ac:dyDescent="0.25">
      <c r="A5197" s="61"/>
      <c r="B5197" s="62"/>
      <c r="C5197" s="62"/>
      <c r="D5197" s="62"/>
      <c r="E5197" s="57"/>
      <c r="F5197" s="57"/>
      <c r="G5197" s="58"/>
    </row>
    <row r="5198" spans="1:8" x14ac:dyDescent="0.25">
      <c r="A5198" s="219" t="s">
        <v>104</v>
      </c>
      <c r="B5198" s="219"/>
      <c r="C5198" s="219"/>
      <c r="D5198" s="219"/>
      <c r="E5198" s="219"/>
      <c r="F5198" s="219"/>
      <c r="G5198" s="52">
        <f>G5196+G5194</f>
        <v>382929.56350000005</v>
      </c>
    </row>
    <row r="5200" spans="1:8" x14ac:dyDescent="0.25">
      <c r="A5200" s="74" t="s">
        <v>29</v>
      </c>
      <c r="B5200" s="226" t="s">
        <v>30</v>
      </c>
      <c r="C5200" s="226"/>
      <c r="D5200" s="74" t="s">
        <v>31</v>
      </c>
      <c r="E5200" s="74" t="s">
        <v>32</v>
      </c>
      <c r="F5200" s="74" t="s">
        <v>189</v>
      </c>
      <c r="G5200" s="74" t="s">
        <v>33</v>
      </c>
      <c r="H5200" s="105"/>
    </row>
    <row r="5201" spans="1:13" x14ac:dyDescent="0.25">
      <c r="A5201" s="50" t="str">
        <f>Presupuesto!B104</f>
        <v>085_OC</v>
      </c>
      <c r="B5201" s="229" t="str">
        <f>Presupuesto!C104</f>
        <v>VIGA DE CIMENTACIÓN 30X25 CM</v>
      </c>
      <c r="C5201" s="230"/>
      <c r="D5201" s="50" t="s">
        <v>108</v>
      </c>
      <c r="E5201" s="107">
        <v>35</v>
      </c>
      <c r="F5201" s="50"/>
      <c r="G5201" s="51">
        <f>G5266</f>
        <v>246807.84150000001</v>
      </c>
      <c r="H5201" s="111"/>
    </row>
    <row r="5202" spans="1:13" x14ac:dyDescent="0.25">
      <c r="A5202" s="219" t="s">
        <v>34</v>
      </c>
      <c r="B5202" s="219"/>
      <c r="C5202" s="219"/>
      <c r="D5202" s="219"/>
      <c r="E5202" s="219"/>
      <c r="F5202" s="219"/>
      <c r="G5202" s="219"/>
    </row>
    <row r="5203" spans="1:13" ht="30.75" customHeight="1" x14ac:dyDescent="0.25">
      <c r="A5203" s="49" t="s">
        <v>35</v>
      </c>
      <c r="B5203" s="219" t="s">
        <v>36</v>
      </c>
      <c r="C5203" s="219"/>
      <c r="D5203" s="49" t="s">
        <v>37</v>
      </c>
      <c r="E5203" s="49" t="s">
        <v>38</v>
      </c>
      <c r="F5203" s="49" t="s">
        <v>39</v>
      </c>
      <c r="G5203" s="49" t="s">
        <v>40</v>
      </c>
      <c r="K5203" s="23"/>
      <c r="L5203" s="23"/>
    </row>
    <row r="5204" spans="1:13" x14ac:dyDescent="0.25">
      <c r="A5204" s="50" t="str">
        <f>Material!A218</f>
        <v>MA-217</v>
      </c>
      <c r="B5204" s="72" t="str">
        <f>IFERROR(VLOOKUP(A5204,Material!$A:$H,2,0),"-")</f>
        <v>FORMALETA EN MADERA CON TABLA DE 1"</v>
      </c>
      <c r="C5204" s="76"/>
      <c r="D5204" s="50" t="str">
        <f>IFERROR(VLOOKUP(A5204,Material!$A:$H,4,0),"-")</f>
        <v>M2</v>
      </c>
      <c r="E5204" s="107">
        <f>0.3+0.25*2</f>
        <v>0.8</v>
      </c>
      <c r="F5204" s="51">
        <f>IFERROR(VLOOKUP(A5204,Material!$A:$H,3,0),"-")</f>
        <v>24691.116165303549</v>
      </c>
      <c r="G5204" s="51">
        <f t="shared" ref="G5204:G5207" si="92">IFERROR(ROUNDUP(F5204*E5204,0),"-")</f>
        <v>19753</v>
      </c>
      <c r="H5204" s="112"/>
      <c r="I5204" s="110"/>
      <c r="J5204" s="113"/>
      <c r="K5204" s="114"/>
      <c r="L5204" s="115"/>
      <c r="M5204" s="115"/>
    </row>
    <row r="5205" spans="1:13" x14ac:dyDescent="0.25">
      <c r="A5205" s="50" t="str">
        <f>Material!A15</f>
        <v>MA-14</v>
      </c>
      <c r="B5205" s="72" t="str">
        <f>IFERROR(VLOOKUP(A5205,Material!$A:$H,2,0),"-")</f>
        <v>CONCRETO DE 3000 PSI</v>
      </c>
      <c r="C5205" s="76"/>
      <c r="D5205" s="50" t="str">
        <f>IFERROR(VLOOKUP(A5205,Material!$A:$H,4,0),"-")</f>
        <v>M3</v>
      </c>
      <c r="E5205" s="107">
        <f>0.3*0.25</f>
        <v>7.4999999999999997E-2</v>
      </c>
      <c r="F5205" s="51">
        <f>IFERROR(VLOOKUP(A5205,Material!$A:$H,3,0),"-")</f>
        <v>620227.23330691375</v>
      </c>
      <c r="G5205" s="51">
        <f t="shared" si="92"/>
        <v>46518</v>
      </c>
      <c r="H5205" s="112"/>
      <c r="I5205" s="110"/>
      <c r="J5205" s="113"/>
      <c r="K5205" s="114"/>
      <c r="L5205" s="115"/>
      <c r="M5205" s="115"/>
    </row>
    <row r="5206" spans="1:13" x14ac:dyDescent="0.25">
      <c r="A5206" s="50" t="str">
        <f>Material!A587</f>
        <v>MA-586</v>
      </c>
      <c r="B5206" s="72" t="str">
        <f>IFERROR(VLOOKUP(A5206,Material!$A:$H,2,0),"-")</f>
        <v>ACERO Fy= 420 MPa</v>
      </c>
      <c r="C5206" s="76"/>
      <c r="D5206" s="50" t="str">
        <f>IFERROR(VLOOKUP(A5206,Material!$A:$H,4,0),"-")</f>
        <v>KG</v>
      </c>
      <c r="E5206" s="107">
        <f>200*E5205</f>
        <v>15</v>
      </c>
      <c r="F5206" s="51">
        <f>IFERROR(VLOOKUP(A5206,Material!$A:$H,3,0),"-")</f>
        <v>6962.8</v>
      </c>
      <c r="G5206" s="51">
        <f t="shared" si="92"/>
        <v>104442</v>
      </c>
      <c r="H5206" s="112"/>
      <c r="I5206" s="110"/>
      <c r="J5206" s="113"/>
      <c r="K5206" s="114"/>
      <c r="L5206" s="115"/>
      <c r="M5206" s="115"/>
    </row>
    <row r="5207" spans="1:13" x14ac:dyDescent="0.25">
      <c r="A5207" s="50"/>
      <c r="B5207" s="72" t="str">
        <f>IFERROR(VLOOKUP(A5207,Material!$A:$H,2,0),"-")</f>
        <v>-</v>
      </c>
      <c r="C5207" s="76"/>
      <c r="D5207" s="50" t="str">
        <f>IFERROR(VLOOKUP(A5207,Material!$A:$H,4,0),"-")</f>
        <v>-</v>
      </c>
      <c r="E5207" s="107"/>
      <c r="F5207" s="51" t="str">
        <f>IFERROR(VLOOKUP(A5207,Material!$A:$H,3,0),"-")</f>
        <v>-</v>
      </c>
      <c r="G5207" s="51" t="str">
        <f t="shared" si="92"/>
        <v>-</v>
      </c>
      <c r="H5207" s="112"/>
      <c r="I5207" s="110"/>
      <c r="J5207" s="113"/>
      <c r="K5207" s="114"/>
      <c r="L5207" s="115"/>
      <c r="M5207" s="115"/>
    </row>
    <row r="5208" spans="1:13" x14ac:dyDescent="0.25">
      <c r="A5208" s="219" t="s">
        <v>41</v>
      </c>
      <c r="B5208" s="219"/>
      <c r="C5208" s="219"/>
      <c r="D5208" s="219"/>
      <c r="E5208" s="219"/>
      <c r="F5208" s="219"/>
      <c r="G5208" s="52">
        <f>SUM(G5204:G5207)</f>
        <v>170713</v>
      </c>
      <c r="I5208" s="104"/>
    </row>
    <row r="5209" spans="1:13" x14ac:dyDescent="0.25">
      <c r="A5209" s="56"/>
      <c r="B5209" s="57"/>
      <c r="C5209" s="57"/>
      <c r="D5209" s="57"/>
      <c r="E5209" s="57"/>
      <c r="F5209" s="57"/>
      <c r="G5209" s="58"/>
    </row>
    <row r="5210" spans="1:13" x14ac:dyDescent="0.25">
      <c r="A5210" s="219" t="s">
        <v>42</v>
      </c>
      <c r="B5210" s="219"/>
      <c r="C5210" s="219"/>
      <c r="D5210" s="219"/>
      <c r="E5210" s="219"/>
      <c r="F5210" s="219"/>
      <c r="G5210" s="219"/>
    </row>
    <row r="5211" spans="1:13" x14ac:dyDescent="0.25">
      <c r="A5211" s="49" t="s">
        <v>35</v>
      </c>
      <c r="B5211" s="49" t="s">
        <v>36</v>
      </c>
      <c r="C5211" s="49" t="s">
        <v>38</v>
      </c>
      <c r="D5211" s="49" t="s">
        <v>43</v>
      </c>
      <c r="E5211" s="49" t="s">
        <v>44</v>
      </c>
      <c r="F5211" s="49" t="s">
        <v>45</v>
      </c>
      <c r="G5211" s="49" t="s">
        <v>40</v>
      </c>
    </row>
    <row r="5212" spans="1:13" x14ac:dyDescent="0.25">
      <c r="A5212" s="50" t="s">
        <v>319</v>
      </c>
      <c r="B5212" s="68" t="str">
        <f>VLOOKUP(A5212,'Componentes APUs'!$H$1:$L$25,2,0)</f>
        <v>Ingeniero Residente de Obra</v>
      </c>
      <c r="C5212" s="93">
        <v>0.25</v>
      </c>
      <c r="D5212" s="50">
        <f>VLOOKUP(A5212,'Componentes APUs'!$H$1:$L$25,3,0)</f>
        <v>4</v>
      </c>
      <c r="E5212" s="51">
        <f>VLOOKUP(A5212,'Componentes APUs'!$H$1:$L$25,4,0)</f>
        <v>271142.85714285716</v>
      </c>
      <c r="F5212" s="51">
        <f>VLOOKUP(A5212,'Componentes APUs'!$H$1:$L$25,5,0)</f>
        <v>162685.71428571429</v>
      </c>
      <c r="G5212" s="51">
        <f>ROUNDUP((E5212+F5212)*C5212/E5201,0)</f>
        <v>3099</v>
      </c>
      <c r="H5212" s="66"/>
    </row>
    <row r="5213" spans="1:13" x14ac:dyDescent="0.25">
      <c r="A5213" s="50" t="s">
        <v>320</v>
      </c>
      <c r="B5213" s="68" t="str">
        <f>VLOOKUP(A5213,'Componentes APUs'!$H$1:$L$25,2,0)</f>
        <v>Tecnico Supervisor</v>
      </c>
      <c r="C5213" s="93">
        <v>0</v>
      </c>
      <c r="D5213" s="50">
        <f>VLOOKUP(A5213,'Componentes APUs'!$H$1:$L$25,3,0)</f>
        <v>2.2999999999999998</v>
      </c>
      <c r="E5213" s="51">
        <f>VLOOKUP(A5213,'Componentes APUs'!$H$1:$L$25,4,0)</f>
        <v>155907.14285714284</v>
      </c>
      <c r="F5213" s="51">
        <f>VLOOKUP(A5213,'Componentes APUs'!$H$1:$L$25,5,0)</f>
        <v>93544.285714285696</v>
      </c>
      <c r="G5213" s="51">
        <f>ROUNDUP((E5213+F5213)*C5213/E5201,0)</f>
        <v>0</v>
      </c>
    </row>
    <row r="5214" spans="1:13" x14ac:dyDescent="0.25">
      <c r="A5214" s="50" t="s">
        <v>54</v>
      </c>
      <c r="B5214" s="68" t="str">
        <f>VLOOKUP(A5214,'Componentes APUs'!$H$1:$L$25,2,0)</f>
        <v>Maestro de obra civil</v>
      </c>
      <c r="C5214" s="93">
        <v>0</v>
      </c>
      <c r="D5214" s="50">
        <f>VLOOKUP(A5214,'Componentes APUs'!$H$1:$L$25,3,0)</f>
        <v>2.5</v>
      </c>
      <c r="E5214" s="51">
        <f>VLOOKUP(A5214,'Componentes APUs'!$H$1:$L$25,4,0)</f>
        <v>169464.28571428571</v>
      </c>
      <c r="F5214" s="51">
        <f>VLOOKUP(A5214,'Componentes APUs'!$H$1:$L$25,5,0)</f>
        <v>101678.57142857142</v>
      </c>
      <c r="G5214" s="51">
        <f>ROUNDUP((E5214+F5214)*C5214/E5201,0)</f>
        <v>0</v>
      </c>
    </row>
    <row r="5215" spans="1:13" x14ac:dyDescent="0.25">
      <c r="A5215" s="50" t="s">
        <v>1110</v>
      </c>
      <c r="B5215" s="68" t="str">
        <f>VLOOKUP(A5215,'Componentes APUs'!$H$1:$L$25,2,0)</f>
        <v>Oficial de Obra Civil</v>
      </c>
      <c r="C5215" s="93">
        <v>1</v>
      </c>
      <c r="D5215" s="50">
        <f>VLOOKUP(A5215,'Componentes APUs'!$H$1:$L$25,3,0)</f>
        <v>1.5</v>
      </c>
      <c r="E5215" s="51">
        <f>VLOOKUP(A5215,'Componentes APUs'!$H$1:$L$25,4,0)</f>
        <v>115964.28571428571</v>
      </c>
      <c r="F5215" s="51">
        <f>VLOOKUP(A5215,'Componentes APUs'!$H$1:$L$25,5,0)</f>
        <v>69578.57142857142</v>
      </c>
      <c r="G5215" s="51">
        <f>ROUNDUP((E5215+F5215)*C5215/E5201,0)</f>
        <v>5302</v>
      </c>
    </row>
    <row r="5216" spans="1:13" x14ac:dyDescent="0.25">
      <c r="A5216" s="50" t="s">
        <v>50</v>
      </c>
      <c r="B5216" s="68" t="str">
        <f>VLOOKUP(A5216,'Componentes APUs'!$H$1:$L$25,2,0)</f>
        <v>Profesional en SST</v>
      </c>
      <c r="C5216" s="93">
        <v>0.25</v>
      </c>
      <c r="D5216" s="50">
        <f>VLOOKUP(A5216,'Componentes APUs'!$H$1:$L$25,3,0)</f>
        <v>2.5</v>
      </c>
      <c r="E5216" s="51">
        <f>VLOOKUP(A5216,'Componentes APUs'!$H$1:$L$25,4,0)</f>
        <v>169464.28571428571</v>
      </c>
      <c r="F5216" s="51">
        <f>VLOOKUP(A5216,'Componentes APUs'!$H$1:$L$25,5,0)</f>
        <v>101678.57142857142</v>
      </c>
      <c r="G5216" s="51">
        <f>ROUNDUP((E5216+F5216)*C5216/E5201,0)</f>
        <v>1937</v>
      </c>
    </row>
    <row r="5217" spans="1:9" x14ac:dyDescent="0.25">
      <c r="A5217" s="50" t="s">
        <v>1109</v>
      </c>
      <c r="B5217" s="68" t="str">
        <f>VLOOKUP(A5217,'Componentes APUs'!$H$1:$L$25,2,0)</f>
        <v>Ayudante de Obra Civil</v>
      </c>
      <c r="C5217" s="93">
        <v>2</v>
      </c>
      <c r="D5217" s="50">
        <f>VLOOKUP(A5217,'Componentes APUs'!$H$1:$L$25,3,0)</f>
        <v>1</v>
      </c>
      <c r="E5217" s="51">
        <f>VLOOKUP(A5217,'Componentes APUs'!$H$1:$L$25,4,0)</f>
        <v>77309.523809523816</v>
      </c>
      <c r="F5217" s="51">
        <f>VLOOKUP(A5217,'Componentes APUs'!$H$1:$L$25,5,0)</f>
        <v>46385.71428571429</v>
      </c>
      <c r="G5217" s="51">
        <f>ROUNDUP((E5217+F5217)*C5217/E5201,0)</f>
        <v>7069</v>
      </c>
    </row>
    <row r="5218" spans="1:9" x14ac:dyDescent="0.25">
      <c r="A5218" s="219" t="s">
        <v>56</v>
      </c>
      <c r="B5218" s="219"/>
      <c r="C5218" s="219"/>
      <c r="D5218" s="219"/>
      <c r="E5218" s="219"/>
      <c r="F5218" s="219"/>
      <c r="G5218" s="52">
        <f>SUM(G5212:G5217)</f>
        <v>17407</v>
      </c>
    </row>
    <row r="5219" spans="1:9" x14ac:dyDescent="0.25">
      <c r="A5219" s="56"/>
      <c r="B5219" s="57"/>
      <c r="C5219" s="57"/>
      <c r="D5219" s="57"/>
      <c r="E5219" s="57"/>
      <c r="F5219" s="57"/>
      <c r="G5219" s="58"/>
    </row>
    <row r="5220" spans="1:9" x14ac:dyDescent="0.25">
      <c r="A5220" s="219" t="s">
        <v>57</v>
      </c>
      <c r="B5220" s="219"/>
      <c r="C5220" s="219"/>
      <c r="D5220" s="219"/>
      <c r="E5220" s="219"/>
      <c r="F5220" s="219"/>
      <c r="G5220" s="219"/>
    </row>
    <row r="5221" spans="1:9" x14ac:dyDescent="0.25">
      <c r="A5221" s="49" t="s">
        <v>35</v>
      </c>
      <c r="B5221" s="219" t="s">
        <v>36</v>
      </c>
      <c r="C5221" s="219"/>
      <c r="D5221" s="49" t="s">
        <v>37</v>
      </c>
      <c r="E5221" s="49" t="s">
        <v>38</v>
      </c>
      <c r="F5221" s="49" t="s">
        <v>39</v>
      </c>
      <c r="G5221" s="49" t="s">
        <v>40</v>
      </c>
    </row>
    <row r="5222" spans="1:9" x14ac:dyDescent="0.25">
      <c r="A5222" s="50" t="s">
        <v>326</v>
      </c>
      <c r="B5222" s="220" t="str">
        <f>VLOOKUP(A5222,'Componentes APUs'!$S$1:$V$10,2,0)</f>
        <v>Juego Llaves</v>
      </c>
      <c r="C5222" s="220"/>
      <c r="D5222" s="50" t="s">
        <v>18</v>
      </c>
      <c r="E5222" s="50">
        <v>0</v>
      </c>
      <c r="F5222" s="51">
        <f>VLOOKUP(A5222,'Componentes APUs'!$S$1:$V$10,4,0)</f>
        <v>9167</v>
      </c>
      <c r="G5222" s="51">
        <f>ROUNDUP(F5222*((E5222/21)/E5201),0)</f>
        <v>0</v>
      </c>
      <c r="I5222" s="91"/>
    </row>
    <row r="5223" spans="1:9" x14ac:dyDescent="0.25">
      <c r="A5223" s="50" t="s">
        <v>58</v>
      </c>
      <c r="B5223" s="220" t="str">
        <f>VLOOKUP(A5223,'Componentes APUs'!$S$1:$V$10,2,0)</f>
        <v>Manila de servicio</v>
      </c>
      <c r="C5223" s="220"/>
      <c r="D5223" s="50" t="s">
        <v>18</v>
      </c>
      <c r="E5223" s="50">
        <v>0</v>
      </c>
      <c r="F5223" s="51">
        <f>VLOOKUP(A5223,'Componentes APUs'!$S$1:$V$10,4,0)</f>
        <v>2333</v>
      </c>
      <c r="G5223" s="51">
        <f>ROUNDUP(F5223*((E5223/21)/E5201),0)</f>
        <v>0</v>
      </c>
    </row>
    <row r="5224" spans="1:9" x14ac:dyDescent="0.25">
      <c r="A5224" s="50" t="s">
        <v>327</v>
      </c>
      <c r="B5224" s="220" t="str">
        <f>VLOOKUP(A5224,'Componentes APUs'!$S$1:$V$10,2,0)</f>
        <v>Tula portaherramientas</v>
      </c>
      <c r="C5224" s="220"/>
      <c r="D5224" s="50" t="s">
        <v>18</v>
      </c>
      <c r="E5224" s="50">
        <v>0</v>
      </c>
      <c r="F5224" s="51">
        <f>VLOOKUP(A5224,'Componentes APUs'!$S$1:$V$10,4,0)</f>
        <v>1250</v>
      </c>
      <c r="G5224" s="51">
        <f>ROUNDUP(F5224*((E5224/21)/E5201),0)</f>
        <v>0</v>
      </c>
    </row>
    <row r="5225" spans="1:9" x14ac:dyDescent="0.25">
      <c r="A5225" s="50" t="s">
        <v>60</v>
      </c>
      <c r="B5225" s="220" t="str">
        <f>VLOOKUP(A5225,'Componentes APUs'!$S$1:$V$10,2,0)</f>
        <v>Agarradoras</v>
      </c>
      <c r="C5225" s="220"/>
      <c r="D5225" s="50" t="s">
        <v>18</v>
      </c>
      <c r="E5225" s="50">
        <v>0</v>
      </c>
      <c r="F5225" s="51">
        <f>VLOOKUP(A5225,'Componentes APUs'!$S$1:$V$10,4,0)</f>
        <v>125000</v>
      </c>
      <c r="G5225" s="51">
        <f>ROUNDUP(F5225*((E5225/21)/E5201),0)</f>
        <v>0</v>
      </c>
    </row>
    <row r="5226" spans="1:9" x14ac:dyDescent="0.25">
      <c r="A5226" s="50" t="s">
        <v>62</v>
      </c>
      <c r="B5226" s="220" t="str">
        <f>VLOOKUP(A5226,'Componentes APUs'!$S$1:$V$10,2,0)</f>
        <v>Templadoras</v>
      </c>
      <c r="C5226" s="220"/>
      <c r="D5226" s="50" t="s">
        <v>18</v>
      </c>
      <c r="E5226" s="50">
        <v>0</v>
      </c>
      <c r="F5226" s="51">
        <f>VLOOKUP(A5226,'Componentes APUs'!$S$1:$V$10,4,0)</f>
        <v>250000</v>
      </c>
      <c r="G5226" s="51">
        <f>ROUNDUP(F5226*((E5226/21)/E5201),0)</f>
        <v>0</v>
      </c>
    </row>
    <row r="5227" spans="1:9" x14ac:dyDescent="0.25">
      <c r="A5227" s="50" t="s">
        <v>328</v>
      </c>
      <c r="B5227" s="220" t="str">
        <f>VLOOKUP(A5227,'Componentes APUs'!$S$1:$V$10,2,0)</f>
        <v>Herramienta Menor</v>
      </c>
      <c r="C5227" s="220"/>
      <c r="D5227" s="50" t="s">
        <v>18</v>
      </c>
      <c r="E5227" s="50">
        <v>30</v>
      </c>
      <c r="F5227" s="51">
        <f>VLOOKUP(A5227,'Componentes APUs'!$S$1:$V$10,4,0)</f>
        <v>75758</v>
      </c>
      <c r="G5227" s="51">
        <f>ROUNDUP(F5227*((E5227/21)/E5201),0)</f>
        <v>3093</v>
      </c>
    </row>
    <row r="5228" spans="1:9" x14ac:dyDescent="0.25">
      <c r="A5228" s="219" t="s">
        <v>69</v>
      </c>
      <c r="B5228" s="219"/>
      <c r="C5228" s="219"/>
      <c r="D5228" s="219"/>
      <c r="E5228" s="219"/>
      <c r="F5228" s="219"/>
      <c r="G5228" s="52">
        <f>SUM(G5222:G5227)</f>
        <v>3093</v>
      </c>
    </row>
    <row r="5229" spans="1:9" x14ac:dyDescent="0.25">
      <c r="A5229" s="56"/>
      <c r="B5229" s="57"/>
      <c r="C5229" s="57"/>
      <c r="D5229" s="57"/>
      <c r="E5229" s="57"/>
      <c r="F5229" s="57"/>
      <c r="G5229" s="58"/>
    </row>
    <row r="5230" spans="1:9" x14ac:dyDescent="0.25">
      <c r="A5230" s="219" t="s">
        <v>70</v>
      </c>
      <c r="B5230" s="219"/>
      <c r="C5230" s="219"/>
      <c r="D5230" s="219"/>
      <c r="E5230" s="219"/>
      <c r="F5230" s="219"/>
      <c r="G5230" s="219"/>
    </row>
    <row r="5231" spans="1:9" x14ac:dyDescent="0.25">
      <c r="A5231" s="49" t="s">
        <v>35</v>
      </c>
      <c r="B5231" s="219" t="s">
        <v>36</v>
      </c>
      <c r="C5231" s="219"/>
      <c r="D5231" s="49" t="s">
        <v>37</v>
      </c>
      <c r="E5231" s="49" t="s">
        <v>38</v>
      </c>
      <c r="F5231" s="49" t="s">
        <v>39</v>
      </c>
      <c r="G5231" s="49" t="s">
        <v>40</v>
      </c>
    </row>
    <row r="5232" spans="1:9" x14ac:dyDescent="0.25">
      <c r="A5232" s="50" t="s">
        <v>71</v>
      </c>
      <c r="B5232" s="71" t="str">
        <f>VLOOKUP(A5232,'Componentes APUs'!$A$1:$D$14,2,0)</f>
        <v>Camisa indigo sin partes metalicas</v>
      </c>
      <c r="C5232" s="71"/>
      <c r="D5232" s="50" t="str">
        <f>VLOOKUP(A5232,'Componentes APUs'!$A$1:$D$14,3,0)</f>
        <v>U</v>
      </c>
      <c r="E5232" s="50">
        <f>SUM(C5212:C5217)</f>
        <v>3.5</v>
      </c>
      <c r="F5232" s="51">
        <f>VLOOKUP(A5232,'Componentes APUs'!$A$1:$D$14,4,0)</f>
        <v>8585.8585858585866</v>
      </c>
      <c r="G5232" s="51">
        <f>ROUNDUP(F5232*(E5232/21)/E5201,0)</f>
        <v>41</v>
      </c>
      <c r="I5232" s="91"/>
    </row>
    <row r="5233" spans="1:7" x14ac:dyDescent="0.25">
      <c r="A5233" s="69" t="s">
        <v>73</v>
      </c>
      <c r="B5233" s="72" t="str">
        <f>VLOOKUP(A5233,'Componentes APUs'!$A$1:$D$14,2,0)</f>
        <v>Bota de seguridad dielectrica</v>
      </c>
      <c r="C5233" s="73"/>
      <c r="D5233" s="70" t="str">
        <f>VLOOKUP(A5233,'Componentes APUs'!$A$1:$D$14,3,0)</f>
        <v>Par</v>
      </c>
      <c r="E5233" s="50">
        <f>SUM(C5212:C5217)</f>
        <v>3.5</v>
      </c>
      <c r="F5233" s="51">
        <f>VLOOKUP(A5233,'Componentes APUs'!$A$1:$D$14,4,0)</f>
        <v>7500</v>
      </c>
      <c r="G5233" s="51">
        <f>ROUNDUP(F5233*(E5233/21)/E5201,0)</f>
        <v>36</v>
      </c>
    </row>
    <row r="5234" spans="1:7" x14ac:dyDescent="0.25">
      <c r="A5234" s="50" t="s">
        <v>76</v>
      </c>
      <c r="B5234" s="72" t="str">
        <f>VLOOKUP(A5234,'Componentes APUs'!$A$1:$D$14,2,0)</f>
        <v>Casco dielectrico Tipo 1 Clase E con barbuquejo</v>
      </c>
      <c r="C5234" s="73"/>
      <c r="D5234" s="50" t="str">
        <f>VLOOKUP(A5234,'Componentes APUs'!$A$1:$D$14,3,0)</f>
        <v>U</v>
      </c>
      <c r="E5234" s="50">
        <f>C5212+C5213+C5215+C5216+C5217+IF(A5214&lt;&gt;"MO-3",C5214,0)</f>
        <v>3.5</v>
      </c>
      <c r="F5234" s="51">
        <f>VLOOKUP(A5234,'Componentes APUs'!$A$1:$D$14,4,0)</f>
        <v>10101.010101010101</v>
      </c>
      <c r="G5234" s="51">
        <f>ROUNDUP(F5234*(E5234/21)/E5201,0)</f>
        <v>49</v>
      </c>
    </row>
    <row r="5235" spans="1:7" x14ac:dyDescent="0.25">
      <c r="A5235" s="69" t="s">
        <v>77</v>
      </c>
      <c r="B5235" s="72" t="str">
        <f>VLOOKUP(A5235,'Componentes APUs'!$A$1:$D$14,2,0)</f>
        <v>Correa plastica y antiflama</v>
      </c>
      <c r="C5235" s="73"/>
      <c r="D5235" s="50" t="str">
        <f>VLOOKUP(A5235,'Componentes APUs'!$A$1:$D$14,3,0)</f>
        <v>U</v>
      </c>
      <c r="E5235" s="50">
        <f>SUM(C5212:C5217)</f>
        <v>3.5</v>
      </c>
      <c r="F5235" s="51">
        <f>VLOOKUP(A5235,'Componentes APUs'!$A$1:$D$14,4,0)</f>
        <v>3787.878787878788</v>
      </c>
      <c r="G5235" s="51">
        <f>ROUNDUP(F5235*(E5235/21)/E5201,0)</f>
        <v>19</v>
      </c>
    </row>
    <row r="5236" spans="1:7" x14ac:dyDescent="0.25">
      <c r="A5236" s="50" t="s">
        <v>79</v>
      </c>
      <c r="B5236" s="72" t="str">
        <f>VLOOKUP(A5236,'Componentes APUs'!$A$1:$D$14,2,0)</f>
        <v>Gafas protectoras filtro UV</v>
      </c>
      <c r="C5236" s="73"/>
      <c r="D5236" s="50" t="str">
        <f>VLOOKUP(A5236,'Componentes APUs'!$A$1:$D$14,3,0)</f>
        <v>U</v>
      </c>
      <c r="E5236" s="50">
        <f>SUM(C5212:C5217)</f>
        <v>3.5</v>
      </c>
      <c r="F5236" s="51">
        <f>VLOOKUP(A5236,'Componentes APUs'!$A$1:$D$14,4,0)</f>
        <v>2777.7777777777778</v>
      </c>
      <c r="G5236" s="51">
        <f>ROUNDUP(F5236*(E5236/21)/E5201,0)</f>
        <v>14</v>
      </c>
    </row>
    <row r="5237" spans="1:7" x14ac:dyDescent="0.25">
      <c r="A5237" s="69" t="s">
        <v>402</v>
      </c>
      <c r="B5237" s="72" t="str">
        <f>VLOOKUP(A5237,'Componentes APUs'!$A$1:$D$14,2,0)</f>
        <v>Bota de seguridad PVC dielectrica</v>
      </c>
      <c r="C5237" s="73"/>
      <c r="D5237" s="50" t="str">
        <f>VLOOKUP(A5237,'Componentes APUs'!$A$1:$D$14,3,0)</f>
        <v>Par</v>
      </c>
      <c r="E5237" s="50">
        <f>SUM(C5212:C5217)</f>
        <v>3.5</v>
      </c>
      <c r="F5237" s="51">
        <f>VLOOKUP(A5237,'Componentes APUs'!$A$1:$D$14,4,0)</f>
        <v>2916.6666666666665</v>
      </c>
      <c r="G5237" s="51">
        <f>ROUNDUP(F5237*(E5237/21)/E5201,0)</f>
        <v>14</v>
      </c>
    </row>
    <row r="5238" spans="1:7" x14ac:dyDescent="0.25">
      <c r="A5238" s="50" t="s">
        <v>403</v>
      </c>
      <c r="B5238" s="72" t="str">
        <f>VLOOKUP(A5238,'Componentes APUs'!$A$1:$D$14,2,0)</f>
        <v>Capuchon</v>
      </c>
      <c r="C5238" s="73"/>
      <c r="D5238" s="50" t="str">
        <f>VLOOKUP(A5238,'Componentes APUs'!$A$1:$D$14,3,0)</f>
        <v>U</v>
      </c>
      <c r="E5238" s="50">
        <f>SUM(C5212:C5217)</f>
        <v>3.5</v>
      </c>
      <c r="F5238" s="51">
        <f>VLOOKUP(A5238,'Componentes APUs'!$A$1:$D$14,4,0)</f>
        <v>2525.2525252525252</v>
      </c>
      <c r="G5238" s="51">
        <f>ROUNDUP(F5238*(E5238/21)/E5201,0)</f>
        <v>13</v>
      </c>
    </row>
    <row r="5239" spans="1:7" x14ac:dyDescent="0.25">
      <c r="A5239" s="69" t="s">
        <v>81</v>
      </c>
      <c r="B5239" s="72" t="str">
        <f>VLOOKUP(A5239,'Componentes APUs'!$A$1:$D$14,2,0)</f>
        <v>Guantes Protectores  - ingeniero reforzados</v>
      </c>
      <c r="C5239" s="73"/>
      <c r="D5239" s="50" t="str">
        <f>VLOOKUP(A5239,'Componentes APUs'!$A$1:$D$14,3,0)</f>
        <v>Par</v>
      </c>
      <c r="E5239" s="50">
        <f>C5214+C5215+C5217</f>
        <v>3</v>
      </c>
      <c r="F5239" s="51">
        <f>VLOOKUP(A5239,'Componentes APUs'!$A$1:$D$14,4,0)</f>
        <v>2525.2525252525252</v>
      </c>
      <c r="G5239" s="51">
        <f>ROUNDUP(F5239*(E5239/21)/E5201,0)</f>
        <v>11</v>
      </c>
    </row>
    <row r="5240" spans="1:7" x14ac:dyDescent="0.25">
      <c r="A5240" s="50" t="s">
        <v>83</v>
      </c>
      <c r="B5240" s="72" t="str">
        <f>VLOOKUP(A5240,'Componentes APUs'!$A$1:$D$14,2,0)</f>
        <v>Impermeable (pantalon camisa)</v>
      </c>
      <c r="C5240" s="73"/>
      <c r="D5240" s="50" t="str">
        <f>VLOOKUP(A5240,'Componentes APUs'!$A$1:$D$14,3,0)</f>
        <v>U</v>
      </c>
      <c r="E5240" s="50">
        <f>SUM(C5212:C5217)</f>
        <v>3.5</v>
      </c>
      <c r="F5240" s="51">
        <f>VLOOKUP(A5240,'Componentes APUs'!$A$1:$D$14,4,0)</f>
        <v>3750</v>
      </c>
      <c r="G5240" s="51">
        <f>ROUNDUP(F5240*(E5240/21)/E5201,0)</f>
        <v>18</v>
      </c>
    </row>
    <row r="5241" spans="1:7" x14ac:dyDescent="0.25">
      <c r="A5241" s="69" t="s">
        <v>85</v>
      </c>
      <c r="B5241" s="72" t="str">
        <f>VLOOKUP(A5241,'Componentes APUs'!$A$1:$D$14,2,0)</f>
        <v>Jean Dielectrico</v>
      </c>
      <c r="C5241" s="73"/>
      <c r="D5241" s="50" t="str">
        <f>VLOOKUP(A5241,'Componentes APUs'!$A$1:$D$14,3,0)</f>
        <v>U</v>
      </c>
      <c r="E5241" s="50">
        <f>SUM(C5212:C5217)</f>
        <v>3.5</v>
      </c>
      <c r="F5241" s="51">
        <f>VLOOKUP(A5241,'Componentes APUs'!$A$1:$D$14,4,0)</f>
        <v>7575.757575757576</v>
      </c>
      <c r="G5241" s="51">
        <f>ROUNDUP(F5241*(E5241/21)/E5201,0)</f>
        <v>37</v>
      </c>
    </row>
    <row r="5242" spans="1:7" x14ac:dyDescent="0.25">
      <c r="A5242" s="50" t="s">
        <v>87</v>
      </c>
      <c r="B5242" s="72" t="str">
        <f>VLOOKUP(A5242,'Componentes APUs'!$A$1:$D$14,2,0)</f>
        <v>Casco dielectrico Tipo 2 Clase E con barboquejo</v>
      </c>
      <c r="C5242" s="73"/>
      <c r="D5242" s="50" t="str">
        <f>VLOOKUP(A5242,'Componentes APUs'!$A$1:$D$14,3,0)</f>
        <v>U</v>
      </c>
      <c r="E5242" s="53">
        <f>IF(A5214="MO-3",C5214,0)</f>
        <v>0</v>
      </c>
      <c r="F5242" s="51">
        <f>VLOOKUP(A5242,'Componentes APUs'!$A$1:$D$14,4,0)</f>
        <v>7500</v>
      </c>
      <c r="G5242" s="51">
        <f>ROUNDUP(F5242*(E5242/21)/E5201,0)</f>
        <v>0</v>
      </c>
    </row>
    <row r="5243" spans="1:7" x14ac:dyDescent="0.25">
      <c r="A5243" s="69" t="s">
        <v>89</v>
      </c>
      <c r="B5243" s="72" t="str">
        <f>VLOOKUP(A5243,'Componentes APUs'!$A$1:$D$14,2,0)</f>
        <v>Kit de rescate para trabajo en alturas</v>
      </c>
      <c r="C5243" s="73"/>
      <c r="D5243" s="50" t="str">
        <f>VLOOKUP(A5243,'Componentes APUs'!$A$1:$D$14,3,0)</f>
        <v>U</v>
      </c>
      <c r="E5243" s="50">
        <f>IF(AND(A5214="MO-3",C5214=2),1,0)</f>
        <v>0</v>
      </c>
      <c r="F5243" s="51">
        <f>VLOOKUP(A5243,'Componentes APUs'!$A$1:$D$14,4,0)</f>
        <v>37500</v>
      </c>
      <c r="G5243" s="51">
        <f>ROUNDUP(F5243*(E5243/21)/E5201,0)</f>
        <v>0</v>
      </c>
    </row>
    <row r="5244" spans="1:7" x14ac:dyDescent="0.25">
      <c r="A5244" s="50" t="s">
        <v>91</v>
      </c>
      <c r="B5244" s="72" t="str">
        <f>VLOOKUP(A5244,'Componentes APUs'!$A$1:$D$14,2,0)</f>
        <v>Equipo completo para trabajo en alturas con pretales (Arnes dielectrico, 1 mosqueton de seguridad, tie off dielectrico, eslinga de posicionamiento, juego de pretales)</v>
      </c>
      <c r="C5244" s="73"/>
      <c r="D5244" s="50" t="str">
        <f>VLOOKUP(A5244,'Componentes APUs'!$A$1:$D$14,3,0)</f>
        <v>U</v>
      </c>
      <c r="E5244" s="50">
        <f>IF(A5214="MO-3",C5214,0)</f>
        <v>0</v>
      </c>
      <c r="F5244" s="51">
        <f>VLOOKUP(A5244,'Componentes APUs'!$A$1:$D$14,4,0)</f>
        <v>26041.666666666668</v>
      </c>
      <c r="G5244" s="51">
        <f>ROUNDUP(F5244*(E5244/21)/E5201,0)</f>
        <v>0</v>
      </c>
    </row>
    <row r="5245" spans="1:7" x14ac:dyDescent="0.25">
      <c r="A5245" s="219" t="s">
        <v>95</v>
      </c>
      <c r="B5245" s="219"/>
      <c r="C5245" s="219"/>
      <c r="D5245" s="219"/>
      <c r="E5245" s="219"/>
      <c r="F5245" s="219"/>
      <c r="G5245" s="52">
        <f>SUM(G5232:G5244)</f>
        <v>252</v>
      </c>
    </row>
    <row r="5246" spans="1:7" x14ac:dyDescent="0.25">
      <c r="A5246" s="56"/>
      <c r="B5246" s="57"/>
      <c r="C5246" s="57"/>
      <c r="D5246" s="57"/>
      <c r="E5246" s="57"/>
      <c r="F5246" s="57"/>
      <c r="G5246" s="58"/>
    </row>
    <row r="5247" spans="1:7" x14ac:dyDescent="0.25">
      <c r="A5247" s="219" t="s">
        <v>96</v>
      </c>
      <c r="B5247" s="219"/>
      <c r="C5247" s="219"/>
      <c r="D5247" s="219"/>
      <c r="E5247" s="219"/>
      <c r="F5247" s="219"/>
      <c r="G5247" s="219"/>
    </row>
    <row r="5248" spans="1:7" x14ac:dyDescent="0.25">
      <c r="A5248" s="49" t="s">
        <v>35</v>
      </c>
      <c r="B5248" s="225" t="s">
        <v>36</v>
      </c>
      <c r="C5248" s="225"/>
      <c r="D5248" s="49" t="s">
        <v>37</v>
      </c>
      <c r="E5248" s="49" t="s">
        <v>38</v>
      </c>
      <c r="F5248" s="49" t="s">
        <v>39</v>
      </c>
      <c r="G5248" s="49" t="s">
        <v>40</v>
      </c>
    </row>
    <row r="5249" spans="1:7" x14ac:dyDescent="0.25">
      <c r="A5249" s="69" t="s">
        <v>97</v>
      </c>
      <c r="B5249" s="72" t="str">
        <f>VLOOKUP(A5249,'Componentes APUs'!$N$1:$Q$30,2,0)</f>
        <v>Camioneta</v>
      </c>
      <c r="C5249" s="73"/>
      <c r="D5249" s="70" t="str">
        <f>VLOOKUP(A5249,'Componentes APUs'!$N$1:$Q$30,3,0)</f>
        <v>U</v>
      </c>
      <c r="E5249" s="50">
        <v>0.5</v>
      </c>
      <c r="F5249" s="51">
        <f>VLOOKUP(A5249,'Componentes APUs'!$N$1:$Q$30,4,0)</f>
        <v>5500000</v>
      </c>
      <c r="G5249" s="51">
        <f>IFERROR(ROUNDUP(F5249*(E5249/21)/E5201,0),"-")</f>
        <v>3742</v>
      </c>
    </row>
    <row r="5250" spans="1:7" x14ac:dyDescent="0.25">
      <c r="A5250" s="50" t="s">
        <v>1473</v>
      </c>
      <c r="B5250" s="72" t="str">
        <f>VLOOKUP(A5250,'Componentes APUs'!$N$1:$Q$30,2,0)</f>
        <v>Concretera</v>
      </c>
      <c r="C5250" s="73"/>
      <c r="D5250" s="70" t="str">
        <f>VLOOKUP(A5250,'Componentes APUs'!$N$1:$Q$30,3,0)</f>
        <v>U</v>
      </c>
      <c r="E5250" s="50">
        <v>1</v>
      </c>
      <c r="F5250" s="51">
        <f>VLOOKUP(A5250,'Componentes APUs'!$N$1:$Q$30,4,0)</f>
        <v>550704</v>
      </c>
      <c r="G5250" s="51">
        <f>IFERROR(ROUNDUP(F5250*(E5250/21)/E5201,0),"-")</f>
        <v>750</v>
      </c>
    </row>
    <row r="5251" spans="1:7" x14ac:dyDescent="0.25">
      <c r="A5251" s="69" t="s">
        <v>1379</v>
      </c>
      <c r="B5251" s="72" t="str">
        <f>VLOOKUP(A5251,'Componentes APUs'!$N$1:$Q$30,2,0)</f>
        <v>Dumper de descarga Frontal 2T</v>
      </c>
      <c r="C5251" s="73"/>
      <c r="D5251" s="70" t="str">
        <f>VLOOKUP(A5251,'Componentes APUs'!$N$1:$Q$30,3,0)</f>
        <v>U</v>
      </c>
      <c r="E5251" s="50">
        <v>0</v>
      </c>
      <c r="F5251" s="51">
        <f>VLOOKUP(A5251,'Componentes APUs'!$N$1:$Q$30,4,0)</f>
        <v>4438716.24</v>
      </c>
      <c r="G5251" s="51">
        <f>IFERROR(ROUNDUP(F5251*(E5251/21)/E5201,0),"-")</f>
        <v>0</v>
      </c>
    </row>
    <row r="5252" spans="1:7" x14ac:dyDescent="0.25">
      <c r="A5252" s="50" t="s">
        <v>323</v>
      </c>
      <c r="B5252" s="72" t="str">
        <f>VLOOKUP(A5252,'Componentes APUs'!$N$1:$Q$30,2,0)</f>
        <v>Volqueta</v>
      </c>
      <c r="C5252" s="73"/>
      <c r="D5252" s="70" t="str">
        <f>VLOOKUP(A5252,'Componentes APUs'!$N$1:$Q$30,3,0)</f>
        <v>U</v>
      </c>
      <c r="E5252" s="50">
        <v>0</v>
      </c>
      <c r="F5252" s="51">
        <f>VLOOKUP(A5252,'Componentes APUs'!$N$1:$Q$30,4,0)</f>
        <v>14828184</v>
      </c>
      <c r="G5252" s="51">
        <f>IFERROR(ROUNDUP(F5252*(E5252/21)/E5201,0),"-")</f>
        <v>0</v>
      </c>
    </row>
    <row r="5253" spans="1:7" x14ac:dyDescent="0.25">
      <c r="A5253" s="69" t="s">
        <v>324</v>
      </c>
      <c r="B5253" s="72" t="str">
        <f>VLOOKUP(A5253,'Componentes APUs'!$N$1:$Q$30,2,0)</f>
        <v>Retroexcavadora</v>
      </c>
      <c r="C5253" s="73"/>
      <c r="D5253" s="70" t="str">
        <f>VLOOKUP(A5253,'Componentes APUs'!$N$1:$Q$30,3,0)</f>
        <v>U</v>
      </c>
      <c r="E5253" s="50">
        <v>0</v>
      </c>
      <c r="F5253" s="51">
        <f>VLOOKUP(A5253,'Componentes APUs'!$N$1:$Q$30,4,0)</f>
        <v>46030656</v>
      </c>
      <c r="G5253" s="51">
        <f>IFERROR(ROUNDUP(F5253*(E5253/21)/E5201,0),"-")</f>
        <v>0</v>
      </c>
    </row>
    <row r="5254" spans="1:7" x14ac:dyDescent="0.25">
      <c r="A5254" s="219" t="s">
        <v>99</v>
      </c>
      <c r="B5254" s="219"/>
      <c r="C5254" s="219"/>
      <c r="D5254" s="219"/>
      <c r="E5254" s="219"/>
      <c r="F5254" s="219"/>
      <c r="G5254" s="52">
        <f>SUM(G5249:G5253)</f>
        <v>4492</v>
      </c>
    </row>
    <row r="5255" spans="1:7" x14ac:dyDescent="0.25">
      <c r="A5255" s="56"/>
      <c r="B5255" s="57"/>
      <c r="C5255" s="57"/>
      <c r="D5255" s="57"/>
      <c r="E5255" s="57"/>
      <c r="F5255" s="57"/>
      <c r="G5255" s="58"/>
    </row>
    <row r="5256" spans="1:7" x14ac:dyDescent="0.25">
      <c r="A5256" s="219" t="s">
        <v>100</v>
      </c>
      <c r="B5256" s="219"/>
      <c r="C5256" s="219"/>
      <c r="D5256" s="219"/>
      <c r="E5256" s="219"/>
      <c r="F5256" s="219"/>
      <c r="G5256" s="52">
        <f>G5254+G5245+G5228+G5218+G5208</f>
        <v>195957</v>
      </c>
    </row>
    <row r="5257" spans="1:7" x14ac:dyDescent="0.25">
      <c r="A5257" s="59"/>
      <c r="B5257" s="60"/>
      <c r="C5257" s="60"/>
      <c r="D5257" s="60"/>
      <c r="E5257" s="57"/>
      <c r="F5257" s="57"/>
      <c r="G5257" s="58"/>
    </row>
    <row r="5258" spans="1:7" x14ac:dyDescent="0.25">
      <c r="A5258" s="64"/>
      <c r="D5258" s="55"/>
      <c r="E5258" s="49" t="s">
        <v>25</v>
      </c>
      <c r="F5258" s="54">
        <v>0.15</v>
      </c>
      <c r="G5258" s="51">
        <f>G5256*F5258</f>
        <v>29393.55</v>
      </c>
    </row>
    <row r="5259" spans="1:7" x14ac:dyDescent="0.25">
      <c r="A5259" s="64"/>
      <c r="D5259" s="55"/>
      <c r="E5259" s="49" t="s">
        <v>26</v>
      </c>
      <c r="F5259" s="54">
        <v>0.05</v>
      </c>
      <c r="G5259" s="51">
        <f>G5256*F5259</f>
        <v>9797.85</v>
      </c>
    </row>
    <row r="5260" spans="1:7" x14ac:dyDescent="0.25">
      <c r="A5260" s="61"/>
      <c r="B5260" s="65"/>
      <c r="C5260" s="65"/>
      <c r="D5260" s="62"/>
      <c r="E5260" s="49" t="s">
        <v>27</v>
      </c>
      <c r="F5260" s="54">
        <v>0.05</v>
      </c>
      <c r="G5260" s="51">
        <f>G5256*F5260</f>
        <v>9797.85</v>
      </c>
    </row>
    <row r="5261" spans="1:7" x14ac:dyDescent="0.25">
      <c r="A5261" s="61"/>
      <c r="B5261" s="62"/>
      <c r="C5261" s="62"/>
      <c r="D5261" s="62"/>
      <c r="E5261" s="62"/>
      <c r="F5261" s="62"/>
      <c r="G5261" s="63"/>
    </row>
    <row r="5262" spans="1:7" x14ac:dyDescent="0.25">
      <c r="A5262" s="219" t="s">
        <v>101</v>
      </c>
      <c r="B5262" s="219"/>
      <c r="C5262" s="219"/>
      <c r="D5262" s="219"/>
      <c r="E5262" s="219"/>
      <c r="F5262" s="219"/>
      <c r="G5262" s="52">
        <f>G5256+G5258+G5259+G5260</f>
        <v>244946.25</v>
      </c>
    </row>
    <row r="5263" spans="1:7" x14ac:dyDescent="0.25">
      <c r="A5263" s="59"/>
      <c r="B5263" s="60"/>
      <c r="C5263" s="60"/>
      <c r="D5263" s="60"/>
      <c r="E5263" s="57"/>
      <c r="F5263" s="57"/>
      <c r="G5263" s="58"/>
    </row>
    <row r="5264" spans="1:7" x14ac:dyDescent="0.25">
      <c r="A5264" s="64"/>
      <c r="D5264" s="55"/>
      <c r="E5264" s="49" t="s">
        <v>102</v>
      </c>
      <c r="F5264" s="49" t="s">
        <v>103</v>
      </c>
      <c r="G5264" s="51">
        <f>G5260*19%</f>
        <v>1861.5915</v>
      </c>
    </row>
    <row r="5265" spans="1:13" x14ac:dyDescent="0.25">
      <c r="A5265" s="61"/>
      <c r="B5265" s="62"/>
      <c r="C5265" s="62"/>
      <c r="D5265" s="62"/>
      <c r="E5265" s="57"/>
      <c r="F5265" s="57"/>
      <c r="G5265" s="58"/>
    </row>
    <row r="5266" spans="1:13" x14ac:dyDescent="0.25">
      <c r="A5266" s="219" t="s">
        <v>104</v>
      </c>
      <c r="B5266" s="219"/>
      <c r="C5266" s="219"/>
      <c r="D5266" s="219"/>
      <c r="E5266" s="219"/>
      <c r="F5266" s="219"/>
      <c r="G5266" s="52">
        <f>G5264+G5262</f>
        <v>246807.84150000001</v>
      </c>
    </row>
    <row r="5268" spans="1:13" x14ac:dyDescent="0.25">
      <c r="A5268" s="74" t="s">
        <v>29</v>
      </c>
      <c r="B5268" s="226" t="s">
        <v>30</v>
      </c>
      <c r="C5268" s="226"/>
      <c r="D5268" s="74" t="s">
        <v>31</v>
      </c>
      <c r="E5268" s="74" t="s">
        <v>32</v>
      </c>
      <c r="F5268" s="74" t="s">
        <v>189</v>
      </c>
      <c r="G5268" s="74" t="s">
        <v>33</v>
      </c>
      <c r="H5268" s="105"/>
    </row>
    <row r="5269" spans="1:13" x14ac:dyDescent="0.25">
      <c r="A5269" s="50" t="str">
        <f>Presupuesto!B105</f>
        <v>086_OC</v>
      </c>
      <c r="B5269" s="229" t="str">
        <f>Presupuesto!C105</f>
        <v>VIGA DE AÉREA 30X40 CM</v>
      </c>
      <c r="C5269" s="230"/>
      <c r="D5269" s="50" t="s">
        <v>108</v>
      </c>
      <c r="E5269" s="107">
        <v>20</v>
      </c>
      <c r="F5269" s="50"/>
      <c r="G5269" s="51">
        <f>G5334</f>
        <v>446674.11800000002</v>
      </c>
      <c r="H5269" s="111"/>
    </row>
    <row r="5270" spans="1:13" x14ac:dyDescent="0.25">
      <c r="A5270" s="219" t="s">
        <v>34</v>
      </c>
      <c r="B5270" s="219"/>
      <c r="C5270" s="219"/>
      <c r="D5270" s="219"/>
      <c r="E5270" s="219"/>
      <c r="F5270" s="219"/>
      <c r="G5270" s="219"/>
    </row>
    <row r="5271" spans="1:13" ht="30.75" customHeight="1" x14ac:dyDescent="0.25">
      <c r="A5271" s="49" t="s">
        <v>35</v>
      </c>
      <c r="B5271" s="219" t="s">
        <v>36</v>
      </c>
      <c r="C5271" s="219"/>
      <c r="D5271" s="49" t="s">
        <v>37</v>
      </c>
      <c r="E5271" s="49" t="s">
        <v>38</v>
      </c>
      <c r="F5271" s="49" t="s">
        <v>39</v>
      </c>
      <c r="G5271" s="49" t="s">
        <v>40</v>
      </c>
      <c r="K5271" s="23"/>
      <c r="L5271" s="23"/>
    </row>
    <row r="5272" spans="1:13" x14ac:dyDescent="0.25">
      <c r="A5272" s="50" t="str">
        <f>Material!A218</f>
        <v>MA-217</v>
      </c>
      <c r="B5272" s="72" t="str">
        <f>IFERROR(VLOOKUP(A5272,Material!$A:$H,2,0),"-")</f>
        <v>FORMALETA EN MADERA CON TABLA DE 1"</v>
      </c>
      <c r="C5272" s="76"/>
      <c r="D5272" s="50" t="str">
        <f>IFERROR(VLOOKUP(A5272,Material!$A:$H,4,0),"-")</f>
        <v>M2</v>
      </c>
      <c r="E5272" s="107">
        <f>0.3+0.4*2</f>
        <v>1.1000000000000001</v>
      </c>
      <c r="F5272" s="51">
        <f>IFERROR(VLOOKUP(A5272,Material!$A:$H,3,0),"-")</f>
        <v>24691.116165303549</v>
      </c>
      <c r="G5272" s="51">
        <f t="shared" ref="G5272:G5275" si="93">IFERROR(ROUNDUP(F5272*E5272,0),"-")</f>
        <v>27161</v>
      </c>
      <c r="H5272" s="112"/>
      <c r="I5272" s="110"/>
      <c r="J5272" s="113"/>
      <c r="K5272" s="114"/>
      <c r="L5272" s="115"/>
      <c r="M5272" s="115"/>
    </row>
    <row r="5273" spans="1:13" x14ac:dyDescent="0.25">
      <c r="A5273" s="50" t="str">
        <f>Material!A15</f>
        <v>MA-14</v>
      </c>
      <c r="B5273" s="72" t="str">
        <f>IFERROR(VLOOKUP(A5273,Material!$A:$H,2,0),"-")</f>
        <v>CONCRETO DE 3000 PSI</v>
      </c>
      <c r="C5273" s="76"/>
      <c r="D5273" s="50" t="str">
        <f>IFERROR(VLOOKUP(A5273,Material!$A:$H,4,0),"-")</f>
        <v>M3</v>
      </c>
      <c r="E5273" s="107">
        <f>0.3*0.4</f>
        <v>0.12</v>
      </c>
      <c r="F5273" s="51">
        <f>IFERROR(VLOOKUP(A5273,Material!$A:$H,3,0),"-")</f>
        <v>620227.23330691375</v>
      </c>
      <c r="G5273" s="51">
        <f t="shared" si="93"/>
        <v>74428</v>
      </c>
      <c r="H5273" s="112"/>
      <c r="I5273" s="110"/>
      <c r="J5273" s="113"/>
      <c r="K5273" s="114"/>
      <c r="L5273" s="115"/>
      <c r="M5273" s="115"/>
    </row>
    <row r="5274" spans="1:13" x14ac:dyDescent="0.25">
      <c r="A5274" s="50" t="str">
        <f>Material!A587</f>
        <v>MA-586</v>
      </c>
      <c r="B5274" s="72" t="str">
        <f>IFERROR(VLOOKUP(A5274,Material!$A:$H,2,0),"-")</f>
        <v>ACERO Fy= 420 MPa</v>
      </c>
      <c r="C5274" s="76"/>
      <c r="D5274" s="50" t="str">
        <f>IFERROR(VLOOKUP(A5274,Material!$A:$H,4,0),"-")</f>
        <v>KG</v>
      </c>
      <c r="E5274" s="107">
        <f>250*E5273</f>
        <v>30</v>
      </c>
      <c r="F5274" s="51">
        <f>IFERROR(VLOOKUP(A5274,Material!$A:$H,3,0),"-")</f>
        <v>6962.8</v>
      </c>
      <c r="G5274" s="51">
        <f t="shared" si="93"/>
        <v>208884</v>
      </c>
      <c r="H5274" s="112"/>
      <c r="I5274" s="110"/>
      <c r="J5274" s="113"/>
      <c r="K5274" s="114"/>
      <c r="L5274" s="115"/>
      <c r="M5274" s="115"/>
    </row>
    <row r="5275" spans="1:13" x14ac:dyDescent="0.25">
      <c r="A5275" s="50"/>
      <c r="B5275" s="72" t="str">
        <f>IFERROR(VLOOKUP(A5275,Material!$A:$H,2,0),"-")</f>
        <v>-</v>
      </c>
      <c r="C5275" s="76"/>
      <c r="D5275" s="50" t="str">
        <f>IFERROR(VLOOKUP(A5275,Material!$A:$H,4,0),"-")</f>
        <v>-</v>
      </c>
      <c r="E5275" s="107"/>
      <c r="F5275" s="51" t="str">
        <f>IFERROR(VLOOKUP(A5275,Material!$A:$H,3,0),"-")</f>
        <v>-</v>
      </c>
      <c r="G5275" s="51" t="str">
        <f t="shared" si="93"/>
        <v>-</v>
      </c>
      <c r="H5275" s="112"/>
      <c r="I5275" s="110"/>
      <c r="J5275" s="113"/>
      <c r="K5275" s="114"/>
      <c r="L5275" s="115"/>
      <c r="M5275" s="115"/>
    </row>
    <row r="5276" spans="1:13" x14ac:dyDescent="0.25">
      <c r="A5276" s="219" t="s">
        <v>41</v>
      </c>
      <c r="B5276" s="219"/>
      <c r="C5276" s="219"/>
      <c r="D5276" s="219"/>
      <c r="E5276" s="219"/>
      <c r="F5276" s="219"/>
      <c r="G5276" s="52">
        <f>SUM(G5272:G5275)</f>
        <v>310473</v>
      </c>
      <c r="I5276" s="104"/>
    </row>
    <row r="5277" spans="1:13" x14ac:dyDescent="0.25">
      <c r="A5277" s="56"/>
      <c r="B5277" s="57"/>
      <c r="C5277" s="57"/>
      <c r="D5277" s="57"/>
      <c r="E5277" s="57"/>
      <c r="F5277" s="57"/>
      <c r="G5277" s="58"/>
    </row>
    <row r="5278" spans="1:13" x14ac:dyDescent="0.25">
      <c r="A5278" s="219" t="s">
        <v>42</v>
      </c>
      <c r="B5278" s="219"/>
      <c r="C5278" s="219"/>
      <c r="D5278" s="219"/>
      <c r="E5278" s="219"/>
      <c r="F5278" s="219"/>
      <c r="G5278" s="219"/>
    </row>
    <row r="5279" spans="1:13" x14ac:dyDescent="0.25">
      <c r="A5279" s="49" t="s">
        <v>35</v>
      </c>
      <c r="B5279" s="49" t="s">
        <v>36</v>
      </c>
      <c r="C5279" s="49" t="s">
        <v>38</v>
      </c>
      <c r="D5279" s="49" t="s">
        <v>43</v>
      </c>
      <c r="E5279" s="49" t="s">
        <v>44</v>
      </c>
      <c r="F5279" s="49" t="s">
        <v>45</v>
      </c>
      <c r="G5279" s="49" t="s">
        <v>40</v>
      </c>
    </row>
    <row r="5280" spans="1:13" x14ac:dyDescent="0.25">
      <c r="A5280" s="50" t="s">
        <v>319</v>
      </c>
      <c r="B5280" s="68" t="str">
        <f>VLOOKUP(A5280,'Componentes APUs'!$H$1:$L$25,2,0)</f>
        <v>Ingeniero Residente de Obra</v>
      </c>
      <c r="C5280" s="93">
        <v>0.25</v>
      </c>
      <c r="D5280" s="50">
        <f>VLOOKUP(A5280,'Componentes APUs'!$H$1:$L$25,3,0)</f>
        <v>4</v>
      </c>
      <c r="E5280" s="51">
        <f>VLOOKUP(A5280,'Componentes APUs'!$H$1:$L$25,4,0)</f>
        <v>271142.85714285716</v>
      </c>
      <c r="F5280" s="51">
        <f>VLOOKUP(A5280,'Componentes APUs'!$H$1:$L$25,5,0)</f>
        <v>162685.71428571429</v>
      </c>
      <c r="G5280" s="51">
        <f>ROUNDUP((E5280+F5280)*C5280/E5269,0)</f>
        <v>5423</v>
      </c>
      <c r="H5280" s="66"/>
    </row>
    <row r="5281" spans="1:9" x14ac:dyDescent="0.25">
      <c r="A5281" s="50" t="s">
        <v>320</v>
      </c>
      <c r="B5281" s="68" t="str">
        <f>VLOOKUP(A5281,'Componentes APUs'!$H$1:$L$25,2,0)</f>
        <v>Tecnico Supervisor</v>
      </c>
      <c r="C5281" s="93">
        <v>0</v>
      </c>
      <c r="D5281" s="50">
        <f>VLOOKUP(A5281,'Componentes APUs'!$H$1:$L$25,3,0)</f>
        <v>2.2999999999999998</v>
      </c>
      <c r="E5281" s="51">
        <f>VLOOKUP(A5281,'Componentes APUs'!$H$1:$L$25,4,0)</f>
        <v>155907.14285714284</v>
      </c>
      <c r="F5281" s="51">
        <f>VLOOKUP(A5281,'Componentes APUs'!$H$1:$L$25,5,0)</f>
        <v>93544.285714285696</v>
      </c>
      <c r="G5281" s="51">
        <f>ROUNDUP((E5281+F5281)*C5281/E5269,0)</f>
        <v>0</v>
      </c>
    </row>
    <row r="5282" spans="1:9" x14ac:dyDescent="0.25">
      <c r="A5282" s="50" t="s">
        <v>54</v>
      </c>
      <c r="B5282" s="68" t="str">
        <f>VLOOKUP(A5282,'Componentes APUs'!$H$1:$L$25,2,0)</f>
        <v>Maestro de obra civil</v>
      </c>
      <c r="C5282" s="93">
        <v>0</v>
      </c>
      <c r="D5282" s="50">
        <f>VLOOKUP(A5282,'Componentes APUs'!$H$1:$L$25,3,0)</f>
        <v>2.5</v>
      </c>
      <c r="E5282" s="51">
        <f>VLOOKUP(A5282,'Componentes APUs'!$H$1:$L$25,4,0)</f>
        <v>169464.28571428571</v>
      </c>
      <c r="F5282" s="51">
        <f>VLOOKUP(A5282,'Componentes APUs'!$H$1:$L$25,5,0)</f>
        <v>101678.57142857142</v>
      </c>
      <c r="G5282" s="51">
        <f>ROUNDUP((E5282+F5282)*C5282/E5269,0)</f>
        <v>0</v>
      </c>
    </row>
    <row r="5283" spans="1:9" x14ac:dyDescent="0.25">
      <c r="A5283" s="50" t="s">
        <v>1110</v>
      </c>
      <c r="B5283" s="68" t="str">
        <f>VLOOKUP(A5283,'Componentes APUs'!$H$1:$L$25,2,0)</f>
        <v>Oficial de Obra Civil</v>
      </c>
      <c r="C5283" s="93">
        <v>1</v>
      </c>
      <c r="D5283" s="50">
        <f>VLOOKUP(A5283,'Componentes APUs'!$H$1:$L$25,3,0)</f>
        <v>1.5</v>
      </c>
      <c r="E5283" s="51">
        <f>VLOOKUP(A5283,'Componentes APUs'!$H$1:$L$25,4,0)</f>
        <v>115964.28571428571</v>
      </c>
      <c r="F5283" s="51">
        <f>VLOOKUP(A5283,'Componentes APUs'!$H$1:$L$25,5,0)</f>
        <v>69578.57142857142</v>
      </c>
      <c r="G5283" s="51">
        <f>ROUNDUP((E5283+F5283)*C5283/E5269,0)</f>
        <v>9278</v>
      </c>
    </row>
    <row r="5284" spans="1:9" x14ac:dyDescent="0.25">
      <c r="A5284" s="50" t="s">
        <v>50</v>
      </c>
      <c r="B5284" s="68" t="str">
        <f>VLOOKUP(A5284,'Componentes APUs'!$H$1:$L$25,2,0)</f>
        <v>Profesional en SST</v>
      </c>
      <c r="C5284" s="93">
        <v>0.25</v>
      </c>
      <c r="D5284" s="50">
        <f>VLOOKUP(A5284,'Componentes APUs'!$H$1:$L$25,3,0)</f>
        <v>2.5</v>
      </c>
      <c r="E5284" s="51">
        <f>VLOOKUP(A5284,'Componentes APUs'!$H$1:$L$25,4,0)</f>
        <v>169464.28571428571</v>
      </c>
      <c r="F5284" s="51">
        <f>VLOOKUP(A5284,'Componentes APUs'!$H$1:$L$25,5,0)</f>
        <v>101678.57142857142</v>
      </c>
      <c r="G5284" s="51">
        <f>ROUNDUP((E5284+F5284)*C5284/E5269,0)</f>
        <v>3390</v>
      </c>
    </row>
    <row r="5285" spans="1:9" x14ac:dyDescent="0.25">
      <c r="A5285" s="50" t="s">
        <v>1109</v>
      </c>
      <c r="B5285" s="68" t="str">
        <f>VLOOKUP(A5285,'Componentes APUs'!$H$1:$L$25,2,0)</f>
        <v>Ayudante de Obra Civil</v>
      </c>
      <c r="C5285" s="93">
        <v>2</v>
      </c>
      <c r="D5285" s="50">
        <f>VLOOKUP(A5285,'Componentes APUs'!$H$1:$L$25,3,0)</f>
        <v>1</v>
      </c>
      <c r="E5285" s="51">
        <f>VLOOKUP(A5285,'Componentes APUs'!$H$1:$L$25,4,0)</f>
        <v>77309.523809523816</v>
      </c>
      <c r="F5285" s="51">
        <f>VLOOKUP(A5285,'Componentes APUs'!$H$1:$L$25,5,0)</f>
        <v>46385.71428571429</v>
      </c>
      <c r="G5285" s="51">
        <f>ROUNDUP((E5285+F5285)*C5285/E5269,0)</f>
        <v>12370</v>
      </c>
    </row>
    <row r="5286" spans="1:9" x14ac:dyDescent="0.25">
      <c r="A5286" s="219" t="s">
        <v>56</v>
      </c>
      <c r="B5286" s="219"/>
      <c r="C5286" s="219"/>
      <c r="D5286" s="219"/>
      <c r="E5286" s="219"/>
      <c r="F5286" s="219"/>
      <c r="G5286" s="52">
        <f>SUM(G5280:G5285)</f>
        <v>30461</v>
      </c>
    </row>
    <row r="5287" spans="1:9" x14ac:dyDescent="0.25">
      <c r="A5287" s="56"/>
      <c r="B5287" s="57"/>
      <c r="C5287" s="57"/>
      <c r="D5287" s="57"/>
      <c r="E5287" s="57"/>
      <c r="F5287" s="57"/>
      <c r="G5287" s="58"/>
    </row>
    <row r="5288" spans="1:9" x14ac:dyDescent="0.25">
      <c r="A5288" s="219" t="s">
        <v>57</v>
      </c>
      <c r="B5288" s="219"/>
      <c r="C5288" s="219"/>
      <c r="D5288" s="219"/>
      <c r="E5288" s="219"/>
      <c r="F5288" s="219"/>
      <c r="G5288" s="219"/>
    </row>
    <row r="5289" spans="1:9" x14ac:dyDescent="0.25">
      <c r="A5289" s="49" t="s">
        <v>35</v>
      </c>
      <c r="B5289" s="219" t="s">
        <v>36</v>
      </c>
      <c r="C5289" s="219"/>
      <c r="D5289" s="49" t="s">
        <v>37</v>
      </c>
      <c r="E5289" s="49" t="s">
        <v>38</v>
      </c>
      <c r="F5289" s="49" t="s">
        <v>39</v>
      </c>
      <c r="G5289" s="49" t="s">
        <v>40</v>
      </c>
    </row>
    <row r="5290" spans="1:9" x14ac:dyDescent="0.25">
      <c r="A5290" s="50" t="s">
        <v>326</v>
      </c>
      <c r="B5290" s="220" t="str">
        <f>VLOOKUP(A5290,'Componentes APUs'!$S$1:$V$10,2,0)</f>
        <v>Juego Llaves</v>
      </c>
      <c r="C5290" s="220"/>
      <c r="D5290" s="50" t="s">
        <v>18</v>
      </c>
      <c r="E5290" s="50">
        <v>0</v>
      </c>
      <c r="F5290" s="51">
        <f>VLOOKUP(A5290,'Componentes APUs'!$S$1:$V$10,4,0)</f>
        <v>9167</v>
      </c>
      <c r="G5290" s="51">
        <f>ROUNDUP(F5290*((E5290/21)/E5269),0)</f>
        <v>0</v>
      </c>
      <c r="I5290" s="91"/>
    </row>
    <row r="5291" spans="1:9" x14ac:dyDescent="0.25">
      <c r="A5291" s="50" t="s">
        <v>58</v>
      </c>
      <c r="B5291" s="220" t="str">
        <f>VLOOKUP(A5291,'Componentes APUs'!$S$1:$V$10,2,0)</f>
        <v>Manila de servicio</v>
      </c>
      <c r="C5291" s="220"/>
      <c r="D5291" s="50" t="s">
        <v>18</v>
      </c>
      <c r="E5291" s="50">
        <v>0</v>
      </c>
      <c r="F5291" s="51">
        <f>VLOOKUP(A5291,'Componentes APUs'!$S$1:$V$10,4,0)</f>
        <v>2333</v>
      </c>
      <c r="G5291" s="51">
        <f>ROUNDUP(F5291*((E5291/21)/E5269),0)</f>
        <v>0</v>
      </c>
    </row>
    <row r="5292" spans="1:9" x14ac:dyDescent="0.25">
      <c r="A5292" s="50" t="s">
        <v>327</v>
      </c>
      <c r="B5292" s="220" t="str">
        <f>VLOOKUP(A5292,'Componentes APUs'!$S$1:$V$10,2,0)</f>
        <v>Tula portaherramientas</v>
      </c>
      <c r="C5292" s="220"/>
      <c r="D5292" s="50" t="s">
        <v>18</v>
      </c>
      <c r="E5292" s="50">
        <v>0</v>
      </c>
      <c r="F5292" s="51">
        <f>VLOOKUP(A5292,'Componentes APUs'!$S$1:$V$10,4,0)</f>
        <v>1250</v>
      </c>
      <c r="G5292" s="51">
        <f>ROUNDUP(F5292*((E5292/21)/E5269),0)</f>
        <v>0</v>
      </c>
    </row>
    <row r="5293" spans="1:9" x14ac:dyDescent="0.25">
      <c r="A5293" s="50" t="s">
        <v>60</v>
      </c>
      <c r="B5293" s="220" t="str">
        <f>VLOOKUP(A5293,'Componentes APUs'!$S$1:$V$10,2,0)</f>
        <v>Agarradoras</v>
      </c>
      <c r="C5293" s="220"/>
      <c r="D5293" s="50" t="s">
        <v>18</v>
      </c>
      <c r="E5293" s="50">
        <v>0</v>
      </c>
      <c r="F5293" s="51">
        <f>VLOOKUP(A5293,'Componentes APUs'!$S$1:$V$10,4,0)</f>
        <v>125000</v>
      </c>
      <c r="G5293" s="51">
        <f>ROUNDUP(F5293*((E5293/21)/E5269),0)</f>
        <v>0</v>
      </c>
    </row>
    <row r="5294" spans="1:9" x14ac:dyDescent="0.25">
      <c r="A5294" s="50" t="s">
        <v>62</v>
      </c>
      <c r="B5294" s="220" t="str">
        <f>VLOOKUP(A5294,'Componentes APUs'!$S$1:$V$10,2,0)</f>
        <v>Templadoras</v>
      </c>
      <c r="C5294" s="220"/>
      <c r="D5294" s="50" t="s">
        <v>18</v>
      </c>
      <c r="E5294" s="50">
        <v>0</v>
      </c>
      <c r="F5294" s="51">
        <f>VLOOKUP(A5294,'Componentes APUs'!$S$1:$V$10,4,0)</f>
        <v>250000</v>
      </c>
      <c r="G5294" s="51">
        <f>ROUNDUP(F5294*((E5294/21)/E5269),0)</f>
        <v>0</v>
      </c>
    </row>
    <row r="5295" spans="1:9" x14ac:dyDescent="0.25">
      <c r="A5295" s="50" t="s">
        <v>328</v>
      </c>
      <c r="B5295" s="220" t="str">
        <f>VLOOKUP(A5295,'Componentes APUs'!$S$1:$V$10,2,0)</f>
        <v>Herramienta Menor</v>
      </c>
      <c r="C5295" s="220"/>
      <c r="D5295" s="50" t="s">
        <v>18</v>
      </c>
      <c r="E5295" s="50">
        <v>30</v>
      </c>
      <c r="F5295" s="51">
        <f>VLOOKUP(A5295,'Componentes APUs'!$S$1:$V$10,4,0)</f>
        <v>75758</v>
      </c>
      <c r="G5295" s="51">
        <f>ROUNDUP(F5295*((E5295/21)/E5269),0)</f>
        <v>5412</v>
      </c>
    </row>
    <row r="5296" spans="1:9" x14ac:dyDescent="0.25">
      <c r="A5296" s="219" t="s">
        <v>69</v>
      </c>
      <c r="B5296" s="219"/>
      <c r="C5296" s="219"/>
      <c r="D5296" s="219"/>
      <c r="E5296" s="219"/>
      <c r="F5296" s="219"/>
      <c r="G5296" s="52">
        <f>SUM(G5290:G5295)</f>
        <v>5412</v>
      </c>
    </row>
    <row r="5297" spans="1:9" x14ac:dyDescent="0.25">
      <c r="A5297" s="56"/>
      <c r="B5297" s="57"/>
      <c r="C5297" s="57"/>
      <c r="D5297" s="57"/>
      <c r="E5297" s="57"/>
      <c r="F5297" s="57"/>
      <c r="G5297" s="58"/>
    </row>
    <row r="5298" spans="1:9" x14ac:dyDescent="0.25">
      <c r="A5298" s="219" t="s">
        <v>70</v>
      </c>
      <c r="B5298" s="219"/>
      <c r="C5298" s="219"/>
      <c r="D5298" s="219"/>
      <c r="E5298" s="219"/>
      <c r="F5298" s="219"/>
      <c r="G5298" s="219"/>
    </row>
    <row r="5299" spans="1:9" x14ac:dyDescent="0.25">
      <c r="A5299" s="49" t="s">
        <v>35</v>
      </c>
      <c r="B5299" s="219" t="s">
        <v>36</v>
      </c>
      <c r="C5299" s="219"/>
      <c r="D5299" s="49" t="s">
        <v>37</v>
      </c>
      <c r="E5299" s="49" t="s">
        <v>38</v>
      </c>
      <c r="F5299" s="49" t="s">
        <v>39</v>
      </c>
      <c r="G5299" s="49" t="s">
        <v>40</v>
      </c>
    </row>
    <row r="5300" spans="1:9" x14ac:dyDescent="0.25">
      <c r="A5300" s="50" t="s">
        <v>71</v>
      </c>
      <c r="B5300" s="71" t="str">
        <f>VLOOKUP(A5300,'Componentes APUs'!$A$1:$D$14,2,0)</f>
        <v>Camisa indigo sin partes metalicas</v>
      </c>
      <c r="C5300" s="71"/>
      <c r="D5300" s="50" t="str">
        <f>VLOOKUP(A5300,'Componentes APUs'!$A$1:$D$14,3,0)</f>
        <v>U</v>
      </c>
      <c r="E5300" s="50">
        <f>SUM(C5280:C5285)</f>
        <v>3.5</v>
      </c>
      <c r="F5300" s="51">
        <f>VLOOKUP(A5300,'Componentes APUs'!$A$1:$D$14,4,0)</f>
        <v>8585.8585858585866</v>
      </c>
      <c r="G5300" s="51">
        <f>ROUNDUP(F5300*(E5300/21)/E5269,0)</f>
        <v>72</v>
      </c>
      <c r="I5300" s="91"/>
    </row>
    <row r="5301" spans="1:9" x14ac:dyDescent="0.25">
      <c r="A5301" s="69" t="s">
        <v>73</v>
      </c>
      <c r="B5301" s="72" t="str">
        <f>VLOOKUP(A5301,'Componentes APUs'!$A$1:$D$14,2,0)</f>
        <v>Bota de seguridad dielectrica</v>
      </c>
      <c r="C5301" s="73"/>
      <c r="D5301" s="70" t="str">
        <f>VLOOKUP(A5301,'Componentes APUs'!$A$1:$D$14,3,0)</f>
        <v>Par</v>
      </c>
      <c r="E5301" s="50">
        <f>SUM(C5280:C5285)</f>
        <v>3.5</v>
      </c>
      <c r="F5301" s="51">
        <f>VLOOKUP(A5301,'Componentes APUs'!$A$1:$D$14,4,0)</f>
        <v>7500</v>
      </c>
      <c r="G5301" s="51">
        <f>ROUNDUP(F5301*(E5301/21)/E5269,0)</f>
        <v>63</v>
      </c>
    </row>
    <row r="5302" spans="1:9" x14ac:dyDescent="0.25">
      <c r="A5302" s="50" t="s">
        <v>76</v>
      </c>
      <c r="B5302" s="72" t="str">
        <f>VLOOKUP(A5302,'Componentes APUs'!$A$1:$D$14,2,0)</f>
        <v>Casco dielectrico Tipo 1 Clase E con barbuquejo</v>
      </c>
      <c r="C5302" s="73"/>
      <c r="D5302" s="50" t="str">
        <f>VLOOKUP(A5302,'Componentes APUs'!$A$1:$D$14,3,0)</f>
        <v>U</v>
      </c>
      <c r="E5302" s="50">
        <f>C5280+C5281+C5283+C5284+C5285+IF(A5282&lt;&gt;"MO-3",C5282,0)</f>
        <v>3.5</v>
      </c>
      <c r="F5302" s="51">
        <f>VLOOKUP(A5302,'Componentes APUs'!$A$1:$D$14,4,0)</f>
        <v>10101.010101010101</v>
      </c>
      <c r="G5302" s="51">
        <f>ROUNDUP(F5302*(E5302/21)/E5269,0)</f>
        <v>85</v>
      </c>
    </row>
    <row r="5303" spans="1:9" x14ac:dyDescent="0.25">
      <c r="A5303" s="69" t="s">
        <v>77</v>
      </c>
      <c r="B5303" s="72" t="str">
        <f>VLOOKUP(A5303,'Componentes APUs'!$A$1:$D$14,2,0)</f>
        <v>Correa plastica y antiflama</v>
      </c>
      <c r="C5303" s="73"/>
      <c r="D5303" s="50" t="str">
        <f>VLOOKUP(A5303,'Componentes APUs'!$A$1:$D$14,3,0)</f>
        <v>U</v>
      </c>
      <c r="E5303" s="50">
        <f>SUM(C5280:C5285)</f>
        <v>3.5</v>
      </c>
      <c r="F5303" s="51">
        <f>VLOOKUP(A5303,'Componentes APUs'!$A$1:$D$14,4,0)</f>
        <v>3787.878787878788</v>
      </c>
      <c r="G5303" s="51">
        <f>ROUNDUP(F5303*(E5303/21)/E5269,0)</f>
        <v>32</v>
      </c>
    </row>
    <row r="5304" spans="1:9" x14ac:dyDescent="0.25">
      <c r="A5304" s="50" t="s">
        <v>79</v>
      </c>
      <c r="B5304" s="72" t="str">
        <f>VLOOKUP(A5304,'Componentes APUs'!$A$1:$D$14,2,0)</f>
        <v>Gafas protectoras filtro UV</v>
      </c>
      <c r="C5304" s="73"/>
      <c r="D5304" s="50" t="str">
        <f>VLOOKUP(A5304,'Componentes APUs'!$A$1:$D$14,3,0)</f>
        <v>U</v>
      </c>
      <c r="E5304" s="50">
        <f>SUM(C5280:C5285)</f>
        <v>3.5</v>
      </c>
      <c r="F5304" s="51">
        <f>VLOOKUP(A5304,'Componentes APUs'!$A$1:$D$14,4,0)</f>
        <v>2777.7777777777778</v>
      </c>
      <c r="G5304" s="51">
        <f>ROUNDUP(F5304*(E5304/21)/E5269,0)</f>
        <v>24</v>
      </c>
    </row>
    <row r="5305" spans="1:9" x14ac:dyDescent="0.25">
      <c r="A5305" s="69" t="s">
        <v>402</v>
      </c>
      <c r="B5305" s="72" t="str">
        <f>VLOOKUP(A5305,'Componentes APUs'!$A$1:$D$14,2,0)</f>
        <v>Bota de seguridad PVC dielectrica</v>
      </c>
      <c r="C5305" s="73"/>
      <c r="D5305" s="50" t="str">
        <f>VLOOKUP(A5305,'Componentes APUs'!$A$1:$D$14,3,0)</f>
        <v>Par</v>
      </c>
      <c r="E5305" s="50">
        <f>SUM(C5280:C5285)</f>
        <v>3.5</v>
      </c>
      <c r="F5305" s="51">
        <f>VLOOKUP(A5305,'Componentes APUs'!$A$1:$D$14,4,0)</f>
        <v>2916.6666666666665</v>
      </c>
      <c r="G5305" s="51">
        <f>ROUNDUP(F5305*(E5305/21)/E5269,0)</f>
        <v>25</v>
      </c>
    </row>
    <row r="5306" spans="1:9" x14ac:dyDescent="0.25">
      <c r="A5306" s="50" t="s">
        <v>403</v>
      </c>
      <c r="B5306" s="72" t="str">
        <f>VLOOKUP(A5306,'Componentes APUs'!$A$1:$D$14,2,0)</f>
        <v>Capuchon</v>
      </c>
      <c r="C5306" s="73"/>
      <c r="D5306" s="50" t="str">
        <f>VLOOKUP(A5306,'Componentes APUs'!$A$1:$D$14,3,0)</f>
        <v>U</v>
      </c>
      <c r="E5306" s="50">
        <f>SUM(C5280:C5285)</f>
        <v>3.5</v>
      </c>
      <c r="F5306" s="51">
        <f>VLOOKUP(A5306,'Componentes APUs'!$A$1:$D$14,4,0)</f>
        <v>2525.2525252525252</v>
      </c>
      <c r="G5306" s="51">
        <f>ROUNDUP(F5306*(E5306/21)/E5269,0)</f>
        <v>22</v>
      </c>
    </row>
    <row r="5307" spans="1:9" x14ac:dyDescent="0.25">
      <c r="A5307" s="69" t="s">
        <v>81</v>
      </c>
      <c r="B5307" s="72" t="str">
        <f>VLOOKUP(A5307,'Componentes APUs'!$A$1:$D$14,2,0)</f>
        <v>Guantes Protectores  - ingeniero reforzados</v>
      </c>
      <c r="C5307" s="73"/>
      <c r="D5307" s="50" t="str">
        <f>VLOOKUP(A5307,'Componentes APUs'!$A$1:$D$14,3,0)</f>
        <v>Par</v>
      </c>
      <c r="E5307" s="50">
        <f>C5282+C5283+C5285</f>
        <v>3</v>
      </c>
      <c r="F5307" s="51">
        <f>VLOOKUP(A5307,'Componentes APUs'!$A$1:$D$14,4,0)</f>
        <v>2525.2525252525252</v>
      </c>
      <c r="G5307" s="51">
        <f>ROUNDUP(F5307*(E5307/21)/E5269,0)</f>
        <v>19</v>
      </c>
    </row>
    <row r="5308" spans="1:9" x14ac:dyDescent="0.25">
      <c r="A5308" s="50" t="s">
        <v>83</v>
      </c>
      <c r="B5308" s="72" t="str">
        <f>VLOOKUP(A5308,'Componentes APUs'!$A$1:$D$14,2,0)</f>
        <v>Impermeable (pantalon camisa)</v>
      </c>
      <c r="C5308" s="73"/>
      <c r="D5308" s="50" t="str">
        <f>VLOOKUP(A5308,'Componentes APUs'!$A$1:$D$14,3,0)</f>
        <v>U</v>
      </c>
      <c r="E5308" s="50">
        <f>SUM(C5280:C5285)</f>
        <v>3.5</v>
      </c>
      <c r="F5308" s="51">
        <f>VLOOKUP(A5308,'Componentes APUs'!$A$1:$D$14,4,0)</f>
        <v>3750</v>
      </c>
      <c r="G5308" s="51">
        <f>ROUNDUP(F5308*(E5308/21)/E5269,0)</f>
        <v>32</v>
      </c>
    </row>
    <row r="5309" spans="1:9" x14ac:dyDescent="0.25">
      <c r="A5309" s="69" t="s">
        <v>85</v>
      </c>
      <c r="B5309" s="72" t="str">
        <f>VLOOKUP(A5309,'Componentes APUs'!$A$1:$D$14,2,0)</f>
        <v>Jean Dielectrico</v>
      </c>
      <c r="C5309" s="73"/>
      <c r="D5309" s="50" t="str">
        <f>VLOOKUP(A5309,'Componentes APUs'!$A$1:$D$14,3,0)</f>
        <v>U</v>
      </c>
      <c r="E5309" s="50">
        <f>SUM(C5280:C5285)</f>
        <v>3.5</v>
      </c>
      <c r="F5309" s="51">
        <f>VLOOKUP(A5309,'Componentes APUs'!$A$1:$D$14,4,0)</f>
        <v>7575.757575757576</v>
      </c>
      <c r="G5309" s="51">
        <f>ROUNDUP(F5309*(E5309/21)/E5269,0)</f>
        <v>64</v>
      </c>
    </row>
    <row r="5310" spans="1:9" x14ac:dyDescent="0.25">
      <c r="A5310" s="50" t="s">
        <v>87</v>
      </c>
      <c r="B5310" s="72" t="str">
        <f>VLOOKUP(A5310,'Componentes APUs'!$A$1:$D$14,2,0)</f>
        <v>Casco dielectrico Tipo 2 Clase E con barboquejo</v>
      </c>
      <c r="C5310" s="73"/>
      <c r="D5310" s="50" t="str">
        <f>VLOOKUP(A5310,'Componentes APUs'!$A$1:$D$14,3,0)</f>
        <v>U</v>
      </c>
      <c r="E5310" s="53">
        <f>IF(A5282="MO-3",C5282,0)</f>
        <v>0</v>
      </c>
      <c r="F5310" s="51">
        <f>VLOOKUP(A5310,'Componentes APUs'!$A$1:$D$14,4,0)</f>
        <v>7500</v>
      </c>
      <c r="G5310" s="51">
        <f>ROUNDUP(F5310*(E5310/21)/E5269,0)</f>
        <v>0</v>
      </c>
    </row>
    <row r="5311" spans="1:9" x14ac:dyDescent="0.25">
      <c r="A5311" s="69" t="s">
        <v>89</v>
      </c>
      <c r="B5311" s="72" t="str">
        <f>VLOOKUP(A5311,'Componentes APUs'!$A$1:$D$14,2,0)</f>
        <v>Kit de rescate para trabajo en alturas</v>
      </c>
      <c r="C5311" s="73"/>
      <c r="D5311" s="50" t="str">
        <f>VLOOKUP(A5311,'Componentes APUs'!$A$1:$D$14,3,0)</f>
        <v>U</v>
      </c>
      <c r="E5311" s="50">
        <f>IF(AND(A5282="MO-3",C5282=2),1,0)</f>
        <v>0</v>
      </c>
      <c r="F5311" s="51">
        <f>VLOOKUP(A5311,'Componentes APUs'!$A$1:$D$14,4,0)</f>
        <v>37500</v>
      </c>
      <c r="G5311" s="51">
        <f>ROUNDUP(F5311*(E5311/21)/E5269,0)</f>
        <v>0</v>
      </c>
    </row>
    <row r="5312" spans="1:9" x14ac:dyDescent="0.25">
      <c r="A5312" s="50" t="s">
        <v>91</v>
      </c>
      <c r="B5312" s="72" t="str">
        <f>VLOOKUP(A5312,'Componentes APUs'!$A$1:$D$14,2,0)</f>
        <v>Equipo completo para trabajo en alturas con pretales (Arnes dielectrico, 1 mosqueton de seguridad, tie off dielectrico, eslinga de posicionamiento, juego de pretales)</v>
      </c>
      <c r="C5312" s="73"/>
      <c r="D5312" s="50" t="str">
        <f>VLOOKUP(A5312,'Componentes APUs'!$A$1:$D$14,3,0)</f>
        <v>U</v>
      </c>
      <c r="E5312" s="50">
        <f>IF(A5282="MO-3",C5282,0)</f>
        <v>0</v>
      </c>
      <c r="F5312" s="51">
        <f>VLOOKUP(A5312,'Componentes APUs'!$A$1:$D$14,4,0)</f>
        <v>26041.666666666668</v>
      </c>
      <c r="G5312" s="51">
        <f>ROUNDUP(F5312*(E5312/21)/E5269,0)</f>
        <v>0</v>
      </c>
    </row>
    <row r="5313" spans="1:7" x14ac:dyDescent="0.25">
      <c r="A5313" s="219" t="s">
        <v>95</v>
      </c>
      <c r="B5313" s="219"/>
      <c r="C5313" s="219"/>
      <c r="D5313" s="219"/>
      <c r="E5313" s="219"/>
      <c r="F5313" s="219"/>
      <c r="G5313" s="52">
        <f>SUM(G5300:G5312)</f>
        <v>438</v>
      </c>
    </row>
    <row r="5314" spans="1:7" x14ac:dyDescent="0.25">
      <c r="A5314" s="56"/>
      <c r="B5314" s="57"/>
      <c r="C5314" s="57"/>
      <c r="D5314" s="57"/>
      <c r="E5314" s="57"/>
      <c r="F5314" s="57"/>
      <c r="G5314" s="58"/>
    </row>
    <row r="5315" spans="1:7" x14ac:dyDescent="0.25">
      <c r="A5315" s="219" t="s">
        <v>96</v>
      </c>
      <c r="B5315" s="219"/>
      <c r="C5315" s="219"/>
      <c r="D5315" s="219"/>
      <c r="E5315" s="219"/>
      <c r="F5315" s="219"/>
      <c r="G5315" s="219"/>
    </row>
    <row r="5316" spans="1:7" x14ac:dyDescent="0.25">
      <c r="A5316" s="49" t="s">
        <v>35</v>
      </c>
      <c r="B5316" s="225" t="s">
        <v>36</v>
      </c>
      <c r="C5316" s="225"/>
      <c r="D5316" s="49" t="s">
        <v>37</v>
      </c>
      <c r="E5316" s="49" t="s">
        <v>38</v>
      </c>
      <c r="F5316" s="49" t="s">
        <v>39</v>
      </c>
      <c r="G5316" s="49" t="s">
        <v>40</v>
      </c>
    </row>
    <row r="5317" spans="1:7" x14ac:dyDescent="0.25">
      <c r="A5317" s="69" t="s">
        <v>97</v>
      </c>
      <c r="B5317" s="72" t="str">
        <f>VLOOKUP(A5317,'Componentes APUs'!$N$1:$Q$30,2,0)</f>
        <v>Camioneta</v>
      </c>
      <c r="C5317" s="73"/>
      <c r="D5317" s="70" t="str">
        <f>VLOOKUP(A5317,'Componentes APUs'!$N$1:$Q$30,3,0)</f>
        <v>U</v>
      </c>
      <c r="E5317" s="50">
        <v>0.5</v>
      </c>
      <c r="F5317" s="51">
        <f>VLOOKUP(A5317,'Componentes APUs'!$N$1:$Q$30,4,0)</f>
        <v>5500000</v>
      </c>
      <c r="G5317" s="51">
        <f>IFERROR(ROUNDUP(F5317*(E5317/21)/E5269,0),"-")</f>
        <v>6548</v>
      </c>
    </row>
    <row r="5318" spans="1:7" x14ac:dyDescent="0.25">
      <c r="A5318" s="50" t="s">
        <v>1473</v>
      </c>
      <c r="B5318" s="72" t="str">
        <f>VLOOKUP(A5318,'Componentes APUs'!$N$1:$Q$30,2,0)</f>
        <v>Concretera</v>
      </c>
      <c r="C5318" s="73"/>
      <c r="D5318" s="70" t="str">
        <f>VLOOKUP(A5318,'Componentes APUs'!$N$1:$Q$30,3,0)</f>
        <v>U</v>
      </c>
      <c r="E5318" s="50">
        <v>1</v>
      </c>
      <c r="F5318" s="51">
        <f>VLOOKUP(A5318,'Componentes APUs'!$N$1:$Q$30,4,0)</f>
        <v>550704</v>
      </c>
      <c r="G5318" s="51">
        <f>IFERROR(ROUNDUP(F5318*(E5318/21)/E5269,0),"-")</f>
        <v>1312</v>
      </c>
    </row>
    <row r="5319" spans="1:7" x14ac:dyDescent="0.25">
      <c r="A5319" s="69" t="s">
        <v>1379</v>
      </c>
      <c r="B5319" s="72" t="str">
        <f>VLOOKUP(A5319,'Componentes APUs'!$N$1:$Q$30,2,0)</f>
        <v>Dumper de descarga Frontal 2T</v>
      </c>
      <c r="C5319" s="73"/>
      <c r="D5319" s="70" t="str">
        <f>VLOOKUP(A5319,'Componentes APUs'!$N$1:$Q$30,3,0)</f>
        <v>U</v>
      </c>
      <c r="E5319" s="50">
        <v>0</v>
      </c>
      <c r="F5319" s="51">
        <f>VLOOKUP(A5319,'Componentes APUs'!$N$1:$Q$30,4,0)</f>
        <v>4438716.24</v>
      </c>
      <c r="G5319" s="51">
        <f>IFERROR(ROUNDUP(F5319*(E5319/21)/E5269,0),"-")</f>
        <v>0</v>
      </c>
    </row>
    <row r="5320" spans="1:7" x14ac:dyDescent="0.25">
      <c r="A5320" s="50" t="s">
        <v>323</v>
      </c>
      <c r="B5320" s="72" t="str">
        <f>VLOOKUP(A5320,'Componentes APUs'!$N$1:$Q$30,2,0)</f>
        <v>Volqueta</v>
      </c>
      <c r="C5320" s="73"/>
      <c r="D5320" s="70" t="str">
        <f>VLOOKUP(A5320,'Componentes APUs'!$N$1:$Q$30,3,0)</f>
        <v>U</v>
      </c>
      <c r="E5320" s="50">
        <v>0</v>
      </c>
      <c r="F5320" s="51">
        <f>VLOOKUP(A5320,'Componentes APUs'!$N$1:$Q$30,4,0)</f>
        <v>14828184</v>
      </c>
      <c r="G5320" s="51">
        <f>IFERROR(ROUNDUP(F5320*(E5320/21)/E5269,0),"-")</f>
        <v>0</v>
      </c>
    </row>
    <row r="5321" spans="1:7" x14ac:dyDescent="0.25">
      <c r="A5321" s="69" t="s">
        <v>324</v>
      </c>
      <c r="B5321" s="72" t="str">
        <f>VLOOKUP(A5321,'Componentes APUs'!$N$1:$Q$30,2,0)</f>
        <v>Retroexcavadora</v>
      </c>
      <c r="C5321" s="73"/>
      <c r="D5321" s="70" t="str">
        <f>VLOOKUP(A5321,'Componentes APUs'!$N$1:$Q$30,3,0)</f>
        <v>U</v>
      </c>
      <c r="E5321" s="50">
        <v>0</v>
      </c>
      <c r="F5321" s="51">
        <f>VLOOKUP(A5321,'Componentes APUs'!$N$1:$Q$30,4,0)</f>
        <v>46030656</v>
      </c>
      <c r="G5321" s="51">
        <f>IFERROR(ROUNDUP(F5321*(E5321/21)/E5269,0),"-")</f>
        <v>0</v>
      </c>
    </row>
    <row r="5322" spans="1:7" x14ac:dyDescent="0.25">
      <c r="A5322" s="219" t="s">
        <v>99</v>
      </c>
      <c r="B5322" s="219"/>
      <c r="C5322" s="219"/>
      <c r="D5322" s="219"/>
      <c r="E5322" s="219"/>
      <c r="F5322" s="219"/>
      <c r="G5322" s="52">
        <f>SUM(G5317:G5321)</f>
        <v>7860</v>
      </c>
    </row>
    <row r="5323" spans="1:7" x14ac:dyDescent="0.25">
      <c r="A5323" s="56"/>
      <c r="B5323" s="57"/>
      <c r="C5323" s="57"/>
      <c r="D5323" s="57"/>
      <c r="E5323" s="57"/>
      <c r="F5323" s="57"/>
      <c r="G5323" s="58"/>
    </row>
    <row r="5324" spans="1:7" x14ac:dyDescent="0.25">
      <c r="A5324" s="219" t="s">
        <v>100</v>
      </c>
      <c r="B5324" s="219"/>
      <c r="C5324" s="219"/>
      <c r="D5324" s="219"/>
      <c r="E5324" s="219"/>
      <c r="F5324" s="219"/>
      <c r="G5324" s="52">
        <f>G5322+G5313+G5296+G5286+G5276</f>
        <v>354644</v>
      </c>
    </row>
    <row r="5325" spans="1:7" x14ac:dyDescent="0.25">
      <c r="A5325" s="59"/>
      <c r="B5325" s="60"/>
      <c r="C5325" s="60"/>
      <c r="D5325" s="60"/>
      <c r="E5325" s="57"/>
      <c r="F5325" s="57"/>
      <c r="G5325" s="58"/>
    </row>
    <row r="5326" spans="1:7" x14ac:dyDescent="0.25">
      <c r="A5326" s="64"/>
      <c r="D5326" s="55"/>
      <c r="E5326" s="49" t="s">
        <v>25</v>
      </c>
      <c r="F5326" s="54">
        <v>0.15</v>
      </c>
      <c r="G5326" s="51">
        <f>G5324*F5326</f>
        <v>53196.6</v>
      </c>
    </row>
    <row r="5327" spans="1:7" x14ac:dyDescent="0.25">
      <c r="A5327" s="64"/>
      <c r="D5327" s="55"/>
      <c r="E5327" s="49" t="s">
        <v>26</v>
      </c>
      <c r="F5327" s="54">
        <v>0.05</v>
      </c>
      <c r="G5327" s="51">
        <f>G5324*F5327</f>
        <v>17732.2</v>
      </c>
    </row>
    <row r="5328" spans="1:7" x14ac:dyDescent="0.25">
      <c r="A5328" s="61"/>
      <c r="B5328" s="65"/>
      <c r="C5328" s="65"/>
      <c r="D5328" s="62"/>
      <c r="E5328" s="49" t="s">
        <v>27</v>
      </c>
      <c r="F5328" s="54">
        <v>0.05</v>
      </c>
      <c r="G5328" s="51">
        <f>G5324*F5328</f>
        <v>17732.2</v>
      </c>
    </row>
    <row r="5329" spans="1:13" x14ac:dyDescent="0.25">
      <c r="A5329" s="61"/>
      <c r="B5329" s="62"/>
      <c r="C5329" s="62"/>
      <c r="D5329" s="62"/>
      <c r="E5329" s="62"/>
      <c r="F5329" s="62"/>
      <c r="G5329" s="63"/>
    </row>
    <row r="5330" spans="1:13" x14ac:dyDescent="0.25">
      <c r="A5330" s="219" t="s">
        <v>101</v>
      </c>
      <c r="B5330" s="219"/>
      <c r="C5330" s="219"/>
      <c r="D5330" s="219"/>
      <c r="E5330" s="219"/>
      <c r="F5330" s="219"/>
      <c r="G5330" s="52">
        <f>G5324+G5326+G5327+G5328</f>
        <v>443305</v>
      </c>
    </row>
    <row r="5331" spans="1:13" x14ac:dyDescent="0.25">
      <c r="A5331" s="59"/>
      <c r="B5331" s="60"/>
      <c r="C5331" s="60"/>
      <c r="D5331" s="60"/>
      <c r="E5331" s="57"/>
      <c r="F5331" s="57"/>
      <c r="G5331" s="58"/>
    </row>
    <row r="5332" spans="1:13" x14ac:dyDescent="0.25">
      <c r="A5332" s="64"/>
      <c r="D5332" s="55"/>
      <c r="E5332" s="49" t="s">
        <v>102</v>
      </c>
      <c r="F5332" s="49" t="s">
        <v>103</v>
      </c>
      <c r="G5332" s="51">
        <f>G5328*19%</f>
        <v>3369.1180000000004</v>
      </c>
    </row>
    <row r="5333" spans="1:13" x14ac:dyDescent="0.25">
      <c r="A5333" s="61"/>
      <c r="B5333" s="62"/>
      <c r="C5333" s="62"/>
      <c r="D5333" s="62"/>
      <c r="E5333" s="57"/>
      <c r="F5333" s="57"/>
      <c r="G5333" s="58"/>
    </row>
    <row r="5334" spans="1:13" x14ac:dyDescent="0.25">
      <c r="A5334" s="219" t="s">
        <v>104</v>
      </c>
      <c r="B5334" s="219"/>
      <c r="C5334" s="219"/>
      <c r="D5334" s="219"/>
      <c r="E5334" s="219"/>
      <c r="F5334" s="219"/>
      <c r="G5334" s="52">
        <f>G5332+G5330</f>
        <v>446674.11800000002</v>
      </c>
    </row>
    <row r="5336" spans="1:13" x14ac:dyDescent="0.25">
      <c r="A5336" s="74" t="s">
        <v>29</v>
      </c>
      <c r="B5336" s="226" t="s">
        <v>30</v>
      </c>
      <c r="C5336" s="226"/>
      <c r="D5336" s="74" t="s">
        <v>31</v>
      </c>
      <c r="E5336" s="74" t="s">
        <v>32</v>
      </c>
      <c r="F5336" s="74" t="s">
        <v>189</v>
      </c>
      <c r="G5336" s="74" t="s">
        <v>33</v>
      </c>
      <c r="H5336" s="105"/>
    </row>
    <row r="5337" spans="1:13" x14ac:dyDescent="0.25">
      <c r="A5337" s="50" t="str">
        <f>Presupuesto!B106</f>
        <v>087_OC</v>
      </c>
      <c r="B5337" s="229" t="str">
        <f>Presupuesto!C106</f>
        <v>VIGA DE AÉREA 12X25 CM</v>
      </c>
      <c r="C5337" s="230"/>
      <c r="D5337" s="50" t="s">
        <v>108</v>
      </c>
      <c r="E5337" s="107">
        <v>50</v>
      </c>
      <c r="F5337" s="50"/>
      <c r="G5337" s="51">
        <f>G5402</f>
        <v>130747.43550000001</v>
      </c>
      <c r="H5337" s="111"/>
    </row>
    <row r="5338" spans="1:13" x14ac:dyDescent="0.25">
      <c r="A5338" s="219" t="s">
        <v>34</v>
      </c>
      <c r="B5338" s="219"/>
      <c r="C5338" s="219"/>
      <c r="D5338" s="219"/>
      <c r="E5338" s="219"/>
      <c r="F5338" s="219"/>
      <c r="G5338" s="219"/>
    </row>
    <row r="5339" spans="1:13" ht="30.75" customHeight="1" x14ac:dyDescent="0.25">
      <c r="A5339" s="49" t="s">
        <v>35</v>
      </c>
      <c r="B5339" s="219" t="s">
        <v>36</v>
      </c>
      <c r="C5339" s="219"/>
      <c r="D5339" s="49" t="s">
        <v>37</v>
      </c>
      <c r="E5339" s="49" t="s">
        <v>38</v>
      </c>
      <c r="F5339" s="49" t="s">
        <v>39</v>
      </c>
      <c r="G5339" s="49" t="s">
        <v>40</v>
      </c>
      <c r="K5339" s="23"/>
      <c r="L5339" s="23"/>
    </row>
    <row r="5340" spans="1:13" x14ac:dyDescent="0.25">
      <c r="A5340" s="50" t="str">
        <f>Material!A218</f>
        <v>MA-217</v>
      </c>
      <c r="B5340" s="72" t="str">
        <f>IFERROR(VLOOKUP(A5340,Material!$A:$H,2,0),"-")</f>
        <v>FORMALETA EN MADERA CON TABLA DE 1"</v>
      </c>
      <c r="C5340" s="76"/>
      <c r="D5340" s="50" t="str">
        <f>IFERROR(VLOOKUP(A5340,Material!$A:$H,4,0),"-")</f>
        <v>M2</v>
      </c>
      <c r="E5340" s="107">
        <f>0.12+0.25*2</f>
        <v>0.62</v>
      </c>
      <c r="F5340" s="51">
        <f>IFERROR(VLOOKUP(A5340,Material!$A:$H,3,0),"-")</f>
        <v>24691.116165303549</v>
      </c>
      <c r="G5340" s="51">
        <f t="shared" ref="G5340:G5343" si="94">IFERROR(ROUNDUP(F5340*E5340,0),"-")</f>
        <v>15309</v>
      </c>
      <c r="H5340" s="112"/>
      <c r="I5340" s="110"/>
      <c r="J5340" s="113"/>
      <c r="K5340" s="114"/>
      <c r="L5340" s="115"/>
      <c r="M5340" s="115"/>
    </row>
    <row r="5341" spans="1:13" x14ac:dyDescent="0.25">
      <c r="A5341" s="50" t="str">
        <f>Material!A15</f>
        <v>MA-14</v>
      </c>
      <c r="B5341" s="72" t="str">
        <f>IFERROR(VLOOKUP(A5341,Material!$A:$H,2,0),"-")</f>
        <v>CONCRETO DE 3000 PSI</v>
      </c>
      <c r="C5341" s="76"/>
      <c r="D5341" s="50" t="str">
        <f>IFERROR(VLOOKUP(A5341,Material!$A:$H,4,0),"-")</f>
        <v>M3</v>
      </c>
      <c r="E5341" s="107">
        <f>0.12*0.25</f>
        <v>0.03</v>
      </c>
      <c r="F5341" s="51">
        <f>IFERROR(VLOOKUP(A5341,Material!$A:$H,3,0),"-")</f>
        <v>620227.23330691375</v>
      </c>
      <c r="G5341" s="51">
        <f t="shared" si="94"/>
        <v>18607</v>
      </c>
      <c r="H5341" s="112"/>
      <c r="I5341" s="110"/>
      <c r="J5341" s="113"/>
      <c r="K5341" s="114"/>
      <c r="L5341" s="115"/>
      <c r="M5341" s="115"/>
    </row>
    <row r="5342" spans="1:13" x14ac:dyDescent="0.25">
      <c r="A5342" s="50" t="str">
        <f>Material!A587</f>
        <v>MA-586</v>
      </c>
      <c r="B5342" s="72" t="str">
        <f>IFERROR(VLOOKUP(A5342,Material!$A:$H,2,0),"-")</f>
        <v>ACERO Fy= 420 MPa</v>
      </c>
      <c r="C5342" s="76"/>
      <c r="D5342" s="50" t="str">
        <f>IFERROR(VLOOKUP(A5342,Material!$A:$H,4,0),"-")</f>
        <v>KG</v>
      </c>
      <c r="E5342" s="107">
        <f>250*E5341</f>
        <v>7.5</v>
      </c>
      <c r="F5342" s="51">
        <f>IFERROR(VLOOKUP(A5342,Material!$A:$H,3,0),"-")</f>
        <v>6962.8</v>
      </c>
      <c r="G5342" s="51">
        <f t="shared" si="94"/>
        <v>52221</v>
      </c>
      <c r="H5342" s="112"/>
      <c r="I5342" s="110"/>
      <c r="J5342" s="113"/>
      <c r="K5342" s="114"/>
      <c r="L5342" s="115"/>
      <c r="M5342" s="115"/>
    </row>
    <row r="5343" spans="1:13" x14ac:dyDescent="0.25">
      <c r="A5343" s="50"/>
      <c r="B5343" s="72" t="str">
        <f>IFERROR(VLOOKUP(A5343,Material!$A:$H,2,0),"-")</f>
        <v>-</v>
      </c>
      <c r="C5343" s="76"/>
      <c r="D5343" s="50" t="str">
        <f>IFERROR(VLOOKUP(A5343,Material!$A:$H,4,0),"-")</f>
        <v>-</v>
      </c>
      <c r="E5343" s="107"/>
      <c r="F5343" s="51" t="str">
        <f>IFERROR(VLOOKUP(A5343,Material!$A:$H,3,0),"-")</f>
        <v>-</v>
      </c>
      <c r="G5343" s="51" t="str">
        <f t="shared" si="94"/>
        <v>-</v>
      </c>
      <c r="H5343" s="112"/>
      <c r="I5343" s="110"/>
      <c r="J5343" s="113"/>
      <c r="K5343" s="114"/>
      <c r="L5343" s="115"/>
      <c r="M5343" s="115"/>
    </row>
    <row r="5344" spans="1:13" x14ac:dyDescent="0.25">
      <c r="A5344" s="219" t="s">
        <v>41</v>
      </c>
      <c r="B5344" s="219"/>
      <c r="C5344" s="219"/>
      <c r="D5344" s="219"/>
      <c r="E5344" s="219"/>
      <c r="F5344" s="219"/>
      <c r="G5344" s="52">
        <f>SUM(G5340:G5343)</f>
        <v>86137</v>
      </c>
      <c r="I5344" s="104"/>
    </row>
    <row r="5345" spans="1:9" x14ac:dyDescent="0.25">
      <c r="A5345" s="56"/>
      <c r="B5345" s="57"/>
      <c r="C5345" s="57"/>
      <c r="D5345" s="57"/>
      <c r="E5345" s="57"/>
      <c r="F5345" s="57"/>
      <c r="G5345" s="58"/>
    </row>
    <row r="5346" spans="1:9" x14ac:dyDescent="0.25">
      <c r="A5346" s="219" t="s">
        <v>42</v>
      </c>
      <c r="B5346" s="219"/>
      <c r="C5346" s="219"/>
      <c r="D5346" s="219"/>
      <c r="E5346" s="219"/>
      <c r="F5346" s="219"/>
      <c r="G5346" s="219"/>
    </row>
    <row r="5347" spans="1:9" x14ac:dyDescent="0.25">
      <c r="A5347" s="49" t="s">
        <v>35</v>
      </c>
      <c r="B5347" s="49" t="s">
        <v>36</v>
      </c>
      <c r="C5347" s="49" t="s">
        <v>38</v>
      </c>
      <c r="D5347" s="49" t="s">
        <v>43</v>
      </c>
      <c r="E5347" s="49" t="s">
        <v>44</v>
      </c>
      <c r="F5347" s="49" t="s">
        <v>45</v>
      </c>
      <c r="G5347" s="49" t="s">
        <v>40</v>
      </c>
    </row>
    <row r="5348" spans="1:9" x14ac:dyDescent="0.25">
      <c r="A5348" s="50" t="s">
        <v>319</v>
      </c>
      <c r="B5348" s="68" t="str">
        <f>VLOOKUP(A5348,'Componentes APUs'!$H$1:$L$25,2,0)</f>
        <v>Ingeniero Residente de Obra</v>
      </c>
      <c r="C5348" s="93">
        <v>0.25</v>
      </c>
      <c r="D5348" s="50">
        <f>VLOOKUP(A5348,'Componentes APUs'!$H$1:$L$25,3,0)</f>
        <v>4</v>
      </c>
      <c r="E5348" s="51">
        <f>VLOOKUP(A5348,'Componentes APUs'!$H$1:$L$25,4,0)</f>
        <v>271142.85714285716</v>
      </c>
      <c r="F5348" s="51">
        <f>VLOOKUP(A5348,'Componentes APUs'!$H$1:$L$25,5,0)</f>
        <v>162685.71428571429</v>
      </c>
      <c r="G5348" s="51">
        <f>ROUNDUP((E5348+F5348)*C5348/E5337,0)</f>
        <v>2170</v>
      </c>
      <c r="H5348" s="66"/>
    </row>
    <row r="5349" spans="1:9" x14ac:dyDescent="0.25">
      <c r="A5349" s="50" t="s">
        <v>320</v>
      </c>
      <c r="B5349" s="68" t="str">
        <f>VLOOKUP(A5349,'Componentes APUs'!$H$1:$L$25,2,0)</f>
        <v>Tecnico Supervisor</v>
      </c>
      <c r="C5349" s="93">
        <v>0</v>
      </c>
      <c r="D5349" s="50">
        <f>VLOOKUP(A5349,'Componentes APUs'!$H$1:$L$25,3,0)</f>
        <v>2.2999999999999998</v>
      </c>
      <c r="E5349" s="51">
        <f>VLOOKUP(A5349,'Componentes APUs'!$H$1:$L$25,4,0)</f>
        <v>155907.14285714284</v>
      </c>
      <c r="F5349" s="51">
        <f>VLOOKUP(A5349,'Componentes APUs'!$H$1:$L$25,5,0)</f>
        <v>93544.285714285696</v>
      </c>
      <c r="G5349" s="51">
        <f>ROUNDUP((E5349+F5349)*C5349/E5337,0)</f>
        <v>0</v>
      </c>
    </row>
    <row r="5350" spans="1:9" x14ac:dyDescent="0.25">
      <c r="A5350" s="50" t="s">
        <v>54</v>
      </c>
      <c r="B5350" s="68" t="str">
        <f>VLOOKUP(A5350,'Componentes APUs'!$H$1:$L$25,2,0)</f>
        <v>Maestro de obra civil</v>
      </c>
      <c r="C5350" s="93">
        <v>0</v>
      </c>
      <c r="D5350" s="50">
        <f>VLOOKUP(A5350,'Componentes APUs'!$H$1:$L$25,3,0)</f>
        <v>2.5</v>
      </c>
      <c r="E5350" s="51">
        <f>VLOOKUP(A5350,'Componentes APUs'!$H$1:$L$25,4,0)</f>
        <v>169464.28571428571</v>
      </c>
      <c r="F5350" s="51">
        <f>VLOOKUP(A5350,'Componentes APUs'!$H$1:$L$25,5,0)</f>
        <v>101678.57142857142</v>
      </c>
      <c r="G5350" s="51">
        <f>ROUNDUP((E5350+F5350)*C5350/E5337,0)</f>
        <v>0</v>
      </c>
    </row>
    <row r="5351" spans="1:9" x14ac:dyDescent="0.25">
      <c r="A5351" s="50" t="s">
        <v>1110</v>
      </c>
      <c r="B5351" s="68" t="str">
        <f>VLOOKUP(A5351,'Componentes APUs'!$H$1:$L$25,2,0)</f>
        <v>Oficial de Obra Civil</v>
      </c>
      <c r="C5351" s="93">
        <v>1</v>
      </c>
      <c r="D5351" s="50">
        <f>VLOOKUP(A5351,'Componentes APUs'!$H$1:$L$25,3,0)</f>
        <v>1.5</v>
      </c>
      <c r="E5351" s="51">
        <f>VLOOKUP(A5351,'Componentes APUs'!$H$1:$L$25,4,0)</f>
        <v>115964.28571428571</v>
      </c>
      <c r="F5351" s="51">
        <f>VLOOKUP(A5351,'Componentes APUs'!$H$1:$L$25,5,0)</f>
        <v>69578.57142857142</v>
      </c>
      <c r="G5351" s="51">
        <f>ROUNDUP((E5351+F5351)*C5351/E5337,0)</f>
        <v>3711</v>
      </c>
    </row>
    <row r="5352" spans="1:9" x14ac:dyDescent="0.25">
      <c r="A5352" s="50" t="s">
        <v>50</v>
      </c>
      <c r="B5352" s="68" t="str">
        <f>VLOOKUP(A5352,'Componentes APUs'!$H$1:$L$25,2,0)</f>
        <v>Profesional en SST</v>
      </c>
      <c r="C5352" s="93">
        <v>0.25</v>
      </c>
      <c r="D5352" s="50">
        <f>VLOOKUP(A5352,'Componentes APUs'!$H$1:$L$25,3,0)</f>
        <v>2.5</v>
      </c>
      <c r="E5352" s="51">
        <f>VLOOKUP(A5352,'Componentes APUs'!$H$1:$L$25,4,0)</f>
        <v>169464.28571428571</v>
      </c>
      <c r="F5352" s="51">
        <f>VLOOKUP(A5352,'Componentes APUs'!$H$1:$L$25,5,0)</f>
        <v>101678.57142857142</v>
      </c>
      <c r="G5352" s="51">
        <f>ROUNDUP((E5352+F5352)*C5352/E5337,0)</f>
        <v>1356</v>
      </c>
    </row>
    <row r="5353" spans="1:9" x14ac:dyDescent="0.25">
      <c r="A5353" s="50" t="s">
        <v>1109</v>
      </c>
      <c r="B5353" s="68" t="str">
        <f>VLOOKUP(A5353,'Componentes APUs'!$H$1:$L$25,2,0)</f>
        <v>Ayudante de Obra Civil</v>
      </c>
      <c r="C5353" s="93">
        <v>2</v>
      </c>
      <c r="D5353" s="50">
        <f>VLOOKUP(A5353,'Componentes APUs'!$H$1:$L$25,3,0)</f>
        <v>1</v>
      </c>
      <c r="E5353" s="51">
        <f>VLOOKUP(A5353,'Componentes APUs'!$H$1:$L$25,4,0)</f>
        <v>77309.523809523816</v>
      </c>
      <c r="F5353" s="51">
        <f>VLOOKUP(A5353,'Componentes APUs'!$H$1:$L$25,5,0)</f>
        <v>46385.71428571429</v>
      </c>
      <c r="G5353" s="51">
        <f>ROUNDUP((E5353+F5353)*C5353/E5337,0)</f>
        <v>4948</v>
      </c>
    </row>
    <row r="5354" spans="1:9" x14ac:dyDescent="0.25">
      <c r="A5354" s="219" t="s">
        <v>56</v>
      </c>
      <c r="B5354" s="219"/>
      <c r="C5354" s="219"/>
      <c r="D5354" s="219"/>
      <c r="E5354" s="219"/>
      <c r="F5354" s="219"/>
      <c r="G5354" s="52">
        <f>SUM(G5348:G5353)</f>
        <v>12185</v>
      </c>
    </row>
    <row r="5355" spans="1:9" x14ac:dyDescent="0.25">
      <c r="A5355" s="56"/>
      <c r="B5355" s="57"/>
      <c r="C5355" s="57"/>
      <c r="D5355" s="57"/>
      <c r="E5355" s="57"/>
      <c r="F5355" s="57"/>
      <c r="G5355" s="58"/>
    </row>
    <row r="5356" spans="1:9" x14ac:dyDescent="0.25">
      <c r="A5356" s="219" t="s">
        <v>57</v>
      </c>
      <c r="B5356" s="219"/>
      <c r="C5356" s="219"/>
      <c r="D5356" s="219"/>
      <c r="E5356" s="219"/>
      <c r="F5356" s="219"/>
      <c r="G5356" s="219"/>
    </row>
    <row r="5357" spans="1:9" x14ac:dyDescent="0.25">
      <c r="A5357" s="49" t="s">
        <v>35</v>
      </c>
      <c r="B5357" s="219" t="s">
        <v>36</v>
      </c>
      <c r="C5357" s="219"/>
      <c r="D5357" s="49" t="s">
        <v>37</v>
      </c>
      <c r="E5357" s="49" t="s">
        <v>38</v>
      </c>
      <c r="F5357" s="49" t="s">
        <v>39</v>
      </c>
      <c r="G5357" s="49" t="s">
        <v>40</v>
      </c>
    </row>
    <row r="5358" spans="1:9" x14ac:dyDescent="0.25">
      <c r="A5358" s="50" t="s">
        <v>326</v>
      </c>
      <c r="B5358" s="220" t="str">
        <f>VLOOKUP(A5358,'Componentes APUs'!$S$1:$V$10,2,0)</f>
        <v>Juego Llaves</v>
      </c>
      <c r="C5358" s="220"/>
      <c r="D5358" s="50" t="s">
        <v>18</v>
      </c>
      <c r="E5358" s="50">
        <v>0</v>
      </c>
      <c r="F5358" s="51">
        <f>VLOOKUP(A5358,'Componentes APUs'!$S$1:$V$10,4,0)</f>
        <v>9167</v>
      </c>
      <c r="G5358" s="51">
        <f>ROUNDUP(F5358*((E5358/21)/E5337),0)</f>
        <v>0</v>
      </c>
      <c r="I5358" s="91"/>
    </row>
    <row r="5359" spans="1:9" x14ac:dyDescent="0.25">
      <c r="A5359" s="50" t="s">
        <v>58</v>
      </c>
      <c r="B5359" s="220" t="str">
        <f>VLOOKUP(A5359,'Componentes APUs'!$S$1:$V$10,2,0)</f>
        <v>Manila de servicio</v>
      </c>
      <c r="C5359" s="220"/>
      <c r="D5359" s="50" t="s">
        <v>18</v>
      </c>
      <c r="E5359" s="50">
        <v>0</v>
      </c>
      <c r="F5359" s="51">
        <f>VLOOKUP(A5359,'Componentes APUs'!$S$1:$V$10,4,0)</f>
        <v>2333</v>
      </c>
      <c r="G5359" s="51">
        <f>ROUNDUP(F5359*((E5359/21)/E5337),0)</f>
        <v>0</v>
      </c>
    </row>
    <row r="5360" spans="1:9" x14ac:dyDescent="0.25">
      <c r="A5360" s="50" t="s">
        <v>327</v>
      </c>
      <c r="B5360" s="220" t="str">
        <f>VLOOKUP(A5360,'Componentes APUs'!$S$1:$V$10,2,0)</f>
        <v>Tula portaherramientas</v>
      </c>
      <c r="C5360" s="220"/>
      <c r="D5360" s="50" t="s">
        <v>18</v>
      </c>
      <c r="E5360" s="50">
        <v>0</v>
      </c>
      <c r="F5360" s="51">
        <f>VLOOKUP(A5360,'Componentes APUs'!$S$1:$V$10,4,0)</f>
        <v>1250</v>
      </c>
      <c r="G5360" s="51">
        <f>ROUNDUP(F5360*((E5360/21)/E5337),0)</f>
        <v>0</v>
      </c>
    </row>
    <row r="5361" spans="1:9" x14ac:dyDescent="0.25">
      <c r="A5361" s="50" t="s">
        <v>60</v>
      </c>
      <c r="B5361" s="220" t="str">
        <f>VLOOKUP(A5361,'Componentes APUs'!$S$1:$V$10,2,0)</f>
        <v>Agarradoras</v>
      </c>
      <c r="C5361" s="220"/>
      <c r="D5361" s="50" t="s">
        <v>18</v>
      </c>
      <c r="E5361" s="50">
        <v>0</v>
      </c>
      <c r="F5361" s="51">
        <f>VLOOKUP(A5361,'Componentes APUs'!$S$1:$V$10,4,0)</f>
        <v>125000</v>
      </c>
      <c r="G5361" s="51">
        <f>ROUNDUP(F5361*((E5361/21)/E5337),0)</f>
        <v>0</v>
      </c>
    </row>
    <row r="5362" spans="1:9" x14ac:dyDescent="0.25">
      <c r="A5362" s="50" t="s">
        <v>62</v>
      </c>
      <c r="B5362" s="220" t="str">
        <f>VLOOKUP(A5362,'Componentes APUs'!$S$1:$V$10,2,0)</f>
        <v>Templadoras</v>
      </c>
      <c r="C5362" s="220"/>
      <c r="D5362" s="50" t="s">
        <v>18</v>
      </c>
      <c r="E5362" s="50">
        <v>0</v>
      </c>
      <c r="F5362" s="51">
        <f>VLOOKUP(A5362,'Componentes APUs'!$S$1:$V$10,4,0)</f>
        <v>250000</v>
      </c>
      <c r="G5362" s="51">
        <f>ROUNDUP(F5362*((E5362/21)/E5337),0)</f>
        <v>0</v>
      </c>
    </row>
    <row r="5363" spans="1:9" x14ac:dyDescent="0.25">
      <c r="A5363" s="50" t="s">
        <v>328</v>
      </c>
      <c r="B5363" s="220" t="str">
        <f>VLOOKUP(A5363,'Componentes APUs'!$S$1:$V$10,2,0)</f>
        <v>Herramienta Menor</v>
      </c>
      <c r="C5363" s="220"/>
      <c r="D5363" s="50" t="s">
        <v>18</v>
      </c>
      <c r="E5363" s="50">
        <v>30</v>
      </c>
      <c r="F5363" s="51">
        <f>VLOOKUP(A5363,'Componentes APUs'!$S$1:$V$10,4,0)</f>
        <v>75758</v>
      </c>
      <c r="G5363" s="51">
        <f>ROUNDUP(F5363*((E5363/21)/E5337),0)</f>
        <v>2165</v>
      </c>
    </row>
    <row r="5364" spans="1:9" x14ac:dyDescent="0.25">
      <c r="A5364" s="219" t="s">
        <v>69</v>
      </c>
      <c r="B5364" s="219"/>
      <c r="C5364" s="219"/>
      <c r="D5364" s="219"/>
      <c r="E5364" s="219"/>
      <c r="F5364" s="219"/>
      <c r="G5364" s="52">
        <f>SUM(G5358:G5363)</f>
        <v>2165</v>
      </c>
    </row>
    <row r="5365" spans="1:9" x14ac:dyDescent="0.25">
      <c r="A5365" s="56"/>
      <c r="B5365" s="57"/>
      <c r="C5365" s="57"/>
      <c r="D5365" s="57"/>
      <c r="E5365" s="57"/>
      <c r="F5365" s="57"/>
      <c r="G5365" s="58"/>
    </row>
    <row r="5366" spans="1:9" x14ac:dyDescent="0.25">
      <c r="A5366" s="219" t="s">
        <v>70</v>
      </c>
      <c r="B5366" s="219"/>
      <c r="C5366" s="219"/>
      <c r="D5366" s="219"/>
      <c r="E5366" s="219"/>
      <c r="F5366" s="219"/>
      <c r="G5366" s="219"/>
    </row>
    <row r="5367" spans="1:9" x14ac:dyDescent="0.25">
      <c r="A5367" s="49" t="s">
        <v>35</v>
      </c>
      <c r="B5367" s="219" t="s">
        <v>36</v>
      </c>
      <c r="C5367" s="219"/>
      <c r="D5367" s="49" t="s">
        <v>37</v>
      </c>
      <c r="E5367" s="49" t="s">
        <v>38</v>
      </c>
      <c r="F5367" s="49" t="s">
        <v>39</v>
      </c>
      <c r="G5367" s="49" t="s">
        <v>40</v>
      </c>
    </row>
    <row r="5368" spans="1:9" x14ac:dyDescent="0.25">
      <c r="A5368" s="50" t="s">
        <v>71</v>
      </c>
      <c r="B5368" s="71" t="str">
        <f>VLOOKUP(A5368,'Componentes APUs'!$A$1:$D$14,2,0)</f>
        <v>Camisa indigo sin partes metalicas</v>
      </c>
      <c r="C5368" s="71"/>
      <c r="D5368" s="50" t="str">
        <f>VLOOKUP(A5368,'Componentes APUs'!$A$1:$D$14,3,0)</f>
        <v>U</v>
      </c>
      <c r="E5368" s="50">
        <f>SUM(C5348:C5353)</f>
        <v>3.5</v>
      </c>
      <c r="F5368" s="51">
        <f>VLOOKUP(A5368,'Componentes APUs'!$A$1:$D$14,4,0)</f>
        <v>8585.8585858585866</v>
      </c>
      <c r="G5368" s="51">
        <f>ROUNDUP(F5368*(E5368/21)/E5337,0)</f>
        <v>29</v>
      </c>
      <c r="I5368" s="91"/>
    </row>
    <row r="5369" spans="1:9" x14ac:dyDescent="0.25">
      <c r="A5369" s="69" t="s">
        <v>73</v>
      </c>
      <c r="B5369" s="72" t="str">
        <f>VLOOKUP(A5369,'Componentes APUs'!$A$1:$D$14,2,0)</f>
        <v>Bota de seguridad dielectrica</v>
      </c>
      <c r="C5369" s="73"/>
      <c r="D5369" s="70" t="str">
        <f>VLOOKUP(A5369,'Componentes APUs'!$A$1:$D$14,3,0)</f>
        <v>Par</v>
      </c>
      <c r="E5369" s="50">
        <f>SUM(C5348:C5353)</f>
        <v>3.5</v>
      </c>
      <c r="F5369" s="51">
        <f>VLOOKUP(A5369,'Componentes APUs'!$A$1:$D$14,4,0)</f>
        <v>7500</v>
      </c>
      <c r="G5369" s="51">
        <f>ROUNDUP(F5369*(E5369/21)/E5337,0)</f>
        <v>25</v>
      </c>
    </row>
    <row r="5370" spans="1:9" x14ac:dyDescent="0.25">
      <c r="A5370" s="50" t="s">
        <v>76</v>
      </c>
      <c r="B5370" s="72" t="str">
        <f>VLOOKUP(A5370,'Componentes APUs'!$A$1:$D$14,2,0)</f>
        <v>Casco dielectrico Tipo 1 Clase E con barbuquejo</v>
      </c>
      <c r="C5370" s="73"/>
      <c r="D5370" s="50" t="str">
        <f>VLOOKUP(A5370,'Componentes APUs'!$A$1:$D$14,3,0)</f>
        <v>U</v>
      </c>
      <c r="E5370" s="50">
        <f>C5348+C5349+C5351+C5352+C5353+IF(A5350&lt;&gt;"MO-3",C5350,0)</f>
        <v>3.5</v>
      </c>
      <c r="F5370" s="51">
        <f>VLOOKUP(A5370,'Componentes APUs'!$A$1:$D$14,4,0)</f>
        <v>10101.010101010101</v>
      </c>
      <c r="G5370" s="51">
        <f>ROUNDUP(F5370*(E5370/21)/E5337,0)</f>
        <v>34</v>
      </c>
    </row>
    <row r="5371" spans="1:9" x14ac:dyDescent="0.25">
      <c r="A5371" s="69" t="s">
        <v>77</v>
      </c>
      <c r="B5371" s="72" t="str">
        <f>VLOOKUP(A5371,'Componentes APUs'!$A$1:$D$14,2,0)</f>
        <v>Correa plastica y antiflama</v>
      </c>
      <c r="C5371" s="73"/>
      <c r="D5371" s="50" t="str">
        <f>VLOOKUP(A5371,'Componentes APUs'!$A$1:$D$14,3,0)</f>
        <v>U</v>
      </c>
      <c r="E5371" s="50">
        <f>SUM(C5348:C5353)</f>
        <v>3.5</v>
      </c>
      <c r="F5371" s="51">
        <f>VLOOKUP(A5371,'Componentes APUs'!$A$1:$D$14,4,0)</f>
        <v>3787.878787878788</v>
      </c>
      <c r="G5371" s="51">
        <f>ROUNDUP(F5371*(E5371/21)/E5337,0)</f>
        <v>13</v>
      </c>
    </row>
    <row r="5372" spans="1:9" x14ac:dyDescent="0.25">
      <c r="A5372" s="50" t="s">
        <v>79</v>
      </c>
      <c r="B5372" s="72" t="str">
        <f>VLOOKUP(A5372,'Componentes APUs'!$A$1:$D$14,2,0)</f>
        <v>Gafas protectoras filtro UV</v>
      </c>
      <c r="C5372" s="73"/>
      <c r="D5372" s="50" t="str">
        <f>VLOOKUP(A5372,'Componentes APUs'!$A$1:$D$14,3,0)</f>
        <v>U</v>
      </c>
      <c r="E5372" s="50">
        <f>SUM(C5348:C5353)</f>
        <v>3.5</v>
      </c>
      <c r="F5372" s="51">
        <f>VLOOKUP(A5372,'Componentes APUs'!$A$1:$D$14,4,0)</f>
        <v>2777.7777777777778</v>
      </c>
      <c r="G5372" s="51">
        <f>ROUNDUP(F5372*(E5372/21)/E5337,0)</f>
        <v>10</v>
      </c>
    </row>
    <row r="5373" spans="1:9" x14ac:dyDescent="0.25">
      <c r="A5373" s="69" t="s">
        <v>402</v>
      </c>
      <c r="B5373" s="72" t="str">
        <f>VLOOKUP(A5373,'Componentes APUs'!$A$1:$D$14,2,0)</f>
        <v>Bota de seguridad PVC dielectrica</v>
      </c>
      <c r="C5373" s="73"/>
      <c r="D5373" s="50" t="str">
        <f>VLOOKUP(A5373,'Componentes APUs'!$A$1:$D$14,3,0)</f>
        <v>Par</v>
      </c>
      <c r="E5373" s="50">
        <f>SUM(C5348:C5353)</f>
        <v>3.5</v>
      </c>
      <c r="F5373" s="51">
        <f>VLOOKUP(A5373,'Componentes APUs'!$A$1:$D$14,4,0)</f>
        <v>2916.6666666666665</v>
      </c>
      <c r="G5373" s="51">
        <f>ROUNDUP(F5373*(E5373/21)/E5337,0)</f>
        <v>10</v>
      </c>
    </row>
    <row r="5374" spans="1:9" x14ac:dyDescent="0.25">
      <c r="A5374" s="50" t="s">
        <v>403</v>
      </c>
      <c r="B5374" s="72" t="str">
        <f>VLOOKUP(A5374,'Componentes APUs'!$A$1:$D$14,2,0)</f>
        <v>Capuchon</v>
      </c>
      <c r="C5374" s="73"/>
      <c r="D5374" s="50" t="str">
        <f>VLOOKUP(A5374,'Componentes APUs'!$A$1:$D$14,3,0)</f>
        <v>U</v>
      </c>
      <c r="E5374" s="50">
        <f>SUM(C5348:C5353)</f>
        <v>3.5</v>
      </c>
      <c r="F5374" s="51">
        <f>VLOOKUP(A5374,'Componentes APUs'!$A$1:$D$14,4,0)</f>
        <v>2525.2525252525252</v>
      </c>
      <c r="G5374" s="51">
        <f>ROUNDUP(F5374*(E5374/21)/E5337,0)</f>
        <v>9</v>
      </c>
    </row>
    <row r="5375" spans="1:9" x14ac:dyDescent="0.25">
      <c r="A5375" s="69" t="s">
        <v>81</v>
      </c>
      <c r="B5375" s="72" t="str">
        <f>VLOOKUP(A5375,'Componentes APUs'!$A$1:$D$14,2,0)</f>
        <v>Guantes Protectores  - ingeniero reforzados</v>
      </c>
      <c r="C5375" s="73"/>
      <c r="D5375" s="50" t="str">
        <f>VLOOKUP(A5375,'Componentes APUs'!$A$1:$D$14,3,0)</f>
        <v>Par</v>
      </c>
      <c r="E5375" s="50">
        <f>C5350+C5351+C5353</f>
        <v>3</v>
      </c>
      <c r="F5375" s="51">
        <f>VLOOKUP(A5375,'Componentes APUs'!$A$1:$D$14,4,0)</f>
        <v>2525.2525252525252</v>
      </c>
      <c r="G5375" s="51">
        <f>ROUNDUP(F5375*(E5375/21)/E5337,0)</f>
        <v>8</v>
      </c>
    </row>
    <row r="5376" spans="1:9" x14ac:dyDescent="0.25">
      <c r="A5376" s="50" t="s">
        <v>83</v>
      </c>
      <c r="B5376" s="72" t="str">
        <f>VLOOKUP(A5376,'Componentes APUs'!$A$1:$D$14,2,0)</f>
        <v>Impermeable (pantalon camisa)</v>
      </c>
      <c r="C5376" s="73"/>
      <c r="D5376" s="50" t="str">
        <f>VLOOKUP(A5376,'Componentes APUs'!$A$1:$D$14,3,0)</f>
        <v>U</v>
      </c>
      <c r="E5376" s="50">
        <f>SUM(C5348:C5353)</f>
        <v>3.5</v>
      </c>
      <c r="F5376" s="51">
        <f>VLOOKUP(A5376,'Componentes APUs'!$A$1:$D$14,4,0)</f>
        <v>3750</v>
      </c>
      <c r="G5376" s="51">
        <f>ROUNDUP(F5376*(E5376/21)/E5337,0)</f>
        <v>13</v>
      </c>
    </row>
    <row r="5377" spans="1:7" x14ac:dyDescent="0.25">
      <c r="A5377" s="69" t="s">
        <v>85</v>
      </c>
      <c r="B5377" s="72" t="str">
        <f>VLOOKUP(A5377,'Componentes APUs'!$A$1:$D$14,2,0)</f>
        <v>Jean Dielectrico</v>
      </c>
      <c r="C5377" s="73"/>
      <c r="D5377" s="50" t="str">
        <f>VLOOKUP(A5377,'Componentes APUs'!$A$1:$D$14,3,0)</f>
        <v>U</v>
      </c>
      <c r="E5377" s="50">
        <f>SUM(C5348:C5353)</f>
        <v>3.5</v>
      </c>
      <c r="F5377" s="51">
        <f>VLOOKUP(A5377,'Componentes APUs'!$A$1:$D$14,4,0)</f>
        <v>7575.757575757576</v>
      </c>
      <c r="G5377" s="51">
        <f>ROUNDUP(F5377*(E5377/21)/E5337,0)</f>
        <v>26</v>
      </c>
    </row>
    <row r="5378" spans="1:7" x14ac:dyDescent="0.25">
      <c r="A5378" s="50" t="s">
        <v>87</v>
      </c>
      <c r="B5378" s="72" t="str">
        <f>VLOOKUP(A5378,'Componentes APUs'!$A$1:$D$14,2,0)</f>
        <v>Casco dielectrico Tipo 2 Clase E con barboquejo</v>
      </c>
      <c r="C5378" s="73"/>
      <c r="D5378" s="50" t="str">
        <f>VLOOKUP(A5378,'Componentes APUs'!$A$1:$D$14,3,0)</f>
        <v>U</v>
      </c>
      <c r="E5378" s="53">
        <f>IF(A5350="MO-3",C5350,0)</f>
        <v>0</v>
      </c>
      <c r="F5378" s="51">
        <f>VLOOKUP(A5378,'Componentes APUs'!$A$1:$D$14,4,0)</f>
        <v>7500</v>
      </c>
      <c r="G5378" s="51">
        <f>ROUNDUP(F5378*(E5378/21)/E5337,0)</f>
        <v>0</v>
      </c>
    </row>
    <row r="5379" spans="1:7" x14ac:dyDescent="0.25">
      <c r="A5379" s="69" t="s">
        <v>89</v>
      </c>
      <c r="B5379" s="72" t="str">
        <f>VLOOKUP(A5379,'Componentes APUs'!$A$1:$D$14,2,0)</f>
        <v>Kit de rescate para trabajo en alturas</v>
      </c>
      <c r="C5379" s="73"/>
      <c r="D5379" s="50" t="str">
        <f>VLOOKUP(A5379,'Componentes APUs'!$A$1:$D$14,3,0)</f>
        <v>U</v>
      </c>
      <c r="E5379" s="50">
        <f>IF(AND(A5350="MO-3",C5350=2),1,0)</f>
        <v>0</v>
      </c>
      <c r="F5379" s="51">
        <f>VLOOKUP(A5379,'Componentes APUs'!$A$1:$D$14,4,0)</f>
        <v>37500</v>
      </c>
      <c r="G5379" s="51">
        <f>ROUNDUP(F5379*(E5379/21)/E5337,0)</f>
        <v>0</v>
      </c>
    </row>
    <row r="5380" spans="1:7" x14ac:dyDescent="0.25">
      <c r="A5380" s="50" t="s">
        <v>91</v>
      </c>
      <c r="B5380" s="72" t="str">
        <f>VLOOKUP(A5380,'Componentes APUs'!$A$1:$D$14,2,0)</f>
        <v>Equipo completo para trabajo en alturas con pretales (Arnes dielectrico, 1 mosqueton de seguridad, tie off dielectrico, eslinga de posicionamiento, juego de pretales)</v>
      </c>
      <c r="C5380" s="73"/>
      <c r="D5380" s="50" t="str">
        <f>VLOOKUP(A5380,'Componentes APUs'!$A$1:$D$14,3,0)</f>
        <v>U</v>
      </c>
      <c r="E5380" s="50">
        <f>IF(A5350="MO-3",C5350,0)</f>
        <v>0</v>
      </c>
      <c r="F5380" s="51">
        <f>VLOOKUP(A5380,'Componentes APUs'!$A$1:$D$14,4,0)</f>
        <v>26041.666666666668</v>
      </c>
      <c r="G5380" s="51">
        <f>ROUNDUP(F5380*(E5380/21)/E5337,0)</f>
        <v>0</v>
      </c>
    </row>
    <row r="5381" spans="1:7" x14ac:dyDescent="0.25">
      <c r="A5381" s="219" t="s">
        <v>95</v>
      </c>
      <c r="B5381" s="219"/>
      <c r="C5381" s="219"/>
      <c r="D5381" s="219"/>
      <c r="E5381" s="219"/>
      <c r="F5381" s="219"/>
      <c r="G5381" s="52">
        <f>SUM(G5368:G5380)</f>
        <v>177</v>
      </c>
    </row>
    <row r="5382" spans="1:7" x14ac:dyDescent="0.25">
      <c r="A5382" s="56"/>
      <c r="B5382" s="57"/>
      <c r="C5382" s="57"/>
      <c r="D5382" s="57"/>
      <c r="E5382" s="57"/>
      <c r="F5382" s="57"/>
      <c r="G5382" s="58"/>
    </row>
    <row r="5383" spans="1:7" x14ac:dyDescent="0.25">
      <c r="A5383" s="219" t="s">
        <v>96</v>
      </c>
      <c r="B5383" s="219"/>
      <c r="C5383" s="219"/>
      <c r="D5383" s="219"/>
      <c r="E5383" s="219"/>
      <c r="F5383" s="219"/>
      <c r="G5383" s="219"/>
    </row>
    <row r="5384" spans="1:7" x14ac:dyDescent="0.25">
      <c r="A5384" s="49" t="s">
        <v>35</v>
      </c>
      <c r="B5384" s="225" t="s">
        <v>36</v>
      </c>
      <c r="C5384" s="225"/>
      <c r="D5384" s="49" t="s">
        <v>37</v>
      </c>
      <c r="E5384" s="49" t="s">
        <v>38</v>
      </c>
      <c r="F5384" s="49" t="s">
        <v>39</v>
      </c>
      <c r="G5384" s="49" t="s">
        <v>40</v>
      </c>
    </row>
    <row r="5385" spans="1:7" x14ac:dyDescent="0.25">
      <c r="A5385" s="69" t="s">
        <v>97</v>
      </c>
      <c r="B5385" s="72" t="str">
        <f>VLOOKUP(A5385,'Componentes APUs'!$N$1:$Q$30,2,0)</f>
        <v>Camioneta</v>
      </c>
      <c r="C5385" s="73"/>
      <c r="D5385" s="70" t="str">
        <f>VLOOKUP(A5385,'Componentes APUs'!$N$1:$Q$30,3,0)</f>
        <v>U</v>
      </c>
      <c r="E5385" s="50">
        <v>0.5</v>
      </c>
      <c r="F5385" s="51">
        <f>VLOOKUP(A5385,'Componentes APUs'!$N$1:$Q$30,4,0)</f>
        <v>5500000</v>
      </c>
      <c r="G5385" s="51">
        <f>IFERROR(ROUNDUP(F5385*(E5385/21)/E5337,0),"-")</f>
        <v>2620</v>
      </c>
    </row>
    <row r="5386" spans="1:7" x14ac:dyDescent="0.25">
      <c r="A5386" s="50" t="s">
        <v>1473</v>
      </c>
      <c r="B5386" s="72" t="str">
        <f>VLOOKUP(A5386,'Componentes APUs'!$N$1:$Q$30,2,0)</f>
        <v>Concretera</v>
      </c>
      <c r="C5386" s="73"/>
      <c r="D5386" s="70" t="str">
        <f>VLOOKUP(A5386,'Componentes APUs'!$N$1:$Q$30,3,0)</f>
        <v>U</v>
      </c>
      <c r="E5386" s="50">
        <v>1</v>
      </c>
      <c r="F5386" s="51">
        <f>VLOOKUP(A5386,'Componentes APUs'!$N$1:$Q$30,4,0)</f>
        <v>550704</v>
      </c>
      <c r="G5386" s="51">
        <f>IFERROR(ROUNDUP(F5386*(E5386/21)/E5337,0),"-")</f>
        <v>525</v>
      </c>
    </row>
    <row r="5387" spans="1:7" x14ac:dyDescent="0.25">
      <c r="A5387" s="69" t="s">
        <v>1379</v>
      </c>
      <c r="B5387" s="72" t="str">
        <f>VLOOKUP(A5387,'Componentes APUs'!$N$1:$Q$30,2,0)</f>
        <v>Dumper de descarga Frontal 2T</v>
      </c>
      <c r="C5387" s="73"/>
      <c r="D5387" s="70" t="str">
        <f>VLOOKUP(A5387,'Componentes APUs'!$N$1:$Q$30,3,0)</f>
        <v>U</v>
      </c>
      <c r="E5387" s="50">
        <v>0</v>
      </c>
      <c r="F5387" s="51">
        <f>VLOOKUP(A5387,'Componentes APUs'!$N$1:$Q$30,4,0)</f>
        <v>4438716.24</v>
      </c>
      <c r="G5387" s="51">
        <f>IFERROR(ROUNDUP(F5387*(E5387/21)/E5337,0),"-")</f>
        <v>0</v>
      </c>
    </row>
    <row r="5388" spans="1:7" x14ac:dyDescent="0.25">
      <c r="A5388" s="50" t="s">
        <v>323</v>
      </c>
      <c r="B5388" s="72" t="str">
        <f>VLOOKUP(A5388,'Componentes APUs'!$N$1:$Q$30,2,0)</f>
        <v>Volqueta</v>
      </c>
      <c r="C5388" s="73"/>
      <c r="D5388" s="70" t="str">
        <f>VLOOKUP(A5388,'Componentes APUs'!$N$1:$Q$30,3,0)</f>
        <v>U</v>
      </c>
      <c r="E5388" s="50">
        <v>0</v>
      </c>
      <c r="F5388" s="51">
        <f>VLOOKUP(A5388,'Componentes APUs'!$N$1:$Q$30,4,0)</f>
        <v>14828184</v>
      </c>
      <c r="G5388" s="51">
        <f>IFERROR(ROUNDUP(F5388*(E5388/21)/E5337,0),"-")</f>
        <v>0</v>
      </c>
    </row>
    <row r="5389" spans="1:7" x14ac:dyDescent="0.25">
      <c r="A5389" s="69" t="s">
        <v>324</v>
      </c>
      <c r="B5389" s="72" t="str">
        <f>VLOOKUP(A5389,'Componentes APUs'!$N$1:$Q$30,2,0)</f>
        <v>Retroexcavadora</v>
      </c>
      <c r="C5389" s="73"/>
      <c r="D5389" s="70" t="str">
        <f>VLOOKUP(A5389,'Componentes APUs'!$N$1:$Q$30,3,0)</f>
        <v>U</v>
      </c>
      <c r="E5389" s="50">
        <v>0</v>
      </c>
      <c r="F5389" s="51">
        <f>VLOOKUP(A5389,'Componentes APUs'!$N$1:$Q$30,4,0)</f>
        <v>46030656</v>
      </c>
      <c r="G5389" s="51">
        <f>IFERROR(ROUNDUP(F5389*(E5389/21)/E5337,0),"-")</f>
        <v>0</v>
      </c>
    </row>
    <row r="5390" spans="1:7" x14ac:dyDescent="0.25">
      <c r="A5390" s="219" t="s">
        <v>99</v>
      </c>
      <c r="B5390" s="219"/>
      <c r="C5390" s="219"/>
      <c r="D5390" s="219"/>
      <c r="E5390" s="219"/>
      <c r="F5390" s="219"/>
      <c r="G5390" s="52">
        <f>SUM(G5385:G5389)</f>
        <v>3145</v>
      </c>
    </row>
    <row r="5391" spans="1:7" x14ac:dyDescent="0.25">
      <c r="A5391" s="56"/>
      <c r="B5391" s="57"/>
      <c r="C5391" s="57"/>
      <c r="D5391" s="57"/>
      <c r="E5391" s="57"/>
      <c r="F5391" s="57"/>
      <c r="G5391" s="58"/>
    </row>
    <row r="5392" spans="1:7" x14ac:dyDescent="0.25">
      <c r="A5392" s="219" t="s">
        <v>100</v>
      </c>
      <c r="B5392" s="219"/>
      <c r="C5392" s="219"/>
      <c r="D5392" s="219"/>
      <c r="E5392" s="219"/>
      <c r="F5392" s="219"/>
      <c r="G5392" s="52">
        <f>G5390+G5381+G5364+G5354+G5344</f>
        <v>103809</v>
      </c>
    </row>
    <row r="5393" spans="1:13" x14ac:dyDescent="0.25">
      <c r="A5393" s="59"/>
      <c r="B5393" s="60"/>
      <c r="C5393" s="60"/>
      <c r="D5393" s="60"/>
      <c r="E5393" s="57"/>
      <c r="F5393" s="57"/>
      <c r="G5393" s="58"/>
    </row>
    <row r="5394" spans="1:13" x14ac:dyDescent="0.25">
      <c r="A5394" s="64"/>
      <c r="D5394" s="55"/>
      <c r="E5394" s="49" t="s">
        <v>25</v>
      </c>
      <c r="F5394" s="54">
        <v>0.15</v>
      </c>
      <c r="G5394" s="51">
        <f>G5392*F5394</f>
        <v>15571.349999999999</v>
      </c>
    </row>
    <row r="5395" spans="1:13" x14ac:dyDescent="0.25">
      <c r="A5395" s="64"/>
      <c r="D5395" s="55"/>
      <c r="E5395" s="49" t="s">
        <v>26</v>
      </c>
      <c r="F5395" s="54">
        <v>0.05</v>
      </c>
      <c r="G5395" s="51">
        <f>G5392*F5395</f>
        <v>5190.4500000000007</v>
      </c>
    </row>
    <row r="5396" spans="1:13" x14ac:dyDescent="0.25">
      <c r="A5396" s="61"/>
      <c r="B5396" s="65"/>
      <c r="C5396" s="65"/>
      <c r="D5396" s="62"/>
      <c r="E5396" s="49" t="s">
        <v>27</v>
      </c>
      <c r="F5396" s="54">
        <v>0.05</v>
      </c>
      <c r="G5396" s="51">
        <f>G5392*F5396</f>
        <v>5190.4500000000007</v>
      </c>
    </row>
    <row r="5397" spans="1:13" x14ac:dyDescent="0.25">
      <c r="A5397" s="61"/>
      <c r="B5397" s="62"/>
      <c r="C5397" s="62"/>
      <c r="D5397" s="62"/>
      <c r="E5397" s="62"/>
      <c r="F5397" s="62"/>
      <c r="G5397" s="63"/>
    </row>
    <row r="5398" spans="1:13" x14ac:dyDescent="0.25">
      <c r="A5398" s="219" t="s">
        <v>101</v>
      </c>
      <c r="B5398" s="219"/>
      <c r="C5398" s="219"/>
      <c r="D5398" s="219"/>
      <c r="E5398" s="219"/>
      <c r="F5398" s="219"/>
      <c r="G5398" s="52">
        <f>G5392+G5394+G5395+G5396</f>
        <v>129761.25</v>
      </c>
    </row>
    <row r="5399" spans="1:13" x14ac:dyDescent="0.25">
      <c r="A5399" s="59"/>
      <c r="B5399" s="60"/>
      <c r="C5399" s="60"/>
      <c r="D5399" s="60"/>
      <c r="E5399" s="57"/>
      <c r="F5399" s="57"/>
      <c r="G5399" s="58"/>
    </row>
    <row r="5400" spans="1:13" x14ac:dyDescent="0.25">
      <c r="A5400" s="64"/>
      <c r="D5400" s="55"/>
      <c r="E5400" s="49" t="s">
        <v>102</v>
      </c>
      <c r="F5400" s="49" t="s">
        <v>103</v>
      </c>
      <c r="G5400" s="51">
        <f>G5396*19%</f>
        <v>986.18550000000016</v>
      </c>
    </row>
    <row r="5401" spans="1:13" x14ac:dyDescent="0.25">
      <c r="A5401" s="61"/>
      <c r="B5401" s="62"/>
      <c r="C5401" s="62"/>
      <c r="D5401" s="62"/>
      <c r="E5401" s="57"/>
      <c r="F5401" s="57"/>
      <c r="G5401" s="58"/>
    </row>
    <row r="5402" spans="1:13" x14ac:dyDescent="0.25">
      <c r="A5402" s="219" t="s">
        <v>104</v>
      </c>
      <c r="B5402" s="219"/>
      <c r="C5402" s="219"/>
      <c r="D5402" s="219"/>
      <c r="E5402" s="219"/>
      <c r="F5402" s="219"/>
      <c r="G5402" s="52">
        <f>G5400+G5398</f>
        <v>130747.43550000001</v>
      </c>
    </row>
    <row r="5404" spans="1:13" x14ac:dyDescent="0.25">
      <c r="A5404" s="74" t="s">
        <v>29</v>
      </c>
      <c r="B5404" s="226" t="s">
        <v>30</v>
      </c>
      <c r="C5404" s="226"/>
      <c r="D5404" s="74" t="s">
        <v>31</v>
      </c>
      <c r="E5404" s="74" t="s">
        <v>32</v>
      </c>
      <c r="F5404" s="74" t="s">
        <v>189</v>
      </c>
      <c r="G5404" s="74" t="s">
        <v>33</v>
      </c>
      <c r="H5404" s="105"/>
    </row>
    <row r="5405" spans="1:13" x14ac:dyDescent="0.25">
      <c r="A5405" s="50" t="str">
        <f>Presupuesto!B107</f>
        <v>088_OC</v>
      </c>
      <c r="B5405" s="229" t="str">
        <f>Presupuesto!C107</f>
        <v>VIGA DE AÉREA 20X40 CM</v>
      </c>
      <c r="C5405" s="230"/>
      <c r="D5405" s="50" t="s">
        <v>108</v>
      </c>
      <c r="E5405" s="107">
        <v>30</v>
      </c>
      <c r="F5405" s="50"/>
      <c r="G5405" s="51">
        <f>G5470</f>
        <v>306081.17100000003</v>
      </c>
      <c r="H5405" s="111"/>
    </row>
    <row r="5406" spans="1:13" x14ac:dyDescent="0.25">
      <c r="A5406" s="219" t="s">
        <v>34</v>
      </c>
      <c r="B5406" s="219"/>
      <c r="C5406" s="219"/>
      <c r="D5406" s="219"/>
      <c r="E5406" s="219"/>
      <c r="F5406" s="219"/>
      <c r="G5406" s="219"/>
    </row>
    <row r="5407" spans="1:13" ht="30.75" customHeight="1" x14ac:dyDescent="0.25">
      <c r="A5407" s="49" t="s">
        <v>35</v>
      </c>
      <c r="B5407" s="219" t="s">
        <v>36</v>
      </c>
      <c r="C5407" s="219"/>
      <c r="D5407" s="49" t="s">
        <v>37</v>
      </c>
      <c r="E5407" s="49" t="s">
        <v>38</v>
      </c>
      <c r="F5407" s="49" t="s">
        <v>39</v>
      </c>
      <c r="G5407" s="49" t="s">
        <v>40</v>
      </c>
      <c r="K5407" s="23"/>
      <c r="L5407" s="23"/>
    </row>
    <row r="5408" spans="1:13" x14ac:dyDescent="0.25">
      <c r="A5408" s="50" t="str">
        <f>Material!A218</f>
        <v>MA-217</v>
      </c>
      <c r="B5408" s="72" t="str">
        <f>IFERROR(VLOOKUP(A5408,Material!$A:$H,2,0),"-")</f>
        <v>FORMALETA EN MADERA CON TABLA DE 1"</v>
      </c>
      <c r="C5408" s="76"/>
      <c r="D5408" s="50" t="str">
        <f>IFERROR(VLOOKUP(A5408,Material!$A:$H,4,0),"-")</f>
        <v>M2</v>
      </c>
      <c r="E5408" s="107">
        <f>0.2+0.4*2</f>
        <v>1</v>
      </c>
      <c r="F5408" s="51">
        <f>IFERROR(VLOOKUP(A5408,Material!$A:$H,3,0),"-")</f>
        <v>24691.116165303549</v>
      </c>
      <c r="G5408" s="51">
        <f t="shared" ref="G5408:G5411" si="95">IFERROR(ROUNDUP(F5408*E5408,0),"-")</f>
        <v>24692</v>
      </c>
      <c r="H5408" s="112"/>
      <c r="I5408" s="110"/>
      <c r="J5408" s="113"/>
      <c r="K5408" s="114"/>
      <c r="L5408" s="115"/>
      <c r="M5408" s="115"/>
    </row>
    <row r="5409" spans="1:13" x14ac:dyDescent="0.25">
      <c r="A5409" s="50" t="str">
        <f>Material!A15</f>
        <v>MA-14</v>
      </c>
      <c r="B5409" s="72" t="str">
        <f>IFERROR(VLOOKUP(A5409,Material!$A:$H,2,0),"-")</f>
        <v>CONCRETO DE 3000 PSI</v>
      </c>
      <c r="C5409" s="76"/>
      <c r="D5409" s="50" t="str">
        <f>IFERROR(VLOOKUP(A5409,Material!$A:$H,4,0),"-")</f>
        <v>M3</v>
      </c>
      <c r="E5409" s="107">
        <f>0.2*0.4</f>
        <v>8.0000000000000016E-2</v>
      </c>
      <c r="F5409" s="51">
        <f>IFERROR(VLOOKUP(A5409,Material!$A:$H,3,0),"-")</f>
        <v>620227.23330691375</v>
      </c>
      <c r="G5409" s="51">
        <f t="shared" si="95"/>
        <v>49619</v>
      </c>
      <c r="H5409" s="112"/>
      <c r="I5409" s="110"/>
      <c r="J5409" s="113"/>
      <c r="K5409" s="114"/>
      <c r="L5409" s="115"/>
      <c r="M5409" s="115"/>
    </row>
    <row r="5410" spans="1:13" x14ac:dyDescent="0.25">
      <c r="A5410" s="50" t="str">
        <f>Material!A587</f>
        <v>MA-586</v>
      </c>
      <c r="B5410" s="72" t="str">
        <f>IFERROR(VLOOKUP(A5410,Material!$A:$H,2,0),"-")</f>
        <v>ACERO Fy= 420 MPa</v>
      </c>
      <c r="C5410" s="76"/>
      <c r="D5410" s="50" t="str">
        <f>IFERROR(VLOOKUP(A5410,Material!$A:$H,4,0),"-")</f>
        <v>KG</v>
      </c>
      <c r="E5410" s="107">
        <f>250*E5409</f>
        <v>20.000000000000004</v>
      </c>
      <c r="F5410" s="51">
        <f>IFERROR(VLOOKUP(A5410,Material!$A:$H,3,0),"-")</f>
        <v>6962.8</v>
      </c>
      <c r="G5410" s="51">
        <f t="shared" si="95"/>
        <v>139256</v>
      </c>
      <c r="H5410" s="112"/>
      <c r="I5410" s="110"/>
      <c r="J5410" s="113"/>
      <c r="K5410" s="114"/>
      <c r="L5410" s="115"/>
      <c r="M5410" s="115"/>
    </row>
    <row r="5411" spans="1:13" x14ac:dyDescent="0.25">
      <c r="A5411" s="50"/>
      <c r="B5411" s="72" t="str">
        <f>IFERROR(VLOOKUP(A5411,Material!$A:$H,2,0),"-")</f>
        <v>-</v>
      </c>
      <c r="C5411" s="76"/>
      <c r="D5411" s="50" t="str">
        <f>IFERROR(VLOOKUP(A5411,Material!$A:$H,4,0),"-")</f>
        <v>-</v>
      </c>
      <c r="E5411" s="107"/>
      <c r="F5411" s="51" t="str">
        <f>IFERROR(VLOOKUP(A5411,Material!$A:$H,3,0),"-")</f>
        <v>-</v>
      </c>
      <c r="G5411" s="51" t="str">
        <f t="shared" si="95"/>
        <v>-</v>
      </c>
      <c r="H5411" s="112"/>
      <c r="I5411" s="110"/>
      <c r="J5411" s="113"/>
      <c r="K5411" s="114"/>
      <c r="L5411" s="115"/>
      <c r="M5411" s="115"/>
    </row>
    <row r="5412" spans="1:13" x14ac:dyDescent="0.25">
      <c r="A5412" s="219" t="s">
        <v>41</v>
      </c>
      <c r="B5412" s="219"/>
      <c r="C5412" s="219"/>
      <c r="D5412" s="219"/>
      <c r="E5412" s="219"/>
      <c r="F5412" s="219"/>
      <c r="G5412" s="52">
        <f>SUM(G5408:G5411)</f>
        <v>213567</v>
      </c>
      <c r="I5412" s="104"/>
    </row>
    <row r="5413" spans="1:13" x14ac:dyDescent="0.25">
      <c r="A5413" s="56"/>
      <c r="B5413" s="57"/>
      <c r="C5413" s="57"/>
      <c r="D5413" s="57"/>
      <c r="E5413" s="57"/>
      <c r="F5413" s="57"/>
      <c r="G5413" s="58"/>
    </row>
    <row r="5414" spans="1:13" x14ac:dyDescent="0.25">
      <c r="A5414" s="219" t="s">
        <v>42</v>
      </c>
      <c r="B5414" s="219"/>
      <c r="C5414" s="219"/>
      <c r="D5414" s="219"/>
      <c r="E5414" s="219"/>
      <c r="F5414" s="219"/>
      <c r="G5414" s="219"/>
    </row>
    <row r="5415" spans="1:13" x14ac:dyDescent="0.25">
      <c r="A5415" s="49" t="s">
        <v>35</v>
      </c>
      <c r="B5415" s="49" t="s">
        <v>36</v>
      </c>
      <c r="C5415" s="49" t="s">
        <v>38</v>
      </c>
      <c r="D5415" s="49" t="s">
        <v>43</v>
      </c>
      <c r="E5415" s="49" t="s">
        <v>44</v>
      </c>
      <c r="F5415" s="49" t="s">
        <v>45</v>
      </c>
      <c r="G5415" s="49" t="s">
        <v>40</v>
      </c>
    </row>
    <row r="5416" spans="1:13" x14ac:dyDescent="0.25">
      <c r="A5416" s="50" t="s">
        <v>319</v>
      </c>
      <c r="B5416" s="68" t="str">
        <f>VLOOKUP(A5416,'Componentes APUs'!$H$1:$L$25,2,0)</f>
        <v>Ingeniero Residente de Obra</v>
      </c>
      <c r="C5416" s="93">
        <v>0.25</v>
      </c>
      <c r="D5416" s="50">
        <f>VLOOKUP(A5416,'Componentes APUs'!$H$1:$L$25,3,0)</f>
        <v>4</v>
      </c>
      <c r="E5416" s="51">
        <f>VLOOKUP(A5416,'Componentes APUs'!$H$1:$L$25,4,0)</f>
        <v>271142.85714285716</v>
      </c>
      <c r="F5416" s="51">
        <f>VLOOKUP(A5416,'Componentes APUs'!$H$1:$L$25,5,0)</f>
        <v>162685.71428571429</v>
      </c>
      <c r="G5416" s="51">
        <f>ROUNDUP((E5416+F5416)*C5416/E5405,0)</f>
        <v>3616</v>
      </c>
      <c r="H5416" s="66"/>
    </row>
    <row r="5417" spans="1:13" x14ac:dyDescent="0.25">
      <c r="A5417" s="50" t="s">
        <v>320</v>
      </c>
      <c r="B5417" s="68" t="str">
        <f>VLOOKUP(A5417,'Componentes APUs'!$H$1:$L$25,2,0)</f>
        <v>Tecnico Supervisor</v>
      </c>
      <c r="C5417" s="93">
        <v>0</v>
      </c>
      <c r="D5417" s="50">
        <f>VLOOKUP(A5417,'Componentes APUs'!$H$1:$L$25,3,0)</f>
        <v>2.2999999999999998</v>
      </c>
      <c r="E5417" s="51">
        <f>VLOOKUP(A5417,'Componentes APUs'!$H$1:$L$25,4,0)</f>
        <v>155907.14285714284</v>
      </c>
      <c r="F5417" s="51">
        <f>VLOOKUP(A5417,'Componentes APUs'!$H$1:$L$25,5,0)</f>
        <v>93544.285714285696</v>
      </c>
      <c r="G5417" s="51">
        <f>ROUNDUP((E5417+F5417)*C5417/E5405,0)</f>
        <v>0</v>
      </c>
    </row>
    <row r="5418" spans="1:13" x14ac:dyDescent="0.25">
      <c r="A5418" s="50" t="s">
        <v>54</v>
      </c>
      <c r="B5418" s="68" t="str">
        <f>VLOOKUP(A5418,'Componentes APUs'!$H$1:$L$25,2,0)</f>
        <v>Maestro de obra civil</v>
      </c>
      <c r="C5418" s="93">
        <v>0</v>
      </c>
      <c r="D5418" s="50">
        <f>VLOOKUP(A5418,'Componentes APUs'!$H$1:$L$25,3,0)</f>
        <v>2.5</v>
      </c>
      <c r="E5418" s="51">
        <f>VLOOKUP(A5418,'Componentes APUs'!$H$1:$L$25,4,0)</f>
        <v>169464.28571428571</v>
      </c>
      <c r="F5418" s="51">
        <f>VLOOKUP(A5418,'Componentes APUs'!$H$1:$L$25,5,0)</f>
        <v>101678.57142857142</v>
      </c>
      <c r="G5418" s="51">
        <f>ROUNDUP((E5418+F5418)*C5418/E5405,0)</f>
        <v>0</v>
      </c>
    </row>
    <row r="5419" spans="1:13" x14ac:dyDescent="0.25">
      <c r="A5419" s="50" t="s">
        <v>1110</v>
      </c>
      <c r="B5419" s="68" t="str">
        <f>VLOOKUP(A5419,'Componentes APUs'!$H$1:$L$25,2,0)</f>
        <v>Oficial de Obra Civil</v>
      </c>
      <c r="C5419" s="93">
        <v>1</v>
      </c>
      <c r="D5419" s="50">
        <f>VLOOKUP(A5419,'Componentes APUs'!$H$1:$L$25,3,0)</f>
        <v>1.5</v>
      </c>
      <c r="E5419" s="51">
        <f>VLOOKUP(A5419,'Componentes APUs'!$H$1:$L$25,4,0)</f>
        <v>115964.28571428571</v>
      </c>
      <c r="F5419" s="51">
        <f>VLOOKUP(A5419,'Componentes APUs'!$H$1:$L$25,5,0)</f>
        <v>69578.57142857142</v>
      </c>
      <c r="G5419" s="51">
        <f>ROUNDUP((E5419+F5419)*C5419/E5405,0)</f>
        <v>6185</v>
      </c>
    </row>
    <row r="5420" spans="1:13" x14ac:dyDescent="0.25">
      <c r="A5420" s="50" t="s">
        <v>50</v>
      </c>
      <c r="B5420" s="68" t="str">
        <f>VLOOKUP(A5420,'Componentes APUs'!$H$1:$L$25,2,0)</f>
        <v>Profesional en SST</v>
      </c>
      <c r="C5420" s="93">
        <v>0.25</v>
      </c>
      <c r="D5420" s="50">
        <f>VLOOKUP(A5420,'Componentes APUs'!$H$1:$L$25,3,0)</f>
        <v>2.5</v>
      </c>
      <c r="E5420" s="51">
        <f>VLOOKUP(A5420,'Componentes APUs'!$H$1:$L$25,4,0)</f>
        <v>169464.28571428571</v>
      </c>
      <c r="F5420" s="51">
        <f>VLOOKUP(A5420,'Componentes APUs'!$H$1:$L$25,5,0)</f>
        <v>101678.57142857142</v>
      </c>
      <c r="G5420" s="51">
        <f>ROUNDUP((E5420+F5420)*C5420/E5405,0)</f>
        <v>2260</v>
      </c>
    </row>
    <row r="5421" spans="1:13" x14ac:dyDescent="0.25">
      <c r="A5421" s="50" t="s">
        <v>1109</v>
      </c>
      <c r="B5421" s="68" t="str">
        <f>VLOOKUP(A5421,'Componentes APUs'!$H$1:$L$25,2,0)</f>
        <v>Ayudante de Obra Civil</v>
      </c>
      <c r="C5421" s="93">
        <v>2</v>
      </c>
      <c r="D5421" s="50">
        <f>VLOOKUP(A5421,'Componentes APUs'!$H$1:$L$25,3,0)</f>
        <v>1</v>
      </c>
      <c r="E5421" s="51">
        <f>VLOOKUP(A5421,'Componentes APUs'!$H$1:$L$25,4,0)</f>
        <v>77309.523809523816</v>
      </c>
      <c r="F5421" s="51">
        <f>VLOOKUP(A5421,'Componentes APUs'!$H$1:$L$25,5,0)</f>
        <v>46385.71428571429</v>
      </c>
      <c r="G5421" s="51">
        <f>ROUNDUP((E5421+F5421)*C5421/E5405,0)</f>
        <v>8247</v>
      </c>
    </row>
    <row r="5422" spans="1:13" x14ac:dyDescent="0.25">
      <c r="A5422" s="219" t="s">
        <v>56</v>
      </c>
      <c r="B5422" s="219"/>
      <c r="C5422" s="219"/>
      <c r="D5422" s="219"/>
      <c r="E5422" s="219"/>
      <c r="F5422" s="219"/>
      <c r="G5422" s="52">
        <f>SUM(G5416:G5421)</f>
        <v>20308</v>
      </c>
    </row>
    <row r="5423" spans="1:13" x14ac:dyDescent="0.25">
      <c r="A5423" s="56"/>
      <c r="B5423" s="57"/>
      <c r="C5423" s="57"/>
      <c r="D5423" s="57"/>
      <c r="E5423" s="57"/>
      <c r="F5423" s="57"/>
      <c r="G5423" s="58"/>
    </row>
    <row r="5424" spans="1:13" x14ac:dyDescent="0.25">
      <c r="A5424" s="219" t="s">
        <v>57</v>
      </c>
      <c r="B5424" s="219"/>
      <c r="C5424" s="219"/>
      <c r="D5424" s="219"/>
      <c r="E5424" s="219"/>
      <c r="F5424" s="219"/>
      <c r="G5424" s="219"/>
    </row>
    <row r="5425" spans="1:9" x14ac:dyDescent="0.25">
      <c r="A5425" s="49" t="s">
        <v>35</v>
      </c>
      <c r="B5425" s="219" t="s">
        <v>36</v>
      </c>
      <c r="C5425" s="219"/>
      <c r="D5425" s="49" t="s">
        <v>37</v>
      </c>
      <c r="E5425" s="49" t="s">
        <v>38</v>
      </c>
      <c r="F5425" s="49" t="s">
        <v>39</v>
      </c>
      <c r="G5425" s="49" t="s">
        <v>40</v>
      </c>
    </row>
    <row r="5426" spans="1:9" x14ac:dyDescent="0.25">
      <c r="A5426" s="50" t="s">
        <v>326</v>
      </c>
      <c r="B5426" s="220" t="str">
        <f>VLOOKUP(A5426,'Componentes APUs'!$S$1:$V$10,2,0)</f>
        <v>Juego Llaves</v>
      </c>
      <c r="C5426" s="220"/>
      <c r="D5426" s="50" t="s">
        <v>18</v>
      </c>
      <c r="E5426" s="50">
        <v>0</v>
      </c>
      <c r="F5426" s="51">
        <f>VLOOKUP(A5426,'Componentes APUs'!$S$1:$V$10,4,0)</f>
        <v>9167</v>
      </c>
      <c r="G5426" s="51">
        <f>ROUNDUP(F5426*((E5426/21)/E5405),0)</f>
        <v>0</v>
      </c>
      <c r="I5426" s="91"/>
    </row>
    <row r="5427" spans="1:9" x14ac:dyDescent="0.25">
      <c r="A5427" s="50" t="s">
        <v>58</v>
      </c>
      <c r="B5427" s="220" t="str">
        <f>VLOOKUP(A5427,'Componentes APUs'!$S$1:$V$10,2,0)</f>
        <v>Manila de servicio</v>
      </c>
      <c r="C5427" s="220"/>
      <c r="D5427" s="50" t="s">
        <v>18</v>
      </c>
      <c r="E5427" s="50">
        <v>0</v>
      </c>
      <c r="F5427" s="51">
        <f>VLOOKUP(A5427,'Componentes APUs'!$S$1:$V$10,4,0)</f>
        <v>2333</v>
      </c>
      <c r="G5427" s="51">
        <f>ROUNDUP(F5427*((E5427/21)/E5405),0)</f>
        <v>0</v>
      </c>
    </row>
    <row r="5428" spans="1:9" x14ac:dyDescent="0.25">
      <c r="A5428" s="50" t="s">
        <v>327</v>
      </c>
      <c r="B5428" s="220" t="str">
        <f>VLOOKUP(A5428,'Componentes APUs'!$S$1:$V$10,2,0)</f>
        <v>Tula portaherramientas</v>
      </c>
      <c r="C5428" s="220"/>
      <c r="D5428" s="50" t="s">
        <v>18</v>
      </c>
      <c r="E5428" s="50">
        <v>0</v>
      </c>
      <c r="F5428" s="51">
        <f>VLOOKUP(A5428,'Componentes APUs'!$S$1:$V$10,4,0)</f>
        <v>1250</v>
      </c>
      <c r="G5428" s="51">
        <f>ROUNDUP(F5428*((E5428/21)/E5405),0)</f>
        <v>0</v>
      </c>
    </row>
    <row r="5429" spans="1:9" x14ac:dyDescent="0.25">
      <c r="A5429" s="50" t="s">
        <v>60</v>
      </c>
      <c r="B5429" s="220" t="str">
        <f>VLOOKUP(A5429,'Componentes APUs'!$S$1:$V$10,2,0)</f>
        <v>Agarradoras</v>
      </c>
      <c r="C5429" s="220"/>
      <c r="D5429" s="50" t="s">
        <v>18</v>
      </c>
      <c r="E5429" s="50">
        <v>0</v>
      </c>
      <c r="F5429" s="51">
        <f>VLOOKUP(A5429,'Componentes APUs'!$S$1:$V$10,4,0)</f>
        <v>125000</v>
      </c>
      <c r="G5429" s="51">
        <f>ROUNDUP(F5429*((E5429/21)/E5405),0)</f>
        <v>0</v>
      </c>
    </row>
    <row r="5430" spans="1:9" x14ac:dyDescent="0.25">
      <c r="A5430" s="50" t="s">
        <v>62</v>
      </c>
      <c r="B5430" s="220" t="str">
        <f>VLOOKUP(A5430,'Componentes APUs'!$S$1:$V$10,2,0)</f>
        <v>Templadoras</v>
      </c>
      <c r="C5430" s="220"/>
      <c r="D5430" s="50" t="s">
        <v>18</v>
      </c>
      <c r="E5430" s="50">
        <v>0</v>
      </c>
      <c r="F5430" s="51">
        <f>VLOOKUP(A5430,'Componentes APUs'!$S$1:$V$10,4,0)</f>
        <v>250000</v>
      </c>
      <c r="G5430" s="51">
        <f>ROUNDUP(F5430*((E5430/21)/E5405),0)</f>
        <v>0</v>
      </c>
    </row>
    <row r="5431" spans="1:9" x14ac:dyDescent="0.25">
      <c r="A5431" s="50" t="s">
        <v>328</v>
      </c>
      <c r="B5431" s="220" t="str">
        <f>VLOOKUP(A5431,'Componentes APUs'!$S$1:$V$10,2,0)</f>
        <v>Herramienta Menor</v>
      </c>
      <c r="C5431" s="220"/>
      <c r="D5431" s="50" t="s">
        <v>18</v>
      </c>
      <c r="E5431" s="50">
        <v>30</v>
      </c>
      <c r="F5431" s="51">
        <f>VLOOKUP(A5431,'Componentes APUs'!$S$1:$V$10,4,0)</f>
        <v>75758</v>
      </c>
      <c r="G5431" s="51">
        <f>ROUNDUP(F5431*((E5431/21)/E5405),0)</f>
        <v>3608</v>
      </c>
    </row>
    <row r="5432" spans="1:9" x14ac:dyDescent="0.25">
      <c r="A5432" s="219" t="s">
        <v>69</v>
      </c>
      <c r="B5432" s="219"/>
      <c r="C5432" s="219"/>
      <c r="D5432" s="219"/>
      <c r="E5432" s="219"/>
      <c r="F5432" s="219"/>
      <c r="G5432" s="52">
        <f>SUM(G5426:G5431)</f>
        <v>3608</v>
      </c>
    </row>
    <row r="5433" spans="1:9" x14ac:dyDescent="0.25">
      <c r="A5433" s="56"/>
      <c r="B5433" s="57"/>
      <c r="C5433" s="57"/>
      <c r="D5433" s="57"/>
      <c r="E5433" s="57"/>
      <c r="F5433" s="57"/>
      <c r="G5433" s="58"/>
    </row>
    <row r="5434" spans="1:9" x14ac:dyDescent="0.25">
      <c r="A5434" s="219" t="s">
        <v>70</v>
      </c>
      <c r="B5434" s="219"/>
      <c r="C5434" s="219"/>
      <c r="D5434" s="219"/>
      <c r="E5434" s="219"/>
      <c r="F5434" s="219"/>
      <c r="G5434" s="219"/>
    </row>
    <row r="5435" spans="1:9" x14ac:dyDescent="0.25">
      <c r="A5435" s="49" t="s">
        <v>35</v>
      </c>
      <c r="B5435" s="219" t="s">
        <v>36</v>
      </c>
      <c r="C5435" s="219"/>
      <c r="D5435" s="49" t="s">
        <v>37</v>
      </c>
      <c r="E5435" s="49" t="s">
        <v>38</v>
      </c>
      <c r="F5435" s="49" t="s">
        <v>39</v>
      </c>
      <c r="G5435" s="49" t="s">
        <v>40</v>
      </c>
    </row>
    <row r="5436" spans="1:9" x14ac:dyDescent="0.25">
      <c r="A5436" s="50" t="s">
        <v>71</v>
      </c>
      <c r="B5436" s="71" t="str">
        <f>VLOOKUP(A5436,'Componentes APUs'!$A$1:$D$14,2,0)</f>
        <v>Camisa indigo sin partes metalicas</v>
      </c>
      <c r="C5436" s="71"/>
      <c r="D5436" s="50" t="str">
        <f>VLOOKUP(A5436,'Componentes APUs'!$A$1:$D$14,3,0)</f>
        <v>U</v>
      </c>
      <c r="E5436" s="50">
        <f>SUM(C5416:C5421)</f>
        <v>3.5</v>
      </c>
      <c r="F5436" s="51">
        <f>VLOOKUP(A5436,'Componentes APUs'!$A$1:$D$14,4,0)</f>
        <v>8585.8585858585866</v>
      </c>
      <c r="G5436" s="51">
        <f>ROUNDUP(F5436*(E5436/21)/E5405,0)</f>
        <v>48</v>
      </c>
      <c r="I5436" s="91"/>
    </row>
    <row r="5437" spans="1:9" x14ac:dyDescent="0.25">
      <c r="A5437" s="69" t="s">
        <v>73</v>
      </c>
      <c r="B5437" s="72" t="str">
        <f>VLOOKUP(A5437,'Componentes APUs'!$A$1:$D$14,2,0)</f>
        <v>Bota de seguridad dielectrica</v>
      </c>
      <c r="C5437" s="73"/>
      <c r="D5437" s="70" t="str">
        <f>VLOOKUP(A5437,'Componentes APUs'!$A$1:$D$14,3,0)</f>
        <v>Par</v>
      </c>
      <c r="E5437" s="50">
        <f>SUM(C5416:C5421)</f>
        <v>3.5</v>
      </c>
      <c r="F5437" s="51">
        <f>VLOOKUP(A5437,'Componentes APUs'!$A$1:$D$14,4,0)</f>
        <v>7500</v>
      </c>
      <c r="G5437" s="51">
        <f>ROUNDUP(F5437*(E5437/21)/E5405,0)</f>
        <v>42</v>
      </c>
    </row>
    <row r="5438" spans="1:9" x14ac:dyDescent="0.25">
      <c r="A5438" s="50" t="s">
        <v>76</v>
      </c>
      <c r="B5438" s="72" t="str">
        <f>VLOOKUP(A5438,'Componentes APUs'!$A$1:$D$14,2,0)</f>
        <v>Casco dielectrico Tipo 1 Clase E con barbuquejo</v>
      </c>
      <c r="C5438" s="73"/>
      <c r="D5438" s="50" t="str">
        <f>VLOOKUP(A5438,'Componentes APUs'!$A$1:$D$14,3,0)</f>
        <v>U</v>
      </c>
      <c r="E5438" s="50">
        <f>C5416+C5417+C5419+C5420+C5421+IF(A5418&lt;&gt;"MO-3",C5418,0)</f>
        <v>3.5</v>
      </c>
      <c r="F5438" s="51">
        <f>VLOOKUP(A5438,'Componentes APUs'!$A$1:$D$14,4,0)</f>
        <v>10101.010101010101</v>
      </c>
      <c r="G5438" s="51">
        <f>ROUNDUP(F5438*(E5438/21)/E5405,0)</f>
        <v>57</v>
      </c>
    </row>
    <row r="5439" spans="1:9" x14ac:dyDescent="0.25">
      <c r="A5439" s="69" t="s">
        <v>77</v>
      </c>
      <c r="B5439" s="72" t="str">
        <f>VLOOKUP(A5439,'Componentes APUs'!$A$1:$D$14,2,0)</f>
        <v>Correa plastica y antiflama</v>
      </c>
      <c r="C5439" s="73"/>
      <c r="D5439" s="50" t="str">
        <f>VLOOKUP(A5439,'Componentes APUs'!$A$1:$D$14,3,0)</f>
        <v>U</v>
      </c>
      <c r="E5439" s="50">
        <f>SUM(C5416:C5421)</f>
        <v>3.5</v>
      </c>
      <c r="F5439" s="51">
        <f>VLOOKUP(A5439,'Componentes APUs'!$A$1:$D$14,4,0)</f>
        <v>3787.878787878788</v>
      </c>
      <c r="G5439" s="51">
        <f>ROUNDUP(F5439*(E5439/21)/E5405,0)</f>
        <v>22</v>
      </c>
    </row>
    <row r="5440" spans="1:9" x14ac:dyDescent="0.25">
      <c r="A5440" s="50" t="s">
        <v>79</v>
      </c>
      <c r="B5440" s="72" t="str">
        <f>VLOOKUP(A5440,'Componentes APUs'!$A$1:$D$14,2,0)</f>
        <v>Gafas protectoras filtro UV</v>
      </c>
      <c r="C5440" s="73"/>
      <c r="D5440" s="50" t="str">
        <f>VLOOKUP(A5440,'Componentes APUs'!$A$1:$D$14,3,0)</f>
        <v>U</v>
      </c>
      <c r="E5440" s="50">
        <f>SUM(C5416:C5421)</f>
        <v>3.5</v>
      </c>
      <c r="F5440" s="51">
        <f>VLOOKUP(A5440,'Componentes APUs'!$A$1:$D$14,4,0)</f>
        <v>2777.7777777777778</v>
      </c>
      <c r="G5440" s="51">
        <f>ROUNDUP(F5440*(E5440/21)/E5405,0)</f>
        <v>16</v>
      </c>
    </row>
    <row r="5441" spans="1:7" x14ac:dyDescent="0.25">
      <c r="A5441" s="69" t="s">
        <v>402</v>
      </c>
      <c r="B5441" s="72" t="str">
        <f>VLOOKUP(A5441,'Componentes APUs'!$A$1:$D$14,2,0)</f>
        <v>Bota de seguridad PVC dielectrica</v>
      </c>
      <c r="C5441" s="73"/>
      <c r="D5441" s="50" t="str">
        <f>VLOOKUP(A5441,'Componentes APUs'!$A$1:$D$14,3,0)</f>
        <v>Par</v>
      </c>
      <c r="E5441" s="50">
        <f>SUM(C5416:C5421)</f>
        <v>3.5</v>
      </c>
      <c r="F5441" s="51">
        <f>VLOOKUP(A5441,'Componentes APUs'!$A$1:$D$14,4,0)</f>
        <v>2916.6666666666665</v>
      </c>
      <c r="G5441" s="51">
        <f>ROUNDUP(F5441*(E5441/21)/E5405,0)</f>
        <v>17</v>
      </c>
    </row>
    <row r="5442" spans="1:7" x14ac:dyDescent="0.25">
      <c r="A5442" s="50" t="s">
        <v>403</v>
      </c>
      <c r="B5442" s="72" t="str">
        <f>VLOOKUP(A5442,'Componentes APUs'!$A$1:$D$14,2,0)</f>
        <v>Capuchon</v>
      </c>
      <c r="C5442" s="73"/>
      <c r="D5442" s="50" t="str">
        <f>VLOOKUP(A5442,'Componentes APUs'!$A$1:$D$14,3,0)</f>
        <v>U</v>
      </c>
      <c r="E5442" s="50">
        <f>SUM(C5416:C5421)</f>
        <v>3.5</v>
      </c>
      <c r="F5442" s="51">
        <f>VLOOKUP(A5442,'Componentes APUs'!$A$1:$D$14,4,0)</f>
        <v>2525.2525252525252</v>
      </c>
      <c r="G5442" s="51">
        <f>ROUNDUP(F5442*(E5442/21)/E5405,0)</f>
        <v>15</v>
      </c>
    </row>
    <row r="5443" spans="1:7" x14ac:dyDescent="0.25">
      <c r="A5443" s="69" t="s">
        <v>81</v>
      </c>
      <c r="B5443" s="72" t="str">
        <f>VLOOKUP(A5443,'Componentes APUs'!$A$1:$D$14,2,0)</f>
        <v>Guantes Protectores  - ingeniero reforzados</v>
      </c>
      <c r="C5443" s="73"/>
      <c r="D5443" s="50" t="str">
        <f>VLOOKUP(A5443,'Componentes APUs'!$A$1:$D$14,3,0)</f>
        <v>Par</v>
      </c>
      <c r="E5443" s="50">
        <f>C5418+C5419+C5421</f>
        <v>3</v>
      </c>
      <c r="F5443" s="51">
        <f>VLOOKUP(A5443,'Componentes APUs'!$A$1:$D$14,4,0)</f>
        <v>2525.2525252525252</v>
      </c>
      <c r="G5443" s="51">
        <f>ROUNDUP(F5443*(E5443/21)/E5405,0)</f>
        <v>13</v>
      </c>
    </row>
    <row r="5444" spans="1:7" x14ac:dyDescent="0.25">
      <c r="A5444" s="50" t="s">
        <v>83</v>
      </c>
      <c r="B5444" s="72" t="str">
        <f>VLOOKUP(A5444,'Componentes APUs'!$A$1:$D$14,2,0)</f>
        <v>Impermeable (pantalon camisa)</v>
      </c>
      <c r="C5444" s="73"/>
      <c r="D5444" s="50" t="str">
        <f>VLOOKUP(A5444,'Componentes APUs'!$A$1:$D$14,3,0)</f>
        <v>U</v>
      </c>
      <c r="E5444" s="50">
        <f>SUM(C5416:C5421)</f>
        <v>3.5</v>
      </c>
      <c r="F5444" s="51">
        <f>VLOOKUP(A5444,'Componentes APUs'!$A$1:$D$14,4,0)</f>
        <v>3750</v>
      </c>
      <c r="G5444" s="51">
        <f>ROUNDUP(F5444*(E5444/21)/E5405,0)</f>
        <v>21</v>
      </c>
    </row>
    <row r="5445" spans="1:7" x14ac:dyDescent="0.25">
      <c r="A5445" s="69" t="s">
        <v>85</v>
      </c>
      <c r="B5445" s="72" t="str">
        <f>VLOOKUP(A5445,'Componentes APUs'!$A$1:$D$14,2,0)</f>
        <v>Jean Dielectrico</v>
      </c>
      <c r="C5445" s="73"/>
      <c r="D5445" s="50" t="str">
        <f>VLOOKUP(A5445,'Componentes APUs'!$A$1:$D$14,3,0)</f>
        <v>U</v>
      </c>
      <c r="E5445" s="50">
        <f>SUM(C5416:C5421)</f>
        <v>3.5</v>
      </c>
      <c r="F5445" s="51">
        <f>VLOOKUP(A5445,'Componentes APUs'!$A$1:$D$14,4,0)</f>
        <v>7575.757575757576</v>
      </c>
      <c r="G5445" s="51">
        <f>ROUNDUP(F5445*(E5445/21)/E5405,0)</f>
        <v>43</v>
      </c>
    </row>
    <row r="5446" spans="1:7" x14ac:dyDescent="0.25">
      <c r="A5446" s="50" t="s">
        <v>87</v>
      </c>
      <c r="B5446" s="72" t="str">
        <f>VLOOKUP(A5446,'Componentes APUs'!$A$1:$D$14,2,0)</f>
        <v>Casco dielectrico Tipo 2 Clase E con barboquejo</v>
      </c>
      <c r="C5446" s="73"/>
      <c r="D5446" s="50" t="str">
        <f>VLOOKUP(A5446,'Componentes APUs'!$A$1:$D$14,3,0)</f>
        <v>U</v>
      </c>
      <c r="E5446" s="53">
        <f>IF(A5418="MO-3",C5418,0)</f>
        <v>0</v>
      </c>
      <c r="F5446" s="51">
        <f>VLOOKUP(A5446,'Componentes APUs'!$A$1:$D$14,4,0)</f>
        <v>7500</v>
      </c>
      <c r="G5446" s="51">
        <f>ROUNDUP(F5446*(E5446/21)/E5405,0)</f>
        <v>0</v>
      </c>
    </row>
    <row r="5447" spans="1:7" x14ac:dyDescent="0.25">
      <c r="A5447" s="69" t="s">
        <v>89</v>
      </c>
      <c r="B5447" s="72" t="str">
        <f>VLOOKUP(A5447,'Componentes APUs'!$A$1:$D$14,2,0)</f>
        <v>Kit de rescate para trabajo en alturas</v>
      </c>
      <c r="C5447" s="73"/>
      <c r="D5447" s="50" t="str">
        <f>VLOOKUP(A5447,'Componentes APUs'!$A$1:$D$14,3,0)</f>
        <v>U</v>
      </c>
      <c r="E5447" s="50">
        <f>IF(AND(A5418="MO-3",C5418=2),1,0)</f>
        <v>0</v>
      </c>
      <c r="F5447" s="51">
        <f>VLOOKUP(A5447,'Componentes APUs'!$A$1:$D$14,4,0)</f>
        <v>37500</v>
      </c>
      <c r="G5447" s="51">
        <f>ROUNDUP(F5447*(E5447/21)/E5405,0)</f>
        <v>0</v>
      </c>
    </row>
    <row r="5448" spans="1:7" x14ac:dyDescent="0.25">
      <c r="A5448" s="50" t="s">
        <v>91</v>
      </c>
      <c r="B5448" s="72" t="str">
        <f>VLOOKUP(A5448,'Componentes APUs'!$A$1:$D$14,2,0)</f>
        <v>Equipo completo para trabajo en alturas con pretales (Arnes dielectrico, 1 mosqueton de seguridad, tie off dielectrico, eslinga de posicionamiento, juego de pretales)</v>
      </c>
      <c r="C5448" s="73"/>
      <c r="D5448" s="50" t="str">
        <f>VLOOKUP(A5448,'Componentes APUs'!$A$1:$D$14,3,0)</f>
        <v>U</v>
      </c>
      <c r="E5448" s="50">
        <f>IF(A5418="MO-3",C5418,0)</f>
        <v>0</v>
      </c>
      <c r="F5448" s="51">
        <f>VLOOKUP(A5448,'Componentes APUs'!$A$1:$D$14,4,0)</f>
        <v>26041.666666666668</v>
      </c>
      <c r="G5448" s="51">
        <f>ROUNDUP(F5448*(E5448/21)/E5405,0)</f>
        <v>0</v>
      </c>
    </row>
    <row r="5449" spans="1:7" x14ac:dyDescent="0.25">
      <c r="A5449" s="219" t="s">
        <v>95</v>
      </c>
      <c r="B5449" s="219"/>
      <c r="C5449" s="219"/>
      <c r="D5449" s="219"/>
      <c r="E5449" s="219"/>
      <c r="F5449" s="219"/>
      <c r="G5449" s="52">
        <f>SUM(G5436:G5448)</f>
        <v>294</v>
      </c>
    </row>
    <row r="5450" spans="1:7" x14ac:dyDescent="0.25">
      <c r="A5450" s="56"/>
      <c r="B5450" s="57"/>
      <c r="C5450" s="57"/>
      <c r="D5450" s="57"/>
      <c r="E5450" s="57"/>
      <c r="F5450" s="57"/>
      <c r="G5450" s="58"/>
    </row>
    <row r="5451" spans="1:7" x14ac:dyDescent="0.25">
      <c r="A5451" s="219" t="s">
        <v>96</v>
      </c>
      <c r="B5451" s="219"/>
      <c r="C5451" s="219"/>
      <c r="D5451" s="219"/>
      <c r="E5451" s="219"/>
      <c r="F5451" s="219"/>
      <c r="G5451" s="219"/>
    </row>
    <row r="5452" spans="1:7" x14ac:dyDescent="0.25">
      <c r="A5452" s="49" t="s">
        <v>35</v>
      </c>
      <c r="B5452" s="225" t="s">
        <v>36</v>
      </c>
      <c r="C5452" s="225"/>
      <c r="D5452" s="49" t="s">
        <v>37</v>
      </c>
      <c r="E5452" s="49" t="s">
        <v>38</v>
      </c>
      <c r="F5452" s="49" t="s">
        <v>39</v>
      </c>
      <c r="G5452" s="49" t="s">
        <v>40</v>
      </c>
    </row>
    <row r="5453" spans="1:7" x14ac:dyDescent="0.25">
      <c r="A5453" s="69" t="s">
        <v>97</v>
      </c>
      <c r="B5453" s="72" t="str">
        <f>VLOOKUP(A5453,'Componentes APUs'!$N$1:$Q$30,2,0)</f>
        <v>Camioneta</v>
      </c>
      <c r="C5453" s="73"/>
      <c r="D5453" s="70" t="str">
        <f>VLOOKUP(A5453,'Componentes APUs'!$N$1:$Q$30,3,0)</f>
        <v>U</v>
      </c>
      <c r="E5453" s="50">
        <v>0.5</v>
      </c>
      <c r="F5453" s="51">
        <f>VLOOKUP(A5453,'Componentes APUs'!$N$1:$Q$30,4,0)</f>
        <v>5500000</v>
      </c>
      <c r="G5453" s="51">
        <f>IFERROR(ROUNDUP(F5453*(E5453/21)/E5405,0),"-")</f>
        <v>4366</v>
      </c>
    </row>
    <row r="5454" spans="1:7" x14ac:dyDescent="0.25">
      <c r="A5454" s="50" t="s">
        <v>1473</v>
      </c>
      <c r="B5454" s="72" t="str">
        <f>VLOOKUP(A5454,'Componentes APUs'!$N$1:$Q$30,2,0)</f>
        <v>Concretera</v>
      </c>
      <c r="C5454" s="73"/>
      <c r="D5454" s="70" t="str">
        <f>VLOOKUP(A5454,'Componentes APUs'!$N$1:$Q$30,3,0)</f>
        <v>U</v>
      </c>
      <c r="E5454" s="50">
        <v>1</v>
      </c>
      <c r="F5454" s="51">
        <f>VLOOKUP(A5454,'Componentes APUs'!$N$1:$Q$30,4,0)</f>
        <v>550704</v>
      </c>
      <c r="G5454" s="51">
        <f>IFERROR(ROUNDUP(F5454*(E5454/21)/E5405,0),"-")</f>
        <v>875</v>
      </c>
    </row>
    <row r="5455" spans="1:7" x14ac:dyDescent="0.25">
      <c r="A5455" s="69" t="s">
        <v>1379</v>
      </c>
      <c r="B5455" s="72" t="str">
        <f>VLOOKUP(A5455,'Componentes APUs'!$N$1:$Q$30,2,0)</f>
        <v>Dumper de descarga Frontal 2T</v>
      </c>
      <c r="C5455" s="73"/>
      <c r="D5455" s="70" t="str">
        <f>VLOOKUP(A5455,'Componentes APUs'!$N$1:$Q$30,3,0)</f>
        <v>U</v>
      </c>
      <c r="E5455" s="50">
        <v>0</v>
      </c>
      <c r="F5455" s="51">
        <f>VLOOKUP(A5455,'Componentes APUs'!$N$1:$Q$30,4,0)</f>
        <v>4438716.24</v>
      </c>
      <c r="G5455" s="51">
        <f>IFERROR(ROUNDUP(F5455*(E5455/21)/E5405,0),"-")</f>
        <v>0</v>
      </c>
    </row>
    <row r="5456" spans="1:7" x14ac:dyDescent="0.25">
      <c r="A5456" s="50" t="s">
        <v>323</v>
      </c>
      <c r="B5456" s="72" t="str">
        <f>VLOOKUP(A5456,'Componentes APUs'!$N$1:$Q$30,2,0)</f>
        <v>Volqueta</v>
      </c>
      <c r="C5456" s="73"/>
      <c r="D5456" s="70" t="str">
        <f>VLOOKUP(A5456,'Componentes APUs'!$N$1:$Q$30,3,0)</f>
        <v>U</v>
      </c>
      <c r="E5456" s="50">
        <v>0</v>
      </c>
      <c r="F5456" s="51">
        <f>VLOOKUP(A5456,'Componentes APUs'!$N$1:$Q$30,4,0)</f>
        <v>14828184</v>
      </c>
      <c r="G5456" s="51">
        <f>IFERROR(ROUNDUP(F5456*(E5456/21)/E5405,0),"-")</f>
        <v>0</v>
      </c>
    </row>
    <row r="5457" spans="1:8" x14ac:dyDescent="0.25">
      <c r="A5457" s="69" t="s">
        <v>324</v>
      </c>
      <c r="B5457" s="72" t="str">
        <f>VLOOKUP(A5457,'Componentes APUs'!$N$1:$Q$30,2,0)</f>
        <v>Retroexcavadora</v>
      </c>
      <c r="C5457" s="73"/>
      <c r="D5457" s="70" t="str">
        <f>VLOOKUP(A5457,'Componentes APUs'!$N$1:$Q$30,3,0)</f>
        <v>U</v>
      </c>
      <c r="E5457" s="50">
        <v>0</v>
      </c>
      <c r="F5457" s="51">
        <f>VLOOKUP(A5457,'Componentes APUs'!$N$1:$Q$30,4,0)</f>
        <v>46030656</v>
      </c>
      <c r="G5457" s="51">
        <f>IFERROR(ROUNDUP(F5457*(E5457/21)/E5405,0),"-")</f>
        <v>0</v>
      </c>
    </row>
    <row r="5458" spans="1:8" x14ac:dyDescent="0.25">
      <c r="A5458" s="219" t="s">
        <v>99</v>
      </c>
      <c r="B5458" s="219"/>
      <c r="C5458" s="219"/>
      <c r="D5458" s="219"/>
      <c r="E5458" s="219"/>
      <c r="F5458" s="219"/>
      <c r="G5458" s="52">
        <f>SUM(G5453:G5457)</f>
        <v>5241</v>
      </c>
    </row>
    <row r="5459" spans="1:8" x14ac:dyDescent="0.25">
      <c r="A5459" s="56"/>
      <c r="B5459" s="57"/>
      <c r="C5459" s="57"/>
      <c r="D5459" s="57"/>
      <c r="E5459" s="57"/>
      <c r="F5459" s="57"/>
      <c r="G5459" s="58"/>
    </row>
    <row r="5460" spans="1:8" x14ac:dyDescent="0.25">
      <c r="A5460" s="219" t="s">
        <v>100</v>
      </c>
      <c r="B5460" s="219"/>
      <c r="C5460" s="219"/>
      <c r="D5460" s="219"/>
      <c r="E5460" s="219"/>
      <c r="F5460" s="219"/>
      <c r="G5460" s="52">
        <f>G5458+G5449+G5432+G5422+G5412</f>
        <v>243018</v>
      </c>
    </row>
    <row r="5461" spans="1:8" x14ac:dyDescent="0.25">
      <c r="A5461" s="59"/>
      <c r="B5461" s="60"/>
      <c r="C5461" s="60"/>
      <c r="D5461" s="60"/>
      <c r="E5461" s="57"/>
      <c r="F5461" s="57"/>
      <c r="G5461" s="58"/>
    </row>
    <row r="5462" spans="1:8" x14ac:dyDescent="0.25">
      <c r="A5462" s="64"/>
      <c r="D5462" s="55"/>
      <c r="E5462" s="49" t="s">
        <v>25</v>
      </c>
      <c r="F5462" s="54">
        <v>0.15</v>
      </c>
      <c r="G5462" s="51">
        <f>G5460*F5462</f>
        <v>36452.699999999997</v>
      </c>
    </row>
    <row r="5463" spans="1:8" x14ac:dyDescent="0.25">
      <c r="A5463" s="64"/>
      <c r="D5463" s="55"/>
      <c r="E5463" s="49" t="s">
        <v>26</v>
      </c>
      <c r="F5463" s="54">
        <v>0.05</v>
      </c>
      <c r="G5463" s="51">
        <f>G5460*F5463</f>
        <v>12150.900000000001</v>
      </c>
    </row>
    <row r="5464" spans="1:8" x14ac:dyDescent="0.25">
      <c r="A5464" s="61"/>
      <c r="B5464" s="65"/>
      <c r="C5464" s="65"/>
      <c r="D5464" s="62"/>
      <c r="E5464" s="49" t="s">
        <v>27</v>
      </c>
      <c r="F5464" s="54">
        <v>0.05</v>
      </c>
      <c r="G5464" s="51">
        <f>G5460*F5464</f>
        <v>12150.900000000001</v>
      </c>
    </row>
    <row r="5465" spans="1:8" x14ac:dyDescent="0.25">
      <c r="A5465" s="61"/>
      <c r="B5465" s="62"/>
      <c r="C5465" s="62"/>
      <c r="D5465" s="62"/>
      <c r="E5465" s="62"/>
      <c r="F5465" s="62"/>
      <c r="G5465" s="63"/>
    </row>
    <row r="5466" spans="1:8" x14ac:dyDescent="0.25">
      <c r="A5466" s="219" t="s">
        <v>101</v>
      </c>
      <c r="B5466" s="219"/>
      <c r="C5466" s="219"/>
      <c r="D5466" s="219"/>
      <c r="E5466" s="219"/>
      <c r="F5466" s="219"/>
      <c r="G5466" s="52">
        <f>G5460+G5462+G5463+G5464</f>
        <v>303772.50000000006</v>
      </c>
    </row>
    <row r="5467" spans="1:8" x14ac:dyDescent="0.25">
      <c r="A5467" s="59"/>
      <c r="B5467" s="60"/>
      <c r="C5467" s="60"/>
      <c r="D5467" s="60"/>
      <c r="E5467" s="57"/>
      <c r="F5467" s="57"/>
      <c r="G5467" s="58"/>
    </row>
    <row r="5468" spans="1:8" x14ac:dyDescent="0.25">
      <c r="A5468" s="64"/>
      <c r="D5468" s="55"/>
      <c r="E5468" s="49" t="s">
        <v>102</v>
      </c>
      <c r="F5468" s="49" t="s">
        <v>103</v>
      </c>
      <c r="G5468" s="51">
        <f>G5464*19%</f>
        <v>2308.6710000000003</v>
      </c>
    </row>
    <row r="5469" spans="1:8" x14ac:dyDescent="0.25">
      <c r="A5469" s="61"/>
      <c r="B5469" s="62"/>
      <c r="C5469" s="62"/>
      <c r="D5469" s="62"/>
      <c r="E5469" s="57"/>
      <c r="F5469" s="57"/>
      <c r="G5469" s="58"/>
    </row>
    <row r="5470" spans="1:8" x14ac:dyDescent="0.25">
      <c r="A5470" s="219" t="s">
        <v>104</v>
      </c>
      <c r="B5470" s="219"/>
      <c r="C5470" s="219"/>
      <c r="D5470" s="219"/>
      <c r="E5470" s="219"/>
      <c r="F5470" s="219"/>
      <c r="G5470" s="52">
        <f>G5468+G5466</f>
        <v>306081.17100000003</v>
      </c>
    </row>
    <row r="5472" spans="1:8" x14ac:dyDescent="0.25">
      <c r="A5472" s="74" t="s">
        <v>29</v>
      </c>
      <c r="B5472" s="226" t="s">
        <v>30</v>
      </c>
      <c r="C5472" s="226"/>
      <c r="D5472" s="74" t="s">
        <v>31</v>
      </c>
      <c r="E5472" s="74" t="s">
        <v>32</v>
      </c>
      <c r="F5472" s="74" t="s">
        <v>189</v>
      </c>
      <c r="G5472" s="74" t="s">
        <v>33</v>
      </c>
      <c r="H5472" s="105"/>
    </row>
    <row r="5473" spans="1:13" x14ac:dyDescent="0.25">
      <c r="A5473" s="50" t="str">
        <f>Presupuesto!B108</f>
        <v>089_OC</v>
      </c>
      <c r="B5473" s="229" t="str">
        <f>Presupuesto!C108</f>
        <v>VIGA DE AÉREA 30X30 CM</v>
      </c>
      <c r="C5473" s="230"/>
      <c r="D5473" s="50" t="s">
        <v>16</v>
      </c>
      <c r="E5473" s="107">
        <v>30</v>
      </c>
      <c r="F5473" s="50"/>
      <c r="G5473" s="51">
        <f>G5540</f>
        <v>332707.00100000005</v>
      </c>
      <c r="H5473" s="111"/>
    </row>
    <row r="5474" spans="1:13" x14ac:dyDescent="0.25">
      <c r="A5474" s="219" t="s">
        <v>34</v>
      </c>
      <c r="B5474" s="219"/>
      <c r="C5474" s="219"/>
      <c r="D5474" s="219"/>
      <c r="E5474" s="219"/>
      <c r="F5474" s="219"/>
      <c r="G5474" s="219"/>
    </row>
    <row r="5475" spans="1:13" ht="30.75" customHeight="1" x14ac:dyDescent="0.25">
      <c r="A5475" s="49" t="s">
        <v>35</v>
      </c>
      <c r="B5475" s="219" t="s">
        <v>36</v>
      </c>
      <c r="C5475" s="219"/>
      <c r="D5475" s="49" t="s">
        <v>37</v>
      </c>
      <c r="E5475" s="49" t="s">
        <v>38</v>
      </c>
      <c r="F5475" s="49" t="s">
        <v>39</v>
      </c>
      <c r="G5475" s="49" t="s">
        <v>40</v>
      </c>
      <c r="K5475" s="23"/>
      <c r="L5475" s="23"/>
    </row>
    <row r="5476" spans="1:13" x14ac:dyDescent="0.25">
      <c r="A5476" s="50" t="str">
        <f>Material!A218</f>
        <v>MA-217</v>
      </c>
      <c r="B5476" s="72" t="str">
        <f>IFERROR(VLOOKUP(A5476,Material!$A:$H,2,0),"-")</f>
        <v>FORMALETA EN MADERA CON TABLA DE 1"</v>
      </c>
      <c r="C5476" s="76"/>
      <c r="D5476" s="50" t="str">
        <f>IFERROR(VLOOKUP(A5476,Material!$A:$H,4,0),"-")</f>
        <v>M2</v>
      </c>
      <c r="E5476" s="107">
        <f>0.3*1*3</f>
        <v>0.89999999999999991</v>
      </c>
      <c r="F5476" s="51">
        <f>IFERROR(VLOOKUP(A5476,Material!$A:$H,3,0),"-")</f>
        <v>24691.116165303549</v>
      </c>
      <c r="G5476" s="51">
        <f t="shared" ref="G5476:G5481" si="96">IFERROR(ROUNDUP(F5476*E5476,0),"-")</f>
        <v>22223</v>
      </c>
      <c r="H5476" s="112"/>
      <c r="I5476" s="110"/>
      <c r="J5476" s="113"/>
      <c r="K5476" s="114"/>
      <c r="L5476" s="115"/>
      <c r="M5476" s="115"/>
    </row>
    <row r="5477" spans="1:13" x14ac:dyDescent="0.25">
      <c r="A5477" s="50" t="str">
        <f>Material!A15</f>
        <v>MA-14</v>
      </c>
      <c r="B5477" s="72" t="str">
        <f>IFERROR(VLOOKUP(A5477,Material!$A:$H,2,0),"-")</f>
        <v>CONCRETO DE 3000 PSI</v>
      </c>
      <c r="C5477" s="76"/>
      <c r="D5477" s="50" t="str">
        <f>IFERROR(VLOOKUP(A5477,Material!$A:$H,4,0),"-")</f>
        <v>M3</v>
      </c>
      <c r="E5477" s="107">
        <v>0.09</v>
      </c>
      <c r="F5477" s="51">
        <f>IFERROR(VLOOKUP(A5477,Material!$A:$H,3,0),"-")</f>
        <v>620227.23330691375</v>
      </c>
      <c r="G5477" s="51">
        <f t="shared" si="96"/>
        <v>55821</v>
      </c>
      <c r="H5477" s="112"/>
      <c r="I5477" s="110"/>
      <c r="J5477" s="113"/>
      <c r="K5477" s="114"/>
      <c r="L5477" s="115"/>
      <c r="M5477" s="115"/>
    </row>
    <row r="5478" spans="1:13" x14ac:dyDescent="0.25">
      <c r="A5478" s="50" t="str">
        <f>Material!A587</f>
        <v>MA-586</v>
      </c>
      <c r="B5478" s="72" t="str">
        <f>IFERROR(VLOOKUP(A5478,Material!$A:$H,2,0),"-")</f>
        <v>ACERO Fy= 420 MPa</v>
      </c>
      <c r="C5478" s="76"/>
      <c r="D5478" s="50" t="str">
        <f>IFERROR(VLOOKUP(A5478,Material!$A:$H,4,0),"-")</f>
        <v>KG</v>
      </c>
      <c r="E5478" s="107">
        <f>250*E5477</f>
        <v>22.5</v>
      </c>
      <c r="F5478" s="51">
        <f>IFERROR(VLOOKUP(A5478,Material!$A:$H,3,0),"-")</f>
        <v>6962.8</v>
      </c>
      <c r="G5478" s="51">
        <f t="shared" si="96"/>
        <v>156663</v>
      </c>
      <c r="H5478" s="112"/>
      <c r="I5478" s="110"/>
      <c r="J5478" s="113"/>
      <c r="K5478" s="114"/>
      <c r="L5478" s="115"/>
      <c r="M5478" s="115"/>
    </row>
    <row r="5479" spans="1:13" x14ac:dyDescent="0.25">
      <c r="A5479" s="50"/>
      <c r="B5479" s="72" t="str">
        <f>IFERROR(VLOOKUP(A5479,Material!$A:$H,2,0),"-")</f>
        <v>-</v>
      </c>
      <c r="C5479" s="76"/>
      <c r="D5479" s="50" t="str">
        <f>IFERROR(VLOOKUP(A5479,Material!$A:$H,4,0),"-")</f>
        <v>-</v>
      </c>
      <c r="E5479" s="107"/>
      <c r="F5479" s="51" t="str">
        <f>IFERROR(VLOOKUP(A5479,Material!$A:$H,3,0),"-")</f>
        <v>-</v>
      </c>
      <c r="G5479" s="51" t="str">
        <f t="shared" si="96"/>
        <v>-</v>
      </c>
      <c r="H5479" s="112"/>
      <c r="I5479" s="110"/>
      <c r="J5479" s="113"/>
      <c r="K5479" s="114"/>
      <c r="L5479" s="115"/>
      <c r="M5479" s="115"/>
    </row>
    <row r="5480" spans="1:13" x14ac:dyDescent="0.25">
      <c r="A5480" s="50"/>
      <c r="B5480" s="72" t="str">
        <f>IFERROR(VLOOKUP(A5480,Material!$A:$H,2,0),"-")</f>
        <v>-</v>
      </c>
      <c r="C5480" s="76"/>
      <c r="D5480" s="50" t="str">
        <f>IFERROR(VLOOKUP(A5480,Material!$A:$H,4,0),"-")</f>
        <v>-</v>
      </c>
      <c r="E5480" s="107"/>
      <c r="F5480" s="51" t="str">
        <f>IFERROR(VLOOKUP(A5480,Material!$A:$H,3,0),"-")</f>
        <v>-</v>
      </c>
      <c r="G5480" s="51" t="str">
        <f t="shared" si="96"/>
        <v>-</v>
      </c>
      <c r="H5480" s="112"/>
      <c r="I5480" s="110"/>
      <c r="J5480" s="113"/>
      <c r="K5480" s="114"/>
      <c r="L5480" s="115"/>
      <c r="M5480" s="115"/>
    </row>
    <row r="5481" spans="1:13" x14ac:dyDescent="0.25">
      <c r="A5481" s="50"/>
      <c r="B5481" s="72" t="str">
        <f>IFERROR(VLOOKUP(A5481,Material!$A:$H,2,0),"-")</f>
        <v>-</v>
      </c>
      <c r="C5481" s="76"/>
      <c r="D5481" s="50" t="str">
        <f>IFERROR(VLOOKUP(A5481,Material!$A:$H,4,0),"-")</f>
        <v>-</v>
      </c>
      <c r="E5481" s="107"/>
      <c r="F5481" s="51" t="str">
        <f>IFERROR(VLOOKUP(A5481,Material!$A:$H,3,0),"-")</f>
        <v>-</v>
      </c>
      <c r="G5481" s="51" t="str">
        <f t="shared" si="96"/>
        <v>-</v>
      </c>
      <c r="H5481" s="112"/>
      <c r="I5481" s="110"/>
      <c r="J5481" s="113"/>
      <c r="K5481" s="114"/>
      <c r="L5481" s="115"/>
      <c r="M5481" s="114"/>
    </row>
    <row r="5482" spans="1:13" x14ac:dyDescent="0.25">
      <c r="A5482" s="219" t="s">
        <v>41</v>
      </c>
      <c r="B5482" s="219"/>
      <c r="C5482" s="219"/>
      <c r="D5482" s="219"/>
      <c r="E5482" s="219"/>
      <c r="F5482" s="219"/>
      <c r="G5482" s="52">
        <f>SUM(G5476:G5481)</f>
        <v>234707</v>
      </c>
      <c r="I5482" s="104"/>
    </row>
    <row r="5483" spans="1:13" x14ac:dyDescent="0.25">
      <c r="A5483" s="56"/>
      <c r="B5483" s="57"/>
      <c r="C5483" s="57"/>
      <c r="D5483" s="57"/>
      <c r="E5483" s="57"/>
      <c r="F5483" s="57"/>
      <c r="G5483" s="58"/>
    </row>
    <row r="5484" spans="1:13" x14ac:dyDescent="0.25">
      <c r="A5484" s="219" t="s">
        <v>42</v>
      </c>
      <c r="B5484" s="219"/>
      <c r="C5484" s="219"/>
      <c r="D5484" s="219"/>
      <c r="E5484" s="219"/>
      <c r="F5484" s="219"/>
      <c r="G5484" s="219"/>
    </row>
    <row r="5485" spans="1:13" x14ac:dyDescent="0.25">
      <c r="A5485" s="49" t="s">
        <v>35</v>
      </c>
      <c r="B5485" s="49" t="s">
        <v>36</v>
      </c>
      <c r="C5485" s="49" t="s">
        <v>38</v>
      </c>
      <c r="D5485" s="49" t="s">
        <v>43</v>
      </c>
      <c r="E5485" s="49" t="s">
        <v>44</v>
      </c>
      <c r="F5485" s="49" t="s">
        <v>45</v>
      </c>
      <c r="G5485" s="49" t="s">
        <v>40</v>
      </c>
    </row>
    <row r="5486" spans="1:13" x14ac:dyDescent="0.25">
      <c r="A5486" s="50" t="s">
        <v>319</v>
      </c>
      <c r="B5486" s="68" t="str">
        <f>VLOOKUP(A5486,'Componentes APUs'!$H$1:$L$25,2,0)</f>
        <v>Ingeniero Residente de Obra</v>
      </c>
      <c r="C5486" s="93">
        <v>0.25</v>
      </c>
      <c r="D5486" s="50">
        <f>VLOOKUP(A5486,'Componentes APUs'!$H$1:$L$25,3,0)</f>
        <v>4</v>
      </c>
      <c r="E5486" s="51">
        <f>VLOOKUP(A5486,'Componentes APUs'!$H$1:$L$25,4,0)</f>
        <v>271142.85714285716</v>
      </c>
      <c r="F5486" s="51">
        <f>VLOOKUP(A5486,'Componentes APUs'!$H$1:$L$25,5,0)</f>
        <v>162685.71428571429</v>
      </c>
      <c r="G5486" s="51">
        <f>ROUNDUP((E5486+F5486)*C5486/E5473,0)</f>
        <v>3616</v>
      </c>
      <c r="H5486" s="66"/>
    </row>
    <row r="5487" spans="1:13" x14ac:dyDescent="0.25">
      <c r="A5487" s="50" t="s">
        <v>320</v>
      </c>
      <c r="B5487" s="68" t="str">
        <f>VLOOKUP(A5487,'Componentes APUs'!$H$1:$L$25,2,0)</f>
        <v>Tecnico Supervisor</v>
      </c>
      <c r="C5487" s="93">
        <v>0</v>
      </c>
      <c r="D5487" s="50">
        <f>VLOOKUP(A5487,'Componentes APUs'!$H$1:$L$25,3,0)</f>
        <v>2.2999999999999998</v>
      </c>
      <c r="E5487" s="51">
        <f>VLOOKUP(A5487,'Componentes APUs'!$H$1:$L$25,4,0)</f>
        <v>155907.14285714284</v>
      </c>
      <c r="F5487" s="51">
        <f>VLOOKUP(A5487,'Componentes APUs'!$H$1:$L$25,5,0)</f>
        <v>93544.285714285696</v>
      </c>
      <c r="G5487" s="51">
        <f>ROUNDUP((E5487+F5487)*C5487/E5473,0)</f>
        <v>0</v>
      </c>
    </row>
    <row r="5488" spans="1:13" x14ac:dyDescent="0.25">
      <c r="A5488" s="50" t="s">
        <v>54</v>
      </c>
      <c r="B5488" s="68" t="str">
        <f>VLOOKUP(A5488,'Componentes APUs'!$H$1:$L$25,2,0)</f>
        <v>Maestro de obra civil</v>
      </c>
      <c r="C5488" s="93">
        <v>0</v>
      </c>
      <c r="D5488" s="50">
        <f>VLOOKUP(A5488,'Componentes APUs'!$H$1:$L$25,3,0)</f>
        <v>2.5</v>
      </c>
      <c r="E5488" s="51">
        <f>VLOOKUP(A5488,'Componentes APUs'!$H$1:$L$25,4,0)</f>
        <v>169464.28571428571</v>
      </c>
      <c r="F5488" s="51">
        <f>VLOOKUP(A5488,'Componentes APUs'!$H$1:$L$25,5,0)</f>
        <v>101678.57142857142</v>
      </c>
      <c r="G5488" s="51">
        <f>ROUNDUP((E5488+F5488)*C5488/E5473,0)</f>
        <v>0</v>
      </c>
    </row>
    <row r="5489" spans="1:9" x14ac:dyDescent="0.25">
      <c r="A5489" s="50" t="s">
        <v>1110</v>
      </c>
      <c r="B5489" s="68" t="str">
        <f>VLOOKUP(A5489,'Componentes APUs'!$H$1:$L$25,2,0)</f>
        <v>Oficial de Obra Civil</v>
      </c>
      <c r="C5489" s="93">
        <v>1</v>
      </c>
      <c r="D5489" s="50">
        <f>VLOOKUP(A5489,'Componentes APUs'!$H$1:$L$25,3,0)</f>
        <v>1.5</v>
      </c>
      <c r="E5489" s="51">
        <f>VLOOKUP(A5489,'Componentes APUs'!$H$1:$L$25,4,0)</f>
        <v>115964.28571428571</v>
      </c>
      <c r="F5489" s="51">
        <f>VLOOKUP(A5489,'Componentes APUs'!$H$1:$L$25,5,0)</f>
        <v>69578.57142857142</v>
      </c>
      <c r="G5489" s="51">
        <f>ROUNDUP((E5489+F5489)*C5489/E5473,0)</f>
        <v>6185</v>
      </c>
    </row>
    <row r="5490" spans="1:9" x14ac:dyDescent="0.25">
      <c r="A5490" s="50" t="s">
        <v>50</v>
      </c>
      <c r="B5490" s="68" t="str">
        <f>VLOOKUP(A5490,'Componentes APUs'!$H$1:$L$25,2,0)</f>
        <v>Profesional en SST</v>
      </c>
      <c r="C5490" s="93">
        <v>0.25</v>
      </c>
      <c r="D5490" s="50">
        <f>VLOOKUP(A5490,'Componentes APUs'!$H$1:$L$25,3,0)</f>
        <v>2.5</v>
      </c>
      <c r="E5490" s="51">
        <f>VLOOKUP(A5490,'Componentes APUs'!$H$1:$L$25,4,0)</f>
        <v>169464.28571428571</v>
      </c>
      <c r="F5490" s="51">
        <f>VLOOKUP(A5490,'Componentes APUs'!$H$1:$L$25,5,0)</f>
        <v>101678.57142857142</v>
      </c>
      <c r="G5490" s="51">
        <f>ROUNDUP((E5490+F5490)*C5490/E5473,0)</f>
        <v>2260</v>
      </c>
    </row>
    <row r="5491" spans="1:9" x14ac:dyDescent="0.25">
      <c r="A5491" s="50" t="s">
        <v>1109</v>
      </c>
      <c r="B5491" s="68" t="str">
        <f>VLOOKUP(A5491,'Componentes APUs'!$H$1:$L$25,2,0)</f>
        <v>Ayudante de Obra Civil</v>
      </c>
      <c r="C5491" s="93">
        <v>2</v>
      </c>
      <c r="D5491" s="50">
        <f>VLOOKUP(A5491,'Componentes APUs'!$H$1:$L$25,3,0)</f>
        <v>1</v>
      </c>
      <c r="E5491" s="51">
        <f>VLOOKUP(A5491,'Componentes APUs'!$H$1:$L$25,4,0)</f>
        <v>77309.523809523816</v>
      </c>
      <c r="F5491" s="51">
        <f>VLOOKUP(A5491,'Componentes APUs'!$H$1:$L$25,5,0)</f>
        <v>46385.71428571429</v>
      </c>
      <c r="G5491" s="51">
        <f>ROUNDUP((E5491+F5491)*C5491/E5473,0)</f>
        <v>8247</v>
      </c>
    </row>
    <row r="5492" spans="1:9" x14ac:dyDescent="0.25">
      <c r="A5492" s="219" t="s">
        <v>56</v>
      </c>
      <c r="B5492" s="219"/>
      <c r="C5492" s="219"/>
      <c r="D5492" s="219"/>
      <c r="E5492" s="219"/>
      <c r="F5492" s="219"/>
      <c r="G5492" s="52">
        <f>SUM(G5486:G5491)</f>
        <v>20308</v>
      </c>
    </row>
    <row r="5493" spans="1:9" x14ac:dyDescent="0.25">
      <c r="A5493" s="56"/>
      <c r="B5493" s="57"/>
      <c r="C5493" s="57"/>
      <c r="D5493" s="57"/>
      <c r="E5493" s="57"/>
      <c r="F5493" s="57"/>
      <c r="G5493" s="58"/>
    </row>
    <row r="5494" spans="1:9" x14ac:dyDescent="0.25">
      <c r="A5494" s="219" t="s">
        <v>57</v>
      </c>
      <c r="B5494" s="219"/>
      <c r="C5494" s="219"/>
      <c r="D5494" s="219"/>
      <c r="E5494" s="219"/>
      <c r="F5494" s="219"/>
      <c r="G5494" s="219"/>
    </row>
    <row r="5495" spans="1:9" x14ac:dyDescent="0.25">
      <c r="A5495" s="49" t="s">
        <v>35</v>
      </c>
      <c r="B5495" s="219" t="s">
        <v>36</v>
      </c>
      <c r="C5495" s="219"/>
      <c r="D5495" s="49" t="s">
        <v>37</v>
      </c>
      <c r="E5495" s="49" t="s">
        <v>38</v>
      </c>
      <c r="F5495" s="49" t="s">
        <v>39</v>
      </c>
      <c r="G5495" s="49" t="s">
        <v>40</v>
      </c>
    </row>
    <row r="5496" spans="1:9" x14ac:dyDescent="0.25">
      <c r="A5496" s="50" t="s">
        <v>326</v>
      </c>
      <c r="B5496" s="220" t="str">
        <f>VLOOKUP(A5496,'Componentes APUs'!$S$1:$V$10,2,0)</f>
        <v>Juego Llaves</v>
      </c>
      <c r="C5496" s="220"/>
      <c r="D5496" s="50" t="s">
        <v>18</v>
      </c>
      <c r="E5496" s="50">
        <v>0</v>
      </c>
      <c r="F5496" s="51">
        <f>VLOOKUP(A5496,'Componentes APUs'!$S$1:$V$10,4,0)</f>
        <v>9167</v>
      </c>
      <c r="G5496" s="51">
        <f>ROUNDUP(F5496*((E5496/21)/E5473),0)</f>
        <v>0</v>
      </c>
      <c r="I5496" s="91"/>
    </row>
    <row r="5497" spans="1:9" x14ac:dyDescent="0.25">
      <c r="A5497" s="50" t="s">
        <v>58</v>
      </c>
      <c r="B5497" s="220" t="str">
        <f>VLOOKUP(A5497,'Componentes APUs'!$S$1:$V$10,2,0)</f>
        <v>Manila de servicio</v>
      </c>
      <c r="C5497" s="220"/>
      <c r="D5497" s="50" t="s">
        <v>18</v>
      </c>
      <c r="E5497" s="50">
        <v>0</v>
      </c>
      <c r="F5497" s="51">
        <f>VLOOKUP(A5497,'Componentes APUs'!$S$1:$V$10,4,0)</f>
        <v>2333</v>
      </c>
      <c r="G5497" s="51">
        <f>ROUNDUP(F5497*((E5497/21)/E5473),0)</f>
        <v>0</v>
      </c>
    </row>
    <row r="5498" spans="1:9" x14ac:dyDescent="0.25">
      <c r="A5498" s="50" t="s">
        <v>327</v>
      </c>
      <c r="B5498" s="220" t="str">
        <f>VLOOKUP(A5498,'Componentes APUs'!$S$1:$V$10,2,0)</f>
        <v>Tula portaherramientas</v>
      </c>
      <c r="C5498" s="220"/>
      <c r="D5498" s="50" t="s">
        <v>18</v>
      </c>
      <c r="E5498" s="50">
        <v>0</v>
      </c>
      <c r="F5498" s="51">
        <f>VLOOKUP(A5498,'Componentes APUs'!$S$1:$V$10,4,0)</f>
        <v>1250</v>
      </c>
      <c r="G5498" s="51">
        <f>ROUNDUP(F5498*((E5498/21)/E5473),0)</f>
        <v>0</v>
      </c>
    </row>
    <row r="5499" spans="1:9" x14ac:dyDescent="0.25">
      <c r="A5499" s="50" t="s">
        <v>60</v>
      </c>
      <c r="B5499" s="220" t="str">
        <f>VLOOKUP(A5499,'Componentes APUs'!$S$1:$V$10,2,0)</f>
        <v>Agarradoras</v>
      </c>
      <c r="C5499" s="220"/>
      <c r="D5499" s="50" t="s">
        <v>18</v>
      </c>
      <c r="E5499" s="50">
        <v>0</v>
      </c>
      <c r="F5499" s="51">
        <f>VLOOKUP(A5499,'Componentes APUs'!$S$1:$V$10,4,0)</f>
        <v>125000</v>
      </c>
      <c r="G5499" s="51">
        <f>ROUNDUP(F5499*((E5499/21)/E5473),0)</f>
        <v>0</v>
      </c>
    </row>
    <row r="5500" spans="1:9" x14ac:dyDescent="0.25">
      <c r="A5500" s="50" t="s">
        <v>62</v>
      </c>
      <c r="B5500" s="220" t="str">
        <f>VLOOKUP(A5500,'Componentes APUs'!$S$1:$V$10,2,0)</f>
        <v>Templadoras</v>
      </c>
      <c r="C5500" s="220"/>
      <c r="D5500" s="50" t="s">
        <v>18</v>
      </c>
      <c r="E5500" s="50">
        <v>0</v>
      </c>
      <c r="F5500" s="51">
        <f>VLOOKUP(A5500,'Componentes APUs'!$S$1:$V$10,4,0)</f>
        <v>250000</v>
      </c>
      <c r="G5500" s="51">
        <f>ROUNDUP(F5500*((E5500/21)/E5473),0)</f>
        <v>0</v>
      </c>
    </row>
    <row r="5501" spans="1:9" x14ac:dyDescent="0.25">
      <c r="A5501" s="50" t="s">
        <v>328</v>
      </c>
      <c r="B5501" s="220" t="str">
        <f>VLOOKUP(A5501,'Componentes APUs'!$S$1:$V$10,2,0)</f>
        <v>Herramienta Menor</v>
      </c>
      <c r="C5501" s="220"/>
      <c r="D5501" s="50" t="s">
        <v>18</v>
      </c>
      <c r="E5501" s="50">
        <v>30</v>
      </c>
      <c r="F5501" s="51">
        <f>VLOOKUP(A5501,'Componentes APUs'!$S$1:$V$10,4,0)</f>
        <v>75758</v>
      </c>
      <c r="G5501" s="51">
        <f>ROUNDUP(F5501*((E5501/21)/E5473),0)</f>
        <v>3608</v>
      </c>
    </row>
    <row r="5502" spans="1:9" x14ac:dyDescent="0.25">
      <c r="A5502" s="219" t="s">
        <v>69</v>
      </c>
      <c r="B5502" s="219"/>
      <c r="C5502" s="219"/>
      <c r="D5502" s="219"/>
      <c r="E5502" s="219"/>
      <c r="F5502" s="219"/>
      <c r="G5502" s="52">
        <f>SUM(G5496:G5501)</f>
        <v>3608</v>
      </c>
    </row>
    <row r="5503" spans="1:9" x14ac:dyDescent="0.25">
      <c r="A5503" s="56"/>
      <c r="B5503" s="57"/>
      <c r="C5503" s="57"/>
      <c r="D5503" s="57"/>
      <c r="E5503" s="57"/>
      <c r="F5503" s="57"/>
      <c r="G5503" s="58"/>
    </row>
    <row r="5504" spans="1:9" x14ac:dyDescent="0.25">
      <c r="A5504" s="219" t="s">
        <v>70</v>
      </c>
      <c r="B5504" s="219"/>
      <c r="C5504" s="219"/>
      <c r="D5504" s="219"/>
      <c r="E5504" s="219"/>
      <c r="F5504" s="219"/>
      <c r="G5504" s="219"/>
    </row>
    <row r="5505" spans="1:9" x14ac:dyDescent="0.25">
      <c r="A5505" s="49" t="s">
        <v>35</v>
      </c>
      <c r="B5505" s="219" t="s">
        <v>36</v>
      </c>
      <c r="C5505" s="219"/>
      <c r="D5505" s="49" t="s">
        <v>37</v>
      </c>
      <c r="E5505" s="49" t="s">
        <v>38</v>
      </c>
      <c r="F5505" s="49" t="s">
        <v>39</v>
      </c>
      <c r="G5505" s="49" t="s">
        <v>40</v>
      </c>
    </row>
    <row r="5506" spans="1:9" x14ac:dyDescent="0.25">
      <c r="A5506" s="50" t="s">
        <v>71</v>
      </c>
      <c r="B5506" s="71" t="str">
        <f>VLOOKUP(A5506,'Componentes APUs'!$A$1:$D$14,2,0)</f>
        <v>Camisa indigo sin partes metalicas</v>
      </c>
      <c r="C5506" s="71"/>
      <c r="D5506" s="50" t="str">
        <f>VLOOKUP(A5506,'Componentes APUs'!$A$1:$D$14,3,0)</f>
        <v>U</v>
      </c>
      <c r="E5506" s="50">
        <f>SUM(C5486:C5491)</f>
        <v>3.5</v>
      </c>
      <c r="F5506" s="51">
        <f>VLOOKUP(A5506,'Componentes APUs'!$A$1:$D$14,4,0)</f>
        <v>8585.8585858585866</v>
      </c>
      <c r="G5506" s="51">
        <f>ROUNDUP(F5506*(E5506/21)/E5473,0)</f>
        <v>48</v>
      </c>
      <c r="I5506" s="91"/>
    </row>
    <row r="5507" spans="1:9" x14ac:dyDescent="0.25">
      <c r="A5507" s="69" t="s">
        <v>73</v>
      </c>
      <c r="B5507" s="72" t="str">
        <f>VLOOKUP(A5507,'Componentes APUs'!$A$1:$D$14,2,0)</f>
        <v>Bota de seguridad dielectrica</v>
      </c>
      <c r="C5507" s="73"/>
      <c r="D5507" s="70" t="str">
        <f>VLOOKUP(A5507,'Componentes APUs'!$A$1:$D$14,3,0)</f>
        <v>Par</v>
      </c>
      <c r="E5507" s="50">
        <f>SUM(C5486:C5491)</f>
        <v>3.5</v>
      </c>
      <c r="F5507" s="51">
        <f>VLOOKUP(A5507,'Componentes APUs'!$A$1:$D$14,4,0)</f>
        <v>7500</v>
      </c>
      <c r="G5507" s="51">
        <f>ROUNDUP(F5507*(E5507/21)/E5473,0)</f>
        <v>42</v>
      </c>
    </row>
    <row r="5508" spans="1:9" x14ac:dyDescent="0.25">
      <c r="A5508" s="50" t="s">
        <v>76</v>
      </c>
      <c r="B5508" s="72" t="str">
        <f>VLOOKUP(A5508,'Componentes APUs'!$A$1:$D$14,2,0)</f>
        <v>Casco dielectrico Tipo 1 Clase E con barbuquejo</v>
      </c>
      <c r="C5508" s="73"/>
      <c r="D5508" s="50" t="str">
        <f>VLOOKUP(A5508,'Componentes APUs'!$A$1:$D$14,3,0)</f>
        <v>U</v>
      </c>
      <c r="E5508" s="50">
        <f>C5486+C5487+C5489+C5490+C5491+IF(A5488&lt;&gt;"MO-3",C5488,0)</f>
        <v>3.5</v>
      </c>
      <c r="F5508" s="51">
        <f>VLOOKUP(A5508,'Componentes APUs'!$A$1:$D$14,4,0)</f>
        <v>10101.010101010101</v>
      </c>
      <c r="G5508" s="51">
        <f>ROUNDUP(F5508*(E5508/21)/E5473,0)</f>
        <v>57</v>
      </c>
    </row>
    <row r="5509" spans="1:9" x14ac:dyDescent="0.25">
      <c r="A5509" s="69" t="s">
        <v>77</v>
      </c>
      <c r="B5509" s="72" t="str">
        <f>VLOOKUP(A5509,'Componentes APUs'!$A$1:$D$14,2,0)</f>
        <v>Correa plastica y antiflama</v>
      </c>
      <c r="C5509" s="73"/>
      <c r="D5509" s="50" t="str">
        <f>VLOOKUP(A5509,'Componentes APUs'!$A$1:$D$14,3,0)</f>
        <v>U</v>
      </c>
      <c r="E5509" s="50">
        <f>SUM(C5486:C5491)</f>
        <v>3.5</v>
      </c>
      <c r="F5509" s="51">
        <f>VLOOKUP(A5509,'Componentes APUs'!$A$1:$D$14,4,0)</f>
        <v>3787.878787878788</v>
      </c>
      <c r="G5509" s="51">
        <f>ROUNDUP(F5509*(E5509/21)/E5473,0)</f>
        <v>22</v>
      </c>
    </row>
    <row r="5510" spans="1:9" x14ac:dyDescent="0.25">
      <c r="A5510" s="50" t="s">
        <v>79</v>
      </c>
      <c r="B5510" s="72" t="str">
        <f>VLOOKUP(A5510,'Componentes APUs'!$A$1:$D$14,2,0)</f>
        <v>Gafas protectoras filtro UV</v>
      </c>
      <c r="C5510" s="73"/>
      <c r="D5510" s="50" t="str">
        <f>VLOOKUP(A5510,'Componentes APUs'!$A$1:$D$14,3,0)</f>
        <v>U</v>
      </c>
      <c r="E5510" s="50">
        <f>SUM(C5486:C5491)</f>
        <v>3.5</v>
      </c>
      <c r="F5510" s="51">
        <f>VLOOKUP(A5510,'Componentes APUs'!$A$1:$D$14,4,0)</f>
        <v>2777.7777777777778</v>
      </c>
      <c r="G5510" s="51">
        <f>ROUNDUP(F5510*(E5510/21)/E5473,0)</f>
        <v>16</v>
      </c>
    </row>
    <row r="5511" spans="1:9" x14ac:dyDescent="0.25">
      <c r="A5511" s="69" t="s">
        <v>402</v>
      </c>
      <c r="B5511" s="72" t="str">
        <f>VLOOKUP(A5511,'Componentes APUs'!$A$1:$D$14,2,0)</f>
        <v>Bota de seguridad PVC dielectrica</v>
      </c>
      <c r="C5511" s="73"/>
      <c r="D5511" s="50" t="str">
        <f>VLOOKUP(A5511,'Componentes APUs'!$A$1:$D$14,3,0)</f>
        <v>Par</v>
      </c>
      <c r="E5511" s="50">
        <f>SUM(C5486:C5491)</f>
        <v>3.5</v>
      </c>
      <c r="F5511" s="51">
        <f>VLOOKUP(A5511,'Componentes APUs'!$A$1:$D$14,4,0)</f>
        <v>2916.6666666666665</v>
      </c>
      <c r="G5511" s="51">
        <f>ROUNDUP(F5511*(E5511/21)/E5473,0)</f>
        <v>17</v>
      </c>
    </row>
    <row r="5512" spans="1:9" x14ac:dyDescent="0.25">
      <c r="A5512" s="50" t="s">
        <v>403</v>
      </c>
      <c r="B5512" s="72" t="str">
        <f>VLOOKUP(A5512,'Componentes APUs'!$A$1:$D$14,2,0)</f>
        <v>Capuchon</v>
      </c>
      <c r="C5512" s="73"/>
      <c r="D5512" s="50" t="str">
        <f>VLOOKUP(A5512,'Componentes APUs'!$A$1:$D$14,3,0)</f>
        <v>U</v>
      </c>
      <c r="E5512" s="50">
        <f>SUM(C5486:C5491)</f>
        <v>3.5</v>
      </c>
      <c r="F5512" s="51">
        <f>VLOOKUP(A5512,'Componentes APUs'!$A$1:$D$14,4,0)</f>
        <v>2525.2525252525252</v>
      </c>
      <c r="G5512" s="51">
        <f>ROUNDUP(F5512*(E5512/21)/E5473,0)</f>
        <v>15</v>
      </c>
    </row>
    <row r="5513" spans="1:9" x14ac:dyDescent="0.25">
      <c r="A5513" s="69" t="s">
        <v>81</v>
      </c>
      <c r="B5513" s="72" t="str">
        <f>VLOOKUP(A5513,'Componentes APUs'!$A$1:$D$14,2,0)</f>
        <v>Guantes Protectores  - ingeniero reforzados</v>
      </c>
      <c r="C5513" s="73"/>
      <c r="D5513" s="50" t="str">
        <f>VLOOKUP(A5513,'Componentes APUs'!$A$1:$D$14,3,0)</f>
        <v>Par</v>
      </c>
      <c r="E5513" s="50">
        <f>C5488+C5489+C5491</f>
        <v>3</v>
      </c>
      <c r="F5513" s="51">
        <f>VLOOKUP(A5513,'Componentes APUs'!$A$1:$D$14,4,0)</f>
        <v>2525.2525252525252</v>
      </c>
      <c r="G5513" s="51">
        <f>ROUNDUP(F5513*(E5513/21)/E5473,0)</f>
        <v>13</v>
      </c>
    </row>
    <row r="5514" spans="1:9" x14ac:dyDescent="0.25">
      <c r="A5514" s="50" t="s">
        <v>83</v>
      </c>
      <c r="B5514" s="72" t="str">
        <f>VLOOKUP(A5514,'Componentes APUs'!$A$1:$D$14,2,0)</f>
        <v>Impermeable (pantalon camisa)</v>
      </c>
      <c r="C5514" s="73"/>
      <c r="D5514" s="50" t="str">
        <f>VLOOKUP(A5514,'Componentes APUs'!$A$1:$D$14,3,0)</f>
        <v>U</v>
      </c>
      <c r="E5514" s="50">
        <f>SUM(C5486:C5491)</f>
        <v>3.5</v>
      </c>
      <c r="F5514" s="51">
        <f>VLOOKUP(A5514,'Componentes APUs'!$A$1:$D$14,4,0)</f>
        <v>3750</v>
      </c>
      <c r="G5514" s="51">
        <f>ROUNDUP(F5514*(E5514/21)/E5473,0)</f>
        <v>21</v>
      </c>
    </row>
    <row r="5515" spans="1:9" x14ac:dyDescent="0.25">
      <c r="A5515" s="69" t="s">
        <v>85</v>
      </c>
      <c r="B5515" s="72" t="str">
        <f>VLOOKUP(A5515,'Componentes APUs'!$A$1:$D$14,2,0)</f>
        <v>Jean Dielectrico</v>
      </c>
      <c r="C5515" s="73"/>
      <c r="D5515" s="50" t="str">
        <f>VLOOKUP(A5515,'Componentes APUs'!$A$1:$D$14,3,0)</f>
        <v>U</v>
      </c>
      <c r="E5515" s="50">
        <f>SUM(C5486:C5491)</f>
        <v>3.5</v>
      </c>
      <c r="F5515" s="51">
        <f>VLOOKUP(A5515,'Componentes APUs'!$A$1:$D$14,4,0)</f>
        <v>7575.757575757576</v>
      </c>
      <c r="G5515" s="51">
        <f>ROUNDUP(F5515*(E5515/21)/E5473,0)</f>
        <v>43</v>
      </c>
    </row>
    <row r="5516" spans="1:9" x14ac:dyDescent="0.25">
      <c r="A5516" s="50" t="s">
        <v>87</v>
      </c>
      <c r="B5516" s="72" t="str">
        <f>VLOOKUP(A5516,'Componentes APUs'!$A$1:$D$14,2,0)</f>
        <v>Casco dielectrico Tipo 2 Clase E con barboquejo</v>
      </c>
      <c r="C5516" s="73"/>
      <c r="D5516" s="50" t="str">
        <f>VLOOKUP(A5516,'Componentes APUs'!$A$1:$D$14,3,0)</f>
        <v>U</v>
      </c>
      <c r="E5516" s="53">
        <f>IF(A5488="MO-3",C5488,0)</f>
        <v>0</v>
      </c>
      <c r="F5516" s="51">
        <f>VLOOKUP(A5516,'Componentes APUs'!$A$1:$D$14,4,0)</f>
        <v>7500</v>
      </c>
      <c r="G5516" s="51">
        <f>ROUNDUP(F5516*(E5516/21)/E5473,0)</f>
        <v>0</v>
      </c>
    </row>
    <row r="5517" spans="1:9" x14ac:dyDescent="0.25">
      <c r="A5517" s="69" t="s">
        <v>89</v>
      </c>
      <c r="B5517" s="72" t="str">
        <f>VLOOKUP(A5517,'Componentes APUs'!$A$1:$D$14,2,0)</f>
        <v>Kit de rescate para trabajo en alturas</v>
      </c>
      <c r="C5517" s="73"/>
      <c r="D5517" s="50" t="str">
        <f>VLOOKUP(A5517,'Componentes APUs'!$A$1:$D$14,3,0)</f>
        <v>U</v>
      </c>
      <c r="E5517" s="50">
        <f>IF(AND(A5488="MO-3",C5488=2),1,0)</f>
        <v>0</v>
      </c>
      <c r="F5517" s="51">
        <f>VLOOKUP(A5517,'Componentes APUs'!$A$1:$D$14,4,0)</f>
        <v>37500</v>
      </c>
      <c r="G5517" s="51">
        <f>ROUNDUP(F5517*(E5517/21)/E5473,0)</f>
        <v>0</v>
      </c>
    </row>
    <row r="5518" spans="1:9" x14ac:dyDescent="0.25">
      <c r="A5518" s="50" t="s">
        <v>91</v>
      </c>
      <c r="B5518" s="72" t="str">
        <f>VLOOKUP(A5518,'Componentes APUs'!$A$1:$D$14,2,0)</f>
        <v>Equipo completo para trabajo en alturas con pretales (Arnes dielectrico, 1 mosqueton de seguridad, tie off dielectrico, eslinga de posicionamiento, juego de pretales)</v>
      </c>
      <c r="C5518" s="73"/>
      <c r="D5518" s="50" t="str">
        <f>VLOOKUP(A5518,'Componentes APUs'!$A$1:$D$14,3,0)</f>
        <v>U</v>
      </c>
      <c r="E5518" s="50">
        <f>IF(A5488="MO-3",C5488,0)</f>
        <v>0</v>
      </c>
      <c r="F5518" s="51">
        <f>VLOOKUP(A5518,'Componentes APUs'!$A$1:$D$14,4,0)</f>
        <v>26041.666666666668</v>
      </c>
      <c r="G5518" s="51">
        <f>ROUNDUP(F5518*(E5518/21)/E5473,0)</f>
        <v>0</v>
      </c>
    </row>
    <row r="5519" spans="1:9" x14ac:dyDescent="0.25">
      <c r="A5519" s="219" t="s">
        <v>95</v>
      </c>
      <c r="B5519" s="219"/>
      <c r="C5519" s="219"/>
      <c r="D5519" s="219"/>
      <c r="E5519" s="219"/>
      <c r="F5519" s="219"/>
      <c r="G5519" s="52">
        <f>SUM(G5506:G5518)</f>
        <v>294</v>
      </c>
    </row>
    <row r="5520" spans="1:9" x14ac:dyDescent="0.25">
      <c r="A5520" s="56"/>
      <c r="B5520" s="57"/>
      <c r="C5520" s="57"/>
      <c r="D5520" s="57"/>
      <c r="E5520" s="57"/>
      <c r="F5520" s="57"/>
      <c r="G5520" s="58"/>
    </row>
    <row r="5521" spans="1:7" x14ac:dyDescent="0.25">
      <c r="A5521" s="219" t="s">
        <v>96</v>
      </c>
      <c r="B5521" s="219"/>
      <c r="C5521" s="219"/>
      <c r="D5521" s="219"/>
      <c r="E5521" s="219"/>
      <c r="F5521" s="219"/>
      <c r="G5521" s="219"/>
    </row>
    <row r="5522" spans="1:7" x14ac:dyDescent="0.25">
      <c r="A5522" s="49" t="s">
        <v>35</v>
      </c>
      <c r="B5522" s="225" t="s">
        <v>36</v>
      </c>
      <c r="C5522" s="225"/>
      <c r="D5522" s="49" t="s">
        <v>37</v>
      </c>
      <c r="E5522" s="49" t="s">
        <v>38</v>
      </c>
      <c r="F5522" s="49" t="s">
        <v>39</v>
      </c>
      <c r="G5522" s="49" t="s">
        <v>40</v>
      </c>
    </row>
    <row r="5523" spans="1:7" x14ac:dyDescent="0.25">
      <c r="A5523" s="69" t="s">
        <v>97</v>
      </c>
      <c r="B5523" s="72" t="str">
        <f>VLOOKUP(A5523,'Componentes APUs'!$N$1:$Q$30,2,0)</f>
        <v>Camioneta</v>
      </c>
      <c r="C5523" s="73"/>
      <c r="D5523" s="70" t="str">
        <f>VLOOKUP(A5523,'Componentes APUs'!$N$1:$Q$30,3,0)</f>
        <v>U</v>
      </c>
      <c r="E5523" s="50">
        <v>0.5</v>
      </c>
      <c r="F5523" s="51">
        <f>VLOOKUP(A5523,'Componentes APUs'!$N$1:$Q$30,4,0)</f>
        <v>5500000</v>
      </c>
      <c r="G5523" s="51">
        <f>IFERROR(ROUNDUP(F5523*(E5523/21)/E5473,0),"-")</f>
        <v>4366</v>
      </c>
    </row>
    <row r="5524" spans="1:7" x14ac:dyDescent="0.25">
      <c r="A5524" s="50" t="s">
        <v>1473</v>
      </c>
      <c r="B5524" s="72" t="str">
        <f>VLOOKUP(A5524,'Componentes APUs'!$N$1:$Q$30,2,0)</f>
        <v>Concretera</v>
      </c>
      <c r="C5524" s="73"/>
      <c r="D5524" s="70" t="str">
        <f>VLOOKUP(A5524,'Componentes APUs'!$N$1:$Q$30,3,0)</f>
        <v>U</v>
      </c>
      <c r="E5524" s="50">
        <v>1</v>
      </c>
      <c r="F5524" s="51">
        <f>VLOOKUP(A5524,'Componentes APUs'!$N$1:$Q$30,4,0)</f>
        <v>550704</v>
      </c>
      <c r="G5524" s="51">
        <f>IFERROR(ROUNDUP(F5524*(E5524/21)/E5473,0),"-")</f>
        <v>875</v>
      </c>
    </row>
    <row r="5525" spans="1:7" x14ac:dyDescent="0.25">
      <c r="A5525" s="69" t="s">
        <v>1379</v>
      </c>
      <c r="B5525" s="72" t="str">
        <f>VLOOKUP(A5525,'Componentes APUs'!$N$1:$Q$30,2,0)</f>
        <v>Dumper de descarga Frontal 2T</v>
      </c>
      <c r="C5525" s="73"/>
      <c r="D5525" s="70" t="str">
        <f>VLOOKUP(A5525,'Componentes APUs'!$N$1:$Q$30,3,0)</f>
        <v>U</v>
      </c>
      <c r="E5525" s="50">
        <v>0</v>
      </c>
      <c r="F5525" s="51">
        <f>VLOOKUP(A5525,'Componentes APUs'!$N$1:$Q$30,4,0)</f>
        <v>4438716.24</v>
      </c>
      <c r="G5525" s="51">
        <f>IFERROR(ROUNDUP(F5525*(E5525/21)/E5473,0),"-")</f>
        <v>0</v>
      </c>
    </row>
    <row r="5526" spans="1:7" x14ac:dyDescent="0.25">
      <c r="A5526" s="50" t="s">
        <v>323</v>
      </c>
      <c r="B5526" s="72" t="str">
        <f>VLOOKUP(A5526,'Componentes APUs'!$N$1:$Q$30,2,0)</f>
        <v>Volqueta</v>
      </c>
      <c r="C5526" s="73"/>
      <c r="D5526" s="70" t="str">
        <f>VLOOKUP(A5526,'Componentes APUs'!$N$1:$Q$30,3,0)</f>
        <v>U</v>
      </c>
      <c r="E5526" s="50">
        <v>0</v>
      </c>
      <c r="F5526" s="51">
        <f>VLOOKUP(A5526,'Componentes APUs'!$N$1:$Q$30,4,0)</f>
        <v>14828184</v>
      </c>
      <c r="G5526" s="51">
        <f>IFERROR(ROUNDUP(F5526*(E5526/21)/E5473,0),"-")</f>
        <v>0</v>
      </c>
    </row>
    <row r="5527" spans="1:7" x14ac:dyDescent="0.25">
      <c r="A5527" s="69" t="s">
        <v>324</v>
      </c>
      <c r="B5527" s="72" t="str">
        <f>VLOOKUP(A5527,'Componentes APUs'!$N$1:$Q$30,2,0)</f>
        <v>Retroexcavadora</v>
      </c>
      <c r="C5527" s="73"/>
      <c r="D5527" s="70" t="str">
        <f>VLOOKUP(A5527,'Componentes APUs'!$N$1:$Q$30,3,0)</f>
        <v>U</v>
      </c>
      <c r="E5527" s="50">
        <v>0</v>
      </c>
      <c r="F5527" s="51">
        <f>VLOOKUP(A5527,'Componentes APUs'!$N$1:$Q$30,4,0)</f>
        <v>46030656</v>
      </c>
      <c r="G5527" s="51">
        <f>IFERROR(ROUNDUP(F5527*(E5527/21)/E5473,0),"-")</f>
        <v>0</v>
      </c>
    </row>
    <row r="5528" spans="1:7" x14ac:dyDescent="0.25">
      <c r="A5528" s="219" t="s">
        <v>99</v>
      </c>
      <c r="B5528" s="219"/>
      <c r="C5528" s="219"/>
      <c r="D5528" s="219"/>
      <c r="E5528" s="219"/>
      <c r="F5528" s="219"/>
      <c r="G5528" s="52">
        <f>SUM(G5523:G5527)</f>
        <v>5241</v>
      </c>
    </row>
    <row r="5529" spans="1:7" x14ac:dyDescent="0.25">
      <c r="A5529" s="56"/>
      <c r="B5529" s="57"/>
      <c r="C5529" s="57"/>
      <c r="D5529" s="57"/>
      <c r="E5529" s="57"/>
      <c r="F5529" s="57"/>
      <c r="G5529" s="58"/>
    </row>
    <row r="5530" spans="1:7" x14ac:dyDescent="0.25">
      <c r="A5530" s="219" t="s">
        <v>100</v>
      </c>
      <c r="B5530" s="219"/>
      <c r="C5530" s="219"/>
      <c r="D5530" s="219"/>
      <c r="E5530" s="219"/>
      <c r="F5530" s="219"/>
      <c r="G5530" s="52">
        <f>G5528+G5519+G5502+G5492+G5482</f>
        <v>264158</v>
      </c>
    </row>
    <row r="5531" spans="1:7" x14ac:dyDescent="0.25">
      <c r="A5531" s="59"/>
      <c r="B5531" s="60"/>
      <c r="C5531" s="60"/>
      <c r="D5531" s="60"/>
      <c r="E5531" s="57"/>
      <c r="F5531" s="57"/>
      <c r="G5531" s="58"/>
    </row>
    <row r="5532" spans="1:7" x14ac:dyDescent="0.25">
      <c r="A5532" s="64"/>
      <c r="D5532" s="55"/>
      <c r="E5532" s="49" t="s">
        <v>25</v>
      </c>
      <c r="F5532" s="54">
        <v>0.15</v>
      </c>
      <c r="G5532" s="51">
        <f>G5530*F5532</f>
        <v>39623.699999999997</v>
      </c>
    </row>
    <row r="5533" spans="1:7" x14ac:dyDescent="0.25">
      <c r="A5533" s="64"/>
      <c r="D5533" s="55"/>
      <c r="E5533" s="49" t="s">
        <v>26</v>
      </c>
      <c r="F5533" s="54">
        <v>0.05</v>
      </c>
      <c r="G5533" s="51">
        <f>G5530*F5533</f>
        <v>13207.900000000001</v>
      </c>
    </row>
    <row r="5534" spans="1:7" x14ac:dyDescent="0.25">
      <c r="A5534" s="61"/>
      <c r="B5534" s="65"/>
      <c r="C5534" s="65"/>
      <c r="D5534" s="62"/>
      <c r="E5534" s="49" t="s">
        <v>27</v>
      </c>
      <c r="F5534" s="54">
        <v>0.05</v>
      </c>
      <c r="G5534" s="51">
        <f>G5530*F5534</f>
        <v>13207.900000000001</v>
      </c>
    </row>
    <row r="5535" spans="1:7" x14ac:dyDescent="0.25">
      <c r="A5535" s="61"/>
      <c r="B5535" s="62"/>
      <c r="C5535" s="62"/>
      <c r="D5535" s="62"/>
      <c r="E5535" s="62"/>
      <c r="F5535" s="62"/>
      <c r="G5535" s="63"/>
    </row>
    <row r="5536" spans="1:7" x14ac:dyDescent="0.25">
      <c r="A5536" s="219" t="s">
        <v>101</v>
      </c>
      <c r="B5536" s="219"/>
      <c r="C5536" s="219"/>
      <c r="D5536" s="219"/>
      <c r="E5536" s="219"/>
      <c r="F5536" s="219"/>
      <c r="G5536" s="52">
        <f>G5530+G5532+G5533+G5534</f>
        <v>330197.50000000006</v>
      </c>
    </row>
    <row r="5537" spans="1:13" x14ac:dyDescent="0.25">
      <c r="A5537" s="59"/>
      <c r="B5537" s="60"/>
      <c r="C5537" s="60"/>
      <c r="D5537" s="60"/>
      <c r="E5537" s="57"/>
      <c r="F5537" s="57"/>
      <c r="G5537" s="58"/>
    </row>
    <row r="5538" spans="1:13" x14ac:dyDescent="0.25">
      <c r="A5538" s="64"/>
      <c r="D5538" s="55"/>
      <c r="E5538" s="49" t="s">
        <v>102</v>
      </c>
      <c r="F5538" s="49" t="s">
        <v>103</v>
      </c>
      <c r="G5538" s="51">
        <f>G5534*19%</f>
        <v>2509.5010000000002</v>
      </c>
    </row>
    <row r="5539" spans="1:13" x14ac:dyDescent="0.25">
      <c r="A5539" s="61"/>
      <c r="B5539" s="62"/>
      <c r="C5539" s="62"/>
      <c r="D5539" s="62"/>
      <c r="E5539" s="57"/>
      <c r="F5539" s="57"/>
      <c r="G5539" s="58"/>
    </row>
    <row r="5540" spans="1:13" x14ac:dyDescent="0.25">
      <c r="A5540" s="219" t="s">
        <v>104</v>
      </c>
      <c r="B5540" s="219"/>
      <c r="C5540" s="219"/>
      <c r="D5540" s="219"/>
      <c r="E5540" s="219"/>
      <c r="F5540" s="219"/>
      <c r="G5540" s="52">
        <f>G5538+G5536</f>
        <v>332707.00100000005</v>
      </c>
    </row>
    <row r="5542" spans="1:13" x14ac:dyDescent="0.25">
      <c r="A5542" s="74" t="s">
        <v>29</v>
      </c>
      <c r="B5542" s="226" t="s">
        <v>30</v>
      </c>
      <c r="C5542" s="226"/>
      <c r="D5542" s="74" t="s">
        <v>31</v>
      </c>
      <c r="E5542" s="74" t="s">
        <v>32</v>
      </c>
      <c r="F5542" s="74" t="s">
        <v>189</v>
      </c>
      <c r="G5542" s="74" t="s">
        <v>33</v>
      </c>
      <c r="H5542" s="105"/>
    </row>
    <row r="5543" spans="1:13" x14ac:dyDescent="0.25">
      <c r="A5543" s="50" t="str">
        <f>Presupuesto!B109</f>
        <v>090_OC</v>
      </c>
      <c r="B5543" s="229" t="str">
        <f>Presupuesto!C109</f>
        <v>VIGA DE AÉREA 12X12 CM</v>
      </c>
      <c r="C5543" s="230"/>
      <c r="D5543" s="50" t="s">
        <v>16</v>
      </c>
      <c r="E5543" s="107">
        <v>50</v>
      </c>
      <c r="F5543" s="50"/>
      <c r="G5543" s="51">
        <f>G5608</f>
        <v>76275.320000000007</v>
      </c>
      <c r="H5543" s="111"/>
    </row>
    <row r="5544" spans="1:13" x14ac:dyDescent="0.25">
      <c r="A5544" s="219" t="s">
        <v>34</v>
      </c>
      <c r="B5544" s="219"/>
      <c r="C5544" s="219"/>
      <c r="D5544" s="219"/>
      <c r="E5544" s="219"/>
      <c r="F5544" s="219"/>
      <c r="G5544" s="219"/>
    </row>
    <row r="5545" spans="1:13" ht="30.75" customHeight="1" x14ac:dyDescent="0.25">
      <c r="A5545" s="49" t="s">
        <v>35</v>
      </c>
      <c r="B5545" s="219" t="s">
        <v>36</v>
      </c>
      <c r="C5545" s="219"/>
      <c r="D5545" s="49" t="s">
        <v>37</v>
      </c>
      <c r="E5545" s="49" t="s">
        <v>38</v>
      </c>
      <c r="F5545" s="49" t="s">
        <v>39</v>
      </c>
      <c r="G5545" s="49" t="s">
        <v>40</v>
      </c>
      <c r="K5545" s="23"/>
      <c r="L5545" s="23"/>
    </row>
    <row r="5546" spans="1:13" x14ac:dyDescent="0.25">
      <c r="A5546" s="50" t="str">
        <f>Material!A218</f>
        <v>MA-217</v>
      </c>
      <c r="B5546" s="72" t="str">
        <f>IFERROR(VLOOKUP(A5546,Material!$A:$H,2,0),"-")</f>
        <v>FORMALETA EN MADERA CON TABLA DE 1"</v>
      </c>
      <c r="C5546" s="76"/>
      <c r="D5546" s="50" t="str">
        <f>IFERROR(VLOOKUP(A5546,Material!$A:$H,4,0),"-")</f>
        <v>M2</v>
      </c>
      <c r="E5546" s="107">
        <f>0.12*1*3</f>
        <v>0.36</v>
      </c>
      <c r="F5546" s="51">
        <f>IFERROR(VLOOKUP(A5546,Material!$A:$H,3,0),"-")</f>
        <v>24691.116165303549</v>
      </c>
      <c r="G5546" s="51">
        <f t="shared" ref="G5546:G5549" si="97">IFERROR(ROUNDUP(F5546*E5546,0),"-")</f>
        <v>8889</v>
      </c>
      <c r="H5546" s="112"/>
      <c r="I5546" s="110"/>
      <c r="J5546" s="113"/>
      <c r="K5546" s="114"/>
      <c r="L5546" s="115"/>
      <c r="M5546" s="115"/>
    </row>
    <row r="5547" spans="1:13" x14ac:dyDescent="0.25">
      <c r="A5547" s="50" t="str">
        <f>Material!A15</f>
        <v>MA-14</v>
      </c>
      <c r="B5547" s="72" t="str">
        <f>IFERROR(VLOOKUP(A5547,Material!$A:$H,2,0),"-")</f>
        <v>CONCRETO DE 3000 PSI</v>
      </c>
      <c r="C5547" s="76"/>
      <c r="D5547" s="50" t="str">
        <f>IFERROR(VLOOKUP(A5547,Material!$A:$H,4,0),"-")</f>
        <v>M3</v>
      </c>
      <c r="E5547" s="96">
        <f>0.12*0.12</f>
        <v>1.44E-2</v>
      </c>
      <c r="F5547" s="51">
        <f>IFERROR(VLOOKUP(A5547,Material!$A:$H,3,0),"-")</f>
        <v>620227.23330691375</v>
      </c>
      <c r="G5547" s="51">
        <f t="shared" si="97"/>
        <v>8932</v>
      </c>
      <c r="H5547" s="112"/>
      <c r="I5547" s="110"/>
      <c r="J5547" s="113"/>
      <c r="K5547" s="114"/>
      <c r="L5547" s="115"/>
      <c r="M5547" s="115"/>
    </row>
    <row r="5548" spans="1:13" x14ac:dyDescent="0.25">
      <c r="A5548" s="50" t="str">
        <f>Material!A587</f>
        <v>MA-586</v>
      </c>
      <c r="B5548" s="72" t="str">
        <f>IFERROR(VLOOKUP(A5548,Material!$A:$H,2,0),"-")</f>
        <v>ACERO Fy= 420 MPa</v>
      </c>
      <c r="C5548" s="76"/>
      <c r="D5548" s="50" t="str">
        <f>IFERROR(VLOOKUP(A5548,Material!$A:$H,4,0),"-")</f>
        <v>KG</v>
      </c>
      <c r="E5548" s="107">
        <f>250*E5547</f>
        <v>3.6</v>
      </c>
      <c r="F5548" s="51">
        <f>IFERROR(VLOOKUP(A5548,Material!$A:$H,3,0),"-")</f>
        <v>6962.8</v>
      </c>
      <c r="G5548" s="51">
        <f t="shared" si="97"/>
        <v>25067</v>
      </c>
      <c r="H5548" s="112"/>
      <c r="I5548" s="110"/>
      <c r="J5548" s="113"/>
      <c r="K5548" s="114"/>
      <c r="L5548" s="115"/>
      <c r="M5548" s="115"/>
    </row>
    <row r="5549" spans="1:13" x14ac:dyDescent="0.25">
      <c r="A5549" s="50"/>
      <c r="B5549" s="72" t="str">
        <f>IFERROR(VLOOKUP(A5549,Material!$A:$H,2,0),"-")</f>
        <v>-</v>
      </c>
      <c r="C5549" s="76"/>
      <c r="D5549" s="50" t="str">
        <f>IFERROR(VLOOKUP(A5549,Material!$A:$H,4,0),"-")</f>
        <v>-</v>
      </c>
      <c r="E5549" s="107"/>
      <c r="F5549" s="51" t="str">
        <f>IFERROR(VLOOKUP(A5549,Material!$A:$H,3,0),"-")</f>
        <v>-</v>
      </c>
      <c r="G5549" s="51" t="str">
        <f t="shared" si="97"/>
        <v>-</v>
      </c>
      <c r="H5549" s="112"/>
      <c r="I5549" s="110"/>
      <c r="J5549" s="113"/>
      <c r="K5549" s="114"/>
      <c r="L5549" s="115"/>
      <c r="M5549" s="115"/>
    </row>
    <row r="5550" spans="1:13" x14ac:dyDescent="0.25">
      <c r="A5550" s="219" t="s">
        <v>41</v>
      </c>
      <c r="B5550" s="219"/>
      <c r="C5550" s="219"/>
      <c r="D5550" s="219"/>
      <c r="E5550" s="219"/>
      <c r="F5550" s="219"/>
      <c r="G5550" s="52">
        <f>SUM(G5546:G5549)</f>
        <v>42888</v>
      </c>
      <c r="I5550" s="104"/>
    </row>
    <row r="5551" spans="1:13" x14ac:dyDescent="0.25">
      <c r="A5551" s="56"/>
      <c r="B5551" s="57"/>
      <c r="C5551" s="57"/>
      <c r="D5551" s="57"/>
      <c r="E5551" s="57"/>
      <c r="F5551" s="57"/>
      <c r="G5551" s="58"/>
    </row>
    <row r="5552" spans="1:13" x14ac:dyDescent="0.25">
      <c r="A5552" s="219" t="s">
        <v>42</v>
      </c>
      <c r="B5552" s="219"/>
      <c r="C5552" s="219"/>
      <c r="D5552" s="219"/>
      <c r="E5552" s="219"/>
      <c r="F5552" s="219"/>
      <c r="G5552" s="219"/>
    </row>
    <row r="5553" spans="1:9" x14ac:dyDescent="0.25">
      <c r="A5553" s="49" t="s">
        <v>35</v>
      </c>
      <c r="B5553" s="49" t="s">
        <v>36</v>
      </c>
      <c r="C5553" s="49" t="s">
        <v>38</v>
      </c>
      <c r="D5553" s="49" t="s">
        <v>43</v>
      </c>
      <c r="E5553" s="49" t="s">
        <v>44</v>
      </c>
      <c r="F5553" s="49" t="s">
        <v>45</v>
      </c>
      <c r="G5553" s="49" t="s">
        <v>40</v>
      </c>
    </row>
    <row r="5554" spans="1:9" x14ac:dyDescent="0.25">
      <c r="A5554" s="50" t="s">
        <v>319</v>
      </c>
      <c r="B5554" s="68" t="str">
        <f>VLOOKUP(A5554,'Componentes APUs'!$H$1:$L$25,2,0)</f>
        <v>Ingeniero Residente de Obra</v>
      </c>
      <c r="C5554" s="93">
        <v>0.25</v>
      </c>
      <c r="D5554" s="50">
        <f>VLOOKUP(A5554,'Componentes APUs'!$H$1:$L$25,3,0)</f>
        <v>4</v>
      </c>
      <c r="E5554" s="51">
        <f>VLOOKUP(A5554,'Componentes APUs'!$H$1:$L$25,4,0)</f>
        <v>271142.85714285716</v>
      </c>
      <c r="F5554" s="51">
        <f>VLOOKUP(A5554,'Componentes APUs'!$H$1:$L$25,5,0)</f>
        <v>162685.71428571429</v>
      </c>
      <c r="G5554" s="51">
        <f>ROUNDUP((E5554+F5554)*C5554/E5543,0)</f>
        <v>2170</v>
      </c>
      <c r="H5554" s="66"/>
    </row>
    <row r="5555" spans="1:9" x14ac:dyDescent="0.25">
      <c r="A5555" s="50" t="s">
        <v>320</v>
      </c>
      <c r="B5555" s="68" t="str">
        <f>VLOOKUP(A5555,'Componentes APUs'!$H$1:$L$25,2,0)</f>
        <v>Tecnico Supervisor</v>
      </c>
      <c r="C5555" s="93">
        <v>0</v>
      </c>
      <c r="D5555" s="50">
        <f>VLOOKUP(A5555,'Componentes APUs'!$H$1:$L$25,3,0)</f>
        <v>2.2999999999999998</v>
      </c>
      <c r="E5555" s="51">
        <f>VLOOKUP(A5555,'Componentes APUs'!$H$1:$L$25,4,0)</f>
        <v>155907.14285714284</v>
      </c>
      <c r="F5555" s="51">
        <f>VLOOKUP(A5555,'Componentes APUs'!$H$1:$L$25,5,0)</f>
        <v>93544.285714285696</v>
      </c>
      <c r="G5555" s="51">
        <f>ROUNDUP((E5555+F5555)*C5555/E5543,0)</f>
        <v>0</v>
      </c>
    </row>
    <row r="5556" spans="1:9" x14ac:dyDescent="0.25">
      <c r="A5556" s="50" t="s">
        <v>54</v>
      </c>
      <c r="B5556" s="68" t="str">
        <f>VLOOKUP(A5556,'Componentes APUs'!$H$1:$L$25,2,0)</f>
        <v>Maestro de obra civil</v>
      </c>
      <c r="C5556" s="93">
        <v>0</v>
      </c>
      <c r="D5556" s="50">
        <f>VLOOKUP(A5556,'Componentes APUs'!$H$1:$L$25,3,0)</f>
        <v>2.5</v>
      </c>
      <c r="E5556" s="51">
        <f>VLOOKUP(A5556,'Componentes APUs'!$H$1:$L$25,4,0)</f>
        <v>169464.28571428571</v>
      </c>
      <c r="F5556" s="51">
        <f>VLOOKUP(A5556,'Componentes APUs'!$H$1:$L$25,5,0)</f>
        <v>101678.57142857142</v>
      </c>
      <c r="G5556" s="51">
        <f>ROUNDUP((E5556+F5556)*C5556/E5543,0)</f>
        <v>0</v>
      </c>
    </row>
    <row r="5557" spans="1:9" x14ac:dyDescent="0.25">
      <c r="A5557" s="50" t="s">
        <v>1110</v>
      </c>
      <c r="B5557" s="68" t="str">
        <f>VLOOKUP(A5557,'Componentes APUs'!$H$1:$L$25,2,0)</f>
        <v>Oficial de Obra Civil</v>
      </c>
      <c r="C5557" s="93">
        <v>1</v>
      </c>
      <c r="D5557" s="50">
        <f>VLOOKUP(A5557,'Componentes APUs'!$H$1:$L$25,3,0)</f>
        <v>1.5</v>
      </c>
      <c r="E5557" s="51">
        <f>VLOOKUP(A5557,'Componentes APUs'!$H$1:$L$25,4,0)</f>
        <v>115964.28571428571</v>
      </c>
      <c r="F5557" s="51">
        <f>VLOOKUP(A5557,'Componentes APUs'!$H$1:$L$25,5,0)</f>
        <v>69578.57142857142</v>
      </c>
      <c r="G5557" s="51">
        <f>ROUNDUP((E5557+F5557)*C5557/E5543,0)</f>
        <v>3711</v>
      </c>
    </row>
    <row r="5558" spans="1:9" x14ac:dyDescent="0.25">
      <c r="A5558" s="50" t="s">
        <v>50</v>
      </c>
      <c r="B5558" s="68" t="str">
        <f>VLOOKUP(A5558,'Componentes APUs'!$H$1:$L$25,2,0)</f>
        <v>Profesional en SST</v>
      </c>
      <c r="C5558" s="93">
        <v>0.25</v>
      </c>
      <c r="D5558" s="50">
        <f>VLOOKUP(A5558,'Componentes APUs'!$H$1:$L$25,3,0)</f>
        <v>2.5</v>
      </c>
      <c r="E5558" s="51">
        <f>VLOOKUP(A5558,'Componentes APUs'!$H$1:$L$25,4,0)</f>
        <v>169464.28571428571</v>
      </c>
      <c r="F5558" s="51">
        <f>VLOOKUP(A5558,'Componentes APUs'!$H$1:$L$25,5,0)</f>
        <v>101678.57142857142</v>
      </c>
      <c r="G5558" s="51">
        <f>ROUNDUP((E5558+F5558)*C5558/E5543,0)</f>
        <v>1356</v>
      </c>
    </row>
    <row r="5559" spans="1:9" x14ac:dyDescent="0.25">
      <c r="A5559" s="50" t="s">
        <v>1109</v>
      </c>
      <c r="B5559" s="68" t="str">
        <f>VLOOKUP(A5559,'Componentes APUs'!$H$1:$L$25,2,0)</f>
        <v>Ayudante de Obra Civil</v>
      </c>
      <c r="C5559" s="93">
        <v>2</v>
      </c>
      <c r="D5559" s="50">
        <f>VLOOKUP(A5559,'Componentes APUs'!$H$1:$L$25,3,0)</f>
        <v>1</v>
      </c>
      <c r="E5559" s="51">
        <f>VLOOKUP(A5559,'Componentes APUs'!$H$1:$L$25,4,0)</f>
        <v>77309.523809523816</v>
      </c>
      <c r="F5559" s="51">
        <f>VLOOKUP(A5559,'Componentes APUs'!$H$1:$L$25,5,0)</f>
        <v>46385.71428571429</v>
      </c>
      <c r="G5559" s="51">
        <f>ROUNDUP((E5559+F5559)*C5559/E5543,0)</f>
        <v>4948</v>
      </c>
    </row>
    <row r="5560" spans="1:9" x14ac:dyDescent="0.25">
      <c r="A5560" s="219" t="s">
        <v>56</v>
      </c>
      <c r="B5560" s="219"/>
      <c r="C5560" s="219"/>
      <c r="D5560" s="219"/>
      <c r="E5560" s="219"/>
      <c r="F5560" s="219"/>
      <c r="G5560" s="52">
        <f>SUM(G5554:G5559)</f>
        <v>12185</v>
      </c>
    </row>
    <row r="5561" spans="1:9" x14ac:dyDescent="0.25">
      <c r="A5561" s="56"/>
      <c r="B5561" s="57"/>
      <c r="C5561" s="57"/>
      <c r="D5561" s="57"/>
      <c r="E5561" s="57"/>
      <c r="F5561" s="57"/>
      <c r="G5561" s="58"/>
    </row>
    <row r="5562" spans="1:9" x14ac:dyDescent="0.25">
      <c r="A5562" s="219" t="s">
        <v>57</v>
      </c>
      <c r="B5562" s="219"/>
      <c r="C5562" s="219"/>
      <c r="D5562" s="219"/>
      <c r="E5562" s="219"/>
      <c r="F5562" s="219"/>
      <c r="G5562" s="219"/>
    </row>
    <row r="5563" spans="1:9" x14ac:dyDescent="0.25">
      <c r="A5563" s="49" t="s">
        <v>35</v>
      </c>
      <c r="B5563" s="219" t="s">
        <v>36</v>
      </c>
      <c r="C5563" s="219"/>
      <c r="D5563" s="49" t="s">
        <v>37</v>
      </c>
      <c r="E5563" s="49" t="s">
        <v>38</v>
      </c>
      <c r="F5563" s="49" t="s">
        <v>39</v>
      </c>
      <c r="G5563" s="49" t="s">
        <v>40</v>
      </c>
    </row>
    <row r="5564" spans="1:9" x14ac:dyDescent="0.25">
      <c r="A5564" s="50" t="s">
        <v>326</v>
      </c>
      <c r="B5564" s="220" t="str">
        <f>VLOOKUP(A5564,'Componentes APUs'!$S$1:$V$10,2,0)</f>
        <v>Juego Llaves</v>
      </c>
      <c r="C5564" s="220"/>
      <c r="D5564" s="50" t="s">
        <v>18</v>
      </c>
      <c r="E5564" s="50">
        <v>0</v>
      </c>
      <c r="F5564" s="51">
        <f>VLOOKUP(A5564,'Componentes APUs'!$S$1:$V$10,4,0)</f>
        <v>9167</v>
      </c>
      <c r="G5564" s="51">
        <f>ROUNDUP(F5564*((E5564/21)/E5543),0)</f>
        <v>0</v>
      </c>
      <c r="I5564" s="91"/>
    </row>
    <row r="5565" spans="1:9" x14ac:dyDescent="0.25">
      <c r="A5565" s="50" t="s">
        <v>58</v>
      </c>
      <c r="B5565" s="220" t="str">
        <f>VLOOKUP(A5565,'Componentes APUs'!$S$1:$V$10,2,0)</f>
        <v>Manila de servicio</v>
      </c>
      <c r="C5565" s="220"/>
      <c r="D5565" s="50" t="s">
        <v>18</v>
      </c>
      <c r="E5565" s="50">
        <v>0</v>
      </c>
      <c r="F5565" s="51">
        <f>VLOOKUP(A5565,'Componentes APUs'!$S$1:$V$10,4,0)</f>
        <v>2333</v>
      </c>
      <c r="G5565" s="51">
        <f>ROUNDUP(F5565*((E5565/21)/E5543),0)</f>
        <v>0</v>
      </c>
    </row>
    <row r="5566" spans="1:9" x14ac:dyDescent="0.25">
      <c r="A5566" s="50" t="s">
        <v>327</v>
      </c>
      <c r="B5566" s="220" t="str">
        <f>VLOOKUP(A5566,'Componentes APUs'!$S$1:$V$10,2,0)</f>
        <v>Tula portaherramientas</v>
      </c>
      <c r="C5566" s="220"/>
      <c r="D5566" s="50" t="s">
        <v>18</v>
      </c>
      <c r="E5566" s="50">
        <v>0</v>
      </c>
      <c r="F5566" s="51">
        <f>VLOOKUP(A5566,'Componentes APUs'!$S$1:$V$10,4,0)</f>
        <v>1250</v>
      </c>
      <c r="G5566" s="51">
        <f>ROUNDUP(F5566*((E5566/21)/E5543),0)</f>
        <v>0</v>
      </c>
    </row>
    <row r="5567" spans="1:9" x14ac:dyDescent="0.25">
      <c r="A5567" s="50" t="s">
        <v>60</v>
      </c>
      <c r="B5567" s="220" t="str">
        <f>VLOOKUP(A5567,'Componentes APUs'!$S$1:$V$10,2,0)</f>
        <v>Agarradoras</v>
      </c>
      <c r="C5567" s="220"/>
      <c r="D5567" s="50" t="s">
        <v>18</v>
      </c>
      <c r="E5567" s="50">
        <v>0</v>
      </c>
      <c r="F5567" s="51">
        <f>VLOOKUP(A5567,'Componentes APUs'!$S$1:$V$10,4,0)</f>
        <v>125000</v>
      </c>
      <c r="G5567" s="51">
        <f>ROUNDUP(F5567*((E5567/21)/E5543),0)</f>
        <v>0</v>
      </c>
    </row>
    <row r="5568" spans="1:9" x14ac:dyDescent="0.25">
      <c r="A5568" s="50" t="s">
        <v>62</v>
      </c>
      <c r="B5568" s="220" t="str">
        <f>VLOOKUP(A5568,'Componentes APUs'!$S$1:$V$10,2,0)</f>
        <v>Templadoras</v>
      </c>
      <c r="C5568" s="220"/>
      <c r="D5568" s="50" t="s">
        <v>18</v>
      </c>
      <c r="E5568" s="50">
        <v>0</v>
      </c>
      <c r="F5568" s="51">
        <f>VLOOKUP(A5568,'Componentes APUs'!$S$1:$V$10,4,0)</f>
        <v>250000</v>
      </c>
      <c r="G5568" s="51">
        <f>ROUNDUP(F5568*((E5568/21)/E5543),0)</f>
        <v>0</v>
      </c>
    </row>
    <row r="5569" spans="1:9" x14ac:dyDescent="0.25">
      <c r="A5569" s="50" t="s">
        <v>328</v>
      </c>
      <c r="B5569" s="220" t="str">
        <f>VLOOKUP(A5569,'Componentes APUs'!$S$1:$V$10,2,0)</f>
        <v>Herramienta Menor</v>
      </c>
      <c r="C5569" s="220"/>
      <c r="D5569" s="50" t="s">
        <v>18</v>
      </c>
      <c r="E5569" s="50">
        <v>30</v>
      </c>
      <c r="F5569" s="51">
        <f>VLOOKUP(A5569,'Componentes APUs'!$S$1:$V$10,4,0)</f>
        <v>75758</v>
      </c>
      <c r="G5569" s="51">
        <f>ROUNDUP(F5569*((E5569/21)/E5543),0)</f>
        <v>2165</v>
      </c>
    </row>
    <row r="5570" spans="1:9" x14ac:dyDescent="0.25">
      <c r="A5570" s="219" t="s">
        <v>69</v>
      </c>
      <c r="B5570" s="219"/>
      <c r="C5570" s="219"/>
      <c r="D5570" s="219"/>
      <c r="E5570" s="219"/>
      <c r="F5570" s="219"/>
      <c r="G5570" s="52">
        <f>SUM(G5564:G5569)</f>
        <v>2165</v>
      </c>
    </row>
    <row r="5571" spans="1:9" x14ac:dyDescent="0.25">
      <c r="A5571" s="56"/>
      <c r="B5571" s="57"/>
      <c r="C5571" s="57"/>
      <c r="D5571" s="57"/>
      <c r="E5571" s="57"/>
      <c r="F5571" s="57"/>
      <c r="G5571" s="58"/>
    </row>
    <row r="5572" spans="1:9" x14ac:dyDescent="0.25">
      <c r="A5572" s="219" t="s">
        <v>70</v>
      </c>
      <c r="B5572" s="219"/>
      <c r="C5572" s="219"/>
      <c r="D5572" s="219"/>
      <c r="E5572" s="219"/>
      <c r="F5572" s="219"/>
      <c r="G5572" s="219"/>
    </row>
    <row r="5573" spans="1:9" x14ac:dyDescent="0.25">
      <c r="A5573" s="49" t="s">
        <v>35</v>
      </c>
      <c r="B5573" s="219" t="s">
        <v>36</v>
      </c>
      <c r="C5573" s="219"/>
      <c r="D5573" s="49" t="s">
        <v>37</v>
      </c>
      <c r="E5573" s="49" t="s">
        <v>38</v>
      </c>
      <c r="F5573" s="49" t="s">
        <v>39</v>
      </c>
      <c r="G5573" s="49" t="s">
        <v>40</v>
      </c>
    </row>
    <row r="5574" spans="1:9" x14ac:dyDescent="0.25">
      <c r="A5574" s="50" t="s">
        <v>71</v>
      </c>
      <c r="B5574" s="71" t="str">
        <f>VLOOKUP(A5574,'Componentes APUs'!$A$1:$D$14,2,0)</f>
        <v>Camisa indigo sin partes metalicas</v>
      </c>
      <c r="C5574" s="71"/>
      <c r="D5574" s="50" t="str">
        <f>VLOOKUP(A5574,'Componentes APUs'!$A$1:$D$14,3,0)</f>
        <v>U</v>
      </c>
      <c r="E5574" s="50">
        <f>SUM(C5554:C5559)</f>
        <v>3.5</v>
      </c>
      <c r="F5574" s="51">
        <f>VLOOKUP(A5574,'Componentes APUs'!$A$1:$D$14,4,0)</f>
        <v>8585.8585858585866</v>
      </c>
      <c r="G5574" s="51">
        <f>ROUNDUP(F5574*(E5574/21)/E5543,0)</f>
        <v>29</v>
      </c>
      <c r="I5574" s="91"/>
    </row>
    <row r="5575" spans="1:9" x14ac:dyDescent="0.25">
      <c r="A5575" s="69" t="s">
        <v>73</v>
      </c>
      <c r="B5575" s="72" t="str">
        <f>VLOOKUP(A5575,'Componentes APUs'!$A$1:$D$14,2,0)</f>
        <v>Bota de seguridad dielectrica</v>
      </c>
      <c r="C5575" s="73"/>
      <c r="D5575" s="70" t="str">
        <f>VLOOKUP(A5575,'Componentes APUs'!$A$1:$D$14,3,0)</f>
        <v>Par</v>
      </c>
      <c r="E5575" s="50">
        <f>SUM(C5554:C5559)</f>
        <v>3.5</v>
      </c>
      <c r="F5575" s="51">
        <f>VLOOKUP(A5575,'Componentes APUs'!$A$1:$D$14,4,0)</f>
        <v>7500</v>
      </c>
      <c r="G5575" s="51">
        <f>ROUNDUP(F5575*(E5575/21)/E5543,0)</f>
        <v>25</v>
      </c>
    </row>
    <row r="5576" spans="1:9" x14ac:dyDescent="0.25">
      <c r="A5576" s="50" t="s">
        <v>76</v>
      </c>
      <c r="B5576" s="72" t="str">
        <f>VLOOKUP(A5576,'Componentes APUs'!$A$1:$D$14,2,0)</f>
        <v>Casco dielectrico Tipo 1 Clase E con barbuquejo</v>
      </c>
      <c r="C5576" s="73"/>
      <c r="D5576" s="50" t="str">
        <f>VLOOKUP(A5576,'Componentes APUs'!$A$1:$D$14,3,0)</f>
        <v>U</v>
      </c>
      <c r="E5576" s="50">
        <f>C5554+C5555+C5557+C5558+C5559+IF(A5556&lt;&gt;"MO-3",C5556,0)</f>
        <v>3.5</v>
      </c>
      <c r="F5576" s="51">
        <f>VLOOKUP(A5576,'Componentes APUs'!$A$1:$D$14,4,0)</f>
        <v>10101.010101010101</v>
      </c>
      <c r="G5576" s="51">
        <f>ROUNDUP(F5576*(E5576/21)/E5543,0)</f>
        <v>34</v>
      </c>
    </row>
    <row r="5577" spans="1:9" x14ac:dyDescent="0.25">
      <c r="A5577" s="69" t="s">
        <v>77</v>
      </c>
      <c r="B5577" s="72" t="str">
        <f>VLOOKUP(A5577,'Componentes APUs'!$A$1:$D$14,2,0)</f>
        <v>Correa plastica y antiflama</v>
      </c>
      <c r="C5577" s="73"/>
      <c r="D5577" s="50" t="str">
        <f>VLOOKUP(A5577,'Componentes APUs'!$A$1:$D$14,3,0)</f>
        <v>U</v>
      </c>
      <c r="E5577" s="50">
        <f>SUM(C5554:C5559)</f>
        <v>3.5</v>
      </c>
      <c r="F5577" s="51">
        <f>VLOOKUP(A5577,'Componentes APUs'!$A$1:$D$14,4,0)</f>
        <v>3787.878787878788</v>
      </c>
      <c r="G5577" s="51">
        <f>ROUNDUP(F5577*(E5577/21)/E5543,0)</f>
        <v>13</v>
      </c>
    </row>
    <row r="5578" spans="1:9" x14ac:dyDescent="0.25">
      <c r="A5578" s="50" t="s">
        <v>79</v>
      </c>
      <c r="B5578" s="72" t="str">
        <f>VLOOKUP(A5578,'Componentes APUs'!$A$1:$D$14,2,0)</f>
        <v>Gafas protectoras filtro UV</v>
      </c>
      <c r="C5578" s="73"/>
      <c r="D5578" s="50" t="str">
        <f>VLOOKUP(A5578,'Componentes APUs'!$A$1:$D$14,3,0)</f>
        <v>U</v>
      </c>
      <c r="E5578" s="50">
        <f>SUM(C5554:C5559)</f>
        <v>3.5</v>
      </c>
      <c r="F5578" s="51">
        <f>VLOOKUP(A5578,'Componentes APUs'!$A$1:$D$14,4,0)</f>
        <v>2777.7777777777778</v>
      </c>
      <c r="G5578" s="51">
        <f>ROUNDUP(F5578*(E5578/21)/E5543,0)</f>
        <v>10</v>
      </c>
    </row>
    <row r="5579" spans="1:9" x14ac:dyDescent="0.25">
      <c r="A5579" s="69" t="s">
        <v>402</v>
      </c>
      <c r="B5579" s="72" t="str">
        <f>VLOOKUP(A5579,'Componentes APUs'!$A$1:$D$14,2,0)</f>
        <v>Bota de seguridad PVC dielectrica</v>
      </c>
      <c r="C5579" s="73"/>
      <c r="D5579" s="50" t="str">
        <f>VLOOKUP(A5579,'Componentes APUs'!$A$1:$D$14,3,0)</f>
        <v>Par</v>
      </c>
      <c r="E5579" s="50">
        <f>SUM(C5554:C5559)</f>
        <v>3.5</v>
      </c>
      <c r="F5579" s="51">
        <f>VLOOKUP(A5579,'Componentes APUs'!$A$1:$D$14,4,0)</f>
        <v>2916.6666666666665</v>
      </c>
      <c r="G5579" s="51">
        <f>ROUNDUP(F5579*(E5579/21)/E5543,0)</f>
        <v>10</v>
      </c>
    </row>
    <row r="5580" spans="1:9" x14ac:dyDescent="0.25">
      <c r="A5580" s="50" t="s">
        <v>403</v>
      </c>
      <c r="B5580" s="72" t="str">
        <f>VLOOKUP(A5580,'Componentes APUs'!$A$1:$D$14,2,0)</f>
        <v>Capuchon</v>
      </c>
      <c r="C5580" s="73"/>
      <c r="D5580" s="50" t="str">
        <f>VLOOKUP(A5580,'Componentes APUs'!$A$1:$D$14,3,0)</f>
        <v>U</v>
      </c>
      <c r="E5580" s="50">
        <f>SUM(C5554:C5559)</f>
        <v>3.5</v>
      </c>
      <c r="F5580" s="51">
        <f>VLOOKUP(A5580,'Componentes APUs'!$A$1:$D$14,4,0)</f>
        <v>2525.2525252525252</v>
      </c>
      <c r="G5580" s="51">
        <f>ROUNDUP(F5580*(E5580/21)/E5543,0)</f>
        <v>9</v>
      </c>
    </row>
    <row r="5581" spans="1:9" x14ac:dyDescent="0.25">
      <c r="A5581" s="69" t="s">
        <v>81</v>
      </c>
      <c r="B5581" s="72" t="str">
        <f>VLOOKUP(A5581,'Componentes APUs'!$A$1:$D$14,2,0)</f>
        <v>Guantes Protectores  - ingeniero reforzados</v>
      </c>
      <c r="C5581" s="73"/>
      <c r="D5581" s="50" t="str">
        <f>VLOOKUP(A5581,'Componentes APUs'!$A$1:$D$14,3,0)</f>
        <v>Par</v>
      </c>
      <c r="E5581" s="50">
        <f>C5556+C5557+C5559</f>
        <v>3</v>
      </c>
      <c r="F5581" s="51">
        <f>VLOOKUP(A5581,'Componentes APUs'!$A$1:$D$14,4,0)</f>
        <v>2525.2525252525252</v>
      </c>
      <c r="G5581" s="51">
        <f>ROUNDUP(F5581*(E5581/21)/E5543,0)</f>
        <v>8</v>
      </c>
    </row>
    <row r="5582" spans="1:9" x14ac:dyDescent="0.25">
      <c r="A5582" s="50" t="s">
        <v>83</v>
      </c>
      <c r="B5582" s="72" t="str">
        <f>VLOOKUP(A5582,'Componentes APUs'!$A$1:$D$14,2,0)</f>
        <v>Impermeable (pantalon camisa)</v>
      </c>
      <c r="C5582" s="73"/>
      <c r="D5582" s="50" t="str">
        <f>VLOOKUP(A5582,'Componentes APUs'!$A$1:$D$14,3,0)</f>
        <v>U</v>
      </c>
      <c r="E5582" s="50">
        <f>SUM(C5554:C5559)</f>
        <v>3.5</v>
      </c>
      <c r="F5582" s="51">
        <f>VLOOKUP(A5582,'Componentes APUs'!$A$1:$D$14,4,0)</f>
        <v>3750</v>
      </c>
      <c r="G5582" s="51">
        <f>ROUNDUP(F5582*(E5582/21)/E5543,0)</f>
        <v>13</v>
      </c>
    </row>
    <row r="5583" spans="1:9" x14ac:dyDescent="0.25">
      <c r="A5583" s="69" t="s">
        <v>85</v>
      </c>
      <c r="B5583" s="72" t="str">
        <f>VLOOKUP(A5583,'Componentes APUs'!$A$1:$D$14,2,0)</f>
        <v>Jean Dielectrico</v>
      </c>
      <c r="C5583" s="73"/>
      <c r="D5583" s="50" t="str">
        <f>VLOOKUP(A5583,'Componentes APUs'!$A$1:$D$14,3,0)</f>
        <v>U</v>
      </c>
      <c r="E5583" s="50">
        <f>SUM(C5554:C5559)</f>
        <v>3.5</v>
      </c>
      <c r="F5583" s="51">
        <f>VLOOKUP(A5583,'Componentes APUs'!$A$1:$D$14,4,0)</f>
        <v>7575.757575757576</v>
      </c>
      <c r="G5583" s="51">
        <f>ROUNDUP(F5583*(E5583/21)/E5543,0)</f>
        <v>26</v>
      </c>
    </row>
    <row r="5584" spans="1:9" x14ac:dyDescent="0.25">
      <c r="A5584" s="50" t="s">
        <v>87</v>
      </c>
      <c r="B5584" s="72" t="str">
        <f>VLOOKUP(A5584,'Componentes APUs'!$A$1:$D$14,2,0)</f>
        <v>Casco dielectrico Tipo 2 Clase E con barboquejo</v>
      </c>
      <c r="C5584" s="73"/>
      <c r="D5584" s="50" t="str">
        <f>VLOOKUP(A5584,'Componentes APUs'!$A$1:$D$14,3,0)</f>
        <v>U</v>
      </c>
      <c r="E5584" s="53">
        <f>IF(A5556="MO-3",C5556,0)</f>
        <v>0</v>
      </c>
      <c r="F5584" s="51">
        <f>VLOOKUP(A5584,'Componentes APUs'!$A$1:$D$14,4,0)</f>
        <v>7500</v>
      </c>
      <c r="G5584" s="51">
        <f>ROUNDUP(F5584*(E5584/21)/E5543,0)</f>
        <v>0</v>
      </c>
    </row>
    <row r="5585" spans="1:7" x14ac:dyDescent="0.25">
      <c r="A5585" s="69" t="s">
        <v>89</v>
      </c>
      <c r="B5585" s="72" t="str">
        <f>VLOOKUP(A5585,'Componentes APUs'!$A$1:$D$14,2,0)</f>
        <v>Kit de rescate para trabajo en alturas</v>
      </c>
      <c r="C5585" s="73"/>
      <c r="D5585" s="50" t="str">
        <f>VLOOKUP(A5585,'Componentes APUs'!$A$1:$D$14,3,0)</f>
        <v>U</v>
      </c>
      <c r="E5585" s="50">
        <f>IF(AND(A5556="MO-3",C5556=2),1,0)</f>
        <v>0</v>
      </c>
      <c r="F5585" s="51">
        <f>VLOOKUP(A5585,'Componentes APUs'!$A$1:$D$14,4,0)</f>
        <v>37500</v>
      </c>
      <c r="G5585" s="51">
        <f>ROUNDUP(F5585*(E5585/21)/E5543,0)</f>
        <v>0</v>
      </c>
    </row>
    <row r="5586" spans="1:7" x14ac:dyDescent="0.25">
      <c r="A5586" s="50" t="s">
        <v>91</v>
      </c>
      <c r="B5586" s="72" t="str">
        <f>VLOOKUP(A5586,'Componentes APUs'!$A$1:$D$14,2,0)</f>
        <v>Equipo completo para trabajo en alturas con pretales (Arnes dielectrico, 1 mosqueton de seguridad, tie off dielectrico, eslinga de posicionamiento, juego de pretales)</v>
      </c>
      <c r="C5586" s="73"/>
      <c r="D5586" s="50" t="str">
        <f>VLOOKUP(A5586,'Componentes APUs'!$A$1:$D$14,3,0)</f>
        <v>U</v>
      </c>
      <c r="E5586" s="50">
        <f>IF(A5556="MO-3",C5556,0)</f>
        <v>0</v>
      </c>
      <c r="F5586" s="51">
        <f>VLOOKUP(A5586,'Componentes APUs'!$A$1:$D$14,4,0)</f>
        <v>26041.666666666668</v>
      </c>
      <c r="G5586" s="51">
        <f>ROUNDUP(F5586*(E5586/21)/E5543,0)</f>
        <v>0</v>
      </c>
    </row>
    <row r="5587" spans="1:7" x14ac:dyDescent="0.25">
      <c r="A5587" s="219" t="s">
        <v>95</v>
      </c>
      <c r="B5587" s="219"/>
      <c r="C5587" s="219"/>
      <c r="D5587" s="219"/>
      <c r="E5587" s="219"/>
      <c r="F5587" s="219"/>
      <c r="G5587" s="52">
        <f>SUM(G5574:G5586)</f>
        <v>177</v>
      </c>
    </row>
    <row r="5588" spans="1:7" x14ac:dyDescent="0.25">
      <c r="A5588" s="56"/>
      <c r="B5588" s="57"/>
      <c r="C5588" s="57"/>
      <c r="D5588" s="57"/>
      <c r="E5588" s="57"/>
      <c r="F5588" s="57"/>
      <c r="G5588" s="58"/>
    </row>
    <row r="5589" spans="1:7" x14ac:dyDescent="0.25">
      <c r="A5589" s="219" t="s">
        <v>96</v>
      </c>
      <c r="B5589" s="219"/>
      <c r="C5589" s="219"/>
      <c r="D5589" s="219"/>
      <c r="E5589" s="219"/>
      <c r="F5589" s="219"/>
      <c r="G5589" s="219"/>
    </row>
    <row r="5590" spans="1:7" x14ac:dyDescent="0.25">
      <c r="A5590" s="49" t="s">
        <v>35</v>
      </c>
      <c r="B5590" s="225" t="s">
        <v>36</v>
      </c>
      <c r="C5590" s="225"/>
      <c r="D5590" s="49" t="s">
        <v>37</v>
      </c>
      <c r="E5590" s="49" t="s">
        <v>38</v>
      </c>
      <c r="F5590" s="49" t="s">
        <v>39</v>
      </c>
      <c r="G5590" s="49" t="s">
        <v>40</v>
      </c>
    </row>
    <row r="5591" spans="1:7" x14ac:dyDescent="0.25">
      <c r="A5591" s="69" t="s">
        <v>97</v>
      </c>
      <c r="B5591" s="72" t="str">
        <f>VLOOKUP(A5591,'Componentes APUs'!$N$1:$Q$30,2,0)</f>
        <v>Camioneta</v>
      </c>
      <c r="C5591" s="73"/>
      <c r="D5591" s="70" t="str">
        <f>VLOOKUP(A5591,'Componentes APUs'!$N$1:$Q$30,3,0)</f>
        <v>U</v>
      </c>
      <c r="E5591" s="50">
        <v>0.5</v>
      </c>
      <c r="F5591" s="51">
        <f>VLOOKUP(A5591,'Componentes APUs'!$N$1:$Q$30,4,0)</f>
        <v>5500000</v>
      </c>
      <c r="G5591" s="51">
        <f>IFERROR(ROUNDUP(F5591*(E5591/21)/E5543,0),"-")</f>
        <v>2620</v>
      </c>
    </row>
    <row r="5592" spans="1:7" x14ac:dyDescent="0.25">
      <c r="A5592" s="50" t="s">
        <v>1473</v>
      </c>
      <c r="B5592" s="72" t="str">
        <f>VLOOKUP(A5592,'Componentes APUs'!$N$1:$Q$30,2,0)</f>
        <v>Concretera</v>
      </c>
      <c r="C5592" s="73"/>
      <c r="D5592" s="70" t="str">
        <f>VLOOKUP(A5592,'Componentes APUs'!$N$1:$Q$30,3,0)</f>
        <v>U</v>
      </c>
      <c r="E5592" s="50">
        <v>1</v>
      </c>
      <c r="F5592" s="51">
        <f>VLOOKUP(A5592,'Componentes APUs'!$N$1:$Q$30,4,0)</f>
        <v>550704</v>
      </c>
      <c r="G5592" s="51">
        <f>IFERROR(ROUNDUP(F5592*(E5592/21)/E5543,0),"-")</f>
        <v>525</v>
      </c>
    </row>
    <row r="5593" spans="1:7" x14ac:dyDescent="0.25">
      <c r="A5593" s="69" t="s">
        <v>1379</v>
      </c>
      <c r="B5593" s="72" t="str">
        <f>VLOOKUP(A5593,'Componentes APUs'!$N$1:$Q$30,2,0)</f>
        <v>Dumper de descarga Frontal 2T</v>
      </c>
      <c r="C5593" s="73"/>
      <c r="D5593" s="70" t="str">
        <f>VLOOKUP(A5593,'Componentes APUs'!$N$1:$Q$30,3,0)</f>
        <v>U</v>
      </c>
      <c r="E5593" s="50">
        <v>0</v>
      </c>
      <c r="F5593" s="51">
        <f>VLOOKUP(A5593,'Componentes APUs'!$N$1:$Q$30,4,0)</f>
        <v>4438716.24</v>
      </c>
      <c r="G5593" s="51">
        <f>IFERROR(ROUNDUP(F5593*(E5593/21)/E5543,0),"-")</f>
        <v>0</v>
      </c>
    </row>
    <row r="5594" spans="1:7" x14ac:dyDescent="0.25">
      <c r="A5594" s="50" t="s">
        <v>323</v>
      </c>
      <c r="B5594" s="72" t="str">
        <f>VLOOKUP(A5594,'Componentes APUs'!$N$1:$Q$30,2,0)</f>
        <v>Volqueta</v>
      </c>
      <c r="C5594" s="73"/>
      <c r="D5594" s="70" t="str">
        <f>VLOOKUP(A5594,'Componentes APUs'!$N$1:$Q$30,3,0)</f>
        <v>U</v>
      </c>
      <c r="E5594" s="50">
        <v>0</v>
      </c>
      <c r="F5594" s="51">
        <f>VLOOKUP(A5594,'Componentes APUs'!$N$1:$Q$30,4,0)</f>
        <v>14828184</v>
      </c>
      <c r="G5594" s="51">
        <f>IFERROR(ROUNDUP(F5594*(E5594/21)/E5543,0),"-")</f>
        <v>0</v>
      </c>
    </row>
    <row r="5595" spans="1:7" x14ac:dyDescent="0.25">
      <c r="A5595" s="69" t="s">
        <v>324</v>
      </c>
      <c r="B5595" s="72" t="str">
        <f>VLOOKUP(A5595,'Componentes APUs'!$N$1:$Q$30,2,0)</f>
        <v>Retroexcavadora</v>
      </c>
      <c r="C5595" s="73"/>
      <c r="D5595" s="70" t="str">
        <f>VLOOKUP(A5595,'Componentes APUs'!$N$1:$Q$30,3,0)</f>
        <v>U</v>
      </c>
      <c r="E5595" s="50">
        <v>0</v>
      </c>
      <c r="F5595" s="51">
        <f>VLOOKUP(A5595,'Componentes APUs'!$N$1:$Q$30,4,0)</f>
        <v>46030656</v>
      </c>
      <c r="G5595" s="51">
        <f>IFERROR(ROUNDUP(F5595*(E5595/21)/E5543,0),"-")</f>
        <v>0</v>
      </c>
    </row>
    <row r="5596" spans="1:7" x14ac:dyDescent="0.25">
      <c r="A5596" s="219" t="s">
        <v>99</v>
      </c>
      <c r="B5596" s="219"/>
      <c r="C5596" s="219"/>
      <c r="D5596" s="219"/>
      <c r="E5596" s="219"/>
      <c r="F5596" s="219"/>
      <c r="G5596" s="52">
        <f>SUM(G5591:G5595)</f>
        <v>3145</v>
      </c>
    </row>
    <row r="5597" spans="1:7" x14ac:dyDescent="0.25">
      <c r="A5597" s="56"/>
      <c r="B5597" s="57"/>
      <c r="C5597" s="57"/>
      <c r="D5597" s="57"/>
      <c r="E5597" s="57"/>
      <c r="F5597" s="57"/>
      <c r="G5597" s="58"/>
    </row>
    <row r="5598" spans="1:7" x14ac:dyDescent="0.25">
      <c r="A5598" s="219" t="s">
        <v>100</v>
      </c>
      <c r="B5598" s="219"/>
      <c r="C5598" s="219"/>
      <c r="D5598" s="219"/>
      <c r="E5598" s="219"/>
      <c r="F5598" s="219"/>
      <c r="G5598" s="52">
        <f>G5596+G5587+G5570+G5560+G5550</f>
        <v>60560</v>
      </c>
    </row>
    <row r="5599" spans="1:7" x14ac:dyDescent="0.25">
      <c r="A5599" s="59"/>
      <c r="B5599" s="60"/>
      <c r="C5599" s="60"/>
      <c r="D5599" s="60"/>
      <c r="E5599" s="57"/>
      <c r="F5599" s="57"/>
      <c r="G5599" s="58"/>
    </row>
    <row r="5600" spans="1:7" x14ac:dyDescent="0.25">
      <c r="A5600" s="64"/>
      <c r="D5600" s="55"/>
      <c r="E5600" s="49" t="s">
        <v>25</v>
      </c>
      <c r="F5600" s="54">
        <v>0.15</v>
      </c>
      <c r="G5600" s="51">
        <f>G5598*F5600</f>
        <v>9084</v>
      </c>
    </row>
    <row r="5601" spans="1:12" x14ac:dyDescent="0.25">
      <c r="A5601" s="64"/>
      <c r="D5601" s="55"/>
      <c r="E5601" s="49" t="s">
        <v>26</v>
      </c>
      <c r="F5601" s="54">
        <v>0.05</v>
      </c>
      <c r="G5601" s="51">
        <f>G5598*F5601</f>
        <v>3028</v>
      </c>
    </row>
    <row r="5602" spans="1:12" x14ac:dyDescent="0.25">
      <c r="A5602" s="61"/>
      <c r="B5602" s="65"/>
      <c r="C5602" s="65"/>
      <c r="D5602" s="62"/>
      <c r="E5602" s="49" t="s">
        <v>27</v>
      </c>
      <c r="F5602" s="54">
        <v>0.05</v>
      </c>
      <c r="G5602" s="51">
        <f>G5598*F5602</f>
        <v>3028</v>
      </c>
    </row>
    <row r="5603" spans="1:12" x14ac:dyDescent="0.25">
      <c r="A5603" s="61"/>
      <c r="B5603" s="62"/>
      <c r="C5603" s="62"/>
      <c r="D5603" s="62"/>
      <c r="E5603" s="62"/>
      <c r="F5603" s="62"/>
      <c r="G5603" s="63"/>
    </row>
    <row r="5604" spans="1:12" x14ac:dyDescent="0.25">
      <c r="A5604" s="219" t="s">
        <v>101</v>
      </c>
      <c r="B5604" s="219"/>
      <c r="C5604" s="219"/>
      <c r="D5604" s="219"/>
      <c r="E5604" s="219"/>
      <c r="F5604" s="219"/>
      <c r="G5604" s="52">
        <f>G5598+G5600+G5601+G5602</f>
        <v>75700</v>
      </c>
    </row>
    <row r="5605" spans="1:12" x14ac:dyDescent="0.25">
      <c r="A5605" s="59"/>
      <c r="B5605" s="60"/>
      <c r="C5605" s="60"/>
      <c r="D5605" s="60"/>
      <c r="E5605" s="57"/>
      <c r="F5605" s="57"/>
      <c r="G5605" s="58"/>
    </row>
    <row r="5606" spans="1:12" x14ac:dyDescent="0.25">
      <c r="A5606" s="64"/>
      <c r="D5606" s="55"/>
      <c r="E5606" s="49" t="s">
        <v>102</v>
      </c>
      <c r="F5606" s="49" t="s">
        <v>103</v>
      </c>
      <c r="G5606" s="51">
        <f>G5602*19%</f>
        <v>575.32000000000005</v>
      </c>
    </row>
    <row r="5607" spans="1:12" x14ac:dyDescent="0.25">
      <c r="A5607" s="61"/>
      <c r="B5607" s="62"/>
      <c r="C5607" s="62"/>
      <c r="D5607" s="62"/>
      <c r="E5607" s="57"/>
      <c r="F5607" s="57"/>
      <c r="G5607" s="58"/>
    </row>
    <row r="5608" spans="1:12" x14ac:dyDescent="0.25">
      <c r="A5608" s="219" t="s">
        <v>104</v>
      </c>
      <c r="B5608" s="219"/>
      <c r="C5608" s="219"/>
      <c r="D5608" s="219"/>
      <c r="E5608" s="219"/>
      <c r="F5608" s="219"/>
      <c r="G5608" s="52">
        <f>G5606+G5604</f>
        <v>76275.320000000007</v>
      </c>
    </row>
    <row r="5610" spans="1:12" x14ac:dyDescent="0.25">
      <c r="A5610" s="74" t="s">
        <v>29</v>
      </c>
      <c r="B5610" s="226" t="s">
        <v>30</v>
      </c>
      <c r="C5610" s="226"/>
      <c r="D5610" s="74" t="s">
        <v>31</v>
      </c>
      <c r="E5610" s="74" t="s">
        <v>32</v>
      </c>
      <c r="F5610" s="74" t="s">
        <v>189</v>
      </c>
      <c r="G5610" s="74" t="s">
        <v>33</v>
      </c>
      <c r="H5610" s="105"/>
    </row>
    <row r="5611" spans="1:12" x14ac:dyDescent="0.25">
      <c r="A5611" s="50" t="str">
        <f>Presupuesto!B110</f>
        <v>091_OC</v>
      </c>
      <c r="B5611" s="229" t="str">
        <f>Presupuesto!C110</f>
        <v>COLUMNAS 25X15 CM</v>
      </c>
      <c r="C5611" s="230"/>
      <c r="D5611" s="50" t="s">
        <v>114</v>
      </c>
      <c r="E5611" s="107">
        <v>50</v>
      </c>
      <c r="F5611" s="50"/>
      <c r="G5611" s="51">
        <f>G5675</f>
        <v>144021.30600000001</v>
      </c>
      <c r="H5611" s="45"/>
    </row>
    <row r="5612" spans="1:12" x14ac:dyDescent="0.25">
      <c r="A5612" s="219" t="s">
        <v>34</v>
      </c>
      <c r="B5612" s="219"/>
      <c r="C5612" s="219"/>
      <c r="D5612" s="219"/>
      <c r="E5612" s="219"/>
      <c r="F5612" s="219"/>
      <c r="G5612" s="219"/>
    </row>
    <row r="5613" spans="1:12" x14ac:dyDescent="0.25">
      <c r="A5613" s="49" t="s">
        <v>35</v>
      </c>
      <c r="B5613" s="219" t="s">
        <v>36</v>
      </c>
      <c r="C5613" s="219"/>
      <c r="D5613" s="49" t="s">
        <v>37</v>
      </c>
      <c r="E5613" s="49" t="s">
        <v>38</v>
      </c>
      <c r="F5613" s="49" t="s">
        <v>39</v>
      </c>
      <c r="G5613" s="49" t="s">
        <v>40</v>
      </c>
      <c r="K5613" s="23"/>
      <c r="L5613" s="23"/>
    </row>
    <row r="5614" spans="1:12" x14ac:dyDescent="0.25">
      <c r="A5614" s="50" t="str">
        <f>Material!A218</f>
        <v>MA-217</v>
      </c>
      <c r="B5614" s="72" t="str">
        <f>IFERROR(VLOOKUP(A5614,Material!$A:$H,2,0),"-")</f>
        <v>FORMALETA EN MADERA CON TABLA DE 1"</v>
      </c>
      <c r="C5614" s="76"/>
      <c r="D5614" s="50" t="str">
        <f>IFERROR(VLOOKUP(A5614,Material!$A:$H,4,0),"-")</f>
        <v>M2</v>
      </c>
      <c r="E5614" s="107">
        <f>0.25*1*2+0.15*1*2</f>
        <v>0.8</v>
      </c>
      <c r="F5614" s="51">
        <f>IFERROR(VLOOKUP(A5614,Material!$A:$H,3,0),"-")</f>
        <v>24691.116165303549</v>
      </c>
      <c r="G5614" s="51">
        <f t="shared" ref="G5614:G5616" si="98">IFERROR(ROUNDUP(F5614*E5614,0),"-")</f>
        <v>19753</v>
      </c>
      <c r="H5614" s="106"/>
    </row>
    <row r="5615" spans="1:12" x14ac:dyDescent="0.25">
      <c r="A5615" s="50" t="str">
        <f>Material!A15</f>
        <v>MA-14</v>
      </c>
      <c r="B5615" s="72" t="str">
        <f>IFERROR(VLOOKUP(A5615,Material!$A:$H,2,0),"-")</f>
        <v>CONCRETO DE 3000 PSI</v>
      </c>
      <c r="C5615" s="76"/>
      <c r="D5615" s="50" t="str">
        <f>IFERROR(VLOOKUP(A5615,Material!$A:$H,4,0),"-")</f>
        <v>M3</v>
      </c>
      <c r="E5615" s="107">
        <f>0.25*0.15*1</f>
        <v>3.7499999999999999E-2</v>
      </c>
      <c r="F5615" s="51">
        <f>IFERROR(VLOOKUP(A5615,Material!$A:$H,3,0),"-")</f>
        <v>620227.23330691375</v>
      </c>
      <c r="G5615" s="51">
        <f t="shared" si="98"/>
        <v>23259</v>
      </c>
      <c r="H5615" s="106"/>
    </row>
    <row r="5616" spans="1:12" x14ac:dyDescent="0.25">
      <c r="A5616" s="50" t="str">
        <f>Material!A587</f>
        <v>MA-586</v>
      </c>
      <c r="B5616" s="72" t="str">
        <f>IFERROR(VLOOKUP(A5616,Material!$A:$H,2,0),"-")</f>
        <v>ACERO Fy= 420 MPa</v>
      </c>
      <c r="C5616" s="76"/>
      <c r="D5616" s="50" t="str">
        <f>IFERROR(VLOOKUP(A5616,Material!$A:$H,4,0),"-")</f>
        <v>KG</v>
      </c>
      <c r="E5616" s="107">
        <f>E5615*200</f>
        <v>7.5</v>
      </c>
      <c r="F5616" s="51">
        <f>IFERROR(VLOOKUP(A5616,Material!$A:$H,3,0),"-")</f>
        <v>6962.8</v>
      </c>
      <c r="G5616" s="51">
        <f t="shared" si="98"/>
        <v>52221</v>
      </c>
      <c r="H5616" s="106"/>
    </row>
    <row r="5617" spans="1:9" x14ac:dyDescent="0.25">
      <c r="A5617" s="219" t="s">
        <v>41</v>
      </c>
      <c r="B5617" s="219"/>
      <c r="C5617" s="219"/>
      <c r="D5617" s="219"/>
      <c r="E5617" s="219"/>
      <c r="F5617" s="219"/>
      <c r="G5617" s="52">
        <f>SUM(G5614:G5616)</f>
        <v>95233</v>
      </c>
      <c r="I5617" s="104"/>
    </row>
    <row r="5618" spans="1:9" x14ac:dyDescent="0.25">
      <c r="A5618" s="56"/>
      <c r="B5618" s="57"/>
      <c r="C5618" s="57"/>
      <c r="D5618" s="57"/>
      <c r="E5618" s="57"/>
      <c r="F5618" s="57"/>
      <c r="G5618" s="58"/>
    </row>
    <row r="5619" spans="1:9" x14ac:dyDescent="0.25">
      <c r="A5619" s="219" t="s">
        <v>42</v>
      </c>
      <c r="B5619" s="219"/>
      <c r="C5619" s="219"/>
      <c r="D5619" s="219"/>
      <c r="E5619" s="219"/>
      <c r="F5619" s="219"/>
      <c r="G5619" s="219"/>
    </row>
    <row r="5620" spans="1:9" x14ac:dyDescent="0.25">
      <c r="A5620" s="49" t="s">
        <v>35</v>
      </c>
      <c r="B5620" s="49" t="s">
        <v>36</v>
      </c>
      <c r="C5620" s="49" t="s">
        <v>38</v>
      </c>
      <c r="D5620" s="49" t="s">
        <v>43</v>
      </c>
      <c r="E5620" s="49" t="s">
        <v>44</v>
      </c>
      <c r="F5620" s="49" t="s">
        <v>45</v>
      </c>
      <c r="G5620" s="49" t="s">
        <v>40</v>
      </c>
    </row>
    <row r="5621" spans="1:9" x14ac:dyDescent="0.25">
      <c r="A5621" s="50" t="s">
        <v>319</v>
      </c>
      <c r="B5621" s="68" t="str">
        <f>VLOOKUP(A5621,'Componentes APUs'!$H$1:$L$25,2,0)</f>
        <v>Ingeniero Residente de Obra</v>
      </c>
      <c r="C5621" s="93">
        <v>0.25</v>
      </c>
      <c r="D5621" s="50">
        <f>VLOOKUP(A5621,'Componentes APUs'!$H$1:$L$25,3,0)</f>
        <v>4</v>
      </c>
      <c r="E5621" s="51">
        <f>VLOOKUP(A5621,'Componentes APUs'!$H$1:$L$25,4,0)</f>
        <v>271142.85714285716</v>
      </c>
      <c r="F5621" s="51">
        <f>VLOOKUP(A5621,'Componentes APUs'!$H$1:$L$25,5,0)</f>
        <v>162685.71428571429</v>
      </c>
      <c r="G5621" s="51">
        <f>ROUNDUP((E5621+F5621)*C5621/E5611,0)</f>
        <v>2170</v>
      </c>
      <c r="H5621" s="66"/>
    </row>
    <row r="5622" spans="1:9" x14ac:dyDescent="0.25">
      <c r="A5622" s="50" t="s">
        <v>320</v>
      </c>
      <c r="B5622" s="68" t="str">
        <f>VLOOKUP(A5622,'Componentes APUs'!$H$1:$L$25,2,0)</f>
        <v>Tecnico Supervisor</v>
      </c>
      <c r="C5622" s="93">
        <v>0</v>
      </c>
      <c r="D5622" s="50">
        <f>VLOOKUP(A5622,'Componentes APUs'!$H$1:$L$25,3,0)</f>
        <v>2.2999999999999998</v>
      </c>
      <c r="E5622" s="51">
        <f>VLOOKUP(A5622,'Componentes APUs'!$H$1:$L$25,4,0)</f>
        <v>155907.14285714284</v>
      </c>
      <c r="F5622" s="51">
        <f>VLOOKUP(A5622,'Componentes APUs'!$H$1:$L$25,5,0)</f>
        <v>93544.285714285696</v>
      </c>
      <c r="G5622" s="51">
        <f>ROUNDUP((E5622+F5622)*C5622/E5611,0)</f>
        <v>0</v>
      </c>
    </row>
    <row r="5623" spans="1:9" x14ac:dyDescent="0.25">
      <c r="A5623" s="50" t="s">
        <v>54</v>
      </c>
      <c r="B5623" s="68" t="str">
        <f>VLOOKUP(A5623,'Componentes APUs'!$H$1:$L$25,2,0)</f>
        <v>Maestro de obra civil</v>
      </c>
      <c r="C5623" s="93">
        <v>0</v>
      </c>
      <c r="D5623" s="50">
        <f>VLOOKUP(A5623,'Componentes APUs'!$H$1:$L$25,3,0)</f>
        <v>2.5</v>
      </c>
      <c r="E5623" s="51">
        <f>VLOOKUP(A5623,'Componentes APUs'!$H$1:$L$25,4,0)</f>
        <v>169464.28571428571</v>
      </c>
      <c r="F5623" s="51">
        <f>VLOOKUP(A5623,'Componentes APUs'!$H$1:$L$25,5,0)</f>
        <v>101678.57142857142</v>
      </c>
      <c r="G5623" s="51">
        <f>ROUNDUP((E5623+F5623)*C5623/E5611,0)</f>
        <v>0</v>
      </c>
    </row>
    <row r="5624" spans="1:9" x14ac:dyDescent="0.25">
      <c r="A5624" s="50" t="s">
        <v>1110</v>
      </c>
      <c r="B5624" s="68" t="str">
        <f>VLOOKUP(A5624,'Componentes APUs'!$H$1:$L$25,2,0)</f>
        <v>Oficial de Obra Civil</v>
      </c>
      <c r="C5624" s="93">
        <v>1</v>
      </c>
      <c r="D5624" s="50">
        <f>VLOOKUP(A5624,'Componentes APUs'!$H$1:$L$25,3,0)</f>
        <v>1.5</v>
      </c>
      <c r="E5624" s="51">
        <f>VLOOKUP(A5624,'Componentes APUs'!$H$1:$L$25,4,0)</f>
        <v>115964.28571428571</v>
      </c>
      <c r="F5624" s="51">
        <f>VLOOKUP(A5624,'Componentes APUs'!$H$1:$L$25,5,0)</f>
        <v>69578.57142857142</v>
      </c>
      <c r="G5624" s="51">
        <f>ROUNDUP((E5624+F5624)*C5624/E5611,0)</f>
        <v>3711</v>
      </c>
    </row>
    <row r="5625" spans="1:9" x14ac:dyDescent="0.25">
      <c r="A5625" s="50" t="s">
        <v>50</v>
      </c>
      <c r="B5625" s="68" t="str">
        <f>VLOOKUP(A5625,'Componentes APUs'!$H$1:$L$25,2,0)</f>
        <v>Profesional en SST</v>
      </c>
      <c r="C5625" s="93">
        <v>0.25</v>
      </c>
      <c r="D5625" s="50">
        <f>VLOOKUP(A5625,'Componentes APUs'!$H$1:$L$25,3,0)</f>
        <v>2.5</v>
      </c>
      <c r="E5625" s="51">
        <f>VLOOKUP(A5625,'Componentes APUs'!$H$1:$L$25,4,0)</f>
        <v>169464.28571428571</v>
      </c>
      <c r="F5625" s="51">
        <f>VLOOKUP(A5625,'Componentes APUs'!$H$1:$L$25,5,0)</f>
        <v>101678.57142857142</v>
      </c>
      <c r="G5625" s="51">
        <f>ROUNDUP((E5625+F5625)*C5625/E5611,0)</f>
        <v>1356</v>
      </c>
    </row>
    <row r="5626" spans="1:9" x14ac:dyDescent="0.25">
      <c r="A5626" s="50" t="s">
        <v>1109</v>
      </c>
      <c r="B5626" s="68" t="str">
        <f>VLOOKUP(A5626,'Componentes APUs'!$H$1:$L$25,2,0)</f>
        <v>Ayudante de Obra Civil</v>
      </c>
      <c r="C5626" s="93">
        <v>2</v>
      </c>
      <c r="D5626" s="50">
        <f>VLOOKUP(A5626,'Componentes APUs'!$H$1:$L$25,3,0)</f>
        <v>1</v>
      </c>
      <c r="E5626" s="51">
        <f>VLOOKUP(A5626,'Componentes APUs'!$H$1:$L$25,4,0)</f>
        <v>77309.523809523816</v>
      </c>
      <c r="F5626" s="51">
        <f>VLOOKUP(A5626,'Componentes APUs'!$H$1:$L$25,5,0)</f>
        <v>46385.71428571429</v>
      </c>
      <c r="G5626" s="51">
        <f>ROUNDUP((E5626+F5626)*C5626/E5611,0)</f>
        <v>4948</v>
      </c>
    </row>
    <row r="5627" spans="1:9" x14ac:dyDescent="0.25">
      <c r="A5627" s="219" t="s">
        <v>56</v>
      </c>
      <c r="B5627" s="219"/>
      <c r="C5627" s="219"/>
      <c r="D5627" s="219"/>
      <c r="E5627" s="219"/>
      <c r="F5627" s="219"/>
      <c r="G5627" s="52">
        <f>SUM(G5621:G5626)</f>
        <v>12185</v>
      </c>
    </row>
    <row r="5628" spans="1:9" x14ac:dyDescent="0.25">
      <c r="A5628" s="56"/>
      <c r="B5628" s="57"/>
      <c r="C5628" s="57"/>
      <c r="D5628" s="57"/>
      <c r="E5628" s="57"/>
      <c r="F5628" s="57"/>
      <c r="G5628" s="58"/>
    </row>
    <row r="5629" spans="1:9" x14ac:dyDescent="0.25">
      <c r="A5629" s="219" t="s">
        <v>57</v>
      </c>
      <c r="B5629" s="219"/>
      <c r="C5629" s="219"/>
      <c r="D5629" s="219"/>
      <c r="E5629" s="219"/>
      <c r="F5629" s="219"/>
      <c r="G5629" s="219"/>
    </row>
    <row r="5630" spans="1:9" x14ac:dyDescent="0.25">
      <c r="A5630" s="49" t="s">
        <v>35</v>
      </c>
      <c r="B5630" s="219" t="s">
        <v>36</v>
      </c>
      <c r="C5630" s="219"/>
      <c r="D5630" s="49" t="s">
        <v>37</v>
      </c>
      <c r="E5630" s="49" t="s">
        <v>38</v>
      </c>
      <c r="F5630" s="49" t="s">
        <v>39</v>
      </c>
      <c r="G5630" s="49" t="s">
        <v>40</v>
      </c>
    </row>
    <row r="5631" spans="1:9" x14ac:dyDescent="0.25">
      <c r="A5631" s="50" t="s">
        <v>326</v>
      </c>
      <c r="B5631" s="220" t="str">
        <f>VLOOKUP(A5631,'Componentes APUs'!$S$1:$V$10,2,0)</f>
        <v>Juego Llaves</v>
      </c>
      <c r="C5631" s="220"/>
      <c r="D5631" s="50" t="s">
        <v>18</v>
      </c>
      <c r="E5631" s="50">
        <v>0</v>
      </c>
      <c r="F5631" s="51">
        <f>VLOOKUP(A5631,'Componentes APUs'!$S$1:$V$10,4,0)</f>
        <v>9167</v>
      </c>
      <c r="G5631" s="51">
        <f>ROUNDUP(F5631*((E5631/21)/E5611),0)</f>
        <v>0</v>
      </c>
      <c r="I5631" s="91"/>
    </row>
    <row r="5632" spans="1:9" x14ac:dyDescent="0.25">
      <c r="A5632" s="50" t="s">
        <v>58</v>
      </c>
      <c r="B5632" s="220" t="str">
        <f>VLOOKUP(A5632,'Componentes APUs'!$S$1:$V$10,2,0)</f>
        <v>Manila de servicio</v>
      </c>
      <c r="C5632" s="220"/>
      <c r="D5632" s="50" t="s">
        <v>18</v>
      </c>
      <c r="E5632" s="50">
        <v>0</v>
      </c>
      <c r="F5632" s="51">
        <f>VLOOKUP(A5632,'Componentes APUs'!$S$1:$V$10,4,0)</f>
        <v>2333</v>
      </c>
      <c r="G5632" s="51">
        <f>ROUNDUP(F5632*((E5632/21)/E5611),0)</f>
        <v>0</v>
      </c>
    </row>
    <row r="5633" spans="1:9" x14ac:dyDescent="0.25">
      <c r="A5633" s="50" t="s">
        <v>327</v>
      </c>
      <c r="B5633" s="220" t="str">
        <f>VLOOKUP(A5633,'Componentes APUs'!$S$1:$V$10,2,0)</f>
        <v>Tula portaherramientas</v>
      </c>
      <c r="C5633" s="220"/>
      <c r="D5633" s="50" t="s">
        <v>18</v>
      </c>
      <c r="E5633" s="50">
        <v>0</v>
      </c>
      <c r="F5633" s="51">
        <f>VLOOKUP(A5633,'Componentes APUs'!$S$1:$V$10,4,0)</f>
        <v>1250</v>
      </c>
      <c r="G5633" s="51">
        <f>ROUNDUP(F5633*((E5633/21)/E5611),0)</f>
        <v>0</v>
      </c>
    </row>
    <row r="5634" spans="1:9" x14ac:dyDescent="0.25">
      <c r="A5634" s="50" t="s">
        <v>60</v>
      </c>
      <c r="B5634" s="220" t="str">
        <f>VLOOKUP(A5634,'Componentes APUs'!$S$1:$V$10,2,0)</f>
        <v>Agarradoras</v>
      </c>
      <c r="C5634" s="220"/>
      <c r="D5634" s="50" t="s">
        <v>18</v>
      </c>
      <c r="E5634" s="50">
        <v>0</v>
      </c>
      <c r="F5634" s="51">
        <f>VLOOKUP(A5634,'Componentes APUs'!$S$1:$V$10,4,0)</f>
        <v>125000</v>
      </c>
      <c r="G5634" s="51">
        <f>ROUNDUP(F5634*((E5634/21)/E5611),0)</f>
        <v>0</v>
      </c>
    </row>
    <row r="5635" spans="1:9" x14ac:dyDescent="0.25">
      <c r="A5635" s="50" t="s">
        <v>62</v>
      </c>
      <c r="B5635" s="220" t="str">
        <f>VLOOKUP(A5635,'Componentes APUs'!$S$1:$V$10,2,0)</f>
        <v>Templadoras</v>
      </c>
      <c r="C5635" s="220"/>
      <c r="D5635" s="50" t="s">
        <v>18</v>
      </c>
      <c r="E5635" s="50">
        <v>0</v>
      </c>
      <c r="F5635" s="51">
        <f>VLOOKUP(A5635,'Componentes APUs'!$S$1:$V$10,4,0)</f>
        <v>250000</v>
      </c>
      <c r="G5635" s="51">
        <f>ROUNDUP(F5635*((E5635/21)/E5611),0)</f>
        <v>0</v>
      </c>
    </row>
    <row r="5636" spans="1:9" x14ac:dyDescent="0.25">
      <c r="A5636" s="50" t="s">
        <v>328</v>
      </c>
      <c r="B5636" s="220" t="str">
        <f>VLOOKUP(A5636,'Componentes APUs'!$S$1:$V$10,2,0)</f>
        <v>Herramienta Menor</v>
      </c>
      <c r="C5636" s="220"/>
      <c r="D5636" s="50" t="s">
        <v>18</v>
      </c>
      <c r="E5636" s="50">
        <v>50</v>
      </c>
      <c r="F5636" s="51">
        <f>VLOOKUP(A5636,'Componentes APUs'!$S$1:$V$10,4,0)</f>
        <v>75758</v>
      </c>
      <c r="G5636" s="51">
        <f>ROUNDUP(F5636*((E5636/21)/E5611),0)</f>
        <v>3608</v>
      </c>
    </row>
    <row r="5637" spans="1:9" x14ac:dyDescent="0.25">
      <c r="A5637" s="219" t="s">
        <v>69</v>
      </c>
      <c r="B5637" s="219"/>
      <c r="C5637" s="219"/>
      <c r="D5637" s="219"/>
      <c r="E5637" s="219"/>
      <c r="F5637" s="219"/>
      <c r="G5637" s="52">
        <f>SUM(G5631:G5636)</f>
        <v>3608</v>
      </c>
    </row>
    <row r="5638" spans="1:9" x14ac:dyDescent="0.25">
      <c r="A5638" s="56"/>
      <c r="B5638" s="57"/>
      <c r="C5638" s="57"/>
      <c r="D5638" s="57"/>
      <c r="E5638" s="57"/>
      <c r="F5638" s="57"/>
      <c r="G5638" s="58"/>
    </row>
    <row r="5639" spans="1:9" x14ac:dyDescent="0.25">
      <c r="A5639" s="219" t="s">
        <v>70</v>
      </c>
      <c r="B5639" s="219"/>
      <c r="C5639" s="219"/>
      <c r="D5639" s="219"/>
      <c r="E5639" s="219"/>
      <c r="F5639" s="219"/>
      <c r="G5639" s="219"/>
    </row>
    <row r="5640" spans="1:9" x14ac:dyDescent="0.25">
      <c r="A5640" s="49" t="s">
        <v>35</v>
      </c>
      <c r="B5640" s="219" t="s">
        <v>36</v>
      </c>
      <c r="C5640" s="219"/>
      <c r="D5640" s="49" t="s">
        <v>37</v>
      </c>
      <c r="E5640" s="49" t="s">
        <v>38</v>
      </c>
      <c r="F5640" s="49" t="s">
        <v>39</v>
      </c>
      <c r="G5640" s="49" t="s">
        <v>40</v>
      </c>
    </row>
    <row r="5641" spans="1:9" x14ac:dyDescent="0.25">
      <c r="A5641" s="50" t="s">
        <v>71</v>
      </c>
      <c r="B5641" s="71" t="str">
        <f>VLOOKUP(A5641,'Componentes APUs'!$A$1:$D$14,2,0)</f>
        <v>Camisa indigo sin partes metalicas</v>
      </c>
      <c r="C5641" s="71"/>
      <c r="D5641" s="50" t="str">
        <f>VLOOKUP(A5641,'Componentes APUs'!$A$1:$D$14,3,0)</f>
        <v>U</v>
      </c>
      <c r="E5641" s="50">
        <f>SUM(C5621:C5626)</f>
        <v>3.5</v>
      </c>
      <c r="F5641" s="51">
        <f>VLOOKUP(A5641,'Componentes APUs'!$A$1:$D$14,4,0)</f>
        <v>8585.8585858585866</v>
      </c>
      <c r="G5641" s="51">
        <f>ROUNDUP(F5641*(E5641/21)/E5611,0)</f>
        <v>29</v>
      </c>
      <c r="I5641" s="91"/>
    </row>
    <row r="5642" spans="1:9" x14ac:dyDescent="0.25">
      <c r="A5642" s="69" t="s">
        <v>73</v>
      </c>
      <c r="B5642" s="72" t="str">
        <f>VLOOKUP(A5642,'Componentes APUs'!$A$1:$D$14,2,0)</f>
        <v>Bota de seguridad dielectrica</v>
      </c>
      <c r="C5642" s="73"/>
      <c r="D5642" s="70" t="str">
        <f>VLOOKUP(A5642,'Componentes APUs'!$A$1:$D$14,3,0)</f>
        <v>Par</v>
      </c>
      <c r="E5642" s="50">
        <f>SUM(C5621:C5626)</f>
        <v>3.5</v>
      </c>
      <c r="F5642" s="51">
        <f>VLOOKUP(A5642,'Componentes APUs'!$A$1:$D$14,4,0)</f>
        <v>7500</v>
      </c>
      <c r="G5642" s="51">
        <f>ROUNDUP(F5642*(E5642/21)/E5611,0)</f>
        <v>25</v>
      </c>
    </row>
    <row r="5643" spans="1:9" x14ac:dyDescent="0.25">
      <c r="A5643" s="50" t="s">
        <v>76</v>
      </c>
      <c r="B5643" s="72" t="str">
        <f>VLOOKUP(A5643,'Componentes APUs'!$A$1:$D$14,2,0)</f>
        <v>Casco dielectrico Tipo 1 Clase E con barbuquejo</v>
      </c>
      <c r="C5643" s="73"/>
      <c r="D5643" s="50" t="str">
        <f>VLOOKUP(A5643,'Componentes APUs'!$A$1:$D$14,3,0)</f>
        <v>U</v>
      </c>
      <c r="E5643" s="50">
        <f>C5621+C5622+C5624+C5625+C5626+IF(A5623&lt;&gt;"MO-3",C5623,0)</f>
        <v>3.5</v>
      </c>
      <c r="F5643" s="51">
        <f>VLOOKUP(A5643,'Componentes APUs'!$A$1:$D$14,4,0)</f>
        <v>10101.010101010101</v>
      </c>
      <c r="G5643" s="51">
        <f>ROUNDUP(F5643*(E5643/21)/E5611,0)</f>
        <v>34</v>
      </c>
    </row>
    <row r="5644" spans="1:9" x14ac:dyDescent="0.25">
      <c r="A5644" s="69" t="s">
        <v>77</v>
      </c>
      <c r="B5644" s="72" t="str">
        <f>VLOOKUP(A5644,'Componentes APUs'!$A$1:$D$14,2,0)</f>
        <v>Correa plastica y antiflama</v>
      </c>
      <c r="C5644" s="73"/>
      <c r="D5644" s="50" t="str">
        <f>VLOOKUP(A5644,'Componentes APUs'!$A$1:$D$14,3,0)</f>
        <v>U</v>
      </c>
      <c r="E5644" s="50">
        <f>SUM(C5621:C5626)</f>
        <v>3.5</v>
      </c>
      <c r="F5644" s="51">
        <f>VLOOKUP(A5644,'Componentes APUs'!$A$1:$D$14,4,0)</f>
        <v>3787.878787878788</v>
      </c>
      <c r="G5644" s="51">
        <f>ROUNDUP(F5644*(E5644/21)/E5611,0)</f>
        <v>13</v>
      </c>
    </row>
    <row r="5645" spans="1:9" x14ac:dyDescent="0.25">
      <c r="A5645" s="50" t="s">
        <v>79</v>
      </c>
      <c r="B5645" s="72" t="str">
        <f>VLOOKUP(A5645,'Componentes APUs'!$A$1:$D$14,2,0)</f>
        <v>Gafas protectoras filtro UV</v>
      </c>
      <c r="C5645" s="73"/>
      <c r="D5645" s="50" t="str">
        <f>VLOOKUP(A5645,'Componentes APUs'!$A$1:$D$14,3,0)</f>
        <v>U</v>
      </c>
      <c r="E5645" s="50">
        <f>SUM(C5621:C5626)</f>
        <v>3.5</v>
      </c>
      <c r="F5645" s="51">
        <f>VLOOKUP(A5645,'Componentes APUs'!$A$1:$D$14,4,0)</f>
        <v>2777.7777777777778</v>
      </c>
      <c r="G5645" s="51">
        <f>ROUNDUP(F5645*(E5645/21)/E5611,0)</f>
        <v>10</v>
      </c>
    </row>
    <row r="5646" spans="1:9" x14ac:dyDescent="0.25">
      <c r="A5646" s="69" t="s">
        <v>402</v>
      </c>
      <c r="B5646" s="72" t="str">
        <f>VLOOKUP(A5646,'Componentes APUs'!$A$1:$D$14,2,0)</f>
        <v>Bota de seguridad PVC dielectrica</v>
      </c>
      <c r="C5646" s="73"/>
      <c r="D5646" s="50" t="str">
        <f>VLOOKUP(A5646,'Componentes APUs'!$A$1:$D$14,3,0)</f>
        <v>Par</v>
      </c>
      <c r="E5646" s="50">
        <f>SUM(C5621:C5626)</f>
        <v>3.5</v>
      </c>
      <c r="F5646" s="51">
        <f>VLOOKUP(A5646,'Componentes APUs'!$A$1:$D$14,4,0)</f>
        <v>2916.6666666666665</v>
      </c>
      <c r="G5646" s="51">
        <f>ROUNDUP(F5646*(E5646/21)/E5611,0)</f>
        <v>10</v>
      </c>
    </row>
    <row r="5647" spans="1:9" x14ac:dyDescent="0.25">
      <c r="A5647" s="50" t="s">
        <v>403</v>
      </c>
      <c r="B5647" s="72" t="str">
        <f>VLOOKUP(A5647,'Componentes APUs'!$A$1:$D$14,2,0)</f>
        <v>Capuchon</v>
      </c>
      <c r="C5647" s="73"/>
      <c r="D5647" s="50" t="str">
        <f>VLOOKUP(A5647,'Componentes APUs'!$A$1:$D$14,3,0)</f>
        <v>U</v>
      </c>
      <c r="E5647" s="50">
        <f>SUM(C5621:C5626)</f>
        <v>3.5</v>
      </c>
      <c r="F5647" s="51">
        <f>VLOOKUP(A5647,'Componentes APUs'!$A$1:$D$14,4,0)</f>
        <v>2525.2525252525252</v>
      </c>
      <c r="G5647" s="51">
        <f>ROUNDUP(F5647*(E5647/21)/E5611,0)</f>
        <v>9</v>
      </c>
    </row>
    <row r="5648" spans="1:9" x14ac:dyDescent="0.25">
      <c r="A5648" s="69" t="s">
        <v>81</v>
      </c>
      <c r="B5648" s="72" t="str">
        <f>VLOOKUP(A5648,'Componentes APUs'!$A$1:$D$14,2,0)</f>
        <v>Guantes Protectores  - ingeniero reforzados</v>
      </c>
      <c r="C5648" s="73"/>
      <c r="D5648" s="50" t="str">
        <f>VLOOKUP(A5648,'Componentes APUs'!$A$1:$D$14,3,0)</f>
        <v>Par</v>
      </c>
      <c r="E5648" s="50">
        <f>C5623+C5624+C5626</f>
        <v>3</v>
      </c>
      <c r="F5648" s="51">
        <f>VLOOKUP(A5648,'Componentes APUs'!$A$1:$D$14,4,0)</f>
        <v>2525.2525252525252</v>
      </c>
      <c r="G5648" s="51">
        <f>ROUNDUP(F5648*(E5648/21)/E5611,0)</f>
        <v>8</v>
      </c>
    </row>
    <row r="5649" spans="1:7" x14ac:dyDescent="0.25">
      <c r="A5649" s="50" t="s">
        <v>83</v>
      </c>
      <c r="B5649" s="72" t="str">
        <f>VLOOKUP(A5649,'Componentes APUs'!$A$1:$D$14,2,0)</f>
        <v>Impermeable (pantalon camisa)</v>
      </c>
      <c r="C5649" s="73"/>
      <c r="D5649" s="50" t="str">
        <f>VLOOKUP(A5649,'Componentes APUs'!$A$1:$D$14,3,0)</f>
        <v>U</v>
      </c>
      <c r="E5649" s="50">
        <f>SUM(C5621:C5626)</f>
        <v>3.5</v>
      </c>
      <c r="F5649" s="51">
        <f>VLOOKUP(A5649,'Componentes APUs'!$A$1:$D$14,4,0)</f>
        <v>3750</v>
      </c>
      <c r="G5649" s="51">
        <f>ROUNDUP(F5649*(E5649/21)/E5611,0)</f>
        <v>13</v>
      </c>
    </row>
    <row r="5650" spans="1:7" x14ac:dyDescent="0.25">
      <c r="A5650" s="69" t="s">
        <v>85</v>
      </c>
      <c r="B5650" s="72" t="str">
        <f>VLOOKUP(A5650,'Componentes APUs'!$A$1:$D$14,2,0)</f>
        <v>Jean Dielectrico</v>
      </c>
      <c r="C5650" s="73"/>
      <c r="D5650" s="50" t="str">
        <f>VLOOKUP(A5650,'Componentes APUs'!$A$1:$D$14,3,0)</f>
        <v>U</v>
      </c>
      <c r="E5650" s="50">
        <f>SUM(C5621:C5626)</f>
        <v>3.5</v>
      </c>
      <c r="F5650" s="51">
        <f>VLOOKUP(A5650,'Componentes APUs'!$A$1:$D$14,4,0)</f>
        <v>7575.757575757576</v>
      </c>
      <c r="G5650" s="51">
        <f>ROUNDUP(F5650*(E5650/21)/E5611,0)</f>
        <v>26</v>
      </c>
    </row>
    <row r="5651" spans="1:7" x14ac:dyDescent="0.25">
      <c r="A5651" s="50" t="s">
        <v>87</v>
      </c>
      <c r="B5651" s="72" t="str">
        <f>VLOOKUP(A5651,'Componentes APUs'!$A$1:$D$14,2,0)</f>
        <v>Casco dielectrico Tipo 2 Clase E con barboquejo</v>
      </c>
      <c r="C5651" s="73"/>
      <c r="D5651" s="50" t="str">
        <f>VLOOKUP(A5651,'Componentes APUs'!$A$1:$D$14,3,0)</f>
        <v>U</v>
      </c>
      <c r="E5651" s="53">
        <f>IF(A5623="MO-3",C5623,0)</f>
        <v>0</v>
      </c>
      <c r="F5651" s="51">
        <f>VLOOKUP(A5651,'Componentes APUs'!$A$1:$D$14,4,0)</f>
        <v>7500</v>
      </c>
      <c r="G5651" s="51">
        <f>ROUNDUP(F5651*(E5651/21)/E5611,0)</f>
        <v>0</v>
      </c>
    </row>
    <row r="5652" spans="1:7" x14ac:dyDescent="0.25">
      <c r="A5652" s="69" t="s">
        <v>89</v>
      </c>
      <c r="B5652" s="72" t="str">
        <f>VLOOKUP(A5652,'Componentes APUs'!$A$1:$D$14,2,0)</f>
        <v>Kit de rescate para trabajo en alturas</v>
      </c>
      <c r="C5652" s="73"/>
      <c r="D5652" s="50" t="str">
        <f>VLOOKUP(A5652,'Componentes APUs'!$A$1:$D$14,3,0)</f>
        <v>U</v>
      </c>
      <c r="E5652" s="50">
        <f>IF(AND(A5623="MO-3",C5623=2),1,0)</f>
        <v>0</v>
      </c>
      <c r="F5652" s="51">
        <f>VLOOKUP(A5652,'Componentes APUs'!$A$1:$D$14,4,0)</f>
        <v>37500</v>
      </c>
      <c r="G5652" s="51">
        <f>ROUNDUP(F5652*(E5652/21)/E5611,0)</f>
        <v>0</v>
      </c>
    </row>
    <row r="5653" spans="1:7" x14ac:dyDescent="0.25">
      <c r="A5653" s="50" t="s">
        <v>91</v>
      </c>
      <c r="B5653" s="72" t="str">
        <f>VLOOKUP(A5653,'Componentes APUs'!$A$1:$D$14,2,0)</f>
        <v>Equipo completo para trabajo en alturas con pretales (Arnes dielectrico, 1 mosqueton de seguridad, tie off dielectrico, eslinga de posicionamiento, juego de pretales)</v>
      </c>
      <c r="C5653" s="73"/>
      <c r="D5653" s="50" t="str">
        <f>VLOOKUP(A5653,'Componentes APUs'!$A$1:$D$14,3,0)</f>
        <v>U</v>
      </c>
      <c r="E5653" s="50">
        <f>IF(A5623="MO-3",C5623,0)</f>
        <v>0</v>
      </c>
      <c r="F5653" s="51">
        <f>VLOOKUP(A5653,'Componentes APUs'!$A$1:$D$14,4,0)</f>
        <v>26041.666666666668</v>
      </c>
      <c r="G5653" s="51">
        <f>ROUNDUP(F5653*(E5653/21)/E5611,0)</f>
        <v>0</v>
      </c>
    </row>
    <row r="5654" spans="1:7" x14ac:dyDescent="0.25">
      <c r="A5654" s="219" t="s">
        <v>95</v>
      </c>
      <c r="B5654" s="219"/>
      <c r="C5654" s="219"/>
      <c r="D5654" s="219"/>
      <c r="E5654" s="219"/>
      <c r="F5654" s="219"/>
      <c r="G5654" s="52">
        <f>SUM(G5641:G5653)</f>
        <v>177</v>
      </c>
    </row>
    <row r="5655" spans="1:7" x14ac:dyDescent="0.25">
      <c r="A5655" s="56"/>
      <c r="B5655" s="57"/>
      <c r="C5655" s="57"/>
      <c r="D5655" s="57"/>
      <c r="E5655" s="57"/>
      <c r="F5655" s="57"/>
      <c r="G5655" s="58"/>
    </row>
    <row r="5656" spans="1:7" x14ac:dyDescent="0.25">
      <c r="A5656" s="219" t="s">
        <v>96</v>
      </c>
      <c r="B5656" s="219"/>
      <c r="C5656" s="219"/>
      <c r="D5656" s="219"/>
      <c r="E5656" s="219"/>
      <c r="F5656" s="219"/>
      <c r="G5656" s="219"/>
    </row>
    <row r="5657" spans="1:7" x14ac:dyDescent="0.25">
      <c r="A5657" s="49" t="s">
        <v>35</v>
      </c>
      <c r="B5657" s="225" t="s">
        <v>36</v>
      </c>
      <c r="C5657" s="225"/>
      <c r="D5657" s="49" t="s">
        <v>37</v>
      </c>
      <c r="E5657" s="49" t="s">
        <v>38</v>
      </c>
      <c r="F5657" s="49" t="s">
        <v>39</v>
      </c>
      <c r="G5657" s="49" t="s">
        <v>40</v>
      </c>
    </row>
    <row r="5658" spans="1:7" x14ac:dyDescent="0.25">
      <c r="A5658" s="69" t="s">
        <v>97</v>
      </c>
      <c r="B5658" s="72" t="str">
        <f>VLOOKUP(A5658,'Componentes APUs'!$N$1:$Q$30,2,0)</f>
        <v>Camioneta</v>
      </c>
      <c r="C5658" s="73"/>
      <c r="D5658" s="70" t="str">
        <f>VLOOKUP(A5658,'Componentes APUs'!$N$1:$Q$30,3,0)</f>
        <v>U</v>
      </c>
      <c r="E5658" s="50">
        <v>0.5</v>
      </c>
      <c r="F5658" s="51">
        <f>VLOOKUP(A5658,'Componentes APUs'!$N$1:$Q$30,4,0)</f>
        <v>5500000</v>
      </c>
      <c r="G5658" s="51">
        <f>IFERROR(ROUNDUP(F5658*(E5658/21)/E5611,0),"-")</f>
        <v>2620</v>
      </c>
    </row>
    <row r="5659" spans="1:7" x14ac:dyDescent="0.25">
      <c r="A5659" s="50" t="s">
        <v>1473</v>
      </c>
      <c r="B5659" s="72" t="str">
        <f>VLOOKUP(A5659,'Componentes APUs'!$N$1:$Q$30,2,0)</f>
        <v>Concretera</v>
      </c>
      <c r="C5659" s="73"/>
      <c r="D5659" s="70" t="str">
        <f>VLOOKUP(A5659,'Componentes APUs'!$N$1:$Q$30,3,0)</f>
        <v>U</v>
      </c>
      <c r="E5659" s="50">
        <v>1</v>
      </c>
      <c r="F5659" s="51">
        <f>VLOOKUP(A5659,'Componentes APUs'!$N$1:$Q$30,4,0)</f>
        <v>550704</v>
      </c>
      <c r="G5659" s="51">
        <f>IFERROR(ROUNDUP(F5659*(E5659/21)/E5611,0),"-")</f>
        <v>525</v>
      </c>
    </row>
    <row r="5660" spans="1:7" x14ac:dyDescent="0.25">
      <c r="A5660" s="69" t="s">
        <v>1379</v>
      </c>
      <c r="B5660" s="72" t="str">
        <f>VLOOKUP(A5660,'Componentes APUs'!$N$1:$Q$30,2,0)</f>
        <v>Dumper de descarga Frontal 2T</v>
      </c>
      <c r="C5660" s="73"/>
      <c r="D5660" s="70" t="str">
        <f>VLOOKUP(A5660,'Componentes APUs'!$N$1:$Q$30,3,0)</f>
        <v>U</v>
      </c>
      <c r="E5660" s="50">
        <v>0</v>
      </c>
      <c r="F5660" s="51">
        <f>VLOOKUP(A5660,'Componentes APUs'!$N$1:$Q$30,4,0)</f>
        <v>4438716.24</v>
      </c>
      <c r="G5660" s="51">
        <f>IFERROR(ROUNDUP(F5660*(E5660/21)/E5611,0),"-")</f>
        <v>0</v>
      </c>
    </row>
    <row r="5661" spans="1:7" x14ac:dyDescent="0.25">
      <c r="A5661" s="50" t="s">
        <v>323</v>
      </c>
      <c r="B5661" s="72" t="str">
        <f>VLOOKUP(A5661,'Componentes APUs'!$N$1:$Q$30,2,0)</f>
        <v>Volqueta</v>
      </c>
      <c r="C5661" s="73"/>
      <c r="D5661" s="70" t="str">
        <f>VLOOKUP(A5661,'Componentes APUs'!$N$1:$Q$30,3,0)</f>
        <v>U</v>
      </c>
      <c r="E5661" s="50">
        <v>0</v>
      </c>
      <c r="F5661" s="51">
        <f>VLOOKUP(A5661,'Componentes APUs'!$N$1:$Q$30,4,0)</f>
        <v>14828184</v>
      </c>
      <c r="G5661" s="51">
        <f>IFERROR(ROUNDUP(F5661*(E5661/21)/E5611,0),"-")</f>
        <v>0</v>
      </c>
    </row>
    <row r="5662" spans="1:7" x14ac:dyDescent="0.25">
      <c r="A5662" s="69" t="s">
        <v>324</v>
      </c>
      <c r="B5662" s="72" t="str">
        <f>VLOOKUP(A5662,'Componentes APUs'!$N$1:$Q$30,2,0)</f>
        <v>Retroexcavadora</v>
      </c>
      <c r="C5662" s="73"/>
      <c r="D5662" s="70" t="str">
        <f>VLOOKUP(A5662,'Componentes APUs'!$N$1:$Q$30,3,0)</f>
        <v>U</v>
      </c>
      <c r="E5662" s="50">
        <v>0</v>
      </c>
      <c r="F5662" s="51">
        <f>VLOOKUP(A5662,'Componentes APUs'!$N$1:$Q$30,4,0)</f>
        <v>46030656</v>
      </c>
      <c r="G5662" s="51">
        <f>IFERROR(ROUNDUP(F5662*(E5662/21)/E5611,0),"-")</f>
        <v>0</v>
      </c>
    </row>
    <row r="5663" spans="1:7" x14ac:dyDescent="0.25">
      <c r="A5663" s="219" t="s">
        <v>99</v>
      </c>
      <c r="B5663" s="219"/>
      <c r="C5663" s="219"/>
      <c r="D5663" s="219"/>
      <c r="E5663" s="219"/>
      <c r="F5663" s="219"/>
      <c r="G5663" s="52">
        <f>SUM(G5658:G5662)</f>
        <v>3145</v>
      </c>
    </row>
    <row r="5664" spans="1:7" x14ac:dyDescent="0.25">
      <c r="A5664" s="56"/>
      <c r="B5664" s="57"/>
      <c r="C5664" s="57"/>
      <c r="D5664" s="57"/>
      <c r="E5664" s="57"/>
      <c r="F5664" s="57"/>
      <c r="G5664" s="58"/>
    </row>
    <row r="5665" spans="1:12" x14ac:dyDescent="0.25">
      <c r="A5665" s="219" t="s">
        <v>100</v>
      </c>
      <c r="B5665" s="219"/>
      <c r="C5665" s="219"/>
      <c r="D5665" s="219"/>
      <c r="E5665" s="219"/>
      <c r="F5665" s="219"/>
      <c r="G5665" s="52">
        <f>G5663+G5654+G5637+G5627+G5617</f>
        <v>114348</v>
      </c>
    </row>
    <row r="5666" spans="1:12" x14ac:dyDescent="0.25">
      <c r="A5666" s="59"/>
      <c r="B5666" s="60"/>
      <c r="C5666" s="60"/>
      <c r="D5666" s="60"/>
      <c r="E5666" s="57"/>
      <c r="F5666" s="57"/>
      <c r="G5666" s="58"/>
    </row>
    <row r="5667" spans="1:12" x14ac:dyDescent="0.25">
      <c r="A5667" s="64"/>
      <c r="D5667" s="55"/>
      <c r="E5667" s="49" t="s">
        <v>25</v>
      </c>
      <c r="F5667" s="54">
        <v>0.15</v>
      </c>
      <c r="G5667" s="51">
        <f>G5665*F5667</f>
        <v>17152.2</v>
      </c>
    </row>
    <row r="5668" spans="1:12" x14ac:dyDescent="0.25">
      <c r="A5668" s="64"/>
      <c r="D5668" s="55"/>
      <c r="E5668" s="49" t="s">
        <v>26</v>
      </c>
      <c r="F5668" s="54">
        <v>0.05</v>
      </c>
      <c r="G5668" s="51">
        <f>G5665*F5668</f>
        <v>5717.4000000000005</v>
      </c>
    </row>
    <row r="5669" spans="1:12" x14ac:dyDescent="0.25">
      <c r="A5669" s="61"/>
      <c r="B5669" s="65"/>
      <c r="C5669" s="65"/>
      <c r="D5669" s="62"/>
      <c r="E5669" s="49" t="s">
        <v>27</v>
      </c>
      <c r="F5669" s="54">
        <v>0.05</v>
      </c>
      <c r="G5669" s="51">
        <f>G5665*F5669</f>
        <v>5717.4000000000005</v>
      </c>
    </row>
    <row r="5670" spans="1:12" x14ac:dyDescent="0.25">
      <c r="A5670" s="61"/>
      <c r="B5670" s="62"/>
      <c r="C5670" s="62"/>
      <c r="D5670" s="62"/>
      <c r="E5670" s="62"/>
      <c r="F5670" s="62"/>
      <c r="G5670" s="63"/>
    </row>
    <row r="5671" spans="1:12" x14ac:dyDescent="0.25">
      <c r="A5671" s="219" t="s">
        <v>101</v>
      </c>
      <c r="B5671" s="219"/>
      <c r="C5671" s="219"/>
      <c r="D5671" s="219"/>
      <c r="E5671" s="219"/>
      <c r="F5671" s="219"/>
      <c r="G5671" s="52">
        <f>G5665+G5667+G5668+G5669</f>
        <v>142935</v>
      </c>
    </row>
    <row r="5672" spans="1:12" x14ac:dyDescent="0.25">
      <c r="A5672" s="59"/>
      <c r="B5672" s="60"/>
      <c r="C5672" s="60"/>
      <c r="D5672" s="60"/>
      <c r="E5672" s="57"/>
      <c r="F5672" s="57"/>
      <c r="G5672" s="58"/>
    </row>
    <row r="5673" spans="1:12" x14ac:dyDescent="0.25">
      <c r="A5673" s="64"/>
      <c r="D5673" s="55"/>
      <c r="E5673" s="49" t="s">
        <v>102</v>
      </c>
      <c r="F5673" s="49" t="s">
        <v>103</v>
      </c>
      <c r="G5673" s="51">
        <f>G5669*19%</f>
        <v>1086.306</v>
      </c>
    </row>
    <row r="5674" spans="1:12" x14ac:dyDescent="0.25">
      <c r="A5674" s="61"/>
      <c r="B5674" s="62"/>
      <c r="C5674" s="62"/>
      <c r="D5674" s="62"/>
      <c r="E5674" s="57"/>
      <c r="F5674" s="57"/>
      <c r="G5674" s="58"/>
    </row>
    <row r="5675" spans="1:12" x14ac:dyDescent="0.25">
      <c r="A5675" s="219" t="s">
        <v>104</v>
      </c>
      <c r="B5675" s="219"/>
      <c r="C5675" s="219"/>
      <c r="D5675" s="219"/>
      <c r="E5675" s="219"/>
      <c r="F5675" s="219"/>
      <c r="G5675" s="52">
        <f>G5673+G5671</f>
        <v>144021.30600000001</v>
      </c>
    </row>
    <row r="5677" spans="1:12" x14ac:dyDescent="0.25">
      <c r="A5677" s="74" t="s">
        <v>29</v>
      </c>
      <c r="B5677" s="226" t="s">
        <v>30</v>
      </c>
      <c r="C5677" s="226"/>
      <c r="D5677" s="74" t="s">
        <v>31</v>
      </c>
      <c r="E5677" s="74" t="s">
        <v>32</v>
      </c>
      <c r="F5677" s="74" t="s">
        <v>189</v>
      </c>
      <c r="G5677" s="74" t="s">
        <v>33</v>
      </c>
      <c r="H5677" s="105"/>
    </row>
    <row r="5678" spans="1:12" x14ac:dyDescent="0.25">
      <c r="A5678" s="50" t="str">
        <f>Presupuesto!B111</f>
        <v>092_OC</v>
      </c>
      <c r="B5678" s="229" t="str">
        <f>Presupuesto!C111</f>
        <v>COLUMNAS 30X30 CM</v>
      </c>
      <c r="C5678" s="230"/>
      <c r="D5678" s="50" t="s">
        <v>114</v>
      </c>
      <c r="E5678" s="107">
        <v>30</v>
      </c>
      <c r="F5678" s="50"/>
      <c r="G5678" s="51">
        <f>G5742</f>
        <v>305602.56100000005</v>
      </c>
      <c r="H5678" s="45"/>
    </row>
    <row r="5679" spans="1:12" x14ac:dyDescent="0.25">
      <c r="A5679" s="219" t="s">
        <v>34</v>
      </c>
      <c r="B5679" s="219"/>
      <c r="C5679" s="219"/>
      <c r="D5679" s="219"/>
      <c r="E5679" s="219"/>
      <c r="F5679" s="219"/>
      <c r="G5679" s="219"/>
    </row>
    <row r="5680" spans="1:12" x14ac:dyDescent="0.25">
      <c r="A5680" s="49" t="s">
        <v>35</v>
      </c>
      <c r="B5680" s="219" t="s">
        <v>36</v>
      </c>
      <c r="C5680" s="219"/>
      <c r="D5680" s="49" t="s">
        <v>37</v>
      </c>
      <c r="E5680" s="49" t="s">
        <v>38</v>
      </c>
      <c r="F5680" s="49" t="s">
        <v>39</v>
      </c>
      <c r="G5680" s="49" t="s">
        <v>40</v>
      </c>
      <c r="K5680" s="23"/>
      <c r="L5680" s="23"/>
    </row>
    <row r="5681" spans="1:9" x14ac:dyDescent="0.25">
      <c r="A5681" s="50" t="str">
        <f>Material!A218</f>
        <v>MA-217</v>
      </c>
      <c r="B5681" s="72" t="str">
        <f>IFERROR(VLOOKUP(A5681,Material!$A:$H,2,0),"-")</f>
        <v>FORMALETA EN MADERA CON TABLA DE 1"</v>
      </c>
      <c r="C5681" s="76"/>
      <c r="D5681" s="50" t="str">
        <f>IFERROR(VLOOKUP(A5681,Material!$A:$H,4,0),"-")</f>
        <v>M2</v>
      </c>
      <c r="E5681" s="107">
        <f>0.3*1*4</f>
        <v>1.2</v>
      </c>
      <c r="F5681" s="51">
        <f>IFERROR(VLOOKUP(A5681,Material!$A:$H,3,0),"-")</f>
        <v>24691.116165303549</v>
      </c>
      <c r="G5681" s="51">
        <f t="shared" ref="G5681:G5683" si="99">IFERROR(ROUNDUP(F5681*E5681,0),"-")</f>
        <v>29630</v>
      </c>
      <c r="H5681" s="106"/>
    </row>
    <row r="5682" spans="1:9" x14ac:dyDescent="0.25">
      <c r="A5682" s="50" t="str">
        <f>Material!A15</f>
        <v>MA-14</v>
      </c>
      <c r="B5682" s="72" t="str">
        <f>IFERROR(VLOOKUP(A5682,Material!$A:$H,2,0),"-")</f>
        <v>CONCRETO DE 3000 PSI</v>
      </c>
      <c r="C5682" s="76"/>
      <c r="D5682" s="50" t="str">
        <f>IFERROR(VLOOKUP(A5682,Material!$A:$H,4,0),"-")</f>
        <v>M3</v>
      </c>
      <c r="E5682" s="107">
        <f>0.3*0.3*1</f>
        <v>0.09</v>
      </c>
      <c r="F5682" s="51">
        <f>IFERROR(VLOOKUP(A5682,Material!$A:$H,3,0),"-")</f>
        <v>620227.23330691375</v>
      </c>
      <c r="G5682" s="51">
        <f t="shared" si="99"/>
        <v>55821</v>
      </c>
      <c r="H5682" s="106"/>
    </row>
    <row r="5683" spans="1:9" x14ac:dyDescent="0.25">
      <c r="A5683" s="50" t="str">
        <f>Material!A587</f>
        <v>MA-586</v>
      </c>
      <c r="B5683" s="72" t="str">
        <f>IFERROR(VLOOKUP(A5683,Material!$A:$H,2,0),"-")</f>
        <v>ACERO Fy= 420 MPa</v>
      </c>
      <c r="C5683" s="76"/>
      <c r="D5683" s="50" t="str">
        <f>IFERROR(VLOOKUP(A5683,Material!$A:$H,4,0),"-")</f>
        <v>KG</v>
      </c>
      <c r="E5683" s="107">
        <f>200*E5682</f>
        <v>18</v>
      </c>
      <c r="F5683" s="51">
        <f>IFERROR(VLOOKUP(A5683,Material!$A:$H,3,0),"-")</f>
        <v>6962.8</v>
      </c>
      <c r="G5683" s="51">
        <f t="shared" si="99"/>
        <v>125331</v>
      </c>
      <c r="H5683" s="106"/>
    </row>
    <row r="5684" spans="1:9" x14ac:dyDescent="0.25">
      <c r="A5684" s="219" t="s">
        <v>41</v>
      </c>
      <c r="B5684" s="219"/>
      <c r="C5684" s="219"/>
      <c r="D5684" s="219"/>
      <c r="E5684" s="219"/>
      <c r="F5684" s="219"/>
      <c r="G5684" s="52">
        <f>SUM(G5681:G5683)</f>
        <v>210782</v>
      </c>
      <c r="I5684" s="104"/>
    </row>
    <row r="5685" spans="1:9" x14ac:dyDescent="0.25">
      <c r="A5685" s="56"/>
      <c r="B5685" s="57"/>
      <c r="C5685" s="57"/>
      <c r="D5685" s="57"/>
      <c r="E5685" s="57"/>
      <c r="F5685" s="57"/>
      <c r="G5685" s="58"/>
    </row>
    <row r="5686" spans="1:9" x14ac:dyDescent="0.25">
      <c r="A5686" s="219" t="s">
        <v>42</v>
      </c>
      <c r="B5686" s="219"/>
      <c r="C5686" s="219"/>
      <c r="D5686" s="219"/>
      <c r="E5686" s="219"/>
      <c r="F5686" s="219"/>
      <c r="G5686" s="219"/>
    </row>
    <row r="5687" spans="1:9" x14ac:dyDescent="0.25">
      <c r="A5687" s="49" t="s">
        <v>35</v>
      </c>
      <c r="B5687" s="49" t="s">
        <v>36</v>
      </c>
      <c r="C5687" s="49" t="s">
        <v>38</v>
      </c>
      <c r="D5687" s="49" t="s">
        <v>43</v>
      </c>
      <c r="E5687" s="49" t="s">
        <v>44</v>
      </c>
      <c r="F5687" s="49" t="s">
        <v>45</v>
      </c>
      <c r="G5687" s="49" t="s">
        <v>40</v>
      </c>
    </row>
    <row r="5688" spans="1:9" x14ac:dyDescent="0.25">
      <c r="A5688" s="50" t="s">
        <v>319</v>
      </c>
      <c r="B5688" s="68" t="str">
        <f>VLOOKUP(A5688,'Componentes APUs'!$H$1:$L$25,2,0)</f>
        <v>Ingeniero Residente de Obra</v>
      </c>
      <c r="C5688" s="93">
        <v>0.25</v>
      </c>
      <c r="D5688" s="50">
        <f>VLOOKUP(A5688,'Componentes APUs'!$H$1:$L$25,3,0)</f>
        <v>4</v>
      </c>
      <c r="E5688" s="51">
        <f>VLOOKUP(A5688,'Componentes APUs'!$H$1:$L$25,4,0)</f>
        <v>271142.85714285716</v>
      </c>
      <c r="F5688" s="51">
        <f>VLOOKUP(A5688,'Componentes APUs'!$H$1:$L$25,5,0)</f>
        <v>162685.71428571429</v>
      </c>
      <c r="G5688" s="51">
        <f>ROUNDUP((E5688+F5688)*C5688/E5678,0)</f>
        <v>3616</v>
      </c>
      <c r="H5688" s="66"/>
    </row>
    <row r="5689" spans="1:9" x14ac:dyDescent="0.25">
      <c r="A5689" s="50" t="s">
        <v>320</v>
      </c>
      <c r="B5689" s="68" t="str">
        <f>VLOOKUP(A5689,'Componentes APUs'!$H$1:$L$25,2,0)</f>
        <v>Tecnico Supervisor</v>
      </c>
      <c r="C5689" s="93">
        <v>0</v>
      </c>
      <c r="D5689" s="50">
        <f>VLOOKUP(A5689,'Componentes APUs'!$H$1:$L$25,3,0)</f>
        <v>2.2999999999999998</v>
      </c>
      <c r="E5689" s="51">
        <f>VLOOKUP(A5689,'Componentes APUs'!$H$1:$L$25,4,0)</f>
        <v>155907.14285714284</v>
      </c>
      <c r="F5689" s="51">
        <f>VLOOKUP(A5689,'Componentes APUs'!$H$1:$L$25,5,0)</f>
        <v>93544.285714285696</v>
      </c>
      <c r="G5689" s="51">
        <f>ROUNDUP((E5689+F5689)*C5689/E5678,0)</f>
        <v>0</v>
      </c>
    </row>
    <row r="5690" spans="1:9" x14ac:dyDescent="0.25">
      <c r="A5690" s="50" t="s">
        <v>54</v>
      </c>
      <c r="B5690" s="68" t="str">
        <f>VLOOKUP(A5690,'Componentes APUs'!$H$1:$L$25,2,0)</f>
        <v>Maestro de obra civil</v>
      </c>
      <c r="C5690" s="93">
        <v>0</v>
      </c>
      <c r="D5690" s="50">
        <f>VLOOKUP(A5690,'Componentes APUs'!$H$1:$L$25,3,0)</f>
        <v>2.5</v>
      </c>
      <c r="E5690" s="51">
        <f>VLOOKUP(A5690,'Componentes APUs'!$H$1:$L$25,4,0)</f>
        <v>169464.28571428571</v>
      </c>
      <c r="F5690" s="51">
        <f>VLOOKUP(A5690,'Componentes APUs'!$H$1:$L$25,5,0)</f>
        <v>101678.57142857142</v>
      </c>
      <c r="G5690" s="51">
        <f>ROUNDUP((E5690+F5690)*C5690/E5678,0)</f>
        <v>0</v>
      </c>
    </row>
    <row r="5691" spans="1:9" x14ac:dyDescent="0.25">
      <c r="A5691" s="50" t="s">
        <v>1110</v>
      </c>
      <c r="B5691" s="68" t="str">
        <f>VLOOKUP(A5691,'Componentes APUs'!$H$1:$L$25,2,0)</f>
        <v>Oficial de Obra Civil</v>
      </c>
      <c r="C5691" s="93">
        <v>1</v>
      </c>
      <c r="D5691" s="50">
        <f>VLOOKUP(A5691,'Componentes APUs'!$H$1:$L$25,3,0)</f>
        <v>1.5</v>
      </c>
      <c r="E5691" s="51">
        <f>VLOOKUP(A5691,'Componentes APUs'!$H$1:$L$25,4,0)</f>
        <v>115964.28571428571</v>
      </c>
      <c r="F5691" s="51">
        <f>VLOOKUP(A5691,'Componentes APUs'!$H$1:$L$25,5,0)</f>
        <v>69578.57142857142</v>
      </c>
      <c r="G5691" s="51">
        <f>ROUNDUP((E5691+F5691)*C5691/E5678,0)</f>
        <v>6185</v>
      </c>
    </row>
    <row r="5692" spans="1:9" x14ac:dyDescent="0.25">
      <c r="A5692" s="50" t="s">
        <v>50</v>
      </c>
      <c r="B5692" s="68" t="str">
        <f>VLOOKUP(A5692,'Componentes APUs'!$H$1:$L$25,2,0)</f>
        <v>Profesional en SST</v>
      </c>
      <c r="C5692" s="93">
        <v>0.25</v>
      </c>
      <c r="D5692" s="50">
        <f>VLOOKUP(A5692,'Componentes APUs'!$H$1:$L$25,3,0)</f>
        <v>2.5</v>
      </c>
      <c r="E5692" s="51">
        <f>VLOOKUP(A5692,'Componentes APUs'!$H$1:$L$25,4,0)</f>
        <v>169464.28571428571</v>
      </c>
      <c r="F5692" s="51">
        <f>VLOOKUP(A5692,'Componentes APUs'!$H$1:$L$25,5,0)</f>
        <v>101678.57142857142</v>
      </c>
      <c r="G5692" s="51">
        <f>ROUNDUP((E5692+F5692)*C5692/E5678,0)</f>
        <v>2260</v>
      </c>
    </row>
    <row r="5693" spans="1:9" x14ac:dyDescent="0.25">
      <c r="A5693" s="50" t="s">
        <v>1109</v>
      </c>
      <c r="B5693" s="68" t="str">
        <f>VLOOKUP(A5693,'Componentes APUs'!$H$1:$L$25,2,0)</f>
        <v>Ayudante de Obra Civil</v>
      </c>
      <c r="C5693" s="93">
        <v>2</v>
      </c>
      <c r="D5693" s="50">
        <f>VLOOKUP(A5693,'Componentes APUs'!$H$1:$L$25,3,0)</f>
        <v>1</v>
      </c>
      <c r="E5693" s="51">
        <f>VLOOKUP(A5693,'Componentes APUs'!$H$1:$L$25,4,0)</f>
        <v>77309.523809523816</v>
      </c>
      <c r="F5693" s="51">
        <f>VLOOKUP(A5693,'Componentes APUs'!$H$1:$L$25,5,0)</f>
        <v>46385.71428571429</v>
      </c>
      <c r="G5693" s="51">
        <f>ROUNDUP((E5693+F5693)*C5693/E5678,0)</f>
        <v>8247</v>
      </c>
    </row>
    <row r="5694" spans="1:9" x14ac:dyDescent="0.25">
      <c r="A5694" s="219" t="s">
        <v>56</v>
      </c>
      <c r="B5694" s="219"/>
      <c r="C5694" s="219"/>
      <c r="D5694" s="219"/>
      <c r="E5694" s="219"/>
      <c r="F5694" s="219"/>
      <c r="G5694" s="52">
        <f>SUM(G5688:G5693)</f>
        <v>20308</v>
      </c>
    </row>
    <row r="5695" spans="1:9" x14ac:dyDescent="0.25">
      <c r="A5695" s="56"/>
      <c r="B5695" s="57"/>
      <c r="C5695" s="57"/>
      <c r="D5695" s="57"/>
      <c r="E5695" s="57"/>
      <c r="F5695" s="57"/>
      <c r="G5695" s="58"/>
    </row>
    <row r="5696" spans="1:9" x14ac:dyDescent="0.25">
      <c r="A5696" s="219" t="s">
        <v>57</v>
      </c>
      <c r="B5696" s="219"/>
      <c r="C5696" s="219"/>
      <c r="D5696" s="219"/>
      <c r="E5696" s="219"/>
      <c r="F5696" s="219"/>
      <c r="G5696" s="219"/>
    </row>
    <row r="5697" spans="1:9" x14ac:dyDescent="0.25">
      <c r="A5697" s="49" t="s">
        <v>35</v>
      </c>
      <c r="B5697" s="219" t="s">
        <v>36</v>
      </c>
      <c r="C5697" s="219"/>
      <c r="D5697" s="49" t="s">
        <v>37</v>
      </c>
      <c r="E5697" s="49" t="s">
        <v>38</v>
      </c>
      <c r="F5697" s="49" t="s">
        <v>39</v>
      </c>
      <c r="G5697" s="49" t="s">
        <v>40</v>
      </c>
    </row>
    <row r="5698" spans="1:9" x14ac:dyDescent="0.25">
      <c r="A5698" s="50" t="s">
        <v>326</v>
      </c>
      <c r="B5698" s="220" t="str">
        <f>VLOOKUP(A5698,'Componentes APUs'!$S$1:$V$10,2,0)</f>
        <v>Juego Llaves</v>
      </c>
      <c r="C5698" s="220"/>
      <c r="D5698" s="50" t="s">
        <v>18</v>
      </c>
      <c r="E5698" s="50">
        <v>0</v>
      </c>
      <c r="F5698" s="51">
        <f>VLOOKUP(A5698,'Componentes APUs'!$S$1:$V$10,4,0)</f>
        <v>9167</v>
      </c>
      <c r="G5698" s="51">
        <f>ROUNDUP(F5698*((E5698/21)/E5678),0)</f>
        <v>0</v>
      </c>
      <c r="I5698" s="91"/>
    </row>
    <row r="5699" spans="1:9" x14ac:dyDescent="0.25">
      <c r="A5699" s="50" t="s">
        <v>58</v>
      </c>
      <c r="B5699" s="220" t="str">
        <f>VLOOKUP(A5699,'Componentes APUs'!$S$1:$V$10,2,0)</f>
        <v>Manila de servicio</v>
      </c>
      <c r="C5699" s="220"/>
      <c r="D5699" s="50" t="s">
        <v>18</v>
      </c>
      <c r="E5699" s="50">
        <v>0</v>
      </c>
      <c r="F5699" s="51">
        <f>VLOOKUP(A5699,'Componentes APUs'!$S$1:$V$10,4,0)</f>
        <v>2333</v>
      </c>
      <c r="G5699" s="51">
        <f>ROUNDUP(F5699*((E5699/21)/E5678),0)</f>
        <v>0</v>
      </c>
    </row>
    <row r="5700" spans="1:9" x14ac:dyDescent="0.25">
      <c r="A5700" s="50" t="s">
        <v>327</v>
      </c>
      <c r="B5700" s="220" t="str">
        <f>VLOOKUP(A5700,'Componentes APUs'!$S$1:$V$10,2,0)</f>
        <v>Tula portaherramientas</v>
      </c>
      <c r="C5700" s="220"/>
      <c r="D5700" s="50" t="s">
        <v>18</v>
      </c>
      <c r="E5700" s="50">
        <v>0</v>
      </c>
      <c r="F5700" s="51">
        <f>VLOOKUP(A5700,'Componentes APUs'!$S$1:$V$10,4,0)</f>
        <v>1250</v>
      </c>
      <c r="G5700" s="51">
        <f>ROUNDUP(F5700*((E5700/21)/E5678),0)</f>
        <v>0</v>
      </c>
    </row>
    <row r="5701" spans="1:9" x14ac:dyDescent="0.25">
      <c r="A5701" s="50" t="s">
        <v>60</v>
      </c>
      <c r="B5701" s="220" t="str">
        <f>VLOOKUP(A5701,'Componentes APUs'!$S$1:$V$10,2,0)</f>
        <v>Agarradoras</v>
      </c>
      <c r="C5701" s="220"/>
      <c r="D5701" s="50" t="s">
        <v>18</v>
      </c>
      <c r="E5701" s="50">
        <v>0</v>
      </c>
      <c r="F5701" s="51">
        <f>VLOOKUP(A5701,'Componentes APUs'!$S$1:$V$10,4,0)</f>
        <v>125000</v>
      </c>
      <c r="G5701" s="51">
        <f>ROUNDUP(F5701*((E5701/21)/E5678),0)</f>
        <v>0</v>
      </c>
    </row>
    <row r="5702" spans="1:9" x14ac:dyDescent="0.25">
      <c r="A5702" s="50" t="s">
        <v>62</v>
      </c>
      <c r="B5702" s="220" t="str">
        <f>VLOOKUP(A5702,'Componentes APUs'!$S$1:$V$10,2,0)</f>
        <v>Templadoras</v>
      </c>
      <c r="C5702" s="220"/>
      <c r="D5702" s="50" t="s">
        <v>18</v>
      </c>
      <c r="E5702" s="50">
        <v>0</v>
      </c>
      <c r="F5702" s="51">
        <f>VLOOKUP(A5702,'Componentes APUs'!$S$1:$V$10,4,0)</f>
        <v>250000</v>
      </c>
      <c r="G5702" s="51">
        <f>ROUNDUP(F5702*((E5702/21)/E5678),0)</f>
        <v>0</v>
      </c>
    </row>
    <row r="5703" spans="1:9" x14ac:dyDescent="0.25">
      <c r="A5703" s="50" t="s">
        <v>328</v>
      </c>
      <c r="B5703" s="220" t="str">
        <f>VLOOKUP(A5703,'Componentes APUs'!$S$1:$V$10,2,0)</f>
        <v>Herramienta Menor</v>
      </c>
      <c r="C5703" s="220"/>
      <c r="D5703" s="50" t="s">
        <v>18</v>
      </c>
      <c r="E5703" s="50">
        <v>50</v>
      </c>
      <c r="F5703" s="51">
        <f>VLOOKUP(A5703,'Componentes APUs'!$S$1:$V$10,4,0)</f>
        <v>75758</v>
      </c>
      <c r="G5703" s="51">
        <f>ROUNDUP(F5703*((E5703/21)/E5678),0)</f>
        <v>6013</v>
      </c>
    </row>
    <row r="5704" spans="1:9" x14ac:dyDescent="0.25">
      <c r="A5704" s="219" t="s">
        <v>69</v>
      </c>
      <c r="B5704" s="219"/>
      <c r="C5704" s="219"/>
      <c r="D5704" s="219"/>
      <c r="E5704" s="219"/>
      <c r="F5704" s="219"/>
      <c r="G5704" s="52">
        <f>SUM(G5698:G5703)</f>
        <v>6013</v>
      </c>
    </row>
    <row r="5705" spans="1:9" x14ac:dyDescent="0.25">
      <c r="A5705" s="56"/>
      <c r="B5705" s="57"/>
      <c r="C5705" s="57"/>
      <c r="D5705" s="57"/>
      <c r="E5705" s="57"/>
      <c r="F5705" s="57"/>
      <c r="G5705" s="58"/>
    </row>
    <row r="5706" spans="1:9" x14ac:dyDescent="0.25">
      <c r="A5706" s="219" t="s">
        <v>70</v>
      </c>
      <c r="B5706" s="219"/>
      <c r="C5706" s="219"/>
      <c r="D5706" s="219"/>
      <c r="E5706" s="219"/>
      <c r="F5706" s="219"/>
      <c r="G5706" s="219"/>
    </row>
    <row r="5707" spans="1:9" x14ac:dyDescent="0.25">
      <c r="A5707" s="49" t="s">
        <v>35</v>
      </c>
      <c r="B5707" s="219" t="s">
        <v>36</v>
      </c>
      <c r="C5707" s="219"/>
      <c r="D5707" s="49" t="s">
        <v>37</v>
      </c>
      <c r="E5707" s="49" t="s">
        <v>38</v>
      </c>
      <c r="F5707" s="49" t="s">
        <v>39</v>
      </c>
      <c r="G5707" s="49" t="s">
        <v>40</v>
      </c>
    </row>
    <row r="5708" spans="1:9" x14ac:dyDescent="0.25">
      <c r="A5708" s="50" t="s">
        <v>71</v>
      </c>
      <c r="B5708" s="71" t="str">
        <f>VLOOKUP(A5708,'Componentes APUs'!$A$1:$D$14,2,0)</f>
        <v>Camisa indigo sin partes metalicas</v>
      </c>
      <c r="C5708" s="71"/>
      <c r="D5708" s="50" t="str">
        <f>VLOOKUP(A5708,'Componentes APUs'!$A$1:$D$14,3,0)</f>
        <v>U</v>
      </c>
      <c r="E5708" s="50">
        <f>SUM(C5688:C5693)</f>
        <v>3.5</v>
      </c>
      <c r="F5708" s="51">
        <f>VLOOKUP(A5708,'Componentes APUs'!$A$1:$D$14,4,0)</f>
        <v>8585.8585858585866</v>
      </c>
      <c r="G5708" s="51">
        <f>ROUNDUP(F5708*(E5708/21)/E5678,0)</f>
        <v>48</v>
      </c>
      <c r="I5708" s="91"/>
    </row>
    <row r="5709" spans="1:9" x14ac:dyDescent="0.25">
      <c r="A5709" s="69" t="s">
        <v>73</v>
      </c>
      <c r="B5709" s="72" t="str">
        <f>VLOOKUP(A5709,'Componentes APUs'!$A$1:$D$14,2,0)</f>
        <v>Bota de seguridad dielectrica</v>
      </c>
      <c r="C5709" s="73"/>
      <c r="D5709" s="70" t="str">
        <f>VLOOKUP(A5709,'Componentes APUs'!$A$1:$D$14,3,0)</f>
        <v>Par</v>
      </c>
      <c r="E5709" s="50">
        <f>SUM(C5688:C5693)</f>
        <v>3.5</v>
      </c>
      <c r="F5709" s="51">
        <f>VLOOKUP(A5709,'Componentes APUs'!$A$1:$D$14,4,0)</f>
        <v>7500</v>
      </c>
      <c r="G5709" s="51">
        <f>ROUNDUP(F5709*(E5709/21)/E5678,0)</f>
        <v>42</v>
      </c>
    </row>
    <row r="5710" spans="1:9" x14ac:dyDescent="0.25">
      <c r="A5710" s="50" t="s">
        <v>76</v>
      </c>
      <c r="B5710" s="72" t="str">
        <f>VLOOKUP(A5710,'Componentes APUs'!$A$1:$D$14,2,0)</f>
        <v>Casco dielectrico Tipo 1 Clase E con barbuquejo</v>
      </c>
      <c r="C5710" s="73"/>
      <c r="D5710" s="50" t="str">
        <f>VLOOKUP(A5710,'Componentes APUs'!$A$1:$D$14,3,0)</f>
        <v>U</v>
      </c>
      <c r="E5710" s="50">
        <f>C5688+C5689+C5691+C5692+C5693+IF(A5690&lt;&gt;"MO-3",C5690,0)</f>
        <v>3.5</v>
      </c>
      <c r="F5710" s="51">
        <f>VLOOKUP(A5710,'Componentes APUs'!$A$1:$D$14,4,0)</f>
        <v>10101.010101010101</v>
      </c>
      <c r="G5710" s="51">
        <f>ROUNDUP(F5710*(E5710/21)/E5678,0)</f>
        <v>57</v>
      </c>
    </row>
    <row r="5711" spans="1:9" x14ac:dyDescent="0.25">
      <c r="A5711" s="69" t="s">
        <v>77</v>
      </c>
      <c r="B5711" s="72" t="str">
        <f>VLOOKUP(A5711,'Componentes APUs'!$A$1:$D$14,2,0)</f>
        <v>Correa plastica y antiflama</v>
      </c>
      <c r="C5711" s="73"/>
      <c r="D5711" s="50" t="str">
        <f>VLOOKUP(A5711,'Componentes APUs'!$A$1:$D$14,3,0)</f>
        <v>U</v>
      </c>
      <c r="E5711" s="50">
        <f>SUM(C5688:C5693)</f>
        <v>3.5</v>
      </c>
      <c r="F5711" s="51">
        <f>VLOOKUP(A5711,'Componentes APUs'!$A$1:$D$14,4,0)</f>
        <v>3787.878787878788</v>
      </c>
      <c r="G5711" s="51">
        <f>ROUNDUP(F5711*(E5711/21)/E5678,0)</f>
        <v>22</v>
      </c>
    </row>
    <row r="5712" spans="1:9" x14ac:dyDescent="0.25">
      <c r="A5712" s="50" t="s">
        <v>79</v>
      </c>
      <c r="B5712" s="72" t="str">
        <f>VLOOKUP(A5712,'Componentes APUs'!$A$1:$D$14,2,0)</f>
        <v>Gafas protectoras filtro UV</v>
      </c>
      <c r="C5712" s="73"/>
      <c r="D5712" s="50" t="str">
        <f>VLOOKUP(A5712,'Componentes APUs'!$A$1:$D$14,3,0)</f>
        <v>U</v>
      </c>
      <c r="E5712" s="50">
        <f>SUM(C5688:C5693)</f>
        <v>3.5</v>
      </c>
      <c r="F5712" s="51">
        <f>VLOOKUP(A5712,'Componentes APUs'!$A$1:$D$14,4,0)</f>
        <v>2777.7777777777778</v>
      </c>
      <c r="G5712" s="51">
        <f>ROUNDUP(F5712*(E5712/21)/E5678,0)</f>
        <v>16</v>
      </c>
    </row>
    <row r="5713" spans="1:7" x14ac:dyDescent="0.25">
      <c r="A5713" s="69" t="s">
        <v>402</v>
      </c>
      <c r="B5713" s="72" t="str">
        <f>VLOOKUP(A5713,'Componentes APUs'!$A$1:$D$14,2,0)</f>
        <v>Bota de seguridad PVC dielectrica</v>
      </c>
      <c r="C5713" s="73"/>
      <c r="D5713" s="50" t="str">
        <f>VLOOKUP(A5713,'Componentes APUs'!$A$1:$D$14,3,0)</f>
        <v>Par</v>
      </c>
      <c r="E5713" s="50">
        <f>SUM(C5688:C5693)</f>
        <v>3.5</v>
      </c>
      <c r="F5713" s="51">
        <f>VLOOKUP(A5713,'Componentes APUs'!$A$1:$D$14,4,0)</f>
        <v>2916.6666666666665</v>
      </c>
      <c r="G5713" s="51">
        <f>ROUNDUP(F5713*(E5713/21)/E5678,0)</f>
        <v>17</v>
      </c>
    </row>
    <row r="5714" spans="1:7" x14ac:dyDescent="0.25">
      <c r="A5714" s="50" t="s">
        <v>403</v>
      </c>
      <c r="B5714" s="72" t="str">
        <f>VLOOKUP(A5714,'Componentes APUs'!$A$1:$D$14,2,0)</f>
        <v>Capuchon</v>
      </c>
      <c r="C5714" s="73"/>
      <c r="D5714" s="50" t="str">
        <f>VLOOKUP(A5714,'Componentes APUs'!$A$1:$D$14,3,0)</f>
        <v>U</v>
      </c>
      <c r="E5714" s="50">
        <f>SUM(C5688:C5693)</f>
        <v>3.5</v>
      </c>
      <c r="F5714" s="51">
        <f>VLOOKUP(A5714,'Componentes APUs'!$A$1:$D$14,4,0)</f>
        <v>2525.2525252525252</v>
      </c>
      <c r="G5714" s="51">
        <f>ROUNDUP(F5714*(E5714/21)/E5678,0)</f>
        <v>15</v>
      </c>
    </row>
    <row r="5715" spans="1:7" x14ac:dyDescent="0.25">
      <c r="A5715" s="69" t="s">
        <v>81</v>
      </c>
      <c r="B5715" s="72" t="str">
        <f>VLOOKUP(A5715,'Componentes APUs'!$A$1:$D$14,2,0)</f>
        <v>Guantes Protectores  - ingeniero reforzados</v>
      </c>
      <c r="C5715" s="73"/>
      <c r="D5715" s="50" t="str">
        <f>VLOOKUP(A5715,'Componentes APUs'!$A$1:$D$14,3,0)</f>
        <v>Par</v>
      </c>
      <c r="E5715" s="50">
        <f>C5690+C5691+C5693</f>
        <v>3</v>
      </c>
      <c r="F5715" s="51">
        <f>VLOOKUP(A5715,'Componentes APUs'!$A$1:$D$14,4,0)</f>
        <v>2525.2525252525252</v>
      </c>
      <c r="G5715" s="51">
        <f>ROUNDUP(F5715*(E5715/21)/E5678,0)</f>
        <v>13</v>
      </c>
    </row>
    <row r="5716" spans="1:7" x14ac:dyDescent="0.25">
      <c r="A5716" s="50" t="s">
        <v>83</v>
      </c>
      <c r="B5716" s="72" t="str">
        <f>VLOOKUP(A5716,'Componentes APUs'!$A$1:$D$14,2,0)</f>
        <v>Impermeable (pantalon camisa)</v>
      </c>
      <c r="C5716" s="73"/>
      <c r="D5716" s="50" t="str">
        <f>VLOOKUP(A5716,'Componentes APUs'!$A$1:$D$14,3,0)</f>
        <v>U</v>
      </c>
      <c r="E5716" s="50">
        <f>SUM(C5688:C5693)</f>
        <v>3.5</v>
      </c>
      <c r="F5716" s="51">
        <f>VLOOKUP(A5716,'Componentes APUs'!$A$1:$D$14,4,0)</f>
        <v>3750</v>
      </c>
      <c r="G5716" s="51">
        <f>ROUNDUP(F5716*(E5716/21)/E5678,0)</f>
        <v>21</v>
      </c>
    </row>
    <row r="5717" spans="1:7" x14ac:dyDescent="0.25">
      <c r="A5717" s="69" t="s">
        <v>85</v>
      </c>
      <c r="B5717" s="72" t="str">
        <f>VLOOKUP(A5717,'Componentes APUs'!$A$1:$D$14,2,0)</f>
        <v>Jean Dielectrico</v>
      </c>
      <c r="C5717" s="73"/>
      <c r="D5717" s="50" t="str">
        <f>VLOOKUP(A5717,'Componentes APUs'!$A$1:$D$14,3,0)</f>
        <v>U</v>
      </c>
      <c r="E5717" s="50">
        <f>SUM(C5688:C5693)</f>
        <v>3.5</v>
      </c>
      <c r="F5717" s="51">
        <f>VLOOKUP(A5717,'Componentes APUs'!$A$1:$D$14,4,0)</f>
        <v>7575.757575757576</v>
      </c>
      <c r="G5717" s="51">
        <f>ROUNDUP(F5717*(E5717/21)/E5678,0)</f>
        <v>43</v>
      </c>
    </row>
    <row r="5718" spans="1:7" x14ac:dyDescent="0.25">
      <c r="A5718" s="50" t="s">
        <v>87</v>
      </c>
      <c r="B5718" s="72" t="str">
        <f>VLOOKUP(A5718,'Componentes APUs'!$A$1:$D$14,2,0)</f>
        <v>Casco dielectrico Tipo 2 Clase E con barboquejo</v>
      </c>
      <c r="C5718" s="73"/>
      <c r="D5718" s="50" t="str">
        <f>VLOOKUP(A5718,'Componentes APUs'!$A$1:$D$14,3,0)</f>
        <v>U</v>
      </c>
      <c r="E5718" s="53">
        <f>IF(A5690="MO-3",C5690,0)</f>
        <v>0</v>
      </c>
      <c r="F5718" s="51">
        <f>VLOOKUP(A5718,'Componentes APUs'!$A$1:$D$14,4,0)</f>
        <v>7500</v>
      </c>
      <c r="G5718" s="51">
        <f>ROUNDUP(F5718*(E5718/21)/E5678,0)</f>
        <v>0</v>
      </c>
    </row>
    <row r="5719" spans="1:7" x14ac:dyDescent="0.25">
      <c r="A5719" s="69" t="s">
        <v>89</v>
      </c>
      <c r="B5719" s="72" t="str">
        <f>VLOOKUP(A5719,'Componentes APUs'!$A$1:$D$14,2,0)</f>
        <v>Kit de rescate para trabajo en alturas</v>
      </c>
      <c r="C5719" s="73"/>
      <c r="D5719" s="50" t="str">
        <f>VLOOKUP(A5719,'Componentes APUs'!$A$1:$D$14,3,0)</f>
        <v>U</v>
      </c>
      <c r="E5719" s="50">
        <f>IF(AND(A5690="MO-3",C5690=2),1,0)</f>
        <v>0</v>
      </c>
      <c r="F5719" s="51">
        <f>VLOOKUP(A5719,'Componentes APUs'!$A$1:$D$14,4,0)</f>
        <v>37500</v>
      </c>
      <c r="G5719" s="51">
        <f>ROUNDUP(F5719*(E5719/21)/E5678,0)</f>
        <v>0</v>
      </c>
    </row>
    <row r="5720" spans="1:7" x14ac:dyDescent="0.25">
      <c r="A5720" s="50" t="s">
        <v>91</v>
      </c>
      <c r="B5720" s="72" t="str">
        <f>VLOOKUP(A5720,'Componentes APUs'!$A$1:$D$14,2,0)</f>
        <v>Equipo completo para trabajo en alturas con pretales (Arnes dielectrico, 1 mosqueton de seguridad, tie off dielectrico, eslinga de posicionamiento, juego de pretales)</v>
      </c>
      <c r="C5720" s="73"/>
      <c r="D5720" s="50" t="str">
        <f>VLOOKUP(A5720,'Componentes APUs'!$A$1:$D$14,3,0)</f>
        <v>U</v>
      </c>
      <c r="E5720" s="50">
        <f>IF(A5690="MO-3",C5690,0)</f>
        <v>0</v>
      </c>
      <c r="F5720" s="51">
        <f>VLOOKUP(A5720,'Componentes APUs'!$A$1:$D$14,4,0)</f>
        <v>26041.666666666668</v>
      </c>
      <c r="G5720" s="51">
        <f>ROUNDUP(F5720*(E5720/21)/E5678,0)</f>
        <v>0</v>
      </c>
    </row>
    <row r="5721" spans="1:7" x14ac:dyDescent="0.25">
      <c r="A5721" s="219" t="s">
        <v>95</v>
      </c>
      <c r="B5721" s="219"/>
      <c r="C5721" s="219"/>
      <c r="D5721" s="219"/>
      <c r="E5721" s="219"/>
      <c r="F5721" s="219"/>
      <c r="G5721" s="52">
        <f>SUM(G5708:G5720)</f>
        <v>294</v>
      </c>
    </row>
    <row r="5722" spans="1:7" x14ac:dyDescent="0.25">
      <c r="A5722" s="56"/>
      <c r="B5722" s="57"/>
      <c r="C5722" s="57"/>
      <c r="D5722" s="57"/>
      <c r="E5722" s="57"/>
      <c r="F5722" s="57"/>
      <c r="G5722" s="58"/>
    </row>
    <row r="5723" spans="1:7" x14ac:dyDescent="0.25">
      <c r="A5723" s="219" t="s">
        <v>96</v>
      </c>
      <c r="B5723" s="219"/>
      <c r="C5723" s="219"/>
      <c r="D5723" s="219"/>
      <c r="E5723" s="219"/>
      <c r="F5723" s="219"/>
      <c r="G5723" s="219"/>
    </row>
    <row r="5724" spans="1:7" x14ac:dyDescent="0.25">
      <c r="A5724" s="49" t="s">
        <v>35</v>
      </c>
      <c r="B5724" s="225" t="s">
        <v>36</v>
      </c>
      <c r="C5724" s="225"/>
      <c r="D5724" s="49" t="s">
        <v>37</v>
      </c>
      <c r="E5724" s="49" t="s">
        <v>38</v>
      </c>
      <c r="F5724" s="49" t="s">
        <v>39</v>
      </c>
      <c r="G5724" s="49" t="s">
        <v>40</v>
      </c>
    </row>
    <row r="5725" spans="1:7" x14ac:dyDescent="0.25">
      <c r="A5725" s="69" t="s">
        <v>97</v>
      </c>
      <c r="B5725" s="72" t="str">
        <f>VLOOKUP(A5725,'Componentes APUs'!$N$1:$Q$30,2,0)</f>
        <v>Camioneta</v>
      </c>
      <c r="C5725" s="73"/>
      <c r="D5725" s="70" t="str">
        <f>VLOOKUP(A5725,'Componentes APUs'!$N$1:$Q$30,3,0)</f>
        <v>U</v>
      </c>
      <c r="E5725" s="50">
        <v>0.5</v>
      </c>
      <c r="F5725" s="51">
        <f>VLOOKUP(A5725,'Componentes APUs'!$N$1:$Q$30,4,0)</f>
        <v>5500000</v>
      </c>
      <c r="G5725" s="51">
        <f>IFERROR(ROUNDUP(F5725*(E5725/21)/E5678,0),"-")</f>
        <v>4366</v>
      </c>
    </row>
    <row r="5726" spans="1:7" x14ac:dyDescent="0.25">
      <c r="A5726" s="50" t="s">
        <v>1473</v>
      </c>
      <c r="B5726" s="72" t="str">
        <f>VLOOKUP(A5726,'Componentes APUs'!$N$1:$Q$30,2,0)</f>
        <v>Concretera</v>
      </c>
      <c r="C5726" s="73"/>
      <c r="D5726" s="70" t="str">
        <f>VLOOKUP(A5726,'Componentes APUs'!$N$1:$Q$30,3,0)</f>
        <v>U</v>
      </c>
      <c r="E5726" s="50">
        <v>1</v>
      </c>
      <c r="F5726" s="51">
        <f>VLOOKUP(A5726,'Componentes APUs'!$N$1:$Q$30,4,0)</f>
        <v>550704</v>
      </c>
      <c r="G5726" s="51">
        <f>IFERROR(ROUNDUP(F5726*(E5726/21)/E5678,0),"-")</f>
        <v>875</v>
      </c>
    </row>
    <row r="5727" spans="1:7" x14ac:dyDescent="0.25">
      <c r="A5727" s="69" t="s">
        <v>1379</v>
      </c>
      <c r="B5727" s="72" t="str">
        <f>VLOOKUP(A5727,'Componentes APUs'!$N$1:$Q$30,2,0)</f>
        <v>Dumper de descarga Frontal 2T</v>
      </c>
      <c r="C5727" s="73"/>
      <c r="D5727" s="70" t="str">
        <f>VLOOKUP(A5727,'Componentes APUs'!$N$1:$Q$30,3,0)</f>
        <v>U</v>
      </c>
      <c r="E5727" s="50">
        <v>0</v>
      </c>
      <c r="F5727" s="51">
        <f>VLOOKUP(A5727,'Componentes APUs'!$N$1:$Q$30,4,0)</f>
        <v>4438716.24</v>
      </c>
      <c r="G5727" s="51">
        <f>IFERROR(ROUNDUP(F5727*(E5727/21)/E5678,0),"-")</f>
        <v>0</v>
      </c>
    </row>
    <row r="5728" spans="1:7" x14ac:dyDescent="0.25">
      <c r="A5728" s="50" t="s">
        <v>323</v>
      </c>
      <c r="B5728" s="72" t="str">
        <f>VLOOKUP(A5728,'Componentes APUs'!$N$1:$Q$30,2,0)</f>
        <v>Volqueta</v>
      </c>
      <c r="C5728" s="73"/>
      <c r="D5728" s="70" t="str">
        <f>VLOOKUP(A5728,'Componentes APUs'!$N$1:$Q$30,3,0)</f>
        <v>U</v>
      </c>
      <c r="E5728" s="50">
        <v>0</v>
      </c>
      <c r="F5728" s="51">
        <f>VLOOKUP(A5728,'Componentes APUs'!$N$1:$Q$30,4,0)</f>
        <v>14828184</v>
      </c>
      <c r="G5728" s="51">
        <f>IFERROR(ROUNDUP(F5728*(E5728/21)/E5678,0),"-")</f>
        <v>0</v>
      </c>
    </row>
    <row r="5729" spans="1:8" x14ac:dyDescent="0.25">
      <c r="A5729" s="69" t="s">
        <v>324</v>
      </c>
      <c r="B5729" s="72" t="str">
        <f>VLOOKUP(A5729,'Componentes APUs'!$N$1:$Q$30,2,0)</f>
        <v>Retroexcavadora</v>
      </c>
      <c r="C5729" s="73"/>
      <c r="D5729" s="70" t="str">
        <f>VLOOKUP(A5729,'Componentes APUs'!$N$1:$Q$30,3,0)</f>
        <v>U</v>
      </c>
      <c r="E5729" s="50">
        <v>0</v>
      </c>
      <c r="F5729" s="51">
        <f>VLOOKUP(A5729,'Componentes APUs'!$N$1:$Q$30,4,0)</f>
        <v>46030656</v>
      </c>
      <c r="G5729" s="51">
        <f>IFERROR(ROUNDUP(F5729*(E5729/21)/E5678,0),"-")</f>
        <v>0</v>
      </c>
    </row>
    <row r="5730" spans="1:8" x14ac:dyDescent="0.25">
      <c r="A5730" s="219" t="s">
        <v>99</v>
      </c>
      <c r="B5730" s="219"/>
      <c r="C5730" s="219"/>
      <c r="D5730" s="219"/>
      <c r="E5730" s="219"/>
      <c r="F5730" s="219"/>
      <c r="G5730" s="52">
        <f>SUM(G5725:G5729)</f>
        <v>5241</v>
      </c>
    </row>
    <row r="5731" spans="1:8" x14ac:dyDescent="0.25">
      <c r="A5731" s="56"/>
      <c r="B5731" s="57"/>
      <c r="C5731" s="57"/>
      <c r="D5731" s="57"/>
      <c r="E5731" s="57"/>
      <c r="F5731" s="57"/>
      <c r="G5731" s="58"/>
    </row>
    <row r="5732" spans="1:8" x14ac:dyDescent="0.25">
      <c r="A5732" s="219" t="s">
        <v>100</v>
      </c>
      <c r="B5732" s="219"/>
      <c r="C5732" s="219"/>
      <c r="D5732" s="219"/>
      <c r="E5732" s="219"/>
      <c r="F5732" s="219"/>
      <c r="G5732" s="52">
        <f>G5730+G5721+G5704+G5694+G5684</f>
        <v>242638</v>
      </c>
    </row>
    <row r="5733" spans="1:8" x14ac:dyDescent="0.25">
      <c r="A5733" s="59"/>
      <c r="B5733" s="60"/>
      <c r="C5733" s="60"/>
      <c r="D5733" s="60"/>
      <c r="E5733" s="57"/>
      <c r="F5733" s="57"/>
      <c r="G5733" s="58"/>
    </row>
    <row r="5734" spans="1:8" x14ac:dyDescent="0.25">
      <c r="A5734" s="64"/>
      <c r="D5734" s="55"/>
      <c r="E5734" s="49" t="s">
        <v>25</v>
      </c>
      <c r="F5734" s="54">
        <v>0.15</v>
      </c>
      <c r="G5734" s="51">
        <f>G5732*F5734</f>
        <v>36395.699999999997</v>
      </c>
    </row>
    <row r="5735" spans="1:8" x14ac:dyDescent="0.25">
      <c r="A5735" s="64"/>
      <c r="D5735" s="55"/>
      <c r="E5735" s="49" t="s">
        <v>26</v>
      </c>
      <c r="F5735" s="54">
        <v>0.05</v>
      </c>
      <c r="G5735" s="51">
        <f>G5732*F5735</f>
        <v>12131.900000000001</v>
      </c>
    </row>
    <row r="5736" spans="1:8" x14ac:dyDescent="0.25">
      <c r="A5736" s="61"/>
      <c r="B5736" s="65"/>
      <c r="C5736" s="65"/>
      <c r="D5736" s="62"/>
      <c r="E5736" s="49" t="s">
        <v>27</v>
      </c>
      <c r="F5736" s="54">
        <v>0.05</v>
      </c>
      <c r="G5736" s="51">
        <f>G5732*F5736</f>
        <v>12131.900000000001</v>
      </c>
    </row>
    <row r="5737" spans="1:8" x14ac:dyDescent="0.25">
      <c r="A5737" s="61"/>
      <c r="B5737" s="62"/>
      <c r="C5737" s="62"/>
      <c r="D5737" s="62"/>
      <c r="E5737" s="62"/>
      <c r="F5737" s="62"/>
      <c r="G5737" s="63"/>
    </row>
    <row r="5738" spans="1:8" x14ac:dyDescent="0.25">
      <c r="A5738" s="219" t="s">
        <v>101</v>
      </c>
      <c r="B5738" s="219"/>
      <c r="C5738" s="219"/>
      <c r="D5738" s="219"/>
      <c r="E5738" s="219"/>
      <c r="F5738" s="219"/>
      <c r="G5738" s="52">
        <f>G5732+G5734+G5735+G5736</f>
        <v>303297.50000000006</v>
      </c>
    </row>
    <row r="5739" spans="1:8" x14ac:dyDescent="0.25">
      <c r="A5739" s="59"/>
      <c r="B5739" s="60"/>
      <c r="C5739" s="60"/>
      <c r="D5739" s="60"/>
      <c r="E5739" s="57"/>
      <c r="F5739" s="57"/>
      <c r="G5739" s="58"/>
    </row>
    <row r="5740" spans="1:8" x14ac:dyDescent="0.25">
      <c r="A5740" s="64"/>
      <c r="D5740" s="55"/>
      <c r="E5740" s="49" t="s">
        <v>102</v>
      </c>
      <c r="F5740" s="49" t="s">
        <v>103</v>
      </c>
      <c r="G5740" s="51">
        <f>G5736*19%</f>
        <v>2305.0610000000001</v>
      </c>
    </row>
    <row r="5741" spans="1:8" x14ac:dyDescent="0.25">
      <c r="A5741" s="61"/>
      <c r="B5741" s="62"/>
      <c r="C5741" s="62"/>
      <c r="D5741" s="62"/>
      <c r="E5741" s="57"/>
      <c r="F5741" s="57"/>
      <c r="G5741" s="58"/>
    </row>
    <row r="5742" spans="1:8" x14ac:dyDescent="0.25">
      <c r="A5742" s="219" t="s">
        <v>104</v>
      </c>
      <c r="B5742" s="219"/>
      <c r="C5742" s="219"/>
      <c r="D5742" s="219"/>
      <c r="E5742" s="219"/>
      <c r="F5742" s="219"/>
      <c r="G5742" s="52">
        <f>G5740+G5738</f>
        <v>305602.56100000005</v>
      </c>
    </row>
    <row r="5744" spans="1:8" x14ac:dyDescent="0.25">
      <c r="A5744" s="74" t="s">
        <v>29</v>
      </c>
      <c r="B5744" s="226" t="s">
        <v>30</v>
      </c>
      <c r="C5744" s="226"/>
      <c r="D5744" s="74" t="s">
        <v>31</v>
      </c>
      <c r="E5744" s="74" t="s">
        <v>32</v>
      </c>
      <c r="F5744" s="74" t="s">
        <v>189</v>
      </c>
      <c r="G5744" s="74" t="s">
        <v>33</v>
      </c>
      <c r="H5744" s="105"/>
    </row>
    <row r="5745" spans="1:12" x14ac:dyDescent="0.25">
      <c r="A5745" s="50" t="str">
        <f>Presupuesto!B112</f>
        <v>093_OC</v>
      </c>
      <c r="B5745" s="229" t="str">
        <f>Presupuesto!C112</f>
        <v>COLUMNAS 40X40 CM</v>
      </c>
      <c r="C5745" s="230"/>
      <c r="D5745" s="50" t="s">
        <v>114</v>
      </c>
      <c r="E5745" s="107">
        <v>18</v>
      </c>
      <c r="F5745" s="50"/>
      <c r="G5745" s="51">
        <f>G5809</f>
        <v>517185.96600000007</v>
      </c>
      <c r="H5745" s="45"/>
    </row>
    <row r="5746" spans="1:12" x14ac:dyDescent="0.25">
      <c r="A5746" s="219" t="s">
        <v>34</v>
      </c>
      <c r="B5746" s="219"/>
      <c r="C5746" s="219"/>
      <c r="D5746" s="219"/>
      <c r="E5746" s="219"/>
      <c r="F5746" s="219"/>
      <c r="G5746" s="219"/>
    </row>
    <row r="5747" spans="1:12" x14ac:dyDescent="0.25">
      <c r="A5747" s="49" t="s">
        <v>35</v>
      </c>
      <c r="B5747" s="219" t="s">
        <v>36</v>
      </c>
      <c r="C5747" s="219"/>
      <c r="D5747" s="49" t="s">
        <v>37</v>
      </c>
      <c r="E5747" s="49" t="s">
        <v>38</v>
      </c>
      <c r="F5747" s="49" t="s">
        <v>39</v>
      </c>
      <c r="G5747" s="49" t="s">
        <v>40</v>
      </c>
      <c r="K5747" s="23"/>
      <c r="L5747" s="23"/>
    </row>
    <row r="5748" spans="1:12" x14ac:dyDescent="0.25">
      <c r="A5748" s="50" t="str">
        <f>Material!A218</f>
        <v>MA-217</v>
      </c>
      <c r="B5748" s="72" t="str">
        <f>IFERROR(VLOOKUP(A5748,Material!$A:$H,2,0),"-")</f>
        <v>FORMALETA EN MADERA CON TABLA DE 1"</v>
      </c>
      <c r="C5748" s="76"/>
      <c r="D5748" s="50" t="str">
        <f>IFERROR(VLOOKUP(A5748,Material!$A:$H,4,0),"-")</f>
        <v>M2</v>
      </c>
      <c r="E5748" s="107">
        <f>0.4*4</f>
        <v>1.6</v>
      </c>
      <c r="F5748" s="51">
        <f>IFERROR(VLOOKUP(A5748,Material!$A:$H,3,0),"-")</f>
        <v>24691.116165303549</v>
      </c>
      <c r="G5748" s="51">
        <f t="shared" ref="G5748:G5750" si="100">IFERROR(ROUNDUP(F5748*E5748,0),"-")</f>
        <v>39506</v>
      </c>
      <c r="H5748" s="106"/>
    </row>
    <row r="5749" spans="1:12" x14ac:dyDescent="0.25">
      <c r="A5749" s="50" t="str">
        <f>Material!A15</f>
        <v>MA-14</v>
      </c>
      <c r="B5749" s="72" t="str">
        <f>IFERROR(VLOOKUP(A5749,Material!$A:$H,2,0),"-")</f>
        <v>CONCRETO DE 3000 PSI</v>
      </c>
      <c r="C5749" s="76"/>
      <c r="D5749" s="50" t="str">
        <f>IFERROR(VLOOKUP(A5749,Material!$A:$H,4,0),"-")</f>
        <v>M3</v>
      </c>
      <c r="E5749" s="107">
        <f>0.4*0.4</f>
        <v>0.16000000000000003</v>
      </c>
      <c r="F5749" s="51">
        <f>IFERROR(VLOOKUP(A5749,Material!$A:$H,3,0),"-")</f>
        <v>620227.23330691375</v>
      </c>
      <c r="G5749" s="51">
        <f t="shared" si="100"/>
        <v>99237</v>
      </c>
      <c r="H5749" s="106"/>
    </row>
    <row r="5750" spans="1:12" x14ac:dyDescent="0.25">
      <c r="A5750" s="50" t="str">
        <f>Material!A587</f>
        <v>MA-586</v>
      </c>
      <c r="B5750" s="72" t="str">
        <f>IFERROR(VLOOKUP(A5750,Material!$A:$H,2,0),"-")</f>
        <v>ACERO Fy= 420 MPa</v>
      </c>
      <c r="C5750" s="76"/>
      <c r="D5750" s="50" t="str">
        <f>IFERROR(VLOOKUP(A5750,Material!$A:$H,4,0),"-")</f>
        <v>KG</v>
      </c>
      <c r="E5750" s="107">
        <f>200*E5749</f>
        <v>32.000000000000007</v>
      </c>
      <c r="F5750" s="51">
        <f>IFERROR(VLOOKUP(A5750,Material!$A:$H,3,0),"-")</f>
        <v>6962.8</v>
      </c>
      <c r="G5750" s="51">
        <f t="shared" si="100"/>
        <v>222810</v>
      </c>
      <c r="H5750" s="106"/>
    </row>
    <row r="5751" spans="1:12" x14ac:dyDescent="0.25">
      <c r="A5751" s="219" t="s">
        <v>41</v>
      </c>
      <c r="B5751" s="219"/>
      <c r="C5751" s="219"/>
      <c r="D5751" s="219"/>
      <c r="E5751" s="219"/>
      <c r="F5751" s="219"/>
      <c r="G5751" s="52">
        <f>SUM(G5748:G5750)</f>
        <v>361553</v>
      </c>
      <c r="I5751" s="104"/>
    </row>
    <row r="5752" spans="1:12" x14ac:dyDescent="0.25">
      <c r="A5752" s="56"/>
      <c r="B5752" s="57"/>
      <c r="C5752" s="57"/>
      <c r="D5752" s="57"/>
      <c r="E5752" s="57"/>
      <c r="F5752" s="57"/>
      <c r="G5752" s="58"/>
    </row>
    <row r="5753" spans="1:12" x14ac:dyDescent="0.25">
      <c r="A5753" s="219" t="s">
        <v>42</v>
      </c>
      <c r="B5753" s="219"/>
      <c r="C5753" s="219"/>
      <c r="D5753" s="219"/>
      <c r="E5753" s="219"/>
      <c r="F5753" s="219"/>
      <c r="G5753" s="219"/>
    </row>
    <row r="5754" spans="1:12" x14ac:dyDescent="0.25">
      <c r="A5754" s="49" t="s">
        <v>35</v>
      </c>
      <c r="B5754" s="49" t="s">
        <v>36</v>
      </c>
      <c r="C5754" s="49" t="s">
        <v>38</v>
      </c>
      <c r="D5754" s="49" t="s">
        <v>43</v>
      </c>
      <c r="E5754" s="49" t="s">
        <v>44</v>
      </c>
      <c r="F5754" s="49" t="s">
        <v>45</v>
      </c>
      <c r="G5754" s="49" t="s">
        <v>40</v>
      </c>
    </row>
    <row r="5755" spans="1:12" x14ac:dyDescent="0.25">
      <c r="A5755" s="50" t="s">
        <v>319</v>
      </c>
      <c r="B5755" s="68" t="str">
        <f>VLOOKUP(A5755,'Componentes APUs'!$H$1:$L$25,2,0)</f>
        <v>Ingeniero Residente de Obra</v>
      </c>
      <c r="C5755" s="93">
        <v>0.25</v>
      </c>
      <c r="D5755" s="50">
        <f>VLOOKUP(A5755,'Componentes APUs'!$H$1:$L$25,3,0)</f>
        <v>4</v>
      </c>
      <c r="E5755" s="51">
        <f>VLOOKUP(A5755,'Componentes APUs'!$H$1:$L$25,4,0)</f>
        <v>271142.85714285716</v>
      </c>
      <c r="F5755" s="51">
        <f>VLOOKUP(A5755,'Componentes APUs'!$H$1:$L$25,5,0)</f>
        <v>162685.71428571429</v>
      </c>
      <c r="G5755" s="51">
        <f>ROUNDUP((E5755+F5755)*C5755/E5745,0)</f>
        <v>6026</v>
      </c>
      <c r="H5755" s="66"/>
    </row>
    <row r="5756" spans="1:12" x14ac:dyDescent="0.25">
      <c r="A5756" s="50" t="s">
        <v>320</v>
      </c>
      <c r="B5756" s="68" t="str">
        <f>VLOOKUP(A5756,'Componentes APUs'!$H$1:$L$25,2,0)</f>
        <v>Tecnico Supervisor</v>
      </c>
      <c r="C5756" s="93">
        <v>0</v>
      </c>
      <c r="D5756" s="50">
        <f>VLOOKUP(A5756,'Componentes APUs'!$H$1:$L$25,3,0)</f>
        <v>2.2999999999999998</v>
      </c>
      <c r="E5756" s="51">
        <f>VLOOKUP(A5756,'Componentes APUs'!$H$1:$L$25,4,0)</f>
        <v>155907.14285714284</v>
      </c>
      <c r="F5756" s="51">
        <f>VLOOKUP(A5756,'Componentes APUs'!$H$1:$L$25,5,0)</f>
        <v>93544.285714285696</v>
      </c>
      <c r="G5756" s="51">
        <f>ROUNDUP((E5756+F5756)*C5756/E5745,0)</f>
        <v>0</v>
      </c>
    </row>
    <row r="5757" spans="1:12" x14ac:dyDescent="0.25">
      <c r="A5757" s="50" t="s">
        <v>54</v>
      </c>
      <c r="B5757" s="68" t="str">
        <f>VLOOKUP(A5757,'Componentes APUs'!$H$1:$L$25,2,0)</f>
        <v>Maestro de obra civil</v>
      </c>
      <c r="C5757" s="93">
        <v>0</v>
      </c>
      <c r="D5757" s="50">
        <f>VLOOKUP(A5757,'Componentes APUs'!$H$1:$L$25,3,0)</f>
        <v>2.5</v>
      </c>
      <c r="E5757" s="51">
        <f>VLOOKUP(A5757,'Componentes APUs'!$H$1:$L$25,4,0)</f>
        <v>169464.28571428571</v>
      </c>
      <c r="F5757" s="51">
        <f>VLOOKUP(A5757,'Componentes APUs'!$H$1:$L$25,5,0)</f>
        <v>101678.57142857142</v>
      </c>
      <c r="G5757" s="51">
        <f>ROUNDUP((E5757+F5757)*C5757/E5745,0)</f>
        <v>0</v>
      </c>
    </row>
    <row r="5758" spans="1:12" x14ac:dyDescent="0.25">
      <c r="A5758" s="50" t="s">
        <v>1110</v>
      </c>
      <c r="B5758" s="68" t="str">
        <f>VLOOKUP(A5758,'Componentes APUs'!$H$1:$L$25,2,0)</f>
        <v>Oficial de Obra Civil</v>
      </c>
      <c r="C5758" s="93">
        <v>1</v>
      </c>
      <c r="D5758" s="50">
        <f>VLOOKUP(A5758,'Componentes APUs'!$H$1:$L$25,3,0)</f>
        <v>1.5</v>
      </c>
      <c r="E5758" s="51">
        <f>VLOOKUP(A5758,'Componentes APUs'!$H$1:$L$25,4,0)</f>
        <v>115964.28571428571</v>
      </c>
      <c r="F5758" s="51">
        <f>VLOOKUP(A5758,'Componentes APUs'!$H$1:$L$25,5,0)</f>
        <v>69578.57142857142</v>
      </c>
      <c r="G5758" s="51">
        <f>ROUNDUP((E5758+F5758)*C5758/E5745,0)</f>
        <v>10308</v>
      </c>
    </row>
    <row r="5759" spans="1:12" x14ac:dyDescent="0.25">
      <c r="A5759" s="50" t="s">
        <v>50</v>
      </c>
      <c r="B5759" s="68" t="str">
        <f>VLOOKUP(A5759,'Componentes APUs'!$H$1:$L$25,2,0)</f>
        <v>Profesional en SST</v>
      </c>
      <c r="C5759" s="93">
        <v>0.25</v>
      </c>
      <c r="D5759" s="50">
        <f>VLOOKUP(A5759,'Componentes APUs'!$H$1:$L$25,3,0)</f>
        <v>2.5</v>
      </c>
      <c r="E5759" s="51">
        <f>VLOOKUP(A5759,'Componentes APUs'!$H$1:$L$25,4,0)</f>
        <v>169464.28571428571</v>
      </c>
      <c r="F5759" s="51">
        <f>VLOOKUP(A5759,'Componentes APUs'!$H$1:$L$25,5,0)</f>
        <v>101678.57142857142</v>
      </c>
      <c r="G5759" s="51">
        <f>ROUNDUP((E5759+F5759)*C5759/E5745,0)</f>
        <v>3766</v>
      </c>
    </row>
    <row r="5760" spans="1:12" x14ac:dyDescent="0.25">
      <c r="A5760" s="50" t="s">
        <v>1109</v>
      </c>
      <c r="B5760" s="68" t="str">
        <f>VLOOKUP(A5760,'Componentes APUs'!$H$1:$L$25,2,0)</f>
        <v>Ayudante de Obra Civil</v>
      </c>
      <c r="C5760" s="93">
        <v>2</v>
      </c>
      <c r="D5760" s="50">
        <f>VLOOKUP(A5760,'Componentes APUs'!$H$1:$L$25,3,0)</f>
        <v>1</v>
      </c>
      <c r="E5760" s="51">
        <f>VLOOKUP(A5760,'Componentes APUs'!$H$1:$L$25,4,0)</f>
        <v>77309.523809523816</v>
      </c>
      <c r="F5760" s="51">
        <f>VLOOKUP(A5760,'Componentes APUs'!$H$1:$L$25,5,0)</f>
        <v>46385.71428571429</v>
      </c>
      <c r="G5760" s="51">
        <f>ROUNDUP((E5760+F5760)*C5760/E5745,0)</f>
        <v>13744</v>
      </c>
    </row>
    <row r="5761" spans="1:9" x14ac:dyDescent="0.25">
      <c r="A5761" s="219" t="s">
        <v>56</v>
      </c>
      <c r="B5761" s="219"/>
      <c r="C5761" s="219"/>
      <c r="D5761" s="219"/>
      <c r="E5761" s="219"/>
      <c r="F5761" s="219"/>
      <c r="G5761" s="52">
        <f>SUM(G5755:G5760)</f>
        <v>33844</v>
      </c>
    </row>
    <row r="5762" spans="1:9" x14ac:dyDescent="0.25">
      <c r="A5762" s="56"/>
      <c r="B5762" s="57"/>
      <c r="C5762" s="57"/>
      <c r="D5762" s="57"/>
      <c r="E5762" s="57"/>
      <c r="F5762" s="57"/>
      <c r="G5762" s="58"/>
    </row>
    <row r="5763" spans="1:9" x14ac:dyDescent="0.25">
      <c r="A5763" s="219" t="s">
        <v>57</v>
      </c>
      <c r="B5763" s="219"/>
      <c r="C5763" s="219"/>
      <c r="D5763" s="219"/>
      <c r="E5763" s="219"/>
      <c r="F5763" s="219"/>
      <c r="G5763" s="219"/>
    </row>
    <row r="5764" spans="1:9" x14ac:dyDescent="0.25">
      <c r="A5764" s="49" t="s">
        <v>35</v>
      </c>
      <c r="B5764" s="219" t="s">
        <v>36</v>
      </c>
      <c r="C5764" s="219"/>
      <c r="D5764" s="49" t="s">
        <v>37</v>
      </c>
      <c r="E5764" s="49" t="s">
        <v>38</v>
      </c>
      <c r="F5764" s="49" t="s">
        <v>39</v>
      </c>
      <c r="G5764" s="49" t="s">
        <v>40</v>
      </c>
    </row>
    <row r="5765" spans="1:9" x14ac:dyDescent="0.25">
      <c r="A5765" s="50" t="s">
        <v>326</v>
      </c>
      <c r="B5765" s="220" t="str">
        <f>VLOOKUP(A5765,'Componentes APUs'!$S$1:$V$10,2,0)</f>
        <v>Juego Llaves</v>
      </c>
      <c r="C5765" s="220"/>
      <c r="D5765" s="50" t="s">
        <v>18</v>
      </c>
      <c r="E5765" s="50">
        <v>0</v>
      </c>
      <c r="F5765" s="51">
        <f>VLOOKUP(A5765,'Componentes APUs'!$S$1:$V$10,4,0)</f>
        <v>9167</v>
      </c>
      <c r="G5765" s="51">
        <f>ROUNDUP(F5765*((E5765/21)/E5745),0)</f>
        <v>0</v>
      </c>
      <c r="I5765" s="91"/>
    </row>
    <row r="5766" spans="1:9" x14ac:dyDescent="0.25">
      <c r="A5766" s="50" t="s">
        <v>58</v>
      </c>
      <c r="B5766" s="220" t="str">
        <f>VLOOKUP(A5766,'Componentes APUs'!$S$1:$V$10,2,0)</f>
        <v>Manila de servicio</v>
      </c>
      <c r="C5766" s="220"/>
      <c r="D5766" s="50" t="s">
        <v>18</v>
      </c>
      <c r="E5766" s="50">
        <v>0</v>
      </c>
      <c r="F5766" s="51">
        <f>VLOOKUP(A5766,'Componentes APUs'!$S$1:$V$10,4,0)</f>
        <v>2333</v>
      </c>
      <c r="G5766" s="51">
        <f>ROUNDUP(F5766*((E5766/21)/E5745),0)</f>
        <v>0</v>
      </c>
    </row>
    <row r="5767" spans="1:9" x14ac:dyDescent="0.25">
      <c r="A5767" s="50" t="s">
        <v>327</v>
      </c>
      <c r="B5767" s="220" t="str">
        <f>VLOOKUP(A5767,'Componentes APUs'!$S$1:$V$10,2,0)</f>
        <v>Tula portaherramientas</v>
      </c>
      <c r="C5767" s="220"/>
      <c r="D5767" s="50" t="s">
        <v>18</v>
      </c>
      <c r="E5767" s="50">
        <v>0</v>
      </c>
      <c r="F5767" s="51">
        <f>VLOOKUP(A5767,'Componentes APUs'!$S$1:$V$10,4,0)</f>
        <v>1250</v>
      </c>
      <c r="G5767" s="51">
        <f>ROUNDUP(F5767*((E5767/21)/E5745),0)</f>
        <v>0</v>
      </c>
    </row>
    <row r="5768" spans="1:9" x14ac:dyDescent="0.25">
      <c r="A5768" s="50" t="s">
        <v>60</v>
      </c>
      <c r="B5768" s="220" t="str">
        <f>VLOOKUP(A5768,'Componentes APUs'!$S$1:$V$10,2,0)</f>
        <v>Agarradoras</v>
      </c>
      <c r="C5768" s="220"/>
      <c r="D5768" s="50" t="s">
        <v>18</v>
      </c>
      <c r="E5768" s="50">
        <v>0</v>
      </c>
      <c r="F5768" s="51">
        <f>VLOOKUP(A5768,'Componentes APUs'!$S$1:$V$10,4,0)</f>
        <v>125000</v>
      </c>
      <c r="G5768" s="51">
        <f>ROUNDUP(F5768*((E5768/21)/E5745),0)</f>
        <v>0</v>
      </c>
    </row>
    <row r="5769" spans="1:9" x14ac:dyDescent="0.25">
      <c r="A5769" s="50" t="s">
        <v>62</v>
      </c>
      <c r="B5769" s="220" t="str">
        <f>VLOOKUP(A5769,'Componentes APUs'!$S$1:$V$10,2,0)</f>
        <v>Templadoras</v>
      </c>
      <c r="C5769" s="220"/>
      <c r="D5769" s="50" t="s">
        <v>18</v>
      </c>
      <c r="E5769" s="50">
        <v>0</v>
      </c>
      <c r="F5769" s="51">
        <f>VLOOKUP(A5769,'Componentes APUs'!$S$1:$V$10,4,0)</f>
        <v>250000</v>
      </c>
      <c r="G5769" s="51">
        <f>ROUNDUP(F5769*((E5769/21)/E5745),0)</f>
        <v>0</v>
      </c>
    </row>
    <row r="5770" spans="1:9" x14ac:dyDescent="0.25">
      <c r="A5770" s="50" t="s">
        <v>328</v>
      </c>
      <c r="B5770" s="220" t="str">
        <f>VLOOKUP(A5770,'Componentes APUs'!$S$1:$V$10,2,0)</f>
        <v>Herramienta Menor</v>
      </c>
      <c r="C5770" s="220"/>
      <c r="D5770" s="50" t="s">
        <v>18</v>
      </c>
      <c r="E5770" s="50">
        <v>30</v>
      </c>
      <c r="F5770" s="51">
        <f>VLOOKUP(A5770,'Componentes APUs'!$S$1:$V$10,4,0)</f>
        <v>75758</v>
      </c>
      <c r="G5770" s="51">
        <f>ROUNDUP(F5770*((E5770/21)/E5745),0)</f>
        <v>6013</v>
      </c>
    </row>
    <row r="5771" spans="1:9" x14ac:dyDescent="0.25">
      <c r="A5771" s="219" t="s">
        <v>69</v>
      </c>
      <c r="B5771" s="219"/>
      <c r="C5771" s="219"/>
      <c r="D5771" s="219"/>
      <c r="E5771" s="219"/>
      <c r="F5771" s="219"/>
      <c r="G5771" s="52">
        <f>SUM(G5765:G5770)</f>
        <v>6013</v>
      </c>
    </row>
    <row r="5772" spans="1:9" x14ac:dyDescent="0.25">
      <c r="A5772" s="56"/>
      <c r="B5772" s="57"/>
      <c r="C5772" s="57"/>
      <c r="D5772" s="57"/>
      <c r="E5772" s="57"/>
      <c r="F5772" s="57"/>
      <c r="G5772" s="58"/>
    </row>
    <row r="5773" spans="1:9" x14ac:dyDescent="0.25">
      <c r="A5773" s="219" t="s">
        <v>70</v>
      </c>
      <c r="B5773" s="219"/>
      <c r="C5773" s="219"/>
      <c r="D5773" s="219"/>
      <c r="E5773" s="219"/>
      <c r="F5773" s="219"/>
      <c r="G5773" s="219"/>
    </row>
    <row r="5774" spans="1:9" x14ac:dyDescent="0.25">
      <c r="A5774" s="49" t="s">
        <v>35</v>
      </c>
      <c r="B5774" s="219" t="s">
        <v>36</v>
      </c>
      <c r="C5774" s="219"/>
      <c r="D5774" s="49" t="s">
        <v>37</v>
      </c>
      <c r="E5774" s="49" t="s">
        <v>38</v>
      </c>
      <c r="F5774" s="49" t="s">
        <v>39</v>
      </c>
      <c r="G5774" s="49" t="s">
        <v>40</v>
      </c>
    </row>
    <row r="5775" spans="1:9" x14ac:dyDescent="0.25">
      <c r="A5775" s="50" t="s">
        <v>71</v>
      </c>
      <c r="B5775" s="71" t="str">
        <f>VLOOKUP(A5775,'Componentes APUs'!$A$1:$D$14,2,0)</f>
        <v>Camisa indigo sin partes metalicas</v>
      </c>
      <c r="C5775" s="71"/>
      <c r="D5775" s="50" t="str">
        <f>VLOOKUP(A5775,'Componentes APUs'!$A$1:$D$14,3,0)</f>
        <v>U</v>
      </c>
      <c r="E5775" s="50">
        <f>SUM(C5755:C5760)</f>
        <v>3.5</v>
      </c>
      <c r="F5775" s="51">
        <f>VLOOKUP(A5775,'Componentes APUs'!$A$1:$D$14,4,0)</f>
        <v>8585.8585858585866</v>
      </c>
      <c r="G5775" s="51">
        <f>ROUNDUP(F5775*(E5775/21)/E5745,0)</f>
        <v>80</v>
      </c>
      <c r="I5775" s="91"/>
    </row>
    <row r="5776" spans="1:9" x14ac:dyDescent="0.25">
      <c r="A5776" s="69" t="s">
        <v>73</v>
      </c>
      <c r="B5776" s="72" t="str">
        <f>VLOOKUP(A5776,'Componentes APUs'!$A$1:$D$14,2,0)</f>
        <v>Bota de seguridad dielectrica</v>
      </c>
      <c r="C5776" s="73"/>
      <c r="D5776" s="70" t="str">
        <f>VLOOKUP(A5776,'Componentes APUs'!$A$1:$D$14,3,0)</f>
        <v>Par</v>
      </c>
      <c r="E5776" s="50">
        <f>SUM(C5755:C5760)</f>
        <v>3.5</v>
      </c>
      <c r="F5776" s="51">
        <f>VLOOKUP(A5776,'Componentes APUs'!$A$1:$D$14,4,0)</f>
        <v>7500</v>
      </c>
      <c r="G5776" s="51">
        <f>ROUNDUP(F5776*(E5776/21)/E5745,0)</f>
        <v>70</v>
      </c>
    </row>
    <row r="5777" spans="1:7" x14ac:dyDescent="0.25">
      <c r="A5777" s="50" t="s">
        <v>76</v>
      </c>
      <c r="B5777" s="72" t="str">
        <f>VLOOKUP(A5777,'Componentes APUs'!$A$1:$D$14,2,0)</f>
        <v>Casco dielectrico Tipo 1 Clase E con barbuquejo</v>
      </c>
      <c r="C5777" s="73"/>
      <c r="D5777" s="50" t="str">
        <f>VLOOKUP(A5777,'Componentes APUs'!$A$1:$D$14,3,0)</f>
        <v>U</v>
      </c>
      <c r="E5777" s="50">
        <f>C5755+C5756+C5758+C5759+C5760+IF(A5757&lt;&gt;"MO-3",C5757,0)</f>
        <v>3.5</v>
      </c>
      <c r="F5777" s="51">
        <f>VLOOKUP(A5777,'Componentes APUs'!$A$1:$D$14,4,0)</f>
        <v>10101.010101010101</v>
      </c>
      <c r="G5777" s="51">
        <f>ROUNDUP(F5777*(E5777/21)/E5745,0)</f>
        <v>94</v>
      </c>
    </row>
    <row r="5778" spans="1:7" x14ac:dyDescent="0.25">
      <c r="A5778" s="69" t="s">
        <v>77</v>
      </c>
      <c r="B5778" s="72" t="str">
        <f>VLOOKUP(A5778,'Componentes APUs'!$A$1:$D$14,2,0)</f>
        <v>Correa plastica y antiflama</v>
      </c>
      <c r="C5778" s="73"/>
      <c r="D5778" s="50" t="str">
        <f>VLOOKUP(A5778,'Componentes APUs'!$A$1:$D$14,3,0)</f>
        <v>U</v>
      </c>
      <c r="E5778" s="50">
        <f>SUM(C5755:C5760)</f>
        <v>3.5</v>
      </c>
      <c r="F5778" s="51">
        <f>VLOOKUP(A5778,'Componentes APUs'!$A$1:$D$14,4,0)</f>
        <v>3787.878787878788</v>
      </c>
      <c r="G5778" s="51">
        <f>ROUNDUP(F5778*(E5778/21)/E5745,0)</f>
        <v>36</v>
      </c>
    </row>
    <row r="5779" spans="1:7" x14ac:dyDescent="0.25">
      <c r="A5779" s="50" t="s">
        <v>79</v>
      </c>
      <c r="B5779" s="72" t="str">
        <f>VLOOKUP(A5779,'Componentes APUs'!$A$1:$D$14,2,0)</f>
        <v>Gafas protectoras filtro UV</v>
      </c>
      <c r="C5779" s="73"/>
      <c r="D5779" s="50" t="str">
        <f>VLOOKUP(A5779,'Componentes APUs'!$A$1:$D$14,3,0)</f>
        <v>U</v>
      </c>
      <c r="E5779" s="50">
        <f>SUM(C5755:C5760)</f>
        <v>3.5</v>
      </c>
      <c r="F5779" s="51">
        <f>VLOOKUP(A5779,'Componentes APUs'!$A$1:$D$14,4,0)</f>
        <v>2777.7777777777778</v>
      </c>
      <c r="G5779" s="51">
        <f>ROUNDUP(F5779*(E5779/21)/E5745,0)</f>
        <v>26</v>
      </c>
    </row>
    <row r="5780" spans="1:7" x14ac:dyDescent="0.25">
      <c r="A5780" s="69" t="s">
        <v>402</v>
      </c>
      <c r="B5780" s="72" t="str">
        <f>VLOOKUP(A5780,'Componentes APUs'!$A$1:$D$14,2,0)</f>
        <v>Bota de seguridad PVC dielectrica</v>
      </c>
      <c r="C5780" s="73"/>
      <c r="D5780" s="50" t="str">
        <f>VLOOKUP(A5780,'Componentes APUs'!$A$1:$D$14,3,0)</f>
        <v>Par</v>
      </c>
      <c r="E5780" s="50">
        <f>SUM(C5755:C5760)</f>
        <v>3.5</v>
      </c>
      <c r="F5780" s="51">
        <f>VLOOKUP(A5780,'Componentes APUs'!$A$1:$D$14,4,0)</f>
        <v>2916.6666666666665</v>
      </c>
      <c r="G5780" s="51">
        <f>ROUNDUP(F5780*(E5780/21)/E5745,0)</f>
        <v>28</v>
      </c>
    </row>
    <row r="5781" spans="1:7" x14ac:dyDescent="0.25">
      <c r="A5781" s="50" t="s">
        <v>403</v>
      </c>
      <c r="B5781" s="72" t="str">
        <f>VLOOKUP(A5781,'Componentes APUs'!$A$1:$D$14,2,0)</f>
        <v>Capuchon</v>
      </c>
      <c r="C5781" s="73"/>
      <c r="D5781" s="50" t="str">
        <f>VLOOKUP(A5781,'Componentes APUs'!$A$1:$D$14,3,0)</f>
        <v>U</v>
      </c>
      <c r="E5781" s="50">
        <f>SUM(C5755:C5760)</f>
        <v>3.5</v>
      </c>
      <c r="F5781" s="51">
        <f>VLOOKUP(A5781,'Componentes APUs'!$A$1:$D$14,4,0)</f>
        <v>2525.2525252525252</v>
      </c>
      <c r="G5781" s="51">
        <f>ROUNDUP(F5781*(E5781/21)/E5745,0)</f>
        <v>24</v>
      </c>
    </row>
    <row r="5782" spans="1:7" x14ac:dyDescent="0.25">
      <c r="A5782" s="69" t="s">
        <v>81</v>
      </c>
      <c r="B5782" s="72" t="str">
        <f>VLOOKUP(A5782,'Componentes APUs'!$A$1:$D$14,2,0)</f>
        <v>Guantes Protectores  - ingeniero reforzados</v>
      </c>
      <c r="C5782" s="73"/>
      <c r="D5782" s="50" t="str">
        <f>VLOOKUP(A5782,'Componentes APUs'!$A$1:$D$14,3,0)</f>
        <v>Par</v>
      </c>
      <c r="E5782" s="50">
        <f>C5757+C5758+C5760</f>
        <v>3</v>
      </c>
      <c r="F5782" s="51">
        <f>VLOOKUP(A5782,'Componentes APUs'!$A$1:$D$14,4,0)</f>
        <v>2525.2525252525252</v>
      </c>
      <c r="G5782" s="51">
        <f>ROUNDUP(F5782*(E5782/21)/E5745,0)</f>
        <v>21</v>
      </c>
    </row>
    <row r="5783" spans="1:7" x14ac:dyDescent="0.25">
      <c r="A5783" s="50" t="s">
        <v>83</v>
      </c>
      <c r="B5783" s="72" t="str">
        <f>VLOOKUP(A5783,'Componentes APUs'!$A$1:$D$14,2,0)</f>
        <v>Impermeable (pantalon camisa)</v>
      </c>
      <c r="C5783" s="73"/>
      <c r="D5783" s="50" t="str">
        <f>VLOOKUP(A5783,'Componentes APUs'!$A$1:$D$14,3,0)</f>
        <v>U</v>
      </c>
      <c r="E5783" s="50">
        <f>SUM(C5755:C5760)</f>
        <v>3.5</v>
      </c>
      <c r="F5783" s="51">
        <f>VLOOKUP(A5783,'Componentes APUs'!$A$1:$D$14,4,0)</f>
        <v>3750</v>
      </c>
      <c r="G5783" s="51">
        <f>ROUNDUP(F5783*(E5783/21)/E5745,0)</f>
        <v>35</v>
      </c>
    </row>
    <row r="5784" spans="1:7" x14ac:dyDescent="0.25">
      <c r="A5784" s="69" t="s">
        <v>85</v>
      </c>
      <c r="B5784" s="72" t="str">
        <f>VLOOKUP(A5784,'Componentes APUs'!$A$1:$D$14,2,0)</f>
        <v>Jean Dielectrico</v>
      </c>
      <c r="C5784" s="73"/>
      <c r="D5784" s="50" t="str">
        <f>VLOOKUP(A5784,'Componentes APUs'!$A$1:$D$14,3,0)</f>
        <v>U</v>
      </c>
      <c r="E5784" s="50">
        <f>SUM(C5755:C5760)</f>
        <v>3.5</v>
      </c>
      <c r="F5784" s="51">
        <f>VLOOKUP(A5784,'Componentes APUs'!$A$1:$D$14,4,0)</f>
        <v>7575.757575757576</v>
      </c>
      <c r="G5784" s="51">
        <f>ROUNDUP(F5784*(E5784/21)/E5745,0)</f>
        <v>71</v>
      </c>
    </row>
    <row r="5785" spans="1:7" x14ac:dyDescent="0.25">
      <c r="A5785" s="50" t="s">
        <v>87</v>
      </c>
      <c r="B5785" s="72" t="str">
        <f>VLOOKUP(A5785,'Componentes APUs'!$A$1:$D$14,2,0)</f>
        <v>Casco dielectrico Tipo 2 Clase E con barboquejo</v>
      </c>
      <c r="C5785" s="73"/>
      <c r="D5785" s="50" t="str">
        <f>VLOOKUP(A5785,'Componentes APUs'!$A$1:$D$14,3,0)</f>
        <v>U</v>
      </c>
      <c r="E5785" s="53">
        <f>IF(A5757="MO-3",C5757,0)</f>
        <v>0</v>
      </c>
      <c r="F5785" s="51">
        <f>VLOOKUP(A5785,'Componentes APUs'!$A$1:$D$14,4,0)</f>
        <v>7500</v>
      </c>
      <c r="G5785" s="51">
        <f>ROUNDUP(F5785*(E5785/21)/E5745,0)</f>
        <v>0</v>
      </c>
    </row>
    <row r="5786" spans="1:7" x14ac:dyDescent="0.25">
      <c r="A5786" s="69" t="s">
        <v>89</v>
      </c>
      <c r="B5786" s="72" t="str">
        <f>VLOOKUP(A5786,'Componentes APUs'!$A$1:$D$14,2,0)</f>
        <v>Kit de rescate para trabajo en alturas</v>
      </c>
      <c r="C5786" s="73"/>
      <c r="D5786" s="50" t="str">
        <f>VLOOKUP(A5786,'Componentes APUs'!$A$1:$D$14,3,0)</f>
        <v>U</v>
      </c>
      <c r="E5786" s="50">
        <f>IF(AND(A5757="MO-3",C5757=2),1,0)</f>
        <v>0</v>
      </c>
      <c r="F5786" s="51">
        <f>VLOOKUP(A5786,'Componentes APUs'!$A$1:$D$14,4,0)</f>
        <v>37500</v>
      </c>
      <c r="G5786" s="51">
        <f>ROUNDUP(F5786*(E5786/21)/E5745,0)</f>
        <v>0</v>
      </c>
    </row>
    <row r="5787" spans="1:7" x14ac:dyDescent="0.25">
      <c r="A5787" s="50" t="s">
        <v>91</v>
      </c>
      <c r="B5787" s="72" t="str">
        <f>VLOOKUP(A5787,'Componentes APUs'!$A$1:$D$14,2,0)</f>
        <v>Equipo completo para trabajo en alturas con pretales (Arnes dielectrico, 1 mosqueton de seguridad, tie off dielectrico, eslinga de posicionamiento, juego de pretales)</v>
      </c>
      <c r="C5787" s="73"/>
      <c r="D5787" s="50" t="str">
        <f>VLOOKUP(A5787,'Componentes APUs'!$A$1:$D$14,3,0)</f>
        <v>U</v>
      </c>
      <c r="E5787" s="50">
        <f>IF(A5757="MO-3",C5757,0)</f>
        <v>0</v>
      </c>
      <c r="F5787" s="51">
        <f>VLOOKUP(A5787,'Componentes APUs'!$A$1:$D$14,4,0)</f>
        <v>26041.666666666668</v>
      </c>
      <c r="G5787" s="51">
        <f>ROUNDUP(F5787*(E5787/21)/E5745,0)</f>
        <v>0</v>
      </c>
    </row>
    <row r="5788" spans="1:7" x14ac:dyDescent="0.25">
      <c r="A5788" s="219" t="s">
        <v>95</v>
      </c>
      <c r="B5788" s="219"/>
      <c r="C5788" s="219"/>
      <c r="D5788" s="219"/>
      <c r="E5788" s="219"/>
      <c r="F5788" s="219"/>
      <c r="G5788" s="52">
        <f>SUM(G5775:G5787)</f>
        <v>485</v>
      </c>
    </row>
    <row r="5789" spans="1:7" x14ac:dyDescent="0.25">
      <c r="A5789" s="56"/>
      <c r="B5789" s="57"/>
      <c r="C5789" s="57"/>
      <c r="D5789" s="57"/>
      <c r="E5789" s="57"/>
      <c r="F5789" s="57"/>
      <c r="G5789" s="58"/>
    </row>
    <row r="5790" spans="1:7" x14ac:dyDescent="0.25">
      <c r="A5790" s="219" t="s">
        <v>96</v>
      </c>
      <c r="B5790" s="219"/>
      <c r="C5790" s="219"/>
      <c r="D5790" s="219"/>
      <c r="E5790" s="219"/>
      <c r="F5790" s="219"/>
      <c r="G5790" s="219"/>
    </row>
    <row r="5791" spans="1:7" x14ac:dyDescent="0.25">
      <c r="A5791" s="49" t="s">
        <v>35</v>
      </c>
      <c r="B5791" s="225" t="s">
        <v>36</v>
      </c>
      <c r="C5791" s="225"/>
      <c r="D5791" s="49" t="s">
        <v>37</v>
      </c>
      <c r="E5791" s="49" t="s">
        <v>38</v>
      </c>
      <c r="F5791" s="49" t="s">
        <v>39</v>
      </c>
      <c r="G5791" s="49" t="s">
        <v>40</v>
      </c>
    </row>
    <row r="5792" spans="1:7" x14ac:dyDescent="0.25">
      <c r="A5792" s="69" t="s">
        <v>97</v>
      </c>
      <c r="B5792" s="72" t="str">
        <f>VLOOKUP(A5792,'Componentes APUs'!$N$1:$Q$30,2,0)</f>
        <v>Camioneta</v>
      </c>
      <c r="C5792" s="73"/>
      <c r="D5792" s="70" t="str">
        <f>VLOOKUP(A5792,'Componentes APUs'!$N$1:$Q$30,3,0)</f>
        <v>U</v>
      </c>
      <c r="E5792" s="50">
        <v>0.5</v>
      </c>
      <c r="F5792" s="51">
        <f>VLOOKUP(A5792,'Componentes APUs'!$N$1:$Q$30,4,0)</f>
        <v>5500000</v>
      </c>
      <c r="G5792" s="51">
        <f>IFERROR(ROUNDUP(F5792*(E5792/21)/E5745,0),"-")</f>
        <v>7276</v>
      </c>
    </row>
    <row r="5793" spans="1:7" x14ac:dyDescent="0.25">
      <c r="A5793" s="50" t="s">
        <v>1473</v>
      </c>
      <c r="B5793" s="72" t="str">
        <f>VLOOKUP(A5793,'Componentes APUs'!$N$1:$Q$30,2,0)</f>
        <v>Concretera</v>
      </c>
      <c r="C5793" s="73"/>
      <c r="D5793" s="70" t="str">
        <f>VLOOKUP(A5793,'Componentes APUs'!$N$1:$Q$30,3,0)</f>
        <v>U</v>
      </c>
      <c r="E5793" s="50">
        <v>1</v>
      </c>
      <c r="F5793" s="51">
        <f>VLOOKUP(A5793,'Componentes APUs'!$N$1:$Q$30,4,0)</f>
        <v>550704</v>
      </c>
      <c r="G5793" s="51">
        <f>IFERROR(ROUNDUP(F5793*(E5793/21)/E5745,0),"-")</f>
        <v>1457</v>
      </c>
    </row>
    <row r="5794" spans="1:7" x14ac:dyDescent="0.25">
      <c r="A5794" s="69" t="s">
        <v>1379</v>
      </c>
      <c r="B5794" s="72" t="str">
        <f>VLOOKUP(A5794,'Componentes APUs'!$N$1:$Q$30,2,0)</f>
        <v>Dumper de descarga Frontal 2T</v>
      </c>
      <c r="C5794" s="73"/>
      <c r="D5794" s="70" t="str">
        <f>VLOOKUP(A5794,'Componentes APUs'!$N$1:$Q$30,3,0)</f>
        <v>U</v>
      </c>
      <c r="E5794" s="50">
        <v>0</v>
      </c>
      <c r="F5794" s="51">
        <f>VLOOKUP(A5794,'Componentes APUs'!$N$1:$Q$30,4,0)</f>
        <v>4438716.24</v>
      </c>
      <c r="G5794" s="51">
        <f>IFERROR(ROUNDUP(F5794*(E5794/21)/E5745,0),"-")</f>
        <v>0</v>
      </c>
    </row>
    <row r="5795" spans="1:7" x14ac:dyDescent="0.25">
      <c r="A5795" s="50" t="s">
        <v>323</v>
      </c>
      <c r="B5795" s="72" t="str">
        <f>VLOOKUP(A5795,'Componentes APUs'!$N$1:$Q$30,2,0)</f>
        <v>Volqueta</v>
      </c>
      <c r="C5795" s="73"/>
      <c r="D5795" s="70" t="str">
        <f>VLOOKUP(A5795,'Componentes APUs'!$N$1:$Q$30,3,0)</f>
        <v>U</v>
      </c>
      <c r="E5795" s="50">
        <v>0</v>
      </c>
      <c r="F5795" s="51">
        <f>VLOOKUP(A5795,'Componentes APUs'!$N$1:$Q$30,4,0)</f>
        <v>14828184</v>
      </c>
      <c r="G5795" s="51">
        <f>IFERROR(ROUNDUP(F5795*(E5795/21)/E5745,0),"-")</f>
        <v>0</v>
      </c>
    </row>
    <row r="5796" spans="1:7" x14ac:dyDescent="0.25">
      <c r="A5796" s="69" t="s">
        <v>324</v>
      </c>
      <c r="B5796" s="72" t="str">
        <f>VLOOKUP(A5796,'Componentes APUs'!$N$1:$Q$30,2,0)</f>
        <v>Retroexcavadora</v>
      </c>
      <c r="C5796" s="73"/>
      <c r="D5796" s="70" t="str">
        <f>VLOOKUP(A5796,'Componentes APUs'!$N$1:$Q$30,3,0)</f>
        <v>U</v>
      </c>
      <c r="E5796" s="50">
        <v>0</v>
      </c>
      <c r="F5796" s="51">
        <f>VLOOKUP(A5796,'Componentes APUs'!$N$1:$Q$30,4,0)</f>
        <v>46030656</v>
      </c>
      <c r="G5796" s="51">
        <f>IFERROR(ROUNDUP(F5796*(E5796/21)/E5745,0),"-")</f>
        <v>0</v>
      </c>
    </row>
    <row r="5797" spans="1:7" x14ac:dyDescent="0.25">
      <c r="A5797" s="219" t="s">
        <v>99</v>
      </c>
      <c r="B5797" s="219"/>
      <c r="C5797" s="219"/>
      <c r="D5797" s="219"/>
      <c r="E5797" s="219"/>
      <c r="F5797" s="219"/>
      <c r="G5797" s="52">
        <f>SUM(G5792:G5796)</f>
        <v>8733</v>
      </c>
    </row>
    <row r="5798" spans="1:7" x14ac:dyDescent="0.25">
      <c r="A5798" s="56"/>
      <c r="B5798" s="57"/>
      <c r="C5798" s="57"/>
      <c r="D5798" s="57"/>
      <c r="E5798" s="57"/>
      <c r="F5798" s="57"/>
      <c r="G5798" s="58"/>
    </row>
    <row r="5799" spans="1:7" x14ac:dyDescent="0.25">
      <c r="A5799" s="219" t="s">
        <v>100</v>
      </c>
      <c r="B5799" s="219"/>
      <c r="C5799" s="219"/>
      <c r="D5799" s="219"/>
      <c r="E5799" s="219"/>
      <c r="F5799" s="219"/>
      <c r="G5799" s="52">
        <f>G5797+G5788+G5771+G5761+G5751</f>
        <v>410628</v>
      </c>
    </row>
    <row r="5800" spans="1:7" x14ac:dyDescent="0.25">
      <c r="A5800" s="59"/>
      <c r="B5800" s="60"/>
      <c r="C5800" s="60"/>
      <c r="D5800" s="60"/>
      <c r="E5800" s="57"/>
      <c r="F5800" s="57"/>
      <c r="G5800" s="58"/>
    </row>
    <row r="5801" spans="1:7" x14ac:dyDescent="0.25">
      <c r="A5801" s="64"/>
      <c r="D5801" s="55"/>
      <c r="E5801" s="49" t="s">
        <v>25</v>
      </c>
      <c r="F5801" s="54">
        <v>0.15</v>
      </c>
      <c r="G5801" s="51">
        <f>G5799*F5801</f>
        <v>61594.2</v>
      </c>
    </row>
    <row r="5802" spans="1:7" x14ac:dyDescent="0.25">
      <c r="A5802" s="64"/>
      <c r="D5802" s="55"/>
      <c r="E5802" s="49" t="s">
        <v>26</v>
      </c>
      <c r="F5802" s="54">
        <v>0.05</v>
      </c>
      <c r="G5802" s="51">
        <f>G5799*F5802</f>
        <v>20531.400000000001</v>
      </c>
    </row>
    <row r="5803" spans="1:7" x14ac:dyDescent="0.25">
      <c r="A5803" s="61"/>
      <c r="B5803" s="65"/>
      <c r="C5803" s="65"/>
      <c r="D5803" s="62"/>
      <c r="E5803" s="49" t="s">
        <v>27</v>
      </c>
      <c r="F5803" s="54">
        <v>0.05</v>
      </c>
      <c r="G5803" s="51">
        <f>G5799*F5803</f>
        <v>20531.400000000001</v>
      </c>
    </row>
    <row r="5804" spans="1:7" x14ac:dyDescent="0.25">
      <c r="A5804" s="61"/>
      <c r="B5804" s="62"/>
      <c r="C5804" s="62"/>
      <c r="D5804" s="62"/>
      <c r="E5804" s="62"/>
      <c r="F5804" s="62"/>
      <c r="G5804" s="63"/>
    </row>
    <row r="5805" spans="1:7" x14ac:dyDescent="0.25">
      <c r="A5805" s="219" t="s">
        <v>101</v>
      </c>
      <c r="B5805" s="219"/>
      <c r="C5805" s="219"/>
      <c r="D5805" s="219"/>
      <c r="E5805" s="219"/>
      <c r="F5805" s="219"/>
      <c r="G5805" s="52">
        <f>G5799+G5801+G5802+G5803</f>
        <v>513285.00000000006</v>
      </c>
    </row>
    <row r="5806" spans="1:7" x14ac:dyDescent="0.25">
      <c r="A5806" s="59"/>
      <c r="B5806" s="60"/>
      <c r="C5806" s="60"/>
      <c r="D5806" s="60"/>
      <c r="E5806" s="57"/>
      <c r="F5806" s="57"/>
      <c r="G5806" s="58"/>
    </row>
    <row r="5807" spans="1:7" x14ac:dyDescent="0.25">
      <c r="A5807" s="64"/>
      <c r="D5807" s="55"/>
      <c r="E5807" s="49" t="s">
        <v>102</v>
      </c>
      <c r="F5807" s="49" t="s">
        <v>103</v>
      </c>
      <c r="G5807" s="51">
        <f>G5803*19%</f>
        <v>3900.9660000000003</v>
      </c>
    </row>
    <row r="5808" spans="1:7" x14ac:dyDescent="0.25">
      <c r="A5808" s="61"/>
      <c r="B5808" s="62"/>
      <c r="C5808" s="62"/>
      <c r="D5808" s="62"/>
      <c r="E5808" s="57"/>
      <c r="F5808" s="57"/>
      <c r="G5808" s="58"/>
    </row>
    <row r="5809" spans="1:12" x14ac:dyDescent="0.25">
      <c r="A5809" s="219" t="s">
        <v>104</v>
      </c>
      <c r="B5809" s="219"/>
      <c r="C5809" s="219"/>
      <c r="D5809" s="219"/>
      <c r="E5809" s="219"/>
      <c r="F5809" s="219"/>
      <c r="G5809" s="52">
        <f>G5807+G5805</f>
        <v>517185.96600000007</v>
      </c>
    </row>
    <row r="5811" spans="1:12" x14ac:dyDescent="0.25">
      <c r="A5811" s="74" t="s">
        <v>29</v>
      </c>
      <c r="B5811" s="226" t="s">
        <v>30</v>
      </c>
      <c r="C5811" s="226"/>
      <c r="D5811" s="74" t="s">
        <v>31</v>
      </c>
      <c r="E5811" s="74" t="s">
        <v>32</v>
      </c>
      <c r="F5811" s="74" t="s">
        <v>189</v>
      </c>
      <c r="G5811" s="74" t="s">
        <v>33</v>
      </c>
      <c r="H5811" s="105"/>
    </row>
    <row r="5812" spans="1:12" x14ac:dyDescent="0.25">
      <c r="A5812" s="50" t="str">
        <f>Presupuesto!B113</f>
        <v>094_OC</v>
      </c>
      <c r="B5812" s="229" t="str">
        <f>Presupuesto!C113</f>
        <v>COLUMNAS DE AMARRE 20X12 CM</v>
      </c>
      <c r="C5812" s="230"/>
      <c r="D5812" s="50" t="s">
        <v>114</v>
      </c>
      <c r="E5812" s="107">
        <v>50</v>
      </c>
      <c r="F5812" s="50"/>
      <c r="G5812" s="51">
        <f>G5876</f>
        <v>104823.147</v>
      </c>
      <c r="H5812" s="45"/>
    </row>
    <row r="5813" spans="1:12" x14ac:dyDescent="0.25">
      <c r="A5813" s="219" t="s">
        <v>34</v>
      </c>
      <c r="B5813" s="219"/>
      <c r="C5813" s="219"/>
      <c r="D5813" s="219"/>
      <c r="E5813" s="219"/>
      <c r="F5813" s="219"/>
      <c r="G5813" s="219"/>
    </row>
    <row r="5814" spans="1:12" x14ac:dyDescent="0.25">
      <c r="A5814" s="49" t="s">
        <v>35</v>
      </c>
      <c r="B5814" s="219" t="s">
        <v>36</v>
      </c>
      <c r="C5814" s="219"/>
      <c r="D5814" s="49" t="s">
        <v>37</v>
      </c>
      <c r="E5814" s="49" t="s">
        <v>38</v>
      </c>
      <c r="F5814" s="49" t="s">
        <v>39</v>
      </c>
      <c r="G5814" s="49" t="s">
        <v>40</v>
      </c>
      <c r="K5814" s="23"/>
      <c r="L5814" s="23"/>
    </row>
    <row r="5815" spans="1:12" x14ac:dyDescent="0.25">
      <c r="A5815" s="50" t="str">
        <f>Material!A218</f>
        <v>MA-217</v>
      </c>
      <c r="B5815" s="72" t="str">
        <f>IFERROR(VLOOKUP(A5815,Material!$A:$H,2,0),"-")</f>
        <v>FORMALETA EN MADERA CON TABLA DE 1"</v>
      </c>
      <c r="C5815" s="76"/>
      <c r="D5815" s="50" t="str">
        <f>IFERROR(VLOOKUP(A5815,Material!$A:$H,4,0),"-")</f>
        <v>M2</v>
      </c>
      <c r="E5815" s="107">
        <f>0.12*1*2+0.2*1*2</f>
        <v>0.64</v>
      </c>
      <c r="F5815" s="51">
        <f>IFERROR(VLOOKUP(A5815,Material!$A:$H,3,0),"-")</f>
        <v>24691.116165303549</v>
      </c>
      <c r="G5815" s="51">
        <f t="shared" ref="G5815:G5817" si="101">IFERROR(ROUNDUP(F5815*E5815,0),"-")</f>
        <v>15803</v>
      </c>
      <c r="H5815" s="106"/>
    </row>
    <row r="5816" spans="1:12" x14ac:dyDescent="0.25">
      <c r="A5816" s="50" t="str">
        <f>Material!A15</f>
        <v>MA-14</v>
      </c>
      <c r="B5816" s="72" t="str">
        <f>IFERROR(VLOOKUP(A5816,Material!$A:$H,2,0),"-")</f>
        <v>CONCRETO DE 3000 PSI</v>
      </c>
      <c r="C5816" s="76"/>
      <c r="D5816" s="50" t="str">
        <f>IFERROR(VLOOKUP(A5816,Material!$A:$H,4,0),"-")</f>
        <v>M3</v>
      </c>
      <c r="E5816" s="107">
        <f>0.12*0.2</f>
        <v>2.4E-2</v>
      </c>
      <c r="F5816" s="51">
        <f>IFERROR(VLOOKUP(A5816,Material!$A:$H,3,0),"-")</f>
        <v>620227.23330691375</v>
      </c>
      <c r="G5816" s="51">
        <f t="shared" si="101"/>
        <v>14886</v>
      </c>
      <c r="H5816" s="106"/>
    </row>
    <row r="5817" spans="1:12" x14ac:dyDescent="0.25">
      <c r="A5817" s="50" t="str">
        <f>Material!A587</f>
        <v>MA-586</v>
      </c>
      <c r="B5817" s="72" t="str">
        <f>IFERROR(VLOOKUP(A5817,Material!$A:$H,2,0),"-")</f>
        <v>ACERO Fy= 420 MPa</v>
      </c>
      <c r="C5817" s="76"/>
      <c r="D5817" s="50" t="str">
        <f>IFERROR(VLOOKUP(A5817,Material!$A:$H,4,0),"-")</f>
        <v>KG</v>
      </c>
      <c r="E5817" s="107">
        <f>200*E5816</f>
        <v>4.8</v>
      </c>
      <c r="F5817" s="51">
        <f>IFERROR(VLOOKUP(A5817,Material!$A:$H,3,0),"-")</f>
        <v>6962.8</v>
      </c>
      <c r="G5817" s="51">
        <f t="shared" si="101"/>
        <v>33422</v>
      </c>
      <c r="H5817" s="106"/>
    </row>
    <row r="5818" spans="1:12" x14ac:dyDescent="0.25">
      <c r="A5818" s="219" t="s">
        <v>41</v>
      </c>
      <c r="B5818" s="219"/>
      <c r="C5818" s="219"/>
      <c r="D5818" s="219"/>
      <c r="E5818" s="219"/>
      <c r="F5818" s="219"/>
      <c r="G5818" s="52">
        <f>SUM(G5815:G5817)</f>
        <v>64111</v>
      </c>
      <c r="I5818" s="104"/>
    </row>
    <row r="5819" spans="1:12" x14ac:dyDescent="0.25">
      <c r="A5819" s="56"/>
      <c r="B5819" s="57"/>
      <c r="C5819" s="57"/>
      <c r="D5819" s="57"/>
      <c r="E5819" s="57"/>
      <c r="F5819" s="57"/>
      <c r="G5819" s="58"/>
    </row>
    <row r="5820" spans="1:12" x14ac:dyDescent="0.25">
      <c r="A5820" s="219" t="s">
        <v>42</v>
      </c>
      <c r="B5820" s="219"/>
      <c r="C5820" s="219"/>
      <c r="D5820" s="219"/>
      <c r="E5820" s="219"/>
      <c r="F5820" s="219"/>
      <c r="G5820" s="219"/>
    </row>
    <row r="5821" spans="1:12" x14ac:dyDescent="0.25">
      <c r="A5821" s="49" t="s">
        <v>35</v>
      </c>
      <c r="B5821" s="49" t="s">
        <v>36</v>
      </c>
      <c r="C5821" s="49" t="s">
        <v>38</v>
      </c>
      <c r="D5821" s="49" t="s">
        <v>43</v>
      </c>
      <c r="E5821" s="49" t="s">
        <v>44</v>
      </c>
      <c r="F5821" s="49" t="s">
        <v>45</v>
      </c>
      <c r="G5821" s="49" t="s">
        <v>40</v>
      </c>
    </row>
    <row r="5822" spans="1:12" x14ac:dyDescent="0.25">
      <c r="A5822" s="50" t="s">
        <v>319</v>
      </c>
      <c r="B5822" s="68" t="str">
        <f>VLOOKUP(A5822,'Componentes APUs'!$H$1:$L$25,2,0)</f>
        <v>Ingeniero Residente de Obra</v>
      </c>
      <c r="C5822" s="93">
        <v>0.25</v>
      </c>
      <c r="D5822" s="50">
        <f>VLOOKUP(A5822,'Componentes APUs'!$H$1:$L$25,3,0)</f>
        <v>4</v>
      </c>
      <c r="E5822" s="51">
        <f>VLOOKUP(A5822,'Componentes APUs'!$H$1:$L$25,4,0)</f>
        <v>271142.85714285716</v>
      </c>
      <c r="F5822" s="51">
        <f>VLOOKUP(A5822,'Componentes APUs'!$H$1:$L$25,5,0)</f>
        <v>162685.71428571429</v>
      </c>
      <c r="G5822" s="51">
        <f>ROUNDUP((E5822+F5822)*C5822/E5812,0)</f>
        <v>2170</v>
      </c>
      <c r="H5822" s="66"/>
    </row>
    <row r="5823" spans="1:12" x14ac:dyDescent="0.25">
      <c r="A5823" s="50" t="s">
        <v>320</v>
      </c>
      <c r="B5823" s="68" t="str">
        <f>VLOOKUP(A5823,'Componentes APUs'!$H$1:$L$25,2,0)</f>
        <v>Tecnico Supervisor</v>
      </c>
      <c r="C5823" s="93">
        <v>0</v>
      </c>
      <c r="D5823" s="50">
        <f>VLOOKUP(A5823,'Componentes APUs'!$H$1:$L$25,3,0)</f>
        <v>2.2999999999999998</v>
      </c>
      <c r="E5823" s="51">
        <f>VLOOKUP(A5823,'Componentes APUs'!$H$1:$L$25,4,0)</f>
        <v>155907.14285714284</v>
      </c>
      <c r="F5823" s="51">
        <f>VLOOKUP(A5823,'Componentes APUs'!$H$1:$L$25,5,0)</f>
        <v>93544.285714285696</v>
      </c>
      <c r="G5823" s="51">
        <f>ROUNDUP((E5823+F5823)*C5823/E5812,0)</f>
        <v>0</v>
      </c>
    </row>
    <row r="5824" spans="1:12" x14ac:dyDescent="0.25">
      <c r="A5824" s="50" t="s">
        <v>54</v>
      </c>
      <c r="B5824" s="68" t="str">
        <f>VLOOKUP(A5824,'Componentes APUs'!$H$1:$L$25,2,0)</f>
        <v>Maestro de obra civil</v>
      </c>
      <c r="C5824" s="93">
        <v>0</v>
      </c>
      <c r="D5824" s="50">
        <f>VLOOKUP(A5824,'Componentes APUs'!$H$1:$L$25,3,0)</f>
        <v>2.5</v>
      </c>
      <c r="E5824" s="51">
        <f>VLOOKUP(A5824,'Componentes APUs'!$H$1:$L$25,4,0)</f>
        <v>169464.28571428571</v>
      </c>
      <c r="F5824" s="51">
        <f>VLOOKUP(A5824,'Componentes APUs'!$H$1:$L$25,5,0)</f>
        <v>101678.57142857142</v>
      </c>
      <c r="G5824" s="51">
        <f>ROUNDUP((E5824+F5824)*C5824/E5812,0)</f>
        <v>0</v>
      </c>
    </row>
    <row r="5825" spans="1:9" x14ac:dyDescent="0.25">
      <c r="A5825" s="50" t="s">
        <v>1110</v>
      </c>
      <c r="B5825" s="68" t="str">
        <f>VLOOKUP(A5825,'Componentes APUs'!$H$1:$L$25,2,0)</f>
        <v>Oficial de Obra Civil</v>
      </c>
      <c r="C5825" s="93">
        <v>1</v>
      </c>
      <c r="D5825" s="50">
        <f>VLOOKUP(A5825,'Componentes APUs'!$H$1:$L$25,3,0)</f>
        <v>1.5</v>
      </c>
      <c r="E5825" s="51">
        <f>VLOOKUP(A5825,'Componentes APUs'!$H$1:$L$25,4,0)</f>
        <v>115964.28571428571</v>
      </c>
      <c r="F5825" s="51">
        <f>VLOOKUP(A5825,'Componentes APUs'!$H$1:$L$25,5,0)</f>
        <v>69578.57142857142</v>
      </c>
      <c r="G5825" s="51">
        <f>ROUNDUP((E5825+F5825)*C5825/E5812,0)</f>
        <v>3711</v>
      </c>
    </row>
    <row r="5826" spans="1:9" x14ac:dyDescent="0.25">
      <c r="A5826" s="50" t="s">
        <v>50</v>
      </c>
      <c r="B5826" s="68" t="str">
        <f>VLOOKUP(A5826,'Componentes APUs'!$H$1:$L$25,2,0)</f>
        <v>Profesional en SST</v>
      </c>
      <c r="C5826" s="93">
        <v>0.25</v>
      </c>
      <c r="D5826" s="50">
        <f>VLOOKUP(A5826,'Componentes APUs'!$H$1:$L$25,3,0)</f>
        <v>2.5</v>
      </c>
      <c r="E5826" s="51">
        <f>VLOOKUP(A5826,'Componentes APUs'!$H$1:$L$25,4,0)</f>
        <v>169464.28571428571</v>
      </c>
      <c r="F5826" s="51">
        <f>VLOOKUP(A5826,'Componentes APUs'!$H$1:$L$25,5,0)</f>
        <v>101678.57142857142</v>
      </c>
      <c r="G5826" s="51">
        <f>ROUNDUP((E5826+F5826)*C5826/E5812,0)</f>
        <v>1356</v>
      </c>
    </row>
    <row r="5827" spans="1:9" x14ac:dyDescent="0.25">
      <c r="A5827" s="50" t="s">
        <v>1109</v>
      </c>
      <c r="B5827" s="68" t="str">
        <f>VLOOKUP(A5827,'Componentes APUs'!$H$1:$L$25,2,0)</f>
        <v>Ayudante de Obra Civil</v>
      </c>
      <c r="C5827" s="93">
        <v>2</v>
      </c>
      <c r="D5827" s="50">
        <f>VLOOKUP(A5827,'Componentes APUs'!$H$1:$L$25,3,0)</f>
        <v>1</v>
      </c>
      <c r="E5827" s="51">
        <f>VLOOKUP(A5827,'Componentes APUs'!$H$1:$L$25,4,0)</f>
        <v>77309.523809523816</v>
      </c>
      <c r="F5827" s="51">
        <f>VLOOKUP(A5827,'Componentes APUs'!$H$1:$L$25,5,0)</f>
        <v>46385.71428571429</v>
      </c>
      <c r="G5827" s="51">
        <f>ROUNDUP((E5827+F5827)*C5827/E5812,0)</f>
        <v>4948</v>
      </c>
    </row>
    <row r="5828" spans="1:9" x14ac:dyDescent="0.25">
      <c r="A5828" s="219" t="s">
        <v>56</v>
      </c>
      <c r="B5828" s="219"/>
      <c r="C5828" s="219"/>
      <c r="D5828" s="219"/>
      <c r="E5828" s="219"/>
      <c r="F5828" s="219"/>
      <c r="G5828" s="52">
        <f>SUM(G5822:G5827)</f>
        <v>12185</v>
      </c>
    </row>
    <row r="5829" spans="1:9" x14ac:dyDescent="0.25">
      <c r="A5829" s="56"/>
      <c r="B5829" s="57"/>
      <c r="C5829" s="57"/>
      <c r="D5829" s="57"/>
      <c r="E5829" s="57"/>
      <c r="F5829" s="57"/>
      <c r="G5829" s="58"/>
    </row>
    <row r="5830" spans="1:9" x14ac:dyDescent="0.25">
      <c r="A5830" s="219" t="s">
        <v>57</v>
      </c>
      <c r="B5830" s="219"/>
      <c r="C5830" s="219"/>
      <c r="D5830" s="219"/>
      <c r="E5830" s="219"/>
      <c r="F5830" s="219"/>
      <c r="G5830" s="219"/>
    </row>
    <row r="5831" spans="1:9" x14ac:dyDescent="0.25">
      <c r="A5831" s="49" t="s">
        <v>35</v>
      </c>
      <c r="B5831" s="219" t="s">
        <v>36</v>
      </c>
      <c r="C5831" s="219"/>
      <c r="D5831" s="49" t="s">
        <v>37</v>
      </c>
      <c r="E5831" s="49" t="s">
        <v>38</v>
      </c>
      <c r="F5831" s="49" t="s">
        <v>39</v>
      </c>
      <c r="G5831" s="49" t="s">
        <v>40</v>
      </c>
    </row>
    <row r="5832" spans="1:9" x14ac:dyDescent="0.25">
      <c r="A5832" s="50" t="s">
        <v>326</v>
      </c>
      <c r="B5832" s="220" t="str">
        <f>VLOOKUP(A5832,'Componentes APUs'!$S$1:$V$10,2,0)</f>
        <v>Juego Llaves</v>
      </c>
      <c r="C5832" s="220"/>
      <c r="D5832" s="50" t="s">
        <v>18</v>
      </c>
      <c r="E5832" s="50">
        <v>0</v>
      </c>
      <c r="F5832" s="51">
        <f>VLOOKUP(A5832,'Componentes APUs'!$S$1:$V$10,4,0)</f>
        <v>9167</v>
      </c>
      <c r="G5832" s="51">
        <f>ROUNDUP(F5832*((E5832/21)/E5812),0)</f>
        <v>0</v>
      </c>
      <c r="I5832" s="91"/>
    </row>
    <row r="5833" spans="1:9" x14ac:dyDescent="0.25">
      <c r="A5833" s="50" t="s">
        <v>58</v>
      </c>
      <c r="B5833" s="220" t="str">
        <f>VLOOKUP(A5833,'Componentes APUs'!$S$1:$V$10,2,0)</f>
        <v>Manila de servicio</v>
      </c>
      <c r="C5833" s="220"/>
      <c r="D5833" s="50" t="s">
        <v>18</v>
      </c>
      <c r="E5833" s="50">
        <v>0</v>
      </c>
      <c r="F5833" s="51">
        <f>VLOOKUP(A5833,'Componentes APUs'!$S$1:$V$10,4,0)</f>
        <v>2333</v>
      </c>
      <c r="G5833" s="51">
        <f>ROUNDUP(F5833*((E5833/21)/E5812),0)</f>
        <v>0</v>
      </c>
    </row>
    <row r="5834" spans="1:9" x14ac:dyDescent="0.25">
      <c r="A5834" s="50" t="s">
        <v>327</v>
      </c>
      <c r="B5834" s="220" t="str">
        <f>VLOOKUP(A5834,'Componentes APUs'!$S$1:$V$10,2,0)</f>
        <v>Tula portaherramientas</v>
      </c>
      <c r="C5834" s="220"/>
      <c r="D5834" s="50" t="s">
        <v>18</v>
      </c>
      <c r="E5834" s="50">
        <v>0</v>
      </c>
      <c r="F5834" s="51">
        <f>VLOOKUP(A5834,'Componentes APUs'!$S$1:$V$10,4,0)</f>
        <v>1250</v>
      </c>
      <c r="G5834" s="51">
        <f>ROUNDUP(F5834*((E5834/21)/E5812),0)</f>
        <v>0</v>
      </c>
    </row>
    <row r="5835" spans="1:9" x14ac:dyDescent="0.25">
      <c r="A5835" s="50" t="s">
        <v>60</v>
      </c>
      <c r="B5835" s="220" t="str">
        <f>VLOOKUP(A5835,'Componentes APUs'!$S$1:$V$10,2,0)</f>
        <v>Agarradoras</v>
      </c>
      <c r="C5835" s="220"/>
      <c r="D5835" s="50" t="s">
        <v>18</v>
      </c>
      <c r="E5835" s="50">
        <v>0</v>
      </c>
      <c r="F5835" s="51">
        <f>VLOOKUP(A5835,'Componentes APUs'!$S$1:$V$10,4,0)</f>
        <v>125000</v>
      </c>
      <c r="G5835" s="51">
        <f>ROUNDUP(F5835*((E5835/21)/E5812),0)</f>
        <v>0</v>
      </c>
    </row>
    <row r="5836" spans="1:9" x14ac:dyDescent="0.25">
      <c r="A5836" s="50" t="s">
        <v>62</v>
      </c>
      <c r="B5836" s="220" t="str">
        <f>VLOOKUP(A5836,'Componentes APUs'!$S$1:$V$10,2,0)</f>
        <v>Templadoras</v>
      </c>
      <c r="C5836" s="220"/>
      <c r="D5836" s="50" t="s">
        <v>18</v>
      </c>
      <c r="E5836" s="50">
        <v>0</v>
      </c>
      <c r="F5836" s="51">
        <f>VLOOKUP(A5836,'Componentes APUs'!$S$1:$V$10,4,0)</f>
        <v>250000</v>
      </c>
      <c r="G5836" s="51">
        <f>ROUNDUP(F5836*((E5836/21)/E5812),0)</f>
        <v>0</v>
      </c>
    </row>
    <row r="5837" spans="1:9" x14ac:dyDescent="0.25">
      <c r="A5837" s="50" t="s">
        <v>328</v>
      </c>
      <c r="B5837" s="220" t="str">
        <f>VLOOKUP(A5837,'Componentes APUs'!$S$1:$V$10,2,0)</f>
        <v>Herramienta Menor</v>
      </c>
      <c r="C5837" s="220"/>
      <c r="D5837" s="50" t="s">
        <v>18</v>
      </c>
      <c r="E5837" s="50">
        <v>50</v>
      </c>
      <c r="F5837" s="51">
        <f>VLOOKUP(A5837,'Componentes APUs'!$S$1:$V$10,4,0)</f>
        <v>75758</v>
      </c>
      <c r="G5837" s="51">
        <f>ROUNDUP(F5837*((E5837/21)/E5812),0)</f>
        <v>3608</v>
      </c>
    </row>
    <row r="5838" spans="1:9" x14ac:dyDescent="0.25">
      <c r="A5838" s="219" t="s">
        <v>69</v>
      </c>
      <c r="B5838" s="219"/>
      <c r="C5838" s="219"/>
      <c r="D5838" s="219"/>
      <c r="E5838" s="219"/>
      <c r="F5838" s="219"/>
      <c r="G5838" s="52">
        <f>SUM(G5832:G5837)</f>
        <v>3608</v>
      </c>
    </row>
    <row r="5839" spans="1:9" x14ac:dyDescent="0.25">
      <c r="A5839" s="56"/>
      <c r="B5839" s="57"/>
      <c r="C5839" s="57"/>
      <c r="D5839" s="57"/>
      <c r="E5839" s="57"/>
      <c r="F5839" s="57"/>
      <c r="G5839" s="58"/>
    </row>
    <row r="5840" spans="1:9" x14ac:dyDescent="0.25">
      <c r="A5840" s="219" t="s">
        <v>70</v>
      </c>
      <c r="B5840" s="219"/>
      <c r="C5840" s="219"/>
      <c r="D5840" s="219"/>
      <c r="E5840" s="219"/>
      <c r="F5840" s="219"/>
      <c r="G5840" s="219"/>
    </row>
    <row r="5841" spans="1:9" x14ac:dyDescent="0.25">
      <c r="A5841" s="49" t="s">
        <v>35</v>
      </c>
      <c r="B5841" s="219" t="s">
        <v>36</v>
      </c>
      <c r="C5841" s="219"/>
      <c r="D5841" s="49" t="s">
        <v>37</v>
      </c>
      <c r="E5841" s="49" t="s">
        <v>38</v>
      </c>
      <c r="F5841" s="49" t="s">
        <v>39</v>
      </c>
      <c r="G5841" s="49" t="s">
        <v>40</v>
      </c>
    </row>
    <row r="5842" spans="1:9" x14ac:dyDescent="0.25">
      <c r="A5842" s="50" t="s">
        <v>71</v>
      </c>
      <c r="B5842" s="71" t="str">
        <f>VLOOKUP(A5842,'Componentes APUs'!$A$1:$D$14,2,0)</f>
        <v>Camisa indigo sin partes metalicas</v>
      </c>
      <c r="C5842" s="71"/>
      <c r="D5842" s="50" t="str">
        <f>VLOOKUP(A5842,'Componentes APUs'!$A$1:$D$14,3,0)</f>
        <v>U</v>
      </c>
      <c r="E5842" s="50">
        <f>SUM(C5822:C5827)</f>
        <v>3.5</v>
      </c>
      <c r="F5842" s="51">
        <f>VLOOKUP(A5842,'Componentes APUs'!$A$1:$D$14,4,0)</f>
        <v>8585.8585858585866</v>
      </c>
      <c r="G5842" s="51">
        <f>ROUNDUP(F5842*(E5842/21)/E5812,0)</f>
        <v>29</v>
      </c>
      <c r="I5842" s="91"/>
    </row>
    <row r="5843" spans="1:9" x14ac:dyDescent="0.25">
      <c r="A5843" s="69" t="s">
        <v>73</v>
      </c>
      <c r="B5843" s="72" t="str">
        <f>VLOOKUP(A5843,'Componentes APUs'!$A$1:$D$14,2,0)</f>
        <v>Bota de seguridad dielectrica</v>
      </c>
      <c r="C5843" s="73"/>
      <c r="D5843" s="70" t="str">
        <f>VLOOKUP(A5843,'Componentes APUs'!$A$1:$D$14,3,0)</f>
        <v>Par</v>
      </c>
      <c r="E5843" s="50">
        <f>SUM(C5822:C5827)</f>
        <v>3.5</v>
      </c>
      <c r="F5843" s="51">
        <f>VLOOKUP(A5843,'Componentes APUs'!$A$1:$D$14,4,0)</f>
        <v>7500</v>
      </c>
      <c r="G5843" s="51">
        <f>ROUNDUP(F5843*(E5843/21)/E5812,0)</f>
        <v>25</v>
      </c>
    </row>
    <row r="5844" spans="1:9" x14ac:dyDescent="0.25">
      <c r="A5844" s="50" t="s">
        <v>76</v>
      </c>
      <c r="B5844" s="72" t="str">
        <f>VLOOKUP(A5844,'Componentes APUs'!$A$1:$D$14,2,0)</f>
        <v>Casco dielectrico Tipo 1 Clase E con barbuquejo</v>
      </c>
      <c r="C5844" s="73"/>
      <c r="D5844" s="50" t="str">
        <f>VLOOKUP(A5844,'Componentes APUs'!$A$1:$D$14,3,0)</f>
        <v>U</v>
      </c>
      <c r="E5844" s="50">
        <f>C5822+C5823+C5825+C5826+C5827+IF(A5824&lt;&gt;"MO-3",C5824,0)</f>
        <v>3.5</v>
      </c>
      <c r="F5844" s="51">
        <f>VLOOKUP(A5844,'Componentes APUs'!$A$1:$D$14,4,0)</f>
        <v>10101.010101010101</v>
      </c>
      <c r="G5844" s="51">
        <f>ROUNDUP(F5844*(E5844/21)/E5812,0)</f>
        <v>34</v>
      </c>
    </row>
    <row r="5845" spans="1:9" x14ac:dyDescent="0.25">
      <c r="A5845" s="69" t="s">
        <v>77</v>
      </c>
      <c r="B5845" s="72" t="str">
        <f>VLOOKUP(A5845,'Componentes APUs'!$A$1:$D$14,2,0)</f>
        <v>Correa plastica y antiflama</v>
      </c>
      <c r="C5845" s="73"/>
      <c r="D5845" s="50" t="str">
        <f>VLOOKUP(A5845,'Componentes APUs'!$A$1:$D$14,3,0)</f>
        <v>U</v>
      </c>
      <c r="E5845" s="50">
        <f>SUM(C5822:C5827)</f>
        <v>3.5</v>
      </c>
      <c r="F5845" s="51">
        <f>VLOOKUP(A5845,'Componentes APUs'!$A$1:$D$14,4,0)</f>
        <v>3787.878787878788</v>
      </c>
      <c r="G5845" s="51">
        <f>ROUNDUP(F5845*(E5845/21)/E5812,0)</f>
        <v>13</v>
      </c>
    </row>
    <row r="5846" spans="1:9" x14ac:dyDescent="0.25">
      <c r="A5846" s="50" t="s">
        <v>79</v>
      </c>
      <c r="B5846" s="72" t="str">
        <f>VLOOKUP(A5846,'Componentes APUs'!$A$1:$D$14,2,0)</f>
        <v>Gafas protectoras filtro UV</v>
      </c>
      <c r="C5846" s="73"/>
      <c r="D5846" s="50" t="str">
        <f>VLOOKUP(A5846,'Componentes APUs'!$A$1:$D$14,3,0)</f>
        <v>U</v>
      </c>
      <c r="E5846" s="50">
        <f>SUM(C5822:C5827)</f>
        <v>3.5</v>
      </c>
      <c r="F5846" s="51">
        <f>VLOOKUP(A5846,'Componentes APUs'!$A$1:$D$14,4,0)</f>
        <v>2777.7777777777778</v>
      </c>
      <c r="G5846" s="51">
        <f>ROUNDUP(F5846*(E5846/21)/E5812,0)</f>
        <v>10</v>
      </c>
    </row>
    <row r="5847" spans="1:9" x14ac:dyDescent="0.25">
      <c r="A5847" s="69" t="s">
        <v>402</v>
      </c>
      <c r="B5847" s="72" t="str">
        <f>VLOOKUP(A5847,'Componentes APUs'!$A$1:$D$14,2,0)</f>
        <v>Bota de seguridad PVC dielectrica</v>
      </c>
      <c r="C5847" s="73"/>
      <c r="D5847" s="50" t="str">
        <f>VLOOKUP(A5847,'Componentes APUs'!$A$1:$D$14,3,0)</f>
        <v>Par</v>
      </c>
      <c r="E5847" s="50">
        <f>SUM(C5822:C5827)</f>
        <v>3.5</v>
      </c>
      <c r="F5847" s="51">
        <f>VLOOKUP(A5847,'Componentes APUs'!$A$1:$D$14,4,0)</f>
        <v>2916.6666666666665</v>
      </c>
      <c r="G5847" s="51">
        <f>ROUNDUP(F5847*(E5847/21)/E5812,0)</f>
        <v>10</v>
      </c>
    </row>
    <row r="5848" spans="1:9" x14ac:dyDescent="0.25">
      <c r="A5848" s="50" t="s">
        <v>403</v>
      </c>
      <c r="B5848" s="72" t="str">
        <f>VLOOKUP(A5848,'Componentes APUs'!$A$1:$D$14,2,0)</f>
        <v>Capuchon</v>
      </c>
      <c r="C5848" s="73"/>
      <c r="D5848" s="50" t="str">
        <f>VLOOKUP(A5848,'Componentes APUs'!$A$1:$D$14,3,0)</f>
        <v>U</v>
      </c>
      <c r="E5848" s="50">
        <f>SUM(C5822:C5827)</f>
        <v>3.5</v>
      </c>
      <c r="F5848" s="51">
        <f>VLOOKUP(A5848,'Componentes APUs'!$A$1:$D$14,4,0)</f>
        <v>2525.2525252525252</v>
      </c>
      <c r="G5848" s="51">
        <f>ROUNDUP(F5848*(E5848/21)/E5812,0)</f>
        <v>9</v>
      </c>
    </row>
    <row r="5849" spans="1:9" x14ac:dyDescent="0.25">
      <c r="A5849" s="69" t="s">
        <v>81</v>
      </c>
      <c r="B5849" s="72" t="str">
        <f>VLOOKUP(A5849,'Componentes APUs'!$A$1:$D$14,2,0)</f>
        <v>Guantes Protectores  - ingeniero reforzados</v>
      </c>
      <c r="C5849" s="73"/>
      <c r="D5849" s="50" t="str">
        <f>VLOOKUP(A5849,'Componentes APUs'!$A$1:$D$14,3,0)</f>
        <v>Par</v>
      </c>
      <c r="E5849" s="50">
        <f>C5824+C5825+C5827</f>
        <v>3</v>
      </c>
      <c r="F5849" s="51">
        <f>VLOOKUP(A5849,'Componentes APUs'!$A$1:$D$14,4,0)</f>
        <v>2525.2525252525252</v>
      </c>
      <c r="G5849" s="51">
        <f>ROUNDUP(F5849*(E5849/21)/E5812,0)</f>
        <v>8</v>
      </c>
    </row>
    <row r="5850" spans="1:9" x14ac:dyDescent="0.25">
      <c r="A5850" s="50" t="s">
        <v>83</v>
      </c>
      <c r="B5850" s="72" t="str">
        <f>VLOOKUP(A5850,'Componentes APUs'!$A$1:$D$14,2,0)</f>
        <v>Impermeable (pantalon camisa)</v>
      </c>
      <c r="C5850" s="73"/>
      <c r="D5850" s="50" t="str">
        <f>VLOOKUP(A5850,'Componentes APUs'!$A$1:$D$14,3,0)</f>
        <v>U</v>
      </c>
      <c r="E5850" s="50">
        <f>SUM(C5822:C5827)</f>
        <v>3.5</v>
      </c>
      <c r="F5850" s="51">
        <f>VLOOKUP(A5850,'Componentes APUs'!$A$1:$D$14,4,0)</f>
        <v>3750</v>
      </c>
      <c r="G5850" s="51">
        <f>ROUNDUP(F5850*(E5850/21)/E5812,0)</f>
        <v>13</v>
      </c>
    </row>
    <row r="5851" spans="1:9" x14ac:dyDescent="0.25">
      <c r="A5851" s="69" t="s">
        <v>85</v>
      </c>
      <c r="B5851" s="72" t="str">
        <f>VLOOKUP(A5851,'Componentes APUs'!$A$1:$D$14,2,0)</f>
        <v>Jean Dielectrico</v>
      </c>
      <c r="C5851" s="73"/>
      <c r="D5851" s="50" t="str">
        <f>VLOOKUP(A5851,'Componentes APUs'!$A$1:$D$14,3,0)</f>
        <v>U</v>
      </c>
      <c r="E5851" s="50">
        <f>SUM(C5822:C5827)</f>
        <v>3.5</v>
      </c>
      <c r="F5851" s="51">
        <f>VLOOKUP(A5851,'Componentes APUs'!$A$1:$D$14,4,0)</f>
        <v>7575.757575757576</v>
      </c>
      <c r="G5851" s="51">
        <f>ROUNDUP(F5851*(E5851/21)/E5812,0)</f>
        <v>26</v>
      </c>
    </row>
    <row r="5852" spans="1:9" x14ac:dyDescent="0.25">
      <c r="A5852" s="50" t="s">
        <v>87</v>
      </c>
      <c r="B5852" s="72" t="str">
        <f>VLOOKUP(A5852,'Componentes APUs'!$A$1:$D$14,2,0)</f>
        <v>Casco dielectrico Tipo 2 Clase E con barboquejo</v>
      </c>
      <c r="C5852" s="73"/>
      <c r="D5852" s="50" t="str">
        <f>VLOOKUP(A5852,'Componentes APUs'!$A$1:$D$14,3,0)</f>
        <v>U</v>
      </c>
      <c r="E5852" s="53">
        <f>IF(A5824="MO-3",C5824,0)</f>
        <v>0</v>
      </c>
      <c r="F5852" s="51">
        <f>VLOOKUP(A5852,'Componentes APUs'!$A$1:$D$14,4,0)</f>
        <v>7500</v>
      </c>
      <c r="G5852" s="51">
        <f>ROUNDUP(F5852*(E5852/21)/E5812,0)</f>
        <v>0</v>
      </c>
    </row>
    <row r="5853" spans="1:9" x14ac:dyDescent="0.25">
      <c r="A5853" s="69" t="s">
        <v>89</v>
      </c>
      <c r="B5853" s="72" t="str">
        <f>VLOOKUP(A5853,'Componentes APUs'!$A$1:$D$14,2,0)</f>
        <v>Kit de rescate para trabajo en alturas</v>
      </c>
      <c r="C5853" s="73"/>
      <c r="D5853" s="50" t="str">
        <f>VLOOKUP(A5853,'Componentes APUs'!$A$1:$D$14,3,0)</f>
        <v>U</v>
      </c>
      <c r="E5853" s="50">
        <f>IF(AND(A5824="MO-3",C5824=2),1,0)</f>
        <v>0</v>
      </c>
      <c r="F5853" s="51">
        <f>VLOOKUP(A5853,'Componentes APUs'!$A$1:$D$14,4,0)</f>
        <v>37500</v>
      </c>
      <c r="G5853" s="51">
        <f>ROUNDUP(F5853*(E5853/21)/E5812,0)</f>
        <v>0</v>
      </c>
    </row>
    <row r="5854" spans="1:9" x14ac:dyDescent="0.25">
      <c r="A5854" s="50" t="s">
        <v>91</v>
      </c>
      <c r="B5854" s="72" t="str">
        <f>VLOOKUP(A5854,'Componentes APUs'!$A$1:$D$14,2,0)</f>
        <v>Equipo completo para trabajo en alturas con pretales (Arnes dielectrico, 1 mosqueton de seguridad, tie off dielectrico, eslinga de posicionamiento, juego de pretales)</v>
      </c>
      <c r="C5854" s="73"/>
      <c r="D5854" s="50" t="str">
        <f>VLOOKUP(A5854,'Componentes APUs'!$A$1:$D$14,3,0)</f>
        <v>U</v>
      </c>
      <c r="E5854" s="50">
        <f>IF(A5824="MO-3",C5824,0)</f>
        <v>0</v>
      </c>
      <c r="F5854" s="51">
        <f>VLOOKUP(A5854,'Componentes APUs'!$A$1:$D$14,4,0)</f>
        <v>26041.666666666668</v>
      </c>
      <c r="G5854" s="51">
        <f>ROUNDUP(F5854*(E5854/21)/E5812,0)</f>
        <v>0</v>
      </c>
    </row>
    <row r="5855" spans="1:9" x14ac:dyDescent="0.25">
      <c r="A5855" s="219" t="s">
        <v>95</v>
      </c>
      <c r="B5855" s="219"/>
      <c r="C5855" s="219"/>
      <c r="D5855" s="219"/>
      <c r="E5855" s="219"/>
      <c r="F5855" s="219"/>
      <c r="G5855" s="52">
        <f>SUM(G5842:G5854)</f>
        <v>177</v>
      </c>
    </row>
    <row r="5856" spans="1:9" x14ac:dyDescent="0.25">
      <c r="A5856" s="56"/>
      <c r="B5856" s="57"/>
      <c r="C5856" s="57"/>
      <c r="D5856" s="57"/>
      <c r="E5856" s="57"/>
      <c r="F5856" s="57"/>
      <c r="G5856" s="58"/>
    </row>
    <row r="5857" spans="1:7" x14ac:dyDescent="0.25">
      <c r="A5857" s="219" t="s">
        <v>96</v>
      </c>
      <c r="B5857" s="219"/>
      <c r="C5857" s="219"/>
      <c r="D5857" s="219"/>
      <c r="E5857" s="219"/>
      <c r="F5857" s="219"/>
      <c r="G5857" s="219"/>
    </row>
    <row r="5858" spans="1:7" x14ac:dyDescent="0.25">
      <c r="A5858" s="49" t="s">
        <v>35</v>
      </c>
      <c r="B5858" s="225" t="s">
        <v>36</v>
      </c>
      <c r="C5858" s="225"/>
      <c r="D5858" s="49" t="s">
        <v>37</v>
      </c>
      <c r="E5858" s="49" t="s">
        <v>38</v>
      </c>
      <c r="F5858" s="49" t="s">
        <v>39</v>
      </c>
      <c r="G5858" s="49" t="s">
        <v>40</v>
      </c>
    </row>
    <row r="5859" spans="1:7" x14ac:dyDescent="0.25">
      <c r="A5859" s="69" t="s">
        <v>97</v>
      </c>
      <c r="B5859" s="72" t="str">
        <f>VLOOKUP(A5859,'Componentes APUs'!$N$1:$Q$30,2,0)</f>
        <v>Camioneta</v>
      </c>
      <c r="C5859" s="73"/>
      <c r="D5859" s="70" t="str">
        <f>VLOOKUP(A5859,'Componentes APUs'!$N$1:$Q$30,3,0)</f>
        <v>U</v>
      </c>
      <c r="E5859" s="50">
        <v>0.5</v>
      </c>
      <c r="F5859" s="51">
        <f>VLOOKUP(A5859,'Componentes APUs'!$N$1:$Q$30,4,0)</f>
        <v>5500000</v>
      </c>
      <c r="G5859" s="51">
        <f>IFERROR(ROUNDUP(F5859*(E5859/21)/E5812,0),"-")</f>
        <v>2620</v>
      </c>
    </row>
    <row r="5860" spans="1:7" x14ac:dyDescent="0.25">
      <c r="A5860" s="50" t="s">
        <v>1473</v>
      </c>
      <c r="B5860" s="72" t="str">
        <f>VLOOKUP(A5860,'Componentes APUs'!$N$1:$Q$30,2,0)</f>
        <v>Concretera</v>
      </c>
      <c r="C5860" s="73"/>
      <c r="D5860" s="70" t="str">
        <f>VLOOKUP(A5860,'Componentes APUs'!$N$1:$Q$30,3,0)</f>
        <v>U</v>
      </c>
      <c r="E5860" s="50">
        <v>1</v>
      </c>
      <c r="F5860" s="51">
        <f>VLOOKUP(A5860,'Componentes APUs'!$N$1:$Q$30,4,0)</f>
        <v>550704</v>
      </c>
      <c r="G5860" s="51">
        <f>IFERROR(ROUNDUP(F5860*(E5860/21)/E5812,0),"-")</f>
        <v>525</v>
      </c>
    </row>
    <row r="5861" spans="1:7" x14ac:dyDescent="0.25">
      <c r="A5861" s="69" t="s">
        <v>1379</v>
      </c>
      <c r="B5861" s="72" t="str">
        <f>VLOOKUP(A5861,'Componentes APUs'!$N$1:$Q$30,2,0)</f>
        <v>Dumper de descarga Frontal 2T</v>
      </c>
      <c r="C5861" s="73"/>
      <c r="D5861" s="70" t="str">
        <f>VLOOKUP(A5861,'Componentes APUs'!$N$1:$Q$30,3,0)</f>
        <v>U</v>
      </c>
      <c r="E5861" s="50">
        <v>0</v>
      </c>
      <c r="F5861" s="51">
        <f>VLOOKUP(A5861,'Componentes APUs'!$N$1:$Q$30,4,0)</f>
        <v>4438716.24</v>
      </c>
      <c r="G5861" s="51">
        <f>IFERROR(ROUNDUP(F5861*(E5861/21)/E5812,0),"-")</f>
        <v>0</v>
      </c>
    </row>
    <row r="5862" spans="1:7" x14ac:dyDescent="0.25">
      <c r="A5862" s="50" t="s">
        <v>323</v>
      </c>
      <c r="B5862" s="72" t="str">
        <f>VLOOKUP(A5862,'Componentes APUs'!$N$1:$Q$30,2,0)</f>
        <v>Volqueta</v>
      </c>
      <c r="C5862" s="73"/>
      <c r="D5862" s="70" t="str">
        <f>VLOOKUP(A5862,'Componentes APUs'!$N$1:$Q$30,3,0)</f>
        <v>U</v>
      </c>
      <c r="E5862" s="50">
        <v>0</v>
      </c>
      <c r="F5862" s="51">
        <f>VLOOKUP(A5862,'Componentes APUs'!$N$1:$Q$30,4,0)</f>
        <v>14828184</v>
      </c>
      <c r="G5862" s="51">
        <f>IFERROR(ROUNDUP(F5862*(E5862/21)/E5812,0),"-")</f>
        <v>0</v>
      </c>
    </row>
    <row r="5863" spans="1:7" x14ac:dyDescent="0.25">
      <c r="A5863" s="69" t="s">
        <v>324</v>
      </c>
      <c r="B5863" s="72" t="str">
        <f>VLOOKUP(A5863,'Componentes APUs'!$N$1:$Q$30,2,0)</f>
        <v>Retroexcavadora</v>
      </c>
      <c r="C5863" s="73"/>
      <c r="D5863" s="70" t="str">
        <f>VLOOKUP(A5863,'Componentes APUs'!$N$1:$Q$30,3,0)</f>
        <v>U</v>
      </c>
      <c r="E5863" s="50">
        <v>0</v>
      </c>
      <c r="F5863" s="51">
        <f>VLOOKUP(A5863,'Componentes APUs'!$N$1:$Q$30,4,0)</f>
        <v>46030656</v>
      </c>
      <c r="G5863" s="51">
        <f>IFERROR(ROUNDUP(F5863*(E5863/21)/E5812,0),"-")</f>
        <v>0</v>
      </c>
    </row>
    <row r="5864" spans="1:7" x14ac:dyDescent="0.25">
      <c r="A5864" s="219" t="s">
        <v>99</v>
      </c>
      <c r="B5864" s="219"/>
      <c r="C5864" s="219"/>
      <c r="D5864" s="219"/>
      <c r="E5864" s="219"/>
      <c r="F5864" s="219"/>
      <c r="G5864" s="52">
        <f>SUM(G5859:G5863)</f>
        <v>3145</v>
      </c>
    </row>
    <row r="5865" spans="1:7" x14ac:dyDescent="0.25">
      <c r="A5865" s="56"/>
      <c r="B5865" s="57"/>
      <c r="C5865" s="57"/>
      <c r="D5865" s="57"/>
      <c r="E5865" s="57"/>
      <c r="F5865" s="57"/>
      <c r="G5865" s="58"/>
    </row>
    <row r="5866" spans="1:7" x14ac:dyDescent="0.25">
      <c r="A5866" s="219" t="s">
        <v>100</v>
      </c>
      <c r="B5866" s="219"/>
      <c r="C5866" s="219"/>
      <c r="D5866" s="219"/>
      <c r="E5866" s="219"/>
      <c r="F5866" s="219"/>
      <c r="G5866" s="52">
        <f>G5864+G5855+G5838+G5828+G5818</f>
        <v>83226</v>
      </c>
    </row>
    <row r="5867" spans="1:7" x14ac:dyDescent="0.25">
      <c r="A5867" s="59"/>
      <c r="B5867" s="60"/>
      <c r="C5867" s="60"/>
      <c r="D5867" s="60"/>
      <c r="E5867" s="57"/>
      <c r="F5867" s="57"/>
      <c r="G5867" s="58"/>
    </row>
    <row r="5868" spans="1:7" x14ac:dyDescent="0.25">
      <c r="A5868" s="64"/>
      <c r="D5868" s="55"/>
      <c r="E5868" s="49" t="s">
        <v>25</v>
      </c>
      <c r="F5868" s="54">
        <v>0.15</v>
      </c>
      <c r="G5868" s="51">
        <f>G5866*F5868</f>
        <v>12483.9</v>
      </c>
    </row>
    <row r="5869" spans="1:7" x14ac:dyDescent="0.25">
      <c r="A5869" s="64"/>
      <c r="D5869" s="55"/>
      <c r="E5869" s="49" t="s">
        <v>26</v>
      </c>
      <c r="F5869" s="54">
        <v>0.05</v>
      </c>
      <c r="G5869" s="51">
        <f>G5866*F5869</f>
        <v>4161.3</v>
      </c>
    </row>
    <row r="5870" spans="1:7" x14ac:dyDescent="0.25">
      <c r="A5870" s="61"/>
      <c r="B5870" s="65"/>
      <c r="C5870" s="65"/>
      <c r="D5870" s="62"/>
      <c r="E5870" s="49" t="s">
        <v>27</v>
      </c>
      <c r="F5870" s="54">
        <v>0.05</v>
      </c>
      <c r="G5870" s="51">
        <f>G5866*F5870</f>
        <v>4161.3</v>
      </c>
    </row>
    <row r="5871" spans="1:7" x14ac:dyDescent="0.25">
      <c r="A5871" s="61"/>
      <c r="B5871" s="62"/>
      <c r="C5871" s="62"/>
      <c r="D5871" s="62"/>
      <c r="E5871" s="62"/>
      <c r="F5871" s="62"/>
      <c r="G5871" s="63"/>
    </row>
    <row r="5872" spans="1:7" x14ac:dyDescent="0.25">
      <c r="A5872" s="219" t="s">
        <v>101</v>
      </c>
      <c r="B5872" s="219"/>
      <c r="C5872" s="219"/>
      <c r="D5872" s="219"/>
      <c r="E5872" s="219"/>
      <c r="F5872" s="219"/>
      <c r="G5872" s="52">
        <f>G5866+G5868+G5869+G5870</f>
        <v>104032.5</v>
      </c>
    </row>
    <row r="5873" spans="1:12" x14ac:dyDescent="0.25">
      <c r="A5873" s="59"/>
      <c r="B5873" s="60"/>
      <c r="C5873" s="60"/>
      <c r="D5873" s="60"/>
      <c r="E5873" s="57"/>
      <c r="F5873" s="57"/>
      <c r="G5873" s="58"/>
    </row>
    <row r="5874" spans="1:12" x14ac:dyDescent="0.25">
      <c r="A5874" s="64"/>
      <c r="D5874" s="55"/>
      <c r="E5874" s="49" t="s">
        <v>102</v>
      </c>
      <c r="F5874" s="49" t="s">
        <v>103</v>
      </c>
      <c r="G5874" s="51">
        <f>G5870*19%</f>
        <v>790.64700000000005</v>
      </c>
    </row>
    <row r="5875" spans="1:12" x14ac:dyDescent="0.25">
      <c r="A5875" s="61"/>
      <c r="B5875" s="62"/>
      <c r="C5875" s="62"/>
      <c r="D5875" s="62"/>
      <c r="E5875" s="57"/>
      <c r="F5875" s="57"/>
      <c r="G5875" s="58"/>
    </row>
    <row r="5876" spans="1:12" x14ac:dyDescent="0.25">
      <c r="A5876" s="219" t="s">
        <v>104</v>
      </c>
      <c r="B5876" s="219"/>
      <c r="C5876" s="219"/>
      <c r="D5876" s="219"/>
      <c r="E5876" s="219"/>
      <c r="F5876" s="219"/>
      <c r="G5876" s="52">
        <f>G5874+G5872</f>
        <v>104823.147</v>
      </c>
    </row>
    <row r="5878" spans="1:12" x14ac:dyDescent="0.25">
      <c r="A5878" s="74" t="s">
        <v>29</v>
      </c>
      <c r="B5878" s="226" t="s">
        <v>30</v>
      </c>
      <c r="C5878" s="226"/>
      <c r="D5878" s="74" t="s">
        <v>31</v>
      </c>
      <c r="E5878" s="74" t="s">
        <v>32</v>
      </c>
      <c r="F5878" s="74" t="s">
        <v>189</v>
      </c>
      <c r="G5878" s="74" t="s">
        <v>33</v>
      </c>
      <c r="H5878" s="105"/>
    </row>
    <row r="5879" spans="1:12" ht="28.5" customHeight="1" x14ac:dyDescent="0.25">
      <c r="A5879" s="50" t="str">
        <f>Presupuesto!B114</f>
        <v>095_OC</v>
      </c>
      <c r="B5879" s="229" t="str">
        <f>Presupuesto!C114</f>
        <v>ALFAJIAS EN CONCRETO DE 0,20 X 0,08 , INCLUYE 2 VARILLAS DE 1/2", ESTRIBOS DE 3/8"  A CADA 0,25 METROS</v>
      </c>
      <c r="C5879" s="230"/>
      <c r="D5879" s="50" t="s">
        <v>108</v>
      </c>
      <c r="E5879" s="107">
        <v>18</v>
      </c>
      <c r="F5879" s="50"/>
      <c r="G5879" s="51">
        <f>G5946</f>
        <v>104086.3395</v>
      </c>
      <c r="H5879" s="45"/>
    </row>
    <row r="5880" spans="1:12" x14ac:dyDescent="0.25">
      <c r="A5880" s="219" t="s">
        <v>34</v>
      </c>
      <c r="B5880" s="219"/>
      <c r="C5880" s="219"/>
      <c r="D5880" s="219"/>
      <c r="E5880" s="219"/>
      <c r="F5880" s="219"/>
      <c r="G5880" s="219"/>
    </row>
    <row r="5881" spans="1:12" x14ac:dyDescent="0.25">
      <c r="A5881" s="49" t="s">
        <v>35</v>
      </c>
      <c r="B5881" s="219" t="s">
        <v>36</v>
      </c>
      <c r="C5881" s="219"/>
      <c r="D5881" s="49" t="s">
        <v>37</v>
      </c>
      <c r="E5881" s="49" t="s">
        <v>38</v>
      </c>
      <c r="F5881" s="49" t="s">
        <v>39</v>
      </c>
      <c r="G5881" s="49" t="s">
        <v>40</v>
      </c>
      <c r="K5881" s="23"/>
      <c r="L5881" s="23"/>
    </row>
    <row r="5882" spans="1:12" x14ac:dyDescent="0.25">
      <c r="A5882" s="50" t="str">
        <f>Material!A601</f>
        <v>MA-600</v>
      </c>
      <c r="B5882" s="72" t="str">
        <f>IFERROR(VLOOKUP(A5882,Material!$A:$H,2,0),"-")</f>
        <v>TABLA COMÚN</v>
      </c>
      <c r="C5882" s="76"/>
      <c r="D5882" s="50" t="str">
        <f>IFERROR(VLOOKUP(A5882,Material!$A:$H,4,0),"-")</f>
        <v>M</v>
      </c>
      <c r="E5882" s="107">
        <v>0.37</v>
      </c>
      <c r="F5882" s="51">
        <f>IFERROR(VLOOKUP(A5882,Material!$A:$H,3,0),"-")</f>
        <v>6609.2</v>
      </c>
      <c r="G5882" s="51">
        <f t="shared" ref="G5882:G5884" si="102">IFERROR(ROUNDUP(F5882*E5882,0),"-")</f>
        <v>2446</v>
      </c>
      <c r="H5882" s="106"/>
    </row>
    <row r="5883" spans="1:12" x14ac:dyDescent="0.25">
      <c r="A5883" s="50" t="str">
        <f>Material!A602</f>
        <v>MA-601</v>
      </c>
      <c r="B5883" s="72" t="str">
        <f>IFERROR(VLOOKUP(A5883,Material!$A:$H,2,0),"-")</f>
        <v>LISTÓN 1" x 2"</v>
      </c>
      <c r="C5883" s="76"/>
      <c r="D5883" s="50" t="str">
        <f>IFERROR(VLOOKUP(A5883,Material!$A:$H,4,0),"-")</f>
        <v>M</v>
      </c>
      <c r="E5883" s="107">
        <v>0.9</v>
      </c>
      <c r="F5883" s="51">
        <f>IFERROR(VLOOKUP(A5883,Material!$A:$H,3,0),"-")</f>
        <v>1739.4</v>
      </c>
      <c r="G5883" s="51">
        <f t="shared" si="102"/>
        <v>1566</v>
      </c>
      <c r="H5883" s="106"/>
    </row>
    <row r="5884" spans="1:12" x14ac:dyDescent="0.25">
      <c r="A5884" s="50" t="str">
        <f>Material!A603</f>
        <v>MA-602</v>
      </c>
      <c r="B5884" s="72" t="str">
        <f>IFERROR(VLOOKUP(A5884,Material!$A:$H,2,0),"-")</f>
        <v>PUNTILLA 1 1/2" a 3"</v>
      </c>
      <c r="C5884" s="76"/>
      <c r="D5884" s="50" t="str">
        <f>IFERROR(VLOOKUP(A5884,Material!$A:$H,4,0),"-")</f>
        <v>LB</v>
      </c>
      <c r="E5884" s="107">
        <v>0.15</v>
      </c>
      <c r="F5884" s="51">
        <f>IFERROR(VLOOKUP(A5884,Material!$A:$H,3,0),"-")</f>
        <v>6063.2</v>
      </c>
      <c r="G5884" s="51">
        <f t="shared" si="102"/>
        <v>910</v>
      </c>
      <c r="H5884" s="106"/>
    </row>
    <row r="5885" spans="1:12" x14ac:dyDescent="0.25">
      <c r="A5885" s="50" t="str">
        <f>Material!A604</f>
        <v>MA-603</v>
      </c>
      <c r="B5885" s="72" t="str">
        <f>IFERROR(VLOOKUP(A5885,Material!$A:$H,2,0),"-")</f>
        <v>ACERO Fy= 240 MPa</v>
      </c>
      <c r="C5885" s="76"/>
      <c r="D5885" s="50" t="str">
        <f>IFERROR(VLOOKUP(A5885,Material!$A:$H,4,0),"-")</f>
        <v>KG</v>
      </c>
      <c r="E5885" s="107">
        <v>2.1</v>
      </c>
      <c r="F5885" s="51">
        <f>IFERROR(VLOOKUP(A5885,Material!$A:$H,3,0),"-")</f>
        <v>7341.1</v>
      </c>
      <c r="G5885" s="51">
        <f t="shared" ref="G5885:G5886" si="103">IFERROR(ROUNDUP(F5885*E5885,0),"-")</f>
        <v>15417</v>
      </c>
      <c r="H5885" s="106"/>
    </row>
    <row r="5886" spans="1:12" x14ac:dyDescent="0.25">
      <c r="A5886" s="50" t="str">
        <f>Material!A605</f>
        <v>MA-604</v>
      </c>
      <c r="B5886" s="72" t="str">
        <f>IFERROR(VLOOKUP(A5886,Material!$A:$H,2,0),"-")</f>
        <v>ALAMBRE NEGRO Cal. 18</v>
      </c>
      <c r="C5886" s="76"/>
      <c r="D5886" s="50" t="str">
        <f>IFERROR(VLOOKUP(A5886,Material!$A:$H,4,0),"-")</f>
        <v>KG</v>
      </c>
      <c r="E5886" s="107">
        <v>0.1</v>
      </c>
      <c r="F5886" s="51">
        <f>IFERROR(VLOOKUP(A5886,Material!$A:$H,3,0),"-")</f>
        <v>10488.4</v>
      </c>
      <c r="G5886" s="51">
        <f t="shared" si="103"/>
        <v>1049</v>
      </c>
      <c r="H5886" s="106"/>
    </row>
    <row r="5887" spans="1:12" x14ac:dyDescent="0.25">
      <c r="A5887" s="50" t="str">
        <f>Material!A606</f>
        <v>MA-605</v>
      </c>
      <c r="B5887" s="72" t="str">
        <f>IFERROR(VLOOKUP(A5887,Material!$A:$H,2,0),"-")</f>
        <v>CONCRETO 20.7 MPa</v>
      </c>
      <c r="C5887" s="76"/>
      <c r="D5887" s="50" t="str">
        <f>IFERROR(VLOOKUP(A5887,Material!$A:$H,4,0),"-")</f>
        <v>M3</v>
      </c>
      <c r="E5887" s="107">
        <v>1.6E-2</v>
      </c>
      <c r="F5887" s="51">
        <f>IFERROR(VLOOKUP(A5887,Material!$A:$H,3,0),"-")</f>
        <v>647978.5</v>
      </c>
      <c r="G5887" s="51">
        <f t="shared" ref="G5887" si="104">IFERROR(ROUNDUP(F5887*E5887,0),"-")</f>
        <v>10368</v>
      </c>
      <c r="H5887" s="106"/>
    </row>
    <row r="5888" spans="1:12" x14ac:dyDescent="0.25">
      <c r="A5888" s="219" t="s">
        <v>41</v>
      </c>
      <c r="B5888" s="219"/>
      <c r="C5888" s="219"/>
      <c r="D5888" s="219"/>
      <c r="E5888" s="219"/>
      <c r="F5888" s="219"/>
      <c r="G5888" s="52">
        <f>SUM(G5882:G5887)</f>
        <v>31756</v>
      </c>
      <c r="I5888" s="104"/>
    </row>
    <row r="5889" spans="1:9" x14ac:dyDescent="0.25">
      <c r="A5889" s="56"/>
      <c r="B5889" s="57"/>
      <c r="C5889" s="57"/>
      <c r="D5889" s="57"/>
      <c r="E5889" s="57"/>
      <c r="F5889" s="57"/>
      <c r="G5889" s="58"/>
    </row>
    <row r="5890" spans="1:9" x14ac:dyDescent="0.25">
      <c r="A5890" s="219" t="s">
        <v>42</v>
      </c>
      <c r="B5890" s="219"/>
      <c r="C5890" s="219"/>
      <c r="D5890" s="219"/>
      <c r="E5890" s="219"/>
      <c r="F5890" s="219"/>
      <c r="G5890" s="219"/>
    </row>
    <row r="5891" spans="1:9" x14ac:dyDescent="0.25">
      <c r="A5891" s="49" t="s">
        <v>35</v>
      </c>
      <c r="B5891" s="49" t="s">
        <v>36</v>
      </c>
      <c r="C5891" s="49" t="s">
        <v>38</v>
      </c>
      <c r="D5891" s="49" t="s">
        <v>43</v>
      </c>
      <c r="E5891" s="49" t="s">
        <v>44</v>
      </c>
      <c r="F5891" s="49" t="s">
        <v>45</v>
      </c>
      <c r="G5891" s="49" t="s">
        <v>40</v>
      </c>
    </row>
    <row r="5892" spans="1:9" x14ac:dyDescent="0.25">
      <c r="A5892" s="50" t="s">
        <v>319</v>
      </c>
      <c r="B5892" s="68" t="str">
        <f>VLOOKUP(A5892,'Componentes APUs'!$H$1:$L$25,2,0)</f>
        <v>Ingeniero Residente de Obra</v>
      </c>
      <c r="C5892" s="93">
        <v>0.25</v>
      </c>
      <c r="D5892" s="50">
        <f>VLOOKUP(A5892,'Componentes APUs'!$H$1:$L$25,3,0)</f>
        <v>4</v>
      </c>
      <c r="E5892" s="51">
        <f>VLOOKUP(A5892,'Componentes APUs'!$H$1:$L$25,4,0)</f>
        <v>271142.85714285716</v>
      </c>
      <c r="F5892" s="51">
        <f>VLOOKUP(A5892,'Componentes APUs'!$H$1:$L$25,5,0)</f>
        <v>162685.71428571429</v>
      </c>
      <c r="G5892" s="51">
        <f>ROUNDUP((E5892+F5892)*C5892/E5879,0)</f>
        <v>6026</v>
      </c>
      <c r="H5892" s="66"/>
    </row>
    <row r="5893" spans="1:9" x14ac:dyDescent="0.25">
      <c r="A5893" s="50" t="s">
        <v>320</v>
      </c>
      <c r="B5893" s="68" t="str">
        <f>VLOOKUP(A5893,'Componentes APUs'!$H$1:$L$25,2,0)</f>
        <v>Tecnico Supervisor</v>
      </c>
      <c r="C5893" s="93">
        <v>0</v>
      </c>
      <c r="D5893" s="50">
        <f>VLOOKUP(A5893,'Componentes APUs'!$H$1:$L$25,3,0)</f>
        <v>2.2999999999999998</v>
      </c>
      <c r="E5893" s="51">
        <f>VLOOKUP(A5893,'Componentes APUs'!$H$1:$L$25,4,0)</f>
        <v>155907.14285714284</v>
      </c>
      <c r="F5893" s="51">
        <f>VLOOKUP(A5893,'Componentes APUs'!$H$1:$L$25,5,0)</f>
        <v>93544.285714285696</v>
      </c>
      <c r="G5893" s="51">
        <f>ROUNDUP((E5893+F5893)*C5893/E5879,0)</f>
        <v>0</v>
      </c>
    </row>
    <row r="5894" spans="1:9" x14ac:dyDescent="0.25">
      <c r="A5894" s="50" t="s">
        <v>54</v>
      </c>
      <c r="B5894" s="68" t="str">
        <f>VLOOKUP(A5894,'Componentes APUs'!$H$1:$L$25,2,0)</f>
        <v>Maestro de obra civil</v>
      </c>
      <c r="C5894" s="93">
        <v>0</v>
      </c>
      <c r="D5894" s="50">
        <f>VLOOKUP(A5894,'Componentes APUs'!$H$1:$L$25,3,0)</f>
        <v>2.5</v>
      </c>
      <c r="E5894" s="51">
        <f>VLOOKUP(A5894,'Componentes APUs'!$H$1:$L$25,4,0)</f>
        <v>169464.28571428571</v>
      </c>
      <c r="F5894" s="51">
        <f>VLOOKUP(A5894,'Componentes APUs'!$H$1:$L$25,5,0)</f>
        <v>101678.57142857142</v>
      </c>
      <c r="G5894" s="51">
        <f>ROUNDUP((E5894+F5894)*C5894/E5879,0)</f>
        <v>0</v>
      </c>
    </row>
    <row r="5895" spans="1:9" x14ac:dyDescent="0.25">
      <c r="A5895" s="50" t="s">
        <v>1110</v>
      </c>
      <c r="B5895" s="68" t="str">
        <f>VLOOKUP(A5895,'Componentes APUs'!$H$1:$L$25,2,0)</f>
        <v>Oficial de Obra Civil</v>
      </c>
      <c r="C5895" s="93">
        <v>1</v>
      </c>
      <c r="D5895" s="50">
        <f>VLOOKUP(A5895,'Componentes APUs'!$H$1:$L$25,3,0)</f>
        <v>1.5</v>
      </c>
      <c r="E5895" s="51">
        <f>VLOOKUP(A5895,'Componentes APUs'!$H$1:$L$25,4,0)</f>
        <v>115964.28571428571</v>
      </c>
      <c r="F5895" s="51">
        <f>VLOOKUP(A5895,'Componentes APUs'!$H$1:$L$25,5,0)</f>
        <v>69578.57142857142</v>
      </c>
      <c r="G5895" s="51">
        <f>ROUNDUP((E5895+F5895)*C5895/E5879,0)</f>
        <v>10308</v>
      </c>
    </row>
    <row r="5896" spans="1:9" x14ac:dyDescent="0.25">
      <c r="A5896" s="50" t="s">
        <v>50</v>
      </c>
      <c r="B5896" s="68" t="str">
        <f>VLOOKUP(A5896,'Componentes APUs'!$H$1:$L$25,2,0)</f>
        <v>Profesional en SST</v>
      </c>
      <c r="C5896" s="93">
        <v>0.25</v>
      </c>
      <c r="D5896" s="50">
        <f>VLOOKUP(A5896,'Componentes APUs'!$H$1:$L$25,3,0)</f>
        <v>2.5</v>
      </c>
      <c r="E5896" s="51">
        <f>VLOOKUP(A5896,'Componentes APUs'!$H$1:$L$25,4,0)</f>
        <v>169464.28571428571</v>
      </c>
      <c r="F5896" s="51">
        <f>VLOOKUP(A5896,'Componentes APUs'!$H$1:$L$25,5,0)</f>
        <v>101678.57142857142</v>
      </c>
      <c r="G5896" s="51">
        <f>ROUNDUP((E5896+F5896)*C5896/E5879,0)</f>
        <v>3766</v>
      </c>
    </row>
    <row r="5897" spans="1:9" x14ac:dyDescent="0.25">
      <c r="A5897" s="50" t="s">
        <v>1109</v>
      </c>
      <c r="B5897" s="68" t="str">
        <f>VLOOKUP(A5897,'Componentes APUs'!$H$1:$L$25,2,0)</f>
        <v>Ayudante de Obra Civil</v>
      </c>
      <c r="C5897" s="93">
        <v>2</v>
      </c>
      <c r="D5897" s="50">
        <f>VLOOKUP(A5897,'Componentes APUs'!$H$1:$L$25,3,0)</f>
        <v>1</v>
      </c>
      <c r="E5897" s="51">
        <f>VLOOKUP(A5897,'Componentes APUs'!$H$1:$L$25,4,0)</f>
        <v>77309.523809523816</v>
      </c>
      <c r="F5897" s="51">
        <f>VLOOKUP(A5897,'Componentes APUs'!$H$1:$L$25,5,0)</f>
        <v>46385.71428571429</v>
      </c>
      <c r="G5897" s="51">
        <f>ROUNDUP((E5897+F5897)*C5897/E5879,0)</f>
        <v>13744</v>
      </c>
    </row>
    <row r="5898" spans="1:9" x14ac:dyDescent="0.25">
      <c r="A5898" s="219" t="s">
        <v>56</v>
      </c>
      <c r="B5898" s="219"/>
      <c r="C5898" s="219"/>
      <c r="D5898" s="219"/>
      <c r="E5898" s="219"/>
      <c r="F5898" s="219"/>
      <c r="G5898" s="52">
        <f>SUM(G5892:G5897)</f>
        <v>33844</v>
      </c>
    </row>
    <row r="5899" spans="1:9" x14ac:dyDescent="0.25">
      <c r="A5899" s="56"/>
      <c r="B5899" s="57"/>
      <c r="C5899" s="57"/>
      <c r="D5899" s="57"/>
      <c r="E5899" s="57"/>
      <c r="F5899" s="57"/>
      <c r="G5899" s="58"/>
    </row>
    <row r="5900" spans="1:9" x14ac:dyDescent="0.25">
      <c r="A5900" s="219" t="s">
        <v>57</v>
      </c>
      <c r="B5900" s="219"/>
      <c r="C5900" s="219"/>
      <c r="D5900" s="219"/>
      <c r="E5900" s="219"/>
      <c r="F5900" s="219"/>
      <c r="G5900" s="219"/>
    </row>
    <row r="5901" spans="1:9" x14ac:dyDescent="0.25">
      <c r="A5901" s="49" t="s">
        <v>35</v>
      </c>
      <c r="B5901" s="219" t="s">
        <v>36</v>
      </c>
      <c r="C5901" s="219"/>
      <c r="D5901" s="49" t="s">
        <v>37</v>
      </c>
      <c r="E5901" s="49" t="s">
        <v>38</v>
      </c>
      <c r="F5901" s="49" t="s">
        <v>39</v>
      </c>
      <c r="G5901" s="49" t="s">
        <v>40</v>
      </c>
    </row>
    <row r="5902" spans="1:9" x14ac:dyDescent="0.25">
      <c r="A5902" s="50" t="s">
        <v>326</v>
      </c>
      <c r="B5902" s="220" t="str">
        <f>VLOOKUP(A5902,'Componentes APUs'!$S$1:$V$10,2,0)</f>
        <v>Juego Llaves</v>
      </c>
      <c r="C5902" s="220"/>
      <c r="D5902" s="50" t="s">
        <v>18</v>
      </c>
      <c r="E5902" s="50">
        <v>0</v>
      </c>
      <c r="F5902" s="51">
        <f>VLOOKUP(A5902,'Componentes APUs'!$S$1:$V$10,4,0)</f>
        <v>9167</v>
      </c>
      <c r="G5902" s="51">
        <f>ROUNDUP(F5902*((E5902/21)/E5879),0)</f>
        <v>0</v>
      </c>
      <c r="I5902" s="91"/>
    </row>
    <row r="5903" spans="1:9" x14ac:dyDescent="0.25">
      <c r="A5903" s="50" t="s">
        <v>58</v>
      </c>
      <c r="B5903" s="220" t="str">
        <f>VLOOKUP(A5903,'Componentes APUs'!$S$1:$V$10,2,0)</f>
        <v>Manila de servicio</v>
      </c>
      <c r="C5903" s="220"/>
      <c r="D5903" s="50" t="s">
        <v>18</v>
      </c>
      <c r="E5903" s="50">
        <v>0</v>
      </c>
      <c r="F5903" s="51">
        <f>VLOOKUP(A5903,'Componentes APUs'!$S$1:$V$10,4,0)</f>
        <v>2333</v>
      </c>
      <c r="G5903" s="51">
        <f>ROUNDUP(F5903*((E5903/21)/E5879),0)</f>
        <v>0</v>
      </c>
    </row>
    <row r="5904" spans="1:9" x14ac:dyDescent="0.25">
      <c r="A5904" s="50" t="s">
        <v>327</v>
      </c>
      <c r="B5904" s="220" t="str">
        <f>VLOOKUP(A5904,'Componentes APUs'!$S$1:$V$10,2,0)</f>
        <v>Tula portaherramientas</v>
      </c>
      <c r="C5904" s="220"/>
      <c r="D5904" s="50" t="s">
        <v>18</v>
      </c>
      <c r="E5904" s="50">
        <v>0</v>
      </c>
      <c r="F5904" s="51">
        <f>VLOOKUP(A5904,'Componentes APUs'!$S$1:$V$10,4,0)</f>
        <v>1250</v>
      </c>
      <c r="G5904" s="51">
        <f>ROUNDUP(F5904*((E5904/21)/E5879),0)</f>
        <v>0</v>
      </c>
    </row>
    <row r="5905" spans="1:9" x14ac:dyDescent="0.25">
      <c r="A5905" s="50" t="s">
        <v>60</v>
      </c>
      <c r="B5905" s="220" t="str">
        <f>VLOOKUP(A5905,'Componentes APUs'!$S$1:$V$10,2,0)</f>
        <v>Agarradoras</v>
      </c>
      <c r="C5905" s="220"/>
      <c r="D5905" s="50" t="s">
        <v>18</v>
      </c>
      <c r="E5905" s="50">
        <v>0</v>
      </c>
      <c r="F5905" s="51">
        <f>VLOOKUP(A5905,'Componentes APUs'!$S$1:$V$10,4,0)</f>
        <v>125000</v>
      </c>
      <c r="G5905" s="51">
        <f>ROUNDUP(F5905*((E5905/21)/E5879),0)</f>
        <v>0</v>
      </c>
    </row>
    <row r="5906" spans="1:9" x14ac:dyDescent="0.25">
      <c r="A5906" s="50" t="s">
        <v>62</v>
      </c>
      <c r="B5906" s="220" t="str">
        <f>VLOOKUP(A5906,'Componentes APUs'!$S$1:$V$10,2,0)</f>
        <v>Templadoras</v>
      </c>
      <c r="C5906" s="220"/>
      <c r="D5906" s="50" t="s">
        <v>18</v>
      </c>
      <c r="E5906" s="50">
        <v>0</v>
      </c>
      <c r="F5906" s="51">
        <f>VLOOKUP(A5906,'Componentes APUs'!$S$1:$V$10,4,0)</f>
        <v>250000</v>
      </c>
      <c r="G5906" s="51">
        <f>ROUNDUP(F5906*((E5906/21)/E5879),0)</f>
        <v>0</v>
      </c>
    </row>
    <row r="5907" spans="1:9" x14ac:dyDescent="0.25">
      <c r="A5907" s="50" t="s">
        <v>328</v>
      </c>
      <c r="B5907" s="220" t="str">
        <f>VLOOKUP(A5907,'Componentes APUs'!$S$1:$V$10,2,0)</f>
        <v>Herramienta Menor</v>
      </c>
      <c r="C5907" s="220"/>
      <c r="D5907" s="50" t="s">
        <v>18</v>
      </c>
      <c r="E5907" s="50">
        <v>10</v>
      </c>
      <c r="F5907" s="51">
        <f>VLOOKUP(A5907,'Componentes APUs'!$S$1:$V$10,4,0)</f>
        <v>75758</v>
      </c>
      <c r="G5907" s="51">
        <f>ROUNDUP(F5907*((E5907/21)/E5879),0)</f>
        <v>2005</v>
      </c>
    </row>
    <row r="5908" spans="1:9" x14ac:dyDescent="0.25">
      <c r="A5908" s="219" t="s">
        <v>69</v>
      </c>
      <c r="B5908" s="219"/>
      <c r="C5908" s="219"/>
      <c r="D5908" s="219"/>
      <c r="E5908" s="219"/>
      <c r="F5908" s="219"/>
      <c r="G5908" s="52">
        <f>SUM(G5902:G5907)</f>
        <v>2005</v>
      </c>
    </row>
    <row r="5909" spans="1:9" x14ac:dyDescent="0.25">
      <c r="A5909" s="56"/>
      <c r="B5909" s="57"/>
      <c r="C5909" s="57"/>
      <c r="D5909" s="57"/>
      <c r="E5909" s="57"/>
      <c r="F5909" s="57"/>
      <c r="G5909" s="58"/>
    </row>
    <row r="5910" spans="1:9" x14ac:dyDescent="0.25">
      <c r="A5910" s="219" t="s">
        <v>70</v>
      </c>
      <c r="B5910" s="219"/>
      <c r="C5910" s="219"/>
      <c r="D5910" s="219"/>
      <c r="E5910" s="219"/>
      <c r="F5910" s="219"/>
      <c r="G5910" s="219"/>
    </row>
    <row r="5911" spans="1:9" x14ac:dyDescent="0.25">
      <c r="A5911" s="49" t="s">
        <v>35</v>
      </c>
      <c r="B5911" s="219" t="s">
        <v>36</v>
      </c>
      <c r="C5911" s="219"/>
      <c r="D5911" s="49" t="s">
        <v>37</v>
      </c>
      <c r="E5911" s="49" t="s">
        <v>38</v>
      </c>
      <c r="F5911" s="49" t="s">
        <v>39</v>
      </c>
      <c r="G5911" s="49" t="s">
        <v>40</v>
      </c>
    </row>
    <row r="5912" spans="1:9" x14ac:dyDescent="0.25">
      <c r="A5912" s="50" t="s">
        <v>71</v>
      </c>
      <c r="B5912" s="71" t="str">
        <f>VLOOKUP(A5912,'Componentes APUs'!$A$1:$D$14,2,0)</f>
        <v>Camisa indigo sin partes metalicas</v>
      </c>
      <c r="C5912" s="71"/>
      <c r="D5912" s="50" t="str">
        <f>VLOOKUP(A5912,'Componentes APUs'!$A$1:$D$14,3,0)</f>
        <v>U</v>
      </c>
      <c r="E5912" s="50">
        <f>SUM(C5892:C5897)</f>
        <v>3.5</v>
      </c>
      <c r="F5912" s="51">
        <f>VLOOKUP(A5912,'Componentes APUs'!$A$1:$D$14,4,0)</f>
        <v>8585.8585858585866</v>
      </c>
      <c r="G5912" s="51">
        <f>ROUNDUP(F5912*(E5912/21)/E5879,0)</f>
        <v>80</v>
      </c>
      <c r="I5912" s="91"/>
    </row>
    <row r="5913" spans="1:9" x14ac:dyDescent="0.25">
      <c r="A5913" s="69" t="s">
        <v>73</v>
      </c>
      <c r="B5913" s="72" t="str">
        <f>VLOOKUP(A5913,'Componentes APUs'!$A$1:$D$14,2,0)</f>
        <v>Bota de seguridad dielectrica</v>
      </c>
      <c r="C5913" s="73"/>
      <c r="D5913" s="70" t="str">
        <f>VLOOKUP(A5913,'Componentes APUs'!$A$1:$D$14,3,0)</f>
        <v>Par</v>
      </c>
      <c r="E5913" s="50">
        <f>SUM(C5892:C5897)</f>
        <v>3.5</v>
      </c>
      <c r="F5913" s="51">
        <f>VLOOKUP(A5913,'Componentes APUs'!$A$1:$D$14,4,0)</f>
        <v>7500</v>
      </c>
      <c r="G5913" s="51">
        <f>ROUNDUP(F5913*(E5913/21)/E5879,0)</f>
        <v>70</v>
      </c>
    </row>
    <row r="5914" spans="1:9" x14ac:dyDescent="0.25">
      <c r="A5914" s="50" t="s">
        <v>76</v>
      </c>
      <c r="B5914" s="72" t="str">
        <f>VLOOKUP(A5914,'Componentes APUs'!$A$1:$D$14,2,0)</f>
        <v>Casco dielectrico Tipo 1 Clase E con barbuquejo</v>
      </c>
      <c r="C5914" s="73"/>
      <c r="D5914" s="50" t="str">
        <f>VLOOKUP(A5914,'Componentes APUs'!$A$1:$D$14,3,0)</f>
        <v>U</v>
      </c>
      <c r="E5914" s="50">
        <f>C5892+C5893+C5895+C5896+C5897+IF(A5894&lt;&gt;"MO-3",C5894,0)</f>
        <v>3.5</v>
      </c>
      <c r="F5914" s="51">
        <f>VLOOKUP(A5914,'Componentes APUs'!$A$1:$D$14,4,0)</f>
        <v>10101.010101010101</v>
      </c>
      <c r="G5914" s="51">
        <f>ROUNDUP(F5914*(E5914/21)/E5879,0)</f>
        <v>94</v>
      </c>
    </row>
    <row r="5915" spans="1:9" x14ac:dyDescent="0.25">
      <c r="A5915" s="69" t="s">
        <v>77</v>
      </c>
      <c r="B5915" s="72" t="str">
        <f>VLOOKUP(A5915,'Componentes APUs'!$A$1:$D$14,2,0)</f>
        <v>Correa plastica y antiflama</v>
      </c>
      <c r="C5915" s="73"/>
      <c r="D5915" s="50" t="str">
        <f>VLOOKUP(A5915,'Componentes APUs'!$A$1:$D$14,3,0)</f>
        <v>U</v>
      </c>
      <c r="E5915" s="50">
        <f>SUM(C5892:C5897)</f>
        <v>3.5</v>
      </c>
      <c r="F5915" s="51">
        <f>VLOOKUP(A5915,'Componentes APUs'!$A$1:$D$14,4,0)</f>
        <v>3787.878787878788</v>
      </c>
      <c r="G5915" s="51">
        <f>ROUNDUP(F5915*(E5915/21)/E5879,0)</f>
        <v>36</v>
      </c>
    </row>
    <row r="5916" spans="1:9" x14ac:dyDescent="0.25">
      <c r="A5916" s="50" t="s">
        <v>79</v>
      </c>
      <c r="B5916" s="72" t="str">
        <f>VLOOKUP(A5916,'Componentes APUs'!$A$1:$D$14,2,0)</f>
        <v>Gafas protectoras filtro UV</v>
      </c>
      <c r="C5916" s="73"/>
      <c r="D5916" s="50" t="str">
        <f>VLOOKUP(A5916,'Componentes APUs'!$A$1:$D$14,3,0)</f>
        <v>U</v>
      </c>
      <c r="E5916" s="50">
        <f>SUM(C5892:C5897)</f>
        <v>3.5</v>
      </c>
      <c r="F5916" s="51">
        <f>VLOOKUP(A5916,'Componentes APUs'!$A$1:$D$14,4,0)</f>
        <v>2777.7777777777778</v>
      </c>
      <c r="G5916" s="51">
        <f>ROUNDUP(F5916*(E5916/21)/E5879,0)</f>
        <v>26</v>
      </c>
    </row>
    <row r="5917" spans="1:9" x14ac:dyDescent="0.25">
      <c r="A5917" s="69" t="s">
        <v>402</v>
      </c>
      <c r="B5917" s="72" t="str">
        <f>VLOOKUP(A5917,'Componentes APUs'!$A$1:$D$14,2,0)</f>
        <v>Bota de seguridad PVC dielectrica</v>
      </c>
      <c r="C5917" s="73"/>
      <c r="D5917" s="50" t="str">
        <f>VLOOKUP(A5917,'Componentes APUs'!$A$1:$D$14,3,0)</f>
        <v>Par</v>
      </c>
      <c r="E5917" s="50">
        <f>SUM(C5892:C5897)</f>
        <v>3.5</v>
      </c>
      <c r="F5917" s="51">
        <f>VLOOKUP(A5917,'Componentes APUs'!$A$1:$D$14,4,0)</f>
        <v>2916.6666666666665</v>
      </c>
      <c r="G5917" s="51">
        <f>ROUNDUP(F5917*(E5917/21)/E5879,0)</f>
        <v>28</v>
      </c>
    </row>
    <row r="5918" spans="1:9" x14ac:dyDescent="0.25">
      <c r="A5918" s="50" t="s">
        <v>403</v>
      </c>
      <c r="B5918" s="72" t="str">
        <f>VLOOKUP(A5918,'Componentes APUs'!$A$1:$D$14,2,0)</f>
        <v>Capuchon</v>
      </c>
      <c r="C5918" s="73"/>
      <c r="D5918" s="50" t="str">
        <f>VLOOKUP(A5918,'Componentes APUs'!$A$1:$D$14,3,0)</f>
        <v>U</v>
      </c>
      <c r="E5918" s="50">
        <f>SUM(C5892:C5897)</f>
        <v>3.5</v>
      </c>
      <c r="F5918" s="51">
        <f>VLOOKUP(A5918,'Componentes APUs'!$A$1:$D$14,4,0)</f>
        <v>2525.2525252525252</v>
      </c>
      <c r="G5918" s="51">
        <f>ROUNDUP(F5918*(E5918/21)/E5879,0)</f>
        <v>24</v>
      </c>
    </row>
    <row r="5919" spans="1:9" x14ac:dyDescent="0.25">
      <c r="A5919" s="69" t="s">
        <v>81</v>
      </c>
      <c r="B5919" s="72" t="str">
        <f>VLOOKUP(A5919,'Componentes APUs'!$A$1:$D$14,2,0)</f>
        <v>Guantes Protectores  - ingeniero reforzados</v>
      </c>
      <c r="C5919" s="73"/>
      <c r="D5919" s="50" t="str">
        <f>VLOOKUP(A5919,'Componentes APUs'!$A$1:$D$14,3,0)</f>
        <v>Par</v>
      </c>
      <c r="E5919" s="50">
        <f>C5894+C5895+C5897</f>
        <v>3</v>
      </c>
      <c r="F5919" s="51">
        <f>VLOOKUP(A5919,'Componentes APUs'!$A$1:$D$14,4,0)</f>
        <v>2525.2525252525252</v>
      </c>
      <c r="G5919" s="51">
        <f>ROUNDUP(F5919*(E5919/21)/E5879,0)</f>
        <v>21</v>
      </c>
    </row>
    <row r="5920" spans="1:9" x14ac:dyDescent="0.25">
      <c r="A5920" s="50" t="s">
        <v>83</v>
      </c>
      <c r="B5920" s="72" t="str">
        <f>VLOOKUP(A5920,'Componentes APUs'!$A$1:$D$14,2,0)</f>
        <v>Impermeable (pantalon camisa)</v>
      </c>
      <c r="C5920" s="73"/>
      <c r="D5920" s="50" t="str">
        <f>VLOOKUP(A5920,'Componentes APUs'!$A$1:$D$14,3,0)</f>
        <v>U</v>
      </c>
      <c r="E5920" s="50">
        <f>SUM(C5892:C5897)</f>
        <v>3.5</v>
      </c>
      <c r="F5920" s="51">
        <f>VLOOKUP(A5920,'Componentes APUs'!$A$1:$D$14,4,0)</f>
        <v>3750</v>
      </c>
      <c r="G5920" s="51">
        <f>ROUNDUP(F5920*(E5920/21)/E5879,0)</f>
        <v>35</v>
      </c>
    </row>
    <row r="5921" spans="1:7" x14ac:dyDescent="0.25">
      <c r="A5921" s="69" t="s">
        <v>85</v>
      </c>
      <c r="B5921" s="72" t="str">
        <f>VLOOKUP(A5921,'Componentes APUs'!$A$1:$D$14,2,0)</f>
        <v>Jean Dielectrico</v>
      </c>
      <c r="C5921" s="73"/>
      <c r="D5921" s="50" t="str">
        <f>VLOOKUP(A5921,'Componentes APUs'!$A$1:$D$14,3,0)</f>
        <v>U</v>
      </c>
      <c r="E5921" s="50">
        <f>SUM(C5892:C5897)</f>
        <v>3.5</v>
      </c>
      <c r="F5921" s="51">
        <f>VLOOKUP(A5921,'Componentes APUs'!$A$1:$D$14,4,0)</f>
        <v>7575.757575757576</v>
      </c>
      <c r="G5921" s="51">
        <f>ROUNDUP(F5921*(E5921/21)/E5879,0)</f>
        <v>71</v>
      </c>
    </row>
    <row r="5922" spans="1:7" x14ac:dyDescent="0.25">
      <c r="A5922" s="50" t="s">
        <v>87</v>
      </c>
      <c r="B5922" s="72" t="str">
        <f>VLOOKUP(A5922,'Componentes APUs'!$A$1:$D$14,2,0)</f>
        <v>Casco dielectrico Tipo 2 Clase E con barboquejo</v>
      </c>
      <c r="C5922" s="73"/>
      <c r="D5922" s="50" t="str">
        <f>VLOOKUP(A5922,'Componentes APUs'!$A$1:$D$14,3,0)</f>
        <v>U</v>
      </c>
      <c r="E5922" s="53">
        <f>IF(A5894="MO-3",C5894,0)</f>
        <v>0</v>
      </c>
      <c r="F5922" s="51">
        <f>VLOOKUP(A5922,'Componentes APUs'!$A$1:$D$14,4,0)</f>
        <v>7500</v>
      </c>
      <c r="G5922" s="51">
        <f>ROUNDUP(F5922*(E5922/21)/E5879,0)</f>
        <v>0</v>
      </c>
    </row>
    <row r="5923" spans="1:7" x14ac:dyDescent="0.25">
      <c r="A5923" s="69" t="s">
        <v>89</v>
      </c>
      <c r="B5923" s="72" t="str">
        <f>VLOOKUP(A5923,'Componentes APUs'!$A$1:$D$14,2,0)</f>
        <v>Kit de rescate para trabajo en alturas</v>
      </c>
      <c r="C5923" s="73"/>
      <c r="D5923" s="50" t="str">
        <f>VLOOKUP(A5923,'Componentes APUs'!$A$1:$D$14,3,0)</f>
        <v>U</v>
      </c>
      <c r="E5923" s="50">
        <f>IF(AND(A5894="MO-3",C5894=2),1,0)</f>
        <v>0</v>
      </c>
      <c r="F5923" s="51">
        <f>VLOOKUP(A5923,'Componentes APUs'!$A$1:$D$14,4,0)</f>
        <v>37500</v>
      </c>
      <c r="G5923" s="51">
        <f>ROUNDUP(F5923*(E5923/21)/E5879,0)</f>
        <v>0</v>
      </c>
    </row>
    <row r="5924" spans="1:7" x14ac:dyDescent="0.25">
      <c r="A5924" s="50" t="s">
        <v>91</v>
      </c>
      <c r="B5924" s="72" t="str">
        <f>VLOOKUP(A5924,'Componentes APUs'!$A$1:$D$14,2,0)</f>
        <v>Equipo completo para trabajo en alturas con pretales (Arnes dielectrico, 1 mosqueton de seguridad, tie off dielectrico, eslinga de posicionamiento, juego de pretales)</v>
      </c>
      <c r="C5924" s="73"/>
      <c r="D5924" s="50" t="str">
        <f>VLOOKUP(A5924,'Componentes APUs'!$A$1:$D$14,3,0)</f>
        <v>U</v>
      </c>
      <c r="E5924" s="50">
        <f>IF(A5894="MO-3",C5894,0)</f>
        <v>0</v>
      </c>
      <c r="F5924" s="51">
        <f>VLOOKUP(A5924,'Componentes APUs'!$A$1:$D$14,4,0)</f>
        <v>26041.666666666668</v>
      </c>
      <c r="G5924" s="51">
        <f>ROUNDUP(F5924*(E5924/21)/E5879,0)</f>
        <v>0</v>
      </c>
    </row>
    <row r="5925" spans="1:7" x14ac:dyDescent="0.25">
      <c r="A5925" s="219" t="s">
        <v>95</v>
      </c>
      <c r="B5925" s="219"/>
      <c r="C5925" s="219"/>
      <c r="D5925" s="219"/>
      <c r="E5925" s="219"/>
      <c r="F5925" s="219"/>
      <c r="G5925" s="52">
        <f>SUM(G5912:G5924)</f>
        <v>485</v>
      </c>
    </row>
    <row r="5926" spans="1:7" x14ac:dyDescent="0.25">
      <c r="A5926" s="56"/>
      <c r="B5926" s="57"/>
      <c r="C5926" s="57"/>
      <c r="D5926" s="57"/>
      <c r="E5926" s="57"/>
      <c r="F5926" s="57"/>
      <c r="G5926" s="58"/>
    </row>
    <row r="5927" spans="1:7" x14ac:dyDescent="0.25">
      <c r="A5927" s="219" t="s">
        <v>96</v>
      </c>
      <c r="B5927" s="219"/>
      <c r="C5927" s="219"/>
      <c r="D5927" s="219"/>
      <c r="E5927" s="219"/>
      <c r="F5927" s="219"/>
      <c r="G5927" s="219"/>
    </row>
    <row r="5928" spans="1:7" x14ac:dyDescent="0.25">
      <c r="A5928" s="49" t="s">
        <v>35</v>
      </c>
      <c r="B5928" s="225" t="s">
        <v>36</v>
      </c>
      <c r="C5928" s="225"/>
      <c r="D5928" s="49" t="s">
        <v>37</v>
      </c>
      <c r="E5928" s="49" t="s">
        <v>38</v>
      </c>
      <c r="F5928" s="49" t="s">
        <v>39</v>
      </c>
      <c r="G5928" s="49" t="s">
        <v>40</v>
      </c>
    </row>
    <row r="5929" spans="1:7" x14ac:dyDescent="0.25">
      <c r="A5929" s="69" t="s">
        <v>97</v>
      </c>
      <c r="B5929" s="72" t="str">
        <f>VLOOKUP(A5929,'Componentes APUs'!$N$1:$Q$30,2,0)</f>
        <v>Camioneta</v>
      </c>
      <c r="C5929" s="73"/>
      <c r="D5929" s="70" t="str">
        <f>VLOOKUP(A5929,'Componentes APUs'!$N$1:$Q$30,3,0)</f>
        <v>U</v>
      </c>
      <c r="E5929" s="50">
        <v>1</v>
      </c>
      <c r="F5929" s="51">
        <f>VLOOKUP(A5929,'Componentes APUs'!$N$1:$Q$30,4,0)</f>
        <v>5500000</v>
      </c>
      <c r="G5929" s="51">
        <f>IFERROR(ROUNDUP(F5929*(E5929/21)/E5879,0),"-")</f>
        <v>14551</v>
      </c>
    </row>
    <row r="5930" spans="1:7" x14ac:dyDescent="0.25">
      <c r="A5930" s="50" t="s">
        <v>1473</v>
      </c>
      <c r="B5930" s="72" t="str">
        <f>VLOOKUP(A5930,'Componentes APUs'!$N$1:$Q$30,2,0)</f>
        <v>Concretera</v>
      </c>
      <c r="C5930" s="73"/>
      <c r="D5930" s="70" t="str">
        <f>VLOOKUP(A5930,'Componentes APUs'!$N$1:$Q$30,3,0)</f>
        <v>U</v>
      </c>
      <c r="E5930" s="50">
        <v>0</v>
      </c>
      <c r="F5930" s="51">
        <f>VLOOKUP(A5930,'Componentes APUs'!$N$1:$Q$30,4,0)</f>
        <v>550704</v>
      </c>
      <c r="G5930" s="51">
        <f>IFERROR(ROUNDUP(F5930*(E5930/21)/E5879,0),"-")</f>
        <v>0</v>
      </c>
    </row>
    <row r="5931" spans="1:7" x14ac:dyDescent="0.25">
      <c r="A5931" s="69" t="s">
        <v>1379</v>
      </c>
      <c r="B5931" s="72" t="str">
        <f>VLOOKUP(A5931,'Componentes APUs'!$N$1:$Q$30,2,0)</f>
        <v>Dumper de descarga Frontal 2T</v>
      </c>
      <c r="C5931" s="73"/>
      <c r="D5931" s="70" t="str">
        <f>VLOOKUP(A5931,'Componentes APUs'!$N$1:$Q$30,3,0)</f>
        <v>U</v>
      </c>
      <c r="E5931" s="50">
        <v>0</v>
      </c>
      <c r="F5931" s="51">
        <f>VLOOKUP(A5931,'Componentes APUs'!$N$1:$Q$30,4,0)</f>
        <v>4438716.24</v>
      </c>
      <c r="G5931" s="51">
        <f>IFERROR(ROUNDUP(F5931*(E5931/21)/E5879,0),"-")</f>
        <v>0</v>
      </c>
    </row>
    <row r="5932" spans="1:7" x14ac:dyDescent="0.25">
      <c r="A5932" s="50" t="s">
        <v>323</v>
      </c>
      <c r="B5932" s="72" t="str">
        <f>VLOOKUP(A5932,'Componentes APUs'!$N$1:$Q$30,2,0)</f>
        <v>Volqueta</v>
      </c>
      <c r="C5932" s="73"/>
      <c r="D5932" s="70" t="str">
        <f>VLOOKUP(A5932,'Componentes APUs'!$N$1:$Q$30,3,0)</f>
        <v>U</v>
      </c>
      <c r="E5932" s="50">
        <v>0</v>
      </c>
      <c r="F5932" s="51">
        <f>VLOOKUP(A5932,'Componentes APUs'!$N$1:$Q$30,4,0)</f>
        <v>14828184</v>
      </c>
      <c r="G5932" s="51">
        <f>IFERROR(ROUNDUP(F5932*(E5932/21)/E5879,0),"-")</f>
        <v>0</v>
      </c>
    </row>
    <row r="5933" spans="1:7" x14ac:dyDescent="0.25">
      <c r="A5933" s="69" t="s">
        <v>324</v>
      </c>
      <c r="B5933" s="72" t="str">
        <f>VLOOKUP(A5933,'Componentes APUs'!$N$1:$Q$30,2,0)</f>
        <v>Retroexcavadora</v>
      </c>
      <c r="C5933" s="73"/>
      <c r="D5933" s="70" t="str">
        <f>VLOOKUP(A5933,'Componentes APUs'!$N$1:$Q$30,3,0)</f>
        <v>U</v>
      </c>
      <c r="E5933" s="50">
        <v>0</v>
      </c>
      <c r="F5933" s="51">
        <f>VLOOKUP(A5933,'Componentes APUs'!$N$1:$Q$30,4,0)</f>
        <v>46030656</v>
      </c>
      <c r="G5933" s="51">
        <f>IFERROR(ROUNDUP(F5933*(E5933/21)/E5879,0),"-")</f>
        <v>0</v>
      </c>
    </row>
    <row r="5934" spans="1:7" x14ac:dyDescent="0.25">
      <c r="A5934" s="219" t="s">
        <v>99</v>
      </c>
      <c r="B5934" s="219"/>
      <c r="C5934" s="219"/>
      <c r="D5934" s="219"/>
      <c r="E5934" s="219"/>
      <c r="F5934" s="219"/>
      <c r="G5934" s="52">
        <f>SUM(G5929:G5933)</f>
        <v>14551</v>
      </c>
    </row>
    <row r="5935" spans="1:7" x14ac:dyDescent="0.25">
      <c r="A5935" s="56"/>
      <c r="B5935" s="57"/>
      <c r="C5935" s="57"/>
      <c r="D5935" s="57"/>
      <c r="E5935" s="57"/>
      <c r="F5935" s="57"/>
      <c r="G5935" s="58"/>
    </row>
    <row r="5936" spans="1:7" x14ac:dyDescent="0.25">
      <c r="A5936" s="219" t="s">
        <v>100</v>
      </c>
      <c r="B5936" s="219"/>
      <c r="C5936" s="219"/>
      <c r="D5936" s="219"/>
      <c r="E5936" s="219"/>
      <c r="F5936" s="219"/>
      <c r="G5936" s="52">
        <f>G5934+G5925+G5908+G5898+G5888</f>
        <v>82641</v>
      </c>
    </row>
    <row r="5937" spans="1:13" x14ac:dyDescent="0.25">
      <c r="A5937" s="59"/>
      <c r="B5937" s="60"/>
      <c r="C5937" s="60"/>
      <c r="D5937" s="60"/>
      <c r="E5937" s="57"/>
      <c r="F5937" s="57"/>
      <c r="G5937" s="58"/>
    </row>
    <row r="5938" spans="1:13" x14ac:dyDescent="0.25">
      <c r="A5938" s="64"/>
      <c r="D5938" s="55"/>
      <c r="E5938" s="49" t="s">
        <v>25</v>
      </c>
      <c r="F5938" s="54">
        <v>0.15</v>
      </c>
      <c r="G5938" s="51">
        <f>G5936*F5938</f>
        <v>12396.15</v>
      </c>
    </row>
    <row r="5939" spans="1:13" x14ac:dyDescent="0.25">
      <c r="A5939" s="64"/>
      <c r="D5939" s="55"/>
      <c r="E5939" s="49" t="s">
        <v>26</v>
      </c>
      <c r="F5939" s="54">
        <v>0.05</v>
      </c>
      <c r="G5939" s="51">
        <f>G5936*F5939</f>
        <v>4132.05</v>
      </c>
    </row>
    <row r="5940" spans="1:13" x14ac:dyDescent="0.25">
      <c r="A5940" s="61"/>
      <c r="B5940" s="65"/>
      <c r="C5940" s="65"/>
      <c r="D5940" s="62"/>
      <c r="E5940" s="49" t="s">
        <v>27</v>
      </c>
      <c r="F5940" s="54">
        <v>0.05</v>
      </c>
      <c r="G5940" s="51">
        <f>G5936*F5940</f>
        <v>4132.05</v>
      </c>
    </row>
    <row r="5941" spans="1:13" x14ac:dyDescent="0.25">
      <c r="A5941" s="61"/>
      <c r="B5941" s="62"/>
      <c r="C5941" s="62"/>
      <c r="D5941" s="62"/>
      <c r="E5941" s="62"/>
      <c r="F5941" s="62"/>
      <c r="G5941" s="63"/>
    </row>
    <row r="5942" spans="1:13" x14ac:dyDescent="0.25">
      <c r="A5942" s="219" t="s">
        <v>101</v>
      </c>
      <c r="B5942" s="219"/>
      <c r="C5942" s="219"/>
      <c r="D5942" s="219"/>
      <c r="E5942" s="219"/>
      <c r="F5942" s="219"/>
      <c r="G5942" s="52">
        <f>G5936+G5938+G5939+G5940</f>
        <v>103301.25</v>
      </c>
    </row>
    <row r="5943" spans="1:13" x14ac:dyDescent="0.25">
      <c r="A5943" s="59"/>
      <c r="B5943" s="60"/>
      <c r="C5943" s="60"/>
      <c r="D5943" s="60"/>
      <c r="E5943" s="57"/>
      <c r="F5943" s="57"/>
      <c r="G5943" s="58"/>
    </row>
    <row r="5944" spans="1:13" x14ac:dyDescent="0.25">
      <c r="A5944" s="64"/>
      <c r="D5944" s="55"/>
      <c r="E5944" s="49" t="s">
        <v>102</v>
      </c>
      <c r="F5944" s="49" t="s">
        <v>103</v>
      </c>
      <c r="G5944" s="51">
        <f>G5940*19%</f>
        <v>785.08950000000004</v>
      </c>
    </row>
    <row r="5945" spans="1:13" x14ac:dyDescent="0.25">
      <c r="A5945" s="61"/>
      <c r="B5945" s="62"/>
      <c r="C5945" s="62"/>
      <c r="D5945" s="62"/>
      <c r="E5945" s="57"/>
      <c r="F5945" s="57"/>
      <c r="G5945" s="58"/>
    </row>
    <row r="5946" spans="1:13" x14ac:dyDescent="0.25">
      <c r="A5946" s="219" t="s">
        <v>104</v>
      </c>
      <c r="B5946" s="219"/>
      <c r="C5946" s="219"/>
      <c r="D5946" s="219"/>
      <c r="E5946" s="219"/>
      <c r="F5946" s="219"/>
      <c r="G5946" s="52">
        <f>G5944+G5942</f>
        <v>104086.3395</v>
      </c>
    </row>
    <row r="5948" spans="1:13" x14ac:dyDescent="0.25">
      <c r="A5948" s="74" t="s">
        <v>29</v>
      </c>
      <c r="B5948" s="226" t="s">
        <v>30</v>
      </c>
      <c r="C5948" s="226"/>
      <c r="D5948" s="74" t="s">
        <v>31</v>
      </c>
      <c r="E5948" s="74" t="s">
        <v>32</v>
      </c>
      <c r="F5948" s="74" t="s">
        <v>189</v>
      </c>
      <c r="G5948" s="74" t="s">
        <v>33</v>
      </c>
      <c r="H5948" s="105"/>
    </row>
    <row r="5949" spans="1:13" ht="27" customHeight="1" x14ac:dyDescent="0.25">
      <c r="A5949" s="50" t="str">
        <f>Presupuesto!B115</f>
        <v>096_OC</v>
      </c>
      <c r="B5949" s="229" t="str">
        <f>Presupuesto!C115</f>
        <v xml:space="preserve">RAMPA CONCRETO ENDURECIDO Y RANURADO  PARA INGRESO A CASETA (3,4 x 4 m) </v>
      </c>
      <c r="C5949" s="230"/>
      <c r="D5949" s="50" t="s">
        <v>8</v>
      </c>
      <c r="E5949" s="107">
        <v>4</v>
      </c>
      <c r="F5949" s="50"/>
      <c r="G5949" s="51">
        <f>G6014</f>
        <v>13019296.581499999</v>
      </c>
      <c r="H5949" s="111"/>
    </row>
    <row r="5950" spans="1:13" x14ac:dyDescent="0.25">
      <c r="A5950" s="219" t="s">
        <v>34</v>
      </c>
      <c r="B5950" s="219"/>
      <c r="C5950" s="219"/>
      <c r="D5950" s="219"/>
      <c r="E5950" s="219"/>
      <c r="F5950" s="219"/>
      <c r="G5950" s="219"/>
    </row>
    <row r="5951" spans="1:13" ht="30.75" customHeight="1" x14ac:dyDescent="0.25">
      <c r="A5951" s="49" t="s">
        <v>35</v>
      </c>
      <c r="B5951" s="219" t="s">
        <v>36</v>
      </c>
      <c r="C5951" s="219"/>
      <c r="D5951" s="49" t="s">
        <v>37</v>
      </c>
      <c r="E5951" s="49" t="s">
        <v>38</v>
      </c>
      <c r="F5951" s="49" t="s">
        <v>39</v>
      </c>
      <c r="G5951" s="49" t="s">
        <v>40</v>
      </c>
      <c r="K5951" s="23"/>
      <c r="L5951" s="23"/>
    </row>
    <row r="5952" spans="1:13" x14ac:dyDescent="0.25">
      <c r="A5952" s="50" t="str">
        <f>Material!A15</f>
        <v>MA-14</v>
      </c>
      <c r="B5952" s="72" t="str">
        <f>IFERROR(VLOOKUP(A5952,Material!$A:$H,2,0),"-")</f>
        <v>CONCRETO DE 3000 PSI</v>
      </c>
      <c r="C5952" s="76"/>
      <c r="D5952" s="50" t="str">
        <f>IFERROR(VLOOKUP(A5952,Material!$A:$H,4,0),"-")</f>
        <v>M3</v>
      </c>
      <c r="E5952" s="107">
        <f>1.25*3.4</f>
        <v>4.25</v>
      </c>
      <c r="F5952" s="51">
        <f>IFERROR(VLOOKUP(A5952,Material!$A:$H,3,0),"-")</f>
        <v>620227.23330691375</v>
      </c>
      <c r="G5952" s="51">
        <f t="shared" ref="G5952:G5955" si="105">IFERROR(ROUNDUP(F5952*E5952,0),"-")</f>
        <v>2635966</v>
      </c>
      <c r="H5952" s="112"/>
      <c r="I5952" s="110"/>
      <c r="J5952" s="113"/>
      <c r="K5952" s="114"/>
      <c r="L5952" s="115"/>
      <c r="M5952" s="115"/>
    </row>
    <row r="5953" spans="1:13" x14ac:dyDescent="0.25">
      <c r="A5953" s="50" t="str">
        <f>Material!A604</f>
        <v>MA-603</v>
      </c>
      <c r="B5953" s="72" t="str">
        <f>IFERROR(VLOOKUP(A5953,Material!$A:$H,2,0),"-")</f>
        <v>ACERO Fy= 240 MPa</v>
      </c>
      <c r="C5953" s="76"/>
      <c r="D5953" s="50" t="str">
        <f>IFERROR(VLOOKUP(A5953,Material!$A:$H,4,0),"-")</f>
        <v>KG</v>
      </c>
      <c r="E5953" s="107">
        <f>E5952*200</f>
        <v>850</v>
      </c>
      <c r="F5953" s="51">
        <f>IFERROR(VLOOKUP(A5953,Material!$A:$H,3,0),"-")</f>
        <v>7341.1</v>
      </c>
      <c r="G5953" s="51">
        <f t="shared" si="105"/>
        <v>6239935</v>
      </c>
      <c r="H5953" s="112"/>
      <c r="I5953" s="110"/>
      <c r="J5953" s="113"/>
      <c r="K5953" s="114"/>
      <c r="L5953" s="115"/>
      <c r="M5953" s="115"/>
    </row>
    <row r="5954" spans="1:13" x14ac:dyDescent="0.25">
      <c r="A5954" s="50" t="str">
        <f>Material!A218</f>
        <v>MA-217</v>
      </c>
      <c r="B5954" s="72" t="str">
        <f>IFERROR(VLOOKUP(A5954,Material!$A:$H,2,0),"-")</f>
        <v>FORMALETA EN MADERA CON TABLA DE 1"</v>
      </c>
      <c r="C5954" s="76"/>
      <c r="D5954" s="50" t="str">
        <f>IFERROR(VLOOKUP(A5954,Material!$A:$H,4,0),"-")</f>
        <v>M2</v>
      </c>
      <c r="E5954" s="107">
        <f>9*3.4</f>
        <v>30.599999999999998</v>
      </c>
      <c r="F5954" s="51">
        <f>IFERROR(VLOOKUP(A5954,Material!$A:$H,3,0),"-")</f>
        <v>24691.116165303549</v>
      </c>
      <c r="G5954" s="51">
        <f t="shared" si="105"/>
        <v>755549</v>
      </c>
      <c r="H5954" s="112"/>
      <c r="I5954" s="110"/>
      <c r="J5954" s="113"/>
      <c r="K5954" s="114"/>
      <c r="L5954" s="115"/>
      <c r="M5954" s="115"/>
    </row>
    <row r="5955" spans="1:13" ht="24" customHeight="1" x14ac:dyDescent="0.25">
      <c r="A5955" s="50" t="str">
        <f>Material!A18</f>
        <v>MA-17</v>
      </c>
      <c r="B5955" s="232" t="str">
        <f>IFERROR(VLOOKUP(A5955,Material!$A:$H,2,0),"-")</f>
        <v>EXCAVACIÓN EN MATERIAL COMÚN BAJO AGUA DE 0 - 2 M MANUAL</v>
      </c>
      <c r="C5955" s="233"/>
      <c r="D5955" s="50" t="str">
        <f>IFERROR(VLOOKUP(A5955,Material!$A:$H,4,0),"-")</f>
        <v>M3</v>
      </c>
      <c r="E5955" s="107">
        <f>3.5*3.4</f>
        <v>11.9</v>
      </c>
      <c r="F5955" s="51">
        <f>IFERROR(VLOOKUP(A5955,Material!$A:$H,3,0),"-")</f>
        <v>45663.8</v>
      </c>
      <c r="G5955" s="51">
        <f t="shared" si="105"/>
        <v>543400</v>
      </c>
      <c r="H5955" s="112"/>
      <c r="I5955" s="110"/>
      <c r="J5955" s="113"/>
      <c r="K5955" s="114"/>
      <c r="L5955" s="115"/>
      <c r="M5955" s="115"/>
    </row>
    <row r="5956" spans="1:13" x14ac:dyDescent="0.25">
      <c r="A5956" s="219" t="s">
        <v>41</v>
      </c>
      <c r="B5956" s="219"/>
      <c r="C5956" s="219"/>
      <c r="D5956" s="219"/>
      <c r="E5956" s="219"/>
      <c r="F5956" s="219"/>
      <c r="G5956" s="52">
        <f>SUM(G5952:G5955)</f>
        <v>10174850</v>
      </c>
      <c r="I5956" s="104"/>
    </row>
    <row r="5957" spans="1:13" x14ac:dyDescent="0.25">
      <c r="A5957" s="56"/>
      <c r="B5957" s="57"/>
      <c r="C5957" s="57"/>
      <c r="D5957" s="57"/>
      <c r="E5957" s="57"/>
      <c r="F5957" s="57"/>
      <c r="G5957" s="58"/>
    </row>
    <row r="5958" spans="1:13" x14ac:dyDescent="0.25">
      <c r="A5958" s="219" t="s">
        <v>42</v>
      </c>
      <c r="B5958" s="219"/>
      <c r="C5958" s="219"/>
      <c r="D5958" s="219"/>
      <c r="E5958" s="219"/>
      <c r="F5958" s="219"/>
      <c r="G5958" s="219"/>
    </row>
    <row r="5959" spans="1:13" x14ac:dyDescent="0.25">
      <c r="A5959" s="49" t="s">
        <v>35</v>
      </c>
      <c r="B5959" s="49" t="s">
        <v>36</v>
      </c>
      <c r="C5959" s="49" t="s">
        <v>38</v>
      </c>
      <c r="D5959" s="49" t="s">
        <v>43</v>
      </c>
      <c r="E5959" s="49" t="s">
        <v>44</v>
      </c>
      <c r="F5959" s="49" t="s">
        <v>45</v>
      </c>
      <c r="G5959" s="49" t="s">
        <v>40</v>
      </c>
    </row>
    <row r="5960" spans="1:13" x14ac:dyDescent="0.25">
      <c r="A5960" s="50" t="s">
        <v>319</v>
      </c>
      <c r="B5960" s="68" t="str">
        <f>VLOOKUP(A5960,'Componentes APUs'!$H$1:$L$25,2,0)</f>
        <v>Ingeniero Residente de Obra</v>
      </c>
      <c r="C5960" s="93">
        <v>0</v>
      </c>
      <c r="D5960" s="50">
        <f>VLOOKUP(A5960,'Componentes APUs'!$H$1:$L$25,3,0)</f>
        <v>4</v>
      </c>
      <c r="E5960" s="51">
        <f>VLOOKUP(A5960,'Componentes APUs'!$H$1:$L$25,4,0)</f>
        <v>271142.85714285716</v>
      </c>
      <c r="F5960" s="51">
        <f>VLOOKUP(A5960,'Componentes APUs'!$H$1:$L$25,5,0)</f>
        <v>162685.71428571429</v>
      </c>
      <c r="G5960" s="51">
        <f>ROUNDUP((E5960+F5960)*C5960/E5949,0)</f>
        <v>0</v>
      </c>
      <c r="H5960" s="66"/>
    </row>
    <row r="5961" spans="1:13" x14ac:dyDescent="0.25">
      <c r="A5961" s="50" t="s">
        <v>320</v>
      </c>
      <c r="B5961" s="68" t="str">
        <f>VLOOKUP(A5961,'Componentes APUs'!$H$1:$L$25,2,0)</f>
        <v>Tecnico Supervisor</v>
      </c>
      <c r="C5961" s="93">
        <v>0</v>
      </c>
      <c r="D5961" s="50">
        <f>VLOOKUP(A5961,'Componentes APUs'!$H$1:$L$25,3,0)</f>
        <v>2.2999999999999998</v>
      </c>
      <c r="E5961" s="51">
        <f>VLOOKUP(A5961,'Componentes APUs'!$H$1:$L$25,4,0)</f>
        <v>155907.14285714284</v>
      </c>
      <c r="F5961" s="51">
        <f>VLOOKUP(A5961,'Componentes APUs'!$H$1:$L$25,5,0)</f>
        <v>93544.285714285696</v>
      </c>
      <c r="G5961" s="51">
        <f>ROUNDUP((E5961+F5961)*C5961/E5949,0)</f>
        <v>0</v>
      </c>
    </row>
    <row r="5962" spans="1:13" x14ac:dyDescent="0.25">
      <c r="A5962" s="50" t="s">
        <v>54</v>
      </c>
      <c r="B5962" s="68" t="str">
        <f>VLOOKUP(A5962,'Componentes APUs'!$H$1:$L$25,2,0)</f>
        <v>Maestro de obra civil</v>
      </c>
      <c r="C5962" s="93">
        <v>0</v>
      </c>
      <c r="D5962" s="50">
        <f>VLOOKUP(A5962,'Componentes APUs'!$H$1:$L$25,3,0)</f>
        <v>2.5</v>
      </c>
      <c r="E5962" s="51">
        <f>VLOOKUP(A5962,'Componentes APUs'!$H$1:$L$25,4,0)</f>
        <v>169464.28571428571</v>
      </c>
      <c r="F5962" s="51">
        <f>VLOOKUP(A5962,'Componentes APUs'!$H$1:$L$25,5,0)</f>
        <v>101678.57142857142</v>
      </c>
      <c r="G5962" s="51">
        <f>ROUNDUP((E5962+F5962)*C5962/E5949,0)</f>
        <v>0</v>
      </c>
    </row>
    <row r="5963" spans="1:13" x14ac:dyDescent="0.25">
      <c r="A5963" s="50" t="s">
        <v>1110</v>
      </c>
      <c r="B5963" s="68" t="str">
        <f>VLOOKUP(A5963,'Componentes APUs'!$H$1:$L$25,2,0)</f>
        <v>Oficial de Obra Civil</v>
      </c>
      <c r="C5963" s="93">
        <v>1</v>
      </c>
      <c r="D5963" s="50">
        <f>VLOOKUP(A5963,'Componentes APUs'!$H$1:$L$25,3,0)</f>
        <v>1.5</v>
      </c>
      <c r="E5963" s="51">
        <f>VLOOKUP(A5963,'Componentes APUs'!$H$1:$L$25,4,0)</f>
        <v>115964.28571428571</v>
      </c>
      <c r="F5963" s="51">
        <f>VLOOKUP(A5963,'Componentes APUs'!$H$1:$L$25,5,0)</f>
        <v>69578.57142857142</v>
      </c>
      <c r="G5963" s="51">
        <f>ROUNDUP((E5963+F5963)*C5963/E5949,0)</f>
        <v>46386</v>
      </c>
    </row>
    <row r="5964" spans="1:13" x14ac:dyDescent="0.25">
      <c r="A5964" s="50" t="s">
        <v>50</v>
      </c>
      <c r="B5964" s="68" t="str">
        <f>VLOOKUP(A5964,'Componentes APUs'!$H$1:$L$25,2,0)</f>
        <v>Profesional en SST</v>
      </c>
      <c r="C5964" s="93">
        <v>0.25</v>
      </c>
      <c r="D5964" s="50">
        <f>VLOOKUP(A5964,'Componentes APUs'!$H$1:$L$25,3,0)</f>
        <v>2.5</v>
      </c>
      <c r="E5964" s="51">
        <f>VLOOKUP(A5964,'Componentes APUs'!$H$1:$L$25,4,0)</f>
        <v>169464.28571428571</v>
      </c>
      <c r="F5964" s="51">
        <f>VLOOKUP(A5964,'Componentes APUs'!$H$1:$L$25,5,0)</f>
        <v>101678.57142857142</v>
      </c>
      <c r="G5964" s="51">
        <f>ROUNDUP((E5964+F5964)*C5964/E5949,0)</f>
        <v>16947</v>
      </c>
    </row>
    <row r="5965" spans="1:13" x14ac:dyDescent="0.25">
      <c r="A5965" s="50" t="s">
        <v>1109</v>
      </c>
      <c r="B5965" s="68" t="str">
        <f>VLOOKUP(A5965,'Componentes APUs'!$H$1:$L$25,2,0)</f>
        <v>Ayudante de Obra Civil</v>
      </c>
      <c r="C5965" s="93">
        <v>1</v>
      </c>
      <c r="D5965" s="50">
        <f>VLOOKUP(A5965,'Componentes APUs'!$H$1:$L$25,3,0)</f>
        <v>1</v>
      </c>
      <c r="E5965" s="51">
        <f>VLOOKUP(A5965,'Componentes APUs'!$H$1:$L$25,4,0)</f>
        <v>77309.523809523816</v>
      </c>
      <c r="F5965" s="51">
        <f>VLOOKUP(A5965,'Componentes APUs'!$H$1:$L$25,5,0)</f>
        <v>46385.71428571429</v>
      </c>
      <c r="G5965" s="51">
        <f>ROUNDUP((E5965+F5965)*C5965/E5949,0)</f>
        <v>30924</v>
      </c>
    </row>
    <row r="5966" spans="1:13" x14ac:dyDescent="0.25">
      <c r="A5966" s="219" t="s">
        <v>56</v>
      </c>
      <c r="B5966" s="219"/>
      <c r="C5966" s="219"/>
      <c r="D5966" s="219"/>
      <c r="E5966" s="219"/>
      <c r="F5966" s="219"/>
      <c r="G5966" s="52">
        <f>SUM(G5960:G5965)</f>
        <v>94257</v>
      </c>
    </row>
    <row r="5967" spans="1:13" x14ac:dyDescent="0.25">
      <c r="A5967" s="56"/>
      <c r="B5967" s="57"/>
      <c r="C5967" s="57"/>
      <c r="D5967" s="57"/>
      <c r="E5967" s="57"/>
      <c r="F5967" s="57"/>
      <c r="G5967" s="58"/>
    </row>
    <row r="5968" spans="1:13" x14ac:dyDescent="0.25">
      <c r="A5968" s="219" t="s">
        <v>57</v>
      </c>
      <c r="B5968" s="219"/>
      <c r="C5968" s="219"/>
      <c r="D5968" s="219"/>
      <c r="E5968" s="219"/>
      <c r="F5968" s="219"/>
      <c r="G5968" s="219"/>
    </row>
    <row r="5969" spans="1:9" x14ac:dyDescent="0.25">
      <c r="A5969" s="49" t="s">
        <v>35</v>
      </c>
      <c r="B5969" s="219" t="s">
        <v>36</v>
      </c>
      <c r="C5969" s="219"/>
      <c r="D5969" s="49" t="s">
        <v>37</v>
      </c>
      <c r="E5969" s="49" t="s">
        <v>38</v>
      </c>
      <c r="F5969" s="49" t="s">
        <v>39</v>
      </c>
      <c r="G5969" s="49" t="s">
        <v>40</v>
      </c>
    </row>
    <row r="5970" spans="1:9" x14ac:dyDescent="0.25">
      <c r="A5970" s="50" t="s">
        <v>326</v>
      </c>
      <c r="B5970" s="220" t="str">
        <f>VLOOKUP(A5970,'Componentes APUs'!$S$1:$V$10,2,0)</f>
        <v>Juego Llaves</v>
      </c>
      <c r="C5970" s="220"/>
      <c r="D5970" s="50" t="s">
        <v>18</v>
      </c>
      <c r="E5970" s="50">
        <v>0</v>
      </c>
      <c r="F5970" s="51">
        <f>VLOOKUP(A5970,'Componentes APUs'!$S$1:$V$10,4,0)</f>
        <v>9167</v>
      </c>
      <c r="G5970" s="51">
        <f>ROUNDUP(F5970*((E5970/21)/E5949),0)</f>
        <v>0</v>
      </c>
      <c r="I5970" s="91"/>
    </row>
    <row r="5971" spans="1:9" x14ac:dyDescent="0.25">
      <c r="A5971" s="50" t="s">
        <v>58</v>
      </c>
      <c r="B5971" s="220" t="str">
        <f>VLOOKUP(A5971,'Componentes APUs'!$S$1:$V$10,2,0)</f>
        <v>Manila de servicio</v>
      </c>
      <c r="C5971" s="220"/>
      <c r="D5971" s="50" t="s">
        <v>18</v>
      </c>
      <c r="E5971" s="50">
        <v>0</v>
      </c>
      <c r="F5971" s="51">
        <f>VLOOKUP(A5971,'Componentes APUs'!$S$1:$V$10,4,0)</f>
        <v>2333</v>
      </c>
      <c r="G5971" s="51">
        <f>ROUNDUP(F5971*((E5971/21)/E5949),0)</f>
        <v>0</v>
      </c>
    </row>
    <row r="5972" spans="1:9" x14ac:dyDescent="0.25">
      <c r="A5972" s="50" t="s">
        <v>327</v>
      </c>
      <c r="B5972" s="220" t="str">
        <f>VLOOKUP(A5972,'Componentes APUs'!$S$1:$V$10,2,0)</f>
        <v>Tula portaherramientas</v>
      </c>
      <c r="C5972" s="220"/>
      <c r="D5972" s="50" t="s">
        <v>18</v>
      </c>
      <c r="E5972" s="50">
        <v>0</v>
      </c>
      <c r="F5972" s="51">
        <f>VLOOKUP(A5972,'Componentes APUs'!$S$1:$V$10,4,0)</f>
        <v>1250</v>
      </c>
      <c r="G5972" s="51">
        <f>ROUNDUP(F5972*((E5972/21)/E5949),0)</f>
        <v>0</v>
      </c>
    </row>
    <row r="5973" spans="1:9" x14ac:dyDescent="0.25">
      <c r="A5973" s="50" t="s">
        <v>60</v>
      </c>
      <c r="B5973" s="220" t="str">
        <f>VLOOKUP(A5973,'Componentes APUs'!$S$1:$V$10,2,0)</f>
        <v>Agarradoras</v>
      </c>
      <c r="C5973" s="220"/>
      <c r="D5973" s="50" t="s">
        <v>18</v>
      </c>
      <c r="E5973" s="50">
        <v>0</v>
      </c>
      <c r="F5973" s="51">
        <f>VLOOKUP(A5973,'Componentes APUs'!$S$1:$V$10,4,0)</f>
        <v>125000</v>
      </c>
      <c r="G5973" s="51">
        <f>ROUNDUP(F5973*((E5973/21)/E5949),0)</f>
        <v>0</v>
      </c>
    </row>
    <row r="5974" spans="1:9" x14ac:dyDescent="0.25">
      <c r="A5974" s="50" t="s">
        <v>62</v>
      </c>
      <c r="B5974" s="220" t="str">
        <f>VLOOKUP(A5974,'Componentes APUs'!$S$1:$V$10,2,0)</f>
        <v>Templadoras</v>
      </c>
      <c r="C5974" s="220"/>
      <c r="D5974" s="50" t="s">
        <v>18</v>
      </c>
      <c r="E5974" s="50">
        <v>0</v>
      </c>
      <c r="F5974" s="51">
        <f>VLOOKUP(A5974,'Componentes APUs'!$S$1:$V$10,4,0)</f>
        <v>250000</v>
      </c>
      <c r="G5974" s="51">
        <f>ROUNDUP(F5974*((E5974/21)/E5949),0)</f>
        <v>0</v>
      </c>
    </row>
    <row r="5975" spans="1:9" x14ac:dyDescent="0.25">
      <c r="A5975" s="50" t="s">
        <v>328</v>
      </c>
      <c r="B5975" s="220" t="str">
        <f>VLOOKUP(A5975,'Componentes APUs'!$S$1:$V$10,2,0)</f>
        <v>Herramienta Menor</v>
      </c>
      <c r="C5975" s="220"/>
      <c r="D5975" s="50" t="s">
        <v>18</v>
      </c>
      <c r="E5975" s="50">
        <v>1</v>
      </c>
      <c r="F5975" s="51">
        <f>VLOOKUP(A5975,'Componentes APUs'!$S$1:$V$10,4,0)</f>
        <v>75758</v>
      </c>
      <c r="G5975" s="51">
        <f>ROUNDUP(F5975*((E5975/21)/E5949),0)</f>
        <v>902</v>
      </c>
    </row>
    <row r="5976" spans="1:9" x14ac:dyDescent="0.25">
      <c r="A5976" s="219" t="s">
        <v>69</v>
      </c>
      <c r="B5976" s="219"/>
      <c r="C5976" s="219"/>
      <c r="D5976" s="219"/>
      <c r="E5976" s="219"/>
      <c r="F5976" s="219"/>
      <c r="G5976" s="52">
        <f>SUM(G5970:G5975)</f>
        <v>902</v>
      </c>
    </row>
    <row r="5977" spans="1:9" x14ac:dyDescent="0.25">
      <c r="A5977" s="56"/>
      <c r="B5977" s="57"/>
      <c r="C5977" s="57"/>
      <c r="D5977" s="57"/>
      <c r="E5977" s="57"/>
      <c r="F5977" s="57"/>
      <c r="G5977" s="58"/>
    </row>
    <row r="5978" spans="1:9" x14ac:dyDescent="0.25">
      <c r="A5978" s="219" t="s">
        <v>70</v>
      </c>
      <c r="B5978" s="219"/>
      <c r="C5978" s="219"/>
      <c r="D5978" s="219"/>
      <c r="E5978" s="219"/>
      <c r="F5978" s="219"/>
      <c r="G5978" s="219"/>
    </row>
    <row r="5979" spans="1:9" x14ac:dyDescent="0.25">
      <c r="A5979" s="49" t="s">
        <v>35</v>
      </c>
      <c r="B5979" s="219" t="s">
        <v>36</v>
      </c>
      <c r="C5979" s="219"/>
      <c r="D5979" s="49" t="s">
        <v>37</v>
      </c>
      <c r="E5979" s="49" t="s">
        <v>38</v>
      </c>
      <c r="F5979" s="49" t="s">
        <v>39</v>
      </c>
      <c r="G5979" s="49" t="s">
        <v>40</v>
      </c>
    </row>
    <row r="5980" spans="1:9" x14ac:dyDescent="0.25">
      <c r="A5980" s="50" t="s">
        <v>71</v>
      </c>
      <c r="B5980" s="71" t="str">
        <f>VLOOKUP(A5980,'Componentes APUs'!$A$1:$D$14,2,0)</f>
        <v>Camisa indigo sin partes metalicas</v>
      </c>
      <c r="C5980" s="71"/>
      <c r="D5980" s="50" t="str">
        <f>VLOOKUP(A5980,'Componentes APUs'!$A$1:$D$14,3,0)</f>
        <v>U</v>
      </c>
      <c r="E5980" s="50">
        <f>SUM(C5960:C5965)</f>
        <v>2.25</v>
      </c>
      <c r="F5980" s="51">
        <f>VLOOKUP(A5980,'Componentes APUs'!$A$1:$D$14,4,0)</f>
        <v>8585.8585858585866</v>
      </c>
      <c r="G5980" s="51">
        <f>ROUNDUP(F5980*(E5980/21)/E5949,0)</f>
        <v>230</v>
      </c>
      <c r="I5980" s="91"/>
    </row>
    <row r="5981" spans="1:9" x14ac:dyDescent="0.25">
      <c r="A5981" s="69" t="s">
        <v>73</v>
      </c>
      <c r="B5981" s="72" t="str">
        <f>VLOOKUP(A5981,'Componentes APUs'!$A$1:$D$14,2,0)</f>
        <v>Bota de seguridad dielectrica</v>
      </c>
      <c r="C5981" s="73"/>
      <c r="D5981" s="70" t="str">
        <f>VLOOKUP(A5981,'Componentes APUs'!$A$1:$D$14,3,0)</f>
        <v>Par</v>
      </c>
      <c r="E5981" s="50">
        <f>SUM(C5960:C5965)</f>
        <v>2.25</v>
      </c>
      <c r="F5981" s="51">
        <f>VLOOKUP(A5981,'Componentes APUs'!$A$1:$D$14,4,0)</f>
        <v>7500</v>
      </c>
      <c r="G5981" s="51">
        <f>ROUNDUP(F5981*(E5981/21)/E5949,0)</f>
        <v>201</v>
      </c>
    </row>
    <row r="5982" spans="1:9" x14ac:dyDescent="0.25">
      <c r="A5982" s="50" t="s">
        <v>76</v>
      </c>
      <c r="B5982" s="72" t="str">
        <f>VLOOKUP(A5982,'Componentes APUs'!$A$1:$D$14,2,0)</f>
        <v>Casco dielectrico Tipo 1 Clase E con barbuquejo</v>
      </c>
      <c r="C5982" s="73"/>
      <c r="D5982" s="50" t="str">
        <f>VLOOKUP(A5982,'Componentes APUs'!$A$1:$D$14,3,0)</f>
        <v>U</v>
      </c>
      <c r="E5982" s="50">
        <f>C5960+C5961+C5963+C5964+C5965+IF(A5962&lt;&gt;"MO-3",C5962,0)</f>
        <v>2.25</v>
      </c>
      <c r="F5982" s="51">
        <f>VLOOKUP(A5982,'Componentes APUs'!$A$1:$D$14,4,0)</f>
        <v>10101.010101010101</v>
      </c>
      <c r="G5982" s="51">
        <f>ROUNDUP(F5982*(E5982/21)/E5949,0)</f>
        <v>271</v>
      </c>
    </row>
    <row r="5983" spans="1:9" x14ac:dyDescent="0.25">
      <c r="A5983" s="69" t="s">
        <v>77</v>
      </c>
      <c r="B5983" s="72" t="str">
        <f>VLOOKUP(A5983,'Componentes APUs'!$A$1:$D$14,2,0)</f>
        <v>Correa plastica y antiflama</v>
      </c>
      <c r="C5983" s="73"/>
      <c r="D5983" s="50" t="str">
        <f>VLOOKUP(A5983,'Componentes APUs'!$A$1:$D$14,3,0)</f>
        <v>U</v>
      </c>
      <c r="E5983" s="50">
        <f>SUM(C5960:C5965)</f>
        <v>2.25</v>
      </c>
      <c r="F5983" s="51">
        <f>VLOOKUP(A5983,'Componentes APUs'!$A$1:$D$14,4,0)</f>
        <v>3787.878787878788</v>
      </c>
      <c r="G5983" s="51">
        <f>ROUNDUP(F5983*(E5983/21)/E5949,0)</f>
        <v>102</v>
      </c>
    </row>
    <row r="5984" spans="1:9" x14ac:dyDescent="0.25">
      <c r="A5984" s="50" t="s">
        <v>79</v>
      </c>
      <c r="B5984" s="72" t="str">
        <f>VLOOKUP(A5984,'Componentes APUs'!$A$1:$D$14,2,0)</f>
        <v>Gafas protectoras filtro UV</v>
      </c>
      <c r="C5984" s="73"/>
      <c r="D5984" s="50" t="str">
        <f>VLOOKUP(A5984,'Componentes APUs'!$A$1:$D$14,3,0)</f>
        <v>U</v>
      </c>
      <c r="E5984" s="50">
        <f>SUM(C5960:C5965)</f>
        <v>2.25</v>
      </c>
      <c r="F5984" s="51">
        <f>VLOOKUP(A5984,'Componentes APUs'!$A$1:$D$14,4,0)</f>
        <v>2777.7777777777778</v>
      </c>
      <c r="G5984" s="51">
        <f>ROUNDUP(F5984*(E5984/21)/E5949,0)</f>
        <v>75</v>
      </c>
    </row>
    <row r="5985" spans="1:7" x14ac:dyDescent="0.25">
      <c r="A5985" s="69" t="s">
        <v>402</v>
      </c>
      <c r="B5985" s="72" t="str">
        <f>VLOOKUP(A5985,'Componentes APUs'!$A$1:$D$14,2,0)</f>
        <v>Bota de seguridad PVC dielectrica</v>
      </c>
      <c r="C5985" s="73"/>
      <c r="D5985" s="50" t="str">
        <f>VLOOKUP(A5985,'Componentes APUs'!$A$1:$D$14,3,0)</f>
        <v>Par</v>
      </c>
      <c r="E5985" s="50">
        <f>SUM(C5960:C5965)</f>
        <v>2.25</v>
      </c>
      <c r="F5985" s="51">
        <f>VLOOKUP(A5985,'Componentes APUs'!$A$1:$D$14,4,0)</f>
        <v>2916.6666666666665</v>
      </c>
      <c r="G5985" s="51">
        <f>ROUNDUP(F5985*(E5985/21)/E5949,0)</f>
        <v>79</v>
      </c>
    </row>
    <row r="5986" spans="1:7" x14ac:dyDescent="0.25">
      <c r="A5986" s="50" t="s">
        <v>403</v>
      </c>
      <c r="B5986" s="72" t="str">
        <f>VLOOKUP(A5986,'Componentes APUs'!$A$1:$D$14,2,0)</f>
        <v>Capuchon</v>
      </c>
      <c r="C5986" s="73"/>
      <c r="D5986" s="50" t="str">
        <f>VLOOKUP(A5986,'Componentes APUs'!$A$1:$D$14,3,0)</f>
        <v>U</v>
      </c>
      <c r="E5986" s="50">
        <f>SUM(C5960:C5965)</f>
        <v>2.25</v>
      </c>
      <c r="F5986" s="51">
        <f>VLOOKUP(A5986,'Componentes APUs'!$A$1:$D$14,4,0)</f>
        <v>2525.2525252525252</v>
      </c>
      <c r="G5986" s="51">
        <f>ROUNDUP(F5986*(E5986/21)/E5949,0)</f>
        <v>68</v>
      </c>
    </row>
    <row r="5987" spans="1:7" x14ac:dyDescent="0.25">
      <c r="A5987" s="69" t="s">
        <v>81</v>
      </c>
      <c r="B5987" s="72" t="str">
        <f>VLOOKUP(A5987,'Componentes APUs'!$A$1:$D$14,2,0)</f>
        <v>Guantes Protectores  - ingeniero reforzados</v>
      </c>
      <c r="C5987" s="73"/>
      <c r="D5987" s="50" t="str">
        <f>VLOOKUP(A5987,'Componentes APUs'!$A$1:$D$14,3,0)</f>
        <v>Par</v>
      </c>
      <c r="E5987" s="50">
        <f>C5962+C5963+C5965</f>
        <v>2</v>
      </c>
      <c r="F5987" s="51">
        <f>VLOOKUP(A5987,'Componentes APUs'!$A$1:$D$14,4,0)</f>
        <v>2525.2525252525252</v>
      </c>
      <c r="G5987" s="51">
        <f>ROUNDUP(F5987*(E5987/21)/E5949,0)</f>
        <v>61</v>
      </c>
    </row>
    <row r="5988" spans="1:7" x14ac:dyDescent="0.25">
      <c r="A5988" s="50" t="s">
        <v>83</v>
      </c>
      <c r="B5988" s="72" t="str">
        <f>VLOOKUP(A5988,'Componentes APUs'!$A$1:$D$14,2,0)</f>
        <v>Impermeable (pantalon camisa)</v>
      </c>
      <c r="C5988" s="73"/>
      <c r="D5988" s="50" t="str">
        <f>VLOOKUP(A5988,'Componentes APUs'!$A$1:$D$14,3,0)</f>
        <v>U</v>
      </c>
      <c r="E5988" s="50">
        <f>SUM(C5960:C5965)</f>
        <v>2.25</v>
      </c>
      <c r="F5988" s="51">
        <f>VLOOKUP(A5988,'Componentes APUs'!$A$1:$D$14,4,0)</f>
        <v>3750</v>
      </c>
      <c r="G5988" s="51">
        <f>ROUNDUP(F5988*(E5988/21)/E5949,0)</f>
        <v>101</v>
      </c>
    </row>
    <row r="5989" spans="1:7" x14ac:dyDescent="0.25">
      <c r="A5989" s="69" t="s">
        <v>85</v>
      </c>
      <c r="B5989" s="72" t="str">
        <f>VLOOKUP(A5989,'Componentes APUs'!$A$1:$D$14,2,0)</f>
        <v>Jean Dielectrico</v>
      </c>
      <c r="C5989" s="73"/>
      <c r="D5989" s="50" t="str">
        <f>VLOOKUP(A5989,'Componentes APUs'!$A$1:$D$14,3,0)</f>
        <v>U</v>
      </c>
      <c r="E5989" s="50">
        <f>SUM(C5960:C5965)</f>
        <v>2.25</v>
      </c>
      <c r="F5989" s="51">
        <f>VLOOKUP(A5989,'Componentes APUs'!$A$1:$D$14,4,0)</f>
        <v>7575.757575757576</v>
      </c>
      <c r="G5989" s="51">
        <f>ROUNDUP(F5989*(E5989/21)/E5949,0)</f>
        <v>203</v>
      </c>
    </row>
    <row r="5990" spans="1:7" x14ac:dyDescent="0.25">
      <c r="A5990" s="50" t="s">
        <v>87</v>
      </c>
      <c r="B5990" s="72" t="str">
        <f>VLOOKUP(A5990,'Componentes APUs'!$A$1:$D$14,2,0)</f>
        <v>Casco dielectrico Tipo 2 Clase E con barboquejo</v>
      </c>
      <c r="C5990" s="73"/>
      <c r="D5990" s="50" t="str">
        <f>VLOOKUP(A5990,'Componentes APUs'!$A$1:$D$14,3,0)</f>
        <v>U</v>
      </c>
      <c r="E5990" s="53">
        <f>IF(A5962="MO-3",C5962,0)</f>
        <v>0</v>
      </c>
      <c r="F5990" s="51">
        <f>VLOOKUP(A5990,'Componentes APUs'!$A$1:$D$14,4,0)</f>
        <v>7500</v>
      </c>
      <c r="G5990" s="51">
        <f>ROUNDUP(F5990*(E5990/21)/E5949,0)</f>
        <v>0</v>
      </c>
    </row>
    <row r="5991" spans="1:7" x14ac:dyDescent="0.25">
      <c r="A5991" s="69" t="s">
        <v>89</v>
      </c>
      <c r="B5991" s="72" t="str">
        <f>VLOOKUP(A5991,'Componentes APUs'!$A$1:$D$14,2,0)</f>
        <v>Kit de rescate para trabajo en alturas</v>
      </c>
      <c r="C5991" s="73"/>
      <c r="D5991" s="50" t="str">
        <f>VLOOKUP(A5991,'Componentes APUs'!$A$1:$D$14,3,0)</f>
        <v>U</v>
      </c>
      <c r="E5991" s="50">
        <f>IF(AND(A5962="MO-3",C5962=2),1,0)</f>
        <v>0</v>
      </c>
      <c r="F5991" s="51">
        <f>VLOOKUP(A5991,'Componentes APUs'!$A$1:$D$14,4,0)</f>
        <v>37500</v>
      </c>
      <c r="G5991" s="51">
        <f>ROUNDUP(F5991*(E5991/21)/E5949,0)</f>
        <v>0</v>
      </c>
    </row>
    <row r="5992" spans="1:7" x14ac:dyDescent="0.25">
      <c r="A5992" s="50" t="s">
        <v>91</v>
      </c>
      <c r="B5992" s="72" t="str">
        <f>VLOOKUP(A5992,'Componentes APUs'!$A$1:$D$14,2,0)</f>
        <v>Equipo completo para trabajo en alturas con pretales (Arnes dielectrico, 1 mosqueton de seguridad, tie off dielectrico, eslinga de posicionamiento, juego de pretales)</v>
      </c>
      <c r="C5992" s="73"/>
      <c r="D5992" s="50" t="str">
        <f>VLOOKUP(A5992,'Componentes APUs'!$A$1:$D$14,3,0)</f>
        <v>U</v>
      </c>
      <c r="E5992" s="50">
        <f>IF(A5962="MO-3",C5962,0)</f>
        <v>0</v>
      </c>
      <c r="F5992" s="51">
        <f>VLOOKUP(A5992,'Componentes APUs'!$A$1:$D$14,4,0)</f>
        <v>26041.666666666668</v>
      </c>
      <c r="G5992" s="51">
        <f>ROUNDUP(F5992*(E5992/21)/E5949,0)</f>
        <v>0</v>
      </c>
    </row>
    <row r="5993" spans="1:7" x14ac:dyDescent="0.25">
      <c r="A5993" s="219" t="s">
        <v>95</v>
      </c>
      <c r="B5993" s="219"/>
      <c r="C5993" s="219"/>
      <c r="D5993" s="219"/>
      <c r="E5993" s="219"/>
      <c r="F5993" s="219"/>
      <c r="G5993" s="52">
        <f>SUM(G5980:G5992)</f>
        <v>1391</v>
      </c>
    </row>
    <row r="5994" spans="1:7" x14ac:dyDescent="0.25">
      <c r="A5994" s="56"/>
      <c r="B5994" s="57"/>
      <c r="C5994" s="57"/>
      <c r="D5994" s="57"/>
      <c r="E5994" s="57"/>
      <c r="F5994" s="57"/>
      <c r="G5994" s="58"/>
    </row>
    <row r="5995" spans="1:7" x14ac:dyDescent="0.25">
      <c r="A5995" s="219" t="s">
        <v>96</v>
      </c>
      <c r="B5995" s="219"/>
      <c r="C5995" s="219"/>
      <c r="D5995" s="219"/>
      <c r="E5995" s="219"/>
      <c r="F5995" s="219"/>
      <c r="G5995" s="219"/>
    </row>
    <row r="5996" spans="1:7" x14ac:dyDescent="0.25">
      <c r="A5996" s="49" t="s">
        <v>35</v>
      </c>
      <c r="B5996" s="225" t="s">
        <v>36</v>
      </c>
      <c r="C5996" s="225"/>
      <c r="D5996" s="49" t="s">
        <v>37</v>
      </c>
      <c r="E5996" s="49" t="s">
        <v>38</v>
      </c>
      <c r="F5996" s="49" t="s">
        <v>39</v>
      </c>
      <c r="G5996" s="49" t="s">
        <v>40</v>
      </c>
    </row>
    <row r="5997" spans="1:7" x14ac:dyDescent="0.25">
      <c r="A5997" s="69" t="s">
        <v>97</v>
      </c>
      <c r="B5997" s="72" t="str">
        <f>VLOOKUP(A5997,'Componentes APUs'!$N$1:$Q$30,2,0)</f>
        <v>Camioneta</v>
      </c>
      <c r="C5997" s="73"/>
      <c r="D5997" s="70" t="str">
        <f>VLOOKUP(A5997,'Componentes APUs'!$N$1:$Q$30,3,0)</f>
        <v>U</v>
      </c>
      <c r="E5997" s="50">
        <v>1</v>
      </c>
      <c r="F5997" s="51">
        <f>VLOOKUP(A5997,'Componentes APUs'!$N$1:$Q$30,4,0)</f>
        <v>5500000</v>
      </c>
      <c r="G5997" s="51">
        <f>IFERROR(ROUNDUP(F5997*(E5997/21)/E5949,0),"-")</f>
        <v>65477</v>
      </c>
    </row>
    <row r="5998" spans="1:7" x14ac:dyDescent="0.25">
      <c r="A5998" s="50" t="s">
        <v>1473</v>
      </c>
      <c r="B5998" s="72" t="str">
        <f>VLOOKUP(A5998,'Componentes APUs'!$N$1:$Q$30,2,0)</f>
        <v>Concretera</v>
      </c>
      <c r="C5998" s="73"/>
      <c r="D5998" s="70" t="str">
        <f>VLOOKUP(A5998,'Componentes APUs'!$N$1:$Q$30,3,0)</f>
        <v>U</v>
      </c>
      <c r="E5998" s="50">
        <v>0</v>
      </c>
      <c r="F5998" s="51">
        <f>VLOOKUP(A5998,'Componentes APUs'!$N$1:$Q$30,4,0)</f>
        <v>550704</v>
      </c>
      <c r="G5998" s="51">
        <f>IFERROR(ROUNDUP(F5998*(E5998/21)/E5949,0),"-")</f>
        <v>0</v>
      </c>
    </row>
    <row r="5999" spans="1:7" x14ac:dyDescent="0.25">
      <c r="A5999" s="69" t="s">
        <v>1379</v>
      </c>
      <c r="B5999" s="72" t="str">
        <f>VLOOKUP(A5999,'Componentes APUs'!$N$1:$Q$30,2,0)</f>
        <v>Dumper de descarga Frontal 2T</v>
      </c>
      <c r="C5999" s="73"/>
      <c r="D5999" s="70" t="str">
        <f>VLOOKUP(A5999,'Componentes APUs'!$N$1:$Q$30,3,0)</f>
        <v>U</v>
      </c>
      <c r="E5999" s="50">
        <v>0</v>
      </c>
      <c r="F5999" s="51">
        <f>VLOOKUP(A5999,'Componentes APUs'!$N$1:$Q$30,4,0)</f>
        <v>4438716.24</v>
      </c>
      <c r="G5999" s="51">
        <f>IFERROR(ROUNDUP(F5999*(E5999/21)/E5949,0),"-")</f>
        <v>0</v>
      </c>
    </row>
    <row r="6000" spans="1:7" x14ac:dyDescent="0.25">
      <c r="A6000" s="50" t="s">
        <v>323</v>
      </c>
      <c r="B6000" s="72" t="str">
        <f>VLOOKUP(A6000,'Componentes APUs'!$N$1:$Q$30,2,0)</f>
        <v>Volqueta</v>
      </c>
      <c r="C6000" s="73"/>
      <c r="D6000" s="70" t="str">
        <f>VLOOKUP(A6000,'Componentes APUs'!$N$1:$Q$30,3,0)</f>
        <v>U</v>
      </c>
      <c r="E6000" s="50">
        <v>0</v>
      </c>
      <c r="F6000" s="51">
        <f>VLOOKUP(A6000,'Componentes APUs'!$N$1:$Q$30,4,0)</f>
        <v>14828184</v>
      </c>
      <c r="G6000" s="51">
        <f>IFERROR(ROUNDUP(F6000*(E6000/21)/E5949,0),"-")</f>
        <v>0</v>
      </c>
    </row>
    <row r="6001" spans="1:8" x14ac:dyDescent="0.25">
      <c r="A6001" s="69" t="s">
        <v>324</v>
      </c>
      <c r="B6001" s="72" t="str">
        <f>VLOOKUP(A6001,'Componentes APUs'!$N$1:$Q$30,2,0)</f>
        <v>Retroexcavadora</v>
      </c>
      <c r="C6001" s="73"/>
      <c r="D6001" s="70" t="str">
        <f>VLOOKUP(A6001,'Componentes APUs'!$N$1:$Q$30,3,0)</f>
        <v>U</v>
      </c>
      <c r="E6001" s="50">
        <v>0</v>
      </c>
      <c r="F6001" s="51">
        <f>VLOOKUP(A6001,'Componentes APUs'!$N$1:$Q$30,4,0)</f>
        <v>46030656</v>
      </c>
      <c r="G6001" s="51">
        <f>IFERROR(ROUNDUP(F6001*(E6001/21)/E5949,0),"-")</f>
        <v>0</v>
      </c>
    </row>
    <row r="6002" spans="1:8" x14ac:dyDescent="0.25">
      <c r="A6002" s="219" t="s">
        <v>99</v>
      </c>
      <c r="B6002" s="219"/>
      <c r="C6002" s="219"/>
      <c r="D6002" s="219"/>
      <c r="E6002" s="219"/>
      <c r="F6002" s="219"/>
      <c r="G6002" s="52">
        <f>SUM(G5997:G6001)</f>
        <v>65477</v>
      </c>
    </row>
    <row r="6003" spans="1:8" x14ac:dyDescent="0.25">
      <c r="A6003" s="56"/>
      <c r="B6003" s="57"/>
      <c r="C6003" s="57"/>
      <c r="D6003" s="57"/>
      <c r="E6003" s="57"/>
      <c r="F6003" s="57"/>
      <c r="G6003" s="58"/>
    </row>
    <row r="6004" spans="1:8" x14ac:dyDescent="0.25">
      <c r="A6004" s="219" t="s">
        <v>100</v>
      </c>
      <c r="B6004" s="219"/>
      <c r="C6004" s="219"/>
      <c r="D6004" s="219"/>
      <c r="E6004" s="219"/>
      <c r="F6004" s="219"/>
      <c r="G6004" s="52">
        <f>G6002+G5993+G5976+G5966+G5956</f>
        <v>10336877</v>
      </c>
    </row>
    <row r="6005" spans="1:8" x14ac:dyDescent="0.25">
      <c r="A6005" s="59"/>
      <c r="B6005" s="60"/>
      <c r="C6005" s="60"/>
      <c r="D6005" s="60"/>
      <c r="E6005" s="57"/>
      <c r="F6005" s="57"/>
      <c r="G6005" s="58"/>
    </row>
    <row r="6006" spans="1:8" x14ac:dyDescent="0.25">
      <c r="A6006" s="64"/>
      <c r="D6006" s="55"/>
      <c r="E6006" s="49" t="s">
        <v>25</v>
      </c>
      <c r="F6006" s="54">
        <v>0.15</v>
      </c>
      <c r="G6006" s="51">
        <f>G6004*F6006</f>
        <v>1550531.55</v>
      </c>
    </row>
    <row r="6007" spans="1:8" x14ac:dyDescent="0.25">
      <c r="A6007" s="64"/>
      <c r="D6007" s="55"/>
      <c r="E6007" s="49" t="s">
        <v>26</v>
      </c>
      <c r="F6007" s="54">
        <v>0.05</v>
      </c>
      <c r="G6007" s="51">
        <f>G6004*F6007</f>
        <v>516843.85000000003</v>
      </c>
    </row>
    <row r="6008" spans="1:8" x14ac:dyDescent="0.25">
      <c r="A6008" s="61"/>
      <c r="B6008" s="65"/>
      <c r="C6008" s="65"/>
      <c r="D6008" s="62"/>
      <c r="E6008" s="49" t="s">
        <v>27</v>
      </c>
      <c r="F6008" s="54">
        <v>0.05</v>
      </c>
      <c r="G6008" s="51">
        <f>G6004*F6008</f>
        <v>516843.85000000003</v>
      </c>
    </row>
    <row r="6009" spans="1:8" x14ac:dyDescent="0.25">
      <c r="A6009" s="61"/>
      <c r="B6009" s="62"/>
      <c r="C6009" s="62"/>
      <c r="D6009" s="62"/>
      <c r="E6009" s="62"/>
      <c r="F6009" s="62"/>
      <c r="G6009" s="63"/>
    </row>
    <row r="6010" spans="1:8" x14ac:dyDescent="0.25">
      <c r="A6010" s="219" t="s">
        <v>101</v>
      </c>
      <c r="B6010" s="219"/>
      <c r="C6010" s="219"/>
      <c r="D6010" s="219"/>
      <c r="E6010" s="219"/>
      <c r="F6010" s="219"/>
      <c r="G6010" s="52">
        <f>G6004+G6006+G6007+G6008</f>
        <v>12921096.25</v>
      </c>
    </row>
    <row r="6011" spans="1:8" x14ac:dyDescent="0.25">
      <c r="A6011" s="59"/>
      <c r="B6011" s="60"/>
      <c r="C6011" s="60"/>
      <c r="D6011" s="60"/>
      <c r="E6011" s="57"/>
      <c r="F6011" s="57"/>
      <c r="G6011" s="58"/>
    </row>
    <row r="6012" spans="1:8" x14ac:dyDescent="0.25">
      <c r="A6012" s="64"/>
      <c r="D6012" s="55"/>
      <c r="E6012" s="49" t="s">
        <v>102</v>
      </c>
      <c r="F6012" s="49" t="s">
        <v>103</v>
      </c>
      <c r="G6012" s="51">
        <f>G6008*19%</f>
        <v>98200.331500000015</v>
      </c>
    </row>
    <row r="6013" spans="1:8" x14ac:dyDescent="0.25">
      <c r="A6013" s="61"/>
      <c r="B6013" s="62"/>
      <c r="C6013" s="62"/>
      <c r="D6013" s="62"/>
      <c r="E6013" s="57"/>
      <c r="F6013" s="57"/>
      <c r="G6013" s="58"/>
    </row>
    <row r="6014" spans="1:8" x14ac:dyDescent="0.25">
      <c r="A6014" s="219" t="s">
        <v>104</v>
      </c>
      <c r="B6014" s="219"/>
      <c r="C6014" s="219"/>
      <c r="D6014" s="219"/>
      <c r="E6014" s="219"/>
      <c r="F6014" s="219"/>
      <c r="G6014" s="52">
        <f>G6012+G6010</f>
        <v>13019296.581499999</v>
      </c>
    </row>
    <row r="6016" spans="1:8" x14ac:dyDescent="0.25">
      <c r="A6016" s="74" t="s">
        <v>29</v>
      </c>
      <c r="B6016" s="226" t="s">
        <v>30</v>
      </c>
      <c r="C6016" s="226"/>
      <c r="D6016" s="74" t="s">
        <v>31</v>
      </c>
      <c r="E6016" s="74" t="s">
        <v>32</v>
      </c>
      <c r="F6016" s="74" t="s">
        <v>189</v>
      </c>
      <c r="G6016" s="74" t="s">
        <v>33</v>
      </c>
      <c r="H6016" s="105"/>
    </row>
    <row r="6017" spans="1:13" ht="27" customHeight="1" x14ac:dyDescent="0.25">
      <c r="A6017" s="50" t="str">
        <f>Presupuesto!B116</f>
        <v>097_OC</v>
      </c>
      <c r="B6017" s="229" t="str">
        <f>Presupuesto!C116</f>
        <v>RAMPA CONCRETO ENDURECIDO Y RANURADO  PARA INGRESO A CASETA (2,2 x 4 m)</v>
      </c>
      <c r="C6017" s="230"/>
      <c r="D6017" s="50" t="s">
        <v>8</v>
      </c>
      <c r="E6017" s="107">
        <v>4</v>
      </c>
      <c r="F6017" s="50"/>
      <c r="G6017" s="51">
        <f>G6084</f>
        <v>8496277.1630000006</v>
      </c>
      <c r="H6017" s="111"/>
    </row>
    <row r="6018" spans="1:13" x14ac:dyDescent="0.25">
      <c r="A6018" s="219" t="s">
        <v>34</v>
      </c>
      <c r="B6018" s="219"/>
      <c r="C6018" s="219"/>
      <c r="D6018" s="219"/>
      <c r="E6018" s="219"/>
      <c r="F6018" s="219"/>
      <c r="G6018" s="219"/>
    </row>
    <row r="6019" spans="1:13" ht="30.75" customHeight="1" x14ac:dyDescent="0.25">
      <c r="A6019" s="49" t="s">
        <v>35</v>
      </c>
      <c r="B6019" s="219" t="s">
        <v>36</v>
      </c>
      <c r="C6019" s="219"/>
      <c r="D6019" s="49" t="s">
        <v>37</v>
      </c>
      <c r="E6019" s="49" t="s">
        <v>38</v>
      </c>
      <c r="F6019" s="49" t="s">
        <v>39</v>
      </c>
      <c r="G6019" s="49" t="s">
        <v>40</v>
      </c>
      <c r="K6019" s="23"/>
      <c r="L6019" s="23"/>
    </row>
    <row r="6020" spans="1:13" x14ac:dyDescent="0.25">
      <c r="A6020" s="50" t="str">
        <f>Material!A15</f>
        <v>MA-14</v>
      </c>
      <c r="B6020" s="72" t="str">
        <f>IFERROR(VLOOKUP(A6020,Material!$A:$H,2,0),"-")</f>
        <v>CONCRETO DE 3000 PSI</v>
      </c>
      <c r="C6020" s="76"/>
      <c r="D6020" s="50" t="str">
        <f>IFERROR(VLOOKUP(A6020,Material!$A:$H,4,0),"-")</f>
        <v>M3</v>
      </c>
      <c r="E6020" s="107">
        <f>1.25*2.2</f>
        <v>2.75</v>
      </c>
      <c r="F6020" s="51">
        <f>IFERROR(VLOOKUP(A6020,Material!$A:$H,3,0),"-")</f>
        <v>620227.23330691375</v>
      </c>
      <c r="G6020" s="51">
        <f t="shared" ref="G6020:G6025" si="106">IFERROR(ROUNDUP(F6020*E6020,0),"-")</f>
        <v>1705625</v>
      </c>
      <c r="H6020" s="112"/>
      <c r="I6020" s="110"/>
      <c r="J6020" s="113"/>
      <c r="K6020" s="114"/>
      <c r="L6020" s="115"/>
      <c r="M6020" s="115"/>
    </row>
    <row r="6021" spans="1:13" x14ac:dyDescent="0.25">
      <c r="A6021" s="50" t="str">
        <f>Material!A604</f>
        <v>MA-603</v>
      </c>
      <c r="B6021" s="72" t="str">
        <f>IFERROR(VLOOKUP(A6021,Material!$A:$H,2,0),"-")</f>
        <v>ACERO Fy= 240 MPa</v>
      </c>
      <c r="C6021" s="76"/>
      <c r="D6021" s="50" t="str">
        <f>IFERROR(VLOOKUP(A6021,Material!$A:$H,4,0),"-")</f>
        <v>KG</v>
      </c>
      <c r="E6021" s="107">
        <f>E6020*200</f>
        <v>550</v>
      </c>
      <c r="F6021" s="51">
        <f>IFERROR(VLOOKUP(A6021,Material!$A:$H,3,0),"-")</f>
        <v>7341.1</v>
      </c>
      <c r="G6021" s="51">
        <f t="shared" si="106"/>
        <v>4037605</v>
      </c>
      <c r="H6021" s="112"/>
      <c r="I6021" s="110"/>
      <c r="J6021" s="113"/>
      <c r="K6021" s="114"/>
      <c r="L6021" s="115"/>
      <c r="M6021" s="115"/>
    </row>
    <row r="6022" spans="1:13" x14ac:dyDescent="0.25">
      <c r="A6022" s="50" t="str">
        <f>Material!A218</f>
        <v>MA-217</v>
      </c>
      <c r="B6022" s="72" t="str">
        <f>IFERROR(VLOOKUP(A6022,Material!$A:$H,2,0),"-")</f>
        <v>FORMALETA EN MADERA CON TABLA DE 1"</v>
      </c>
      <c r="C6022" s="76"/>
      <c r="D6022" s="50" t="str">
        <f>IFERROR(VLOOKUP(A6022,Material!$A:$H,4,0),"-")</f>
        <v>M2</v>
      </c>
      <c r="E6022" s="107">
        <f>9*2.2</f>
        <v>19.8</v>
      </c>
      <c r="F6022" s="51">
        <f>IFERROR(VLOOKUP(A6022,Material!$A:$H,3,0),"-")</f>
        <v>24691.116165303549</v>
      </c>
      <c r="G6022" s="51">
        <f t="shared" si="106"/>
        <v>488885</v>
      </c>
      <c r="H6022" s="112"/>
      <c r="I6022" s="110"/>
      <c r="J6022" s="113"/>
      <c r="K6022" s="114"/>
      <c r="L6022" s="115"/>
      <c r="M6022" s="115"/>
    </row>
    <row r="6023" spans="1:13" ht="27.75" customHeight="1" x14ac:dyDescent="0.25">
      <c r="A6023" s="50" t="str">
        <f>Material!A18</f>
        <v>MA-17</v>
      </c>
      <c r="B6023" s="232" t="str">
        <f>IFERROR(VLOOKUP(A6023,Material!$A:$H,2,0),"-")</f>
        <v>EXCAVACIÓN EN MATERIAL COMÚN BAJO AGUA DE 0 - 2 M MANUAL</v>
      </c>
      <c r="C6023" s="233"/>
      <c r="D6023" s="50" t="str">
        <f>IFERROR(VLOOKUP(A6023,Material!$A:$H,4,0),"-")</f>
        <v>M3</v>
      </c>
      <c r="E6023" s="107">
        <f>3.5*2.2</f>
        <v>7.7000000000000011</v>
      </c>
      <c r="F6023" s="51">
        <f>IFERROR(VLOOKUP(A6023,Material!$A:$H,3,0),"-")</f>
        <v>45663.8</v>
      </c>
      <c r="G6023" s="51">
        <f t="shared" ref="G6023" si="107">IFERROR(ROUNDUP(F6023*E6023,0),"-")</f>
        <v>351612</v>
      </c>
      <c r="H6023" s="112"/>
      <c r="I6023" s="110"/>
      <c r="J6023" s="113"/>
      <c r="K6023" s="114"/>
      <c r="L6023" s="115"/>
      <c r="M6023" s="115"/>
    </row>
    <row r="6024" spans="1:13" x14ac:dyDescent="0.25">
      <c r="A6024" s="50"/>
      <c r="B6024" s="72" t="str">
        <f>IFERROR(VLOOKUP(A6024,Material!$A:$H,2,0),"-")</f>
        <v>-</v>
      </c>
      <c r="C6024" s="76"/>
      <c r="D6024" s="50" t="str">
        <f>IFERROR(VLOOKUP(A6024,Material!$A:$H,4,0),"-")</f>
        <v>-</v>
      </c>
      <c r="E6024" s="107"/>
      <c r="F6024" s="51" t="str">
        <f>IFERROR(VLOOKUP(A6024,Material!$A:$H,3,0),"-")</f>
        <v>-</v>
      </c>
      <c r="G6024" s="51" t="str">
        <f t="shared" si="106"/>
        <v>-</v>
      </c>
      <c r="H6024" s="112"/>
      <c r="I6024" s="110"/>
      <c r="J6024" s="113"/>
      <c r="K6024" s="114"/>
      <c r="L6024" s="115"/>
      <c r="M6024" s="115"/>
    </row>
    <row r="6025" spans="1:13" x14ac:dyDescent="0.25">
      <c r="A6025" s="50"/>
      <c r="B6025" s="72" t="str">
        <f>IFERROR(VLOOKUP(A6025,Material!$A:$H,2,0),"-")</f>
        <v>-</v>
      </c>
      <c r="C6025" s="76"/>
      <c r="D6025" s="50" t="str">
        <f>IFERROR(VLOOKUP(A6025,Material!$A:$H,4,0),"-")</f>
        <v>-</v>
      </c>
      <c r="E6025" s="107"/>
      <c r="F6025" s="51" t="str">
        <f>IFERROR(VLOOKUP(A6025,Material!$A:$H,3,0),"-")</f>
        <v>-</v>
      </c>
      <c r="G6025" s="51" t="str">
        <f t="shared" si="106"/>
        <v>-</v>
      </c>
      <c r="H6025" s="112"/>
      <c r="I6025" s="110"/>
      <c r="J6025" s="113"/>
      <c r="K6025" s="114"/>
      <c r="L6025" s="115"/>
      <c r="M6025" s="114"/>
    </row>
    <row r="6026" spans="1:13" x14ac:dyDescent="0.25">
      <c r="A6026" s="219" t="s">
        <v>41</v>
      </c>
      <c r="B6026" s="219"/>
      <c r="C6026" s="219"/>
      <c r="D6026" s="219"/>
      <c r="E6026" s="219"/>
      <c r="F6026" s="219"/>
      <c r="G6026" s="52">
        <f>SUM(G6020:G6025)</f>
        <v>6583727</v>
      </c>
      <c r="I6026" s="104"/>
    </row>
    <row r="6027" spans="1:13" x14ac:dyDescent="0.25">
      <c r="A6027" s="56"/>
      <c r="B6027" s="57"/>
      <c r="C6027" s="57"/>
      <c r="D6027" s="57"/>
      <c r="E6027" s="57"/>
      <c r="F6027" s="57"/>
      <c r="G6027" s="58"/>
    </row>
    <row r="6028" spans="1:13" x14ac:dyDescent="0.25">
      <c r="A6028" s="219" t="s">
        <v>42</v>
      </c>
      <c r="B6028" s="219"/>
      <c r="C6028" s="219"/>
      <c r="D6028" s="219"/>
      <c r="E6028" s="219"/>
      <c r="F6028" s="219"/>
      <c r="G6028" s="219"/>
    </row>
    <row r="6029" spans="1:13" x14ac:dyDescent="0.25">
      <c r="A6029" s="49" t="s">
        <v>35</v>
      </c>
      <c r="B6029" s="49" t="s">
        <v>36</v>
      </c>
      <c r="C6029" s="49" t="s">
        <v>38</v>
      </c>
      <c r="D6029" s="49" t="s">
        <v>43</v>
      </c>
      <c r="E6029" s="49" t="s">
        <v>44</v>
      </c>
      <c r="F6029" s="49" t="s">
        <v>45</v>
      </c>
      <c r="G6029" s="49" t="s">
        <v>40</v>
      </c>
    </row>
    <row r="6030" spans="1:13" x14ac:dyDescent="0.25">
      <c r="A6030" s="50" t="s">
        <v>319</v>
      </c>
      <c r="B6030" s="68" t="str">
        <f>VLOOKUP(A6030,'Componentes APUs'!$H$1:$L$25,2,0)</f>
        <v>Ingeniero Residente de Obra</v>
      </c>
      <c r="C6030" s="93">
        <v>0</v>
      </c>
      <c r="D6030" s="50">
        <f>VLOOKUP(A6030,'Componentes APUs'!$H$1:$L$25,3,0)</f>
        <v>4</v>
      </c>
      <c r="E6030" s="51">
        <f>VLOOKUP(A6030,'Componentes APUs'!$H$1:$L$25,4,0)</f>
        <v>271142.85714285716</v>
      </c>
      <c r="F6030" s="51">
        <f>VLOOKUP(A6030,'Componentes APUs'!$H$1:$L$25,5,0)</f>
        <v>162685.71428571429</v>
      </c>
      <c r="G6030" s="51">
        <f>ROUNDUP((E6030+F6030)*C6030/E6017,0)</f>
        <v>0</v>
      </c>
      <c r="H6030" s="66"/>
    </row>
    <row r="6031" spans="1:13" x14ac:dyDescent="0.25">
      <c r="A6031" s="50" t="s">
        <v>320</v>
      </c>
      <c r="B6031" s="68" t="str">
        <f>VLOOKUP(A6031,'Componentes APUs'!$H$1:$L$25,2,0)</f>
        <v>Tecnico Supervisor</v>
      </c>
      <c r="C6031" s="93">
        <v>0</v>
      </c>
      <c r="D6031" s="50">
        <f>VLOOKUP(A6031,'Componentes APUs'!$H$1:$L$25,3,0)</f>
        <v>2.2999999999999998</v>
      </c>
      <c r="E6031" s="51">
        <f>VLOOKUP(A6031,'Componentes APUs'!$H$1:$L$25,4,0)</f>
        <v>155907.14285714284</v>
      </c>
      <c r="F6031" s="51">
        <f>VLOOKUP(A6031,'Componentes APUs'!$H$1:$L$25,5,0)</f>
        <v>93544.285714285696</v>
      </c>
      <c r="G6031" s="51">
        <f>ROUNDUP((E6031+F6031)*C6031/E6017,0)</f>
        <v>0</v>
      </c>
    </row>
    <row r="6032" spans="1:13" x14ac:dyDescent="0.25">
      <c r="A6032" s="50" t="s">
        <v>54</v>
      </c>
      <c r="B6032" s="68" t="str">
        <f>VLOOKUP(A6032,'Componentes APUs'!$H$1:$L$25,2,0)</f>
        <v>Maestro de obra civil</v>
      </c>
      <c r="C6032" s="93">
        <v>0</v>
      </c>
      <c r="D6032" s="50">
        <f>VLOOKUP(A6032,'Componentes APUs'!$H$1:$L$25,3,0)</f>
        <v>2.5</v>
      </c>
      <c r="E6032" s="51">
        <f>VLOOKUP(A6032,'Componentes APUs'!$H$1:$L$25,4,0)</f>
        <v>169464.28571428571</v>
      </c>
      <c r="F6032" s="51">
        <f>VLOOKUP(A6032,'Componentes APUs'!$H$1:$L$25,5,0)</f>
        <v>101678.57142857142</v>
      </c>
      <c r="G6032" s="51">
        <f>ROUNDUP((E6032+F6032)*C6032/E6017,0)</f>
        <v>0</v>
      </c>
    </row>
    <row r="6033" spans="1:9" x14ac:dyDescent="0.25">
      <c r="A6033" s="50" t="s">
        <v>1110</v>
      </c>
      <c r="B6033" s="68" t="str">
        <f>VLOOKUP(A6033,'Componentes APUs'!$H$1:$L$25,2,0)</f>
        <v>Oficial de Obra Civil</v>
      </c>
      <c r="C6033" s="93">
        <v>1</v>
      </c>
      <c r="D6033" s="50">
        <f>VLOOKUP(A6033,'Componentes APUs'!$H$1:$L$25,3,0)</f>
        <v>1.5</v>
      </c>
      <c r="E6033" s="51">
        <f>VLOOKUP(A6033,'Componentes APUs'!$H$1:$L$25,4,0)</f>
        <v>115964.28571428571</v>
      </c>
      <c r="F6033" s="51">
        <f>VLOOKUP(A6033,'Componentes APUs'!$H$1:$L$25,5,0)</f>
        <v>69578.57142857142</v>
      </c>
      <c r="G6033" s="51">
        <f>ROUNDUP((E6033+F6033)*C6033/E6017,0)</f>
        <v>46386</v>
      </c>
    </row>
    <row r="6034" spans="1:9" x14ac:dyDescent="0.25">
      <c r="A6034" s="50" t="s">
        <v>50</v>
      </c>
      <c r="B6034" s="68" t="str">
        <f>VLOOKUP(A6034,'Componentes APUs'!$H$1:$L$25,2,0)</f>
        <v>Profesional en SST</v>
      </c>
      <c r="C6034" s="93">
        <v>0.25</v>
      </c>
      <c r="D6034" s="50">
        <f>VLOOKUP(A6034,'Componentes APUs'!$H$1:$L$25,3,0)</f>
        <v>2.5</v>
      </c>
      <c r="E6034" s="51">
        <f>VLOOKUP(A6034,'Componentes APUs'!$H$1:$L$25,4,0)</f>
        <v>169464.28571428571</v>
      </c>
      <c r="F6034" s="51">
        <f>VLOOKUP(A6034,'Componentes APUs'!$H$1:$L$25,5,0)</f>
        <v>101678.57142857142</v>
      </c>
      <c r="G6034" s="51">
        <f>ROUNDUP((E6034+F6034)*C6034/E6017,0)</f>
        <v>16947</v>
      </c>
    </row>
    <row r="6035" spans="1:9" x14ac:dyDescent="0.25">
      <c r="A6035" s="50" t="s">
        <v>1109</v>
      </c>
      <c r="B6035" s="68" t="str">
        <f>VLOOKUP(A6035,'Componentes APUs'!$H$1:$L$25,2,0)</f>
        <v>Ayudante de Obra Civil</v>
      </c>
      <c r="C6035" s="93">
        <v>1</v>
      </c>
      <c r="D6035" s="50">
        <f>VLOOKUP(A6035,'Componentes APUs'!$H$1:$L$25,3,0)</f>
        <v>1</v>
      </c>
      <c r="E6035" s="51">
        <f>VLOOKUP(A6035,'Componentes APUs'!$H$1:$L$25,4,0)</f>
        <v>77309.523809523816</v>
      </c>
      <c r="F6035" s="51">
        <f>VLOOKUP(A6035,'Componentes APUs'!$H$1:$L$25,5,0)</f>
        <v>46385.71428571429</v>
      </c>
      <c r="G6035" s="51">
        <f>ROUNDUP((E6035+F6035)*C6035/E6017,0)</f>
        <v>30924</v>
      </c>
    </row>
    <row r="6036" spans="1:9" x14ac:dyDescent="0.25">
      <c r="A6036" s="219" t="s">
        <v>56</v>
      </c>
      <c r="B6036" s="219"/>
      <c r="C6036" s="219"/>
      <c r="D6036" s="219"/>
      <c r="E6036" s="219"/>
      <c r="F6036" s="219"/>
      <c r="G6036" s="52">
        <f>SUM(G6030:G6035)</f>
        <v>94257</v>
      </c>
    </row>
    <row r="6037" spans="1:9" x14ac:dyDescent="0.25">
      <c r="A6037" s="56"/>
      <c r="B6037" s="57"/>
      <c r="C6037" s="57"/>
      <c r="D6037" s="57"/>
      <c r="E6037" s="57"/>
      <c r="F6037" s="57"/>
      <c r="G6037" s="58"/>
    </row>
    <row r="6038" spans="1:9" x14ac:dyDescent="0.25">
      <c r="A6038" s="219" t="s">
        <v>57</v>
      </c>
      <c r="B6038" s="219"/>
      <c r="C6038" s="219"/>
      <c r="D6038" s="219"/>
      <c r="E6038" s="219"/>
      <c r="F6038" s="219"/>
      <c r="G6038" s="219"/>
    </row>
    <row r="6039" spans="1:9" x14ac:dyDescent="0.25">
      <c r="A6039" s="49" t="s">
        <v>35</v>
      </c>
      <c r="B6039" s="219" t="s">
        <v>36</v>
      </c>
      <c r="C6039" s="219"/>
      <c r="D6039" s="49" t="s">
        <v>37</v>
      </c>
      <c r="E6039" s="49" t="s">
        <v>38</v>
      </c>
      <c r="F6039" s="49" t="s">
        <v>39</v>
      </c>
      <c r="G6039" s="49" t="s">
        <v>40</v>
      </c>
    </row>
    <row r="6040" spans="1:9" x14ac:dyDescent="0.25">
      <c r="A6040" s="50" t="s">
        <v>326</v>
      </c>
      <c r="B6040" s="220" t="str">
        <f>VLOOKUP(A6040,'Componentes APUs'!$S$1:$V$10,2,0)</f>
        <v>Juego Llaves</v>
      </c>
      <c r="C6040" s="220"/>
      <c r="D6040" s="50" t="s">
        <v>18</v>
      </c>
      <c r="E6040" s="50">
        <v>0</v>
      </c>
      <c r="F6040" s="51">
        <f>VLOOKUP(A6040,'Componentes APUs'!$S$1:$V$10,4,0)</f>
        <v>9167</v>
      </c>
      <c r="G6040" s="51">
        <f>ROUNDUP(F6040*((E6040/21)/E6017),0)</f>
        <v>0</v>
      </c>
      <c r="I6040" s="91"/>
    </row>
    <row r="6041" spans="1:9" x14ac:dyDescent="0.25">
      <c r="A6041" s="50" t="s">
        <v>58</v>
      </c>
      <c r="B6041" s="220" t="str">
        <f>VLOOKUP(A6041,'Componentes APUs'!$S$1:$V$10,2,0)</f>
        <v>Manila de servicio</v>
      </c>
      <c r="C6041" s="220"/>
      <c r="D6041" s="50" t="s">
        <v>18</v>
      </c>
      <c r="E6041" s="50">
        <v>0</v>
      </c>
      <c r="F6041" s="51">
        <f>VLOOKUP(A6041,'Componentes APUs'!$S$1:$V$10,4,0)</f>
        <v>2333</v>
      </c>
      <c r="G6041" s="51">
        <f>ROUNDUP(F6041*((E6041/21)/E6017),0)</f>
        <v>0</v>
      </c>
    </row>
    <row r="6042" spans="1:9" x14ac:dyDescent="0.25">
      <c r="A6042" s="50" t="s">
        <v>327</v>
      </c>
      <c r="B6042" s="220" t="str">
        <f>VLOOKUP(A6042,'Componentes APUs'!$S$1:$V$10,2,0)</f>
        <v>Tula portaherramientas</v>
      </c>
      <c r="C6042" s="220"/>
      <c r="D6042" s="50" t="s">
        <v>18</v>
      </c>
      <c r="E6042" s="50">
        <v>0</v>
      </c>
      <c r="F6042" s="51">
        <f>VLOOKUP(A6042,'Componentes APUs'!$S$1:$V$10,4,0)</f>
        <v>1250</v>
      </c>
      <c r="G6042" s="51">
        <f>ROUNDUP(F6042*((E6042/21)/E6017),0)</f>
        <v>0</v>
      </c>
    </row>
    <row r="6043" spans="1:9" x14ac:dyDescent="0.25">
      <c r="A6043" s="50" t="s">
        <v>60</v>
      </c>
      <c r="B6043" s="220" t="str">
        <f>VLOOKUP(A6043,'Componentes APUs'!$S$1:$V$10,2,0)</f>
        <v>Agarradoras</v>
      </c>
      <c r="C6043" s="220"/>
      <c r="D6043" s="50" t="s">
        <v>18</v>
      </c>
      <c r="E6043" s="50">
        <v>0</v>
      </c>
      <c r="F6043" s="51">
        <f>VLOOKUP(A6043,'Componentes APUs'!$S$1:$V$10,4,0)</f>
        <v>125000</v>
      </c>
      <c r="G6043" s="51">
        <f>ROUNDUP(F6043*((E6043/21)/E6017),0)</f>
        <v>0</v>
      </c>
    </row>
    <row r="6044" spans="1:9" x14ac:dyDescent="0.25">
      <c r="A6044" s="50" t="s">
        <v>62</v>
      </c>
      <c r="B6044" s="220" t="str">
        <f>VLOOKUP(A6044,'Componentes APUs'!$S$1:$V$10,2,0)</f>
        <v>Templadoras</v>
      </c>
      <c r="C6044" s="220"/>
      <c r="D6044" s="50" t="s">
        <v>18</v>
      </c>
      <c r="E6044" s="50">
        <v>0</v>
      </c>
      <c r="F6044" s="51">
        <f>VLOOKUP(A6044,'Componentes APUs'!$S$1:$V$10,4,0)</f>
        <v>250000</v>
      </c>
      <c r="G6044" s="51">
        <f>ROUNDUP(F6044*((E6044/21)/E6017),0)</f>
        <v>0</v>
      </c>
    </row>
    <row r="6045" spans="1:9" x14ac:dyDescent="0.25">
      <c r="A6045" s="50" t="s">
        <v>328</v>
      </c>
      <c r="B6045" s="220" t="str">
        <f>VLOOKUP(A6045,'Componentes APUs'!$S$1:$V$10,2,0)</f>
        <v>Herramienta Menor</v>
      </c>
      <c r="C6045" s="220"/>
      <c r="D6045" s="50" t="s">
        <v>18</v>
      </c>
      <c r="E6045" s="50">
        <v>1</v>
      </c>
      <c r="F6045" s="51">
        <f>VLOOKUP(A6045,'Componentes APUs'!$S$1:$V$10,4,0)</f>
        <v>75758</v>
      </c>
      <c r="G6045" s="51">
        <f>ROUNDUP(F6045*((E6045/21)/E6017),0)</f>
        <v>902</v>
      </c>
    </row>
    <row r="6046" spans="1:9" x14ac:dyDescent="0.25">
      <c r="A6046" s="219" t="s">
        <v>69</v>
      </c>
      <c r="B6046" s="219"/>
      <c r="C6046" s="219"/>
      <c r="D6046" s="219"/>
      <c r="E6046" s="219"/>
      <c r="F6046" s="219"/>
      <c r="G6046" s="52">
        <f>SUM(G6040:G6045)</f>
        <v>902</v>
      </c>
    </row>
    <row r="6047" spans="1:9" x14ac:dyDescent="0.25">
      <c r="A6047" s="56"/>
      <c r="B6047" s="57"/>
      <c r="C6047" s="57"/>
      <c r="D6047" s="57"/>
      <c r="E6047" s="57"/>
      <c r="F6047" s="57"/>
      <c r="G6047" s="58"/>
    </row>
    <row r="6048" spans="1:9" x14ac:dyDescent="0.25">
      <c r="A6048" s="219" t="s">
        <v>70</v>
      </c>
      <c r="B6048" s="219"/>
      <c r="C6048" s="219"/>
      <c r="D6048" s="219"/>
      <c r="E6048" s="219"/>
      <c r="F6048" s="219"/>
      <c r="G6048" s="219"/>
    </row>
    <row r="6049" spans="1:9" x14ac:dyDescent="0.25">
      <c r="A6049" s="49" t="s">
        <v>35</v>
      </c>
      <c r="B6049" s="219" t="s">
        <v>36</v>
      </c>
      <c r="C6049" s="219"/>
      <c r="D6049" s="49" t="s">
        <v>37</v>
      </c>
      <c r="E6049" s="49" t="s">
        <v>38</v>
      </c>
      <c r="F6049" s="49" t="s">
        <v>39</v>
      </c>
      <c r="G6049" s="49" t="s">
        <v>40</v>
      </c>
    </row>
    <row r="6050" spans="1:9" x14ac:dyDescent="0.25">
      <c r="A6050" s="50" t="s">
        <v>71</v>
      </c>
      <c r="B6050" s="71" t="str">
        <f>VLOOKUP(A6050,'Componentes APUs'!$A$1:$D$14,2,0)</f>
        <v>Camisa indigo sin partes metalicas</v>
      </c>
      <c r="C6050" s="71"/>
      <c r="D6050" s="50" t="str">
        <f>VLOOKUP(A6050,'Componentes APUs'!$A$1:$D$14,3,0)</f>
        <v>U</v>
      </c>
      <c r="E6050" s="50">
        <f>SUM(C6030:C6035)</f>
        <v>2.25</v>
      </c>
      <c r="F6050" s="51">
        <f>VLOOKUP(A6050,'Componentes APUs'!$A$1:$D$14,4,0)</f>
        <v>8585.8585858585866</v>
      </c>
      <c r="G6050" s="51">
        <f>ROUNDUP(F6050*(E6050/21)/E6017,0)</f>
        <v>230</v>
      </c>
      <c r="I6050" s="91"/>
    </row>
    <row r="6051" spans="1:9" x14ac:dyDescent="0.25">
      <c r="A6051" s="69" t="s">
        <v>73</v>
      </c>
      <c r="B6051" s="72" t="str">
        <f>VLOOKUP(A6051,'Componentes APUs'!$A$1:$D$14,2,0)</f>
        <v>Bota de seguridad dielectrica</v>
      </c>
      <c r="C6051" s="73"/>
      <c r="D6051" s="70" t="str">
        <f>VLOOKUP(A6051,'Componentes APUs'!$A$1:$D$14,3,0)</f>
        <v>Par</v>
      </c>
      <c r="E6051" s="50">
        <f>SUM(C6030:C6035)</f>
        <v>2.25</v>
      </c>
      <c r="F6051" s="51">
        <f>VLOOKUP(A6051,'Componentes APUs'!$A$1:$D$14,4,0)</f>
        <v>7500</v>
      </c>
      <c r="G6051" s="51">
        <f>ROUNDUP(F6051*(E6051/21)/E6017,0)</f>
        <v>201</v>
      </c>
    </row>
    <row r="6052" spans="1:9" x14ac:dyDescent="0.25">
      <c r="A6052" s="50" t="s">
        <v>76</v>
      </c>
      <c r="B6052" s="72" t="str">
        <f>VLOOKUP(A6052,'Componentes APUs'!$A$1:$D$14,2,0)</f>
        <v>Casco dielectrico Tipo 1 Clase E con barbuquejo</v>
      </c>
      <c r="C6052" s="73"/>
      <c r="D6052" s="50" t="str">
        <f>VLOOKUP(A6052,'Componentes APUs'!$A$1:$D$14,3,0)</f>
        <v>U</v>
      </c>
      <c r="E6052" s="50">
        <f>C6030+C6031+C6033+C6034+C6035+IF(A6032&lt;&gt;"MO-3",C6032,0)</f>
        <v>2.25</v>
      </c>
      <c r="F6052" s="51">
        <f>VLOOKUP(A6052,'Componentes APUs'!$A$1:$D$14,4,0)</f>
        <v>10101.010101010101</v>
      </c>
      <c r="G6052" s="51">
        <f>ROUNDUP(F6052*(E6052/21)/E6017,0)</f>
        <v>271</v>
      </c>
    </row>
    <row r="6053" spans="1:9" x14ac:dyDescent="0.25">
      <c r="A6053" s="69" t="s">
        <v>77</v>
      </c>
      <c r="B6053" s="72" t="str">
        <f>VLOOKUP(A6053,'Componentes APUs'!$A$1:$D$14,2,0)</f>
        <v>Correa plastica y antiflama</v>
      </c>
      <c r="C6053" s="73"/>
      <c r="D6053" s="50" t="str">
        <f>VLOOKUP(A6053,'Componentes APUs'!$A$1:$D$14,3,0)</f>
        <v>U</v>
      </c>
      <c r="E6053" s="50">
        <f>SUM(C6030:C6035)</f>
        <v>2.25</v>
      </c>
      <c r="F6053" s="51">
        <f>VLOOKUP(A6053,'Componentes APUs'!$A$1:$D$14,4,0)</f>
        <v>3787.878787878788</v>
      </c>
      <c r="G6053" s="51">
        <f>ROUNDUP(F6053*(E6053/21)/E6017,0)</f>
        <v>102</v>
      </c>
    </row>
    <row r="6054" spans="1:9" x14ac:dyDescent="0.25">
      <c r="A6054" s="50" t="s">
        <v>79</v>
      </c>
      <c r="B6054" s="72" t="str">
        <f>VLOOKUP(A6054,'Componentes APUs'!$A$1:$D$14,2,0)</f>
        <v>Gafas protectoras filtro UV</v>
      </c>
      <c r="C6054" s="73"/>
      <c r="D6054" s="50" t="str">
        <f>VLOOKUP(A6054,'Componentes APUs'!$A$1:$D$14,3,0)</f>
        <v>U</v>
      </c>
      <c r="E6054" s="50">
        <f>SUM(C6030:C6035)</f>
        <v>2.25</v>
      </c>
      <c r="F6054" s="51">
        <f>VLOOKUP(A6054,'Componentes APUs'!$A$1:$D$14,4,0)</f>
        <v>2777.7777777777778</v>
      </c>
      <c r="G6054" s="51">
        <f>ROUNDUP(F6054*(E6054/21)/E6017,0)</f>
        <v>75</v>
      </c>
    </row>
    <row r="6055" spans="1:9" x14ac:dyDescent="0.25">
      <c r="A6055" s="69" t="s">
        <v>402</v>
      </c>
      <c r="B6055" s="72" t="str">
        <f>VLOOKUP(A6055,'Componentes APUs'!$A$1:$D$14,2,0)</f>
        <v>Bota de seguridad PVC dielectrica</v>
      </c>
      <c r="C6055" s="73"/>
      <c r="D6055" s="50" t="str">
        <f>VLOOKUP(A6055,'Componentes APUs'!$A$1:$D$14,3,0)</f>
        <v>Par</v>
      </c>
      <c r="E6055" s="50">
        <f>SUM(C6030:C6035)</f>
        <v>2.25</v>
      </c>
      <c r="F6055" s="51">
        <f>VLOOKUP(A6055,'Componentes APUs'!$A$1:$D$14,4,0)</f>
        <v>2916.6666666666665</v>
      </c>
      <c r="G6055" s="51">
        <f>ROUNDUP(F6055*(E6055/21)/E6017,0)</f>
        <v>79</v>
      </c>
    </row>
    <row r="6056" spans="1:9" x14ac:dyDescent="0.25">
      <c r="A6056" s="50" t="s">
        <v>403</v>
      </c>
      <c r="B6056" s="72" t="str">
        <f>VLOOKUP(A6056,'Componentes APUs'!$A$1:$D$14,2,0)</f>
        <v>Capuchon</v>
      </c>
      <c r="C6056" s="73"/>
      <c r="D6056" s="50" t="str">
        <f>VLOOKUP(A6056,'Componentes APUs'!$A$1:$D$14,3,0)</f>
        <v>U</v>
      </c>
      <c r="E6056" s="50">
        <f>SUM(C6030:C6035)</f>
        <v>2.25</v>
      </c>
      <c r="F6056" s="51">
        <f>VLOOKUP(A6056,'Componentes APUs'!$A$1:$D$14,4,0)</f>
        <v>2525.2525252525252</v>
      </c>
      <c r="G6056" s="51">
        <f>ROUNDUP(F6056*(E6056/21)/E6017,0)</f>
        <v>68</v>
      </c>
    </row>
    <row r="6057" spans="1:9" x14ac:dyDescent="0.25">
      <c r="A6057" s="69" t="s">
        <v>81</v>
      </c>
      <c r="B6057" s="72" t="str">
        <f>VLOOKUP(A6057,'Componentes APUs'!$A$1:$D$14,2,0)</f>
        <v>Guantes Protectores  - ingeniero reforzados</v>
      </c>
      <c r="C6057" s="73"/>
      <c r="D6057" s="50" t="str">
        <f>VLOOKUP(A6057,'Componentes APUs'!$A$1:$D$14,3,0)</f>
        <v>Par</v>
      </c>
      <c r="E6057" s="50">
        <f>C6032+C6033+C6035</f>
        <v>2</v>
      </c>
      <c r="F6057" s="51">
        <f>VLOOKUP(A6057,'Componentes APUs'!$A$1:$D$14,4,0)</f>
        <v>2525.2525252525252</v>
      </c>
      <c r="G6057" s="51">
        <f>ROUNDUP(F6057*(E6057/21)/E6017,0)</f>
        <v>61</v>
      </c>
    </row>
    <row r="6058" spans="1:9" x14ac:dyDescent="0.25">
      <c r="A6058" s="50" t="s">
        <v>83</v>
      </c>
      <c r="B6058" s="72" t="str">
        <f>VLOOKUP(A6058,'Componentes APUs'!$A$1:$D$14,2,0)</f>
        <v>Impermeable (pantalon camisa)</v>
      </c>
      <c r="C6058" s="73"/>
      <c r="D6058" s="50" t="str">
        <f>VLOOKUP(A6058,'Componentes APUs'!$A$1:$D$14,3,0)</f>
        <v>U</v>
      </c>
      <c r="E6058" s="50">
        <f>SUM(C6030:C6035)</f>
        <v>2.25</v>
      </c>
      <c r="F6058" s="51">
        <f>VLOOKUP(A6058,'Componentes APUs'!$A$1:$D$14,4,0)</f>
        <v>3750</v>
      </c>
      <c r="G6058" s="51">
        <f>ROUNDUP(F6058*(E6058/21)/E6017,0)</f>
        <v>101</v>
      </c>
    </row>
    <row r="6059" spans="1:9" x14ac:dyDescent="0.25">
      <c r="A6059" s="69" t="s">
        <v>85</v>
      </c>
      <c r="B6059" s="72" t="str">
        <f>VLOOKUP(A6059,'Componentes APUs'!$A$1:$D$14,2,0)</f>
        <v>Jean Dielectrico</v>
      </c>
      <c r="C6059" s="73"/>
      <c r="D6059" s="50" t="str">
        <f>VLOOKUP(A6059,'Componentes APUs'!$A$1:$D$14,3,0)</f>
        <v>U</v>
      </c>
      <c r="E6059" s="50">
        <f>SUM(C6030:C6035)</f>
        <v>2.25</v>
      </c>
      <c r="F6059" s="51">
        <f>VLOOKUP(A6059,'Componentes APUs'!$A$1:$D$14,4,0)</f>
        <v>7575.757575757576</v>
      </c>
      <c r="G6059" s="51">
        <f>ROUNDUP(F6059*(E6059/21)/E6017,0)</f>
        <v>203</v>
      </c>
    </row>
    <row r="6060" spans="1:9" x14ac:dyDescent="0.25">
      <c r="A6060" s="50" t="s">
        <v>87</v>
      </c>
      <c r="B6060" s="72" t="str">
        <f>VLOOKUP(A6060,'Componentes APUs'!$A$1:$D$14,2,0)</f>
        <v>Casco dielectrico Tipo 2 Clase E con barboquejo</v>
      </c>
      <c r="C6060" s="73"/>
      <c r="D6060" s="50" t="str">
        <f>VLOOKUP(A6060,'Componentes APUs'!$A$1:$D$14,3,0)</f>
        <v>U</v>
      </c>
      <c r="E6060" s="53">
        <f>IF(A6032="MO-3",C6032,0)</f>
        <v>0</v>
      </c>
      <c r="F6060" s="51">
        <f>VLOOKUP(A6060,'Componentes APUs'!$A$1:$D$14,4,0)</f>
        <v>7500</v>
      </c>
      <c r="G6060" s="51">
        <f>ROUNDUP(F6060*(E6060/21)/E6017,0)</f>
        <v>0</v>
      </c>
    </row>
    <row r="6061" spans="1:9" x14ac:dyDescent="0.25">
      <c r="A6061" s="69" t="s">
        <v>89</v>
      </c>
      <c r="B6061" s="72" t="str">
        <f>VLOOKUP(A6061,'Componentes APUs'!$A$1:$D$14,2,0)</f>
        <v>Kit de rescate para trabajo en alturas</v>
      </c>
      <c r="C6061" s="73"/>
      <c r="D6061" s="50" t="str">
        <f>VLOOKUP(A6061,'Componentes APUs'!$A$1:$D$14,3,0)</f>
        <v>U</v>
      </c>
      <c r="E6061" s="50">
        <f>IF(AND(A6032="MO-3",C6032=2),1,0)</f>
        <v>0</v>
      </c>
      <c r="F6061" s="51">
        <f>VLOOKUP(A6061,'Componentes APUs'!$A$1:$D$14,4,0)</f>
        <v>37500</v>
      </c>
      <c r="G6061" s="51">
        <f>ROUNDUP(F6061*(E6061/21)/E6017,0)</f>
        <v>0</v>
      </c>
    </row>
    <row r="6062" spans="1:9" x14ac:dyDescent="0.25">
      <c r="A6062" s="50" t="s">
        <v>91</v>
      </c>
      <c r="B6062" s="72" t="str">
        <f>VLOOKUP(A6062,'Componentes APUs'!$A$1:$D$14,2,0)</f>
        <v>Equipo completo para trabajo en alturas con pretales (Arnes dielectrico, 1 mosqueton de seguridad, tie off dielectrico, eslinga de posicionamiento, juego de pretales)</v>
      </c>
      <c r="C6062" s="73"/>
      <c r="D6062" s="50" t="str">
        <f>VLOOKUP(A6062,'Componentes APUs'!$A$1:$D$14,3,0)</f>
        <v>U</v>
      </c>
      <c r="E6062" s="50">
        <f>IF(A6032="MO-3",C6032,0)</f>
        <v>0</v>
      </c>
      <c r="F6062" s="51">
        <f>VLOOKUP(A6062,'Componentes APUs'!$A$1:$D$14,4,0)</f>
        <v>26041.666666666668</v>
      </c>
      <c r="G6062" s="51">
        <f>ROUNDUP(F6062*(E6062/21)/E6017,0)</f>
        <v>0</v>
      </c>
    </row>
    <row r="6063" spans="1:9" x14ac:dyDescent="0.25">
      <c r="A6063" s="219" t="s">
        <v>95</v>
      </c>
      <c r="B6063" s="219"/>
      <c r="C6063" s="219"/>
      <c r="D6063" s="219"/>
      <c r="E6063" s="219"/>
      <c r="F6063" s="219"/>
      <c r="G6063" s="52">
        <f>SUM(G6050:G6062)</f>
        <v>1391</v>
      </c>
    </row>
    <row r="6064" spans="1:9" x14ac:dyDescent="0.25">
      <c r="A6064" s="56"/>
      <c r="B6064" s="57"/>
      <c r="C6064" s="57"/>
      <c r="D6064" s="57"/>
      <c r="E6064" s="57"/>
      <c r="F6064" s="57"/>
      <c r="G6064" s="58"/>
    </row>
    <row r="6065" spans="1:7" x14ac:dyDescent="0.25">
      <c r="A6065" s="219" t="s">
        <v>96</v>
      </c>
      <c r="B6065" s="219"/>
      <c r="C6065" s="219"/>
      <c r="D6065" s="219"/>
      <c r="E6065" s="219"/>
      <c r="F6065" s="219"/>
      <c r="G6065" s="219"/>
    </row>
    <row r="6066" spans="1:7" x14ac:dyDescent="0.25">
      <c r="A6066" s="49" t="s">
        <v>35</v>
      </c>
      <c r="B6066" s="225" t="s">
        <v>36</v>
      </c>
      <c r="C6066" s="225"/>
      <c r="D6066" s="49" t="s">
        <v>37</v>
      </c>
      <c r="E6066" s="49" t="s">
        <v>38</v>
      </c>
      <c r="F6066" s="49" t="s">
        <v>39</v>
      </c>
      <c r="G6066" s="49" t="s">
        <v>40</v>
      </c>
    </row>
    <row r="6067" spans="1:7" x14ac:dyDescent="0.25">
      <c r="A6067" s="69" t="s">
        <v>97</v>
      </c>
      <c r="B6067" s="72" t="str">
        <f>VLOOKUP(A6067,'Componentes APUs'!$N$1:$Q$30,2,0)</f>
        <v>Camioneta</v>
      </c>
      <c r="C6067" s="73"/>
      <c r="D6067" s="70" t="str">
        <f>VLOOKUP(A6067,'Componentes APUs'!$N$1:$Q$30,3,0)</f>
        <v>U</v>
      </c>
      <c r="E6067" s="50">
        <v>1</v>
      </c>
      <c r="F6067" s="51">
        <f>VLOOKUP(A6067,'Componentes APUs'!$N$1:$Q$30,4,0)</f>
        <v>5500000</v>
      </c>
      <c r="G6067" s="51">
        <f>IFERROR(ROUNDUP(F6067*(E6067/21)/E6017,0),"-")</f>
        <v>65477</v>
      </c>
    </row>
    <row r="6068" spans="1:7" x14ac:dyDescent="0.25">
      <c r="A6068" s="50" t="s">
        <v>1473</v>
      </c>
      <c r="B6068" s="72" t="str">
        <f>VLOOKUP(A6068,'Componentes APUs'!$N$1:$Q$30,2,0)</f>
        <v>Concretera</v>
      </c>
      <c r="C6068" s="73"/>
      <c r="D6068" s="70" t="str">
        <f>VLOOKUP(A6068,'Componentes APUs'!$N$1:$Q$30,3,0)</f>
        <v>U</v>
      </c>
      <c r="E6068" s="50">
        <v>0</v>
      </c>
      <c r="F6068" s="51">
        <f>VLOOKUP(A6068,'Componentes APUs'!$N$1:$Q$30,4,0)</f>
        <v>550704</v>
      </c>
      <c r="G6068" s="51">
        <f>IFERROR(ROUNDUP(F6068*(E6068/21)/E6017,0),"-")</f>
        <v>0</v>
      </c>
    </row>
    <row r="6069" spans="1:7" x14ac:dyDescent="0.25">
      <c r="A6069" s="69" t="s">
        <v>1379</v>
      </c>
      <c r="B6069" s="72" t="str">
        <f>VLOOKUP(A6069,'Componentes APUs'!$N$1:$Q$30,2,0)</f>
        <v>Dumper de descarga Frontal 2T</v>
      </c>
      <c r="C6069" s="73"/>
      <c r="D6069" s="70" t="str">
        <f>VLOOKUP(A6069,'Componentes APUs'!$N$1:$Q$30,3,0)</f>
        <v>U</v>
      </c>
      <c r="E6069" s="50">
        <v>0</v>
      </c>
      <c r="F6069" s="51">
        <f>VLOOKUP(A6069,'Componentes APUs'!$N$1:$Q$30,4,0)</f>
        <v>4438716.24</v>
      </c>
      <c r="G6069" s="51">
        <f>IFERROR(ROUNDUP(F6069*(E6069/21)/E6017,0),"-")</f>
        <v>0</v>
      </c>
    </row>
    <row r="6070" spans="1:7" x14ac:dyDescent="0.25">
      <c r="A6070" s="50" t="s">
        <v>323</v>
      </c>
      <c r="B6070" s="72" t="str">
        <f>VLOOKUP(A6070,'Componentes APUs'!$N$1:$Q$30,2,0)</f>
        <v>Volqueta</v>
      </c>
      <c r="C6070" s="73"/>
      <c r="D6070" s="70" t="str">
        <f>VLOOKUP(A6070,'Componentes APUs'!$N$1:$Q$30,3,0)</f>
        <v>U</v>
      </c>
      <c r="E6070" s="50">
        <v>0</v>
      </c>
      <c r="F6070" s="51">
        <f>VLOOKUP(A6070,'Componentes APUs'!$N$1:$Q$30,4,0)</f>
        <v>14828184</v>
      </c>
      <c r="G6070" s="51">
        <f>IFERROR(ROUNDUP(F6070*(E6070/21)/E6017,0),"-")</f>
        <v>0</v>
      </c>
    </row>
    <row r="6071" spans="1:7" x14ac:dyDescent="0.25">
      <c r="A6071" s="69" t="s">
        <v>324</v>
      </c>
      <c r="B6071" s="72" t="str">
        <f>VLOOKUP(A6071,'Componentes APUs'!$N$1:$Q$30,2,0)</f>
        <v>Retroexcavadora</v>
      </c>
      <c r="C6071" s="73"/>
      <c r="D6071" s="70" t="str">
        <f>VLOOKUP(A6071,'Componentes APUs'!$N$1:$Q$30,3,0)</f>
        <v>U</v>
      </c>
      <c r="E6071" s="50">
        <v>0</v>
      </c>
      <c r="F6071" s="51">
        <f>VLOOKUP(A6071,'Componentes APUs'!$N$1:$Q$30,4,0)</f>
        <v>46030656</v>
      </c>
      <c r="G6071" s="51">
        <f>IFERROR(ROUNDUP(F6071*(E6071/21)/E6017,0),"-")</f>
        <v>0</v>
      </c>
    </row>
    <row r="6072" spans="1:7" x14ac:dyDescent="0.25">
      <c r="A6072" s="219" t="s">
        <v>99</v>
      </c>
      <c r="B6072" s="219"/>
      <c r="C6072" s="219"/>
      <c r="D6072" s="219"/>
      <c r="E6072" s="219"/>
      <c r="F6072" s="219"/>
      <c r="G6072" s="52">
        <f>SUM(G6067:G6071)</f>
        <v>65477</v>
      </c>
    </row>
    <row r="6073" spans="1:7" x14ac:dyDescent="0.25">
      <c r="A6073" s="56"/>
      <c r="B6073" s="57"/>
      <c r="C6073" s="57"/>
      <c r="D6073" s="57"/>
      <c r="E6073" s="57"/>
      <c r="F6073" s="57"/>
      <c r="G6073" s="58"/>
    </row>
    <row r="6074" spans="1:7" x14ac:dyDescent="0.25">
      <c r="A6074" s="219" t="s">
        <v>100</v>
      </c>
      <c r="B6074" s="219"/>
      <c r="C6074" s="219"/>
      <c r="D6074" s="219"/>
      <c r="E6074" s="219"/>
      <c r="F6074" s="219"/>
      <c r="G6074" s="52">
        <f>G6072+G6063+G6046+G6036+G6026</f>
        <v>6745754</v>
      </c>
    </row>
    <row r="6075" spans="1:7" x14ac:dyDescent="0.25">
      <c r="A6075" s="59"/>
      <c r="B6075" s="60"/>
      <c r="C6075" s="60"/>
      <c r="D6075" s="60"/>
      <c r="E6075" s="57"/>
      <c r="F6075" s="57"/>
      <c r="G6075" s="58"/>
    </row>
    <row r="6076" spans="1:7" x14ac:dyDescent="0.25">
      <c r="A6076" s="64"/>
      <c r="D6076" s="55"/>
      <c r="E6076" s="49" t="s">
        <v>25</v>
      </c>
      <c r="F6076" s="54">
        <v>0.15</v>
      </c>
      <c r="G6076" s="51">
        <f>G6074*F6076</f>
        <v>1011863.1</v>
      </c>
    </row>
    <row r="6077" spans="1:7" x14ac:dyDescent="0.25">
      <c r="A6077" s="64"/>
      <c r="D6077" s="55"/>
      <c r="E6077" s="49" t="s">
        <v>26</v>
      </c>
      <c r="F6077" s="54">
        <v>0.05</v>
      </c>
      <c r="G6077" s="51">
        <f>G6074*F6077</f>
        <v>337287.7</v>
      </c>
    </row>
    <row r="6078" spans="1:7" x14ac:dyDescent="0.25">
      <c r="A6078" s="61"/>
      <c r="B6078" s="65"/>
      <c r="C6078" s="65"/>
      <c r="D6078" s="62"/>
      <c r="E6078" s="49" t="s">
        <v>27</v>
      </c>
      <c r="F6078" s="54">
        <v>0.05</v>
      </c>
      <c r="G6078" s="51">
        <f>G6074*F6078</f>
        <v>337287.7</v>
      </c>
    </row>
    <row r="6079" spans="1:7" x14ac:dyDescent="0.25">
      <c r="A6079" s="61"/>
      <c r="B6079" s="62"/>
      <c r="C6079" s="62"/>
      <c r="D6079" s="62"/>
      <c r="E6079" s="62"/>
      <c r="F6079" s="62"/>
      <c r="G6079" s="63"/>
    </row>
    <row r="6080" spans="1:7" x14ac:dyDescent="0.25">
      <c r="A6080" s="219" t="s">
        <v>101</v>
      </c>
      <c r="B6080" s="219"/>
      <c r="C6080" s="219"/>
      <c r="D6080" s="219"/>
      <c r="E6080" s="219"/>
      <c r="F6080" s="219"/>
      <c r="G6080" s="52">
        <f>G6074+G6076+G6077+G6078</f>
        <v>8432192.5</v>
      </c>
    </row>
    <row r="6081" spans="1:9" x14ac:dyDescent="0.25">
      <c r="A6081" s="59"/>
      <c r="B6081" s="60"/>
      <c r="C6081" s="60"/>
      <c r="D6081" s="60"/>
      <c r="E6081" s="57"/>
      <c r="F6081" s="57"/>
      <c r="G6081" s="58"/>
    </row>
    <row r="6082" spans="1:9" x14ac:dyDescent="0.25">
      <c r="A6082" s="64"/>
      <c r="D6082" s="55"/>
      <c r="E6082" s="49" t="s">
        <v>102</v>
      </c>
      <c r="F6082" s="49" t="s">
        <v>103</v>
      </c>
      <c r="G6082" s="51">
        <f>G6078*19%</f>
        <v>64084.663</v>
      </c>
    </row>
    <row r="6083" spans="1:9" x14ac:dyDescent="0.25">
      <c r="A6083" s="61"/>
      <c r="B6083" s="62"/>
      <c r="C6083" s="62"/>
      <c r="D6083" s="62"/>
      <c r="E6083" s="57"/>
      <c r="F6083" s="57"/>
      <c r="G6083" s="58"/>
    </row>
    <row r="6084" spans="1:9" x14ac:dyDescent="0.25">
      <c r="A6084" s="219" t="s">
        <v>104</v>
      </c>
      <c r="B6084" s="219"/>
      <c r="C6084" s="219"/>
      <c r="D6084" s="219"/>
      <c r="E6084" s="219"/>
      <c r="F6084" s="219"/>
      <c r="G6084" s="52">
        <f>G6082+G6080</f>
        <v>8496277.1630000006</v>
      </c>
    </row>
    <row r="6086" spans="1:9" x14ac:dyDescent="0.25">
      <c r="A6086" s="74" t="s">
        <v>29</v>
      </c>
      <c r="B6086" s="226" t="s">
        <v>30</v>
      </c>
      <c r="C6086" s="226"/>
      <c r="D6086" s="74" t="s">
        <v>31</v>
      </c>
      <c r="E6086" s="74" t="s">
        <v>32</v>
      </c>
      <c r="F6086" s="74" t="s">
        <v>189</v>
      </c>
      <c r="G6086" s="74" t="s">
        <v>33</v>
      </c>
      <c r="H6086" s="105"/>
    </row>
    <row r="6087" spans="1:9" ht="25.5" customHeight="1" x14ac:dyDescent="0.25">
      <c r="A6087" s="50" t="str">
        <f>Presupuesto!B118</f>
        <v>098_OC</v>
      </c>
      <c r="B6087" s="229" t="str">
        <f>Presupuesto!C118</f>
        <v>PUERTA EN CELOSIA DOBLE NAVE ALUMINIO COLDROLLER (3,85 X 2.38M). INCLUYE CHAPA ANTIPÁNICO</v>
      </c>
      <c r="C6087" s="230"/>
      <c r="D6087" s="50" t="s">
        <v>8</v>
      </c>
      <c r="E6087" s="107">
        <v>6</v>
      </c>
      <c r="F6087" s="50"/>
      <c r="G6087" s="51">
        <f>G6152</f>
        <v>15975630.247500001</v>
      </c>
      <c r="H6087" s="45"/>
    </row>
    <row r="6088" spans="1:9" x14ac:dyDescent="0.25">
      <c r="A6088" s="219" t="s">
        <v>34</v>
      </c>
      <c r="B6088" s="219"/>
      <c r="C6088" s="219"/>
      <c r="D6088" s="219"/>
      <c r="E6088" s="219"/>
      <c r="F6088" s="219"/>
      <c r="G6088" s="219"/>
    </row>
    <row r="6089" spans="1:9" x14ac:dyDescent="0.25">
      <c r="A6089" s="49" t="s">
        <v>35</v>
      </c>
      <c r="B6089" s="219" t="s">
        <v>36</v>
      </c>
      <c r="C6089" s="219"/>
      <c r="D6089" s="49" t="s">
        <v>37</v>
      </c>
      <c r="E6089" s="49" t="s">
        <v>38</v>
      </c>
      <c r="F6089" s="49" t="s">
        <v>39</v>
      </c>
      <c r="G6089" s="49" t="s">
        <v>40</v>
      </c>
    </row>
    <row r="6090" spans="1:9" ht="25.5" customHeight="1" x14ac:dyDescent="0.25">
      <c r="A6090" s="50" t="str">
        <f>Material!A296</f>
        <v>MA-295</v>
      </c>
      <c r="B6090" s="221" t="str">
        <f>IFERROR(VLOOKUP(A6090,Material!$A:$H,2,0),"-")</f>
        <v>PUERTA EN CELOSIA DOBLE NAVE ALUMINIO COLDROLLER ( 2 X 2.38M)</v>
      </c>
      <c r="C6090" s="222"/>
      <c r="D6090" s="50" t="str">
        <f>IFERROR(VLOOKUP(A6090,Material!$A:$H,4,0),"-")</f>
        <v>UN</v>
      </c>
      <c r="E6090" s="107">
        <v>2</v>
      </c>
      <c r="F6090" s="51">
        <f>IFERROR(VLOOKUP(A6090,Material!$A:$H,3,0),"-")</f>
        <v>6293196</v>
      </c>
      <c r="G6090" s="51">
        <f>IFERROR(ROUNDUP(F6090*E6090,0),"-")</f>
        <v>12586392</v>
      </c>
      <c r="H6090" s="106"/>
    </row>
    <row r="6091" spans="1:9" x14ac:dyDescent="0.25">
      <c r="A6091" s="50"/>
      <c r="B6091" s="72" t="str">
        <f>IFERROR(VLOOKUP(A6091,Material!$A:$H,2,0),"-")</f>
        <v>-</v>
      </c>
      <c r="C6091" s="76"/>
      <c r="D6091" s="50" t="str">
        <f>IFERROR(VLOOKUP(A6091,Material!$A:$H,4,0),"-")</f>
        <v>-</v>
      </c>
      <c r="E6091" s="107"/>
      <c r="F6091" s="51" t="str">
        <f>IFERROR(VLOOKUP(A6091,Material!$A:$H,3,0),"-")</f>
        <v>-</v>
      </c>
      <c r="G6091" s="51" t="str">
        <f>IFERROR(ROUNDUP(F6091*E6091,0),"-")</f>
        <v>-</v>
      </c>
      <c r="H6091" s="106"/>
    </row>
    <row r="6092" spans="1:9" x14ac:dyDescent="0.25">
      <c r="A6092" s="50"/>
      <c r="B6092" s="72" t="str">
        <f>IFERROR(VLOOKUP(A6092,Material!$A:$H,2,0),"-")</f>
        <v>-</v>
      </c>
      <c r="C6092" s="76"/>
      <c r="D6092" s="50" t="str">
        <f>IFERROR(VLOOKUP(A6092,Material!$A:$H,4,0),"-")</f>
        <v>-</v>
      </c>
      <c r="E6092" s="107"/>
      <c r="F6092" s="51" t="str">
        <f>IFERROR(VLOOKUP(A6092,Material!$A:$H,3,0),"-")</f>
        <v>-</v>
      </c>
      <c r="G6092" s="51" t="str">
        <f>IFERROR(ROUNDUP(F6092*E6092,0),"-")</f>
        <v>-</v>
      </c>
      <c r="H6092" s="106"/>
    </row>
    <row r="6093" spans="1:9" x14ac:dyDescent="0.25">
      <c r="A6093" s="50"/>
      <c r="B6093" s="72" t="str">
        <f>IFERROR(VLOOKUP(A6093,Material!$A:$H,2,0),"-")</f>
        <v>-</v>
      </c>
      <c r="C6093" s="76"/>
      <c r="D6093" s="50" t="str">
        <f>IFERROR(VLOOKUP(A6093,Material!$A:$H,4,0),"-")</f>
        <v>-</v>
      </c>
      <c r="E6093" s="107"/>
      <c r="F6093" s="51" t="str">
        <f>IFERROR(VLOOKUP(A6093,Material!$A:$H,3,0),"-")</f>
        <v>-</v>
      </c>
      <c r="G6093" s="51" t="str">
        <f>IFERROR(ROUNDUP(F6093*E6093,0),"-")</f>
        <v>-</v>
      </c>
      <c r="H6093" s="106"/>
    </row>
    <row r="6094" spans="1:9" x14ac:dyDescent="0.25">
      <c r="A6094" s="219" t="s">
        <v>41</v>
      </c>
      <c r="B6094" s="219"/>
      <c r="C6094" s="219"/>
      <c r="D6094" s="219"/>
      <c r="E6094" s="219"/>
      <c r="F6094" s="219"/>
      <c r="G6094" s="52">
        <f>SUM(G6090:G6093)</f>
        <v>12586392</v>
      </c>
      <c r="I6094" s="104"/>
    </row>
    <row r="6095" spans="1:9" x14ac:dyDescent="0.25">
      <c r="A6095" s="56"/>
      <c r="B6095" s="57"/>
      <c r="C6095" s="57"/>
      <c r="D6095" s="57"/>
      <c r="E6095" s="57"/>
      <c r="F6095" s="57"/>
      <c r="G6095" s="58"/>
    </row>
    <row r="6096" spans="1:9" x14ac:dyDescent="0.25">
      <c r="A6096" s="219" t="s">
        <v>42</v>
      </c>
      <c r="B6096" s="219"/>
      <c r="C6096" s="219"/>
      <c r="D6096" s="219"/>
      <c r="E6096" s="219"/>
      <c r="F6096" s="219"/>
      <c r="G6096" s="219"/>
    </row>
    <row r="6097" spans="1:9" x14ac:dyDescent="0.25">
      <c r="A6097" s="49" t="s">
        <v>35</v>
      </c>
      <c r="B6097" s="49" t="s">
        <v>36</v>
      </c>
      <c r="C6097" s="49" t="s">
        <v>38</v>
      </c>
      <c r="D6097" s="49" t="s">
        <v>43</v>
      </c>
      <c r="E6097" s="49" t="s">
        <v>44</v>
      </c>
      <c r="F6097" s="49" t="s">
        <v>45</v>
      </c>
      <c r="G6097" s="49" t="s">
        <v>40</v>
      </c>
    </row>
    <row r="6098" spans="1:9" x14ac:dyDescent="0.25">
      <c r="A6098" s="50" t="s">
        <v>319</v>
      </c>
      <c r="B6098" s="68" t="str">
        <f>VLOOKUP(A6098,'Componentes APUs'!$H$1:$L$25,2,0)</f>
        <v>Ingeniero Residente de Obra</v>
      </c>
      <c r="C6098" s="93">
        <v>0</v>
      </c>
      <c r="D6098" s="50">
        <f>VLOOKUP(A6098,'Componentes APUs'!$H$1:$L$25,3,0)</f>
        <v>4</v>
      </c>
      <c r="E6098" s="51">
        <f>VLOOKUP(A6098,'Componentes APUs'!$H$1:$L$25,4,0)</f>
        <v>271142.85714285716</v>
      </c>
      <c r="F6098" s="51">
        <f>VLOOKUP(A6098,'Componentes APUs'!$H$1:$L$25,5,0)</f>
        <v>162685.71428571429</v>
      </c>
      <c r="G6098" s="51">
        <f>ROUNDUP((E6098+F6098)*C6098/E6087,0)</f>
        <v>0</v>
      </c>
      <c r="H6098" s="66"/>
    </row>
    <row r="6099" spans="1:9" x14ac:dyDescent="0.25">
      <c r="A6099" s="50" t="s">
        <v>320</v>
      </c>
      <c r="B6099" s="68" t="str">
        <f>VLOOKUP(A6099,'Componentes APUs'!$H$1:$L$25,2,0)</f>
        <v>Tecnico Supervisor</v>
      </c>
      <c r="C6099" s="93">
        <v>0</v>
      </c>
      <c r="D6099" s="50">
        <f>VLOOKUP(A6099,'Componentes APUs'!$H$1:$L$25,3,0)</f>
        <v>2.2999999999999998</v>
      </c>
      <c r="E6099" s="51">
        <f>VLOOKUP(A6099,'Componentes APUs'!$H$1:$L$25,4,0)</f>
        <v>155907.14285714284</v>
      </c>
      <c r="F6099" s="51">
        <f>VLOOKUP(A6099,'Componentes APUs'!$H$1:$L$25,5,0)</f>
        <v>93544.285714285696</v>
      </c>
      <c r="G6099" s="51">
        <f>ROUNDUP((E6099+F6099)*C6099/E6087,0)</f>
        <v>0</v>
      </c>
    </row>
    <row r="6100" spans="1:9" x14ac:dyDescent="0.25">
      <c r="A6100" s="50" t="s">
        <v>54</v>
      </c>
      <c r="B6100" s="68" t="str">
        <f>VLOOKUP(A6100,'Componentes APUs'!$H$1:$L$25,2,0)</f>
        <v>Maestro de obra civil</v>
      </c>
      <c r="C6100" s="93">
        <v>0</v>
      </c>
      <c r="D6100" s="50">
        <f>VLOOKUP(A6100,'Componentes APUs'!$H$1:$L$25,3,0)</f>
        <v>2.5</v>
      </c>
      <c r="E6100" s="51">
        <f>VLOOKUP(A6100,'Componentes APUs'!$H$1:$L$25,4,0)</f>
        <v>169464.28571428571</v>
      </c>
      <c r="F6100" s="51">
        <f>VLOOKUP(A6100,'Componentes APUs'!$H$1:$L$25,5,0)</f>
        <v>101678.57142857142</v>
      </c>
      <c r="G6100" s="51">
        <f>ROUNDUP((E6100+F6100)*C6100/E6087,0)</f>
        <v>0</v>
      </c>
    </row>
    <row r="6101" spans="1:9" x14ac:dyDescent="0.25">
      <c r="A6101" s="50" t="s">
        <v>1110</v>
      </c>
      <c r="B6101" s="68" t="str">
        <f>VLOOKUP(A6101,'Componentes APUs'!$H$1:$L$25,2,0)</f>
        <v>Oficial de Obra Civil</v>
      </c>
      <c r="C6101" s="93">
        <v>0</v>
      </c>
      <c r="D6101" s="50">
        <f>VLOOKUP(A6101,'Componentes APUs'!$H$1:$L$25,3,0)</f>
        <v>1.5</v>
      </c>
      <c r="E6101" s="51">
        <f>VLOOKUP(A6101,'Componentes APUs'!$H$1:$L$25,4,0)</f>
        <v>115964.28571428571</v>
      </c>
      <c r="F6101" s="51">
        <f>VLOOKUP(A6101,'Componentes APUs'!$H$1:$L$25,5,0)</f>
        <v>69578.57142857142</v>
      </c>
      <c r="G6101" s="51">
        <f>ROUNDUP((E6101+F6101)*C6101/E6087,0)</f>
        <v>0</v>
      </c>
    </row>
    <row r="6102" spans="1:9" x14ac:dyDescent="0.25">
      <c r="A6102" s="50" t="s">
        <v>50</v>
      </c>
      <c r="B6102" s="68" t="str">
        <f>VLOOKUP(A6102,'Componentes APUs'!$H$1:$L$25,2,0)</f>
        <v>Profesional en SST</v>
      </c>
      <c r="C6102" s="93">
        <v>0.25</v>
      </c>
      <c r="D6102" s="50">
        <f>VLOOKUP(A6102,'Componentes APUs'!$H$1:$L$25,3,0)</f>
        <v>2.5</v>
      </c>
      <c r="E6102" s="51">
        <f>VLOOKUP(A6102,'Componentes APUs'!$H$1:$L$25,4,0)</f>
        <v>169464.28571428571</v>
      </c>
      <c r="F6102" s="51">
        <f>VLOOKUP(A6102,'Componentes APUs'!$H$1:$L$25,5,0)</f>
        <v>101678.57142857142</v>
      </c>
      <c r="G6102" s="51">
        <f>ROUNDUP((E6102+F6102)*C6102/E6087,0)</f>
        <v>11298</v>
      </c>
    </row>
    <row r="6103" spans="1:9" x14ac:dyDescent="0.25">
      <c r="A6103" s="50" t="s">
        <v>1109</v>
      </c>
      <c r="B6103" s="68" t="str">
        <f>VLOOKUP(A6103,'Componentes APUs'!$H$1:$L$25,2,0)</f>
        <v>Ayudante de Obra Civil</v>
      </c>
      <c r="C6103" s="93">
        <v>2</v>
      </c>
      <c r="D6103" s="50">
        <f>VLOOKUP(A6103,'Componentes APUs'!$H$1:$L$25,3,0)</f>
        <v>1</v>
      </c>
      <c r="E6103" s="51">
        <f>VLOOKUP(A6103,'Componentes APUs'!$H$1:$L$25,4,0)</f>
        <v>77309.523809523816</v>
      </c>
      <c r="F6103" s="51">
        <f>VLOOKUP(A6103,'Componentes APUs'!$H$1:$L$25,5,0)</f>
        <v>46385.71428571429</v>
      </c>
      <c r="G6103" s="51">
        <f>ROUNDUP((E6103+F6103)*C6103/E6087,0)</f>
        <v>41232</v>
      </c>
    </row>
    <row r="6104" spans="1:9" x14ac:dyDescent="0.25">
      <c r="A6104" s="219" t="s">
        <v>56</v>
      </c>
      <c r="B6104" s="219"/>
      <c r="C6104" s="219"/>
      <c r="D6104" s="219"/>
      <c r="E6104" s="219"/>
      <c r="F6104" s="219"/>
      <c r="G6104" s="52">
        <f>SUM(G6098:G6103)</f>
        <v>52530</v>
      </c>
    </row>
    <row r="6105" spans="1:9" x14ac:dyDescent="0.25">
      <c r="A6105" s="56"/>
      <c r="B6105" s="57"/>
      <c r="C6105" s="57"/>
      <c r="D6105" s="57"/>
      <c r="E6105" s="57"/>
      <c r="F6105" s="57"/>
      <c r="G6105" s="58"/>
    </row>
    <row r="6106" spans="1:9" x14ac:dyDescent="0.25">
      <c r="A6106" s="219" t="s">
        <v>57</v>
      </c>
      <c r="B6106" s="219"/>
      <c r="C6106" s="219"/>
      <c r="D6106" s="219"/>
      <c r="E6106" s="219"/>
      <c r="F6106" s="219"/>
      <c r="G6106" s="219"/>
    </row>
    <row r="6107" spans="1:9" x14ac:dyDescent="0.25">
      <c r="A6107" s="49" t="s">
        <v>35</v>
      </c>
      <c r="B6107" s="219" t="s">
        <v>36</v>
      </c>
      <c r="C6107" s="219"/>
      <c r="D6107" s="49" t="s">
        <v>37</v>
      </c>
      <c r="E6107" s="49" t="s">
        <v>38</v>
      </c>
      <c r="F6107" s="49" t="s">
        <v>39</v>
      </c>
      <c r="G6107" s="49" t="s">
        <v>40</v>
      </c>
    </row>
    <row r="6108" spans="1:9" x14ac:dyDescent="0.25">
      <c r="A6108" s="50" t="s">
        <v>326</v>
      </c>
      <c r="B6108" s="220" t="str">
        <f>VLOOKUP(A6108,'Componentes APUs'!$S$1:$V$10,2,0)</f>
        <v>Juego Llaves</v>
      </c>
      <c r="C6108" s="220"/>
      <c r="D6108" s="50" t="s">
        <v>18</v>
      </c>
      <c r="E6108" s="50">
        <v>0</v>
      </c>
      <c r="F6108" s="51">
        <f>VLOOKUP(A6108,'Componentes APUs'!$S$1:$V$10,4,0)</f>
        <v>9167</v>
      </c>
      <c r="G6108" s="51">
        <f>ROUNDUP(F6108*((E6108/21)/E6087),0)</f>
        <v>0</v>
      </c>
      <c r="I6108" s="91"/>
    </row>
    <row r="6109" spans="1:9" x14ac:dyDescent="0.25">
      <c r="A6109" s="50" t="s">
        <v>58</v>
      </c>
      <c r="B6109" s="220" t="str">
        <f>VLOOKUP(A6109,'Componentes APUs'!$S$1:$V$10,2,0)</f>
        <v>Manila de servicio</v>
      </c>
      <c r="C6109" s="220"/>
      <c r="D6109" s="50" t="s">
        <v>18</v>
      </c>
      <c r="E6109" s="50">
        <v>0</v>
      </c>
      <c r="F6109" s="51">
        <f>VLOOKUP(A6109,'Componentes APUs'!$S$1:$V$10,4,0)</f>
        <v>2333</v>
      </c>
      <c r="G6109" s="51">
        <f>ROUNDUP(F6109*((E6109/21)/E6087),0)</f>
        <v>0</v>
      </c>
    </row>
    <row r="6110" spans="1:9" x14ac:dyDescent="0.25">
      <c r="A6110" s="50" t="s">
        <v>327</v>
      </c>
      <c r="B6110" s="220" t="str">
        <f>VLOOKUP(A6110,'Componentes APUs'!$S$1:$V$10,2,0)</f>
        <v>Tula portaherramientas</v>
      </c>
      <c r="C6110" s="220"/>
      <c r="D6110" s="50" t="s">
        <v>18</v>
      </c>
      <c r="E6110" s="50">
        <v>0</v>
      </c>
      <c r="F6110" s="51">
        <f>VLOOKUP(A6110,'Componentes APUs'!$S$1:$V$10,4,0)</f>
        <v>1250</v>
      </c>
      <c r="G6110" s="51">
        <f>ROUNDUP(F6110*((E6110/21)/E6087),0)</f>
        <v>0</v>
      </c>
    </row>
    <row r="6111" spans="1:9" x14ac:dyDescent="0.25">
      <c r="A6111" s="50" t="s">
        <v>60</v>
      </c>
      <c r="B6111" s="220" t="str">
        <f>VLOOKUP(A6111,'Componentes APUs'!$S$1:$V$10,2,0)</f>
        <v>Agarradoras</v>
      </c>
      <c r="C6111" s="220"/>
      <c r="D6111" s="50" t="s">
        <v>18</v>
      </c>
      <c r="E6111" s="50">
        <v>0</v>
      </c>
      <c r="F6111" s="51">
        <f>VLOOKUP(A6111,'Componentes APUs'!$S$1:$V$10,4,0)</f>
        <v>125000</v>
      </c>
      <c r="G6111" s="51">
        <f>ROUNDUP(F6111*((E6111/21)/E6087),0)</f>
        <v>0</v>
      </c>
    </row>
    <row r="6112" spans="1:9" x14ac:dyDescent="0.25">
      <c r="A6112" s="50" t="s">
        <v>62</v>
      </c>
      <c r="B6112" s="220" t="str">
        <f>VLOOKUP(A6112,'Componentes APUs'!$S$1:$V$10,2,0)</f>
        <v>Templadoras</v>
      </c>
      <c r="C6112" s="220"/>
      <c r="D6112" s="50" t="s">
        <v>18</v>
      </c>
      <c r="E6112" s="50">
        <v>0</v>
      </c>
      <c r="F6112" s="51">
        <f>VLOOKUP(A6112,'Componentes APUs'!$S$1:$V$10,4,0)</f>
        <v>250000</v>
      </c>
      <c r="G6112" s="51">
        <f>ROUNDUP(F6112*((E6112/21)/E6087),0)</f>
        <v>0</v>
      </c>
    </row>
    <row r="6113" spans="1:9" x14ac:dyDescent="0.25">
      <c r="A6113" s="50" t="s">
        <v>328</v>
      </c>
      <c r="B6113" s="220" t="str">
        <f>VLOOKUP(A6113,'Componentes APUs'!$S$1:$V$10,2,0)</f>
        <v>Herramienta Menor</v>
      </c>
      <c r="C6113" s="220"/>
      <c r="D6113" s="50" t="s">
        <v>18</v>
      </c>
      <c r="E6113" s="50">
        <v>1</v>
      </c>
      <c r="F6113" s="51">
        <f>VLOOKUP(A6113,'Componentes APUs'!$S$1:$V$10,4,0)</f>
        <v>75758</v>
      </c>
      <c r="G6113" s="51">
        <f>ROUNDUP(F6113*((E6113/21)/E6087),0)</f>
        <v>602</v>
      </c>
    </row>
    <row r="6114" spans="1:9" x14ac:dyDescent="0.25">
      <c r="A6114" s="219" t="s">
        <v>69</v>
      </c>
      <c r="B6114" s="219"/>
      <c r="C6114" s="219"/>
      <c r="D6114" s="219"/>
      <c r="E6114" s="219"/>
      <c r="F6114" s="219"/>
      <c r="G6114" s="52">
        <f>SUM(G6108:G6113)</f>
        <v>602</v>
      </c>
    </row>
    <row r="6115" spans="1:9" x14ac:dyDescent="0.25">
      <c r="A6115" s="56"/>
      <c r="B6115" s="57"/>
      <c r="C6115" s="57"/>
      <c r="D6115" s="57"/>
      <c r="E6115" s="57"/>
      <c r="F6115" s="57"/>
      <c r="G6115" s="58"/>
    </row>
    <row r="6116" spans="1:9" x14ac:dyDescent="0.25">
      <c r="A6116" s="219" t="s">
        <v>70</v>
      </c>
      <c r="B6116" s="219"/>
      <c r="C6116" s="219"/>
      <c r="D6116" s="219"/>
      <c r="E6116" s="219"/>
      <c r="F6116" s="219"/>
      <c r="G6116" s="219"/>
    </row>
    <row r="6117" spans="1:9" x14ac:dyDescent="0.25">
      <c r="A6117" s="49" t="s">
        <v>35</v>
      </c>
      <c r="B6117" s="219" t="s">
        <v>36</v>
      </c>
      <c r="C6117" s="219"/>
      <c r="D6117" s="49" t="s">
        <v>37</v>
      </c>
      <c r="E6117" s="49" t="s">
        <v>38</v>
      </c>
      <c r="F6117" s="49" t="s">
        <v>39</v>
      </c>
      <c r="G6117" s="49" t="s">
        <v>40</v>
      </c>
    </row>
    <row r="6118" spans="1:9" x14ac:dyDescent="0.25">
      <c r="A6118" s="50" t="s">
        <v>71</v>
      </c>
      <c r="B6118" s="71" t="str">
        <f>VLOOKUP(A6118,'Componentes APUs'!$A$1:$D$14,2,0)</f>
        <v>Camisa indigo sin partes metalicas</v>
      </c>
      <c r="C6118" s="71"/>
      <c r="D6118" s="50" t="str">
        <f>VLOOKUP(A6118,'Componentes APUs'!$A$1:$D$14,3,0)</f>
        <v>U</v>
      </c>
      <c r="E6118" s="50">
        <f>SUM(C6098:C6103)</f>
        <v>2.25</v>
      </c>
      <c r="F6118" s="51">
        <f>VLOOKUP(A6118,'Componentes APUs'!$A$1:$D$14,4,0)</f>
        <v>8585.8585858585866</v>
      </c>
      <c r="G6118" s="51">
        <f>ROUNDUP(F6118*(E6118/21)/E6087,0)</f>
        <v>154</v>
      </c>
      <c r="I6118" s="91"/>
    </row>
    <row r="6119" spans="1:9" x14ac:dyDescent="0.25">
      <c r="A6119" s="69" t="s">
        <v>73</v>
      </c>
      <c r="B6119" s="72" t="str">
        <f>VLOOKUP(A6119,'Componentes APUs'!$A$1:$D$14,2,0)</f>
        <v>Bota de seguridad dielectrica</v>
      </c>
      <c r="C6119" s="73"/>
      <c r="D6119" s="70" t="str">
        <f>VLOOKUP(A6119,'Componentes APUs'!$A$1:$D$14,3,0)</f>
        <v>Par</v>
      </c>
      <c r="E6119" s="50">
        <f>SUM(C6098:C6103)</f>
        <v>2.25</v>
      </c>
      <c r="F6119" s="51">
        <f>VLOOKUP(A6119,'Componentes APUs'!$A$1:$D$14,4,0)</f>
        <v>7500</v>
      </c>
      <c r="G6119" s="51">
        <f>ROUNDUP(F6119*(E6119/21)/E6087,0)</f>
        <v>134</v>
      </c>
    </row>
    <row r="6120" spans="1:9" x14ac:dyDescent="0.25">
      <c r="A6120" s="50" t="s">
        <v>76</v>
      </c>
      <c r="B6120" s="72" t="str">
        <f>VLOOKUP(A6120,'Componentes APUs'!$A$1:$D$14,2,0)</f>
        <v>Casco dielectrico Tipo 1 Clase E con barbuquejo</v>
      </c>
      <c r="C6120" s="73"/>
      <c r="D6120" s="50" t="str">
        <f>VLOOKUP(A6120,'Componentes APUs'!$A$1:$D$14,3,0)</f>
        <v>U</v>
      </c>
      <c r="E6120" s="50">
        <f>C6098+C6099+C6101+C6102+C6103+IF(A6100&lt;&gt;"MO-3",C6100,0)</f>
        <v>2.25</v>
      </c>
      <c r="F6120" s="51">
        <f>VLOOKUP(A6120,'Componentes APUs'!$A$1:$D$14,4,0)</f>
        <v>10101.010101010101</v>
      </c>
      <c r="G6120" s="51">
        <f>ROUNDUP(F6120*(E6120/21)/E6087,0)</f>
        <v>181</v>
      </c>
    </row>
    <row r="6121" spans="1:9" x14ac:dyDescent="0.25">
      <c r="A6121" s="69" t="s">
        <v>77</v>
      </c>
      <c r="B6121" s="72" t="str">
        <f>VLOOKUP(A6121,'Componentes APUs'!$A$1:$D$14,2,0)</f>
        <v>Correa plastica y antiflama</v>
      </c>
      <c r="C6121" s="73"/>
      <c r="D6121" s="50" t="str">
        <f>VLOOKUP(A6121,'Componentes APUs'!$A$1:$D$14,3,0)</f>
        <v>U</v>
      </c>
      <c r="E6121" s="50">
        <f>SUM(C6098:C6103)</f>
        <v>2.25</v>
      </c>
      <c r="F6121" s="51">
        <f>VLOOKUP(A6121,'Componentes APUs'!$A$1:$D$14,4,0)</f>
        <v>3787.878787878788</v>
      </c>
      <c r="G6121" s="51">
        <f>ROUNDUP(F6121*(E6121/21)/E6087,0)</f>
        <v>68</v>
      </c>
    </row>
    <row r="6122" spans="1:9" x14ac:dyDescent="0.25">
      <c r="A6122" s="50" t="s">
        <v>79</v>
      </c>
      <c r="B6122" s="72" t="str">
        <f>VLOOKUP(A6122,'Componentes APUs'!$A$1:$D$14,2,0)</f>
        <v>Gafas protectoras filtro UV</v>
      </c>
      <c r="C6122" s="73"/>
      <c r="D6122" s="50" t="str">
        <f>VLOOKUP(A6122,'Componentes APUs'!$A$1:$D$14,3,0)</f>
        <v>U</v>
      </c>
      <c r="E6122" s="50">
        <f>SUM(C6098:C6103)</f>
        <v>2.25</v>
      </c>
      <c r="F6122" s="51">
        <f>VLOOKUP(A6122,'Componentes APUs'!$A$1:$D$14,4,0)</f>
        <v>2777.7777777777778</v>
      </c>
      <c r="G6122" s="51">
        <f>ROUNDUP(F6122*(E6122/21)/E6087,0)</f>
        <v>50</v>
      </c>
    </row>
    <row r="6123" spans="1:9" x14ac:dyDescent="0.25">
      <c r="A6123" s="69" t="s">
        <v>402</v>
      </c>
      <c r="B6123" s="72" t="str">
        <f>VLOOKUP(A6123,'Componentes APUs'!$A$1:$D$14,2,0)</f>
        <v>Bota de seguridad PVC dielectrica</v>
      </c>
      <c r="C6123" s="73"/>
      <c r="D6123" s="50" t="str">
        <f>VLOOKUP(A6123,'Componentes APUs'!$A$1:$D$14,3,0)</f>
        <v>Par</v>
      </c>
      <c r="E6123" s="50">
        <f>SUM(C6098:C6103)</f>
        <v>2.25</v>
      </c>
      <c r="F6123" s="51">
        <f>VLOOKUP(A6123,'Componentes APUs'!$A$1:$D$14,4,0)</f>
        <v>2916.6666666666665</v>
      </c>
      <c r="G6123" s="51">
        <f>ROUNDUP(F6123*(E6123/21)/E6087,0)</f>
        <v>53</v>
      </c>
    </row>
    <row r="6124" spans="1:9" x14ac:dyDescent="0.25">
      <c r="A6124" s="50" t="s">
        <v>403</v>
      </c>
      <c r="B6124" s="72" t="str">
        <f>VLOOKUP(A6124,'Componentes APUs'!$A$1:$D$14,2,0)</f>
        <v>Capuchon</v>
      </c>
      <c r="C6124" s="73"/>
      <c r="D6124" s="50" t="str">
        <f>VLOOKUP(A6124,'Componentes APUs'!$A$1:$D$14,3,0)</f>
        <v>U</v>
      </c>
      <c r="E6124" s="50">
        <f>SUM(C6098:C6103)</f>
        <v>2.25</v>
      </c>
      <c r="F6124" s="51">
        <f>VLOOKUP(A6124,'Componentes APUs'!$A$1:$D$14,4,0)</f>
        <v>2525.2525252525252</v>
      </c>
      <c r="G6124" s="51">
        <f>ROUNDUP(F6124*(E6124/21)/E6087,0)</f>
        <v>46</v>
      </c>
    </row>
    <row r="6125" spans="1:9" x14ac:dyDescent="0.25">
      <c r="A6125" s="69" t="s">
        <v>81</v>
      </c>
      <c r="B6125" s="72" t="str">
        <f>VLOOKUP(A6125,'Componentes APUs'!$A$1:$D$14,2,0)</f>
        <v>Guantes Protectores  - ingeniero reforzados</v>
      </c>
      <c r="C6125" s="73"/>
      <c r="D6125" s="50" t="str">
        <f>VLOOKUP(A6125,'Componentes APUs'!$A$1:$D$14,3,0)</f>
        <v>Par</v>
      </c>
      <c r="E6125" s="50">
        <f>C6100+C6101+C6103</f>
        <v>2</v>
      </c>
      <c r="F6125" s="51">
        <f>VLOOKUP(A6125,'Componentes APUs'!$A$1:$D$14,4,0)</f>
        <v>2525.2525252525252</v>
      </c>
      <c r="G6125" s="51">
        <f>ROUNDUP(F6125*(E6125/21)/E6087,0)</f>
        <v>41</v>
      </c>
    </row>
    <row r="6126" spans="1:9" x14ac:dyDescent="0.25">
      <c r="A6126" s="50" t="s">
        <v>83</v>
      </c>
      <c r="B6126" s="72" t="str">
        <f>VLOOKUP(A6126,'Componentes APUs'!$A$1:$D$14,2,0)</f>
        <v>Impermeable (pantalon camisa)</v>
      </c>
      <c r="C6126" s="73"/>
      <c r="D6126" s="50" t="str">
        <f>VLOOKUP(A6126,'Componentes APUs'!$A$1:$D$14,3,0)</f>
        <v>U</v>
      </c>
      <c r="E6126" s="50">
        <f>SUM(C6098:C6103)</f>
        <v>2.25</v>
      </c>
      <c r="F6126" s="51">
        <f>VLOOKUP(A6126,'Componentes APUs'!$A$1:$D$14,4,0)</f>
        <v>3750</v>
      </c>
      <c r="G6126" s="51">
        <f>ROUNDUP(F6126*(E6126/21)/E6087,0)</f>
        <v>67</v>
      </c>
    </row>
    <row r="6127" spans="1:9" x14ac:dyDescent="0.25">
      <c r="A6127" s="69" t="s">
        <v>85</v>
      </c>
      <c r="B6127" s="72" t="str">
        <f>VLOOKUP(A6127,'Componentes APUs'!$A$1:$D$14,2,0)</f>
        <v>Jean Dielectrico</v>
      </c>
      <c r="C6127" s="73"/>
      <c r="D6127" s="50" t="str">
        <f>VLOOKUP(A6127,'Componentes APUs'!$A$1:$D$14,3,0)</f>
        <v>U</v>
      </c>
      <c r="E6127" s="50">
        <f>SUM(C6098:C6103)</f>
        <v>2.25</v>
      </c>
      <c r="F6127" s="51">
        <f>VLOOKUP(A6127,'Componentes APUs'!$A$1:$D$14,4,0)</f>
        <v>7575.757575757576</v>
      </c>
      <c r="G6127" s="51">
        <f>ROUNDUP(F6127*(E6127/21)/E6087,0)</f>
        <v>136</v>
      </c>
    </row>
    <row r="6128" spans="1:9" x14ac:dyDescent="0.25">
      <c r="A6128" s="50" t="s">
        <v>87</v>
      </c>
      <c r="B6128" s="72" t="str">
        <f>VLOOKUP(A6128,'Componentes APUs'!$A$1:$D$14,2,0)</f>
        <v>Casco dielectrico Tipo 2 Clase E con barboquejo</v>
      </c>
      <c r="C6128" s="73"/>
      <c r="D6128" s="50" t="str">
        <f>VLOOKUP(A6128,'Componentes APUs'!$A$1:$D$14,3,0)</f>
        <v>U</v>
      </c>
      <c r="E6128" s="53">
        <f>IF(A6100="MO-3",C6100,0)</f>
        <v>0</v>
      </c>
      <c r="F6128" s="51">
        <f>VLOOKUP(A6128,'Componentes APUs'!$A$1:$D$14,4,0)</f>
        <v>7500</v>
      </c>
      <c r="G6128" s="51">
        <f>ROUNDUP(F6128*(E6128/21)/E6087,0)</f>
        <v>0</v>
      </c>
    </row>
    <row r="6129" spans="1:7" x14ac:dyDescent="0.25">
      <c r="A6129" s="69" t="s">
        <v>89</v>
      </c>
      <c r="B6129" s="72" t="str">
        <f>VLOOKUP(A6129,'Componentes APUs'!$A$1:$D$14,2,0)</f>
        <v>Kit de rescate para trabajo en alturas</v>
      </c>
      <c r="C6129" s="73"/>
      <c r="D6129" s="50" t="str">
        <f>VLOOKUP(A6129,'Componentes APUs'!$A$1:$D$14,3,0)</f>
        <v>U</v>
      </c>
      <c r="E6129" s="50">
        <f>IF(AND(A6100="MO-3",C6100=2),1,0)</f>
        <v>0</v>
      </c>
      <c r="F6129" s="51">
        <f>VLOOKUP(A6129,'Componentes APUs'!$A$1:$D$14,4,0)</f>
        <v>37500</v>
      </c>
      <c r="G6129" s="51">
        <f>ROUNDUP(F6129*(E6129/21)/E6087,0)</f>
        <v>0</v>
      </c>
    </row>
    <row r="6130" spans="1:7" x14ac:dyDescent="0.25">
      <c r="A6130" s="50" t="s">
        <v>91</v>
      </c>
      <c r="B6130" s="72" t="str">
        <f>VLOOKUP(A6130,'Componentes APUs'!$A$1:$D$14,2,0)</f>
        <v>Equipo completo para trabajo en alturas con pretales (Arnes dielectrico, 1 mosqueton de seguridad, tie off dielectrico, eslinga de posicionamiento, juego de pretales)</v>
      </c>
      <c r="C6130" s="73"/>
      <c r="D6130" s="50" t="str">
        <f>VLOOKUP(A6130,'Componentes APUs'!$A$1:$D$14,3,0)</f>
        <v>U</v>
      </c>
      <c r="E6130" s="50">
        <f>IF(A6100="MO-3",C6100,0)</f>
        <v>0</v>
      </c>
      <c r="F6130" s="51">
        <f>VLOOKUP(A6130,'Componentes APUs'!$A$1:$D$14,4,0)</f>
        <v>26041.666666666668</v>
      </c>
      <c r="G6130" s="51">
        <f>ROUNDUP(F6130*(E6130/21)/E6087,0)</f>
        <v>0</v>
      </c>
    </row>
    <row r="6131" spans="1:7" x14ac:dyDescent="0.25">
      <c r="A6131" s="219" t="s">
        <v>95</v>
      </c>
      <c r="B6131" s="219"/>
      <c r="C6131" s="219"/>
      <c r="D6131" s="219"/>
      <c r="E6131" s="219"/>
      <c r="F6131" s="219"/>
      <c r="G6131" s="52">
        <f>SUM(G6118:G6130)</f>
        <v>930</v>
      </c>
    </row>
    <row r="6132" spans="1:7" x14ac:dyDescent="0.25">
      <c r="A6132" s="56"/>
      <c r="B6132" s="57"/>
      <c r="C6132" s="57"/>
      <c r="D6132" s="57"/>
      <c r="E6132" s="57"/>
      <c r="F6132" s="57"/>
      <c r="G6132" s="58"/>
    </row>
    <row r="6133" spans="1:7" x14ac:dyDescent="0.25">
      <c r="A6133" s="219" t="s">
        <v>96</v>
      </c>
      <c r="B6133" s="219"/>
      <c r="C6133" s="219"/>
      <c r="D6133" s="219"/>
      <c r="E6133" s="219"/>
      <c r="F6133" s="219"/>
      <c r="G6133" s="219"/>
    </row>
    <row r="6134" spans="1:7" x14ac:dyDescent="0.25">
      <c r="A6134" s="49" t="s">
        <v>35</v>
      </c>
      <c r="B6134" s="225" t="s">
        <v>36</v>
      </c>
      <c r="C6134" s="225"/>
      <c r="D6134" s="49" t="s">
        <v>37</v>
      </c>
      <c r="E6134" s="49" t="s">
        <v>38</v>
      </c>
      <c r="F6134" s="49" t="s">
        <v>39</v>
      </c>
      <c r="G6134" s="49" t="s">
        <v>40</v>
      </c>
    </row>
    <row r="6135" spans="1:7" x14ac:dyDescent="0.25">
      <c r="A6135" s="69" t="s">
        <v>97</v>
      </c>
      <c r="B6135" s="72" t="str">
        <f>VLOOKUP(A6135,'Componentes APUs'!$N$1:$Q$30,2,0)</f>
        <v>Camioneta</v>
      </c>
      <c r="C6135" s="73"/>
      <c r="D6135" s="70" t="str">
        <f>VLOOKUP(A6135,'Componentes APUs'!$N$1:$Q$30,3,0)</f>
        <v>U</v>
      </c>
      <c r="E6135" s="50">
        <v>1</v>
      </c>
      <c r="F6135" s="51">
        <f>VLOOKUP(A6135,'Componentes APUs'!$N$1:$Q$30,4,0)</f>
        <v>5500000</v>
      </c>
      <c r="G6135" s="51">
        <f>IFERROR(ROUNDUP(F6135*(E6135/21)/E6087,0),"-")</f>
        <v>43651</v>
      </c>
    </row>
    <row r="6136" spans="1:7" x14ac:dyDescent="0.25">
      <c r="A6136" s="50" t="s">
        <v>321</v>
      </c>
      <c r="B6136" s="72" t="str">
        <f>VLOOKUP(A6136,'Componentes APUs'!$N$1:$Q$30,2,0)</f>
        <v>Grúa Hidráulica</v>
      </c>
      <c r="C6136" s="73"/>
      <c r="D6136" s="70" t="str">
        <f>VLOOKUP(A6136,'Componentes APUs'!$N$1:$Q$30,3,0)</f>
        <v>U</v>
      </c>
      <c r="E6136" s="50">
        <v>0</v>
      </c>
      <c r="F6136" s="51">
        <f>VLOOKUP(A6136,'Componentes APUs'!$N$1:$Q$30,4,0)</f>
        <v>21000000</v>
      </c>
      <c r="G6136" s="51">
        <f>IFERROR(ROUNDUP(F6136*(E6136/21)/E6087,0),"-")</f>
        <v>0</v>
      </c>
    </row>
    <row r="6137" spans="1:7" x14ac:dyDescent="0.25">
      <c r="A6137" s="69" t="s">
        <v>1379</v>
      </c>
      <c r="B6137" s="72" t="str">
        <f>VLOOKUP(A6137,'Componentes APUs'!$N$1:$Q$30,2,0)</f>
        <v>Dumper de descarga Frontal 2T</v>
      </c>
      <c r="C6137" s="73"/>
      <c r="D6137" s="70" t="str">
        <f>VLOOKUP(A6137,'Componentes APUs'!$N$1:$Q$30,3,0)</f>
        <v>U</v>
      </c>
      <c r="E6137" s="50">
        <v>0</v>
      </c>
      <c r="F6137" s="51">
        <f>VLOOKUP(A6137,'Componentes APUs'!$N$1:$Q$30,4,0)</f>
        <v>4438716.24</v>
      </c>
      <c r="G6137" s="51">
        <f>IFERROR(ROUNDUP(F6137*(E6137/21)/E6087,0),"-")</f>
        <v>0</v>
      </c>
    </row>
    <row r="6138" spans="1:7" x14ac:dyDescent="0.25">
      <c r="A6138" s="50" t="s">
        <v>323</v>
      </c>
      <c r="B6138" s="72" t="str">
        <f>VLOOKUP(A6138,'Componentes APUs'!$N$1:$Q$30,2,0)</f>
        <v>Volqueta</v>
      </c>
      <c r="C6138" s="73"/>
      <c r="D6138" s="70" t="str">
        <f>VLOOKUP(A6138,'Componentes APUs'!$N$1:$Q$30,3,0)</f>
        <v>U</v>
      </c>
      <c r="E6138" s="50">
        <v>0</v>
      </c>
      <c r="F6138" s="51">
        <f>VLOOKUP(A6138,'Componentes APUs'!$N$1:$Q$30,4,0)</f>
        <v>14828184</v>
      </c>
      <c r="G6138" s="51">
        <f>IFERROR(ROUNDUP(F6138*(E6138/21)/E6087,0),"-")</f>
        <v>0</v>
      </c>
    </row>
    <row r="6139" spans="1:7" x14ac:dyDescent="0.25">
      <c r="A6139" s="69" t="s">
        <v>324</v>
      </c>
      <c r="B6139" s="72" t="str">
        <f>VLOOKUP(A6139,'Componentes APUs'!$N$1:$Q$30,2,0)</f>
        <v>Retroexcavadora</v>
      </c>
      <c r="C6139" s="73"/>
      <c r="D6139" s="70" t="str">
        <f>VLOOKUP(A6139,'Componentes APUs'!$N$1:$Q$30,3,0)</f>
        <v>U</v>
      </c>
      <c r="E6139" s="50">
        <v>0</v>
      </c>
      <c r="F6139" s="51">
        <f>VLOOKUP(A6139,'Componentes APUs'!$N$1:$Q$30,4,0)</f>
        <v>46030656</v>
      </c>
      <c r="G6139" s="51">
        <f>IFERROR(ROUNDUP(F6139*(E6139/21)/E6087,0),"-")</f>
        <v>0</v>
      </c>
    </row>
    <row r="6140" spans="1:7" x14ac:dyDescent="0.25">
      <c r="A6140" s="219" t="s">
        <v>99</v>
      </c>
      <c r="B6140" s="219"/>
      <c r="C6140" s="219"/>
      <c r="D6140" s="219"/>
      <c r="E6140" s="219"/>
      <c r="F6140" s="219"/>
      <c r="G6140" s="52">
        <f>SUM(G6135:G6139)</f>
        <v>43651</v>
      </c>
    </row>
    <row r="6141" spans="1:7" x14ac:dyDescent="0.25">
      <c r="A6141" s="56"/>
      <c r="B6141" s="57"/>
      <c r="C6141" s="57"/>
      <c r="D6141" s="57"/>
      <c r="E6141" s="57"/>
      <c r="F6141" s="57"/>
      <c r="G6141" s="58"/>
    </row>
    <row r="6142" spans="1:7" x14ac:dyDescent="0.25">
      <c r="A6142" s="219" t="s">
        <v>100</v>
      </c>
      <c r="B6142" s="219"/>
      <c r="C6142" s="219"/>
      <c r="D6142" s="219"/>
      <c r="E6142" s="219"/>
      <c r="F6142" s="219"/>
      <c r="G6142" s="52">
        <f>G6140+G6131+G6114+G6104+G6094</f>
        <v>12684105</v>
      </c>
    </row>
    <row r="6143" spans="1:7" x14ac:dyDescent="0.25">
      <c r="A6143" s="59"/>
      <c r="B6143" s="60"/>
      <c r="C6143" s="60"/>
      <c r="D6143" s="60"/>
      <c r="E6143" s="57"/>
      <c r="F6143" s="57"/>
      <c r="G6143" s="58"/>
    </row>
    <row r="6144" spans="1:7" x14ac:dyDescent="0.25">
      <c r="A6144" s="64"/>
      <c r="D6144" s="55"/>
      <c r="E6144" s="49" t="s">
        <v>25</v>
      </c>
      <c r="F6144" s="54">
        <v>0.15</v>
      </c>
      <c r="G6144" s="51">
        <f>G6142*F6144</f>
        <v>1902615.75</v>
      </c>
    </row>
    <row r="6145" spans="1:8" x14ac:dyDescent="0.25">
      <c r="A6145" s="64"/>
      <c r="D6145" s="55"/>
      <c r="E6145" s="49" t="s">
        <v>26</v>
      </c>
      <c r="F6145" s="54">
        <v>0.05</v>
      </c>
      <c r="G6145" s="51">
        <f>G6142*F6145</f>
        <v>634205.25</v>
      </c>
    </row>
    <row r="6146" spans="1:8" x14ac:dyDescent="0.25">
      <c r="A6146" s="61"/>
      <c r="B6146" s="65"/>
      <c r="C6146" s="65"/>
      <c r="D6146" s="62"/>
      <c r="E6146" s="49" t="s">
        <v>27</v>
      </c>
      <c r="F6146" s="54">
        <v>0.05</v>
      </c>
      <c r="G6146" s="51">
        <f>G6142*F6146</f>
        <v>634205.25</v>
      </c>
    </row>
    <row r="6147" spans="1:8" x14ac:dyDescent="0.25">
      <c r="A6147" s="61"/>
      <c r="B6147" s="62"/>
      <c r="C6147" s="62"/>
      <c r="D6147" s="62"/>
      <c r="E6147" s="62"/>
      <c r="F6147" s="62"/>
      <c r="G6147" s="63"/>
    </row>
    <row r="6148" spans="1:8" x14ac:dyDescent="0.25">
      <c r="A6148" s="219" t="s">
        <v>101</v>
      </c>
      <c r="B6148" s="219"/>
      <c r="C6148" s="219"/>
      <c r="D6148" s="219"/>
      <c r="E6148" s="219"/>
      <c r="F6148" s="219"/>
      <c r="G6148" s="52">
        <f>G6142+G6144+G6145+G6146</f>
        <v>15855131.25</v>
      </c>
    </row>
    <row r="6149" spans="1:8" x14ac:dyDescent="0.25">
      <c r="A6149" s="59"/>
      <c r="B6149" s="60"/>
      <c r="C6149" s="60"/>
      <c r="D6149" s="60"/>
      <c r="E6149" s="57"/>
      <c r="F6149" s="57"/>
      <c r="G6149" s="58"/>
    </row>
    <row r="6150" spans="1:8" x14ac:dyDescent="0.25">
      <c r="A6150" s="64"/>
      <c r="D6150" s="55"/>
      <c r="E6150" s="49" t="s">
        <v>102</v>
      </c>
      <c r="F6150" s="49" t="s">
        <v>103</v>
      </c>
      <c r="G6150" s="51">
        <f>G6146*19%</f>
        <v>120498.9975</v>
      </c>
    </row>
    <row r="6151" spans="1:8" x14ac:dyDescent="0.25">
      <c r="A6151" s="61"/>
      <c r="B6151" s="62"/>
      <c r="C6151" s="62"/>
      <c r="D6151" s="62"/>
      <c r="E6151" s="57"/>
      <c r="F6151" s="57"/>
      <c r="G6151" s="58"/>
    </row>
    <row r="6152" spans="1:8" x14ac:dyDescent="0.25">
      <c r="A6152" s="219" t="s">
        <v>104</v>
      </c>
      <c r="B6152" s="219"/>
      <c r="C6152" s="219"/>
      <c r="D6152" s="219"/>
      <c r="E6152" s="219"/>
      <c r="F6152" s="219"/>
      <c r="G6152" s="52">
        <f>G6150+G6148</f>
        <v>15975630.247500001</v>
      </c>
    </row>
    <row r="6154" spans="1:8" x14ac:dyDescent="0.25">
      <c r="A6154" s="74" t="s">
        <v>29</v>
      </c>
      <c r="B6154" s="226" t="s">
        <v>30</v>
      </c>
      <c r="C6154" s="226"/>
      <c r="D6154" s="74" t="s">
        <v>31</v>
      </c>
      <c r="E6154" s="74" t="s">
        <v>32</v>
      </c>
      <c r="F6154" s="74" t="s">
        <v>189</v>
      </c>
      <c r="G6154" s="74" t="s">
        <v>33</v>
      </c>
      <c r="H6154" s="105"/>
    </row>
    <row r="6155" spans="1:8" ht="28.5" customHeight="1" x14ac:dyDescent="0.25">
      <c r="A6155" s="50" t="str">
        <f>Presupuesto!B119</f>
        <v>099_OC</v>
      </c>
      <c r="B6155" s="229" t="str">
        <f>Presupuesto!C119</f>
        <v>PUERTA EN CELOSIA ALUMINIO COLDROLLER (0,9 X 2.38M). INCLUYE CHAPA ANTIPÁNICO</v>
      </c>
      <c r="C6155" s="230"/>
      <c r="D6155" s="50" t="s">
        <v>8</v>
      </c>
      <c r="E6155" s="107">
        <v>0.8</v>
      </c>
      <c r="F6155" s="50"/>
      <c r="G6155" s="51">
        <f>G6220</f>
        <v>5178370.0154999997</v>
      </c>
      <c r="H6155" s="45"/>
    </row>
    <row r="6156" spans="1:8" x14ac:dyDescent="0.25">
      <c r="A6156" s="219" t="s">
        <v>34</v>
      </c>
      <c r="B6156" s="219"/>
      <c r="C6156" s="219"/>
      <c r="D6156" s="219"/>
      <c r="E6156" s="219"/>
      <c r="F6156" s="219"/>
      <c r="G6156" s="219"/>
    </row>
    <row r="6157" spans="1:8" x14ac:dyDescent="0.25">
      <c r="A6157" s="49" t="s">
        <v>35</v>
      </c>
      <c r="B6157" s="219" t="s">
        <v>36</v>
      </c>
      <c r="C6157" s="219"/>
      <c r="D6157" s="49" t="s">
        <v>37</v>
      </c>
      <c r="E6157" s="49" t="s">
        <v>38</v>
      </c>
      <c r="F6157" s="49" t="s">
        <v>39</v>
      </c>
      <c r="G6157" s="49" t="s">
        <v>40</v>
      </c>
    </row>
    <row r="6158" spans="1:8" x14ac:dyDescent="0.25">
      <c r="A6158" s="50" t="str">
        <f>Material!A297</f>
        <v>MA-296</v>
      </c>
      <c r="B6158" s="72" t="str">
        <f>IFERROR(VLOOKUP(A6158,Material!$A:$H,2,0),"-")</f>
        <v>PUERTA EN CELOSIA METÁLICA COLDROLLER (0,9 X 2.38M)</v>
      </c>
      <c r="C6158" s="76"/>
      <c r="D6158" s="50" t="str">
        <f>IFERROR(VLOOKUP(A6158,Material!$A:$H,4,0),"-")</f>
        <v>UN</v>
      </c>
      <c r="E6158" s="107">
        <v>1</v>
      </c>
      <c r="F6158" s="51">
        <f>IFERROR(VLOOKUP(A6158,Material!$A:$H,3,0),"-")</f>
        <v>3378648</v>
      </c>
      <c r="G6158" s="51">
        <f>IFERROR(ROUNDUP(F6158*E6158,0),"-")</f>
        <v>3378648</v>
      </c>
      <c r="H6158" s="106"/>
    </row>
    <row r="6159" spans="1:8" x14ac:dyDescent="0.25">
      <c r="A6159" s="50"/>
      <c r="B6159" s="72" t="str">
        <f>IFERROR(VLOOKUP(A6159,Material!$A:$H,2,0),"-")</f>
        <v>-</v>
      </c>
      <c r="C6159" s="76"/>
      <c r="D6159" s="50" t="str">
        <f>IFERROR(VLOOKUP(A6159,Material!$A:$H,4,0),"-")</f>
        <v>-</v>
      </c>
      <c r="E6159" s="107"/>
      <c r="F6159" s="51" t="str">
        <f>IFERROR(VLOOKUP(A6159,Material!$A:$H,3,0),"-")</f>
        <v>-</v>
      </c>
      <c r="G6159" s="51" t="str">
        <f>IFERROR(ROUNDUP(F6159*E6159,0),"-")</f>
        <v>-</v>
      </c>
      <c r="H6159" s="106"/>
    </row>
    <row r="6160" spans="1:8" x14ac:dyDescent="0.25">
      <c r="A6160" s="50"/>
      <c r="B6160" s="72" t="str">
        <f>IFERROR(VLOOKUP(A6160,Material!$A:$H,2,0),"-")</f>
        <v>-</v>
      </c>
      <c r="C6160" s="76"/>
      <c r="D6160" s="50" t="str">
        <f>IFERROR(VLOOKUP(A6160,Material!$A:$H,4,0),"-")</f>
        <v>-</v>
      </c>
      <c r="E6160" s="107"/>
      <c r="F6160" s="51" t="str">
        <f>IFERROR(VLOOKUP(A6160,Material!$A:$H,3,0),"-")</f>
        <v>-</v>
      </c>
      <c r="G6160" s="51" t="str">
        <f>IFERROR(ROUNDUP(F6160*E6160,0),"-")</f>
        <v>-</v>
      </c>
      <c r="H6160" s="106"/>
    </row>
    <row r="6161" spans="1:9" x14ac:dyDescent="0.25">
      <c r="A6161" s="50"/>
      <c r="B6161" s="72" t="str">
        <f>IFERROR(VLOOKUP(A6161,Material!$A:$H,2,0),"-")</f>
        <v>-</v>
      </c>
      <c r="C6161" s="76"/>
      <c r="D6161" s="50" t="str">
        <f>IFERROR(VLOOKUP(A6161,Material!$A:$H,4,0),"-")</f>
        <v>-</v>
      </c>
      <c r="E6161" s="107"/>
      <c r="F6161" s="51" t="str">
        <f>IFERROR(VLOOKUP(A6161,Material!$A:$H,3,0),"-")</f>
        <v>-</v>
      </c>
      <c r="G6161" s="51" t="str">
        <f>IFERROR(ROUNDUP(F6161*E6161,0),"-")</f>
        <v>-</v>
      </c>
      <c r="H6161" s="106"/>
    </row>
    <row r="6162" spans="1:9" x14ac:dyDescent="0.25">
      <c r="A6162" s="219" t="s">
        <v>41</v>
      </c>
      <c r="B6162" s="219"/>
      <c r="C6162" s="219"/>
      <c r="D6162" s="219"/>
      <c r="E6162" s="219"/>
      <c r="F6162" s="219"/>
      <c r="G6162" s="52">
        <f>SUM(G6158:G6161)</f>
        <v>3378648</v>
      </c>
      <c r="I6162" s="104"/>
    </row>
    <row r="6163" spans="1:9" x14ac:dyDescent="0.25">
      <c r="A6163" s="56"/>
      <c r="B6163" s="57"/>
      <c r="C6163" s="57"/>
      <c r="D6163" s="57"/>
      <c r="E6163" s="57"/>
      <c r="F6163" s="57"/>
      <c r="G6163" s="58"/>
    </row>
    <row r="6164" spans="1:9" x14ac:dyDescent="0.25">
      <c r="A6164" s="219" t="s">
        <v>42</v>
      </c>
      <c r="B6164" s="219"/>
      <c r="C6164" s="219"/>
      <c r="D6164" s="219"/>
      <c r="E6164" s="219"/>
      <c r="F6164" s="219"/>
      <c r="G6164" s="219"/>
    </row>
    <row r="6165" spans="1:9" x14ac:dyDescent="0.25">
      <c r="A6165" s="49" t="s">
        <v>35</v>
      </c>
      <c r="B6165" s="49" t="s">
        <v>36</v>
      </c>
      <c r="C6165" s="49" t="s">
        <v>38</v>
      </c>
      <c r="D6165" s="49" t="s">
        <v>43</v>
      </c>
      <c r="E6165" s="49" t="s">
        <v>44</v>
      </c>
      <c r="F6165" s="49" t="s">
        <v>45</v>
      </c>
      <c r="G6165" s="49" t="s">
        <v>40</v>
      </c>
    </row>
    <row r="6166" spans="1:9" x14ac:dyDescent="0.25">
      <c r="A6166" s="50" t="s">
        <v>319</v>
      </c>
      <c r="B6166" s="68" t="str">
        <f>VLOOKUP(A6166,'Componentes APUs'!$H$1:$L$25,2,0)</f>
        <v>Ingeniero Residente de Obra</v>
      </c>
      <c r="C6166" s="93">
        <v>0</v>
      </c>
      <c r="D6166" s="50">
        <f>VLOOKUP(A6166,'Componentes APUs'!$H$1:$L$25,3,0)</f>
        <v>4</v>
      </c>
      <c r="E6166" s="51">
        <f>VLOOKUP(A6166,'Componentes APUs'!$H$1:$L$25,4,0)</f>
        <v>271142.85714285716</v>
      </c>
      <c r="F6166" s="51">
        <f>VLOOKUP(A6166,'Componentes APUs'!$H$1:$L$25,5,0)</f>
        <v>162685.71428571429</v>
      </c>
      <c r="G6166" s="51">
        <f>ROUNDUP((E6166+F6166)*C6166/E6155,0)</f>
        <v>0</v>
      </c>
      <c r="H6166" s="66"/>
    </row>
    <row r="6167" spans="1:9" x14ac:dyDescent="0.25">
      <c r="A6167" s="50" t="s">
        <v>320</v>
      </c>
      <c r="B6167" s="68" t="str">
        <f>VLOOKUP(A6167,'Componentes APUs'!$H$1:$L$25,2,0)</f>
        <v>Tecnico Supervisor</v>
      </c>
      <c r="C6167" s="93">
        <v>0</v>
      </c>
      <c r="D6167" s="50">
        <f>VLOOKUP(A6167,'Componentes APUs'!$H$1:$L$25,3,0)</f>
        <v>2.2999999999999998</v>
      </c>
      <c r="E6167" s="51">
        <f>VLOOKUP(A6167,'Componentes APUs'!$H$1:$L$25,4,0)</f>
        <v>155907.14285714284</v>
      </c>
      <c r="F6167" s="51">
        <f>VLOOKUP(A6167,'Componentes APUs'!$H$1:$L$25,5,0)</f>
        <v>93544.285714285696</v>
      </c>
      <c r="G6167" s="51">
        <f>ROUNDUP((E6167+F6167)*C6167/E6155,0)</f>
        <v>0</v>
      </c>
    </row>
    <row r="6168" spans="1:9" x14ac:dyDescent="0.25">
      <c r="A6168" s="50" t="s">
        <v>54</v>
      </c>
      <c r="B6168" s="68" t="str">
        <f>VLOOKUP(A6168,'Componentes APUs'!$H$1:$L$25,2,0)</f>
        <v>Maestro de obra civil</v>
      </c>
      <c r="C6168" s="93">
        <v>0</v>
      </c>
      <c r="D6168" s="50">
        <f>VLOOKUP(A6168,'Componentes APUs'!$H$1:$L$25,3,0)</f>
        <v>2.5</v>
      </c>
      <c r="E6168" s="51">
        <f>VLOOKUP(A6168,'Componentes APUs'!$H$1:$L$25,4,0)</f>
        <v>169464.28571428571</v>
      </c>
      <c r="F6168" s="51">
        <f>VLOOKUP(A6168,'Componentes APUs'!$H$1:$L$25,5,0)</f>
        <v>101678.57142857142</v>
      </c>
      <c r="G6168" s="51">
        <f>ROUNDUP((E6168+F6168)*C6168/E6155,0)</f>
        <v>0</v>
      </c>
    </row>
    <row r="6169" spans="1:9" x14ac:dyDescent="0.25">
      <c r="A6169" s="50" t="s">
        <v>1110</v>
      </c>
      <c r="B6169" s="68" t="str">
        <f>VLOOKUP(A6169,'Componentes APUs'!$H$1:$L$25,2,0)</f>
        <v>Oficial de Obra Civil</v>
      </c>
      <c r="C6169" s="93">
        <v>0</v>
      </c>
      <c r="D6169" s="50">
        <f>VLOOKUP(A6169,'Componentes APUs'!$H$1:$L$25,3,0)</f>
        <v>1.5</v>
      </c>
      <c r="E6169" s="51">
        <f>VLOOKUP(A6169,'Componentes APUs'!$H$1:$L$25,4,0)</f>
        <v>115964.28571428571</v>
      </c>
      <c r="F6169" s="51">
        <f>VLOOKUP(A6169,'Componentes APUs'!$H$1:$L$25,5,0)</f>
        <v>69578.57142857142</v>
      </c>
      <c r="G6169" s="51">
        <f>ROUNDUP((E6169+F6169)*C6169/E6155,0)</f>
        <v>0</v>
      </c>
    </row>
    <row r="6170" spans="1:9" x14ac:dyDescent="0.25">
      <c r="A6170" s="50" t="s">
        <v>50</v>
      </c>
      <c r="B6170" s="68" t="str">
        <f>VLOOKUP(A6170,'Componentes APUs'!$H$1:$L$25,2,0)</f>
        <v>Profesional en SST</v>
      </c>
      <c r="C6170" s="93">
        <v>0.25</v>
      </c>
      <c r="D6170" s="50">
        <f>VLOOKUP(A6170,'Componentes APUs'!$H$1:$L$25,3,0)</f>
        <v>2.5</v>
      </c>
      <c r="E6170" s="51">
        <f>VLOOKUP(A6170,'Componentes APUs'!$H$1:$L$25,4,0)</f>
        <v>169464.28571428571</v>
      </c>
      <c r="F6170" s="51">
        <f>VLOOKUP(A6170,'Componentes APUs'!$H$1:$L$25,5,0)</f>
        <v>101678.57142857142</v>
      </c>
      <c r="G6170" s="51">
        <f>ROUNDUP((E6170+F6170)*C6170/E6155,0)</f>
        <v>84733</v>
      </c>
    </row>
    <row r="6171" spans="1:9" x14ac:dyDescent="0.25">
      <c r="A6171" s="50" t="s">
        <v>1109</v>
      </c>
      <c r="B6171" s="68" t="str">
        <f>VLOOKUP(A6171,'Componentes APUs'!$H$1:$L$25,2,0)</f>
        <v>Ayudante de Obra Civil</v>
      </c>
      <c r="C6171" s="93">
        <v>2</v>
      </c>
      <c r="D6171" s="50">
        <f>VLOOKUP(A6171,'Componentes APUs'!$H$1:$L$25,3,0)</f>
        <v>1</v>
      </c>
      <c r="E6171" s="51">
        <f>VLOOKUP(A6171,'Componentes APUs'!$H$1:$L$25,4,0)</f>
        <v>77309.523809523816</v>
      </c>
      <c r="F6171" s="51">
        <f>VLOOKUP(A6171,'Componentes APUs'!$H$1:$L$25,5,0)</f>
        <v>46385.71428571429</v>
      </c>
      <c r="G6171" s="51">
        <f>ROUNDUP((E6171+F6171)*C6171/E6155,0)</f>
        <v>309239</v>
      </c>
    </row>
    <row r="6172" spans="1:9" x14ac:dyDescent="0.25">
      <c r="A6172" s="219" t="s">
        <v>56</v>
      </c>
      <c r="B6172" s="219"/>
      <c r="C6172" s="219"/>
      <c r="D6172" s="219"/>
      <c r="E6172" s="219"/>
      <c r="F6172" s="219"/>
      <c r="G6172" s="52">
        <f>SUM(G6166:G6171)</f>
        <v>393972</v>
      </c>
    </row>
    <row r="6173" spans="1:9" x14ac:dyDescent="0.25">
      <c r="A6173" s="56"/>
      <c r="B6173" s="57"/>
      <c r="C6173" s="57"/>
      <c r="D6173" s="57"/>
      <c r="E6173" s="57"/>
      <c r="F6173" s="57"/>
      <c r="G6173" s="58"/>
    </row>
    <row r="6174" spans="1:9" x14ac:dyDescent="0.25">
      <c r="A6174" s="219" t="s">
        <v>57</v>
      </c>
      <c r="B6174" s="219"/>
      <c r="C6174" s="219"/>
      <c r="D6174" s="219"/>
      <c r="E6174" s="219"/>
      <c r="F6174" s="219"/>
      <c r="G6174" s="219"/>
    </row>
    <row r="6175" spans="1:9" x14ac:dyDescent="0.25">
      <c r="A6175" s="49" t="s">
        <v>35</v>
      </c>
      <c r="B6175" s="219" t="s">
        <v>36</v>
      </c>
      <c r="C6175" s="219"/>
      <c r="D6175" s="49" t="s">
        <v>37</v>
      </c>
      <c r="E6175" s="49" t="s">
        <v>38</v>
      </c>
      <c r="F6175" s="49" t="s">
        <v>39</v>
      </c>
      <c r="G6175" s="49" t="s">
        <v>40</v>
      </c>
    </row>
    <row r="6176" spans="1:9" x14ac:dyDescent="0.25">
      <c r="A6176" s="50" t="s">
        <v>326</v>
      </c>
      <c r="B6176" s="220" t="str">
        <f>VLOOKUP(A6176,'Componentes APUs'!$S$1:$V$10,2,0)</f>
        <v>Juego Llaves</v>
      </c>
      <c r="C6176" s="220"/>
      <c r="D6176" s="50" t="s">
        <v>18</v>
      </c>
      <c r="E6176" s="50">
        <v>0</v>
      </c>
      <c r="F6176" s="51">
        <f>VLOOKUP(A6176,'Componentes APUs'!$S$1:$V$10,4,0)</f>
        <v>9167</v>
      </c>
      <c r="G6176" s="51">
        <f>ROUNDUP(F6176*((E6176/21)/E6155),0)</f>
        <v>0</v>
      </c>
      <c r="I6176" s="91"/>
    </row>
    <row r="6177" spans="1:9" x14ac:dyDescent="0.25">
      <c r="A6177" s="50" t="s">
        <v>58</v>
      </c>
      <c r="B6177" s="220" t="str">
        <f>VLOOKUP(A6177,'Componentes APUs'!$S$1:$V$10,2,0)</f>
        <v>Manila de servicio</v>
      </c>
      <c r="C6177" s="220"/>
      <c r="D6177" s="50" t="s">
        <v>18</v>
      </c>
      <c r="E6177" s="50">
        <v>0</v>
      </c>
      <c r="F6177" s="51">
        <f>VLOOKUP(A6177,'Componentes APUs'!$S$1:$V$10,4,0)</f>
        <v>2333</v>
      </c>
      <c r="G6177" s="51">
        <f>ROUNDUP(F6177*((E6177/21)/E6155),0)</f>
        <v>0</v>
      </c>
    </row>
    <row r="6178" spans="1:9" x14ac:dyDescent="0.25">
      <c r="A6178" s="50" t="s">
        <v>327</v>
      </c>
      <c r="B6178" s="220" t="str">
        <f>VLOOKUP(A6178,'Componentes APUs'!$S$1:$V$10,2,0)</f>
        <v>Tula portaherramientas</v>
      </c>
      <c r="C6178" s="220"/>
      <c r="D6178" s="50" t="s">
        <v>18</v>
      </c>
      <c r="E6178" s="50">
        <v>0</v>
      </c>
      <c r="F6178" s="51">
        <f>VLOOKUP(A6178,'Componentes APUs'!$S$1:$V$10,4,0)</f>
        <v>1250</v>
      </c>
      <c r="G6178" s="51">
        <f>ROUNDUP(F6178*((E6178/21)/E6155),0)</f>
        <v>0</v>
      </c>
    </row>
    <row r="6179" spans="1:9" x14ac:dyDescent="0.25">
      <c r="A6179" s="50" t="s">
        <v>60</v>
      </c>
      <c r="B6179" s="220" t="str">
        <f>VLOOKUP(A6179,'Componentes APUs'!$S$1:$V$10,2,0)</f>
        <v>Agarradoras</v>
      </c>
      <c r="C6179" s="220"/>
      <c r="D6179" s="50" t="s">
        <v>18</v>
      </c>
      <c r="E6179" s="50">
        <v>0</v>
      </c>
      <c r="F6179" s="51">
        <f>VLOOKUP(A6179,'Componentes APUs'!$S$1:$V$10,4,0)</f>
        <v>125000</v>
      </c>
      <c r="G6179" s="51">
        <f>ROUNDUP(F6179*((E6179/21)/E6155),0)</f>
        <v>0</v>
      </c>
    </row>
    <row r="6180" spans="1:9" x14ac:dyDescent="0.25">
      <c r="A6180" s="50" t="s">
        <v>62</v>
      </c>
      <c r="B6180" s="220" t="str">
        <f>VLOOKUP(A6180,'Componentes APUs'!$S$1:$V$10,2,0)</f>
        <v>Templadoras</v>
      </c>
      <c r="C6180" s="220"/>
      <c r="D6180" s="50" t="s">
        <v>18</v>
      </c>
      <c r="E6180" s="50">
        <v>0</v>
      </c>
      <c r="F6180" s="51">
        <f>VLOOKUP(A6180,'Componentes APUs'!$S$1:$V$10,4,0)</f>
        <v>250000</v>
      </c>
      <c r="G6180" s="51">
        <f>ROUNDUP(F6180*((E6180/21)/E6155),0)</f>
        <v>0</v>
      </c>
    </row>
    <row r="6181" spans="1:9" x14ac:dyDescent="0.25">
      <c r="A6181" s="50" t="s">
        <v>328</v>
      </c>
      <c r="B6181" s="220" t="str">
        <f>VLOOKUP(A6181,'Componentes APUs'!$S$1:$V$10,2,0)</f>
        <v>Herramienta Menor</v>
      </c>
      <c r="C6181" s="220"/>
      <c r="D6181" s="50" t="s">
        <v>18</v>
      </c>
      <c r="E6181" s="50">
        <v>1</v>
      </c>
      <c r="F6181" s="51">
        <f>VLOOKUP(A6181,'Componentes APUs'!$S$1:$V$10,4,0)</f>
        <v>75758</v>
      </c>
      <c r="G6181" s="51">
        <f>ROUNDUP(F6181*((E6181/21)/E6155),0)</f>
        <v>4510</v>
      </c>
    </row>
    <row r="6182" spans="1:9" x14ac:dyDescent="0.25">
      <c r="A6182" s="219" t="s">
        <v>69</v>
      </c>
      <c r="B6182" s="219"/>
      <c r="C6182" s="219"/>
      <c r="D6182" s="219"/>
      <c r="E6182" s="219"/>
      <c r="F6182" s="219"/>
      <c r="G6182" s="52">
        <f>SUM(G6176:G6181)</f>
        <v>4510</v>
      </c>
    </row>
    <row r="6183" spans="1:9" x14ac:dyDescent="0.25">
      <c r="A6183" s="56"/>
      <c r="B6183" s="57"/>
      <c r="C6183" s="57"/>
      <c r="D6183" s="57"/>
      <c r="E6183" s="57"/>
      <c r="F6183" s="57"/>
      <c r="G6183" s="58"/>
    </row>
    <row r="6184" spans="1:9" x14ac:dyDescent="0.25">
      <c r="A6184" s="219" t="s">
        <v>70</v>
      </c>
      <c r="B6184" s="219"/>
      <c r="C6184" s="219"/>
      <c r="D6184" s="219"/>
      <c r="E6184" s="219"/>
      <c r="F6184" s="219"/>
      <c r="G6184" s="219"/>
    </row>
    <row r="6185" spans="1:9" x14ac:dyDescent="0.25">
      <c r="A6185" s="49" t="s">
        <v>35</v>
      </c>
      <c r="B6185" s="219" t="s">
        <v>36</v>
      </c>
      <c r="C6185" s="219"/>
      <c r="D6185" s="49" t="s">
        <v>37</v>
      </c>
      <c r="E6185" s="49" t="s">
        <v>38</v>
      </c>
      <c r="F6185" s="49" t="s">
        <v>39</v>
      </c>
      <c r="G6185" s="49" t="s">
        <v>40</v>
      </c>
    </row>
    <row r="6186" spans="1:9" x14ac:dyDescent="0.25">
      <c r="A6186" s="50" t="s">
        <v>71</v>
      </c>
      <c r="B6186" s="71" t="str">
        <f>VLOOKUP(A6186,'Componentes APUs'!$A$1:$D$14,2,0)</f>
        <v>Camisa indigo sin partes metalicas</v>
      </c>
      <c r="C6186" s="71"/>
      <c r="D6186" s="50" t="str">
        <f>VLOOKUP(A6186,'Componentes APUs'!$A$1:$D$14,3,0)</f>
        <v>U</v>
      </c>
      <c r="E6186" s="50">
        <f>SUM(C6166:C6171)</f>
        <v>2.25</v>
      </c>
      <c r="F6186" s="51">
        <f>VLOOKUP(A6186,'Componentes APUs'!$A$1:$D$14,4,0)</f>
        <v>8585.8585858585866</v>
      </c>
      <c r="G6186" s="51">
        <f>ROUNDUP(F6186*(E6186/21)/E6155,0)</f>
        <v>1150</v>
      </c>
      <c r="I6186" s="91"/>
    </row>
    <row r="6187" spans="1:9" x14ac:dyDescent="0.25">
      <c r="A6187" s="69" t="s">
        <v>73</v>
      </c>
      <c r="B6187" s="72" t="str">
        <f>VLOOKUP(A6187,'Componentes APUs'!$A$1:$D$14,2,0)</f>
        <v>Bota de seguridad dielectrica</v>
      </c>
      <c r="C6187" s="73"/>
      <c r="D6187" s="70" t="str">
        <f>VLOOKUP(A6187,'Componentes APUs'!$A$1:$D$14,3,0)</f>
        <v>Par</v>
      </c>
      <c r="E6187" s="50">
        <f>SUM(C6166:C6171)</f>
        <v>2.25</v>
      </c>
      <c r="F6187" s="51">
        <f>VLOOKUP(A6187,'Componentes APUs'!$A$1:$D$14,4,0)</f>
        <v>7500</v>
      </c>
      <c r="G6187" s="51">
        <f>ROUNDUP(F6187*(E6187/21)/E6155,0)</f>
        <v>1005</v>
      </c>
    </row>
    <row r="6188" spans="1:9" x14ac:dyDescent="0.25">
      <c r="A6188" s="50" t="s">
        <v>76</v>
      </c>
      <c r="B6188" s="72" t="str">
        <f>VLOOKUP(A6188,'Componentes APUs'!$A$1:$D$14,2,0)</f>
        <v>Casco dielectrico Tipo 1 Clase E con barbuquejo</v>
      </c>
      <c r="C6188" s="73"/>
      <c r="D6188" s="50" t="str">
        <f>VLOOKUP(A6188,'Componentes APUs'!$A$1:$D$14,3,0)</f>
        <v>U</v>
      </c>
      <c r="E6188" s="50">
        <f>C6166+C6167+C6169+C6170+C6171+IF(A6168&lt;&gt;"MO-3",C6168,0)</f>
        <v>2.25</v>
      </c>
      <c r="F6188" s="51">
        <f>VLOOKUP(A6188,'Componentes APUs'!$A$1:$D$14,4,0)</f>
        <v>10101.010101010101</v>
      </c>
      <c r="G6188" s="51">
        <f>ROUNDUP(F6188*(E6188/21)/E6155,0)</f>
        <v>1353</v>
      </c>
    </row>
    <row r="6189" spans="1:9" x14ac:dyDescent="0.25">
      <c r="A6189" s="69" t="s">
        <v>77</v>
      </c>
      <c r="B6189" s="72" t="str">
        <f>VLOOKUP(A6189,'Componentes APUs'!$A$1:$D$14,2,0)</f>
        <v>Correa plastica y antiflama</v>
      </c>
      <c r="C6189" s="73"/>
      <c r="D6189" s="50" t="str">
        <f>VLOOKUP(A6189,'Componentes APUs'!$A$1:$D$14,3,0)</f>
        <v>U</v>
      </c>
      <c r="E6189" s="50">
        <f>SUM(C6166:C6171)</f>
        <v>2.25</v>
      </c>
      <c r="F6189" s="51">
        <f>VLOOKUP(A6189,'Componentes APUs'!$A$1:$D$14,4,0)</f>
        <v>3787.878787878788</v>
      </c>
      <c r="G6189" s="51">
        <f>ROUNDUP(F6189*(E6189/21)/E6155,0)</f>
        <v>508</v>
      </c>
    </row>
    <row r="6190" spans="1:9" x14ac:dyDescent="0.25">
      <c r="A6190" s="50" t="s">
        <v>79</v>
      </c>
      <c r="B6190" s="72" t="str">
        <f>VLOOKUP(A6190,'Componentes APUs'!$A$1:$D$14,2,0)</f>
        <v>Gafas protectoras filtro UV</v>
      </c>
      <c r="C6190" s="73"/>
      <c r="D6190" s="50" t="str">
        <f>VLOOKUP(A6190,'Componentes APUs'!$A$1:$D$14,3,0)</f>
        <v>U</v>
      </c>
      <c r="E6190" s="50">
        <f>SUM(C6166:C6171)</f>
        <v>2.25</v>
      </c>
      <c r="F6190" s="51">
        <f>VLOOKUP(A6190,'Componentes APUs'!$A$1:$D$14,4,0)</f>
        <v>2777.7777777777778</v>
      </c>
      <c r="G6190" s="51">
        <f>ROUNDUP(F6190*(E6190/21)/E6155,0)</f>
        <v>373</v>
      </c>
    </row>
    <row r="6191" spans="1:9" x14ac:dyDescent="0.25">
      <c r="A6191" s="69" t="s">
        <v>402</v>
      </c>
      <c r="B6191" s="72" t="str">
        <f>VLOOKUP(A6191,'Componentes APUs'!$A$1:$D$14,2,0)</f>
        <v>Bota de seguridad PVC dielectrica</v>
      </c>
      <c r="C6191" s="73"/>
      <c r="D6191" s="50" t="str">
        <f>VLOOKUP(A6191,'Componentes APUs'!$A$1:$D$14,3,0)</f>
        <v>Par</v>
      </c>
      <c r="E6191" s="50">
        <f>SUM(C6166:C6171)</f>
        <v>2.25</v>
      </c>
      <c r="F6191" s="51">
        <f>VLOOKUP(A6191,'Componentes APUs'!$A$1:$D$14,4,0)</f>
        <v>2916.6666666666665</v>
      </c>
      <c r="G6191" s="51">
        <f>ROUNDUP(F6191*(E6191/21)/E6155,0)</f>
        <v>391</v>
      </c>
    </row>
    <row r="6192" spans="1:9" x14ac:dyDescent="0.25">
      <c r="A6192" s="50" t="s">
        <v>403</v>
      </c>
      <c r="B6192" s="72" t="str">
        <f>VLOOKUP(A6192,'Componentes APUs'!$A$1:$D$14,2,0)</f>
        <v>Capuchon</v>
      </c>
      <c r="C6192" s="73"/>
      <c r="D6192" s="50" t="str">
        <f>VLOOKUP(A6192,'Componentes APUs'!$A$1:$D$14,3,0)</f>
        <v>U</v>
      </c>
      <c r="E6192" s="50">
        <f>SUM(C6166:C6171)</f>
        <v>2.25</v>
      </c>
      <c r="F6192" s="51">
        <f>VLOOKUP(A6192,'Componentes APUs'!$A$1:$D$14,4,0)</f>
        <v>2525.2525252525252</v>
      </c>
      <c r="G6192" s="51">
        <f>ROUNDUP(F6192*(E6192/21)/E6155,0)</f>
        <v>339</v>
      </c>
    </row>
    <row r="6193" spans="1:7" x14ac:dyDescent="0.25">
      <c r="A6193" s="69" t="s">
        <v>81</v>
      </c>
      <c r="B6193" s="72" t="str">
        <f>VLOOKUP(A6193,'Componentes APUs'!$A$1:$D$14,2,0)</f>
        <v>Guantes Protectores  - ingeniero reforzados</v>
      </c>
      <c r="C6193" s="73"/>
      <c r="D6193" s="50" t="str">
        <f>VLOOKUP(A6193,'Componentes APUs'!$A$1:$D$14,3,0)</f>
        <v>Par</v>
      </c>
      <c r="E6193" s="50">
        <f>C6168+C6169+C6171</f>
        <v>2</v>
      </c>
      <c r="F6193" s="51">
        <f>VLOOKUP(A6193,'Componentes APUs'!$A$1:$D$14,4,0)</f>
        <v>2525.2525252525252</v>
      </c>
      <c r="G6193" s="51">
        <f>ROUNDUP(F6193*(E6193/21)/E6155,0)</f>
        <v>301</v>
      </c>
    </row>
    <row r="6194" spans="1:7" x14ac:dyDescent="0.25">
      <c r="A6194" s="50" t="s">
        <v>83</v>
      </c>
      <c r="B6194" s="72" t="str">
        <f>VLOOKUP(A6194,'Componentes APUs'!$A$1:$D$14,2,0)</f>
        <v>Impermeable (pantalon camisa)</v>
      </c>
      <c r="C6194" s="73"/>
      <c r="D6194" s="50" t="str">
        <f>VLOOKUP(A6194,'Componentes APUs'!$A$1:$D$14,3,0)</f>
        <v>U</v>
      </c>
      <c r="E6194" s="50">
        <f>SUM(C6166:C6171)</f>
        <v>2.25</v>
      </c>
      <c r="F6194" s="51">
        <f>VLOOKUP(A6194,'Componentes APUs'!$A$1:$D$14,4,0)</f>
        <v>3750</v>
      </c>
      <c r="G6194" s="51">
        <f>ROUNDUP(F6194*(E6194/21)/E6155,0)</f>
        <v>503</v>
      </c>
    </row>
    <row r="6195" spans="1:7" x14ac:dyDescent="0.25">
      <c r="A6195" s="69" t="s">
        <v>85</v>
      </c>
      <c r="B6195" s="72" t="str">
        <f>VLOOKUP(A6195,'Componentes APUs'!$A$1:$D$14,2,0)</f>
        <v>Jean Dielectrico</v>
      </c>
      <c r="C6195" s="73"/>
      <c r="D6195" s="50" t="str">
        <f>VLOOKUP(A6195,'Componentes APUs'!$A$1:$D$14,3,0)</f>
        <v>U</v>
      </c>
      <c r="E6195" s="50">
        <f>SUM(C6166:C6171)</f>
        <v>2.25</v>
      </c>
      <c r="F6195" s="51">
        <f>VLOOKUP(A6195,'Componentes APUs'!$A$1:$D$14,4,0)</f>
        <v>7575.757575757576</v>
      </c>
      <c r="G6195" s="51">
        <f>ROUNDUP(F6195*(E6195/21)/E6155,0)</f>
        <v>1015</v>
      </c>
    </row>
    <row r="6196" spans="1:7" x14ac:dyDescent="0.25">
      <c r="A6196" s="50" t="s">
        <v>87</v>
      </c>
      <c r="B6196" s="72" t="str">
        <f>VLOOKUP(A6196,'Componentes APUs'!$A$1:$D$14,2,0)</f>
        <v>Casco dielectrico Tipo 2 Clase E con barboquejo</v>
      </c>
      <c r="C6196" s="73"/>
      <c r="D6196" s="50" t="str">
        <f>VLOOKUP(A6196,'Componentes APUs'!$A$1:$D$14,3,0)</f>
        <v>U</v>
      </c>
      <c r="E6196" s="53">
        <f>IF(A6168="MO-3",C6168,0)</f>
        <v>0</v>
      </c>
      <c r="F6196" s="51">
        <f>VLOOKUP(A6196,'Componentes APUs'!$A$1:$D$14,4,0)</f>
        <v>7500</v>
      </c>
      <c r="G6196" s="51">
        <f>ROUNDUP(F6196*(E6196/21)/E6155,0)</f>
        <v>0</v>
      </c>
    </row>
    <row r="6197" spans="1:7" x14ac:dyDescent="0.25">
      <c r="A6197" s="69" t="s">
        <v>89</v>
      </c>
      <c r="B6197" s="72" t="str">
        <f>VLOOKUP(A6197,'Componentes APUs'!$A$1:$D$14,2,0)</f>
        <v>Kit de rescate para trabajo en alturas</v>
      </c>
      <c r="C6197" s="73"/>
      <c r="D6197" s="50" t="str">
        <f>VLOOKUP(A6197,'Componentes APUs'!$A$1:$D$14,3,0)</f>
        <v>U</v>
      </c>
      <c r="E6197" s="50">
        <f>IF(AND(A6168="MO-3",C6168=2),1,0)</f>
        <v>0</v>
      </c>
      <c r="F6197" s="51">
        <f>VLOOKUP(A6197,'Componentes APUs'!$A$1:$D$14,4,0)</f>
        <v>37500</v>
      </c>
      <c r="G6197" s="51">
        <f>ROUNDUP(F6197*(E6197/21)/E6155,0)</f>
        <v>0</v>
      </c>
    </row>
    <row r="6198" spans="1:7" x14ac:dyDescent="0.25">
      <c r="A6198" s="50" t="s">
        <v>91</v>
      </c>
      <c r="B6198" s="72" t="str">
        <f>VLOOKUP(A6198,'Componentes APUs'!$A$1:$D$14,2,0)</f>
        <v>Equipo completo para trabajo en alturas con pretales (Arnes dielectrico, 1 mosqueton de seguridad, tie off dielectrico, eslinga de posicionamiento, juego de pretales)</v>
      </c>
      <c r="C6198" s="73"/>
      <c r="D6198" s="50" t="str">
        <f>VLOOKUP(A6198,'Componentes APUs'!$A$1:$D$14,3,0)</f>
        <v>U</v>
      </c>
      <c r="E6198" s="50">
        <f>IF(A6168="MO-3",C6168,0)</f>
        <v>0</v>
      </c>
      <c r="F6198" s="51">
        <f>VLOOKUP(A6198,'Componentes APUs'!$A$1:$D$14,4,0)</f>
        <v>26041.666666666668</v>
      </c>
      <c r="G6198" s="51">
        <f>ROUNDUP(F6198*(E6198/21)/E6155,0)</f>
        <v>0</v>
      </c>
    </row>
    <row r="6199" spans="1:7" x14ac:dyDescent="0.25">
      <c r="A6199" s="219" t="s">
        <v>95</v>
      </c>
      <c r="B6199" s="219"/>
      <c r="C6199" s="219"/>
      <c r="D6199" s="219"/>
      <c r="E6199" s="219"/>
      <c r="F6199" s="219"/>
      <c r="G6199" s="52">
        <f>SUM(G6186:G6198)</f>
        <v>6938</v>
      </c>
    </row>
    <row r="6200" spans="1:7" x14ac:dyDescent="0.25">
      <c r="A6200" s="56"/>
      <c r="B6200" s="57"/>
      <c r="C6200" s="57"/>
      <c r="D6200" s="57"/>
      <c r="E6200" s="57"/>
      <c r="F6200" s="57"/>
      <c r="G6200" s="58"/>
    </row>
    <row r="6201" spans="1:7" x14ac:dyDescent="0.25">
      <c r="A6201" s="219" t="s">
        <v>96</v>
      </c>
      <c r="B6201" s="219"/>
      <c r="C6201" s="219"/>
      <c r="D6201" s="219"/>
      <c r="E6201" s="219"/>
      <c r="F6201" s="219"/>
      <c r="G6201" s="219"/>
    </row>
    <row r="6202" spans="1:7" x14ac:dyDescent="0.25">
      <c r="A6202" s="49" t="s">
        <v>35</v>
      </c>
      <c r="B6202" s="225" t="s">
        <v>36</v>
      </c>
      <c r="C6202" s="225"/>
      <c r="D6202" s="49" t="s">
        <v>37</v>
      </c>
      <c r="E6202" s="49" t="s">
        <v>38</v>
      </c>
      <c r="F6202" s="49" t="s">
        <v>39</v>
      </c>
      <c r="G6202" s="49" t="s">
        <v>40</v>
      </c>
    </row>
    <row r="6203" spans="1:7" x14ac:dyDescent="0.25">
      <c r="A6203" s="69" t="s">
        <v>97</v>
      </c>
      <c r="B6203" s="72" t="str">
        <f>VLOOKUP(A6203,'Componentes APUs'!$N$1:$Q$30,2,0)</f>
        <v>Camioneta</v>
      </c>
      <c r="C6203" s="73"/>
      <c r="D6203" s="70" t="str">
        <f>VLOOKUP(A6203,'Componentes APUs'!$N$1:$Q$30,3,0)</f>
        <v>U</v>
      </c>
      <c r="E6203" s="50">
        <v>1</v>
      </c>
      <c r="F6203" s="51">
        <f>VLOOKUP(A6203,'Componentes APUs'!$N$1:$Q$30,4,0)</f>
        <v>5500000</v>
      </c>
      <c r="G6203" s="51">
        <f>IFERROR(ROUNDUP(F6203*(E6203/21)/E6155,0),"-")</f>
        <v>327381</v>
      </c>
    </row>
    <row r="6204" spans="1:7" x14ac:dyDescent="0.25">
      <c r="A6204" s="50" t="s">
        <v>321</v>
      </c>
      <c r="B6204" s="72" t="str">
        <f>VLOOKUP(A6204,'Componentes APUs'!$N$1:$Q$30,2,0)</f>
        <v>Grúa Hidráulica</v>
      </c>
      <c r="C6204" s="73"/>
      <c r="D6204" s="70" t="str">
        <f>VLOOKUP(A6204,'Componentes APUs'!$N$1:$Q$30,3,0)</f>
        <v>U</v>
      </c>
      <c r="E6204" s="50">
        <v>0</v>
      </c>
      <c r="F6204" s="51">
        <f>VLOOKUP(A6204,'Componentes APUs'!$N$1:$Q$30,4,0)</f>
        <v>21000000</v>
      </c>
      <c r="G6204" s="51">
        <f>IFERROR(ROUNDUP(F6204*(E6204/21)/E6155,0),"-")</f>
        <v>0</v>
      </c>
    </row>
    <row r="6205" spans="1:7" x14ac:dyDescent="0.25">
      <c r="A6205" s="69" t="s">
        <v>1379</v>
      </c>
      <c r="B6205" s="72" t="str">
        <f>VLOOKUP(A6205,'Componentes APUs'!$N$1:$Q$30,2,0)</f>
        <v>Dumper de descarga Frontal 2T</v>
      </c>
      <c r="C6205" s="73"/>
      <c r="D6205" s="70" t="str">
        <f>VLOOKUP(A6205,'Componentes APUs'!$N$1:$Q$30,3,0)</f>
        <v>U</v>
      </c>
      <c r="E6205" s="50">
        <v>0</v>
      </c>
      <c r="F6205" s="51">
        <f>VLOOKUP(A6205,'Componentes APUs'!$N$1:$Q$30,4,0)</f>
        <v>4438716.24</v>
      </c>
      <c r="G6205" s="51">
        <f>IFERROR(ROUNDUP(F6205*(E6205/21)/E6155,0),"-")</f>
        <v>0</v>
      </c>
    </row>
    <row r="6206" spans="1:7" x14ac:dyDescent="0.25">
      <c r="A6206" s="50" t="s">
        <v>323</v>
      </c>
      <c r="B6206" s="72" t="str">
        <f>VLOOKUP(A6206,'Componentes APUs'!$N$1:$Q$30,2,0)</f>
        <v>Volqueta</v>
      </c>
      <c r="C6206" s="73"/>
      <c r="D6206" s="70" t="str">
        <f>VLOOKUP(A6206,'Componentes APUs'!$N$1:$Q$30,3,0)</f>
        <v>U</v>
      </c>
      <c r="E6206" s="50">
        <v>0</v>
      </c>
      <c r="F6206" s="51">
        <f>VLOOKUP(A6206,'Componentes APUs'!$N$1:$Q$30,4,0)</f>
        <v>14828184</v>
      </c>
      <c r="G6206" s="51">
        <f>IFERROR(ROUNDUP(F6206*(E6206/21)/E6155,0),"-")</f>
        <v>0</v>
      </c>
    </row>
    <row r="6207" spans="1:7" x14ac:dyDescent="0.25">
      <c r="A6207" s="69" t="s">
        <v>324</v>
      </c>
      <c r="B6207" s="72" t="str">
        <f>VLOOKUP(A6207,'Componentes APUs'!$N$1:$Q$30,2,0)</f>
        <v>Retroexcavadora</v>
      </c>
      <c r="C6207" s="73"/>
      <c r="D6207" s="70" t="str">
        <f>VLOOKUP(A6207,'Componentes APUs'!$N$1:$Q$30,3,0)</f>
        <v>U</v>
      </c>
      <c r="E6207" s="50">
        <v>0</v>
      </c>
      <c r="F6207" s="51">
        <f>VLOOKUP(A6207,'Componentes APUs'!$N$1:$Q$30,4,0)</f>
        <v>46030656</v>
      </c>
      <c r="G6207" s="51">
        <f>IFERROR(ROUNDUP(F6207*(E6207/21)/E6155,0),"-")</f>
        <v>0</v>
      </c>
    </row>
    <row r="6208" spans="1:7" x14ac:dyDescent="0.25">
      <c r="A6208" s="219" t="s">
        <v>99</v>
      </c>
      <c r="B6208" s="219"/>
      <c r="C6208" s="219"/>
      <c r="D6208" s="219"/>
      <c r="E6208" s="219"/>
      <c r="F6208" s="219"/>
      <c r="G6208" s="52">
        <f>SUM(G6203:G6207)</f>
        <v>327381</v>
      </c>
    </row>
    <row r="6209" spans="1:8" x14ac:dyDescent="0.25">
      <c r="A6209" s="56"/>
      <c r="B6209" s="57"/>
      <c r="C6209" s="57"/>
      <c r="D6209" s="57"/>
      <c r="E6209" s="57"/>
      <c r="F6209" s="57"/>
      <c r="G6209" s="58"/>
    </row>
    <row r="6210" spans="1:8" x14ac:dyDescent="0.25">
      <c r="A6210" s="219" t="s">
        <v>100</v>
      </c>
      <c r="B6210" s="219"/>
      <c r="C6210" s="219"/>
      <c r="D6210" s="219"/>
      <c r="E6210" s="219"/>
      <c r="F6210" s="219"/>
      <c r="G6210" s="52">
        <f>G6208+G6199+G6182+G6172+G6162</f>
        <v>4111449</v>
      </c>
    </row>
    <row r="6211" spans="1:8" x14ac:dyDescent="0.25">
      <c r="A6211" s="59"/>
      <c r="B6211" s="60"/>
      <c r="C6211" s="60"/>
      <c r="D6211" s="60"/>
      <c r="E6211" s="57"/>
      <c r="F6211" s="57"/>
      <c r="G6211" s="58"/>
    </row>
    <row r="6212" spans="1:8" x14ac:dyDescent="0.25">
      <c r="A6212" s="64"/>
      <c r="D6212" s="55"/>
      <c r="E6212" s="49" t="s">
        <v>25</v>
      </c>
      <c r="F6212" s="54">
        <v>0.15</v>
      </c>
      <c r="G6212" s="51">
        <f>G6210*F6212</f>
        <v>616717.35</v>
      </c>
    </row>
    <row r="6213" spans="1:8" x14ac:dyDescent="0.25">
      <c r="A6213" s="64"/>
      <c r="D6213" s="55"/>
      <c r="E6213" s="49" t="s">
        <v>26</v>
      </c>
      <c r="F6213" s="54">
        <v>0.05</v>
      </c>
      <c r="G6213" s="51">
        <f>G6210*F6213</f>
        <v>205572.45</v>
      </c>
    </row>
    <row r="6214" spans="1:8" x14ac:dyDescent="0.25">
      <c r="A6214" s="61"/>
      <c r="B6214" s="65"/>
      <c r="C6214" s="65"/>
      <c r="D6214" s="62"/>
      <c r="E6214" s="49" t="s">
        <v>27</v>
      </c>
      <c r="F6214" s="54">
        <v>0.05</v>
      </c>
      <c r="G6214" s="51">
        <f>G6210*F6214</f>
        <v>205572.45</v>
      </c>
    </row>
    <row r="6215" spans="1:8" x14ac:dyDescent="0.25">
      <c r="A6215" s="61"/>
      <c r="B6215" s="62"/>
      <c r="C6215" s="62"/>
      <c r="D6215" s="62"/>
      <c r="E6215" s="62"/>
      <c r="F6215" s="62"/>
      <c r="G6215" s="63"/>
    </row>
    <row r="6216" spans="1:8" x14ac:dyDescent="0.25">
      <c r="A6216" s="219" t="s">
        <v>101</v>
      </c>
      <c r="B6216" s="219"/>
      <c r="C6216" s="219"/>
      <c r="D6216" s="219"/>
      <c r="E6216" s="219"/>
      <c r="F6216" s="219"/>
      <c r="G6216" s="52">
        <f>G6210+G6212+G6213+G6214</f>
        <v>5139311.25</v>
      </c>
    </row>
    <row r="6217" spans="1:8" x14ac:dyDescent="0.25">
      <c r="A6217" s="59"/>
      <c r="B6217" s="60"/>
      <c r="C6217" s="60"/>
      <c r="D6217" s="60"/>
      <c r="E6217" s="57"/>
      <c r="F6217" s="57"/>
      <c r="G6217" s="58"/>
    </row>
    <row r="6218" spans="1:8" x14ac:dyDescent="0.25">
      <c r="A6218" s="64"/>
      <c r="D6218" s="55"/>
      <c r="E6218" s="49" t="s">
        <v>102</v>
      </c>
      <c r="F6218" s="49" t="s">
        <v>103</v>
      </c>
      <c r="G6218" s="51">
        <f>G6214*19%</f>
        <v>39058.765500000001</v>
      </c>
    </row>
    <row r="6219" spans="1:8" x14ac:dyDescent="0.25">
      <c r="A6219" s="61"/>
      <c r="B6219" s="62"/>
      <c r="C6219" s="62"/>
      <c r="D6219" s="62"/>
      <c r="E6219" s="57"/>
      <c r="F6219" s="57"/>
      <c r="G6219" s="58"/>
    </row>
    <row r="6220" spans="1:8" x14ac:dyDescent="0.25">
      <c r="A6220" s="219" t="s">
        <v>104</v>
      </c>
      <c r="B6220" s="219"/>
      <c r="C6220" s="219"/>
      <c r="D6220" s="219"/>
      <c r="E6220" s="219"/>
      <c r="F6220" s="219"/>
      <c r="G6220" s="52">
        <f>G6218+G6216</f>
        <v>5178370.0154999997</v>
      </c>
    </row>
    <row r="6222" spans="1:8" x14ac:dyDescent="0.25">
      <c r="A6222" s="74" t="s">
        <v>29</v>
      </c>
      <c r="B6222" s="226" t="s">
        <v>30</v>
      </c>
      <c r="C6222" s="226"/>
      <c r="D6222" s="74" t="s">
        <v>31</v>
      </c>
      <c r="E6222" s="74" t="s">
        <v>32</v>
      </c>
      <c r="F6222" s="74" t="s">
        <v>189</v>
      </c>
      <c r="G6222" s="74" t="s">
        <v>33</v>
      </c>
      <c r="H6222" s="105"/>
    </row>
    <row r="6223" spans="1:8" x14ac:dyDescent="0.25">
      <c r="A6223" s="50" t="str">
        <f>Presupuesto!B120</f>
        <v>100_OC</v>
      </c>
      <c r="B6223" s="227" t="str">
        <f>Presupuesto!C120</f>
        <v>PUERTA METÁLICA EN LÁMINA COLD ROLLER CON RELLENO HONEY COMB CON BARRA ANTIPÁNICO UNA HOJA (1X2,4 M)</v>
      </c>
      <c r="C6223" s="228"/>
      <c r="D6223" s="50" t="s">
        <v>8</v>
      </c>
      <c r="E6223" s="107">
        <v>0.8</v>
      </c>
      <c r="F6223" s="50"/>
      <c r="G6223" s="51">
        <f>G6288</f>
        <v>4225579.6769999992</v>
      </c>
      <c r="H6223" s="45"/>
    </row>
    <row r="6224" spans="1:8" x14ac:dyDescent="0.25">
      <c r="A6224" s="219" t="s">
        <v>34</v>
      </c>
      <c r="B6224" s="219"/>
      <c r="C6224" s="219"/>
      <c r="D6224" s="219"/>
      <c r="E6224" s="219"/>
      <c r="F6224" s="219"/>
      <c r="G6224" s="219"/>
    </row>
    <row r="6225" spans="1:9" x14ac:dyDescent="0.25">
      <c r="A6225" s="49" t="s">
        <v>35</v>
      </c>
      <c r="B6225" s="219" t="s">
        <v>36</v>
      </c>
      <c r="C6225" s="219"/>
      <c r="D6225" s="49" t="s">
        <v>37</v>
      </c>
      <c r="E6225" s="49" t="s">
        <v>38</v>
      </c>
      <c r="F6225" s="49" t="s">
        <v>39</v>
      </c>
      <c r="G6225" s="49" t="s">
        <v>40</v>
      </c>
    </row>
    <row r="6226" spans="1:9" ht="30.75" customHeight="1" x14ac:dyDescent="0.25">
      <c r="A6226" s="50" t="str">
        <f>Material!A613</f>
        <v>MA-612</v>
      </c>
      <c r="B6226" s="232" t="str">
        <f>IFERROR(VLOOKUP(A6226,Material!$A:$H,2,0),"-")</f>
        <v>PUERTA METÁLICA EN LÁMINA COLD ROLLER CON RELLENO HONEY COMB CON BARRA ANTIPÁNICO UNA HOJA</v>
      </c>
      <c r="C6226" s="233"/>
      <c r="D6226" s="50" t="str">
        <f>IFERROR(VLOOKUP(A6226,Material!$A:$H,4,0),"-")</f>
        <v>UN</v>
      </c>
      <c r="E6226" s="107">
        <v>1</v>
      </c>
      <c r="F6226" s="51">
        <f>IFERROR(VLOOKUP(A6226,Material!$A:$H,3,0),"-")</f>
        <v>2622165</v>
      </c>
      <c r="G6226" s="51">
        <f>IFERROR(ROUNDUP(F6226*E6226,0),"-")</f>
        <v>2622165</v>
      </c>
      <c r="H6226" s="106"/>
    </row>
    <row r="6227" spans="1:9" x14ac:dyDescent="0.25">
      <c r="A6227" s="50"/>
      <c r="B6227" s="72" t="str">
        <f>IFERROR(VLOOKUP(A6227,Material!$A:$H,2,0),"-")</f>
        <v>-</v>
      </c>
      <c r="C6227" s="76"/>
      <c r="D6227" s="50" t="str">
        <f>IFERROR(VLOOKUP(A6227,Material!$A:$H,4,0),"-")</f>
        <v>-</v>
      </c>
      <c r="E6227" s="107"/>
      <c r="F6227" s="51" t="str">
        <f>IFERROR(VLOOKUP(A6227,Material!$A:$H,3,0),"-")</f>
        <v>-</v>
      </c>
      <c r="G6227" s="51" t="str">
        <f>IFERROR(ROUNDUP(F6227*E6227,0),"-")</f>
        <v>-</v>
      </c>
      <c r="H6227" s="106"/>
    </row>
    <row r="6228" spans="1:9" x14ac:dyDescent="0.25">
      <c r="A6228" s="50"/>
      <c r="B6228" s="72" t="str">
        <f>IFERROR(VLOOKUP(A6228,Material!$A:$H,2,0),"-")</f>
        <v>-</v>
      </c>
      <c r="C6228" s="76"/>
      <c r="D6228" s="50" t="str">
        <f>IFERROR(VLOOKUP(A6228,Material!$A:$H,4,0),"-")</f>
        <v>-</v>
      </c>
      <c r="E6228" s="107"/>
      <c r="F6228" s="51" t="str">
        <f>IFERROR(VLOOKUP(A6228,Material!$A:$H,3,0),"-")</f>
        <v>-</v>
      </c>
      <c r="G6228" s="51" t="str">
        <f>IFERROR(ROUNDUP(F6228*E6228,0),"-")</f>
        <v>-</v>
      </c>
      <c r="H6228" s="106"/>
    </row>
    <row r="6229" spans="1:9" x14ac:dyDescent="0.25">
      <c r="A6229" s="50"/>
      <c r="B6229" s="72" t="str">
        <f>IFERROR(VLOOKUP(A6229,Material!$A:$H,2,0),"-")</f>
        <v>-</v>
      </c>
      <c r="C6229" s="76"/>
      <c r="D6229" s="50" t="str">
        <f>IFERROR(VLOOKUP(A6229,Material!$A:$H,4,0),"-")</f>
        <v>-</v>
      </c>
      <c r="E6229" s="107"/>
      <c r="F6229" s="51" t="str">
        <f>IFERROR(VLOOKUP(A6229,Material!$A:$H,3,0),"-")</f>
        <v>-</v>
      </c>
      <c r="G6229" s="51" t="str">
        <f>IFERROR(ROUNDUP(F6229*E6229,0),"-")</f>
        <v>-</v>
      </c>
      <c r="H6229" s="106"/>
    </row>
    <row r="6230" spans="1:9" x14ac:dyDescent="0.25">
      <c r="A6230" s="219" t="s">
        <v>41</v>
      </c>
      <c r="B6230" s="219"/>
      <c r="C6230" s="219"/>
      <c r="D6230" s="219"/>
      <c r="E6230" s="219"/>
      <c r="F6230" s="219"/>
      <c r="G6230" s="52">
        <f>SUM(G6226:G6229)</f>
        <v>2622165</v>
      </c>
      <c r="I6230" s="104"/>
    </row>
    <row r="6231" spans="1:9" x14ac:dyDescent="0.25">
      <c r="A6231" s="56"/>
      <c r="B6231" s="57"/>
      <c r="C6231" s="57"/>
      <c r="D6231" s="57"/>
      <c r="E6231" s="57"/>
      <c r="F6231" s="57"/>
      <c r="G6231" s="58"/>
    </row>
    <row r="6232" spans="1:9" x14ac:dyDescent="0.25">
      <c r="A6232" s="219" t="s">
        <v>42</v>
      </c>
      <c r="B6232" s="219"/>
      <c r="C6232" s="219"/>
      <c r="D6232" s="219"/>
      <c r="E6232" s="219"/>
      <c r="F6232" s="219"/>
      <c r="G6232" s="219"/>
    </row>
    <row r="6233" spans="1:9" x14ac:dyDescent="0.25">
      <c r="A6233" s="49" t="s">
        <v>35</v>
      </c>
      <c r="B6233" s="49" t="s">
        <v>36</v>
      </c>
      <c r="C6233" s="49" t="s">
        <v>38</v>
      </c>
      <c r="D6233" s="49" t="s">
        <v>43</v>
      </c>
      <c r="E6233" s="49" t="s">
        <v>44</v>
      </c>
      <c r="F6233" s="49" t="s">
        <v>45</v>
      </c>
      <c r="G6233" s="49" t="s">
        <v>40</v>
      </c>
    </row>
    <row r="6234" spans="1:9" x14ac:dyDescent="0.25">
      <c r="A6234" s="50" t="s">
        <v>319</v>
      </c>
      <c r="B6234" s="68" t="str">
        <f>VLOOKUP(A6234,'Componentes APUs'!$H$1:$L$25,2,0)</f>
        <v>Ingeniero Residente de Obra</v>
      </c>
      <c r="C6234" s="93">
        <v>0</v>
      </c>
      <c r="D6234" s="50">
        <f>VLOOKUP(A6234,'Componentes APUs'!$H$1:$L$25,3,0)</f>
        <v>4</v>
      </c>
      <c r="E6234" s="51">
        <f>VLOOKUP(A6234,'Componentes APUs'!$H$1:$L$25,4,0)</f>
        <v>271142.85714285716</v>
      </c>
      <c r="F6234" s="51">
        <f>VLOOKUP(A6234,'Componentes APUs'!$H$1:$L$25,5,0)</f>
        <v>162685.71428571429</v>
      </c>
      <c r="G6234" s="51">
        <f>ROUNDUP((E6234+F6234)*C6234/E6223,0)</f>
        <v>0</v>
      </c>
      <c r="H6234" s="66"/>
    </row>
    <row r="6235" spans="1:9" x14ac:dyDescent="0.25">
      <c r="A6235" s="50" t="s">
        <v>320</v>
      </c>
      <c r="B6235" s="68" t="str">
        <f>VLOOKUP(A6235,'Componentes APUs'!$H$1:$L$25,2,0)</f>
        <v>Tecnico Supervisor</v>
      </c>
      <c r="C6235" s="93">
        <v>0</v>
      </c>
      <c r="D6235" s="50">
        <f>VLOOKUP(A6235,'Componentes APUs'!$H$1:$L$25,3,0)</f>
        <v>2.2999999999999998</v>
      </c>
      <c r="E6235" s="51">
        <f>VLOOKUP(A6235,'Componentes APUs'!$H$1:$L$25,4,0)</f>
        <v>155907.14285714284</v>
      </c>
      <c r="F6235" s="51">
        <f>VLOOKUP(A6235,'Componentes APUs'!$H$1:$L$25,5,0)</f>
        <v>93544.285714285696</v>
      </c>
      <c r="G6235" s="51">
        <f>ROUNDUP((E6235+F6235)*C6235/E6223,0)</f>
        <v>0</v>
      </c>
    </row>
    <row r="6236" spans="1:9" x14ac:dyDescent="0.25">
      <c r="A6236" s="50" t="s">
        <v>54</v>
      </c>
      <c r="B6236" s="68" t="str">
        <f>VLOOKUP(A6236,'Componentes APUs'!$H$1:$L$25,2,0)</f>
        <v>Maestro de obra civil</v>
      </c>
      <c r="C6236" s="93">
        <v>0</v>
      </c>
      <c r="D6236" s="50">
        <f>VLOOKUP(A6236,'Componentes APUs'!$H$1:$L$25,3,0)</f>
        <v>2.5</v>
      </c>
      <c r="E6236" s="51">
        <f>VLOOKUP(A6236,'Componentes APUs'!$H$1:$L$25,4,0)</f>
        <v>169464.28571428571</v>
      </c>
      <c r="F6236" s="51">
        <f>VLOOKUP(A6236,'Componentes APUs'!$H$1:$L$25,5,0)</f>
        <v>101678.57142857142</v>
      </c>
      <c r="G6236" s="51">
        <f>ROUNDUP((E6236+F6236)*C6236/E6223,0)</f>
        <v>0</v>
      </c>
    </row>
    <row r="6237" spans="1:9" x14ac:dyDescent="0.25">
      <c r="A6237" s="50" t="s">
        <v>1110</v>
      </c>
      <c r="B6237" s="68" t="str">
        <f>VLOOKUP(A6237,'Componentes APUs'!$H$1:$L$25,2,0)</f>
        <v>Oficial de Obra Civil</v>
      </c>
      <c r="C6237" s="93">
        <v>0</v>
      </c>
      <c r="D6237" s="50">
        <f>VLOOKUP(A6237,'Componentes APUs'!$H$1:$L$25,3,0)</f>
        <v>1.5</v>
      </c>
      <c r="E6237" s="51">
        <f>VLOOKUP(A6237,'Componentes APUs'!$H$1:$L$25,4,0)</f>
        <v>115964.28571428571</v>
      </c>
      <c r="F6237" s="51">
        <f>VLOOKUP(A6237,'Componentes APUs'!$H$1:$L$25,5,0)</f>
        <v>69578.57142857142</v>
      </c>
      <c r="G6237" s="51">
        <f>ROUNDUP((E6237+F6237)*C6237/E6223,0)</f>
        <v>0</v>
      </c>
    </row>
    <row r="6238" spans="1:9" x14ac:dyDescent="0.25">
      <c r="A6238" s="50" t="s">
        <v>50</v>
      </c>
      <c r="B6238" s="68" t="str">
        <f>VLOOKUP(A6238,'Componentes APUs'!$H$1:$L$25,2,0)</f>
        <v>Profesional en SST</v>
      </c>
      <c r="C6238" s="93">
        <v>0.25</v>
      </c>
      <c r="D6238" s="50">
        <f>VLOOKUP(A6238,'Componentes APUs'!$H$1:$L$25,3,0)</f>
        <v>2.5</v>
      </c>
      <c r="E6238" s="51">
        <f>VLOOKUP(A6238,'Componentes APUs'!$H$1:$L$25,4,0)</f>
        <v>169464.28571428571</v>
      </c>
      <c r="F6238" s="51">
        <f>VLOOKUP(A6238,'Componentes APUs'!$H$1:$L$25,5,0)</f>
        <v>101678.57142857142</v>
      </c>
      <c r="G6238" s="51">
        <f>ROUNDUP((E6238+F6238)*C6238/E6223,0)</f>
        <v>84733</v>
      </c>
    </row>
    <row r="6239" spans="1:9" x14ac:dyDescent="0.25">
      <c r="A6239" s="50" t="s">
        <v>1109</v>
      </c>
      <c r="B6239" s="68" t="str">
        <f>VLOOKUP(A6239,'Componentes APUs'!$H$1:$L$25,2,0)</f>
        <v>Ayudante de Obra Civil</v>
      </c>
      <c r="C6239" s="93">
        <v>2</v>
      </c>
      <c r="D6239" s="50">
        <f>VLOOKUP(A6239,'Componentes APUs'!$H$1:$L$25,3,0)</f>
        <v>1</v>
      </c>
      <c r="E6239" s="51">
        <f>VLOOKUP(A6239,'Componentes APUs'!$H$1:$L$25,4,0)</f>
        <v>77309.523809523816</v>
      </c>
      <c r="F6239" s="51">
        <f>VLOOKUP(A6239,'Componentes APUs'!$H$1:$L$25,5,0)</f>
        <v>46385.71428571429</v>
      </c>
      <c r="G6239" s="51">
        <f>ROUNDUP((E6239+F6239)*C6239/E6223,0)</f>
        <v>309239</v>
      </c>
    </row>
    <row r="6240" spans="1:9" x14ac:dyDescent="0.25">
      <c r="A6240" s="219" t="s">
        <v>56</v>
      </c>
      <c r="B6240" s="219"/>
      <c r="C6240" s="219"/>
      <c r="D6240" s="219"/>
      <c r="E6240" s="219"/>
      <c r="F6240" s="219"/>
      <c r="G6240" s="52">
        <f>SUM(G6234:G6239)</f>
        <v>393972</v>
      </c>
    </row>
    <row r="6241" spans="1:9" x14ac:dyDescent="0.25">
      <c r="A6241" s="56"/>
      <c r="B6241" s="57"/>
      <c r="C6241" s="57"/>
      <c r="D6241" s="57"/>
      <c r="E6241" s="57"/>
      <c r="F6241" s="57"/>
      <c r="G6241" s="58"/>
    </row>
    <row r="6242" spans="1:9" x14ac:dyDescent="0.25">
      <c r="A6242" s="219" t="s">
        <v>57</v>
      </c>
      <c r="B6242" s="219"/>
      <c r="C6242" s="219"/>
      <c r="D6242" s="219"/>
      <c r="E6242" s="219"/>
      <c r="F6242" s="219"/>
      <c r="G6242" s="219"/>
    </row>
    <row r="6243" spans="1:9" x14ac:dyDescent="0.25">
      <c r="A6243" s="49" t="s">
        <v>35</v>
      </c>
      <c r="B6243" s="219" t="s">
        <v>36</v>
      </c>
      <c r="C6243" s="219"/>
      <c r="D6243" s="49" t="s">
        <v>37</v>
      </c>
      <c r="E6243" s="49" t="s">
        <v>38</v>
      </c>
      <c r="F6243" s="49" t="s">
        <v>39</v>
      </c>
      <c r="G6243" s="49" t="s">
        <v>40</v>
      </c>
    </row>
    <row r="6244" spans="1:9" x14ac:dyDescent="0.25">
      <c r="A6244" s="50" t="s">
        <v>326</v>
      </c>
      <c r="B6244" s="220" t="str">
        <f>VLOOKUP(A6244,'Componentes APUs'!$S$1:$V$10,2,0)</f>
        <v>Juego Llaves</v>
      </c>
      <c r="C6244" s="220"/>
      <c r="D6244" s="50" t="s">
        <v>18</v>
      </c>
      <c r="E6244" s="50">
        <v>0</v>
      </c>
      <c r="F6244" s="51">
        <f>VLOOKUP(A6244,'Componentes APUs'!$S$1:$V$10,4,0)</f>
        <v>9167</v>
      </c>
      <c r="G6244" s="51">
        <f>ROUNDUP(F6244*((E6244/21)/E6223),0)</f>
        <v>0</v>
      </c>
      <c r="I6244" s="91"/>
    </row>
    <row r="6245" spans="1:9" x14ac:dyDescent="0.25">
      <c r="A6245" s="50" t="s">
        <v>58</v>
      </c>
      <c r="B6245" s="220" t="str">
        <f>VLOOKUP(A6245,'Componentes APUs'!$S$1:$V$10,2,0)</f>
        <v>Manila de servicio</v>
      </c>
      <c r="C6245" s="220"/>
      <c r="D6245" s="50" t="s">
        <v>18</v>
      </c>
      <c r="E6245" s="50">
        <v>0</v>
      </c>
      <c r="F6245" s="51">
        <f>VLOOKUP(A6245,'Componentes APUs'!$S$1:$V$10,4,0)</f>
        <v>2333</v>
      </c>
      <c r="G6245" s="51">
        <f>ROUNDUP(F6245*((E6245/21)/E6223),0)</f>
        <v>0</v>
      </c>
    </row>
    <row r="6246" spans="1:9" x14ac:dyDescent="0.25">
      <c r="A6246" s="50" t="s">
        <v>327</v>
      </c>
      <c r="B6246" s="220" t="str">
        <f>VLOOKUP(A6246,'Componentes APUs'!$S$1:$V$10,2,0)</f>
        <v>Tula portaherramientas</v>
      </c>
      <c r="C6246" s="220"/>
      <c r="D6246" s="50" t="s">
        <v>18</v>
      </c>
      <c r="E6246" s="50">
        <v>0</v>
      </c>
      <c r="F6246" s="51">
        <f>VLOOKUP(A6246,'Componentes APUs'!$S$1:$V$10,4,0)</f>
        <v>1250</v>
      </c>
      <c r="G6246" s="51">
        <f>ROUNDUP(F6246*((E6246/21)/E6223),0)</f>
        <v>0</v>
      </c>
    </row>
    <row r="6247" spans="1:9" x14ac:dyDescent="0.25">
      <c r="A6247" s="50" t="s">
        <v>60</v>
      </c>
      <c r="B6247" s="220" t="str">
        <f>VLOOKUP(A6247,'Componentes APUs'!$S$1:$V$10,2,0)</f>
        <v>Agarradoras</v>
      </c>
      <c r="C6247" s="220"/>
      <c r="D6247" s="50" t="s">
        <v>18</v>
      </c>
      <c r="E6247" s="50">
        <v>0</v>
      </c>
      <c r="F6247" s="51">
        <f>VLOOKUP(A6247,'Componentes APUs'!$S$1:$V$10,4,0)</f>
        <v>125000</v>
      </c>
      <c r="G6247" s="51">
        <f>ROUNDUP(F6247*((E6247/21)/E6223),0)</f>
        <v>0</v>
      </c>
    </row>
    <row r="6248" spans="1:9" x14ac:dyDescent="0.25">
      <c r="A6248" s="50" t="s">
        <v>62</v>
      </c>
      <c r="B6248" s="220" t="str">
        <f>VLOOKUP(A6248,'Componentes APUs'!$S$1:$V$10,2,0)</f>
        <v>Templadoras</v>
      </c>
      <c r="C6248" s="220"/>
      <c r="D6248" s="50" t="s">
        <v>18</v>
      </c>
      <c r="E6248" s="50">
        <v>0</v>
      </c>
      <c r="F6248" s="51">
        <f>VLOOKUP(A6248,'Componentes APUs'!$S$1:$V$10,4,0)</f>
        <v>250000</v>
      </c>
      <c r="G6248" s="51">
        <f>ROUNDUP(F6248*((E6248/21)/E6223),0)</f>
        <v>0</v>
      </c>
    </row>
    <row r="6249" spans="1:9" x14ac:dyDescent="0.25">
      <c r="A6249" s="50" t="s">
        <v>328</v>
      </c>
      <c r="B6249" s="220" t="str">
        <f>VLOOKUP(A6249,'Componentes APUs'!$S$1:$V$10,2,0)</f>
        <v>Herramienta Menor</v>
      </c>
      <c r="C6249" s="220"/>
      <c r="D6249" s="50" t="s">
        <v>18</v>
      </c>
      <c r="E6249" s="50">
        <v>1</v>
      </c>
      <c r="F6249" s="51">
        <f>VLOOKUP(A6249,'Componentes APUs'!$S$1:$V$10,4,0)</f>
        <v>75758</v>
      </c>
      <c r="G6249" s="51">
        <f>ROUNDUP(F6249*((E6249/21)/E6223),0)</f>
        <v>4510</v>
      </c>
    </row>
    <row r="6250" spans="1:9" x14ac:dyDescent="0.25">
      <c r="A6250" s="219" t="s">
        <v>69</v>
      </c>
      <c r="B6250" s="219"/>
      <c r="C6250" s="219"/>
      <c r="D6250" s="219"/>
      <c r="E6250" s="219"/>
      <c r="F6250" s="219"/>
      <c r="G6250" s="52">
        <f>SUM(G6244:G6249)</f>
        <v>4510</v>
      </c>
    </row>
    <row r="6251" spans="1:9" x14ac:dyDescent="0.25">
      <c r="A6251" s="56"/>
      <c r="B6251" s="57"/>
      <c r="C6251" s="57"/>
      <c r="D6251" s="57"/>
      <c r="E6251" s="57"/>
      <c r="F6251" s="57"/>
      <c r="G6251" s="58"/>
    </row>
    <row r="6252" spans="1:9" x14ac:dyDescent="0.25">
      <c r="A6252" s="219" t="s">
        <v>70</v>
      </c>
      <c r="B6252" s="219"/>
      <c r="C6252" s="219"/>
      <c r="D6252" s="219"/>
      <c r="E6252" s="219"/>
      <c r="F6252" s="219"/>
      <c r="G6252" s="219"/>
    </row>
    <row r="6253" spans="1:9" x14ac:dyDescent="0.25">
      <c r="A6253" s="49" t="s">
        <v>35</v>
      </c>
      <c r="B6253" s="219" t="s">
        <v>36</v>
      </c>
      <c r="C6253" s="219"/>
      <c r="D6253" s="49" t="s">
        <v>37</v>
      </c>
      <c r="E6253" s="49" t="s">
        <v>38</v>
      </c>
      <c r="F6253" s="49" t="s">
        <v>39</v>
      </c>
      <c r="G6253" s="49" t="s">
        <v>40</v>
      </c>
    </row>
    <row r="6254" spans="1:9" x14ac:dyDescent="0.25">
      <c r="A6254" s="50" t="s">
        <v>71</v>
      </c>
      <c r="B6254" s="71" t="str">
        <f>VLOOKUP(A6254,'Componentes APUs'!$A$1:$D$14,2,0)</f>
        <v>Camisa indigo sin partes metalicas</v>
      </c>
      <c r="C6254" s="71"/>
      <c r="D6254" s="50" t="str">
        <f>VLOOKUP(A6254,'Componentes APUs'!$A$1:$D$14,3,0)</f>
        <v>U</v>
      </c>
      <c r="E6254" s="50">
        <f>SUM(C6234:C6239)</f>
        <v>2.25</v>
      </c>
      <c r="F6254" s="51">
        <f>VLOOKUP(A6254,'Componentes APUs'!$A$1:$D$14,4,0)</f>
        <v>8585.8585858585866</v>
      </c>
      <c r="G6254" s="51">
        <f>ROUNDUP(F6254*(E6254/21)/E6223,0)</f>
        <v>1150</v>
      </c>
      <c r="I6254" s="91"/>
    </row>
    <row r="6255" spans="1:9" x14ac:dyDescent="0.25">
      <c r="A6255" s="69" t="s">
        <v>73</v>
      </c>
      <c r="B6255" s="72" t="str">
        <f>VLOOKUP(A6255,'Componentes APUs'!$A$1:$D$14,2,0)</f>
        <v>Bota de seguridad dielectrica</v>
      </c>
      <c r="C6255" s="73"/>
      <c r="D6255" s="70" t="str">
        <f>VLOOKUP(A6255,'Componentes APUs'!$A$1:$D$14,3,0)</f>
        <v>Par</v>
      </c>
      <c r="E6255" s="50">
        <f>SUM(C6234:C6239)</f>
        <v>2.25</v>
      </c>
      <c r="F6255" s="51">
        <f>VLOOKUP(A6255,'Componentes APUs'!$A$1:$D$14,4,0)</f>
        <v>7500</v>
      </c>
      <c r="G6255" s="51">
        <f>ROUNDUP(F6255*(E6255/21)/E6223,0)</f>
        <v>1005</v>
      </c>
    </row>
    <row r="6256" spans="1:9" x14ac:dyDescent="0.25">
      <c r="A6256" s="50" t="s">
        <v>76</v>
      </c>
      <c r="B6256" s="72" t="str">
        <f>VLOOKUP(A6256,'Componentes APUs'!$A$1:$D$14,2,0)</f>
        <v>Casco dielectrico Tipo 1 Clase E con barbuquejo</v>
      </c>
      <c r="C6256" s="73"/>
      <c r="D6256" s="50" t="str">
        <f>VLOOKUP(A6256,'Componentes APUs'!$A$1:$D$14,3,0)</f>
        <v>U</v>
      </c>
      <c r="E6256" s="50">
        <f>C6234+C6235+C6237+C6238+C6239+IF(A6236&lt;&gt;"MO-3",C6236,0)</f>
        <v>2.25</v>
      </c>
      <c r="F6256" s="51">
        <f>VLOOKUP(A6256,'Componentes APUs'!$A$1:$D$14,4,0)</f>
        <v>10101.010101010101</v>
      </c>
      <c r="G6256" s="51">
        <f>ROUNDUP(F6256*(E6256/21)/E6223,0)</f>
        <v>1353</v>
      </c>
    </row>
    <row r="6257" spans="1:7" x14ac:dyDescent="0.25">
      <c r="A6257" s="69" t="s">
        <v>77</v>
      </c>
      <c r="B6257" s="72" t="str">
        <f>VLOOKUP(A6257,'Componentes APUs'!$A$1:$D$14,2,0)</f>
        <v>Correa plastica y antiflama</v>
      </c>
      <c r="C6257" s="73"/>
      <c r="D6257" s="50" t="str">
        <f>VLOOKUP(A6257,'Componentes APUs'!$A$1:$D$14,3,0)</f>
        <v>U</v>
      </c>
      <c r="E6257" s="50">
        <f>SUM(C6234:C6239)</f>
        <v>2.25</v>
      </c>
      <c r="F6257" s="51">
        <f>VLOOKUP(A6257,'Componentes APUs'!$A$1:$D$14,4,0)</f>
        <v>3787.878787878788</v>
      </c>
      <c r="G6257" s="51">
        <f>ROUNDUP(F6257*(E6257/21)/E6223,0)</f>
        <v>508</v>
      </c>
    </row>
    <row r="6258" spans="1:7" x14ac:dyDescent="0.25">
      <c r="A6258" s="50" t="s">
        <v>79</v>
      </c>
      <c r="B6258" s="72" t="str">
        <f>VLOOKUP(A6258,'Componentes APUs'!$A$1:$D$14,2,0)</f>
        <v>Gafas protectoras filtro UV</v>
      </c>
      <c r="C6258" s="73"/>
      <c r="D6258" s="50" t="str">
        <f>VLOOKUP(A6258,'Componentes APUs'!$A$1:$D$14,3,0)</f>
        <v>U</v>
      </c>
      <c r="E6258" s="50">
        <f>SUM(C6234:C6239)</f>
        <v>2.25</v>
      </c>
      <c r="F6258" s="51">
        <f>VLOOKUP(A6258,'Componentes APUs'!$A$1:$D$14,4,0)</f>
        <v>2777.7777777777778</v>
      </c>
      <c r="G6258" s="51">
        <f>ROUNDUP(F6258*(E6258/21)/E6223,0)</f>
        <v>373</v>
      </c>
    </row>
    <row r="6259" spans="1:7" x14ac:dyDescent="0.25">
      <c r="A6259" s="69" t="s">
        <v>402</v>
      </c>
      <c r="B6259" s="72" t="str">
        <f>VLOOKUP(A6259,'Componentes APUs'!$A$1:$D$14,2,0)</f>
        <v>Bota de seguridad PVC dielectrica</v>
      </c>
      <c r="C6259" s="73"/>
      <c r="D6259" s="50" t="str">
        <f>VLOOKUP(A6259,'Componentes APUs'!$A$1:$D$14,3,0)</f>
        <v>Par</v>
      </c>
      <c r="E6259" s="50">
        <f>SUM(C6234:C6239)</f>
        <v>2.25</v>
      </c>
      <c r="F6259" s="51">
        <f>VLOOKUP(A6259,'Componentes APUs'!$A$1:$D$14,4,0)</f>
        <v>2916.6666666666665</v>
      </c>
      <c r="G6259" s="51">
        <f>ROUNDUP(F6259*(E6259/21)/E6223,0)</f>
        <v>391</v>
      </c>
    </row>
    <row r="6260" spans="1:7" x14ac:dyDescent="0.25">
      <c r="A6260" s="50" t="s">
        <v>403</v>
      </c>
      <c r="B6260" s="72" t="str">
        <f>VLOOKUP(A6260,'Componentes APUs'!$A$1:$D$14,2,0)</f>
        <v>Capuchon</v>
      </c>
      <c r="C6260" s="73"/>
      <c r="D6260" s="50" t="str">
        <f>VLOOKUP(A6260,'Componentes APUs'!$A$1:$D$14,3,0)</f>
        <v>U</v>
      </c>
      <c r="E6260" s="50">
        <f>SUM(C6234:C6239)</f>
        <v>2.25</v>
      </c>
      <c r="F6260" s="51">
        <f>VLOOKUP(A6260,'Componentes APUs'!$A$1:$D$14,4,0)</f>
        <v>2525.2525252525252</v>
      </c>
      <c r="G6260" s="51">
        <f>ROUNDUP(F6260*(E6260/21)/E6223,0)</f>
        <v>339</v>
      </c>
    </row>
    <row r="6261" spans="1:7" x14ac:dyDescent="0.25">
      <c r="A6261" s="69" t="s">
        <v>81</v>
      </c>
      <c r="B6261" s="72" t="str">
        <f>VLOOKUP(A6261,'Componentes APUs'!$A$1:$D$14,2,0)</f>
        <v>Guantes Protectores  - ingeniero reforzados</v>
      </c>
      <c r="C6261" s="73"/>
      <c r="D6261" s="50" t="str">
        <f>VLOOKUP(A6261,'Componentes APUs'!$A$1:$D$14,3,0)</f>
        <v>Par</v>
      </c>
      <c r="E6261" s="50">
        <f>C6236+C6237+C6239</f>
        <v>2</v>
      </c>
      <c r="F6261" s="51">
        <f>VLOOKUP(A6261,'Componentes APUs'!$A$1:$D$14,4,0)</f>
        <v>2525.2525252525252</v>
      </c>
      <c r="G6261" s="51">
        <f>ROUNDUP(F6261*(E6261/21)/E6223,0)</f>
        <v>301</v>
      </c>
    </row>
    <row r="6262" spans="1:7" x14ac:dyDescent="0.25">
      <c r="A6262" s="50" t="s">
        <v>83</v>
      </c>
      <c r="B6262" s="72" t="str">
        <f>VLOOKUP(A6262,'Componentes APUs'!$A$1:$D$14,2,0)</f>
        <v>Impermeable (pantalon camisa)</v>
      </c>
      <c r="C6262" s="73"/>
      <c r="D6262" s="50" t="str">
        <f>VLOOKUP(A6262,'Componentes APUs'!$A$1:$D$14,3,0)</f>
        <v>U</v>
      </c>
      <c r="E6262" s="50">
        <f>SUM(C6234:C6239)</f>
        <v>2.25</v>
      </c>
      <c r="F6262" s="51">
        <f>VLOOKUP(A6262,'Componentes APUs'!$A$1:$D$14,4,0)</f>
        <v>3750</v>
      </c>
      <c r="G6262" s="51">
        <f>ROUNDUP(F6262*(E6262/21)/E6223,0)</f>
        <v>503</v>
      </c>
    </row>
    <row r="6263" spans="1:7" x14ac:dyDescent="0.25">
      <c r="A6263" s="69" t="s">
        <v>85</v>
      </c>
      <c r="B6263" s="72" t="str">
        <f>VLOOKUP(A6263,'Componentes APUs'!$A$1:$D$14,2,0)</f>
        <v>Jean Dielectrico</v>
      </c>
      <c r="C6263" s="73"/>
      <c r="D6263" s="50" t="str">
        <f>VLOOKUP(A6263,'Componentes APUs'!$A$1:$D$14,3,0)</f>
        <v>U</v>
      </c>
      <c r="E6263" s="50">
        <f>SUM(C6234:C6239)</f>
        <v>2.25</v>
      </c>
      <c r="F6263" s="51">
        <f>VLOOKUP(A6263,'Componentes APUs'!$A$1:$D$14,4,0)</f>
        <v>7575.757575757576</v>
      </c>
      <c r="G6263" s="51">
        <f>ROUNDUP(F6263*(E6263/21)/E6223,0)</f>
        <v>1015</v>
      </c>
    </row>
    <row r="6264" spans="1:7" x14ac:dyDescent="0.25">
      <c r="A6264" s="50" t="s">
        <v>87</v>
      </c>
      <c r="B6264" s="72" t="str">
        <f>VLOOKUP(A6264,'Componentes APUs'!$A$1:$D$14,2,0)</f>
        <v>Casco dielectrico Tipo 2 Clase E con barboquejo</v>
      </c>
      <c r="C6264" s="73"/>
      <c r="D6264" s="50" t="str">
        <f>VLOOKUP(A6264,'Componentes APUs'!$A$1:$D$14,3,0)</f>
        <v>U</v>
      </c>
      <c r="E6264" s="53">
        <f>IF(A6236="MO-3",C6236,0)</f>
        <v>0</v>
      </c>
      <c r="F6264" s="51">
        <f>VLOOKUP(A6264,'Componentes APUs'!$A$1:$D$14,4,0)</f>
        <v>7500</v>
      </c>
      <c r="G6264" s="51">
        <f>ROUNDUP(F6264*(E6264/21)/E6223,0)</f>
        <v>0</v>
      </c>
    </row>
    <row r="6265" spans="1:7" x14ac:dyDescent="0.25">
      <c r="A6265" s="69" t="s">
        <v>89</v>
      </c>
      <c r="B6265" s="72" t="str">
        <f>VLOOKUP(A6265,'Componentes APUs'!$A$1:$D$14,2,0)</f>
        <v>Kit de rescate para trabajo en alturas</v>
      </c>
      <c r="C6265" s="73"/>
      <c r="D6265" s="50" t="str">
        <f>VLOOKUP(A6265,'Componentes APUs'!$A$1:$D$14,3,0)</f>
        <v>U</v>
      </c>
      <c r="E6265" s="50">
        <f>IF(AND(A6236="MO-3",C6236=2),1,0)</f>
        <v>0</v>
      </c>
      <c r="F6265" s="51">
        <f>VLOOKUP(A6265,'Componentes APUs'!$A$1:$D$14,4,0)</f>
        <v>37500</v>
      </c>
      <c r="G6265" s="51">
        <f>ROUNDUP(F6265*(E6265/21)/E6223,0)</f>
        <v>0</v>
      </c>
    </row>
    <row r="6266" spans="1:7" x14ac:dyDescent="0.25">
      <c r="A6266" s="50" t="s">
        <v>91</v>
      </c>
      <c r="B6266" s="72" t="str">
        <f>VLOOKUP(A6266,'Componentes APUs'!$A$1:$D$14,2,0)</f>
        <v>Equipo completo para trabajo en alturas con pretales (Arnes dielectrico, 1 mosqueton de seguridad, tie off dielectrico, eslinga de posicionamiento, juego de pretales)</v>
      </c>
      <c r="C6266" s="73"/>
      <c r="D6266" s="50" t="str">
        <f>VLOOKUP(A6266,'Componentes APUs'!$A$1:$D$14,3,0)</f>
        <v>U</v>
      </c>
      <c r="E6266" s="50">
        <f>IF(A6236="MO-3",C6236,0)</f>
        <v>0</v>
      </c>
      <c r="F6266" s="51">
        <f>VLOOKUP(A6266,'Componentes APUs'!$A$1:$D$14,4,0)</f>
        <v>26041.666666666668</v>
      </c>
      <c r="G6266" s="51">
        <f>ROUNDUP(F6266*(E6266/21)/E6223,0)</f>
        <v>0</v>
      </c>
    </row>
    <row r="6267" spans="1:7" x14ac:dyDescent="0.25">
      <c r="A6267" s="219" t="s">
        <v>95</v>
      </c>
      <c r="B6267" s="219"/>
      <c r="C6267" s="219"/>
      <c r="D6267" s="219"/>
      <c r="E6267" s="219"/>
      <c r="F6267" s="219"/>
      <c r="G6267" s="52">
        <f>SUM(G6254:G6266)</f>
        <v>6938</v>
      </c>
    </row>
    <row r="6268" spans="1:7" x14ac:dyDescent="0.25">
      <c r="A6268" s="56"/>
      <c r="B6268" s="57"/>
      <c r="C6268" s="57"/>
      <c r="D6268" s="57"/>
      <c r="E6268" s="57"/>
      <c r="F6268" s="57"/>
      <c r="G6268" s="58"/>
    </row>
    <row r="6269" spans="1:7" x14ac:dyDescent="0.25">
      <c r="A6269" s="219" t="s">
        <v>96</v>
      </c>
      <c r="B6269" s="219"/>
      <c r="C6269" s="219"/>
      <c r="D6269" s="219"/>
      <c r="E6269" s="219"/>
      <c r="F6269" s="219"/>
      <c r="G6269" s="219"/>
    </row>
    <row r="6270" spans="1:7" x14ac:dyDescent="0.25">
      <c r="A6270" s="49" t="s">
        <v>35</v>
      </c>
      <c r="B6270" s="225" t="s">
        <v>36</v>
      </c>
      <c r="C6270" s="225"/>
      <c r="D6270" s="49" t="s">
        <v>37</v>
      </c>
      <c r="E6270" s="49" t="s">
        <v>38</v>
      </c>
      <c r="F6270" s="49" t="s">
        <v>39</v>
      </c>
      <c r="G6270" s="49" t="s">
        <v>40</v>
      </c>
    </row>
    <row r="6271" spans="1:7" x14ac:dyDescent="0.25">
      <c r="A6271" s="69" t="s">
        <v>97</v>
      </c>
      <c r="B6271" s="72" t="str">
        <f>VLOOKUP(A6271,'Componentes APUs'!$N$1:$Q$30,2,0)</f>
        <v>Camioneta</v>
      </c>
      <c r="C6271" s="73"/>
      <c r="D6271" s="70" t="str">
        <f>VLOOKUP(A6271,'Componentes APUs'!$N$1:$Q$30,3,0)</f>
        <v>U</v>
      </c>
      <c r="E6271" s="50">
        <v>1</v>
      </c>
      <c r="F6271" s="51">
        <f>VLOOKUP(A6271,'Componentes APUs'!$N$1:$Q$30,4,0)</f>
        <v>5500000</v>
      </c>
      <c r="G6271" s="51">
        <f>IFERROR(ROUNDUP(F6271*(E6271/21)/E6223,0),"-")</f>
        <v>327381</v>
      </c>
    </row>
    <row r="6272" spans="1:7" x14ac:dyDescent="0.25">
      <c r="A6272" s="50" t="s">
        <v>321</v>
      </c>
      <c r="B6272" s="72" t="str">
        <f>VLOOKUP(A6272,'Componentes APUs'!$N$1:$Q$30,2,0)</f>
        <v>Grúa Hidráulica</v>
      </c>
      <c r="C6272" s="73"/>
      <c r="D6272" s="70" t="str">
        <f>VLOOKUP(A6272,'Componentes APUs'!$N$1:$Q$30,3,0)</f>
        <v>U</v>
      </c>
      <c r="E6272" s="50">
        <v>0</v>
      </c>
      <c r="F6272" s="51">
        <f>VLOOKUP(A6272,'Componentes APUs'!$N$1:$Q$30,4,0)</f>
        <v>21000000</v>
      </c>
      <c r="G6272" s="51">
        <f>IFERROR(ROUNDUP(F6272*(E6272/21)/E6223,0),"-")</f>
        <v>0</v>
      </c>
    </row>
    <row r="6273" spans="1:7" x14ac:dyDescent="0.25">
      <c r="A6273" s="69" t="s">
        <v>1379</v>
      </c>
      <c r="B6273" s="72" t="str">
        <f>VLOOKUP(A6273,'Componentes APUs'!$N$1:$Q$30,2,0)</f>
        <v>Dumper de descarga Frontal 2T</v>
      </c>
      <c r="C6273" s="73"/>
      <c r="D6273" s="70" t="str">
        <f>VLOOKUP(A6273,'Componentes APUs'!$N$1:$Q$30,3,0)</f>
        <v>U</v>
      </c>
      <c r="E6273" s="50">
        <v>0</v>
      </c>
      <c r="F6273" s="51">
        <f>VLOOKUP(A6273,'Componentes APUs'!$N$1:$Q$30,4,0)</f>
        <v>4438716.24</v>
      </c>
      <c r="G6273" s="51">
        <f>IFERROR(ROUNDUP(F6273*(E6273/21)/E6223,0),"-")</f>
        <v>0</v>
      </c>
    </row>
    <row r="6274" spans="1:7" x14ac:dyDescent="0.25">
      <c r="A6274" s="50" t="s">
        <v>323</v>
      </c>
      <c r="B6274" s="72" t="str">
        <f>VLOOKUP(A6274,'Componentes APUs'!$N$1:$Q$30,2,0)</f>
        <v>Volqueta</v>
      </c>
      <c r="C6274" s="73"/>
      <c r="D6274" s="70" t="str">
        <f>VLOOKUP(A6274,'Componentes APUs'!$N$1:$Q$30,3,0)</f>
        <v>U</v>
      </c>
      <c r="E6274" s="50">
        <v>0</v>
      </c>
      <c r="F6274" s="51">
        <f>VLOOKUP(A6274,'Componentes APUs'!$N$1:$Q$30,4,0)</f>
        <v>14828184</v>
      </c>
      <c r="G6274" s="51">
        <f>IFERROR(ROUNDUP(F6274*(E6274/21)/E6223,0),"-")</f>
        <v>0</v>
      </c>
    </row>
    <row r="6275" spans="1:7" x14ac:dyDescent="0.25">
      <c r="A6275" s="69" t="s">
        <v>324</v>
      </c>
      <c r="B6275" s="72" t="str">
        <f>VLOOKUP(A6275,'Componentes APUs'!$N$1:$Q$30,2,0)</f>
        <v>Retroexcavadora</v>
      </c>
      <c r="C6275" s="73"/>
      <c r="D6275" s="70" t="str">
        <f>VLOOKUP(A6275,'Componentes APUs'!$N$1:$Q$30,3,0)</f>
        <v>U</v>
      </c>
      <c r="E6275" s="50">
        <v>0</v>
      </c>
      <c r="F6275" s="51">
        <f>VLOOKUP(A6275,'Componentes APUs'!$N$1:$Q$30,4,0)</f>
        <v>46030656</v>
      </c>
      <c r="G6275" s="51">
        <f>IFERROR(ROUNDUP(F6275*(E6275/21)/E6223,0),"-")</f>
        <v>0</v>
      </c>
    </row>
    <row r="6276" spans="1:7" x14ac:dyDescent="0.25">
      <c r="A6276" s="219" t="s">
        <v>99</v>
      </c>
      <c r="B6276" s="219"/>
      <c r="C6276" s="219"/>
      <c r="D6276" s="219"/>
      <c r="E6276" s="219"/>
      <c r="F6276" s="219"/>
      <c r="G6276" s="52">
        <f>SUM(G6271:G6275)</f>
        <v>327381</v>
      </c>
    </row>
    <row r="6277" spans="1:7" x14ac:dyDescent="0.25">
      <c r="A6277" s="56"/>
      <c r="B6277" s="57"/>
      <c r="C6277" s="57"/>
      <c r="D6277" s="57"/>
      <c r="E6277" s="57"/>
      <c r="F6277" s="57"/>
      <c r="G6277" s="58"/>
    </row>
    <row r="6278" spans="1:7" x14ac:dyDescent="0.25">
      <c r="A6278" s="219" t="s">
        <v>100</v>
      </c>
      <c r="B6278" s="219"/>
      <c r="C6278" s="219"/>
      <c r="D6278" s="219"/>
      <c r="E6278" s="219"/>
      <c r="F6278" s="219"/>
      <c r="G6278" s="52">
        <f>G6276+G6267+G6250+G6240+G6230</f>
        <v>3354966</v>
      </c>
    </row>
    <row r="6279" spans="1:7" x14ac:dyDescent="0.25">
      <c r="A6279" s="59"/>
      <c r="B6279" s="60"/>
      <c r="C6279" s="60"/>
      <c r="D6279" s="60"/>
      <c r="E6279" s="57"/>
      <c r="F6279" s="57"/>
      <c r="G6279" s="58"/>
    </row>
    <row r="6280" spans="1:7" x14ac:dyDescent="0.25">
      <c r="A6280" s="64"/>
      <c r="D6280" s="55"/>
      <c r="E6280" s="49" t="s">
        <v>25</v>
      </c>
      <c r="F6280" s="54">
        <v>0.15</v>
      </c>
      <c r="G6280" s="51">
        <f>G6278*F6280</f>
        <v>503244.89999999997</v>
      </c>
    </row>
    <row r="6281" spans="1:7" x14ac:dyDescent="0.25">
      <c r="A6281" s="64"/>
      <c r="D6281" s="55"/>
      <c r="E6281" s="49" t="s">
        <v>26</v>
      </c>
      <c r="F6281" s="54">
        <v>0.05</v>
      </c>
      <c r="G6281" s="51">
        <f>G6278*F6281</f>
        <v>167748.30000000002</v>
      </c>
    </row>
    <row r="6282" spans="1:7" x14ac:dyDescent="0.25">
      <c r="A6282" s="61"/>
      <c r="B6282" s="65"/>
      <c r="C6282" s="65"/>
      <c r="D6282" s="62"/>
      <c r="E6282" s="49" t="s">
        <v>27</v>
      </c>
      <c r="F6282" s="54">
        <v>0.05</v>
      </c>
      <c r="G6282" s="51">
        <f>G6278*F6282</f>
        <v>167748.30000000002</v>
      </c>
    </row>
    <row r="6283" spans="1:7" x14ac:dyDescent="0.25">
      <c r="A6283" s="61"/>
      <c r="B6283" s="62"/>
      <c r="C6283" s="62"/>
      <c r="D6283" s="62"/>
      <c r="E6283" s="62"/>
      <c r="F6283" s="62"/>
      <c r="G6283" s="63"/>
    </row>
    <row r="6284" spans="1:7" x14ac:dyDescent="0.25">
      <c r="A6284" s="219" t="s">
        <v>101</v>
      </c>
      <c r="B6284" s="219"/>
      <c r="C6284" s="219"/>
      <c r="D6284" s="219"/>
      <c r="E6284" s="219"/>
      <c r="F6284" s="219"/>
      <c r="G6284" s="52">
        <f>G6278+G6280+G6281+G6282</f>
        <v>4193707.4999999995</v>
      </c>
    </row>
    <row r="6285" spans="1:7" x14ac:dyDescent="0.25">
      <c r="A6285" s="59"/>
      <c r="B6285" s="60"/>
      <c r="C6285" s="60"/>
      <c r="D6285" s="60"/>
      <c r="E6285" s="57"/>
      <c r="F6285" s="57"/>
      <c r="G6285" s="58"/>
    </row>
    <row r="6286" spans="1:7" x14ac:dyDescent="0.25">
      <c r="A6286" s="64"/>
      <c r="D6286" s="55"/>
      <c r="E6286" s="49" t="s">
        <v>102</v>
      </c>
      <c r="F6286" s="49" t="s">
        <v>103</v>
      </c>
      <c r="G6286" s="51">
        <f>G6282*19%</f>
        <v>31872.177000000003</v>
      </c>
    </row>
    <row r="6287" spans="1:7" x14ac:dyDescent="0.25">
      <c r="A6287" s="61"/>
      <c r="B6287" s="62"/>
      <c r="C6287" s="62"/>
      <c r="D6287" s="62"/>
      <c r="E6287" s="57"/>
      <c r="F6287" s="57"/>
      <c r="G6287" s="58"/>
    </row>
    <row r="6288" spans="1:7" x14ac:dyDescent="0.25">
      <c r="A6288" s="219" t="s">
        <v>104</v>
      </c>
      <c r="B6288" s="219"/>
      <c r="C6288" s="219"/>
      <c r="D6288" s="219"/>
      <c r="E6288" s="219"/>
      <c r="F6288" s="219"/>
      <c r="G6288" s="52">
        <f>G6286+G6284</f>
        <v>4225579.6769999992</v>
      </c>
    </row>
    <row r="6290" spans="1:9" x14ac:dyDescent="0.25">
      <c r="A6290" s="74" t="s">
        <v>29</v>
      </c>
      <c r="B6290" s="226" t="s">
        <v>30</v>
      </c>
      <c r="C6290" s="226"/>
      <c r="D6290" s="74" t="s">
        <v>31</v>
      </c>
      <c r="E6290" s="74" t="s">
        <v>32</v>
      </c>
      <c r="F6290" s="74" t="s">
        <v>189</v>
      </c>
      <c r="G6290" s="74" t="s">
        <v>33</v>
      </c>
      <c r="H6290" s="105"/>
    </row>
    <row r="6291" spans="1:9" ht="35.25" customHeight="1" x14ac:dyDescent="0.25">
      <c r="A6291" s="50" t="str">
        <f>Presupuesto!B121</f>
        <v>101_OC</v>
      </c>
      <c r="B6291" s="229" t="str">
        <f>Presupuesto!C121</f>
        <v>PUERTA METÁLICA EN LÁMINA COLD ROLLER CON RELLENO HONEY COMB CON BARRA ANTIPÁNICO UNA HOJA (1,2 X 2,4 M)</v>
      </c>
      <c r="C6291" s="230"/>
      <c r="D6291" s="50" t="s">
        <v>8</v>
      </c>
      <c r="E6291" s="107">
        <v>0.8</v>
      </c>
      <c r="F6291" s="50"/>
      <c r="G6291" s="51">
        <f>G6356</f>
        <v>4469135.4895000001</v>
      </c>
      <c r="H6291" s="45"/>
    </row>
    <row r="6292" spans="1:9" x14ac:dyDescent="0.25">
      <c r="A6292" s="219" t="s">
        <v>34</v>
      </c>
      <c r="B6292" s="219"/>
      <c r="C6292" s="219"/>
      <c r="D6292" s="219"/>
      <c r="E6292" s="219"/>
      <c r="F6292" s="219"/>
      <c r="G6292" s="219"/>
    </row>
    <row r="6293" spans="1:9" x14ac:dyDescent="0.25">
      <c r="A6293" s="49" t="s">
        <v>35</v>
      </c>
      <c r="B6293" s="219" t="s">
        <v>36</v>
      </c>
      <c r="C6293" s="219"/>
      <c r="D6293" s="49" t="s">
        <v>37</v>
      </c>
      <c r="E6293" s="49" t="s">
        <v>38</v>
      </c>
      <c r="F6293" s="49" t="s">
        <v>39</v>
      </c>
      <c r="G6293" s="49" t="s">
        <v>40</v>
      </c>
    </row>
    <row r="6294" spans="1:9" ht="31.5" customHeight="1" x14ac:dyDescent="0.25">
      <c r="A6294" s="50" t="str">
        <f>Material!A614</f>
        <v>MA-613</v>
      </c>
      <c r="B6294" s="221" t="str">
        <f>IFERROR(VLOOKUP(A6294,Material!$A:$H,2,0),"-")</f>
        <v>PUERTA METÁLICA EN LÁMINA COLD ROLLER CON RELLENO HONEY COMB CON BARRA ANTIPÁNICO UNA HOJA (1,2 X 2,4 M)</v>
      </c>
      <c r="C6294" s="222"/>
      <c r="D6294" s="50" t="str">
        <f>IFERROR(VLOOKUP(A6294,Material!$A:$H,4,0),"-")</f>
        <v>UN</v>
      </c>
      <c r="E6294" s="107">
        <v>1</v>
      </c>
      <c r="F6294" s="51">
        <f>IFERROR(VLOOKUP(A6294,Material!$A:$H,3,0),"-")</f>
        <v>2815540</v>
      </c>
      <c r="G6294" s="51">
        <f>IFERROR(ROUNDUP(F6294*E6294,0),"-")</f>
        <v>2815540</v>
      </c>
      <c r="H6294" s="106"/>
    </row>
    <row r="6295" spans="1:9" x14ac:dyDescent="0.25">
      <c r="A6295" s="50"/>
      <c r="B6295" s="72" t="str">
        <f>IFERROR(VLOOKUP(A6295,Material!$A:$H,2,0),"-")</f>
        <v>-</v>
      </c>
      <c r="C6295" s="76"/>
      <c r="D6295" s="50" t="str">
        <f>IFERROR(VLOOKUP(A6295,Material!$A:$H,4,0),"-")</f>
        <v>-</v>
      </c>
      <c r="E6295" s="107"/>
      <c r="F6295" s="51" t="str">
        <f>IFERROR(VLOOKUP(A6295,Material!$A:$H,3,0),"-")</f>
        <v>-</v>
      </c>
      <c r="G6295" s="51" t="str">
        <f>IFERROR(ROUNDUP(F6295*E6295,0),"-")</f>
        <v>-</v>
      </c>
      <c r="H6295" s="106"/>
    </row>
    <row r="6296" spans="1:9" x14ac:dyDescent="0.25">
      <c r="A6296" s="50"/>
      <c r="B6296" s="72" t="str">
        <f>IFERROR(VLOOKUP(A6296,Material!$A:$H,2,0),"-")</f>
        <v>-</v>
      </c>
      <c r="C6296" s="76"/>
      <c r="D6296" s="50" t="str">
        <f>IFERROR(VLOOKUP(A6296,Material!$A:$H,4,0),"-")</f>
        <v>-</v>
      </c>
      <c r="E6296" s="107"/>
      <c r="F6296" s="51" t="str">
        <f>IFERROR(VLOOKUP(A6296,Material!$A:$H,3,0),"-")</f>
        <v>-</v>
      </c>
      <c r="G6296" s="51" t="str">
        <f>IFERROR(ROUNDUP(F6296*E6296,0),"-")</f>
        <v>-</v>
      </c>
      <c r="H6296" s="106"/>
    </row>
    <row r="6297" spans="1:9" x14ac:dyDescent="0.25">
      <c r="A6297" s="50"/>
      <c r="B6297" s="72" t="str">
        <f>IFERROR(VLOOKUP(A6297,Material!$A:$H,2,0),"-")</f>
        <v>-</v>
      </c>
      <c r="C6297" s="76"/>
      <c r="D6297" s="50" t="str">
        <f>IFERROR(VLOOKUP(A6297,Material!$A:$H,4,0),"-")</f>
        <v>-</v>
      </c>
      <c r="E6297" s="107"/>
      <c r="F6297" s="51" t="str">
        <f>IFERROR(VLOOKUP(A6297,Material!$A:$H,3,0),"-")</f>
        <v>-</v>
      </c>
      <c r="G6297" s="51" t="str">
        <f>IFERROR(ROUNDUP(F6297*E6297,0),"-")</f>
        <v>-</v>
      </c>
      <c r="H6297" s="106"/>
    </row>
    <row r="6298" spans="1:9" x14ac:dyDescent="0.25">
      <c r="A6298" s="219" t="s">
        <v>41</v>
      </c>
      <c r="B6298" s="219"/>
      <c r="C6298" s="219"/>
      <c r="D6298" s="219"/>
      <c r="E6298" s="219"/>
      <c r="F6298" s="219"/>
      <c r="G6298" s="52">
        <f>SUM(G6294:G6297)</f>
        <v>2815540</v>
      </c>
      <c r="I6298" s="104"/>
    </row>
    <row r="6299" spans="1:9" x14ac:dyDescent="0.25">
      <c r="A6299" s="56"/>
      <c r="B6299" s="57"/>
      <c r="C6299" s="57"/>
      <c r="D6299" s="57"/>
      <c r="E6299" s="57"/>
      <c r="F6299" s="57"/>
      <c r="G6299" s="58"/>
    </row>
    <row r="6300" spans="1:9" x14ac:dyDescent="0.25">
      <c r="A6300" s="219" t="s">
        <v>42</v>
      </c>
      <c r="B6300" s="219"/>
      <c r="C6300" s="219"/>
      <c r="D6300" s="219"/>
      <c r="E6300" s="219"/>
      <c r="F6300" s="219"/>
      <c r="G6300" s="219"/>
    </row>
    <row r="6301" spans="1:9" x14ac:dyDescent="0.25">
      <c r="A6301" s="49" t="s">
        <v>35</v>
      </c>
      <c r="B6301" s="49" t="s">
        <v>36</v>
      </c>
      <c r="C6301" s="49" t="s">
        <v>38</v>
      </c>
      <c r="D6301" s="49" t="s">
        <v>43</v>
      </c>
      <c r="E6301" s="49" t="s">
        <v>44</v>
      </c>
      <c r="F6301" s="49" t="s">
        <v>45</v>
      </c>
      <c r="G6301" s="49" t="s">
        <v>40</v>
      </c>
    </row>
    <row r="6302" spans="1:9" x14ac:dyDescent="0.25">
      <c r="A6302" s="50" t="s">
        <v>319</v>
      </c>
      <c r="B6302" s="68" t="str">
        <f>VLOOKUP(A6302,'Componentes APUs'!$H$1:$L$25,2,0)</f>
        <v>Ingeniero Residente de Obra</v>
      </c>
      <c r="C6302" s="93">
        <v>0</v>
      </c>
      <c r="D6302" s="50">
        <f>VLOOKUP(A6302,'Componentes APUs'!$H$1:$L$25,3,0)</f>
        <v>4</v>
      </c>
      <c r="E6302" s="51">
        <f>VLOOKUP(A6302,'Componentes APUs'!$H$1:$L$25,4,0)</f>
        <v>271142.85714285716</v>
      </c>
      <c r="F6302" s="51">
        <f>VLOOKUP(A6302,'Componentes APUs'!$H$1:$L$25,5,0)</f>
        <v>162685.71428571429</v>
      </c>
      <c r="G6302" s="51">
        <f>ROUNDUP((E6302+F6302)*C6302/E6291,0)</f>
        <v>0</v>
      </c>
      <c r="H6302" s="66"/>
    </row>
    <row r="6303" spans="1:9" x14ac:dyDescent="0.25">
      <c r="A6303" s="50" t="s">
        <v>320</v>
      </c>
      <c r="B6303" s="68" t="str">
        <f>VLOOKUP(A6303,'Componentes APUs'!$H$1:$L$25,2,0)</f>
        <v>Tecnico Supervisor</v>
      </c>
      <c r="C6303" s="93">
        <v>0</v>
      </c>
      <c r="D6303" s="50">
        <f>VLOOKUP(A6303,'Componentes APUs'!$H$1:$L$25,3,0)</f>
        <v>2.2999999999999998</v>
      </c>
      <c r="E6303" s="51">
        <f>VLOOKUP(A6303,'Componentes APUs'!$H$1:$L$25,4,0)</f>
        <v>155907.14285714284</v>
      </c>
      <c r="F6303" s="51">
        <f>VLOOKUP(A6303,'Componentes APUs'!$H$1:$L$25,5,0)</f>
        <v>93544.285714285696</v>
      </c>
      <c r="G6303" s="51">
        <f>ROUNDUP((E6303+F6303)*C6303/E6291,0)</f>
        <v>0</v>
      </c>
    </row>
    <row r="6304" spans="1:9" x14ac:dyDescent="0.25">
      <c r="A6304" s="50" t="s">
        <v>54</v>
      </c>
      <c r="B6304" s="68" t="str">
        <f>VLOOKUP(A6304,'Componentes APUs'!$H$1:$L$25,2,0)</f>
        <v>Maestro de obra civil</v>
      </c>
      <c r="C6304" s="93">
        <v>0</v>
      </c>
      <c r="D6304" s="50">
        <f>VLOOKUP(A6304,'Componentes APUs'!$H$1:$L$25,3,0)</f>
        <v>2.5</v>
      </c>
      <c r="E6304" s="51">
        <f>VLOOKUP(A6304,'Componentes APUs'!$H$1:$L$25,4,0)</f>
        <v>169464.28571428571</v>
      </c>
      <c r="F6304" s="51">
        <f>VLOOKUP(A6304,'Componentes APUs'!$H$1:$L$25,5,0)</f>
        <v>101678.57142857142</v>
      </c>
      <c r="G6304" s="51">
        <f>ROUNDUP((E6304+F6304)*C6304/E6291,0)</f>
        <v>0</v>
      </c>
    </row>
    <row r="6305" spans="1:9" x14ac:dyDescent="0.25">
      <c r="A6305" s="50" t="s">
        <v>1110</v>
      </c>
      <c r="B6305" s="68" t="str">
        <f>VLOOKUP(A6305,'Componentes APUs'!$H$1:$L$25,2,0)</f>
        <v>Oficial de Obra Civil</v>
      </c>
      <c r="C6305" s="93">
        <v>0</v>
      </c>
      <c r="D6305" s="50">
        <f>VLOOKUP(A6305,'Componentes APUs'!$H$1:$L$25,3,0)</f>
        <v>1.5</v>
      </c>
      <c r="E6305" s="51">
        <f>VLOOKUP(A6305,'Componentes APUs'!$H$1:$L$25,4,0)</f>
        <v>115964.28571428571</v>
      </c>
      <c r="F6305" s="51">
        <f>VLOOKUP(A6305,'Componentes APUs'!$H$1:$L$25,5,0)</f>
        <v>69578.57142857142</v>
      </c>
      <c r="G6305" s="51">
        <f>ROUNDUP((E6305+F6305)*C6305/E6291,0)</f>
        <v>0</v>
      </c>
    </row>
    <row r="6306" spans="1:9" x14ac:dyDescent="0.25">
      <c r="A6306" s="50" t="s">
        <v>50</v>
      </c>
      <c r="B6306" s="68" t="str">
        <f>VLOOKUP(A6306,'Componentes APUs'!$H$1:$L$25,2,0)</f>
        <v>Profesional en SST</v>
      </c>
      <c r="C6306" s="93">
        <v>0.25</v>
      </c>
      <c r="D6306" s="50">
        <f>VLOOKUP(A6306,'Componentes APUs'!$H$1:$L$25,3,0)</f>
        <v>2.5</v>
      </c>
      <c r="E6306" s="51">
        <f>VLOOKUP(A6306,'Componentes APUs'!$H$1:$L$25,4,0)</f>
        <v>169464.28571428571</v>
      </c>
      <c r="F6306" s="51">
        <f>VLOOKUP(A6306,'Componentes APUs'!$H$1:$L$25,5,0)</f>
        <v>101678.57142857142</v>
      </c>
      <c r="G6306" s="51">
        <f>ROUNDUP((E6306+F6306)*C6306/E6291,0)</f>
        <v>84733</v>
      </c>
    </row>
    <row r="6307" spans="1:9" x14ac:dyDescent="0.25">
      <c r="A6307" s="50" t="s">
        <v>1109</v>
      </c>
      <c r="B6307" s="68" t="str">
        <f>VLOOKUP(A6307,'Componentes APUs'!$H$1:$L$25,2,0)</f>
        <v>Ayudante de Obra Civil</v>
      </c>
      <c r="C6307" s="93">
        <v>2</v>
      </c>
      <c r="D6307" s="50">
        <f>VLOOKUP(A6307,'Componentes APUs'!$H$1:$L$25,3,0)</f>
        <v>1</v>
      </c>
      <c r="E6307" s="51">
        <f>VLOOKUP(A6307,'Componentes APUs'!$H$1:$L$25,4,0)</f>
        <v>77309.523809523816</v>
      </c>
      <c r="F6307" s="51">
        <f>VLOOKUP(A6307,'Componentes APUs'!$H$1:$L$25,5,0)</f>
        <v>46385.71428571429</v>
      </c>
      <c r="G6307" s="51">
        <f>ROUNDUP((E6307+F6307)*C6307/E6291,0)</f>
        <v>309239</v>
      </c>
    </row>
    <row r="6308" spans="1:9" x14ac:dyDescent="0.25">
      <c r="A6308" s="219" t="s">
        <v>56</v>
      </c>
      <c r="B6308" s="219"/>
      <c r="C6308" s="219"/>
      <c r="D6308" s="219"/>
      <c r="E6308" s="219"/>
      <c r="F6308" s="219"/>
      <c r="G6308" s="52">
        <f>SUM(G6302:G6307)</f>
        <v>393972</v>
      </c>
    </row>
    <row r="6309" spans="1:9" x14ac:dyDescent="0.25">
      <c r="A6309" s="56"/>
      <c r="B6309" s="57"/>
      <c r="C6309" s="57"/>
      <c r="D6309" s="57"/>
      <c r="E6309" s="57"/>
      <c r="F6309" s="57"/>
      <c r="G6309" s="58"/>
    </row>
    <row r="6310" spans="1:9" x14ac:dyDescent="0.25">
      <c r="A6310" s="219" t="s">
        <v>57</v>
      </c>
      <c r="B6310" s="219"/>
      <c r="C6310" s="219"/>
      <c r="D6310" s="219"/>
      <c r="E6310" s="219"/>
      <c r="F6310" s="219"/>
      <c r="G6310" s="219"/>
    </row>
    <row r="6311" spans="1:9" x14ac:dyDescent="0.25">
      <c r="A6311" s="49" t="s">
        <v>35</v>
      </c>
      <c r="B6311" s="219" t="s">
        <v>36</v>
      </c>
      <c r="C6311" s="219"/>
      <c r="D6311" s="49" t="s">
        <v>37</v>
      </c>
      <c r="E6311" s="49" t="s">
        <v>38</v>
      </c>
      <c r="F6311" s="49" t="s">
        <v>39</v>
      </c>
      <c r="G6311" s="49" t="s">
        <v>40</v>
      </c>
    </row>
    <row r="6312" spans="1:9" x14ac:dyDescent="0.25">
      <c r="A6312" s="50" t="s">
        <v>326</v>
      </c>
      <c r="B6312" s="220" t="str">
        <f>VLOOKUP(A6312,'Componentes APUs'!$S$1:$V$10,2,0)</f>
        <v>Juego Llaves</v>
      </c>
      <c r="C6312" s="220"/>
      <c r="D6312" s="50" t="s">
        <v>18</v>
      </c>
      <c r="E6312" s="50">
        <v>0</v>
      </c>
      <c r="F6312" s="51">
        <f>VLOOKUP(A6312,'Componentes APUs'!$S$1:$V$10,4,0)</f>
        <v>9167</v>
      </c>
      <c r="G6312" s="51">
        <f>ROUNDUP(F6312*((E6312/21)/E6291),0)</f>
        <v>0</v>
      </c>
      <c r="I6312" s="91"/>
    </row>
    <row r="6313" spans="1:9" x14ac:dyDescent="0.25">
      <c r="A6313" s="50" t="s">
        <v>58</v>
      </c>
      <c r="B6313" s="220" t="str">
        <f>VLOOKUP(A6313,'Componentes APUs'!$S$1:$V$10,2,0)</f>
        <v>Manila de servicio</v>
      </c>
      <c r="C6313" s="220"/>
      <c r="D6313" s="50" t="s">
        <v>18</v>
      </c>
      <c r="E6313" s="50">
        <v>0</v>
      </c>
      <c r="F6313" s="51">
        <f>VLOOKUP(A6313,'Componentes APUs'!$S$1:$V$10,4,0)</f>
        <v>2333</v>
      </c>
      <c r="G6313" s="51">
        <f>ROUNDUP(F6313*((E6313/21)/E6291),0)</f>
        <v>0</v>
      </c>
    </row>
    <row r="6314" spans="1:9" x14ac:dyDescent="0.25">
      <c r="A6314" s="50" t="s">
        <v>327</v>
      </c>
      <c r="B6314" s="220" t="str">
        <f>VLOOKUP(A6314,'Componentes APUs'!$S$1:$V$10,2,0)</f>
        <v>Tula portaherramientas</v>
      </c>
      <c r="C6314" s="220"/>
      <c r="D6314" s="50" t="s">
        <v>18</v>
      </c>
      <c r="E6314" s="50">
        <v>0</v>
      </c>
      <c r="F6314" s="51">
        <f>VLOOKUP(A6314,'Componentes APUs'!$S$1:$V$10,4,0)</f>
        <v>1250</v>
      </c>
      <c r="G6314" s="51">
        <f>ROUNDUP(F6314*((E6314/21)/E6291),0)</f>
        <v>0</v>
      </c>
    </row>
    <row r="6315" spans="1:9" x14ac:dyDescent="0.25">
      <c r="A6315" s="50" t="s">
        <v>60</v>
      </c>
      <c r="B6315" s="220" t="str">
        <f>VLOOKUP(A6315,'Componentes APUs'!$S$1:$V$10,2,0)</f>
        <v>Agarradoras</v>
      </c>
      <c r="C6315" s="220"/>
      <c r="D6315" s="50" t="s">
        <v>18</v>
      </c>
      <c r="E6315" s="50">
        <v>0</v>
      </c>
      <c r="F6315" s="51">
        <f>VLOOKUP(A6315,'Componentes APUs'!$S$1:$V$10,4,0)</f>
        <v>125000</v>
      </c>
      <c r="G6315" s="51">
        <f>ROUNDUP(F6315*((E6315/21)/E6291),0)</f>
        <v>0</v>
      </c>
    </row>
    <row r="6316" spans="1:9" x14ac:dyDescent="0.25">
      <c r="A6316" s="50" t="s">
        <v>62</v>
      </c>
      <c r="B6316" s="220" t="str">
        <f>VLOOKUP(A6316,'Componentes APUs'!$S$1:$V$10,2,0)</f>
        <v>Templadoras</v>
      </c>
      <c r="C6316" s="220"/>
      <c r="D6316" s="50" t="s">
        <v>18</v>
      </c>
      <c r="E6316" s="50">
        <v>0</v>
      </c>
      <c r="F6316" s="51">
        <f>VLOOKUP(A6316,'Componentes APUs'!$S$1:$V$10,4,0)</f>
        <v>250000</v>
      </c>
      <c r="G6316" s="51">
        <f>ROUNDUP(F6316*((E6316/21)/E6291),0)</f>
        <v>0</v>
      </c>
    </row>
    <row r="6317" spans="1:9" x14ac:dyDescent="0.25">
      <c r="A6317" s="50" t="s">
        <v>328</v>
      </c>
      <c r="B6317" s="220" t="str">
        <f>VLOOKUP(A6317,'Componentes APUs'!$S$1:$V$10,2,0)</f>
        <v>Herramienta Menor</v>
      </c>
      <c r="C6317" s="220"/>
      <c r="D6317" s="50" t="s">
        <v>18</v>
      </c>
      <c r="E6317" s="50">
        <v>1</v>
      </c>
      <c r="F6317" s="51">
        <f>VLOOKUP(A6317,'Componentes APUs'!$S$1:$V$10,4,0)</f>
        <v>75758</v>
      </c>
      <c r="G6317" s="51">
        <f>ROUNDUP(F6317*((E6317/21)/E6291),0)</f>
        <v>4510</v>
      </c>
    </row>
    <row r="6318" spans="1:9" x14ac:dyDescent="0.25">
      <c r="A6318" s="219" t="s">
        <v>69</v>
      </c>
      <c r="B6318" s="219"/>
      <c r="C6318" s="219"/>
      <c r="D6318" s="219"/>
      <c r="E6318" s="219"/>
      <c r="F6318" s="219"/>
      <c r="G6318" s="52">
        <f>SUM(G6312:G6317)</f>
        <v>4510</v>
      </c>
    </row>
    <row r="6319" spans="1:9" x14ac:dyDescent="0.25">
      <c r="A6319" s="56"/>
      <c r="B6319" s="57"/>
      <c r="C6319" s="57"/>
      <c r="D6319" s="57"/>
      <c r="E6319" s="57"/>
      <c r="F6319" s="57"/>
      <c r="G6319" s="58"/>
    </row>
    <row r="6320" spans="1:9" x14ac:dyDescent="0.25">
      <c r="A6320" s="219" t="s">
        <v>70</v>
      </c>
      <c r="B6320" s="219"/>
      <c r="C6320" s="219"/>
      <c r="D6320" s="219"/>
      <c r="E6320" s="219"/>
      <c r="F6320" s="219"/>
      <c r="G6320" s="219"/>
    </row>
    <row r="6321" spans="1:9" x14ac:dyDescent="0.25">
      <c r="A6321" s="49" t="s">
        <v>35</v>
      </c>
      <c r="B6321" s="219" t="s">
        <v>36</v>
      </c>
      <c r="C6321" s="219"/>
      <c r="D6321" s="49" t="s">
        <v>37</v>
      </c>
      <c r="E6321" s="49" t="s">
        <v>38</v>
      </c>
      <c r="F6321" s="49" t="s">
        <v>39</v>
      </c>
      <c r="G6321" s="49" t="s">
        <v>40</v>
      </c>
    </row>
    <row r="6322" spans="1:9" x14ac:dyDescent="0.25">
      <c r="A6322" s="50" t="s">
        <v>71</v>
      </c>
      <c r="B6322" s="71" t="str">
        <f>VLOOKUP(A6322,'Componentes APUs'!$A$1:$D$14,2,0)</f>
        <v>Camisa indigo sin partes metalicas</v>
      </c>
      <c r="C6322" s="71"/>
      <c r="D6322" s="50" t="str">
        <f>VLOOKUP(A6322,'Componentes APUs'!$A$1:$D$14,3,0)</f>
        <v>U</v>
      </c>
      <c r="E6322" s="50">
        <f>SUM(C6302:C6307)</f>
        <v>2.25</v>
      </c>
      <c r="F6322" s="51">
        <f>VLOOKUP(A6322,'Componentes APUs'!$A$1:$D$14,4,0)</f>
        <v>8585.8585858585866</v>
      </c>
      <c r="G6322" s="51">
        <f>ROUNDUP(F6322*(E6322/21)/E6291,0)</f>
        <v>1150</v>
      </c>
      <c r="I6322" s="91"/>
    </row>
    <row r="6323" spans="1:9" x14ac:dyDescent="0.25">
      <c r="A6323" s="69" t="s">
        <v>73</v>
      </c>
      <c r="B6323" s="72" t="str">
        <f>VLOOKUP(A6323,'Componentes APUs'!$A$1:$D$14,2,0)</f>
        <v>Bota de seguridad dielectrica</v>
      </c>
      <c r="C6323" s="73"/>
      <c r="D6323" s="70" t="str">
        <f>VLOOKUP(A6323,'Componentes APUs'!$A$1:$D$14,3,0)</f>
        <v>Par</v>
      </c>
      <c r="E6323" s="50">
        <f>SUM(C6302:C6307)</f>
        <v>2.25</v>
      </c>
      <c r="F6323" s="51">
        <f>VLOOKUP(A6323,'Componentes APUs'!$A$1:$D$14,4,0)</f>
        <v>7500</v>
      </c>
      <c r="G6323" s="51">
        <f>ROUNDUP(F6323*(E6323/21)/E6291,0)</f>
        <v>1005</v>
      </c>
    </row>
    <row r="6324" spans="1:9" x14ac:dyDescent="0.25">
      <c r="A6324" s="50" t="s">
        <v>76</v>
      </c>
      <c r="B6324" s="72" t="str">
        <f>VLOOKUP(A6324,'Componentes APUs'!$A$1:$D$14,2,0)</f>
        <v>Casco dielectrico Tipo 1 Clase E con barbuquejo</v>
      </c>
      <c r="C6324" s="73"/>
      <c r="D6324" s="50" t="str">
        <f>VLOOKUP(A6324,'Componentes APUs'!$A$1:$D$14,3,0)</f>
        <v>U</v>
      </c>
      <c r="E6324" s="50">
        <f>C6302+C6303+C6305+C6306+C6307+IF(A6304&lt;&gt;"MO-3",C6304,0)</f>
        <v>2.25</v>
      </c>
      <c r="F6324" s="51">
        <f>VLOOKUP(A6324,'Componentes APUs'!$A$1:$D$14,4,0)</f>
        <v>10101.010101010101</v>
      </c>
      <c r="G6324" s="51">
        <f>ROUNDUP(F6324*(E6324/21)/E6291,0)</f>
        <v>1353</v>
      </c>
    </row>
    <row r="6325" spans="1:9" x14ac:dyDescent="0.25">
      <c r="A6325" s="69" t="s">
        <v>77</v>
      </c>
      <c r="B6325" s="72" t="str">
        <f>VLOOKUP(A6325,'Componentes APUs'!$A$1:$D$14,2,0)</f>
        <v>Correa plastica y antiflama</v>
      </c>
      <c r="C6325" s="73"/>
      <c r="D6325" s="50" t="str">
        <f>VLOOKUP(A6325,'Componentes APUs'!$A$1:$D$14,3,0)</f>
        <v>U</v>
      </c>
      <c r="E6325" s="50">
        <f>SUM(C6302:C6307)</f>
        <v>2.25</v>
      </c>
      <c r="F6325" s="51">
        <f>VLOOKUP(A6325,'Componentes APUs'!$A$1:$D$14,4,0)</f>
        <v>3787.878787878788</v>
      </c>
      <c r="G6325" s="51">
        <f>ROUNDUP(F6325*(E6325/21)/E6291,0)</f>
        <v>508</v>
      </c>
    </row>
    <row r="6326" spans="1:9" x14ac:dyDescent="0.25">
      <c r="A6326" s="50" t="s">
        <v>79</v>
      </c>
      <c r="B6326" s="72" t="str">
        <f>VLOOKUP(A6326,'Componentes APUs'!$A$1:$D$14,2,0)</f>
        <v>Gafas protectoras filtro UV</v>
      </c>
      <c r="C6326" s="73"/>
      <c r="D6326" s="50" t="str">
        <f>VLOOKUP(A6326,'Componentes APUs'!$A$1:$D$14,3,0)</f>
        <v>U</v>
      </c>
      <c r="E6326" s="50">
        <f>SUM(C6302:C6307)</f>
        <v>2.25</v>
      </c>
      <c r="F6326" s="51">
        <f>VLOOKUP(A6326,'Componentes APUs'!$A$1:$D$14,4,0)</f>
        <v>2777.7777777777778</v>
      </c>
      <c r="G6326" s="51">
        <f>ROUNDUP(F6326*(E6326/21)/E6291,0)</f>
        <v>373</v>
      </c>
    </row>
    <row r="6327" spans="1:9" x14ac:dyDescent="0.25">
      <c r="A6327" s="69" t="s">
        <v>402</v>
      </c>
      <c r="B6327" s="72" t="str">
        <f>VLOOKUP(A6327,'Componentes APUs'!$A$1:$D$14,2,0)</f>
        <v>Bota de seguridad PVC dielectrica</v>
      </c>
      <c r="C6327" s="73"/>
      <c r="D6327" s="50" t="str">
        <f>VLOOKUP(A6327,'Componentes APUs'!$A$1:$D$14,3,0)</f>
        <v>Par</v>
      </c>
      <c r="E6327" s="50">
        <f>SUM(C6302:C6307)</f>
        <v>2.25</v>
      </c>
      <c r="F6327" s="51">
        <f>VLOOKUP(A6327,'Componentes APUs'!$A$1:$D$14,4,0)</f>
        <v>2916.6666666666665</v>
      </c>
      <c r="G6327" s="51">
        <f>ROUNDUP(F6327*(E6327/21)/E6291,0)</f>
        <v>391</v>
      </c>
    </row>
    <row r="6328" spans="1:9" x14ac:dyDescent="0.25">
      <c r="A6328" s="50" t="s">
        <v>403</v>
      </c>
      <c r="B6328" s="72" t="str">
        <f>VLOOKUP(A6328,'Componentes APUs'!$A$1:$D$14,2,0)</f>
        <v>Capuchon</v>
      </c>
      <c r="C6328" s="73"/>
      <c r="D6328" s="50" t="str">
        <f>VLOOKUP(A6328,'Componentes APUs'!$A$1:$D$14,3,0)</f>
        <v>U</v>
      </c>
      <c r="E6328" s="50">
        <f>SUM(C6302:C6307)</f>
        <v>2.25</v>
      </c>
      <c r="F6328" s="51">
        <f>VLOOKUP(A6328,'Componentes APUs'!$A$1:$D$14,4,0)</f>
        <v>2525.2525252525252</v>
      </c>
      <c r="G6328" s="51">
        <f>ROUNDUP(F6328*(E6328/21)/E6291,0)</f>
        <v>339</v>
      </c>
    </row>
    <row r="6329" spans="1:9" x14ac:dyDescent="0.25">
      <c r="A6329" s="69" t="s">
        <v>81</v>
      </c>
      <c r="B6329" s="72" t="str">
        <f>VLOOKUP(A6329,'Componentes APUs'!$A$1:$D$14,2,0)</f>
        <v>Guantes Protectores  - ingeniero reforzados</v>
      </c>
      <c r="C6329" s="73"/>
      <c r="D6329" s="50" t="str">
        <f>VLOOKUP(A6329,'Componentes APUs'!$A$1:$D$14,3,0)</f>
        <v>Par</v>
      </c>
      <c r="E6329" s="50">
        <f>C6304+C6305+C6307</f>
        <v>2</v>
      </c>
      <c r="F6329" s="51">
        <f>VLOOKUP(A6329,'Componentes APUs'!$A$1:$D$14,4,0)</f>
        <v>2525.2525252525252</v>
      </c>
      <c r="G6329" s="51">
        <f>ROUNDUP(F6329*(E6329/21)/E6291,0)</f>
        <v>301</v>
      </c>
    </row>
    <row r="6330" spans="1:9" x14ac:dyDescent="0.25">
      <c r="A6330" s="50" t="s">
        <v>83</v>
      </c>
      <c r="B6330" s="72" t="str">
        <f>VLOOKUP(A6330,'Componentes APUs'!$A$1:$D$14,2,0)</f>
        <v>Impermeable (pantalon camisa)</v>
      </c>
      <c r="C6330" s="73"/>
      <c r="D6330" s="50" t="str">
        <f>VLOOKUP(A6330,'Componentes APUs'!$A$1:$D$14,3,0)</f>
        <v>U</v>
      </c>
      <c r="E6330" s="50">
        <f>SUM(C6302:C6307)</f>
        <v>2.25</v>
      </c>
      <c r="F6330" s="51">
        <f>VLOOKUP(A6330,'Componentes APUs'!$A$1:$D$14,4,0)</f>
        <v>3750</v>
      </c>
      <c r="G6330" s="51">
        <f>ROUNDUP(F6330*(E6330/21)/E6291,0)</f>
        <v>503</v>
      </c>
    </row>
    <row r="6331" spans="1:9" x14ac:dyDescent="0.25">
      <c r="A6331" s="69" t="s">
        <v>85</v>
      </c>
      <c r="B6331" s="72" t="str">
        <f>VLOOKUP(A6331,'Componentes APUs'!$A$1:$D$14,2,0)</f>
        <v>Jean Dielectrico</v>
      </c>
      <c r="C6331" s="73"/>
      <c r="D6331" s="50" t="str">
        <f>VLOOKUP(A6331,'Componentes APUs'!$A$1:$D$14,3,0)</f>
        <v>U</v>
      </c>
      <c r="E6331" s="50">
        <f>SUM(C6302:C6307)</f>
        <v>2.25</v>
      </c>
      <c r="F6331" s="51">
        <f>VLOOKUP(A6331,'Componentes APUs'!$A$1:$D$14,4,0)</f>
        <v>7575.757575757576</v>
      </c>
      <c r="G6331" s="51">
        <f>ROUNDUP(F6331*(E6331/21)/E6291,0)</f>
        <v>1015</v>
      </c>
    </row>
    <row r="6332" spans="1:9" x14ac:dyDescent="0.25">
      <c r="A6332" s="50" t="s">
        <v>87</v>
      </c>
      <c r="B6332" s="72" t="str">
        <f>VLOOKUP(A6332,'Componentes APUs'!$A$1:$D$14,2,0)</f>
        <v>Casco dielectrico Tipo 2 Clase E con barboquejo</v>
      </c>
      <c r="C6332" s="73"/>
      <c r="D6332" s="50" t="str">
        <f>VLOOKUP(A6332,'Componentes APUs'!$A$1:$D$14,3,0)</f>
        <v>U</v>
      </c>
      <c r="E6332" s="53">
        <f>IF(A6304="MO-3",C6304,0)</f>
        <v>0</v>
      </c>
      <c r="F6332" s="51">
        <f>VLOOKUP(A6332,'Componentes APUs'!$A$1:$D$14,4,0)</f>
        <v>7500</v>
      </c>
      <c r="G6332" s="51">
        <f>ROUNDUP(F6332*(E6332/21)/E6291,0)</f>
        <v>0</v>
      </c>
    </row>
    <row r="6333" spans="1:9" x14ac:dyDescent="0.25">
      <c r="A6333" s="69" t="s">
        <v>89</v>
      </c>
      <c r="B6333" s="72" t="str">
        <f>VLOOKUP(A6333,'Componentes APUs'!$A$1:$D$14,2,0)</f>
        <v>Kit de rescate para trabajo en alturas</v>
      </c>
      <c r="C6333" s="73"/>
      <c r="D6333" s="50" t="str">
        <f>VLOOKUP(A6333,'Componentes APUs'!$A$1:$D$14,3,0)</f>
        <v>U</v>
      </c>
      <c r="E6333" s="50">
        <f>IF(AND(A6304="MO-3",C6304=2),1,0)</f>
        <v>0</v>
      </c>
      <c r="F6333" s="51">
        <f>VLOOKUP(A6333,'Componentes APUs'!$A$1:$D$14,4,0)</f>
        <v>37500</v>
      </c>
      <c r="G6333" s="51">
        <f>ROUNDUP(F6333*(E6333/21)/E6291,0)</f>
        <v>0</v>
      </c>
    </row>
    <row r="6334" spans="1:9" x14ac:dyDescent="0.25">
      <c r="A6334" s="50" t="s">
        <v>91</v>
      </c>
      <c r="B6334" s="72" t="str">
        <f>VLOOKUP(A6334,'Componentes APUs'!$A$1:$D$14,2,0)</f>
        <v>Equipo completo para trabajo en alturas con pretales (Arnes dielectrico, 1 mosqueton de seguridad, tie off dielectrico, eslinga de posicionamiento, juego de pretales)</v>
      </c>
      <c r="C6334" s="73"/>
      <c r="D6334" s="50" t="str">
        <f>VLOOKUP(A6334,'Componentes APUs'!$A$1:$D$14,3,0)</f>
        <v>U</v>
      </c>
      <c r="E6334" s="50">
        <f>IF(A6304="MO-3",C6304,0)</f>
        <v>0</v>
      </c>
      <c r="F6334" s="51">
        <f>VLOOKUP(A6334,'Componentes APUs'!$A$1:$D$14,4,0)</f>
        <v>26041.666666666668</v>
      </c>
      <c r="G6334" s="51">
        <f>ROUNDUP(F6334*(E6334/21)/E6291,0)</f>
        <v>0</v>
      </c>
    </row>
    <row r="6335" spans="1:9" x14ac:dyDescent="0.25">
      <c r="A6335" s="219" t="s">
        <v>95</v>
      </c>
      <c r="B6335" s="219"/>
      <c r="C6335" s="219"/>
      <c r="D6335" s="219"/>
      <c r="E6335" s="219"/>
      <c r="F6335" s="219"/>
      <c r="G6335" s="52">
        <f>SUM(G6322:G6334)</f>
        <v>6938</v>
      </c>
    </row>
    <row r="6336" spans="1:9" x14ac:dyDescent="0.25">
      <c r="A6336" s="56"/>
      <c r="B6336" s="57"/>
      <c r="C6336" s="57"/>
      <c r="D6336" s="57"/>
      <c r="E6336" s="57"/>
      <c r="F6336" s="57"/>
      <c r="G6336" s="58"/>
    </row>
    <row r="6337" spans="1:7" x14ac:dyDescent="0.25">
      <c r="A6337" s="219" t="s">
        <v>96</v>
      </c>
      <c r="B6337" s="219"/>
      <c r="C6337" s="219"/>
      <c r="D6337" s="219"/>
      <c r="E6337" s="219"/>
      <c r="F6337" s="219"/>
      <c r="G6337" s="219"/>
    </row>
    <row r="6338" spans="1:7" x14ac:dyDescent="0.25">
      <c r="A6338" s="49" t="s">
        <v>35</v>
      </c>
      <c r="B6338" s="225" t="s">
        <v>36</v>
      </c>
      <c r="C6338" s="225"/>
      <c r="D6338" s="49" t="s">
        <v>37</v>
      </c>
      <c r="E6338" s="49" t="s">
        <v>38</v>
      </c>
      <c r="F6338" s="49" t="s">
        <v>39</v>
      </c>
      <c r="G6338" s="49" t="s">
        <v>40</v>
      </c>
    </row>
    <row r="6339" spans="1:7" x14ac:dyDescent="0.25">
      <c r="A6339" s="69" t="s">
        <v>97</v>
      </c>
      <c r="B6339" s="72" t="str">
        <f>VLOOKUP(A6339,'Componentes APUs'!$N$1:$Q$30,2,0)</f>
        <v>Camioneta</v>
      </c>
      <c r="C6339" s="73"/>
      <c r="D6339" s="70" t="str">
        <f>VLOOKUP(A6339,'Componentes APUs'!$N$1:$Q$30,3,0)</f>
        <v>U</v>
      </c>
      <c r="E6339" s="50">
        <v>1</v>
      </c>
      <c r="F6339" s="51">
        <f>VLOOKUP(A6339,'Componentes APUs'!$N$1:$Q$30,4,0)</f>
        <v>5500000</v>
      </c>
      <c r="G6339" s="51">
        <f>IFERROR(ROUNDUP(F6339*(E6339/21)/E6291,0),"-")</f>
        <v>327381</v>
      </c>
    </row>
    <row r="6340" spans="1:7" x14ac:dyDescent="0.25">
      <c r="A6340" s="50" t="s">
        <v>321</v>
      </c>
      <c r="B6340" s="72" t="str">
        <f>VLOOKUP(A6340,'Componentes APUs'!$N$1:$Q$30,2,0)</f>
        <v>Grúa Hidráulica</v>
      </c>
      <c r="C6340" s="73"/>
      <c r="D6340" s="70" t="str">
        <f>VLOOKUP(A6340,'Componentes APUs'!$N$1:$Q$30,3,0)</f>
        <v>U</v>
      </c>
      <c r="E6340" s="50">
        <v>0</v>
      </c>
      <c r="F6340" s="51">
        <f>VLOOKUP(A6340,'Componentes APUs'!$N$1:$Q$30,4,0)</f>
        <v>21000000</v>
      </c>
      <c r="G6340" s="51">
        <f>IFERROR(ROUNDUP(F6340*(E6340/21)/E6291,0),"-")</f>
        <v>0</v>
      </c>
    </row>
    <row r="6341" spans="1:7" x14ac:dyDescent="0.25">
      <c r="A6341" s="69" t="s">
        <v>1379</v>
      </c>
      <c r="B6341" s="72" t="str">
        <f>VLOOKUP(A6341,'Componentes APUs'!$N$1:$Q$30,2,0)</f>
        <v>Dumper de descarga Frontal 2T</v>
      </c>
      <c r="C6341" s="73"/>
      <c r="D6341" s="70" t="str">
        <f>VLOOKUP(A6341,'Componentes APUs'!$N$1:$Q$30,3,0)</f>
        <v>U</v>
      </c>
      <c r="E6341" s="50">
        <v>0</v>
      </c>
      <c r="F6341" s="51">
        <f>VLOOKUP(A6341,'Componentes APUs'!$N$1:$Q$30,4,0)</f>
        <v>4438716.24</v>
      </c>
      <c r="G6341" s="51">
        <f>IFERROR(ROUNDUP(F6341*(E6341/21)/E6291,0),"-")</f>
        <v>0</v>
      </c>
    </row>
    <row r="6342" spans="1:7" x14ac:dyDescent="0.25">
      <c r="A6342" s="50" t="s">
        <v>323</v>
      </c>
      <c r="B6342" s="72" t="str">
        <f>VLOOKUP(A6342,'Componentes APUs'!$N$1:$Q$30,2,0)</f>
        <v>Volqueta</v>
      </c>
      <c r="C6342" s="73"/>
      <c r="D6342" s="70" t="str">
        <f>VLOOKUP(A6342,'Componentes APUs'!$N$1:$Q$30,3,0)</f>
        <v>U</v>
      </c>
      <c r="E6342" s="50">
        <v>0</v>
      </c>
      <c r="F6342" s="51">
        <f>VLOOKUP(A6342,'Componentes APUs'!$N$1:$Q$30,4,0)</f>
        <v>14828184</v>
      </c>
      <c r="G6342" s="51">
        <f>IFERROR(ROUNDUP(F6342*(E6342/21)/E6291,0),"-")</f>
        <v>0</v>
      </c>
    </row>
    <row r="6343" spans="1:7" x14ac:dyDescent="0.25">
      <c r="A6343" s="69" t="s">
        <v>324</v>
      </c>
      <c r="B6343" s="72" t="str">
        <f>VLOOKUP(A6343,'Componentes APUs'!$N$1:$Q$30,2,0)</f>
        <v>Retroexcavadora</v>
      </c>
      <c r="C6343" s="73"/>
      <c r="D6343" s="70" t="str">
        <f>VLOOKUP(A6343,'Componentes APUs'!$N$1:$Q$30,3,0)</f>
        <v>U</v>
      </c>
      <c r="E6343" s="50">
        <v>0</v>
      </c>
      <c r="F6343" s="51">
        <f>VLOOKUP(A6343,'Componentes APUs'!$N$1:$Q$30,4,0)</f>
        <v>46030656</v>
      </c>
      <c r="G6343" s="51">
        <f>IFERROR(ROUNDUP(F6343*(E6343/21)/E6291,0),"-")</f>
        <v>0</v>
      </c>
    </row>
    <row r="6344" spans="1:7" x14ac:dyDescent="0.25">
      <c r="A6344" s="219" t="s">
        <v>99</v>
      </c>
      <c r="B6344" s="219"/>
      <c r="C6344" s="219"/>
      <c r="D6344" s="219"/>
      <c r="E6344" s="219"/>
      <c r="F6344" s="219"/>
      <c r="G6344" s="52">
        <f>SUM(G6339:G6343)</f>
        <v>327381</v>
      </c>
    </row>
    <row r="6345" spans="1:7" x14ac:dyDescent="0.25">
      <c r="A6345" s="56"/>
      <c r="B6345" s="57"/>
      <c r="C6345" s="57"/>
      <c r="D6345" s="57"/>
      <c r="E6345" s="57"/>
      <c r="F6345" s="57"/>
      <c r="G6345" s="58"/>
    </row>
    <row r="6346" spans="1:7" x14ac:dyDescent="0.25">
      <c r="A6346" s="219" t="s">
        <v>100</v>
      </c>
      <c r="B6346" s="219"/>
      <c r="C6346" s="219"/>
      <c r="D6346" s="219"/>
      <c r="E6346" s="219"/>
      <c r="F6346" s="219"/>
      <c r="G6346" s="52">
        <f>G6344+G6335+G6318+G6308+G6298</f>
        <v>3548341</v>
      </c>
    </row>
    <row r="6347" spans="1:7" x14ac:dyDescent="0.25">
      <c r="A6347" s="59"/>
      <c r="B6347" s="60"/>
      <c r="C6347" s="60"/>
      <c r="D6347" s="60"/>
      <c r="E6347" s="57"/>
      <c r="F6347" s="57"/>
      <c r="G6347" s="58"/>
    </row>
    <row r="6348" spans="1:7" x14ac:dyDescent="0.25">
      <c r="A6348" s="64"/>
      <c r="D6348" s="55"/>
      <c r="E6348" s="49" t="s">
        <v>25</v>
      </c>
      <c r="F6348" s="54">
        <v>0.15</v>
      </c>
      <c r="G6348" s="51">
        <f>G6346*F6348</f>
        <v>532251.15</v>
      </c>
    </row>
    <row r="6349" spans="1:7" x14ac:dyDescent="0.25">
      <c r="A6349" s="64"/>
      <c r="D6349" s="55"/>
      <c r="E6349" s="49" t="s">
        <v>26</v>
      </c>
      <c r="F6349" s="54">
        <v>0.05</v>
      </c>
      <c r="G6349" s="51">
        <f>G6346*F6349</f>
        <v>177417.05000000002</v>
      </c>
    </row>
    <row r="6350" spans="1:7" x14ac:dyDescent="0.25">
      <c r="A6350" s="61"/>
      <c r="B6350" s="65"/>
      <c r="C6350" s="65"/>
      <c r="D6350" s="62"/>
      <c r="E6350" s="49" t="s">
        <v>27</v>
      </c>
      <c r="F6350" s="54">
        <v>0.05</v>
      </c>
      <c r="G6350" s="51">
        <f>G6346*F6350</f>
        <v>177417.05000000002</v>
      </c>
    </row>
    <row r="6351" spans="1:7" x14ac:dyDescent="0.25">
      <c r="A6351" s="61"/>
      <c r="B6351" s="62"/>
      <c r="C6351" s="62"/>
      <c r="D6351" s="62"/>
      <c r="E6351" s="62"/>
      <c r="F6351" s="62"/>
      <c r="G6351" s="63"/>
    </row>
    <row r="6352" spans="1:7" x14ac:dyDescent="0.25">
      <c r="A6352" s="219" t="s">
        <v>101</v>
      </c>
      <c r="B6352" s="219"/>
      <c r="C6352" s="219"/>
      <c r="D6352" s="219"/>
      <c r="E6352" s="219"/>
      <c r="F6352" s="219"/>
      <c r="G6352" s="52">
        <f>G6346+G6348+G6349+G6350</f>
        <v>4435426.25</v>
      </c>
    </row>
    <row r="6353" spans="1:9" x14ac:dyDescent="0.25">
      <c r="A6353" s="59"/>
      <c r="B6353" s="60"/>
      <c r="C6353" s="60"/>
      <c r="D6353" s="60"/>
      <c r="E6353" s="57"/>
      <c r="F6353" s="57"/>
      <c r="G6353" s="58"/>
    </row>
    <row r="6354" spans="1:9" x14ac:dyDescent="0.25">
      <c r="A6354" s="64"/>
      <c r="D6354" s="55"/>
      <c r="E6354" s="49" t="s">
        <v>102</v>
      </c>
      <c r="F6354" s="49" t="s">
        <v>103</v>
      </c>
      <c r="G6354" s="51">
        <f>G6350*19%</f>
        <v>33709.239500000003</v>
      </c>
    </row>
    <row r="6355" spans="1:9" x14ac:dyDescent="0.25">
      <c r="A6355" s="61"/>
      <c r="B6355" s="62"/>
      <c r="C6355" s="62"/>
      <c r="D6355" s="62"/>
      <c r="E6355" s="57"/>
      <c r="F6355" s="57"/>
      <c r="G6355" s="58"/>
    </row>
    <row r="6356" spans="1:9" x14ac:dyDescent="0.25">
      <c r="A6356" s="219" t="s">
        <v>104</v>
      </c>
      <c r="B6356" s="219"/>
      <c r="C6356" s="219"/>
      <c r="D6356" s="219"/>
      <c r="E6356" s="219"/>
      <c r="F6356" s="219"/>
      <c r="G6356" s="52">
        <f>G6354+G6352</f>
        <v>4469135.4895000001</v>
      </c>
    </row>
    <row r="6358" spans="1:9" x14ac:dyDescent="0.25">
      <c r="A6358" s="74" t="s">
        <v>29</v>
      </c>
      <c r="B6358" s="226" t="s">
        <v>30</v>
      </c>
      <c r="C6358" s="226"/>
      <c r="D6358" s="74" t="s">
        <v>31</v>
      </c>
      <c r="E6358" s="74" t="s">
        <v>32</v>
      </c>
      <c r="F6358" s="74" t="s">
        <v>189</v>
      </c>
      <c r="G6358" s="74" t="s">
        <v>33</v>
      </c>
      <c r="H6358" s="105"/>
    </row>
    <row r="6359" spans="1:9" ht="24.75" customHeight="1" x14ac:dyDescent="0.25">
      <c r="A6359" s="50" t="str">
        <f>Presupuesto!B122</f>
        <v>102_OC</v>
      </c>
      <c r="B6359" s="229" t="str">
        <f>Presupuesto!C122</f>
        <v>PUERTA METÁLICA EN LÁMINA COLD ROLLER CON RELLENO HONEY COMB CON BARRA ANTIPÁNICO UNA HOJA (2 X3,10 M)</v>
      </c>
      <c r="C6359" s="230"/>
      <c r="D6359" s="50" t="s">
        <v>8</v>
      </c>
      <c r="E6359" s="107">
        <v>0.8</v>
      </c>
      <c r="F6359" s="50"/>
      <c r="G6359" s="51">
        <f>G6424</f>
        <v>8502419.7445</v>
      </c>
      <c r="H6359" s="45"/>
    </row>
    <row r="6360" spans="1:9" x14ac:dyDescent="0.25">
      <c r="A6360" s="219" t="s">
        <v>34</v>
      </c>
      <c r="B6360" s="219"/>
      <c r="C6360" s="219"/>
      <c r="D6360" s="219"/>
      <c r="E6360" s="219"/>
      <c r="F6360" s="219"/>
      <c r="G6360" s="219"/>
    </row>
    <row r="6361" spans="1:9" x14ac:dyDescent="0.25">
      <c r="A6361" s="49" t="s">
        <v>35</v>
      </c>
      <c r="B6361" s="219" t="s">
        <v>36</v>
      </c>
      <c r="C6361" s="219"/>
      <c r="D6361" s="49" t="s">
        <v>37</v>
      </c>
      <c r="E6361" s="49" t="s">
        <v>38</v>
      </c>
      <c r="F6361" s="49" t="s">
        <v>39</v>
      </c>
      <c r="G6361" s="49" t="s">
        <v>40</v>
      </c>
    </row>
    <row r="6362" spans="1:9" ht="30" customHeight="1" x14ac:dyDescent="0.25">
      <c r="A6362" s="50" t="str">
        <f>Material!A615</f>
        <v>MA-614</v>
      </c>
      <c r="B6362" s="221" t="str">
        <f>IFERROR(VLOOKUP(A6362,Material!$A:$H,2,0),"-")</f>
        <v>PUERTA METÁLICA EN LÁMINA COLD ROLLER CON RELLENO HONEY COMB CON BARRA ANTIPÁNICO UNA HOJA (2 X3,10 M)</v>
      </c>
      <c r="C6362" s="222"/>
      <c r="D6362" s="50" t="str">
        <f>IFERROR(VLOOKUP(A6362,Material!$A:$H,4,0),"-")</f>
        <v>UN</v>
      </c>
      <c r="E6362" s="107">
        <v>1</v>
      </c>
      <c r="F6362" s="51">
        <f>IFERROR(VLOOKUP(A6362,Material!$A:$H,3,0),"-")</f>
        <v>6017830</v>
      </c>
      <c r="G6362" s="51">
        <f>IFERROR(ROUNDUP(F6362*E6362,0),"-")</f>
        <v>6017830</v>
      </c>
      <c r="H6362" s="106"/>
    </row>
    <row r="6363" spans="1:9" x14ac:dyDescent="0.25">
      <c r="A6363" s="50"/>
      <c r="B6363" s="72" t="str">
        <f>IFERROR(VLOOKUP(A6363,Material!$A:$H,2,0),"-")</f>
        <v>-</v>
      </c>
      <c r="C6363" s="76"/>
      <c r="D6363" s="50" t="str">
        <f>IFERROR(VLOOKUP(A6363,Material!$A:$H,4,0),"-")</f>
        <v>-</v>
      </c>
      <c r="E6363" s="107"/>
      <c r="F6363" s="51" t="str">
        <f>IFERROR(VLOOKUP(A6363,Material!$A:$H,3,0),"-")</f>
        <v>-</v>
      </c>
      <c r="G6363" s="51" t="str">
        <f>IFERROR(ROUNDUP(F6363*E6363,0),"-")</f>
        <v>-</v>
      </c>
      <c r="H6363" s="106"/>
    </row>
    <row r="6364" spans="1:9" x14ac:dyDescent="0.25">
      <c r="A6364" s="50"/>
      <c r="B6364" s="72" t="str">
        <f>IFERROR(VLOOKUP(A6364,Material!$A:$H,2,0),"-")</f>
        <v>-</v>
      </c>
      <c r="C6364" s="76"/>
      <c r="D6364" s="50" t="str">
        <f>IFERROR(VLOOKUP(A6364,Material!$A:$H,4,0),"-")</f>
        <v>-</v>
      </c>
      <c r="E6364" s="107"/>
      <c r="F6364" s="51" t="str">
        <f>IFERROR(VLOOKUP(A6364,Material!$A:$H,3,0),"-")</f>
        <v>-</v>
      </c>
      <c r="G6364" s="51" t="str">
        <f>IFERROR(ROUNDUP(F6364*E6364,0),"-")</f>
        <v>-</v>
      </c>
      <c r="H6364" s="106"/>
    </row>
    <row r="6365" spans="1:9" x14ac:dyDescent="0.25">
      <c r="A6365" s="50"/>
      <c r="B6365" s="72" t="str">
        <f>IFERROR(VLOOKUP(A6365,Material!$A:$H,2,0),"-")</f>
        <v>-</v>
      </c>
      <c r="C6365" s="76"/>
      <c r="D6365" s="50" t="str">
        <f>IFERROR(VLOOKUP(A6365,Material!$A:$H,4,0),"-")</f>
        <v>-</v>
      </c>
      <c r="E6365" s="107"/>
      <c r="F6365" s="51" t="str">
        <f>IFERROR(VLOOKUP(A6365,Material!$A:$H,3,0),"-")</f>
        <v>-</v>
      </c>
      <c r="G6365" s="51" t="str">
        <f>IFERROR(ROUNDUP(F6365*E6365,0),"-")</f>
        <v>-</v>
      </c>
      <c r="H6365" s="106"/>
    </row>
    <row r="6366" spans="1:9" x14ac:dyDescent="0.25">
      <c r="A6366" s="219" t="s">
        <v>41</v>
      </c>
      <c r="B6366" s="219"/>
      <c r="C6366" s="219"/>
      <c r="D6366" s="219"/>
      <c r="E6366" s="219"/>
      <c r="F6366" s="219"/>
      <c r="G6366" s="52">
        <f>SUM(G6362:G6365)</f>
        <v>6017830</v>
      </c>
      <c r="I6366" s="104"/>
    </row>
    <row r="6367" spans="1:9" x14ac:dyDescent="0.25">
      <c r="A6367" s="56"/>
      <c r="B6367" s="57"/>
      <c r="C6367" s="57"/>
      <c r="D6367" s="57"/>
      <c r="E6367" s="57"/>
      <c r="F6367" s="57"/>
      <c r="G6367" s="58"/>
    </row>
    <row r="6368" spans="1:9" x14ac:dyDescent="0.25">
      <c r="A6368" s="219" t="s">
        <v>42</v>
      </c>
      <c r="B6368" s="219"/>
      <c r="C6368" s="219"/>
      <c r="D6368" s="219"/>
      <c r="E6368" s="219"/>
      <c r="F6368" s="219"/>
      <c r="G6368" s="219"/>
    </row>
    <row r="6369" spans="1:9" x14ac:dyDescent="0.25">
      <c r="A6369" s="49" t="s">
        <v>35</v>
      </c>
      <c r="B6369" s="49" t="s">
        <v>36</v>
      </c>
      <c r="C6369" s="49" t="s">
        <v>38</v>
      </c>
      <c r="D6369" s="49" t="s">
        <v>43</v>
      </c>
      <c r="E6369" s="49" t="s">
        <v>44</v>
      </c>
      <c r="F6369" s="49" t="s">
        <v>45</v>
      </c>
      <c r="G6369" s="49" t="s">
        <v>40</v>
      </c>
    </row>
    <row r="6370" spans="1:9" x14ac:dyDescent="0.25">
      <c r="A6370" s="50" t="s">
        <v>319</v>
      </c>
      <c r="B6370" s="68" t="str">
        <f>VLOOKUP(A6370,'Componentes APUs'!$H$1:$L$25,2,0)</f>
        <v>Ingeniero Residente de Obra</v>
      </c>
      <c r="C6370" s="93">
        <v>0</v>
      </c>
      <c r="D6370" s="50">
        <f>VLOOKUP(A6370,'Componentes APUs'!$H$1:$L$25,3,0)</f>
        <v>4</v>
      </c>
      <c r="E6370" s="51">
        <f>VLOOKUP(A6370,'Componentes APUs'!$H$1:$L$25,4,0)</f>
        <v>271142.85714285716</v>
      </c>
      <c r="F6370" s="51">
        <f>VLOOKUP(A6370,'Componentes APUs'!$H$1:$L$25,5,0)</f>
        <v>162685.71428571429</v>
      </c>
      <c r="G6370" s="51">
        <f>ROUNDUP((E6370+F6370)*C6370/E6359,0)</f>
        <v>0</v>
      </c>
      <c r="H6370" s="66"/>
    </row>
    <row r="6371" spans="1:9" x14ac:dyDescent="0.25">
      <c r="A6371" s="50" t="s">
        <v>320</v>
      </c>
      <c r="B6371" s="68" t="str">
        <f>VLOOKUP(A6371,'Componentes APUs'!$H$1:$L$25,2,0)</f>
        <v>Tecnico Supervisor</v>
      </c>
      <c r="C6371" s="93">
        <v>0</v>
      </c>
      <c r="D6371" s="50">
        <f>VLOOKUP(A6371,'Componentes APUs'!$H$1:$L$25,3,0)</f>
        <v>2.2999999999999998</v>
      </c>
      <c r="E6371" s="51">
        <f>VLOOKUP(A6371,'Componentes APUs'!$H$1:$L$25,4,0)</f>
        <v>155907.14285714284</v>
      </c>
      <c r="F6371" s="51">
        <f>VLOOKUP(A6371,'Componentes APUs'!$H$1:$L$25,5,0)</f>
        <v>93544.285714285696</v>
      </c>
      <c r="G6371" s="51">
        <f>ROUNDUP((E6371+F6371)*C6371/E6359,0)</f>
        <v>0</v>
      </c>
    </row>
    <row r="6372" spans="1:9" x14ac:dyDescent="0.25">
      <c r="A6372" s="50" t="s">
        <v>54</v>
      </c>
      <c r="B6372" s="68" t="str">
        <f>VLOOKUP(A6372,'Componentes APUs'!$H$1:$L$25,2,0)</f>
        <v>Maestro de obra civil</v>
      </c>
      <c r="C6372" s="93">
        <v>0</v>
      </c>
      <c r="D6372" s="50">
        <f>VLOOKUP(A6372,'Componentes APUs'!$H$1:$L$25,3,0)</f>
        <v>2.5</v>
      </c>
      <c r="E6372" s="51">
        <f>VLOOKUP(A6372,'Componentes APUs'!$H$1:$L$25,4,0)</f>
        <v>169464.28571428571</v>
      </c>
      <c r="F6372" s="51">
        <f>VLOOKUP(A6372,'Componentes APUs'!$H$1:$L$25,5,0)</f>
        <v>101678.57142857142</v>
      </c>
      <c r="G6372" s="51">
        <f>ROUNDUP((E6372+F6372)*C6372/E6359,0)</f>
        <v>0</v>
      </c>
    </row>
    <row r="6373" spans="1:9" x14ac:dyDescent="0.25">
      <c r="A6373" s="50" t="s">
        <v>1110</v>
      </c>
      <c r="B6373" s="68" t="str">
        <f>VLOOKUP(A6373,'Componentes APUs'!$H$1:$L$25,2,0)</f>
        <v>Oficial de Obra Civil</v>
      </c>
      <c r="C6373" s="93">
        <v>0</v>
      </c>
      <c r="D6373" s="50">
        <f>VLOOKUP(A6373,'Componentes APUs'!$H$1:$L$25,3,0)</f>
        <v>1.5</v>
      </c>
      <c r="E6373" s="51">
        <f>VLOOKUP(A6373,'Componentes APUs'!$H$1:$L$25,4,0)</f>
        <v>115964.28571428571</v>
      </c>
      <c r="F6373" s="51">
        <f>VLOOKUP(A6373,'Componentes APUs'!$H$1:$L$25,5,0)</f>
        <v>69578.57142857142</v>
      </c>
      <c r="G6373" s="51">
        <f>ROUNDUP((E6373+F6373)*C6373/E6359,0)</f>
        <v>0</v>
      </c>
    </row>
    <row r="6374" spans="1:9" x14ac:dyDescent="0.25">
      <c r="A6374" s="50" t="s">
        <v>50</v>
      </c>
      <c r="B6374" s="68" t="str">
        <f>VLOOKUP(A6374,'Componentes APUs'!$H$1:$L$25,2,0)</f>
        <v>Profesional en SST</v>
      </c>
      <c r="C6374" s="93">
        <v>0.25</v>
      </c>
      <c r="D6374" s="50">
        <f>VLOOKUP(A6374,'Componentes APUs'!$H$1:$L$25,3,0)</f>
        <v>2.5</v>
      </c>
      <c r="E6374" s="51">
        <f>VLOOKUP(A6374,'Componentes APUs'!$H$1:$L$25,4,0)</f>
        <v>169464.28571428571</v>
      </c>
      <c r="F6374" s="51">
        <f>VLOOKUP(A6374,'Componentes APUs'!$H$1:$L$25,5,0)</f>
        <v>101678.57142857142</v>
      </c>
      <c r="G6374" s="51">
        <f>ROUNDUP((E6374+F6374)*C6374/E6359,0)</f>
        <v>84733</v>
      </c>
    </row>
    <row r="6375" spans="1:9" x14ac:dyDescent="0.25">
      <c r="A6375" s="50" t="s">
        <v>1109</v>
      </c>
      <c r="B6375" s="68" t="str">
        <f>VLOOKUP(A6375,'Componentes APUs'!$H$1:$L$25,2,0)</f>
        <v>Ayudante de Obra Civil</v>
      </c>
      <c r="C6375" s="93">
        <v>2</v>
      </c>
      <c r="D6375" s="50">
        <f>VLOOKUP(A6375,'Componentes APUs'!$H$1:$L$25,3,0)</f>
        <v>1</v>
      </c>
      <c r="E6375" s="51">
        <f>VLOOKUP(A6375,'Componentes APUs'!$H$1:$L$25,4,0)</f>
        <v>77309.523809523816</v>
      </c>
      <c r="F6375" s="51">
        <f>VLOOKUP(A6375,'Componentes APUs'!$H$1:$L$25,5,0)</f>
        <v>46385.71428571429</v>
      </c>
      <c r="G6375" s="51">
        <f>ROUNDUP((E6375+F6375)*C6375/E6359,0)</f>
        <v>309239</v>
      </c>
    </row>
    <row r="6376" spans="1:9" x14ac:dyDescent="0.25">
      <c r="A6376" s="219" t="s">
        <v>56</v>
      </c>
      <c r="B6376" s="219"/>
      <c r="C6376" s="219"/>
      <c r="D6376" s="219"/>
      <c r="E6376" s="219"/>
      <c r="F6376" s="219"/>
      <c r="G6376" s="52">
        <f>SUM(G6370:G6375)</f>
        <v>393972</v>
      </c>
    </row>
    <row r="6377" spans="1:9" x14ac:dyDescent="0.25">
      <c r="A6377" s="56"/>
      <c r="B6377" s="57"/>
      <c r="C6377" s="57"/>
      <c r="D6377" s="57"/>
      <c r="E6377" s="57"/>
      <c r="F6377" s="57"/>
      <c r="G6377" s="58"/>
    </row>
    <row r="6378" spans="1:9" x14ac:dyDescent="0.25">
      <c r="A6378" s="219" t="s">
        <v>57</v>
      </c>
      <c r="B6378" s="219"/>
      <c r="C6378" s="219"/>
      <c r="D6378" s="219"/>
      <c r="E6378" s="219"/>
      <c r="F6378" s="219"/>
      <c r="G6378" s="219"/>
    </row>
    <row r="6379" spans="1:9" x14ac:dyDescent="0.25">
      <c r="A6379" s="49" t="s">
        <v>35</v>
      </c>
      <c r="B6379" s="219" t="s">
        <v>36</v>
      </c>
      <c r="C6379" s="219"/>
      <c r="D6379" s="49" t="s">
        <v>37</v>
      </c>
      <c r="E6379" s="49" t="s">
        <v>38</v>
      </c>
      <c r="F6379" s="49" t="s">
        <v>39</v>
      </c>
      <c r="G6379" s="49" t="s">
        <v>40</v>
      </c>
    </row>
    <row r="6380" spans="1:9" x14ac:dyDescent="0.25">
      <c r="A6380" s="50" t="s">
        <v>326</v>
      </c>
      <c r="B6380" s="220" t="str">
        <f>VLOOKUP(A6380,'Componentes APUs'!$S$1:$V$10,2,0)</f>
        <v>Juego Llaves</v>
      </c>
      <c r="C6380" s="220"/>
      <c r="D6380" s="50" t="s">
        <v>18</v>
      </c>
      <c r="E6380" s="50">
        <v>0</v>
      </c>
      <c r="F6380" s="51">
        <f>VLOOKUP(A6380,'Componentes APUs'!$S$1:$V$10,4,0)</f>
        <v>9167</v>
      </c>
      <c r="G6380" s="51">
        <f>ROUNDUP(F6380*((E6380/21)/E6359),0)</f>
        <v>0</v>
      </c>
      <c r="I6380" s="91"/>
    </row>
    <row r="6381" spans="1:9" x14ac:dyDescent="0.25">
      <c r="A6381" s="50" t="s">
        <v>58</v>
      </c>
      <c r="B6381" s="220" t="str">
        <f>VLOOKUP(A6381,'Componentes APUs'!$S$1:$V$10,2,0)</f>
        <v>Manila de servicio</v>
      </c>
      <c r="C6381" s="220"/>
      <c r="D6381" s="50" t="s">
        <v>18</v>
      </c>
      <c r="E6381" s="50">
        <v>0</v>
      </c>
      <c r="F6381" s="51">
        <f>VLOOKUP(A6381,'Componentes APUs'!$S$1:$V$10,4,0)</f>
        <v>2333</v>
      </c>
      <c r="G6381" s="51">
        <f>ROUNDUP(F6381*((E6381/21)/E6359),0)</f>
        <v>0</v>
      </c>
    </row>
    <row r="6382" spans="1:9" x14ac:dyDescent="0.25">
      <c r="A6382" s="50" t="s">
        <v>327</v>
      </c>
      <c r="B6382" s="220" t="str">
        <f>VLOOKUP(A6382,'Componentes APUs'!$S$1:$V$10,2,0)</f>
        <v>Tula portaherramientas</v>
      </c>
      <c r="C6382" s="220"/>
      <c r="D6382" s="50" t="s">
        <v>18</v>
      </c>
      <c r="E6382" s="50">
        <v>0</v>
      </c>
      <c r="F6382" s="51">
        <f>VLOOKUP(A6382,'Componentes APUs'!$S$1:$V$10,4,0)</f>
        <v>1250</v>
      </c>
      <c r="G6382" s="51">
        <f>ROUNDUP(F6382*((E6382/21)/E6359),0)</f>
        <v>0</v>
      </c>
    </row>
    <row r="6383" spans="1:9" x14ac:dyDescent="0.25">
      <c r="A6383" s="50" t="s">
        <v>60</v>
      </c>
      <c r="B6383" s="220" t="str">
        <f>VLOOKUP(A6383,'Componentes APUs'!$S$1:$V$10,2,0)</f>
        <v>Agarradoras</v>
      </c>
      <c r="C6383" s="220"/>
      <c r="D6383" s="50" t="s">
        <v>18</v>
      </c>
      <c r="E6383" s="50">
        <v>0</v>
      </c>
      <c r="F6383" s="51">
        <f>VLOOKUP(A6383,'Componentes APUs'!$S$1:$V$10,4,0)</f>
        <v>125000</v>
      </c>
      <c r="G6383" s="51">
        <f>ROUNDUP(F6383*((E6383/21)/E6359),0)</f>
        <v>0</v>
      </c>
    </row>
    <row r="6384" spans="1:9" x14ac:dyDescent="0.25">
      <c r="A6384" s="50" t="s">
        <v>62</v>
      </c>
      <c r="B6384" s="220" t="str">
        <f>VLOOKUP(A6384,'Componentes APUs'!$S$1:$V$10,2,0)</f>
        <v>Templadoras</v>
      </c>
      <c r="C6384" s="220"/>
      <c r="D6384" s="50" t="s">
        <v>18</v>
      </c>
      <c r="E6384" s="50">
        <v>0</v>
      </c>
      <c r="F6384" s="51">
        <f>VLOOKUP(A6384,'Componentes APUs'!$S$1:$V$10,4,0)</f>
        <v>250000</v>
      </c>
      <c r="G6384" s="51">
        <f>ROUNDUP(F6384*((E6384/21)/E6359),0)</f>
        <v>0</v>
      </c>
    </row>
    <row r="6385" spans="1:9" x14ac:dyDescent="0.25">
      <c r="A6385" s="50" t="s">
        <v>328</v>
      </c>
      <c r="B6385" s="220" t="str">
        <f>VLOOKUP(A6385,'Componentes APUs'!$S$1:$V$10,2,0)</f>
        <v>Herramienta Menor</v>
      </c>
      <c r="C6385" s="220"/>
      <c r="D6385" s="50" t="s">
        <v>18</v>
      </c>
      <c r="E6385" s="50">
        <v>1</v>
      </c>
      <c r="F6385" s="51">
        <f>VLOOKUP(A6385,'Componentes APUs'!$S$1:$V$10,4,0)</f>
        <v>75758</v>
      </c>
      <c r="G6385" s="51">
        <f>ROUNDUP(F6385*((E6385/21)/E6359),0)</f>
        <v>4510</v>
      </c>
    </row>
    <row r="6386" spans="1:9" x14ac:dyDescent="0.25">
      <c r="A6386" s="219" t="s">
        <v>69</v>
      </c>
      <c r="B6386" s="219"/>
      <c r="C6386" s="219"/>
      <c r="D6386" s="219"/>
      <c r="E6386" s="219"/>
      <c r="F6386" s="219"/>
      <c r="G6386" s="52">
        <f>SUM(G6380:G6385)</f>
        <v>4510</v>
      </c>
    </row>
    <row r="6387" spans="1:9" x14ac:dyDescent="0.25">
      <c r="A6387" s="56"/>
      <c r="B6387" s="57"/>
      <c r="C6387" s="57"/>
      <c r="D6387" s="57"/>
      <c r="E6387" s="57"/>
      <c r="F6387" s="57"/>
      <c r="G6387" s="58"/>
    </row>
    <row r="6388" spans="1:9" x14ac:dyDescent="0.25">
      <c r="A6388" s="219" t="s">
        <v>70</v>
      </c>
      <c r="B6388" s="219"/>
      <c r="C6388" s="219"/>
      <c r="D6388" s="219"/>
      <c r="E6388" s="219"/>
      <c r="F6388" s="219"/>
      <c r="G6388" s="219"/>
    </row>
    <row r="6389" spans="1:9" x14ac:dyDescent="0.25">
      <c r="A6389" s="49" t="s">
        <v>35</v>
      </c>
      <c r="B6389" s="219" t="s">
        <v>36</v>
      </c>
      <c r="C6389" s="219"/>
      <c r="D6389" s="49" t="s">
        <v>37</v>
      </c>
      <c r="E6389" s="49" t="s">
        <v>38</v>
      </c>
      <c r="F6389" s="49" t="s">
        <v>39</v>
      </c>
      <c r="G6389" s="49" t="s">
        <v>40</v>
      </c>
    </row>
    <row r="6390" spans="1:9" x14ac:dyDescent="0.25">
      <c r="A6390" s="50" t="s">
        <v>71</v>
      </c>
      <c r="B6390" s="71" t="str">
        <f>VLOOKUP(A6390,'Componentes APUs'!$A$1:$D$14,2,0)</f>
        <v>Camisa indigo sin partes metalicas</v>
      </c>
      <c r="C6390" s="71"/>
      <c r="D6390" s="50" t="str">
        <f>VLOOKUP(A6390,'Componentes APUs'!$A$1:$D$14,3,0)</f>
        <v>U</v>
      </c>
      <c r="E6390" s="50">
        <f>SUM(C6370:C6375)</f>
        <v>2.25</v>
      </c>
      <c r="F6390" s="51">
        <f>VLOOKUP(A6390,'Componentes APUs'!$A$1:$D$14,4,0)</f>
        <v>8585.8585858585866</v>
      </c>
      <c r="G6390" s="51">
        <f>ROUNDUP(F6390*(E6390/21)/E6359,0)</f>
        <v>1150</v>
      </c>
      <c r="I6390" s="91"/>
    </row>
    <row r="6391" spans="1:9" x14ac:dyDescent="0.25">
      <c r="A6391" s="69" t="s">
        <v>73</v>
      </c>
      <c r="B6391" s="72" t="str">
        <f>VLOOKUP(A6391,'Componentes APUs'!$A$1:$D$14,2,0)</f>
        <v>Bota de seguridad dielectrica</v>
      </c>
      <c r="C6391" s="73"/>
      <c r="D6391" s="70" t="str">
        <f>VLOOKUP(A6391,'Componentes APUs'!$A$1:$D$14,3,0)</f>
        <v>Par</v>
      </c>
      <c r="E6391" s="50">
        <f>SUM(C6370:C6375)</f>
        <v>2.25</v>
      </c>
      <c r="F6391" s="51">
        <f>VLOOKUP(A6391,'Componentes APUs'!$A$1:$D$14,4,0)</f>
        <v>7500</v>
      </c>
      <c r="G6391" s="51">
        <f>ROUNDUP(F6391*(E6391/21)/E6359,0)</f>
        <v>1005</v>
      </c>
    </row>
    <row r="6392" spans="1:9" x14ac:dyDescent="0.25">
      <c r="A6392" s="50" t="s">
        <v>76</v>
      </c>
      <c r="B6392" s="72" t="str">
        <f>VLOOKUP(A6392,'Componentes APUs'!$A$1:$D$14,2,0)</f>
        <v>Casco dielectrico Tipo 1 Clase E con barbuquejo</v>
      </c>
      <c r="C6392" s="73"/>
      <c r="D6392" s="50" t="str">
        <f>VLOOKUP(A6392,'Componentes APUs'!$A$1:$D$14,3,0)</f>
        <v>U</v>
      </c>
      <c r="E6392" s="50">
        <f>C6370+C6371+C6373+C6374+C6375+IF(A6372&lt;&gt;"MO-3",C6372,0)</f>
        <v>2.25</v>
      </c>
      <c r="F6392" s="51">
        <f>VLOOKUP(A6392,'Componentes APUs'!$A$1:$D$14,4,0)</f>
        <v>10101.010101010101</v>
      </c>
      <c r="G6392" s="51">
        <f>ROUNDUP(F6392*(E6392/21)/E6359,0)</f>
        <v>1353</v>
      </c>
    </row>
    <row r="6393" spans="1:9" x14ac:dyDescent="0.25">
      <c r="A6393" s="69" t="s">
        <v>77</v>
      </c>
      <c r="B6393" s="72" t="str">
        <f>VLOOKUP(A6393,'Componentes APUs'!$A$1:$D$14,2,0)</f>
        <v>Correa plastica y antiflama</v>
      </c>
      <c r="C6393" s="73"/>
      <c r="D6393" s="50" t="str">
        <f>VLOOKUP(A6393,'Componentes APUs'!$A$1:$D$14,3,0)</f>
        <v>U</v>
      </c>
      <c r="E6393" s="50">
        <f>SUM(C6370:C6375)</f>
        <v>2.25</v>
      </c>
      <c r="F6393" s="51">
        <f>VLOOKUP(A6393,'Componentes APUs'!$A$1:$D$14,4,0)</f>
        <v>3787.878787878788</v>
      </c>
      <c r="G6393" s="51">
        <f>ROUNDUP(F6393*(E6393/21)/E6359,0)</f>
        <v>508</v>
      </c>
    </row>
    <row r="6394" spans="1:9" x14ac:dyDescent="0.25">
      <c r="A6394" s="50" t="s">
        <v>79</v>
      </c>
      <c r="B6394" s="72" t="str">
        <f>VLOOKUP(A6394,'Componentes APUs'!$A$1:$D$14,2,0)</f>
        <v>Gafas protectoras filtro UV</v>
      </c>
      <c r="C6394" s="73"/>
      <c r="D6394" s="50" t="str">
        <f>VLOOKUP(A6394,'Componentes APUs'!$A$1:$D$14,3,0)</f>
        <v>U</v>
      </c>
      <c r="E6394" s="50">
        <f>SUM(C6370:C6375)</f>
        <v>2.25</v>
      </c>
      <c r="F6394" s="51">
        <f>VLOOKUP(A6394,'Componentes APUs'!$A$1:$D$14,4,0)</f>
        <v>2777.7777777777778</v>
      </c>
      <c r="G6394" s="51">
        <f>ROUNDUP(F6394*(E6394/21)/E6359,0)</f>
        <v>373</v>
      </c>
    </row>
    <row r="6395" spans="1:9" x14ac:dyDescent="0.25">
      <c r="A6395" s="69" t="s">
        <v>402</v>
      </c>
      <c r="B6395" s="72" t="str">
        <f>VLOOKUP(A6395,'Componentes APUs'!$A$1:$D$14,2,0)</f>
        <v>Bota de seguridad PVC dielectrica</v>
      </c>
      <c r="C6395" s="73"/>
      <c r="D6395" s="50" t="str">
        <f>VLOOKUP(A6395,'Componentes APUs'!$A$1:$D$14,3,0)</f>
        <v>Par</v>
      </c>
      <c r="E6395" s="50">
        <f>SUM(C6370:C6375)</f>
        <v>2.25</v>
      </c>
      <c r="F6395" s="51">
        <f>VLOOKUP(A6395,'Componentes APUs'!$A$1:$D$14,4,0)</f>
        <v>2916.6666666666665</v>
      </c>
      <c r="G6395" s="51">
        <f>ROUNDUP(F6395*(E6395/21)/E6359,0)</f>
        <v>391</v>
      </c>
    </row>
    <row r="6396" spans="1:9" x14ac:dyDescent="0.25">
      <c r="A6396" s="50" t="s">
        <v>403</v>
      </c>
      <c r="B6396" s="72" t="str">
        <f>VLOOKUP(A6396,'Componentes APUs'!$A$1:$D$14,2,0)</f>
        <v>Capuchon</v>
      </c>
      <c r="C6396" s="73"/>
      <c r="D6396" s="50" t="str">
        <f>VLOOKUP(A6396,'Componentes APUs'!$A$1:$D$14,3,0)</f>
        <v>U</v>
      </c>
      <c r="E6396" s="50">
        <f>SUM(C6370:C6375)</f>
        <v>2.25</v>
      </c>
      <c r="F6396" s="51">
        <f>VLOOKUP(A6396,'Componentes APUs'!$A$1:$D$14,4,0)</f>
        <v>2525.2525252525252</v>
      </c>
      <c r="G6396" s="51">
        <f>ROUNDUP(F6396*(E6396/21)/E6359,0)</f>
        <v>339</v>
      </c>
    </row>
    <row r="6397" spans="1:9" x14ac:dyDescent="0.25">
      <c r="A6397" s="69" t="s">
        <v>81</v>
      </c>
      <c r="B6397" s="72" t="str">
        <f>VLOOKUP(A6397,'Componentes APUs'!$A$1:$D$14,2,0)</f>
        <v>Guantes Protectores  - ingeniero reforzados</v>
      </c>
      <c r="C6397" s="73"/>
      <c r="D6397" s="50" t="str">
        <f>VLOOKUP(A6397,'Componentes APUs'!$A$1:$D$14,3,0)</f>
        <v>Par</v>
      </c>
      <c r="E6397" s="50">
        <f>C6372+C6373+C6375</f>
        <v>2</v>
      </c>
      <c r="F6397" s="51">
        <f>VLOOKUP(A6397,'Componentes APUs'!$A$1:$D$14,4,0)</f>
        <v>2525.2525252525252</v>
      </c>
      <c r="G6397" s="51">
        <f>ROUNDUP(F6397*(E6397/21)/E6359,0)</f>
        <v>301</v>
      </c>
    </row>
    <row r="6398" spans="1:9" x14ac:dyDescent="0.25">
      <c r="A6398" s="50" t="s">
        <v>83</v>
      </c>
      <c r="B6398" s="72" t="str">
        <f>VLOOKUP(A6398,'Componentes APUs'!$A$1:$D$14,2,0)</f>
        <v>Impermeable (pantalon camisa)</v>
      </c>
      <c r="C6398" s="73"/>
      <c r="D6398" s="50" t="str">
        <f>VLOOKUP(A6398,'Componentes APUs'!$A$1:$D$14,3,0)</f>
        <v>U</v>
      </c>
      <c r="E6398" s="50">
        <f>SUM(C6370:C6375)</f>
        <v>2.25</v>
      </c>
      <c r="F6398" s="51">
        <f>VLOOKUP(A6398,'Componentes APUs'!$A$1:$D$14,4,0)</f>
        <v>3750</v>
      </c>
      <c r="G6398" s="51">
        <f>ROUNDUP(F6398*(E6398/21)/E6359,0)</f>
        <v>503</v>
      </c>
    </row>
    <row r="6399" spans="1:9" x14ac:dyDescent="0.25">
      <c r="A6399" s="69" t="s">
        <v>85</v>
      </c>
      <c r="B6399" s="72" t="str">
        <f>VLOOKUP(A6399,'Componentes APUs'!$A$1:$D$14,2,0)</f>
        <v>Jean Dielectrico</v>
      </c>
      <c r="C6399" s="73"/>
      <c r="D6399" s="50" t="str">
        <f>VLOOKUP(A6399,'Componentes APUs'!$A$1:$D$14,3,0)</f>
        <v>U</v>
      </c>
      <c r="E6399" s="50">
        <f>SUM(C6370:C6375)</f>
        <v>2.25</v>
      </c>
      <c r="F6399" s="51">
        <f>VLOOKUP(A6399,'Componentes APUs'!$A$1:$D$14,4,0)</f>
        <v>7575.757575757576</v>
      </c>
      <c r="G6399" s="51">
        <f>ROUNDUP(F6399*(E6399/21)/E6359,0)</f>
        <v>1015</v>
      </c>
    </row>
    <row r="6400" spans="1:9" x14ac:dyDescent="0.25">
      <c r="A6400" s="50" t="s">
        <v>87</v>
      </c>
      <c r="B6400" s="72" t="str">
        <f>VLOOKUP(A6400,'Componentes APUs'!$A$1:$D$14,2,0)</f>
        <v>Casco dielectrico Tipo 2 Clase E con barboquejo</v>
      </c>
      <c r="C6400" s="73"/>
      <c r="D6400" s="50" t="str">
        <f>VLOOKUP(A6400,'Componentes APUs'!$A$1:$D$14,3,0)</f>
        <v>U</v>
      </c>
      <c r="E6400" s="53">
        <f>IF(A6372="MO-3",C6372,0)</f>
        <v>0</v>
      </c>
      <c r="F6400" s="51">
        <f>VLOOKUP(A6400,'Componentes APUs'!$A$1:$D$14,4,0)</f>
        <v>7500</v>
      </c>
      <c r="G6400" s="51">
        <f>ROUNDUP(F6400*(E6400/21)/E6359,0)</f>
        <v>0</v>
      </c>
    </row>
    <row r="6401" spans="1:7" x14ac:dyDescent="0.25">
      <c r="A6401" s="69" t="s">
        <v>89</v>
      </c>
      <c r="B6401" s="72" t="str">
        <f>VLOOKUP(A6401,'Componentes APUs'!$A$1:$D$14,2,0)</f>
        <v>Kit de rescate para trabajo en alturas</v>
      </c>
      <c r="C6401" s="73"/>
      <c r="D6401" s="50" t="str">
        <f>VLOOKUP(A6401,'Componentes APUs'!$A$1:$D$14,3,0)</f>
        <v>U</v>
      </c>
      <c r="E6401" s="50">
        <f>IF(AND(A6372="MO-3",C6372=2),1,0)</f>
        <v>0</v>
      </c>
      <c r="F6401" s="51">
        <f>VLOOKUP(A6401,'Componentes APUs'!$A$1:$D$14,4,0)</f>
        <v>37500</v>
      </c>
      <c r="G6401" s="51">
        <f>ROUNDUP(F6401*(E6401/21)/E6359,0)</f>
        <v>0</v>
      </c>
    </row>
    <row r="6402" spans="1:7" x14ac:dyDescent="0.25">
      <c r="A6402" s="50" t="s">
        <v>91</v>
      </c>
      <c r="B6402" s="72" t="str">
        <f>VLOOKUP(A6402,'Componentes APUs'!$A$1:$D$14,2,0)</f>
        <v>Equipo completo para trabajo en alturas con pretales (Arnes dielectrico, 1 mosqueton de seguridad, tie off dielectrico, eslinga de posicionamiento, juego de pretales)</v>
      </c>
      <c r="C6402" s="73"/>
      <c r="D6402" s="50" t="str">
        <f>VLOOKUP(A6402,'Componentes APUs'!$A$1:$D$14,3,0)</f>
        <v>U</v>
      </c>
      <c r="E6402" s="50">
        <f>IF(A6372="MO-3",C6372,0)</f>
        <v>0</v>
      </c>
      <c r="F6402" s="51">
        <f>VLOOKUP(A6402,'Componentes APUs'!$A$1:$D$14,4,0)</f>
        <v>26041.666666666668</v>
      </c>
      <c r="G6402" s="51">
        <f>ROUNDUP(F6402*(E6402/21)/E6359,0)</f>
        <v>0</v>
      </c>
    </row>
    <row r="6403" spans="1:7" x14ac:dyDescent="0.25">
      <c r="A6403" s="219" t="s">
        <v>95</v>
      </c>
      <c r="B6403" s="219"/>
      <c r="C6403" s="219"/>
      <c r="D6403" s="219"/>
      <c r="E6403" s="219"/>
      <c r="F6403" s="219"/>
      <c r="G6403" s="52">
        <f>SUM(G6390:G6402)</f>
        <v>6938</v>
      </c>
    </row>
    <row r="6404" spans="1:7" x14ac:dyDescent="0.25">
      <c r="A6404" s="56"/>
      <c r="B6404" s="57"/>
      <c r="C6404" s="57"/>
      <c r="D6404" s="57"/>
      <c r="E6404" s="57"/>
      <c r="F6404" s="57"/>
      <c r="G6404" s="58"/>
    </row>
    <row r="6405" spans="1:7" x14ac:dyDescent="0.25">
      <c r="A6405" s="219" t="s">
        <v>96</v>
      </c>
      <c r="B6405" s="219"/>
      <c r="C6405" s="219"/>
      <c r="D6405" s="219"/>
      <c r="E6405" s="219"/>
      <c r="F6405" s="219"/>
      <c r="G6405" s="219"/>
    </row>
    <row r="6406" spans="1:7" x14ac:dyDescent="0.25">
      <c r="A6406" s="49" t="s">
        <v>35</v>
      </c>
      <c r="B6406" s="225" t="s">
        <v>36</v>
      </c>
      <c r="C6406" s="225"/>
      <c r="D6406" s="49" t="s">
        <v>37</v>
      </c>
      <c r="E6406" s="49" t="s">
        <v>38</v>
      </c>
      <c r="F6406" s="49" t="s">
        <v>39</v>
      </c>
      <c r="G6406" s="49" t="s">
        <v>40</v>
      </c>
    </row>
    <row r="6407" spans="1:7" x14ac:dyDescent="0.25">
      <c r="A6407" s="69" t="s">
        <v>97</v>
      </c>
      <c r="B6407" s="72" t="str">
        <f>VLOOKUP(A6407,'Componentes APUs'!$N$1:$Q$30,2,0)</f>
        <v>Camioneta</v>
      </c>
      <c r="C6407" s="73"/>
      <c r="D6407" s="70" t="str">
        <f>VLOOKUP(A6407,'Componentes APUs'!$N$1:$Q$30,3,0)</f>
        <v>U</v>
      </c>
      <c r="E6407" s="50">
        <v>1</v>
      </c>
      <c r="F6407" s="51">
        <f>VLOOKUP(A6407,'Componentes APUs'!$N$1:$Q$30,4,0)</f>
        <v>5500000</v>
      </c>
      <c r="G6407" s="51">
        <f>IFERROR(ROUNDUP(F6407*(E6407/21)/E6359,0),"-")</f>
        <v>327381</v>
      </c>
    </row>
    <row r="6408" spans="1:7" x14ac:dyDescent="0.25">
      <c r="A6408" s="50" t="s">
        <v>321</v>
      </c>
      <c r="B6408" s="72" t="str">
        <f>VLOOKUP(A6408,'Componentes APUs'!$N$1:$Q$30,2,0)</f>
        <v>Grúa Hidráulica</v>
      </c>
      <c r="C6408" s="73"/>
      <c r="D6408" s="70" t="str">
        <f>VLOOKUP(A6408,'Componentes APUs'!$N$1:$Q$30,3,0)</f>
        <v>U</v>
      </c>
      <c r="E6408" s="50">
        <v>0</v>
      </c>
      <c r="F6408" s="51">
        <f>VLOOKUP(A6408,'Componentes APUs'!$N$1:$Q$30,4,0)</f>
        <v>21000000</v>
      </c>
      <c r="G6408" s="51">
        <f>IFERROR(ROUNDUP(F6408*(E6408/21)/E6359,0),"-")</f>
        <v>0</v>
      </c>
    </row>
    <row r="6409" spans="1:7" x14ac:dyDescent="0.25">
      <c r="A6409" s="69" t="s">
        <v>1379</v>
      </c>
      <c r="B6409" s="72" t="str">
        <f>VLOOKUP(A6409,'Componentes APUs'!$N$1:$Q$30,2,0)</f>
        <v>Dumper de descarga Frontal 2T</v>
      </c>
      <c r="C6409" s="73"/>
      <c r="D6409" s="70" t="str">
        <f>VLOOKUP(A6409,'Componentes APUs'!$N$1:$Q$30,3,0)</f>
        <v>U</v>
      </c>
      <c r="E6409" s="50">
        <v>0</v>
      </c>
      <c r="F6409" s="51">
        <f>VLOOKUP(A6409,'Componentes APUs'!$N$1:$Q$30,4,0)</f>
        <v>4438716.24</v>
      </c>
      <c r="G6409" s="51">
        <f>IFERROR(ROUNDUP(F6409*(E6409/21)/E6359,0),"-")</f>
        <v>0</v>
      </c>
    </row>
    <row r="6410" spans="1:7" x14ac:dyDescent="0.25">
      <c r="A6410" s="50" t="s">
        <v>323</v>
      </c>
      <c r="B6410" s="72" t="str">
        <f>VLOOKUP(A6410,'Componentes APUs'!$N$1:$Q$30,2,0)</f>
        <v>Volqueta</v>
      </c>
      <c r="C6410" s="73"/>
      <c r="D6410" s="70" t="str">
        <f>VLOOKUP(A6410,'Componentes APUs'!$N$1:$Q$30,3,0)</f>
        <v>U</v>
      </c>
      <c r="E6410" s="50">
        <v>0</v>
      </c>
      <c r="F6410" s="51">
        <f>VLOOKUP(A6410,'Componentes APUs'!$N$1:$Q$30,4,0)</f>
        <v>14828184</v>
      </c>
      <c r="G6410" s="51">
        <f>IFERROR(ROUNDUP(F6410*(E6410/21)/E6359,0),"-")</f>
        <v>0</v>
      </c>
    </row>
    <row r="6411" spans="1:7" x14ac:dyDescent="0.25">
      <c r="A6411" s="69" t="s">
        <v>324</v>
      </c>
      <c r="B6411" s="72" t="str">
        <f>VLOOKUP(A6411,'Componentes APUs'!$N$1:$Q$30,2,0)</f>
        <v>Retroexcavadora</v>
      </c>
      <c r="C6411" s="73"/>
      <c r="D6411" s="70" t="str">
        <f>VLOOKUP(A6411,'Componentes APUs'!$N$1:$Q$30,3,0)</f>
        <v>U</v>
      </c>
      <c r="E6411" s="50">
        <v>0</v>
      </c>
      <c r="F6411" s="51">
        <f>VLOOKUP(A6411,'Componentes APUs'!$N$1:$Q$30,4,0)</f>
        <v>46030656</v>
      </c>
      <c r="G6411" s="51">
        <f>IFERROR(ROUNDUP(F6411*(E6411/21)/E6359,0),"-")</f>
        <v>0</v>
      </c>
    </row>
    <row r="6412" spans="1:7" x14ac:dyDescent="0.25">
      <c r="A6412" s="219" t="s">
        <v>99</v>
      </c>
      <c r="B6412" s="219"/>
      <c r="C6412" s="219"/>
      <c r="D6412" s="219"/>
      <c r="E6412" s="219"/>
      <c r="F6412" s="219"/>
      <c r="G6412" s="52">
        <f>SUM(G6407:G6411)</f>
        <v>327381</v>
      </c>
    </row>
    <row r="6413" spans="1:7" x14ac:dyDescent="0.25">
      <c r="A6413" s="56"/>
      <c r="B6413" s="57"/>
      <c r="C6413" s="57"/>
      <c r="D6413" s="57"/>
      <c r="E6413" s="57"/>
      <c r="F6413" s="57"/>
      <c r="G6413" s="58"/>
    </row>
    <row r="6414" spans="1:7" x14ac:dyDescent="0.25">
      <c r="A6414" s="219" t="s">
        <v>100</v>
      </c>
      <c r="B6414" s="219"/>
      <c r="C6414" s="219"/>
      <c r="D6414" s="219"/>
      <c r="E6414" s="219"/>
      <c r="F6414" s="219"/>
      <c r="G6414" s="52">
        <f>G6412+G6403+G6386+G6376+G6366</f>
        <v>6750631</v>
      </c>
    </row>
    <row r="6415" spans="1:7" x14ac:dyDescent="0.25">
      <c r="A6415" s="59"/>
      <c r="B6415" s="60"/>
      <c r="C6415" s="60"/>
      <c r="D6415" s="60"/>
      <c r="E6415" s="57"/>
      <c r="F6415" s="57"/>
      <c r="G6415" s="58"/>
    </row>
    <row r="6416" spans="1:7" x14ac:dyDescent="0.25">
      <c r="A6416" s="64"/>
      <c r="D6416" s="55"/>
      <c r="E6416" s="49" t="s">
        <v>25</v>
      </c>
      <c r="F6416" s="54">
        <v>0.15</v>
      </c>
      <c r="G6416" s="51">
        <f>G6414*F6416</f>
        <v>1012594.6499999999</v>
      </c>
    </row>
    <row r="6417" spans="1:8" x14ac:dyDescent="0.25">
      <c r="A6417" s="64"/>
      <c r="D6417" s="55"/>
      <c r="E6417" s="49" t="s">
        <v>26</v>
      </c>
      <c r="F6417" s="54">
        <v>0.05</v>
      </c>
      <c r="G6417" s="51">
        <f>G6414*F6417</f>
        <v>337531.55000000005</v>
      </c>
    </row>
    <row r="6418" spans="1:8" x14ac:dyDescent="0.25">
      <c r="A6418" s="61"/>
      <c r="B6418" s="65"/>
      <c r="C6418" s="65"/>
      <c r="D6418" s="62"/>
      <c r="E6418" s="49" t="s">
        <v>27</v>
      </c>
      <c r="F6418" s="54">
        <v>0.05</v>
      </c>
      <c r="G6418" s="51">
        <f>G6414*F6418</f>
        <v>337531.55000000005</v>
      </c>
    </row>
    <row r="6419" spans="1:8" x14ac:dyDescent="0.25">
      <c r="A6419" s="61"/>
      <c r="B6419" s="62"/>
      <c r="C6419" s="62"/>
      <c r="D6419" s="62"/>
      <c r="E6419" s="62"/>
      <c r="F6419" s="62"/>
      <c r="G6419" s="63"/>
    </row>
    <row r="6420" spans="1:8" x14ac:dyDescent="0.25">
      <c r="A6420" s="219" t="s">
        <v>101</v>
      </c>
      <c r="B6420" s="219"/>
      <c r="C6420" s="219"/>
      <c r="D6420" s="219"/>
      <c r="E6420" s="219"/>
      <c r="F6420" s="219"/>
      <c r="G6420" s="52">
        <f>G6414+G6416+G6417+G6418</f>
        <v>8438288.75</v>
      </c>
    </row>
    <row r="6421" spans="1:8" x14ac:dyDescent="0.25">
      <c r="A6421" s="59"/>
      <c r="B6421" s="60"/>
      <c r="C6421" s="60"/>
      <c r="D6421" s="60"/>
      <c r="E6421" s="57"/>
      <c r="F6421" s="57"/>
      <c r="G6421" s="58"/>
    </row>
    <row r="6422" spans="1:8" x14ac:dyDescent="0.25">
      <c r="A6422" s="64"/>
      <c r="D6422" s="55"/>
      <c r="E6422" s="49" t="s">
        <v>102</v>
      </c>
      <c r="F6422" s="49" t="s">
        <v>103</v>
      </c>
      <c r="G6422" s="51">
        <f>G6418*19%</f>
        <v>64130.994500000008</v>
      </c>
    </row>
    <row r="6423" spans="1:8" x14ac:dyDescent="0.25">
      <c r="A6423" s="61"/>
      <c r="B6423" s="62"/>
      <c r="C6423" s="62"/>
      <c r="D6423" s="62"/>
      <c r="E6423" s="57"/>
      <c r="F6423" s="57"/>
      <c r="G6423" s="58"/>
    </row>
    <row r="6424" spans="1:8" x14ac:dyDescent="0.25">
      <c r="A6424" s="219" t="s">
        <v>104</v>
      </c>
      <c r="B6424" s="219"/>
      <c r="C6424" s="219"/>
      <c r="D6424" s="219"/>
      <c r="E6424" s="219"/>
      <c r="F6424" s="219"/>
      <c r="G6424" s="52">
        <f>G6422+G6420</f>
        <v>8502419.7445</v>
      </c>
    </row>
    <row r="6426" spans="1:8" x14ac:dyDescent="0.25">
      <c r="A6426" s="74" t="s">
        <v>29</v>
      </c>
      <c r="B6426" s="226" t="s">
        <v>30</v>
      </c>
      <c r="C6426" s="226"/>
      <c r="D6426" s="74" t="s">
        <v>31</v>
      </c>
      <c r="E6426" s="74" t="s">
        <v>32</v>
      </c>
      <c r="F6426" s="74" t="s">
        <v>189</v>
      </c>
      <c r="G6426" s="74" t="s">
        <v>33</v>
      </c>
      <c r="H6426" s="105"/>
    </row>
    <row r="6427" spans="1:8" ht="26.25" customHeight="1" x14ac:dyDescent="0.25">
      <c r="A6427" s="50" t="str">
        <f>Presupuesto!B123</f>
        <v>103_OC</v>
      </c>
      <c r="B6427" s="229" t="str">
        <f>Presupuesto!C123</f>
        <v>PUERTA METÁLICA EN LÁMINA COLD ROLLER CON RELLENO HONEY COMB CON BARRA ANTIPÁNICO UNA HOJA (3 X 3,10M)</v>
      </c>
      <c r="C6427" s="230"/>
      <c r="D6427" s="50" t="s">
        <v>8</v>
      </c>
      <c r="E6427" s="107">
        <v>0.8</v>
      </c>
      <c r="F6427" s="50"/>
      <c r="G6427" s="51">
        <f>G6492</f>
        <v>12402485.425000001</v>
      </c>
      <c r="H6427" s="45"/>
    </row>
    <row r="6428" spans="1:8" x14ac:dyDescent="0.25">
      <c r="A6428" s="219" t="s">
        <v>34</v>
      </c>
      <c r="B6428" s="219"/>
      <c r="C6428" s="219"/>
      <c r="D6428" s="219"/>
      <c r="E6428" s="219"/>
      <c r="F6428" s="219"/>
      <c r="G6428" s="219"/>
    </row>
    <row r="6429" spans="1:8" x14ac:dyDescent="0.25">
      <c r="A6429" s="49" t="s">
        <v>35</v>
      </c>
      <c r="B6429" s="219" t="s">
        <v>36</v>
      </c>
      <c r="C6429" s="219"/>
      <c r="D6429" s="49" t="s">
        <v>37</v>
      </c>
      <c r="E6429" s="49" t="s">
        <v>38</v>
      </c>
      <c r="F6429" s="49" t="s">
        <v>39</v>
      </c>
      <c r="G6429" s="49" t="s">
        <v>40</v>
      </c>
    </row>
    <row r="6430" spans="1:8" ht="30" customHeight="1" x14ac:dyDescent="0.25">
      <c r="A6430" s="50" t="str">
        <f>Material!A616</f>
        <v>MA-615</v>
      </c>
      <c r="B6430" s="221" t="str">
        <f>IFERROR(VLOOKUP(A6430,Material!$A:$H,2,0),"-")</f>
        <v>PUERTA METÁLICA EN LÁMINA COLD ROLLER CON RELLENO HONEY COMB CON BARRA ANTIPÁNICO UNA HOJA (3 X 3,10M)</v>
      </c>
      <c r="C6430" s="222"/>
      <c r="D6430" s="50" t="str">
        <f>IFERROR(VLOOKUP(A6430,Material!$A:$H,4,0),"-")</f>
        <v>UN</v>
      </c>
      <c r="E6430" s="107">
        <v>1</v>
      </c>
      <c r="F6430" s="51">
        <f>IFERROR(VLOOKUP(A6430,Material!$A:$H,3,0),"-")</f>
        <v>9114348.75</v>
      </c>
      <c r="G6430" s="51">
        <f>IFERROR(ROUNDUP(F6430*E6430,0),"-")</f>
        <v>9114349</v>
      </c>
      <c r="H6430" s="106"/>
    </row>
    <row r="6431" spans="1:8" x14ac:dyDescent="0.25">
      <c r="A6431" s="50"/>
      <c r="B6431" s="72" t="str">
        <f>IFERROR(VLOOKUP(A6431,Material!$A:$H,2,0),"-")</f>
        <v>-</v>
      </c>
      <c r="C6431" s="76"/>
      <c r="D6431" s="50" t="str">
        <f>IFERROR(VLOOKUP(A6431,Material!$A:$H,4,0),"-")</f>
        <v>-</v>
      </c>
      <c r="E6431" s="107"/>
      <c r="F6431" s="51" t="str">
        <f>IFERROR(VLOOKUP(A6431,Material!$A:$H,3,0),"-")</f>
        <v>-</v>
      </c>
      <c r="G6431" s="51" t="str">
        <f>IFERROR(ROUNDUP(F6431*E6431,0),"-")</f>
        <v>-</v>
      </c>
      <c r="H6431" s="106"/>
    </row>
    <row r="6432" spans="1:8" x14ac:dyDescent="0.25">
      <c r="A6432" s="50"/>
      <c r="B6432" s="72" t="str">
        <f>IFERROR(VLOOKUP(A6432,Material!$A:$H,2,0),"-")</f>
        <v>-</v>
      </c>
      <c r="C6432" s="76"/>
      <c r="D6432" s="50" t="str">
        <f>IFERROR(VLOOKUP(A6432,Material!$A:$H,4,0),"-")</f>
        <v>-</v>
      </c>
      <c r="E6432" s="107"/>
      <c r="F6432" s="51" t="str">
        <f>IFERROR(VLOOKUP(A6432,Material!$A:$H,3,0),"-")</f>
        <v>-</v>
      </c>
      <c r="G6432" s="51" t="str">
        <f>IFERROR(ROUNDUP(F6432*E6432,0),"-")</f>
        <v>-</v>
      </c>
      <c r="H6432" s="106"/>
    </row>
    <row r="6433" spans="1:9" x14ac:dyDescent="0.25">
      <c r="A6433" s="50"/>
      <c r="B6433" s="72" t="str">
        <f>IFERROR(VLOOKUP(A6433,Material!$A:$H,2,0),"-")</f>
        <v>-</v>
      </c>
      <c r="C6433" s="76"/>
      <c r="D6433" s="50" t="str">
        <f>IFERROR(VLOOKUP(A6433,Material!$A:$H,4,0),"-")</f>
        <v>-</v>
      </c>
      <c r="E6433" s="107"/>
      <c r="F6433" s="51" t="str">
        <f>IFERROR(VLOOKUP(A6433,Material!$A:$H,3,0),"-")</f>
        <v>-</v>
      </c>
      <c r="G6433" s="51" t="str">
        <f>IFERROR(ROUNDUP(F6433*E6433,0),"-")</f>
        <v>-</v>
      </c>
      <c r="H6433" s="106"/>
    </row>
    <row r="6434" spans="1:9" x14ac:dyDescent="0.25">
      <c r="A6434" s="219" t="s">
        <v>41</v>
      </c>
      <c r="B6434" s="219"/>
      <c r="C6434" s="219"/>
      <c r="D6434" s="219"/>
      <c r="E6434" s="219"/>
      <c r="F6434" s="219"/>
      <c r="G6434" s="52">
        <f>SUM(G6430:G6433)</f>
        <v>9114349</v>
      </c>
      <c r="I6434" s="104"/>
    </row>
    <row r="6435" spans="1:9" x14ac:dyDescent="0.25">
      <c r="A6435" s="56"/>
      <c r="B6435" s="57"/>
      <c r="C6435" s="57"/>
      <c r="D6435" s="57"/>
      <c r="E6435" s="57"/>
      <c r="F6435" s="57"/>
      <c r="G6435" s="58"/>
    </row>
    <row r="6436" spans="1:9" x14ac:dyDescent="0.25">
      <c r="A6436" s="219" t="s">
        <v>42</v>
      </c>
      <c r="B6436" s="219"/>
      <c r="C6436" s="219"/>
      <c r="D6436" s="219"/>
      <c r="E6436" s="219"/>
      <c r="F6436" s="219"/>
      <c r="G6436" s="219"/>
    </row>
    <row r="6437" spans="1:9" x14ac:dyDescent="0.25">
      <c r="A6437" s="49" t="s">
        <v>35</v>
      </c>
      <c r="B6437" s="49" t="s">
        <v>36</v>
      </c>
      <c r="C6437" s="49" t="s">
        <v>38</v>
      </c>
      <c r="D6437" s="49" t="s">
        <v>43</v>
      </c>
      <c r="E6437" s="49" t="s">
        <v>44</v>
      </c>
      <c r="F6437" s="49" t="s">
        <v>45</v>
      </c>
      <c r="G6437" s="49" t="s">
        <v>40</v>
      </c>
    </row>
    <row r="6438" spans="1:9" x14ac:dyDescent="0.25">
      <c r="A6438" s="50" t="s">
        <v>319</v>
      </c>
      <c r="B6438" s="68" t="str">
        <f>VLOOKUP(A6438,'Componentes APUs'!$H$1:$L$25,2,0)</f>
        <v>Ingeniero Residente de Obra</v>
      </c>
      <c r="C6438" s="93">
        <v>0</v>
      </c>
      <c r="D6438" s="50">
        <f>VLOOKUP(A6438,'Componentes APUs'!$H$1:$L$25,3,0)</f>
        <v>4</v>
      </c>
      <c r="E6438" s="51">
        <f>VLOOKUP(A6438,'Componentes APUs'!$H$1:$L$25,4,0)</f>
        <v>271142.85714285716</v>
      </c>
      <c r="F6438" s="51">
        <f>VLOOKUP(A6438,'Componentes APUs'!$H$1:$L$25,5,0)</f>
        <v>162685.71428571429</v>
      </c>
      <c r="G6438" s="51">
        <f>ROUNDUP((E6438+F6438)*C6438/E6427,0)</f>
        <v>0</v>
      </c>
      <c r="H6438" s="66"/>
    </row>
    <row r="6439" spans="1:9" x14ac:dyDescent="0.25">
      <c r="A6439" s="50" t="s">
        <v>320</v>
      </c>
      <c r="B6439" s="68" t="str">
        <f>VLOOKUP(A6439,'Componentes APUs'!$H$1:$L$25,2,0)</f>
        <v>Tecnico Supervisor</v>
      </c>
      <c r="C6439" s="93">
        <v>0</v>
      </c>
      <c r="D6439" s="50">
        <f>VLOOKUP(A6439,'Componentes APUs'!$H$1:$L$25,3,0)</f>
        <v>2.2999999999999998</v>
      </c>
      <c r="E6439" s="51">
        <f>VLOOKUP(A6439,'Componentes APUs'!$H$1:$L$25,4,0)</f>
        <v>155907.14285714284</v>
      </c>
      <c r="F6439" s="51">
        <f>VLOOKUP(A6439,'Componentes APUs'!$H$1:$L$25,5,0)</f>
        <v>93544.285714285696</v>
      </c>
      <c r="G6439" s="51">
        <f>ROUNDUP((E6439+F6439)*C6439/E6427,0)</f>
        <v>0</v>
      </c>
    </row>
    <row r="6440" spans="1:9" x14ac:dyDescent="0.25">
      <c r="A6440" s="50" t="s">
        <v>54</v>
      </c>
      <c r="B6440" s="68" t="str">
        <f>VLOOKUP(A6440,'Componentes APUs'!$H$1:$L$25,2,0)</f>
        <v>Maestro de obra civil</v>
      </c>
      <c r="C6440" s="93">
        <v>0</v>
      </c>
      <c r="D6440" s="50">
        <f>VLOOKUP(A6440,'Componentes APUs'!$H$1:$L$25,3,0)</f>
        <v>2.5</v>
      </c>
      <c r="E6440" s="51">
        <f>VLOOKUP(A6440,'Componentes APUs'!$H$1:$L$25,4,0)</f>
        <v>169464.28571428571</v>
      </c>
      <c r="F6440" s="51">
        <f>VLOOKUP(A6440,'Componentes APUs'!$H$1:$L$25,5,0)</f>
        <v>101678.57142857142</v>
      </c>
      <c r="G6440" s="51">
        <f>ROUNDUP((E6440+F6440)*C6440/E6427,0)</f>
        <v>0</v>
      </c>
    </row>
    <row r="6441" spans="1:9" x14ac:dyDescent="0.25">
      <c r="A6441" s="50" t="s">
        <v>1110</v>
      </c>
      <c r="B6441" s="68" t="str">
        <f>VLOOKUP(A6441,'Componentes APUs'!$H$1:$L$25,2,0)</f>
        <v>Oficial de Obra Civil</v>
      </c>
      <c r="C6441" s="93">
        <v>0</v>
      </c>
      <c r="D6441" s="50">
        <f>VLOOKUP(A6441,'Componentes APUs'!$H$1:$L$25,3,0)</f>
        <v>1.5</v>
      </c>
      <c r="E6441" s="51">
        <f>VLOOKUP(A6441,'Componentes APUs'!$H$1:$L$25,4,0)</f>
        <v>115964.28571428571</v>
      </c>
      <c r="F6441" s="51">
        <f>VLOOKUP(A6441,'Componentes APUs'!$H$1:$L$25,5,0)</f>
        <v>69578.57142857142</v>
      </c>
      <c r="G6441" s="51">
        <f>ROUNDUP((E6441+F6441)*C6441/E6427,0)</f>
        <v>0</v>
      </c>
    </row>
    <row r="6442" spans="1:9" x14ac:dyDescent="0.25">
      <c r="A6442" s="50" t="s">
        <v>50</v>
      </c>
      <c r="B6442" s="68" t="str">
        <f>VLOOKUP(A6442,'Componentes APUs'!$H$1:$L$25,2,0)</f>
        <v>Profesional en SST</v>
      </c>
      <c r="C6442" s="93">
        <v>0.25</v>
      </c>
      <c r="D6442" s="50">
        <f>VLOOKUP(A6442,'Componentes APUs'!$H$1:$L$25,3,0)</f>
        <v>2.5</v>
      </c>
      <c r="E6442" s="51">
        <f>VLOOKUP(A6442,'Componentes APUs'!$H$1:$L$25,4,0)</f>
        <v>169464.28571428571</v>
      </c>
      <c r="F6442" s="51">
        <f>VLOOKUP(A6442,'Componentes APUs'!$H$1:$L$25,5,0)</f>
        <v>101678.57142857142</v>
      </c>
      <c r="G6442" s="51">
        <f>ROUNDUP((E6442+F6442)*C6442/E6427,0)</f>
        <v>84733</v>
      </c>
    </row>
    <row r="6443" spans="1:9" x14ac:dyDescent="0.25">
      <c r="A6443" s="50" t="s">
        <v>1109</v>
      </c>
      <c r="B6443" s="68" t="str">
        <f>VLOOKUP(A6443,'Componentes APUs'!$H$1:$L$25,2,0)</f>
        <v>Ayudante de Obra Civil</v>
      </c>
      <c r="C6443" s="93">
        <v>2</v>
      </c>
      <c r="D6443" s="50">
        <f>VLOOKUP(A6443,'Componentes APUs'!$H$1:$L$25,3,0)</f>
        <v>1</v>
      </c>
      <c r="E6443" s="51">
        <f>VLOOKUP(A6443,'Componentes APUs'!$H$1:$L$25,4,0)</f>
        <v>77309.523809523816</v>
      </c>
      <c r="F6443" s="51">
        <f>VLOOKUP(A6443,'Componentes APUs'!$H$1:$L$25,5,0)</f>
        <v>46385.71428571429</v>
      </c>
      <c r="G6443" s="51">
        <f>ROUNDUP((E6443+F6443)*C6443/E6427,0)</f>
        <v>309239</v>
      </c>
    </row>
    <row r="6444" spans="1:9" x14ac:dyDescent="0.25">
      <c r="A6444" s="219" t="s">
        <v>56</v>
      </c>
      <c r="B6444" s="219"/>
      <c r="C6444" s="219"/>
      <c r="D6444" s="219"/>
      <c r="E6444" s="219"/>
      <c r="F6444" s="219"/>
      <c r="G6444" s="52">
        <f>SUM(G6438:G6443)</f>
        <v>393972</v>
      </c>
    </row>
    <row r="6445" spans="1:9" x14ac:dyDescent="0.25">
      <c r="A6445" s="56"/>
      <c r="B6445" s="57"/>
      <c r="C6445" s="57"/>
      <c r="D6445" s="57"/>
      <c r="E6445" s="57"/>
      <c r="F6445" s="57"/>
      <c r="G6445" s="58"/>
    </row>
    <row r="6446" spans="1:9" x14ac:dyDescent="0.25">
      <c r="A6446" s="219" t="s">
        <v>57</v>
      </c>
      <c r="B6446" s="219"/>
      <c r="C6446" s="219"/>
      <c r="D6446" s="219"/>
      <c r="E6446" s="219"/>
      <c r="F6446" s="219"/>
      <c r="G6446" s="219"/>
    </row>
    <row r="6447" spans="1:9" x14ac:dyDescent="0.25">
      <c r="A6447" s="49" t="s">
        <v>35</v>
      </c>
      <c r="B6447" s="219" t="s">
        <v>36</v>
      </c>
      <c r="C6447" s="219"/>
      <c r="D6447" s="49" t="s">
        <v>37</v>
      </c>
      <c r="E6447" s="49" t="s">
        <v>38</v>
      </c>
      <c r="F6447" s="49" t="s">
        <v>39</v>
      </c>
      <c r="G6447" s="49" t="s">
        <v>40</v>
      </c>
    </row>
    <row r="6448" spans="1:9" x14ac:dyDescent="0.25">
      <c r="A6448" s="50" t="s">
        <v>326</v>
      </c>
      <c r="B6448" s="220" t="str">
        <f>VLOOKUP(A6448,'Componentes APUs'!$S$1:$V$10,2,0)</f>
        <v>Juego Llaves</v>
      </c>
      <c r="C6448" s="220"/>
      <c r="D6448" s="50" t="s">
        <v>18</v>
      </c>
      <c r="E6448" s="50">
        <v>0</v>
      </c>
      <c r="F6448" s="51">
        <f>VLOOKUP(A6448,'Componentes APUs'!$S$1:$V$10,4,0)</f>
        <v>9167</v>
      </c>
      <c r="G6448" s="51">
        <f>ROUNDUP(F6448*((E6448/21)/E6427),0)</f>
        <v>0</v>
      </c>
      <c r="I6448" s="91"/>
    </row>
    <row r="6449" spans="1:9" x14ac:dyDescent="0.25">
      <c r="A6449" s="50" t="s">
        <v>58</v>
      </c>
      <c r="B6449" s="220" t="str">
        <f>VLOOKUP(A6449,'Componentes APUs'!$S$1:$V$10,2,0)</f>
        <v>Manila de servicio</v>
      </c>
      <c r="C6449" s="220"/>
      <c r="D6449" s="50" t="s">
        <v>18</v>
      </c>
      <c r="E6449" s="50">
        <v>0</v>
      </c>
      <c r="F6449" s="51">
        <f>VLOOKUP(A6449,'Componentes APUs'!$S$1:$V$10,4,0)</f>
        <v>2333</v>
      </c>
      <c r="G6449" s="51">
        <f>ROUNDUP(F6449*((E6449/21)/E6427),0)</f>
        <v>0</v>
      </c>
    </row>
    <row r="6450" spans="1:9" x14ac:dyDescent="0.25">
      <c r="A6450" s="50" t="s">
        <v>327</v>
      </c>
      <c r="B6450" s="220" t="str">
        <f>VLOOKUP(A6450,'Componentes APUs'!$S$1:$V$10,2,0)</f>
        <v>Tula portaherramientas</v>
      </c>
      <c r="C6450" s="220"/>
      <c r="D6450" s="50" t="s">
        <v>18</v>
      </c>
      <c r="E6450" s="50">
        <v>0</v>
      </c>
      <c r="F6450" s="51">
        <f>VLOOKUP(A6450,'Componentes APUs'!$S$1:$V$10,4,0)</f>
        <v>1250</v>
      </c>
      <c r="G6450" s="51">
        <f>ROUNDUP(F6450*((E6450/21)/E6427),0)</f>
        <v>0</v>
      </c>
    </row>
    <row r="6451" spans="1:9" x14ac:dyDescent="0.25">
      <c r="A6451" s="50" t="s">
        <v>60</v>
      </c>
      <c r="B6451" s="220" t="str">
        <f>VLOOKUP(A6451,'Componentes APUs'!$S$1:$V$10,2,0)</f>
        <v>Agarradoras</v>
      </c>
      <c r="C6451" s="220"/>
      <c r="D6451" s="50" t="s">
        <v>18</v>
      </c>
      <c r="E6451" s="50">
        <v>0</v>
      </c>
      <c r="F6451" s="51">
        <f>VLOOKUP(A6451,'Componentes APUs'!$S$1:$V$10,4,0)</f>
        <v>125000</v>
      </c>
      <c r="G6451" s="51">
        <f>ROUNDUP(F6451*((E6451/21)/E6427),0)</f>
        <v>0</v>
      </c>
    </row>
    <row r="6452" spans="1:9" x14ac:dyDescent="0.25">
      <c r="A6452" s="50" t="s">
        <v>62</v>
      </c>
      <c r="B6452" s="220" t="str">
        <f>VLOOKUP(A6452,'Componentes APUs'!$S$1:$V$10,2,0)</f>
        <v>Templadoras</v>
      </c>
      <c r="C6452" s="220"/>
      <c r="D6452" s="50" t="s">
        <v>18</v>
      </c>
      <c r="E6452" s="50">
        <v>0</v>
      </c>
      <c r="F6452" s="51">
        <f>VLOOKUP(A6452,'Componentes APUs'!$S$1:$V$10,4,0)</f>
        <v>250000</v>
      </c>
      <c r="G6452" s="51">
        <f>ROUNDUP(F6452*((E6452/21)/E6427),0)</f>
        <v>0</v>
      </c>
    </row>
    <row r="6453" spans="1:9" x14ac:dyDescent="0.25">
      <c r="A6453" s="50" t="s">
        <v>328</v>
      </c>
      <c r="B6453" s="220" t="str">
        <f>VLOOKUP(A6453,'Componentes APUs'!$S$1:$V$10,2,0)</f>
        <v>Herramienta Menor</v>
      </c>
      <c r="C6453" s="220"/>
      <c r="D6453" s="50" t="s">
        <v>18</v>
      </c>
      <c r="E6453" s="50">
        <v>1</v>
      </c>
      <c r="F6453" s="51">
        <f>VLOOKUP(A6453,'Componentes APUs'!$S$1:$V$10,4,0)</f>
        <v>75758</v>
      </c>
      <c r="G6453" s="51">
        <f>ROUNDUP(F6453*((E6453/21)/E6427),0)</f>
        <v>4510</v>
      </c>
    </row>
    <row r="6454" spans="1:9" x14ac:dyDescent="0.25">
      <c r="A6454" s="219" t="s">
        <v>69</v>
      </c>
      <c r="B6454" s="219"/>
      <c r="C6454" s="219"/>
      <c r="D6454" s="219"/>
      <c r="E6454" s="219"/>
      <c r="F6454" s="219"/>
      <c r="G6454" s="52">
        <f>SUM(G6448:G6453)</f>
        <v>4510</v>
      </c>
    </row>
    <row r="6455" spans="1:9" x14ac:dyDescent="0.25">
      <c r="A6455" s="56"/>
      <c r="B6455" s="57"/>
      <c r="C6455" s="57"/>
      <c r="D6455" s="57"/>
      <c r="E6455" s="57"/>
      <c r="F6455" s="57"/>
      <c r="G6455" s="58"/>
    </row>
    <row r="6456" spans="1:9" x14ac:dyDescent="0.25">
      <c r="A6456" s="219" t="s">
        <v>70</v>
      </c>
      <c r="B6456" s="219"/>
      <c r="C6456" s="219"/>
      <c r="D6456" s="219"/>
      <c r="E6456" s="219"/>
      <c r="F6456" s="219"/>
      <c r="G6456" s="219"/>
    </row>
    <row r="6457" spans="1:9" x14ac:dyDescent="0.25">
      <c r="A6457" s="49" t="s">
        <v>35</v>
      </c>
      <c r="B6457" s="219" t="s">
        <v>36</v>
      </c>
      <c r="C6457" s="219"/>
      <c r="D6457" s="49" t="s">
        <v>37</v>
      </c>
      <c r="E6457" s="49" t="s">
        <v>38</v>
      </c>
      <c r="F6457" s="49" t="s">
        <v>39</v>
      </c>
      <c r="G6457" s="49" t="s">
        <v>40</v>
      </c>
    </row>
    <row r="6458" spans="1:9" x14ac:dyDescent="0.25">
      <c r="A6458" s="50" t="s">
        <v>71</v>
      </c>
      <c r="B6458" s="71" t="str">
        <f>VLOOKUP(A6458,'Componentes APUs'!$A$1:$D$14,2,0)</f>
        <v>Camisa indigo sin partes metalicas</v>
      </c>
      <c r="C6458" s="71"/>
      <c r="D6458" s="50" t="str">
        <f>VLOOKUP(A6458,'Componentes APUs'!$A$1:$D$14,3,0)</f>
        <v>U</v>
      </c>
      <c r="E6458" s="50">
        <f>SUM(C6438:C6443)</f>
        <v>2.25</v>
      </c>
      <c r="F6458" s="51">
        <f>VLOOKUP(A6458,'Componentes APUs'!$A$1:$D$14,4,0)</f>
        <v>8585.8585858585866</v>
      </c>
      <c r="G6458" s="51">
        <f>ROUNDUP(F6458*(E6458/21)/E6427,0)</f>
        <v>1150</v>
      </c>
      <c r="I6458" s="91"/>
    </row>
    <row r="6459" spans="1:9" x14ac:dyDescent="0.25">
      <c r="A6459" s="69" t="s">
        <v>73</v>
      </c>
      <c r="B6459" s="72" t="str">
        <f>VLOOKUP(A6459,'Componentes APUs'!$A$1:$D$14,2,0)</f>
        <v>Bota de seguridad dielectrica</v>
      </c>
      <c r="C6459" s="73"/>
      <c r="D6459" s="70" t="str">
        <f>VLOOKUP(A6459,'Componentes APUs'!$A$1:$D$14,3,0)</f>
        <v>Par</v>
      </c>
      <c r="E6459" s="50">
        <f>SUM(C6438:C6443)</f>
        <v>2.25</v>
      </c>
      <c r="F6459" s="51">
        <f>VLOOKUP(A6459,'Componentes APUs'!$A$1:$D$14,4,0)</f>
        <v>7500</v>
      </c>
      <c r="G6459" s="51">
        <f>ROUNDUP(F6459*(E6459/21)/E6427,0)</f>
        <v>1005</v>
      </c>
    </row>
    <row r="6460" spans="1:9" x14ac:dyDescent="0.25">
      <c r="A6460" s="50" t="s">
        <v>76</v>
      </c>
      <c r="B6460" s="72" t="str">
        <f>VLOOKUP(A6460,'Componentes APUs'!$A$1:$D$14,2,0)</f>
        <v>Casco dielectrico Tipo 1 Clase E con barbuquejo</v>
      </c>
      <c r="C6460" s="73"/>
      <c r="D6460" s="50" t="str">
        <f>VLOOKUP(A6460,'Componentes APUs'!$A$1:$D$14,3,0)</f>
        <v>U</v>
      </c>
      <c r="E6460" s="50">
        <f>C6438+C6439+C6441+C6442+C6443+IF(A6440&lt;&gt;"MO-3",C6440,0)</f>
        <v>2.25</v>
      </c>
      <c r="F6460" s="51">
        <f>VLOOKUP(A6460,'Componentes APUs'!$A$1:$D$14,4,0)</f>
        <v>10101.010101010101</v>
      </c>
      <c r="G6460" s="51">
        <f>ROUNDUP(F6460*(E6460/21)/E6427,0)</f>
        <v>1353</v>
      </c>
    </row>
    <row r="6461" spans="1:9" x14ac:dyDescent="0.25">
      <c r="A6461" s="69" t="s">
        <v>77</v>
      </c>
      <c r="B6461" s="72" t="str">
        <f>VLOOKUP(A6461,'Componentes APUs'!$A$1:$D$14,2,0)</f>
        <v>Correa plastica y antiflama</v>
      </c>
      <c r="C6461" s="73"/>
      <c r="D6461" s="50" t="str">
        <f>VLOOKUP(A6461,'Componentes APUs'!$A$1:$D$14,3,0)</f>
        <v>U</v>
      </c>
      <c r="E6461" s="50">
        <f>SUM(C6438:C6443)</f>
        <v>2.25</v>
      </c>
      <c r="F6461" s="51">
        <f>VLOOKUP(A6461,'Componentes APUs'!$A$1:$D$14,4,0)</f>
        <v>3787.878787878788</v>
      </c>
      <c r="G6461" s="51">
        <f>ROUNDUP(F6461*(E6461/21)/E6427,0)</f>
        <v>508</v>
      </c>
    </row>
    <row r="6462" spans="1:9" x14ac:dyDescent="0.25">
      <c r="A6462" s="50" t="s">
        <v>79</v>
      </c>
      <c r="B6462" s="72" t="str">
        <f>VLOOKUP(A6462,'Componentes APUs'!$A$1:$D$14,2,0)</f>
        <v>Gafas protectoras filtro UV</v>
      </c>
      <c r="C6462" s="73"/>
      <c r="D6462" s="50" t="str">
        <f>VLOOKUP(A6462,'Componentes APUs'!$A$1:$D$14,3,0)</f>
        <v>U</v>
      </c>
      <c r="E6462" s="50">
        <f>SUM(C6438:C6443)</f>
        <v>2.25</v>
      </c>
      <c r="F6462" s="51">
        <f>VLOOKUP(A6462,'Componentes APUs'!$A$1:$D$14,4,0)</f>
        <v>2777.7777777777778</v>
      </c>
      <c r="G6462" s="51">
        <f>ROUNDUP(F6462*(E6462/21)/E6427,0)</f>
        <v>373</v>
      </c>
    </row>
    <row r="6463" spans="1:9" x14ac:dyDescent="0.25">
      <c r="A6463" s="69" t="s">
        <v>402</v>
      </c>
      <c r="B6463" s="72" t="str">
        <f>VLOOKUP(A6463,'Componentes APUs'!$A$1:$D$14,2,0)</f>
        <v>Bota de seguridad PVC dielectrica</v>
      </c>
      <c r="C6463" s="73"/>
      <c r="D6463" s="50" t="str">
        <f>VLOOKUP(A6463,'Componentes APUs'!$A$1:$D$14,3,0)</f>
        <v>Par</v>
      </c>
      <c r="E6463" s="50">
        <f>SUM(C6438:C6443)</f>
        <v>2.25</v>
      </c>
      <c r="F6463" s="51">
        <f>VLOOKUP(A6463,'Componentes APUs'!$A$1:$D$14,4,0)</f>
        <v>2916.6666666666665</v>
      </c>
      <c r="G6463" s="51">
        <f>ROUNDUP(F6463*(E6463/21)/E6427,0)</f>
        <v>391</v>
      </c>
    </row>
    <row r="6464" spans="1:9" x14ac:dyDescent="0.25">
      <c r="A6464" s="50" t="s">
        <v>403</v>
      </c>
      <c r="B6464" s="72" t="str">
        <f>VLOOKUP(A6464,'Componentes APUs'!$A$1:$D$14,2,0)</f>
        <v>Capuchon</v>
      </c>
      <c r="C6464" s="73"/>
      <c r="D6464" s="50" t="str">
        <f>VLOOKUP(A6464,'Componentes APUs'!$A$1:$D$14,3,0)</f>
        <v>U</v>
      </c>
      <c r="E6464" s="50">
        <f>SUM(C6438:C6443)</f>
        <v>2.25</v>
      </c>
      <c r="F6464" s="51">
        <f>VLOOKUP(A6464,'Componentes APUs'!$A$1:$D$14,4,0)</f>
        <v>2525.2525252525252</v>
      </c>
      <c r="G6464" s="51">
        <f>ROUNDUP(F6464*(E6464/21)/E6427,0)</f>
        <v>339</v>
      </c>
    </row>
    <row r="6465" spans="1:7" x14ac:dyDescent="0.25">
      <c r="A6465" s="69" t="s">
        <v>81</v>
      </c>
      <c r="B6465" s="72" t="str">
        <f>VLOOKUP(A6465,'Componentes APUs'!$A$1:$D$14,2,0)</f>
        <v>Guantes Protectores  - ingeniero reforzados</v>
      </c>
      <c r="C6465" s="73"/>
      <c r="D6465" s="50" t="str">
        <f>VLOOKUP(A6465,'Componentes APUs'!$A$1:$D$14,3,0)</f>
        <v>Par</v>
      </c>
      <c r="E6465" s="50">
        <f>C6440+C6441+C6443</f>
        <v>2</v>
      </c>
      <c r="F6465" s="51">
        <f>VLOOKUP(A6465,'Componentes APUs'!$A$1:$D$14,4,0)</f>
        <v>2525.2525252525252</v>
      </c>
      <c r="G6465" s="51">
        <f>ROUNDUP(F6465*(E6465/21)/E6427,0)</f>
        <v>301</v>
      </c>
    </row>
    <row r="6466" spans="1:7" x14ac:dyDescent="0.25">
      <c r="A6466" s="50" t="s">
        <v>83</v>
      </c>
      <c r="B6466" s="72" t="str">
        <f>VLOOKUP(A6466,'Componentes APUs'!$A$1:$D$14,2,0)</f>
        <v>Impermeable (pantalon camisa)</v>
      </c>
      <c r="C6466" s="73"/>
      <c r="D6466" s="50" t="str">
        <f>VLOOKUP(A6466,'Componentes APUs'!$A$1:$D$14,3,0)</f>
        <v>U</v>
      </c>
      <c r="E6466" s="50">
        <f>SUM(C6438:C6443)</f>
        <v>2.25</v>
      </c>
      <c r="F6466" s="51">
        <f>VLOOKUP(A6466,'Componentes APUs'!$A$1:$D$14,4,0)</f>
        <v>3750</v>
      </c>
      <c r="G6466" s="51">
        <f>ROUNDUP(F6466*(E6466/21)/E6427,0)</f>
        <v>503</v>
      </c>
    </row>
    <row r="6467" spans="1:7" x14ac:dyDescent="0.25">
      <c r="A6467" s="69" t="s">
        <v>85</v>
      </c>
      <c r="B6467" s="72" t="str">
        <f>VLOOKUP(A6467,'Componentes APUs'!$A$1:$D$14,2,0)</f>
        <v>Jean Dielectrico</v>
      </c>
      <c r="C6467" s="73"/>
      <c r="D6467" s="50" t="str">
        <f>VLOOKUP(A6467,'Componentes APUs'!$A$1:$D$14,3,0)</f>
        <v>U</v>
      </c>
      <c r="E6467" s="50">
        <f>SUM(C6438:C6443)</f>
        <v>2.25</v>
      </c>
      <c r="F6467" s="51">
        <f>VLOOKUP(A6467,'Componentes APUs'!$A$1:$D$14,4,0)</f>
        <v>7575.757575757576</v>
      </c>
      <c r="G6467" s="51">
        <f>ROUNDUP(F6467*(E6467/21)/E6427,0)</f>
        <v>1015</v>
      </c>
    </row>
    <row r="6468" spans="1:7" x14ac:dyDescent="0.25">
      <c r="A6468" s="50" t="s">
        <v>87</v>
      </c>
      <c r="B6468" s="72" t="str">
        <f>VLOOKUP(A6468,'Componentes APUs'!$A$1:$D$14,2,0)</f>
        <v>Casco dielectrico Tipo 2 Clase E con barboquejo</v>
      </c>
      <c r="C6468" s="73"/>
      <c r="D6468" s="50" t="str">
        <f>VLOOKUP(A6468,'Componentes APUs'!$A$1:$D$14,3,0)</f>
        <v>U</v>
      </c>
      <c r="E6468" s="53">
        <f>IF(A6440="MO-3",C6440,0)</f>
        <v>0</v>
      </c>
      <c r="F6468" s="51">
        <f>VLOOKUP(A6468,'Componentes APUs'!$A$1:$D$14,4,0)</f>
        <v>7500</v>
      </c>
      <c r="G6468" s="51">
        <f>ROUNDUP(F6468*(E6468/21)/E6427,0)</f>
        <v>0</v>
      </c>
    </row>
    <row r="6469" spans="1:7" x14ac:dyDescent="0.25">
      <c r="A6469" s="69" t="s">
        <v>89</v>
      </c>
      <c r="B6469" s="72" t="str">
        <f>VLOOKUP(A6469,'Componentes APUs'!$A$1:$D$14,2,0)</f>
        <v>Kit de rescate para trabajo en alturas</v>
      </c>
      <c r="C6469" s="73"/>
      <c r="D6469" s="50" t="str">
        <f>VLOOKUP(A6469,'Componentes APUs'!$A$1:$D$14,3,0)</f>
        <v>U</v>
      </c>
      <c r="E6469" s="50">
        <f>IF(AND(A6440="MO-3",C6440=2),1,0)</f>
        <v>0</v>
      </c>
      <c r="F6469" s="51">
        <f>VLOOKUP(A6469,'Componentes APUs'!$A$1:$D$14,4,0)</f>
        <v>37500</v>
      </c>
      <c r="G6469" s="51">
        <f>ROUNDUP(F6469*(E6469/21)/E6427,0)</f>
        <v>0</v>
      </c>
    </row>
    <row r="6470" spans="1:7" x14ac:dyDescent="0.25">
      <c r="A6470" s="50" t="s">
        <v>91</v>
      </c>
      <c r="B6470" s="72" t="str">
        <f>VLOOKUP(A6470,'Componentes APUs'!$A$1:$D$14,2,0)</f>
        <v>Equipo completo para trabajo en alturas con pretales (Arnes dielectrico, 1 mosqueton de seguridad, tie off dielectrico, eslinga de posicionamiento, juego de pretales)</v>
      </c>
      <c r="C6470" s="73"/>
      <c r="D6470" s="50" t="str">
        <f>VLOOKUP(A6470,'Componentes APUs'!$A$1:$D$14,3,0)</f>
        <v>U</v>
      </c>
      <c r="E6470" s="50">
        <f>IF(A6440="MO-3",C6440,0)</f>
        <v>0</v>
      </c>
      <c r="F6470" s="51">
        <f>VLOOKUP(A6470,'Componentes APUs'!$A$1:$D$14,4,0)</f>
        <v>26041.666666666668</v>
      </c>
      <c r="G6470" s="51">
        <f>ROUNDUP(F6470*(E6470/21)/E6427,0)</f>
        <v>0</v>
      </c>
    </row>
    <row r="6471" spans="1:7" x14ac:dyDescent="0.25">
      <c r="A6471" s="219" t="s">
        <v>95</v>
      </c>
      <c r="B6471" s="219"/>
      <c r="C6471" s="219"/>
      <c r="D6471" s="219"/>
      <c r="E6471" s="219"/>
      <c r="F6471" s="219"/>
      <c r="G6471" s="52">
        <f>SUM(G6458:G6470)</f>
        <v>6938</v>
      </c>
    </row>
    <row r="6472" spans="1:7" x14ac:dyDescent="0.25">
      <c r="A6472" s="56"/>
      <c r="B6472" s="57"/>
      <c r="C6472" s="57"/>
      <c r="D6472" s="57"/>
      <c r="E6472" s="57"/>
      <c r="F6472" s="57"/>
      <c r="G6472" s="58"/>
    </row>
    <row r="6473" spans="1:7" x14ac:dyDescent="0.25">
      <c r="A6473" s="219" t="s">
        <v>96</v>
      </c>
      <c r="B6473" s="219"/>
      <c r="C6473" s="219"/>
      <c r="D6473" s="219"/>
      <c r="E6473" s="219"/>
      <c r="F6473" s="219"/>
      <c r="G6473" s="219"/>
    </row>
    <row r="6474" spans="1:7" x14ac:dyDescent="0.25">
      <c r="A6474" s="49" t="s">
        <v>35</v>
      </c>
      <c r="B6474" s="225" t="s">
        <v>36</v>
      </c>
      <c r="C6474" s="225"/>
      <c r="D6474" s="49" t="s">
        <v>37</v>
      </c>
      <c r="E6474" s="49" t="s">
        <v>38</v>
      </c>
      <c r="F6474" s="49" t="s">
        <v>39</v>
      </c>
      <c r="G6474" s="49" t="s">
        <v>40</v>
      </c>
    </row>
    <row r="6475" spans="1:7" x14ac:dyDescent="0.25">
      <c r="A6475" s="69" t="s">
        <v>97</v>
      </c>
      <c r="B6475" s="72" t="str">
        <f>VLOOKUP(A6475,'Componentes APUs'!$N$1:$Q$30,2,0)</f>
        <v>Camioneta</v>
      </c>
      <c r="C6475" s="73"/>
      <c r="D6475" s="70" t="str">
        <f>VLOOKUP(A6475,'Componentes APUs'!$N$1:$Q$30,3,0)</f>
        <v>U</v>
      </c>
      <c r="E6475" s="50">
        <v>1</v>
      </c>
      <c r="F6475" s="51">
        <f>VLOOKUP(A6475,'Componentes APUs'!$N$1:$Q$30,4,0)</f>
        <v>5500000</v>
      </c>
      <c r="G6475" s="51">
        <f>IFERROR(ROUNDUP(F6475*(E6475/21)/E6427,0),"-")</f>
        <v>327381</v>
      </c>
    </row>
    <row r="6476" spans="1:7" x14ac:dyDescent="0.25">
      <c r="A6476" s="50" t="s">
        <v>321</v>
      </c>
      <c r="B6476" s="72" t="str">
        <f>VLOOKUP(A6476,'Componentes APUs'!$N$1:$Q$30,2,0)</f>
        <v>Grúa Hidráulica</v>
      </c>
      <c r="C6476" s="73"/>
      <c r="D6476" s="70" t="str">
        <f>VLOOKUP(A6476,'Componentes APUs'!$N$1:$Q$30,3,0)</f>
        <v>U</v>
      </c>
      <c r="E6476" s="50">
        <v>0</v>
      </c>
      <c r="F6476" s="51">
        <f>VLOOKUP(A6476,'Componentes APUs'!$N$1:$Q$30,4,0)</f>
        <v>21000000</v>
      </c>
      <c r="G6476" s="51">
        <f>IFERROR(ROUNDUP(F6476*(E6476/21)/E6427,0),"-")</f>
        <v>0</v>
      </c>
    </row>
    <row r="6477" spans="1:7" x14ac:dyDescent="0.25">
      <c r="A6477" s="69" t="s">
        <v>1379</v>
      </c>
      <c r="B6477" s="72" t="str">
        <f>VLOOKUP(A6477,'Componentes APUs'!$N$1:$Q$30,2,0)</f>
        <v>Dumper de descarga Frontal 2T</v>
      </c>
      <c r="C6477" s="73"/>
      <c r="D6477" s="70" t="str">
        <f>VLOOKUP(A6477,'Componentes APUs'!$N$1:$Q$30,3,0)</f>
        <v>U</v>
      </c>
      <c r="E6477" s="50">
        <v>0</v>
      </c>
      <c r="F6477" s="51">
        <f>VLOOKUP(A6477,'Componentes APUs'!$N$1:$Q$30,4,0)</f>
        <v>4438716.24</v>
      </c>
      <c r="G6477" s="51">
        <f>IFERROR(ROUNDUP(F6477*(E6477/21)/E6427,0),"-")</f>
        <v>0</v>
      </c>
    </row>
    <row r="6478" spans="1:7" x14ac:dyDescent="0.25">
      <c r="A6478" s="50" t="s">
        <v>323</v>
      </c>
      <c r="B6478" s="72" t="str">
        <f>VLOOKUP(A6478,'Componentes APUs'!$N$1:$Q$30,2,0)</f>
        <v>Volqueta</v>
      </c>
      <c r="C6478" s="73"/>
      <c r="D6478" s="70" t="str">
        <f>VLOOKUP(A6478,'Componentes APUs'!$N$1:$Q$30,3,0)</f>
        <v>U</v>
      </c>
      <c r="E6478" s="50">
        <v>0</v>
      </c>
      <c r="F6478" s="51">
        <f>VLOOKUP(A6478,'Componentes APUs'!$N$1:$Q$30,4,0)</f>
        <v>14828184</v>
      </c>
      <c r="G6478" s="51">
        <f>IFERROR(ROUNDUP(F6478*(E6478/21)/E6427,0),"-")</f>
        <v>0</v>
      </c>
    </row>
    <row r="6479" spans="1:7" x14ac:dyDescent="0.25">
      <c r="A6479" s="69" t="s">
        <v>324</v>
      </c>
      <c r="B6479" s="72" t="str">
        <f>VLOOKUP(A6479,'Componentes APUs'!$N$1:$Q$30,2,0)</f>
        <v>Retroexcavadora</v>
      </c>
      <c r="C6479" s="73"/>
      <c r="D6479" s="70" t="str">
        <f>VLOOKUP(A6479,'Componentes APUs'!$N$1:$Q$30,3,0)</f>
        <v>U</v>
      </c>
      <c r="E6479" s="50">
        <v>0</v>
      </c>
      <c r="F6479" s="51">
        <f>VLOOKUP(A6479,'Componentes APUs'!$N$1:$Q$30,4,0)</f>
        <v>46030656</v>
      </c>
      <c r="G6479" s="51">
        <f>IFERROR(ROUNDUP(F6479*(E6479/21)/E6427,0),"-")</f>
        <v>0</v>
      </c>
    </row>
    <row r="6480" spans="1:7" x14ac:dyDescent="0.25">
      <c r="A6480" s="219" t="s">
        <v>99</v>
      </c>
      <c r="B6480" s="219"/>
      <c r="C6480" s="219"/>
      <c r="D6480" s="219"/>
      <c r="E6480" s="219"/>
      <c r="F6480" s="219"/>
      <c r="G6480" s="52">
        <f>SUM(G6475:G6479)</f>
        <v>327381</v>
      </c>
    </row>
    <row r="6481" spans="1:8" x14ac:dyDescent="0.25">
      <c r="A6481" s="56"/>
      <c r="B6481" s="57"/>
      <c r="C6481" s="57"/>
      <c r="D6481" s="57"/>
      <c r="E6481" s="57"/>
      <c r="F6481" s="57"/>
      <c r="G6481" s="58"/>
    </row>
    <row r="6482" spans="1:8" x14ac:dyDescent="0.25">
      <c r="A6482" s="219" t="s">
        <v>100</v>
      </c>
      <c r="B6482" s="219"/>
      <c r="C6482" s="219"/>
      <c r="D6482" s="219"/>
      <c r="E6482" s="219"/>
      <c r="F6482" s="219"/>
      <c r="G6482" s="52">
        <f>G6480+G6471+G6454+G6444+G6434</f>
        <v>9847150</v>
      </c>
    </row>
    <row r="6483" spans="1:8" x14ac:dyDescent="0.25">
      <c r="A6483" s="59"/>
      <c r="B6483" s="60"/>
      <c r="C6483" s="60"/>
      <c r="D6483" s="60"/>
      <c r="E6483" s="57"/>
      <c r="F6483" s="57"/>
      <c r="G6483" s="58"/>
    </row>
    <row r="6484" spans="1:8" x14ac:dyDescent="0.25">
      <c r="A6484" s="64"/>
      <c r="D6484" s="55"/>
      <c r="E6484" s="49" t="s">
        <v>25</v>
      </c>
      <c r="F6484" s="54">
        <v>0.15</v>
      </c>
      <c r="G6484" s="51">
        <f>G6482*F6484</f>
        <v>1477072.5</v>
      </c>
    </row>
    <row r="6485" spans="1:8" x14ac:dyDescent="0.25">
      <c r="A6485" s="64"/>
      <c r="D6485" s="55"/>
      <c r="E6485" s="49" t="s">
        <v>26</v>
      </c>
      <c r="F6485" s="54">
        <v>0.05</v>
      </c>
      <c r="G6485" s="51">
        <f>G6482*F6485</f>
        <v>492357.5</v>
      </c>
    </row>
    <row r="6486" spans="1:8" x14ac:dyDescent="0.25">
      <c r="A6486" s="61"/>
      <c r="B6486" s="65"/>
      <c r="C6486" s="65"/>
      <c r="D6486" s="62"/>
      <c r="E6486" s="49" t="s">
        <v>27</v>
      </c>
      <c r="F6486" s="54">
        <v>0.05</v>
      </c>
      <c r="G6486" s="51">
        <f>G6482*F6486</f>
        <v>492357.5</v>
      </c>
    </row>
    <row r="6487" spans="1:8" x14ac:dyDescent="0.25">
      <c r="A6487" s="61"/>
      <c r="B6487" s="62"/>
      <c r="C6487" s="62"/>
      <c r="D6487" s="62"/>
      <c r="E6487" s="62"/>
      <c r="F6487" s="62"/>
      <c r="G6487" s="63"/>
    </row>
    <row r="6488" spans="1:8" x14ac:dyDescent="0.25">
      <c r="A6488" s="219" t="s">
        <v>101</v>
      </c>
      <c r="B6488" s="219"/>
      <c r="C6488" s="219"/>
      <c r="D6488" s="219"/>
      <c r="E6488" s="219"/>
      <c r="F6488" s="219"/>
      <c r="G6488" s="52">
        <f>G6482+G6484+G6485+G6486</f>
        <v>12308937.5</v>
      </c>
    </row>
    <row r="6489" spans="1:8" x14ac:dyDescent="0.25">
      <c r="A6489" s="59"/>
      <c r="B6489" s="60"/>
      <c r="C6489" s="60"/>
      <c r="D6489" s="60"/>
      <c r="E6489" s="57"/>
      <c r="F6489" s="57"/>
      <c r="G6489" s="58"/>
    </row>
    <row r="6490" spans="1:8" x14ac:dyDescent="0.25">
      <c r="A6490" s="64"/>
      <c r="D6490" s="55"/>
      <c r="E6490" s="49" t="s">
        <v>102</v>
      </c>
      <c r="F6490" s="49" t="s">
        <v>103</v>
      </c>
      <c r="G6490" s="51">
        <f>G6486*19%</f>
        <v>93547.925000000003</v>
      </c>
    </row>
    <row r="6491" spans="1:8" x14ac:dyDescent="0.25">
      <c r="A6491" s="61"/>
      <c r="B6491" s="62"/>
      <c r="C6491" s="62"/>
      <c r="D6491" s="62"/>
      <c r="E6491" s="57"/>
      <c r="F6491" s="57"/>
      <c r="G6491" s="58"/>
    </row>
    <row r="6492" spans="1:8" x14ac:dyDescent="0.25">
      <c r="A6492" s="219" t="s">
        <v>104</v>
      </c>
      <c r="B6492" s="219"/>
      <c r="C6492" s="219"/>
      <c r="D6492" s="219"/>
      <c r="E6492" s="219"/>
      <c r="F6492" s="219"/>
      <c r="G6492" s="52">
        <f>G6490+G6488</f>
        <v>12402485.425000001</v>
      </c>
    </row>
    <row r="6494" spans="1:8" x14ac:dyDescent="0.25">
      <c r="A6494" s="74" t="s">
        <v>29</v>
      </c>
      <c r="B6494" s="226" t="s">
        <v>30</v>
      </c>
      <c r="C6494" s="226"/>
      <c r="D6494" s="74" t="s">
        <v>31</v>
      </c>
      <c r="E6494" s="74" t="s">
        <v>32</v>
      </c>
      <c r="F6494" s="74" t="s">
        <v>189</v>
      </c>
      <c r="G6494" s="74" t="s">
        <v>33</v>
      </c>
      <c r="H6494" s="105"/>
    </row>
    <row r="6495" spans="1:8" ht="26.25" customHeight="1" x14ac:dyDescent="0.25">
      <c r="A6495" s="50" t="str">
        <f>Presupuesto!B124</f>
        <v>104_OC</v>
      </c>
      <c r="B6495" s="229" t="str">
        <f>Presupuesto!C124</f>
        <v>CUBIERTA EN TEJA TERMOACUSTICA TIPO AJOVER O EQUIVALENTE. INCLUYE CERCHA O CORREAS METÁLICAS</v>
      </c>
      <c r="C6495" s="230"/>
      <c r="D6495" s="50" t="s">
        <v>113</v>
      </c>
      <c r="E6495" s="107">
        <v>30</v>
      </c>
      <c r="F6495" s="50"/>
      <c r="G6495" s="51">
        <f>G6561</f>
        <v>267816.3015</v>
      </c>
      <c r="H6495" s="45"/>
    </row>
    <row r="6496" spans="1:8" x14ac:dyDescent="0.25">
      <c r="A6496" s="219" t="s">
        <v>34</v>
      </c>
      <c r="B6496" s="219"/>
      <c r="C6496" s="219"/>
      <c r="D6496" s="219"/>
      <c r="E6496" s="219"/>
      <c r="F6496" s="219"/>
      <c r="G6496" s="219"/>
    </row>
    <row r="6497" spans="1:9" x14ac:dyDescent="0.25">
      <c r="A6497" s="49" t="s">
        <v>35</v>
      </c>
      <c r="B6497" s="219" t="s">
        <v>36</v>
      </c>
      <c r="C6497" s="219"/>
      <c r="D6497" s="49" t="s">
        <v>37</v>
      </c>
      <c r="E6497" s="49" t="s">
        <v>38</v>
      </c>
      <c r="F6497" s="49" t="s">
        <v>39</v>
      </c>
      <c r="G6497" s="49" t="s">
        <v>40</v>
      </c>
    </row>
    <row r="6498" spans="1:9" ht="25.5" customHeight="1" x14ac:dyDescent="0.25">
      <c r="A6498" s="50" t="str">
        <f>Material!A303</f>
        <v>MA-302</v>
      </c>
      <c r="B6498" s="221" t="str">
        <f>IFERROR(VLOOKUP(A6498,Material!$A:$H,2,0),"-")</f>
        <v>CUBIERTA EN TEJA TERMOACUSTICA TIPO AJOVER O EQUIVALENTE</v>
      </c>
      <c r="C6498" s="222"/>
      <c r="D6498" s="50" t="str">
        <f>IFERROR(VLOOKUP(A6498,Material!$A:$H,4,0),"-")</f>
        <v>M2</v>
      </c>
      <c r="E6498" s="53">
        <v>1</v>
      </c>
      <c r="F6498" s="51">
        <f>IFERROR(VLOOKUP(A6498,Material!$A:$H,3,0),"-")</f>
        <v>70631.600000000006</v>
      </c>
      <c r="G6498" s="51">
        <f>IFERROR(ROUNDUP(F6498*E6498,0),"-")</f>
        <v>70632</v>
      </c>
      <c r="H6498" s="106"/>
    </row>
    <row r="6499" spans="1:9" ht="14.25" customHeight="1" x14ac:dyDescent="0.25">
      <c r="A6499" s="50" t="str">
        <f>Material!A304</f>
        <v>MA-303</v>
      </c>
      <c r="B6499" s="221" t="str">
        <f>IFERROR(VLOOKUP(A6499,Material!$A:$H,2,0),"-")</f>
        <v>TORNILLO AUTOPERFORANTE CON ARANDELA NEOPRENO</v>
      </c>
      <c r="C6499" s="222"/>
      <c r="D6499" s="50" t="str">
        <f>IFERROR(VLOOKUP(A6499,Material!$A:$H,4,0),"-")</f>
        <v>UN</v>
      </c>
      <c r="E6499" s="23">
        <v>3</v>
      </c>
      <c r="F6499" s="51">
        <f>IFERROR(VLOOKUP(A6499,Material!$A:$H,3,0),"-")</f>
        <v>3900</v>
      </c>
      <c r="G6499" s="51">
        <f>IFERROR(ROUNDUP(F6499*E6499,0),"-")</f>
        <v>11700</v>
      </c>
      <c r="H6499" s="106"/>
    </row>
    <row r="6500" spans="1:9" x14ac:dyDescent="0.25">
      <c r="A6500" s="50" t="str">
        <f>Material!A305</f>
        <v>MA-304</v>
      </c>
      <c r="B6500" s="72" t="str">
        <f>IFERROR(VLOOKUP(A6500,Material!$A:$H,2,0),"-")</f>
        <v>SELLADOR POLIURETANO</v>
      </c>
      <c r="C6500" s="76"/>
      <c r="D6500" s="50" t="str">
        <f>IFERROR(VLOOKUP(A6500,Material!$A:$H,4,0),"-")</f>
        <v>KG</v>
      </c>
      <c r="E6500" s="107">
        <v>2.6315789473684209E-2</v>
      </c>
      <c r="F6500" s="51">
        <f>IFERROR(VLOOKUP(A6500,Material!$A:$H,3,0),"-")</f>
        <v>69213.3</v>
      </c>
      <c r="G6500" s="51">
        <f>IFERROR(ROUNDUP(F6500*E6500,0),"-")</f>
        <v>1822</v>
      </c>
      <c r="H6500" s="106"/>
    </row>
    <row r="6501" spans="1:9" x14ac:dyDescent="0.25">
      <c r="A6501" s="50" t="str">
        <f>Material!A306</f>
        <v>MA-305</v>
      </c>
      <c r="B6501" s="72" t="str">
        <f>IFERROR(VLOOKUP(A6501,Material!$A:$H,2,0),"-")</f>
        <v>CABALLETER TERMOACÚSTICO</v>
      </c>
      <c r="C6501" s="76"/>
      <c r="D6501" s="50" t="str">
        <f>IFERROR(VLOOKUP(A6501,Material!$A:$H,4,0),"-")</f>
        <v>M2</v>
      </c>
      <c r="E6501" s="107">
        <v>0.61403508771929827</v>
      </c>
      <c r="F6501" s="51">
        <f>IFERROR(VLOOKUP(A6501,Material!$A:$H,3,0),"-")</f>
        <v>99567.92857142858</v>
      </c>
      <c r="G6501" s="51">
        <f>IFERROR(ROUNDUP(F6501*E6501,0),"-")</f>
        <v>61139</v>
      </c>
      <c r="H6501" s="106"/>
    </row>
    <row r="6502" spans="1:9" x14ac:dyDescent="0.25">
      <c r="A6502" s="50" t="str">
        <f>Material!A315</f>
        <v>MA-314</v>
      </c>
      <c r="B6502" s="72" t="str">
        <f>IFERROR(VLOOKUP(A6502,Material!$A:$H,2,0),"-")</f>
        <v>CERCHA METÁLICA</v>
      </c>
      <c r="C6502" s="76"/>
      <c r="D6502" s="50" t="str">
        <f>IFERROR(VLOOKUP(A6502,Material!$A:$H,4,0),"-")</f>
        <v>ML</v>
      </c>
      <c r="E6502" s="107">
        <f>6*6/114.1</f>
        <v>0.315512708150745</v>
      </c>
      <c r="F6502" s="51">
        <f>IFERROR(VLOOKUP(A6502,Material!$A:$H,3,0),"-")</f>
        <v>172033.33333333334</v>
      </c>
      <c r="G6502" s="51">
        <f>IFERROR(ROUNDUP(F6502*E6502,0),"-")</f>
        <v>54279</v>
      </c>
      <c r="H6502" s="106"/>
    </row>
    <row r="6503" spans="1:9" x14ac:dyDescent="0.25">
      <c r="A6503" s="219" t="s">
        <v>41</v>
      </c>
      <c r="B6503" s="219"/>
      <c r="C6503" s="219"/>
      <c r="D6503" s="219"/>
      <c r="E6503" s="219"/>
      <c r="F6503" s="219"/>
      <c r="G6503" s="52">
        <f>SUM(G6498:G6502)</f>
        <v>199572</v>
      </c>
      <c r="I6503" s="104"/>
    </row>
    <row r="6504" spans="1:9" x14ac:dyDescent="0.25">
      <c r="A6504" s="56"/>
      <c r="B6504" s="57"/>
      <c r="C6504" s="57"/>
      <c r="D6504" s="57"/>
      <c r="E6504" s="57"/>
      <c r="F6504" s="57"/>
      <c r="G6504" s="58"/>
    </row>
    <row r="6505" spans="1:9" x14ac:dyDescent="0.25">
      <c r="A6505" s="219" t="s">
        <v>42</v>
      </c>
      <c r="B6505" s="219"/>
      <c r="C6505" s="219"/>
      <c r="D6505" s="219"/>
      <c r="E6505" s="219"/>
      <c r="F6505" s="219"/>
      <c r="G6505" s="219"/>
    </row>
    <row r="6506" spans="1:9" x14ac:dyDescent="0.25">
      <c r="A6506" s="49" t="s">
        <v>35</v>
      </c>
      <c r="B6506" s="49" t="s">
        <v>36</v>
      </c>
      <c r="C6506" s="49" t="s">
        <v>38</v>
      </c>
      <c r="D6506" s="49" t="s">
        <v>43</v>
      </c>
      <c r="E6506" s="49" t="s">
        <v>44</v>
      </c>
      <c r="F6506" s="49" t="s">
        <v>45</v>
      </c>
      <c r="G6506" s="49" t="s">
        <v>40</v>
      </c>
    </row>
    <row r="6507" spans="1:9" x14ac:dyDescent="0.25">
      <c r="A6507" s="50" t="s">
        <v>319</v>
      </c>
      <c r="B6507" s="68" t="str">
        <f>VLOOKUP(A6507,'Componentes APUs'!$H$1:$L$25,2,0)</f>
        <v>Ingeniero Residente de Obra</v>
      </c>
      <c r="C6507" s="93">
        <v>0</v>
      </c>
      <c r="D6507" s="50">
        <f>VLOOKUP(A6507,'Componentes APUs'!$H$1:$L$25,3,0)</f>
        <v>4</v>
      </c>
      <c r="E6507" s="51">
        <f>VLOOKUP(A6507,'Componentes APUs'!$H$1:$L$25,4,0)</f>
        <v>271142.85714285716</v>
      </c>
      <c r="F6507" s="51">
        <f>VLOOKUP(A6507,'Componentes APUs'!$H$1:$L$25,5,0)</f>
        <v>162685.71428571429</v>
      </c>
      <c r="G6507" s="51">
        <f>ROUNDUP((E6507+F6507)*C6507/E6495,0)</f>
        <v>0</v>
      </c>
      <c r="H6507" s="66"/>
    </row>
    <row r="6508" spans="1:9" x14ac:dyDescent="0.25">
      <c r="A6508" s="50" t="s">
        <v>320</v>
      </c>
      <c r="B6508" s="68" t="str">
        <f>VLOOKUP(A6508,'Componentes APUs'!$H$1:$L$25,2,0)</f>
        <v>Tecnico Supervisor</v>
      </c>
      <c r="C6508" s="93">
        <v>0</v>
      </c>
      <c r="D6508" s="50">
        <f>VLOOKUP(A6508,'Componentes APUs'!$H$1:$L$25,3,0)</f>
        <v>2.2999999999999998</v>
      </c>
      <c r="E6508" s="51">
        <f>VLOOKUP(A6508,'Componentes APUs'!$H$1:$L$25,4,0)</f>
        <v>155907.14285714284</v>
      </c>
      <c r="F6508" s="51">
        <f>VLOOKUP(A6508,'Componentes APUs'!$H$1:$L$25,5,0)</f>
        <v>93544.285714285696</v>
      </c>
      <c r="G6508" s="51">
        <f>ROUNDUP((E6508+F6508)*C6508/E6495,0)</f>
        <v>0</v>
      </c>
    </row>
    <row r="6509" spans="1:9" x14ac:dyDescent="0.25">
      <c r="A6509" s="50" t="s">
        <v>54</v>
      </c>
      <c r="B6509" s="68" t="str">
        <f>VLOOKUP(A6509,'Componentes APUs'!$H$1:$L$25,2,0)</f>
        <v>Maestro de obra civil</v>
      </c>
      <c r="C6509" s="93">
        <v>0</v>
      </c>
      <c r="D6509" s="50">
        <f>VLOOKUP(A6509,'Componentes APUs'!$H$1:$L$25,3,0)</f>
        <v>2.5</v>
      </c>
      <c r="E6509" s="51">
        <f>VLOOKUP(A6509,'Componentes APUs'!$H$1:$L$25,4,0)</f>
        <v>169464.28571428571</v>
      </c>
      <c r="F6509" s="51">
        <f>VLOOKUP(A6509,'Componentes APUs'!$H$1:$L$25,5,0)</f>
        <v>101678.57142857142</v>
      </c>
      <c r="G6509" s="51">
        <f>ROUNDUP((E6509+F6509)*C6509/E6495,0)</f>
        <v>0</v>
      </c>
    </row>
    <row r="6510" spans="1:9" x14ac:dyDescent="0.25">
      <c r="A6510" s="50" t="s">
        <v>1110</v>
      </c>
      <c r="B6510" s="68" t="str">
        <f>VLOOKUP(A6510,'Componentes APUs'!$H$1:$L$25,2,0)</f>
        <v>Oficial de Obra Civil</v>
      </c>
      <c r="C6510" s="93">
        <v>0</v>
      </c>
      <c r="D6510" s="50">
        <f>VLOOKUP(A6510,'Componentes APUs'!$H$1:$L$25,3,0)</f>
        <v>1.5</v>
      </c>
      <c r="E6510" s="51">
        <f>VLOOKUP(A6510,'Componentes APUs'!$H$1:$L$25,4,0)</f>
        <v>115964.28571428571</v>
      </c>
      <c r="F6510" s="51">
        <f>VLOOKUP(A6510,'Componentes APUs'!$H$1:$L$25,5,0)</f>
        <v>69578.57142857142</v>
      </c>
      <c r="G6510" s="51">
        <f>ROUNDUP((E6510+F6510)*C6510/E6495,0)</f>
        <v>0</v>
      </c>
    </row>
    <row r="6511" spans="1:9" x14ac:dyDescent="0.25">
      <c r="A6511" s="50" t="s">
        <v>50</v>
      </c>
      <c r="B6511" s="68" t="str">
        <f>VLOOKUP(A6511,'Componentes APUs'!$H$1:$L$25,2,0)</f>
        <v>Profesional en SST</v>
      </c>
      <c r="C6511" s="93">
        <v>0</v>
      </c>
      <c r="D6511" s="50">
        <f>VLOOKUP(A6511,'Componentes APUs'!$H$1:$L$25,3,0)</f>
        <v>2.5</v>
      </c>
      <c r="E6511" s="51">
        <f>VLOOKUP(A6511,'Componentes APUs'!$H$1:$L$25,4,0)</f>
        <v>169464.28571428571</v>
      </c>
      <c r="F6511" s="51">
        <f>VLOOKUP(A6511,'Componentes APUs'!$H$1:$L$25,5,0)</f>
        <v>101678.57142857142</v>
      </c>
      <c r="G6511" s="51">
        <f>ROUNDUP((E6511+F6511)*C6511/E6495,0)</f>
        <v>0</v>
      </c>
    </row>
    <row r="6512" spans="1:9" x14ac:dyDescent="0.25">
      <c r="A6512" s="50" t="s">
        <v>1109</v>
      </c>
      <c r="B6512" s="68" t="str">
        <f>VLOOKUP(A6512,'Componentes APUs'!$H$1:$L$25,2,0)</f>
        <v>Ayudante de Obra Civil</v>
      </c>
      <c r="C6512" s="93">
        <v>1</v>
      </c>
      <c r="D6512" s="50">
        <f>VLOOKUP(A6512,'Componentes APUs'!$H$1:$L$25,3,0)</f>
        <v>1</v>
      </c>
      <c r="E6512" s="51">
        <f>VLOOKUP(A6512,'Componentes APUs'!$H$1:$L$25,4,0)</f>
        <v>77309.523809523816</v>
      </c>
      <c r="F6512" s="51">
        <f>VLOOKUP(A6512,'Componentes APUs'!$H$1:$L$25,5,0)</f>
        <v>46385.71428571429</v>
      </c>
      <c r="G6512" s="51">
        <f>ROUNDUP((E6512+F6512)*C6512/E6495,0)</f>
        <v>4124</v>
      </c>
    </row>
    <row r="6513" spans="1:9" x14ac:dyDescent="0.25">
      <c r="A6513" s="219" t="s">
        <v>56</v>
      </c>
      <c r="B6513" s="219"/>
      <c r="C6513" s="219"/>
      <c r="D6513" s="219"/>
      <c r="E6513" s="219"/>
      <c r="F6513" s="219"/>
      <c r="G6513" s="52">
        <f>SUM(G6507:G6512)</f>
        <v>4124</v>
      </c>
    </row>
    <row r="6514" spans="1:9" x14ac:dyDescent="0.25">
      <c r="A6514" s="56"/>
      <c r="B6514" s="57"/>
      <c r="C6514" s="57"/>
      <c r="D6514" s="57"/>
      <c r="E6514" s="57"/>
      <c r="F6514" s="57"/>
      <c r="G6514" s="58"/>
    </row>
    <row r="6515" spans="1:9" x14ac:dyDescent="0.25">
      <c r="A6515" s="219" t="s">
        <v>57</v>
      </c>
      <c r="B6515" s="219"/>
      <c r="C6515" s="219"/>
      <c r="D6515" s="219"/>
      <c r="E6515" s="219"/>
      <c r="F6515" s="219"/>
      <c r="G6515" s="219"/>
    </row>
    <row r="6516" spans="1:9" x14ac:dyDescent="0.25">
      <c r="A6516" s="49" t="s">
        <v>35</v>
      </c>
      <c r="B6516" s="219" t="s">
        <v>36</v>
      </c>
      <c r="C6516" s="219"/>
      <c r="D6516" s="49" t="s">
        <v>37</v>
      </c>
      <c r="E6516" s="49" t="s">
        <v>38</v>
      </c>
      <c r="F6516" s="49" t="s">
        <v>39</v>
      </c>
      <c r="G6516" s="49" t="s">
        <v>40</v>
      </c>
    </row>
    <row r="6517" spans="1:9" x14ac:dyDescent="0.25">
      <c r="A6517" s="50" t="s">
        <v>326</v>
      </c>
      <c r="B6517" s="220" t="str">
        <f>VLOOKUP(A6517,'Componentes APUs'!$S$1:$V$10,2,0)</f>
        <v>Juego Llaves</v>
      </c>
      <c r="C6517" s="220"/>
      <c r="D6517" s="50" t="s">
        <v>18</v>
      </c>
      <c r="E6517" s="50">
        <v>0</v>
      </c>
      <c r="F6517" s="51">
        <f>VLOOKUP(A6517,'Componentes APUs'!$S$1:$V$10,4,0)</f>
        <v>9167</v>
      </c>
      <c r="G6517" s="51">
        <f>ROUNDUP(F6517*((E6517/21)/E6495),0)</f>
        <v>0</v>
      </c>
      <c r="I6517" s="91"/>
    </row>
    <row r="6518" spans="1:9" x14ac:dyDescent="0.25">
      <c r="A6518" s="50" t="s">
        <v>58</v>
      </c>
      <c r="B6518" s="220" t="str">
        <f>VLOOKUP(A6518,'Componentes APUs'!$S$1:$V$10,2,0)</f>
        <v>Manila de servicio</v>
      </c>
      <c r="C6518" s="220"/>
      <c r="D6518" s="50" t="s">
        <v>18</v>
      </c>
      <c r="E6518" s="50">
        <v>0</v>
      </c>
      <c r="F6518" s="51">
        <f>VLOOKUP(A6518,'Componentes APUs'!$S$1:$V$10,4,0)</f>
        <v>2333</v>
      </c>
      <c r="G6518" s="51">
        <f>ROUNDUP(F6518*((E6518/21)/E6495),0)</f>
        <v>0</v>
      </c>
    </row>
    <row r="6519" spans="1:9" x14ac:dyDescent="0.25">
      <c r="A6519" s="50" t="s">
        <v>327</v>
      </c>
      <c r="B6519" s="220" t="str">
        <f>VLOOKUP(A6519,'Componentes APUs'!$S$1:$V$10,2,0)</f>
        <v>Tula portaherramientas</v>
      </c>
      <c r="C6519" s="220"/>
      <c r="D6519" s="50" t="s">
        <v>18</v>
      </c>
      <c r="E6519" s="50">
        <v>0</v>
      </c>
      <c r="F6519" s="51">
        <f>VLOOKUP(A6519,'Componentes APUs'!$S$1:$V$10,4,0)</f>
        <v>1250</v>
      </c>
      <c r="G6519" s="51">
        <f>ROUNDUP(F6519*((E6519/21)/E6495),0)</f>
        <v>0</v>
      </c>
    </row>
    <row r="6520" spans="1:9" x14ac:dyDescent="0.25">
      <c r="A6520" s="50" t="s">
        <v>60</v>
      </c>
      <c r="B6520" s="220" t="str">
        <f>VLOOKUP(A6520,'Componentes APUs'!$S$1:$V$10,2,0)</f>
        <v>Agarradoras</v>
      </c>
      <c r="C6520" s="220"/>
      <c r="D6520" s="50" t="s">
        <v>18</v>
      </c>
      <c r="E6520" s="50">
        <v>0</v>
      </c>
      <c r="F6520" s="51">
        <f>VLOOKUP(A6520,'Componentes APUs'!$S$1:$V$10,4,0)</f>
        <v>125000</v>
      </c>
      <c r="G6520" s="51">
        <f>ROUNDUP(F6520*((E6520/21)/E6495),0)</f>
        <v>0</v>
      </c>
    </row>
    <row r="6521" spans="1:9" x14ac:dyDescent="0.25">
      <c r="A6521" s="50" t="s">
        <v>62</v>
      </c>
      <c r="B6521" s="220" t="str">
        <f>VLOOKUP(A6521,'Componentes APUs'!$S$1:$V$10,2,0)</f>
        <v>Templadoras</v>
      </c>
      <c r="C6521" s="220"/>
      <c r="D6521" s="50" t="s">
        <v>18</v>
      </c>
      <c r="E6521" s="50">
        <v>0</v>
      </c>
      <c r="F6521" s="51">
        <f>VLOOKUP(A6521,'Componentes APUs'!$S$1:$V$10,4,0)</f>
        <v>250000</v>
      </c>
      <c r="G6521" s="51">
        <f>ROUNDUP(F6521*((E6521/21)/E6495),0)</f>
        <v>0</v>
      </c>
    </row>
    <row r="6522" spans="1:9" x14ac:dyDescent="0.25">
      <c r="A6522" s="50" t="s">
        <v>328</v>
      </c>
      <c r="B6522" s="220" t="str">
        <f>VLOOKUP(A6522,'Componentes APUs'!$S$1:$V$10,2,0)</f>
        <v>Herramienta Menor</v>
      </c>
      <c r="C6522" s="220"/>
      <c r="D6522" s="50" t="s">
        <v>18</v>
      </c>
      <c r="E6522" s="50">
        <v>1</v>
      </c>
      <c r="F6522" s="51">
        <f>VLOOKUP(A6522,'Componentes APUs'!$S$1:$V$10,4,0)</f>
        <v>75758</v>
      </c>
      <c r="G6522" s="51">
        <f>ROUNDUP(F6522*((E6522/21)/E6495),0)</f>
        <v>121</v>
      </c>
    </row>
    <row r="6523" spans="1:9" x14ac:dyDescent="0.25">
      <c r="A6523" s="219" t="s">
        <v>69</v>
      </c>
      <c r="B6523" s="219"/>
      <c r="C6523" s="219"/>
      <c r="D6523" s="219"/>
      <c r="E6523" s="219"/>
      <c r="F6523" s="219"/>
      <c r="G6523" s="52">
        <f>SUM(G6517:G6522)</f>
        <v>121</v>
      </c>
    </row>
    <row r="6524" spans="1:9" x14ac:dyDescent="0.25">
      <c r="A6524" s="56"/>
      <c r="B6524" s="57"/>
      <c r="C6524" s="57"/>
      <c r="D6524" s="57"/>
      <c r="E6524" s="57"/>
      <c r="F6524" s="57"/>
      <c r="G6524" s="58"/>
    </row>
    <row r="6525" spans="1:9" x14ac:dyDescent="0.25">
      <c r="A6525" s="219" t="s">
        <v>70</v>
      </c>
      <c r="B6525" s="219"/>
      <c r="C6525" s="219"/>
      <c r="D6525" s="219"/>
      <c r="E6525" s="219"/>
      <c r="F6525" s="219"/>
      <c r="G6525" s="219"/>
    </row>
    <row r="6526" spans="1:9" x14ac:dyDescent="0.25">
      <c r="A6526" s="49" t="s">
        <v>35</v>
      </c>
      <c r="B6526" s="219" t="s">
        <v>36</v>
      </c>
      <c r="C6526" s="219"/>
      <c r="D6526" s="49" t="s">
        <v>37</v>
      </c>
      <c r="E6526" s="49" t="s">
        <v>38</v>
      </c>
      <c r="F6526" s="49" t="s">
        <v>39</v>
      </c>
      <c r="G6526" s="49" t="s">
        <v>40</v>
      </c>
    </row>
    <row r="6527" spans="1:9" x14ac:dyDescent="0.25">
      <c r="A6527" s="50" t="s">
        <v>71</v>
      </c>
      <c r="B6527" s="71" t="str">
        <f>VLOOKUP(A6527,'Componentes APUs'!$A$1:$D$14,2,0)</f>
        <v>Camisa indigo sin partes metalicas</v>
      </c>
      <c r="C6527" s="71"/>
      <c r="D6527" s="50" t="str">
        <f>VLOOKUP(A6527,'Componentes APUs'!$A$1:$D$14,3,0)</f>
        <v>U</v>
      </c>
      <c r="E6527" s="50">
        <f>SUM(C6507:C6512)</f>
        <v>1</v>
      </c>
      <c r="F6527" s="51">
        <f>VLOOKUP(A6527,'Componentes APUs'!$A$1:$D$14,4,0)</f>
        <v>8585.8585858585866</v>
      </c>
      <c r="G6527" s="51">
        <f>ROUNDUP(F6527*(E6527/21)/E6495,0)</f>
        <v>14</v>
      </c>
      <c r="I6527" s="91"/>
    </row>
    <row r="6528" spans="1:9" x14ac:dyDescent="0.25">
      <c r="A6528" s="69" t="s">
        <v>73</v>
      </c>
      <c r="B6528" s="72" t="str">
        <f>VLOOKUP(A6528,'Componentes APUs'!$A$1:$D$14,2,0)</f>
        <v>Bota de seguridad dielectrica</v>
      </c>
      <c r="C6528" s="73"/>
      <c r="D6528" s="70" t="str">
        <f>VLOOKUP(A6528,'Componentes APUs'!$A$1:$D$14,3,0)</f>
        <v>Par</v>
      </c>
      <c r="E6528" s="50">
        <f>SUM(C6507:C6512)</f>
        <v>1</v>
      </c>
      <c r="F6528" s="51">
        <f>VLOOKUP(A6528,'Componentes APUs'!$A$1:$D$14,4,0)</f>
        <v>7500</v>
      </c>
      <c r="G6528" s="51">
        <f>ROUNDUP(F6528*(E6528/21)/E6495,0)</f>
        <v>12</v>
      </c>
    </row>
    <row r="6529" spans="1:7" x14ac:dyDescent="0.25">
      <c r="A6529" s="50" t="s">
        <v>76</v>
      </c>
      <c r="B6529" s="72" t="str">
        <f>VLOOKUP(A6529,'Componentes APUs'!$A$1:$D$14,2,0)</f>
        <v>Casco dielectrico Tipo 1 Clase E con barbuquejo</v>
      </c>
      <c r="C6529" s="73"/>
      <c r="D6529" s="50" t="str">
        <f>VLOOKUP(A6529,'Componentes APUs'!$A$1:$D$14,3,0)</f>
        <v>U</v>
      </c>
      <c r="E6529" s="50">
        <f>C6507+C6508+C6510+C6511+C6512+IF(A6509&lt;&gt;"MO-3",C6509,0)</f>
        <v>1</v>
      </c>
      <c r="F6529" s="51">
        <f>VLOOKUP(A6529,'Componentes APUs'!$A$1:$D$14,4,0)</f>
        <v>10101.010101010101</v>
      </c>
      <c r="G6529" s="51">
        <f>ROUNDUP(F6529*(E6529/21)/E6495,0)</f>
        <v>17</v>
      </c>
    </row>
    <row r="6530" spans="1:7" x14ac:dyDescent="0.25">
      <c r="A6530" s="69" t="s">
        <v>77</v>
      </c>
      <c r="B6530" s="72" t="str">
        <f>VLOOKUP(A6530,'Componentes APUs'!$A$1:$D$14,2,0)</f>
        <v>Correa plastica y antiflama</v>
      </c>
      <c r="C6530" s="73"/>
      <c r="D6530" s="50" t="str">
        <f>VLOOKUP(A6530,'Componentes APUs'!$A$1:$D$14,3,0)</f>
        <v>U</v>
      </c>
      <c r="E6530" s="50">
        <f>SUM(C6507:C6512)</f>
        <v>1</v>
      </c>
      <c r="F6530" s="51">
        <f>VLOOKUP(A6530,'Componentes APUs'!$A$1:$D$14,4,0)</f>
        <v>3787.878787878788</v>
      </c>
      <c r="G6530" s="51">
        <f>ROUNDUP(F6530*(E6530/21)/E6495,0)</f>
        <v>7</v>
      </c>
    </row>
    <row r="6531" spans="1:7" x14ac:dyDescent="0.25">
      <c r="A6531" s="50" t="s">
        <v>79</v>
      </c>
      <c r="B6531" s="72" t="str">
        <f>VLOOKUP(A6531,'Componentes APUs'!$A$1:$D$14,2,0)</f>
        <v>Gafas protectoras filtro UV</v>
      </c>
      <c r="C6531" s="73"/>
      <c r="D6531" s="50" t="str">
        <f>VLOOKUP(A6531,'Componentes APUs'!$A$1:$D$14,3,0)</f>
        <v>U</v>
      </c>
      <c r="E6531" s="50">
        <f>SUM(C6507:C6512)</f>
        <v>1</v>
      </c>
      <c r="F6531" s="51">
        <f>VLOOKUP(A6531,'Componentes APUs'!$A$1:$D$14,4,0)</f>
        <v>2777.7777777777778</v>
      </c>
      <c r="G6531" s="51">
        <f>ROUNDUP(F6531*(E6531/21)/E6495,0)</f>
        <v>5</v>
      </c>
    </row>
    <row r="6532" spans="1:7" x14ac:dyDescent="0.25">
      <c r="A6532" s="69" t="s">
        <v>402</v>
      </c>
      <c r="B6532" s="72" t="str">
        <f>VLOOKUP(A6532,'Componentes APUs'!$A$1:$D$14,2,0)</f>
        <v>Bota de seguridad PVC dielectrica</v>
      </c>
      <c r="C6532" s="73"/>
      <c r="D6532" s="50" t="str">
        <f>VLOOKUP(A6532,'Componentes APUs'!$A$1:$D$14,3,0)</f>
        <v>Par</v>
      </c>
      <c r="E6532" s="50">
        <f>SUM(C6507:C6512)</f>
        <v>1</v>
      </c>
      <c r="F6532" s="51">
        <f>VLOOKUP(A6532,'Componentes APUs'!$A$1:$D$14,4,0)</f>
        <v>2916.6666666666665</v>
      </c>
      <c r="G6532" s="51">
        <f>ROUNDUP(F6532*(E6532/21)/E6495,0)</f>
        <v>5</v>
      </c>
    </row>
    <row r="6533" spans="1:7" x14ac:dyDescent="0.25">
      <c r="A6533" s="50" t="s">
        <v>403</v>
      </c>
      <c r="B6533" s="72" t="str">
        <f>VLOOKUP(A6533,'Componentes APUs'!$A$1:$D$14,2,0)</f>
        <v>Capuchon</v>
      </c>
      <c r="C6533" s="73"/>
      <c r="D6533" s="50" t="str">
        <f>VLOOKUP(A6533,'Componentes APUs'!$A$1:$D$14,3,0)</f>
        <v>U</v>
      </c>
      <c r="E6533" s="50">
        <f>SUM(C6507:C6512)</f>
        <v>1</v>
      </c>
      <c r="F6533" s="51">
        <f>VLOOKUP(A6533,'Componentes APUs'!$A$1:$D$14,4,0)</f>
        <v>2525.2525252525252</v>
      </c>
      <c r="G6533" s="51">
        <f>ROUNDUP(F6533*(E6533/21)/E6495,0)</f>
        <v>5</v>
      </c>
    </row>
    <row r="6534" spans="1:7" x14ac:dyDescent="0.25">
      <c r="A6534" s="69" t="s">
        <v>81</v>
      </c>
      <c r="B6534" s="72" t="str">
        <f>VLOOKUP(A6534,'Componentes APUs'!$A$1:$D$14,2,0)</f>
        <v>Guantes Protectores  - ingeniero reforzados</v>
      </c>
      <c r="C6534" s="73"/>
      <c r="D6534" s="50" t="str">
        <f>VLOOKUP(A6534,'Componentes APUs'!$A$1:$D$14,3,0)</f>
        <v>Par</v>
      </c>
      <c r="E6534" s="50">
        <f>C6509+C6510+C6512</f>
        <v>1</v>
      </c>
      <c r="F6534" s="51">
        <f>VLOOKUP(A6534,'Componentes APUs'!$A$1:$D$14,4,0)</f>
        <v>2525.2525252525252</v>
      </c>
      <c r="G6534" s="51">
        <f>ROUNDUP(F6534*(E6534/21)/E6495,0)</f>
        <v>5</v>
      </c>
    </row>
    <row r="6535" spans="1:7" x14ac:dyDescent="0.25">
      <c r="A6535" s="50" t="s">
        <v>83</v>
      </c>
      <c r="B6535" s="72" t="str">
        <f>VLOOKUP(A6535,'Componentes APUs'!$A$1:$D$14,2,0)</f>
        <v>Impermeable (pantalon camisa)</v>
      </c>
      <c r="C6535" s="73"/>
      <c r="D6535" s="50" t="str">
        <f>VLOOKUP(A6535,'Componentes APUs'!$A$1:$D$14,3,0)</f>
        <v>U</v>
      </c>
      <c r="E6535" s="50">
        <f>SUM(C6507:C6512)</f>
        <v>1</v>
      </c>
      <c r="F6535" s="51">
        <f>VLOOKUP(A6535,'Componentes APUs'!$A$1:$D$14,4,0)</f>
        <v>3750</v>
      </c>
      <c r="G6535" s="51">
        <f>ROUNDUP(F6535*(E6535/21)/E6495,0)</f>
        <v>6</v>
      </c>
    </row>
    <row r="6536" spans="1:7" x14ac:dyDescent="0.25">
      <c r="A6536" s="69" t="s">
        <v>85</v>
      </c>
      <c r="B6536" s="72" t="str">
        <f>VLOOKUP(A6536,'Componentes APUs'!$A$1:$D$14,2,0)</f>
        <v>Jean Dielectrico</v>
      </c>
      <c r="C6536" s="73"/>
      <c r="D6536" s="50" t="str">
        <f>VLOOKUP(A6536,'Componentes APUs'!$A$1:$D$14,3,0)</f>
        <v>U</v>
      </c>
      <c r="E6536" s="50">
        <f>SUM(C6507:C6512)</f>
        <v>1</v>
      </c>
      <c r="F6536" s="51">
        <f>VLOOKUP(A6536,'Componentes APUs'!$A$1:$D$14,4,0)</f>
        <v>7575.757575757576</v>
      </c>
      <c r="G6536" s="51">
        <f>ROUNDUP(F6536*(E6536/21)/E6495,0)</f>
        <v>13</v>
      </c>
    </row>
    <row r="6537" spans="1:7" x14ac:dyDescent="0.25">
      <c r="A6537" s="50" t="s">
        <v>87</v>
      </c>
      <c r="B6537" s="72" t="str">
        <f>VLOOKUP(A6537,'Componentes APUs'!$A$1:$D$14,2,0)</f>
        <v>Casco dielectrico Tipo 2 Clase E con barboquejo</v>
      </c>
      <c r="C6537" s="73"/>
      <c r="D6537" s="50" t="str">
        <f>VLOOKUP(A6537,'Componentes APUs'!$A$1:$D$14,3,0)</f>
        <v>U</v>
      </c>
      <c r="E6537" s="53">
        <f>IF(A6509="MO-3",C6509,0)</f>
        <v>0</v>
      </c>
      <c r="F6537" s="51">
        <f>VLOOKUP(A6537,'Componentes APUs'!$A$1:$D$14,4,0)</f>
        <v>7500</v>
      </c>
      <c r="G6537" s="51">
        <f>ROUNDUP(F6537*(E6537/21)/E6495,0)</f>
        <v>0</v>
      </c>
    </row>
    <row r="6538" spans="1:7" x14ac:dyDescent="0.25">
      <c r="A6538" s="69" t="s">
        <v>89</v>
      </c>
      <c r="B6538" s="72" t="str">
        <f>VLOOKUP(A6538,'Componentes APUs'!$A$1:$D$14,2,0)</f>
        <v>Kit de rescate para trabajo en alturas</v>
      </c>
      <c r="C6538" s="73"/>
      <c r="D6538" s="50" t="str">
        <f>VLOOKUP(A6538,'Componentes APUs'!$A$1:$D$14,3,0)</f>
        <v>U</v>
      </c>
      <c r="E6538" s="50">
        <f>IF(AND(A6509="MO-3",C6509=2),1,0)</f>
        <v>0</v>
      </c>
      <c r="F6538" s="51">
        <f>VLOOKUP(A6538,'Componentes APUs'!$A$1:$D$14,4,0)</f>
        <v>37500</v>
      </c>
      <c r="G6538" s="51">
        <f>ROUNDUP(F6538*(E6538/21)/E6495,0)</f>
        <v>0</v>
      </c>
    </row>
    <row r="6539" spans="1:7" x14ac:dyDescent="0.25">
      <c r="A6539" s="50" t="s">
        <v>91</v>
      </c>
      <c r="B6539" s="72" t="str">
        <f>VLOOKUP(A6539,'Componentes APUs'!$A$1:$D$14,2,0)</f>
        <v>Equipo completo para trabajo en alturas con pretales (Arnes dielectrico, 1 mosqueton de seguridad, tie off dielectrico, eslinga de posicionamiento, juego de pretales)</v>
      </c>
      <c r="C6539" s="73"/>
      <c r="D6539" s="50" t="str">
        <f>VLOOKUP(A6539,'Componentes APUs'!$A$1:$D$14,3,0)</f>
        <v>U</v>
      </c>
      <c r="E6539" s="50">
        <f>IF(A6509="MO-3",C6509,0)</f>
        <v>0</v>
      </c>
      <c r="F6539" s="51">
        <f>VLOOKUP(A6539,'Componentes APUs'!$A$1:$D$14,4,0)</f>
        <v>26041.666666666668</v>
      </c>
      <c r="G6539" s="51">
        <f>ROUNDUP(F6539*(E6539/21)/E6495,0)</f>
        <v>0</v>
      </c>
    </row>
    <row r="6540" spans="1:7" x14ac:dyDescent="0.25">
      <c r="A6540" s="219" t="s">
        <v>95</v>
      </c>
      <c r="B6540" s="219"/>
      <c r="C6540" s="219"/>
      <c r="D6540" s="219"/>
      <c r="E6540" s="219"/>
      <c r="F6540" s="219"/>
      <c r="G6540" s="52">
        <f>SUM(G6527:G6539)</f>
        <v>89</v>
      </c>
    </row>
    <row r="6541" spans="1:7" x14ac:dyDescent="0.25">
      <c r="A6541" s="56"/>
      <c r="B6541" s="57"/>
      <c r="C6541" s="57"/>
      <c r="D6541" s="57"/>
      <c r="E6541" s="57"/>
      <c r="F6541" s="57"/>
      <c r="G6541" s="58"/>
    </row>
    <row r="6542" spans="1:7" x14ac:dyDescent="0.25">
      <c r="A6542" s="219" t="s">
        <v>96</v>
      </c>
      <c r="B6542" s="219"/>
      <c r="C6542" s="219"/>
      <c r="D6542" s="219"/>
      <c r="E6542" s="219"/>
      <c r="F6542" s="219"/>
      <c r="G6542" s="219"/>
    </row>
    <row r="6543" spans="1:7" x14ac:dyDescent="0.25">
      <c r="A6543" s="49" t="s">
        <v>35</v>
      </c>
      <c r="B6543" s="225" t="s">
        <v>36</v>
      </c>
      <c r="C6543" s="225"/>
      <c r="D6543" s="49" t="s">
        <v>37</v>
      </c>
      <c r="E6543" s="49" t="s">
        <v>38</v>
      </c>
      <c r="F6543" s="49" t="s">
        <v>39</v>
      </c>
      <c r="G6543" s="49" t="s">
        <v>40</v>
      </c>
    </row>
    <row r="6544" spans="1:7" x14ac:dyDescent="0.25">
      <c r="A6544" s="69" t="s">
        <v>97</v>
      </c>
      <c r="B6544" s="72" t="str">
        <f>VLOOKUP(A6544,'Componentes APUs'!$N$1:$Q$30,2,0)</f>
        <v>Camioneta</v>
      </c>
      <c r="C6544" s="73"/>
      <c r="D6544" s="70" t="str">
        <f>VLOOKUP(A6544,'Componentes APUs'!$N$1:$Q$30,3,0)</f>
        <v>U</v>
      </c>
      <c r="E6544" s="50">
        <v>1</v>
      </c>
      <c r="F6544" s="51">
        <f>VLOOKUP(A6544,'Componentes APUs'!$N$1:$Q$30,4,0)</f>
        <v>5500000</v>
      </c>
      <c r="G6544" s="51">
        <f>IFERROR(ROUNDUP(F6544*(E6544/21)/E6495,0),"-")</f>
        <v>8731</v>
      </c>
    </row>
    <row r="6545" spans="1:7" x14ac:dyDescent="0.25">
      <c r="A6545" s="50" t="s">
        <v>321</v>
      </c>
      <c r="B6545" s="72" t="str">
        <f>VLOOKUP(A6545,'Componentes APUs'!$N$1:$Q$30,2,0)</f>
        <v>Grúa Hidráulica</v>
      </c>
      <c r="C6545" s="73"/>
      <c r="D6545" s="70" t="str">
        <f>VLOOKUP(A6545,'Componentes APUs'!$N$1:$Q$30,3,0)</f>
        <v>U</v>
      </c>
      <c r="E6545" s="50">
        <v>0</v>
      </c>
      <c r="F6545" s="51">
        <f>VLOOKUP(A6545,'Componentes APUs'!$N$1:$Q$30,4,0)</f>
        <v>21000000</v>
      </c>
      <c r="G6545" s="51">
        <f>IFERROR(ROUNDUP(F6545*(E6545/21)/E6495,0),"-")</f>
        <v>0</v>
      </c>
    </row>
    <row r="6546" spans="1:7" x14ac:dyDescent="0.25">
      <c r="A6546" s="69" t="s">
        <v>1379</v>
      </c>
      <c r="B6546" s="72" t="str">
        <f>VLOOKUP(A6546,'Componentes APUs'!$N$1:$Q$30,2,0)</f>
        <v>Dumper de descarga Frontal 2T</v>
      </c>
      <c r="C6546" s="73"/>
      <c r="D6546" s="70" t="str">
        <f>VLOOKUP(A6546,'Componentes APUs'!$N$1:$Q$30,3,0)</f>
        <v>U</v>
      </c>
      <c r="E6546" s="50">
        <v>0</v>
      </c>
      <c r="F6546" s="51">
        <f>VLOOKUP(A6546,'Componentes APUs'!$N$1:$Q$30,4,0)</f>
        <v>4438716.24</v>
      </c>
      <c r="G6546" s="51">
        <f>IFERROR(ROUNDUP(F6546*(E6546/21)/E6495,0),"-")</f>
        <v>0</v>
      </c>
    </row>
    <row r="6547" spans="1:7" x14ac:dyDescent="0.25">
      <c r="A6547" s="50" t="s">
        <v>323</v>
      </c>
      <c r="B6547" s="72" t="str">
        <f>VLOOKUP(A6547,'Componentes APUs'!$N$1:$Q$30,2,0)</f>
        <v>Volqueta</v>
      </c>
      <c r="C6547" s="73"/>
      <c r="D6547" s="70" t="str">
        <f>VLOOKUP(A6547,'Componentes APUs'!$N$1:$Q$30,3,0)</f>
        <v>U</v>
      </c>
      <c r="E6547" s="50">
        <v>0</v>
      </c>
      <c r="F6547" s="51">
        <f>VLOOKUP(A6547,'Componentes APUs'!$N$1:$Q$30,4,0)</f>
        <v>14828184</v>
      </c>
      <c r="G6547" s="51">
        <f>IFERROR(ROUNDUP(F6547*(E6547/21)/E6495,0),"-")</f>
        <v>0</v>
      </c>
    </row>
    <row r="6548" spans="1:7" x14ac:dyDescent="0.25">
      <c r="A6548" s="69" t="s">
        <v>324</v>
      </c>
      <c r="B6548" s="72" t="str">
        <f>VLOOKUP(A6548,'Componentes APUs'!$N$1:$Q$30,2,0)</f>
        <v>Retroexcavadora</v>
      </c>
      <c r="C6548" s="73"/>
      <c r="D6548" s="70" t="str">
        <f>VLOOKUP(A6548,'Componentes APUs'!$N$1:$Q$30,3,0)</f>
        <v>U</v>
      </c>
      <c r="E6548" s="50">
        <v>0</v>
      </c>
      <c r="F6548" s="51">
        <f>VLOOKUP(A6548,'Componentes APUs'!$N$1:$Q$30,4,0)</f>
        <v>46030656</v>
      </c>
      <c r="G6548" s="51">
        <f>IFERROR(ROUNDUP(F6548*(E6548/21)/E6495,0),"-")</f>
        <v>0</v>
      </c>
    </row>
    <row r="6549" spans="1:7" x14ac:dyDescent="0.25">
      <c r="A6549" s="219" t="s">
        <v>99</v>
      </c>
      <c r="B6549" s="219"/>
      <c r="C6549" s="219"/>
      <c r="D6549" s="219"/>
      <c r="E6549" s="219"/>
      <c r="F6549" s="219"/>
      <c r="G6549" s="52">
        <f>SUM(G6544:G6548)</f>
        <v>8731</v>
      </c>
    </row>
    <row r="6550" spans="1:7" x14ac:dyDescent="0.25">
      <c r="A6550" s="56"/>
      <c r="B6550" s="57"/>
      <c r="C6550" s="57"/>
      <c r="D6550" s="57"/>
      <c r="E6550" s="57"/>
      <c r="F6550" s="57"/>
      <c r="G6550" s="58"/>
    </row>
    <row r="6551" spans="1:7" x14ac:dyDescent="0.25">
      <c r="A6551" s="219" t="s">
        <v>100</v>
      </c>
      <c r="B6551" s="219"/>
      <c r="C6551" s="219"/>
      <c r="D6551" s="219"/>
      <c r="E6551" s="219"/>
      <c r="F6551" s="219"/>
      <c r="G6551" s="52">
        <f>G6549+G6540+G6523+G6513+G6503</f>
        <v>212637</v>
      </c>
    </row>
    <row r="6552" spans="1:7" x14ac:dyDescent="0.25">
      <c r="A6552" s="59"/>
      <c r="B6552" s="60"/>
      <c r="C6552" s="60"/>
      <c r="D6552" s="60"/>
      <c r="E6552" s="57"/>
      <c r="F6552" s="57"/>
      <c r="G6552" s="58"/>
    </row>
    <row r="6553" spans="1:7" x14ac:dyDescent="0.25">
      <c r="A6553" s="64"/>
      <c r="D6553" s="55"/>
      <c r="E6553" s="49" t="s">
        <v>25</v>
      </c>
      <c r="F6553" s="54">
        <v>0.15</v>
      </c>
      <c r="G6553" s="51">
        <f>G6551*F6553</f>
        <v>31895.55</v>
      </c>
    </row>
    <row r="6554" spans="1:7" x14ac:dyDescent="0.25">
      <c r="A6554" s="64"/>
      <c r="D6554" s="55"/>
      <c r="E6554" s="49" t="s">
        <v>26</v>
      </c>
      <c r="F6554" s="54">
        <v>0.05</v>
      </c>
      <c r="G6554" s="51">
        <f>G6551*F6554</f>
        <v>10631.85</v>
      </c>
    </row>
    <row r="6555" spans="1:7" x14ac:dyDescent="0.25">
      <c r="A6555" s="61"/>
      <c r="B6555" s="65"/>
      <c r="C6555" s="65"/>
      <c r="D6555" s="62"/>
      <c r="E6555" s="49" t="s">
        <v>27</v>
      </c>
      <c r="F6555" s="54">
        <v>0.05</v>
      </c>
      <c r="G6555" s="51">
        <f>G6551*F6555</f>
        <v>10631.85</v>
      </c>
    </row>
    <row r="6556" spans="1:7" x14ac:dyDescent="0.25">
      <c r="A6556" s="61"/>
      <c r="B6556" s="62"/>
      <c r="C6556" s="62"/>
      <c r="D6556" s="62"/>
      <c r="E6556" s="62"/>
      <c r="F6556" s="62"/>
      <c r="G6556" s="63"/>
    </row>
    <row r="6557" spans="1:7" x14ac:dyDescent="0.25">
      <c r="A6557" s="219" t="s">
        <v>101</v>
      </c>
      <c r="B6557" s="219"/>
      <c r="C6557" s="219"/>
      <c r="D6557" s="219"/>
      <c r="E6557" s="219"/>
      <c r="F6557" s="219"/>
      <c r="G6557" s="52">
        <f>G6551+G6553+G6554+G6555</f>
        <v>265796.25</v>
      </c>
    </row>
    <row r="6558" spans="1:7" x14ac:dyDescent="0.25">
      <c r="A6558" s="59"/>
      <c r="B6558" s="60"/>
      <c r="C6558" s="60"/>
      <c r="D6558" s="60"/>
      <c r="E6558" s="57"/>
      <c r="F6558" s="57"/>
      <c r="G6558" s="58"/>
    </row>
    <row r="6559" spans="1:7" x14ac:dyDescent="0.25">
      <c r="A6559" s="64"/>
      <c r="D6559" s="55"/>
      <c r="E6559" s="49" t="s">
        <v>102</v>
      </c>
      <c r="F6559" s="49" t="s">
        <v>103</v>
      </c>
      <c r="G6559" s="51">
        <f>G6555*19%</f>
        <v>2020.0515</v>
      </c>
    </row>
    <row r="6560" spans="1:7" x14ac:dyDescent="0.25">
      <c r="A6560" s="61"/>
      <c r="B6560" s="62"/>
      <c r="C6560" s="62"/>
      <c r="D6560" s="62"/>
      <c r="E6560" s="57"/>
      <c r="F6560" s="57"/>
      <c r="G6560" s="58"/>
    </row>
    <row r="6561" spans="1:9" x14ac:dyDescent="0.25">
      <c r="A6561" s="219" t="s">
        <v>104</v>
      </c>
      <c r="B6561" s="219"/>
      <c r="C6561" s="219"/>
      <c r="D6561" s="219"/>
      <c r="E6561" s="219"/>
      <c r="F6561" s="219"/>
      <c r="G6561" s="52">
        <f>G6559+G6557</f>
        <v>267816.3015</v>
      </c>
    </row>
    <row r="6563" spans="1:9" x14ac:dyDescent="0.25">
      <c r="A6563" s="74" t="s">
        <v>29</v>
      </c>
      <c r="B6563" s="226" t="s">
        <v>30</v>
      </c>
      <c r="C6563" s="226"/>
      <c r="D6563" s="74" t="s">
        <v>31</v>
      </c>
      <c r="E6563" s="74" t="s">
        <v>32</v>
      </c>
      <c r="F6563" s="74" t="s">
        <v>189</v>
      </c>
      <c r="G6563" s="74" t="s">
        <v>33</v>
      </c>
      <c r="H6563" s="105"/>
    </row>
    <row r="6564" spans="1:9" x14ac:dyDescent="0.25">
      <c r="A6564" s="50" t="str">
        <f>Presupuesto!B125</f>
        <v>105_OC</v>
      </c>
      <c r="B6564" s="227" t="str">
        <f>Presupuesto!C125</f>
        <v>VENTANERÍA EN ALUMINIO, INCLUYE VIDRIO DE 4 MM</v>
      </c>
      <c r="C6564" s="228"/>
      <c r="D6564" s="50" t="s">
        <v>8</v>
      </c>
      <c r="E6564" s="107">
        <v>30</v>
      </c>
      <c r="F6564" s="50"/>
      <c r="G6564" s="51">
        <f>G6627</f>
        <v>382602.09350000008</v>
      </c>
      <c r="H6564" s="45"/>
    </row>
    <row r="6565" spans="1:9" x14ac:dyDescent="0.25">
      <c r="A6565" s="219" t="s">
        <v>34</v>
      </c>
      <c r="B6565" s="219"/>
      <c r="C6565" s="219"/>
      <c r="D6565" s="219"/>
      <c r="E6565" s="219"/>
      <c r="F6565" s="219"/>
      <c r="G6565" s="219"/>
    </row>
    <row r="6566" spans="1:9" x14ac:dyDescent="0.25">
      <c r="A6566" s="49" t="s">
        <v>35</v>
      </c>
      <c r="B6566" s="219" t="s">
        <v>36</v>
      </c>
      <c r="C6566" s="219"/>
      <c r="D6566" s="49" t="s">
        <v>37</v>
      </c>
      <c r="E6566" s="49" t="s">
        <v>38</v>
      </c>
      <c r="F6566" s="49" t="s">
        <v>39</v>
      </c>
      <c r="G6566" s="49" t="s">
        <v>40</v>
      </c>
    </row>
    <row r="6567" spans="1:9" x14ac:dyDescent="0.25">
      <c r="A6567" s="50" t="str">
        <f>Material!A612</f>
        <v>MA-611</v>
      </c>
      <c r="B6567" s="72" t="str">
        <f>IFERROR(VLOOKUP(A6567,Material!$A:$H,2,0),"-")</f>
        <v>VENTANERÍA EN ALUMINIO, INCLUYE VIDRIO DE 4 MM</v>
      </c>
      <c r="C6567" s="76"/>
      <c r="D6567" s="50" t="str">
        <f>IFERROR(VLOOKUP(A6567,Material!$A:$H,4,0),"-")</f>
        <v>M2</v>
      </c>
      <c r="E6567" s="53">
        <v>1</v>
      </c>
      <c r="F6567" s="51">
        <f>IFERROR(VLOOKUP(A6567,Material!$A:$H,3,0),"-")</f>
        <v>290707.95600000001</v>
      </c>
      <c r="G6567" s="51">
        <f>IFERROR(ROUNDUP(F6567*E6567,0),"-")</f>
        <v>290708</v>
      </c>
      <c r="H6567" s="106"/>
    </row>
    <row r="6568" spans="1:9" x14ac:dyDescent="0.25">
      <c r="A6568" s="50"/>
      <c r="B6568" s="72" t="str">
        <f>IFERROR(VLOOKUP(A6568,Material!$A:$H,2,0),"-")</f>
        <v>-</v>
      </c>
      <c r="C6568" s="76"/>
      <c r="D6568" s="50" t="str">
        <f>IFERROR(VLOOKUP(A6568,Material!$A:$H,4,0),"-")</f>
        <v>-</v>
      </c>
      <c r="E6568" s="23"/>
      <c r="F6568" s="51" t="str">
        <f>IFERROR(VLOOKUP(A6568,Material!$A:$H,3,0),"-")</f>
        <v>-</v>
      </c>
      <c r="G6568" s="51" t="str">
        <f>IFERROR(ROUNDUP(F6568*E6568,0),"-")</f>
        <v>-</v>
      </c>
      <c r="H6568" s="106"/>
    </row>
    <row r="6569" spans="1:9" x14ac:dyDescent="0.25">
      <c r="A6569" s="219" t="s">
        <v>41</v>
      </c>
      <c r="B6569" s="219"/>
      <c r="C6569" s="219"/>
      <c r="D6569" s="219"/>
      <c r="E6569" s="219"/>
      <c r="F6569" s="219"/>
      <c r="G6569" s="52">
        <f>SUM(G6567:G6568)</f>
        <v>290708</v>
      </c>
      <c r="I6569" s="104"/>
    </row>
    <row r="6570" spans="1:9" x14ac:dyDescent="0.25">
      <c r="A6570" s="56"/>
      <c r="B6570" s="57"/>
      <c r="C6570" s="57"/>
      <c r="D6570" s="57"/>
      <c r="E6570" s="57"/>
      <c r="F6570" s="57"/>
      <c r="G6570" s="58"/>
    </row>
    <row r="6571" spans="1:9" x14ac:dyDescent="0.25">
      <c r="A6571" s="219" t="s">
        <v>42</v>
      </c>
      <c r="B6571" s="219"/>
      <c r="C6571" s="219"/>
      <c r="D6571" s="219"/>
      <c r="E6571" s="219"/>
      <c r="F6571" s="219"/>
      <c r="G6571" s="219"/>
    </row>
    <row r="6572" spans="1:9" x14ac:dyDescent="0.25">
      <c r="A6572" s="49" t="s">
        <v>35</v>
      </c>
      <c r="B6572" s="49" t="s">
        <v>36</v>
      </c>
      <c r="C6572" s="49" t="s">
        <v>38</v>
      </c>
      <c r="D6572" s="49" t="s">
        <v>43</v>
      </c>
      <c r="E6572" s="49" t="s">
        <v>44</v>
      </c>
      <c r="F6572" s="49" t="s">
        <v>45</v>
      </c>
      <c r="G6572" s="49" t="s">
        <v>40</v>
      </c>
    </row>
    <row r="6573" spans="1:9" x14ac:dyDescent="0.25">
      <c r="A6573" s="50" t="s">
        <v>319</v>
      </c>
      <c r="B6573" s="68" t="str">
        <f>VLOOKUP(A6573,'Componentes APUs'!$H$1:$L$25,2,0)</f>
        <v>Ingeniero Residente de Obra</v>
      </c>
      <c r="C6573" s="93">
        <v>0</v>
      </c>
      <c r="D6573" s="50">
        <f>VLOOKUP(A6573,'Componentes APUs'!$H$1:$L$25,3,0)</f>
        <v>4</v>
      </c>
      <c r="E6573" s="51">
        <f>VLOOKUP(A6573,'Componentes APUs'!$H$1:$L$25,4,0)</f>
        <v>271142.85714285716</v>
      </c>
      <c r="F6573" s="51">
        <f>VLOOKUP(A6573,'Componentes APUs'!$H$1:$L$25,5,0)</f>
        <v>162685.71428571429</v>
      </c>
      <c r="G6573" s="51">
        <f>ROUNDUP((E6573+F6573)*C6573/E6564,0)</f>
        <v>0</v>
      </c>
      <c r="H6573" s="66"/>
    </row>
    <row r="6574" spans="1:9" x14ac:dyDescent="0.25">
      <c r="A6574" s="50" t="s">
        <v>320</v>
      </c>
      <c r="B6574" s="68" t="str">
        <f>VLOOKUP(A6574,'Componentes APUs'!$H$1:$L$25,2,0)</f>
        <v>Tecnico Supervisor</v>
      </c>
      <c r="C6574" s="93">
        <v>0</v>
      </c>
      <c r="D6574" s="50">
        <f>VLOOKUP(A6574,'Componentes APUs'!$H$1:$L$25,3,0)</f>
        <v>2.2999999999999998</v>
      </c>
      <c r="E6574" s="51">
        <f>VLOOKUP(A6574,'Componentes APUs'!$H$1:$L$25,4,0)</f>
        <v>155907.14285714284</v>
      </c>
      <c r="F6574" s="51">
        <f>VLOOKUP(A6574,'Componentes APUs'!$H$1:$L$25,5,0)</f>
        <v>93544.285714285696</v>
      </c>
      <c r="G6574" s="51">
        <f>ROUNDUP((E6574+F6574)*C6574/E6564,0)</f>
        <v>0</v>
      </c>
    </row>
    <row r="6575" spans="1:9" x14ac:dyDescent="0.25">
      <c r="A6575" s="50" t="s">
        <v>54</v>
      </c>
      <c r="B6575" s="68" t="str">
        <f>VLOOKUP(A6575,'Componentes APUs'!$H$1:$L$25,2,0)</f>
        <v>Maestro de obra civil</v>
      </c>
      <c r="C6575" s="93">
        <v>0</v>
      </c>
      <c r="D6575" s="50">
        <f>VLOOKUP(A6575,'Componentes APUs'!$H$1:$L$25,3,0)</f>
        <v>2.5</v>
      </c>
      <c r="E6575" s="51">
        <f>VLOOKUP(A6575,'Componentes APUs'!$H$1:$L$25,4,0)</f>
        <v>169464.28571428571</v>
      </c>
      <c r="F6575" s="51">
        <f>VLOOKUP(A6575,'Componentes APUs'!$H$1:$L$25,5,0)</f>
        <v>101678.57142857142</v>
      </c>
      <c r="G6575" s="51">
        <f>ROUNDUP((E6575+F6575)*C6575/E6564,0)</f>
        <v>0</v>
      </c>
    </row>
    <row r="6576" spans="1:9" x14ac:dyDescent="0.25">
      <c r="A6576" s="50" t="s">
        <v>1110</v>
      </c>
      <c r="B6576" s="68" t="str">
        <f>VLOOKUP(A6576,'Componentes APUs'!$H$1:$L$25,2,0)</f>
        <v>Oficial de Obra Civil</v>
      </c>
      <c r="C6576" s="93">
        <v>0</v>
      </c>
      <c r="D6576" s="50">
        <f>VLOOKUP(A6576,'Componentes APUs'!$H$1:$L$25,3,0)</f>
        <v>1.5</v>
      </c>
      <c r="E6576" s="51">
        <f>VLOOKUP(A6576,'Componentes APUs'!$H$1:$L$25,4,0)</f>
        <v>115964.28571428571</v>
      </c>
      <c r="F6576" s="51">
        <f>VLOOKUP(A6576,'Componentes APUs'!$H$1:$L$25,5,0)</f>
        <v>69578.57142857142</v>
      </c>
      <c r="G6576" s="51">
        <f>ROUNDUP((E6576+F6576)*C6576/E6564,0)</f>
        <v>0</v>
      </c>
    </row>
    <row r="6577" spans="1:9" x14ac:dyDescent="0.25">
      <c r="A6577" s="50" t="s">
        <v>50</v>
      </c>
      <c r="B6577" s="68" t="str">
        <f>VLOOKUP(A6577,'Componentes APUs'!$H$1:$L$25,2,0)</f>
        <v>Profesional en SST</v>
      </c>
      <c r="C6577" s="93">
        <v>0</v>
      </c>
      <c r="D6577" s="50">
        <f>VLOOKUP(A6577,'Componentes APUs'!$H$1:$L$25,3,0)</f>
        <v>2.5</v>
      </c>
      <c r="E6577" s="51">
        <f>VLOOKUP(A6577,'Componentes APUs'!$H$1:$L$25,4,0)</f>
        <v>169464.28571428571</v>
      </c>
      <c r="F6577" s="51">
        <f>VLOOKUP(A6577,'Componentes APUs'!$H$1:$L$25,5,0)</f>
        <v>101678.57142857142</v>
      </c>
      <c r="G6577" s="51">
        <f>ROUNDUP((E6577+F6577)*C6577/E6564,0)</f>
        <v>0</v>
      </c>
    </row>
    <row r="6578" spans="1:9" x14ac:dyDescent="0.25">
      <c r="A6578" s="50" t="s">
        <v>1109</v>
      </c>
      <c r="B6578" s="68" t="str">
        <f>VLOOKUP(A6578,'Componentes APUs'!$H$1:$L$25,2,0)</f>
        <v>Ayudante de Obra Civil</v>
      </c>
      <c r="C6578" s="93">
        <v>1</v>
      </c>
      <c r="D6578" s="50">
        <f>VLOOKUP(A6578,'Componentes APUs'!$H$1:$L$25,3,0)</f>
        <v>1</v>
      </c>
      <c r="E6578" s="51">
        <f>VLOOKUP(A6578,'Componentes APUs'!$H$1:$L$25,4,0)</f>
        <v>77309.523809523816</v>
      </c>
      <c r="F6578" s="51">
        <f>VLOOKUP(A6578,'Componentes APUs'!$H$1:$L$25,5,0)</f>
        <v>46385.71428571429</v>
      </c>
      <c r="G6578" s="51">
        <f>ROUNDUP((E6578+F6578)*C6578/E6564,0)</f>
        <v>4124</v>
      </c>
    </row>
    <row r="6579" spans="1:9" x14ac:dyDescent="0.25">
      <c r="A6579" s="219" t="s">
        <v>56</v>
      </c>
      <c r="B6579" s="219"/>
      <c r="C6579" s="219"/>
      <c r="D6579" s="219"/>
      <c r="E6579" s="219"/>
      <c r="F6579" s="219"/>
      <c r="G6579" s="52">
        <f>SUM(G6573:G6578)</f>
        <v>4124</v>
      </c>
    </row>
    <row r="6580" spans="1:9" x14ac:dyDescent="0.25">
      <c r="A6580" s="56"/>
      <c r="B6580" s="57"/>
      <c r="C6580" s="57"/>
      <c r="D6580" s="57"/>
      <c r="E6580" s="57"/>
      <c r="F6580" s="57"/>
      <c r="G6580" s="58"/>
    </row>
    <row r="6581" spans="1:9" x14ac:dyDescent="0.25">
      <c r="A6581" s="219" t="s">
        <v>57</v>
      </c>
      <c r="B6581" s="219"/>
      <c r="C6581" s="219"/>
      <c r="D6581" s="219"/>
      <c r="E6581" s="219"/>
      <c r="F6581" s="219"/>
      <c r="G6581" s="219"/>
    </row>
    <row r="6582" spans="1:9" x14ac:dyDescent="0.25">
      <c r="A6582" s="49" t="s">
        <v>35</v>
      </c>
      <c r="B6582" s="219" t="s">
        <v>36</v>
      </c>
      <c r="C6582" s="219"/>
      <c r="D6582" s="49" t="s">
        <v>37</v>
      </c>
      <c r="E6582" s="49" t="s">
        <v>38</v>
      </c>
      <c r="F6582" s="49" t="s">
        <v>39</v>
      </c>
      <c r="G6582" s="49" t="s">
        <v>40</v>
      </c>
    </row>
    <row r="6583" spans="1:9" x14ac:dyDescent="0.25">
      <c r="A6583" s="50" t="s">
        <v>326</v>
      </c>
      <c r="B6583" s="220" t="str">
        <f>VLOOKUP(A6583,'Componentes APUs'!$S$1:$V$10,2,0)</f>
        <v>Juego Llaves</v>
      </c>
      <c r="C6583" s="220"/>
      <c r="D6583" s="50" t="s">
        <v>18</v>
      </c>
      <c r="E6583" s="50">
        <v>0</v>
      </c>
      <c r="F6583" s="51">
        <f>VLOOKUP(A6583,'Componentes APUs'!$S$1:$V$10,4,0)</f>
        <v>9167</v>
      </c>
      <c r="G6583" s="51">
        <f>ROUNDUP(F6583*((E6583/21)/E6564),0)</f>
        <v>0</v>
      </c>
      <c r="I6583" s="91"/>
    </row>
    <row r="6584" spans="1:9" x14ac:dyDescent="0.25">
      <c r="A6584" s="50" t="s">
        <v>58</v>
      </c>
      <c r="B6584" s="220" t="str">
        <f>VLOOKUP(A6584,'Componentes APUs'!$S$1:$V$10,2,0)</f>
        <v>Manila de servicio</v>
      </c>
      <c r="C6584" s="220"/>
      <c r="D6584" s="50" t="s">
        <v>18</v>
      </c>
      <c r="E6584" s="50">
        <v>0</v>
      </c>
      <c r="F6584" s="51">
        <f>VLOOKUP(A6584,'Componentes APUs'!$S$1:$V$10,4,0)</f>
        <v>2333</v>
      </c>
      <c r="G6584" s="51">
        <f>ROUNDUP(F6584*((E6584/21)/E6564),0)</f>
        <v>0</v>
      </c>
    </row>
    <row r="6585" spans="1:9" x14ac:dyDescent="0.25">
      <c r="A6585" s="50" t="s">
        <v>327</v>
      </c>
      <c r="B6585" s="220" t="str">
        <f>VLOOKUP(A6585,'Componentes APUs'!$S$1:$V$10,2,0)</f>
        <v>Tula portaherramientas</v>
      </c>
      <c r="C6585" s="220"/>
      <c r="D6585" s="50" t="s">
        <v>18</v>
      </c>
      <c r="E6585" s="50">
        <v>0</v>
      </c>
      <c r="F6585" s="51">
        <f>VLOOKUP(A6585,'Componentes APUs'!$S$1:$V$10,4,0)</f>
        <v>1250</v>
      </c>
      <c r="G6585" s="51">
        <f>ROUNDUP(F6585*((E6585/21)/E6564),0)</f>
        <v>0</v>
      </c>
    </row>
    <row r="6586" spans="1:9" x14ac:dyDescent="0.25">
      <c r="A6586" s="50" t="s">
        <v>60</v>
      </c>
      <c r="B6586" s="220" t="str">
        <f>VLOOKUP(A6586,'Componentes APUs'!$S$1:$V$10,2,0)</f>
        <v>Agarradoras</v>
      </c>
      <c r="C6586" s="220"/>
      <c r="D6586" s="50" t="s">
        <v>18</v>
      </c>
      <c r="E6586" s="50">
        <v>0</v>
      </c>
      <c r="F6586" s="51">
        <f>VLOOKUP(A6586,'Componentes APUs'!$S$1:$V$10,4,0)</f>
        <v>125000</v>
      </c>
      <c r="G6586" s="51">
        <f>ROUNDUP(F6586*((E6586/21)/E6564),0)</f>
        <v>0</v>
      </c>
    </row>
    <row r="6587" spans="1:9" x14ac:dyDescent="0.25">
      <c r="A6587" s="50" t="s">
        <v>62</v>
      </c>
      <c r="B6587" s="220" t="str">
        <f>VLOOKUP(A6587,'Componentes APUs'!$S$1:$V$10,2,0)</f>
        <v>Templadoras</v>
      </c>
      <c r="C6587" s="220"/>
      <c r="D6587" s="50" t="s">
        <v>18</v>
      </c>
      <c r="E6587" s="50">
        <v>0</v>
      </c>
      <c r="F6587" s="51">
        <f>VLOOKUP(A6587,'Componentes APUs'!$S$1:$V$10,4,0)</f>
        <v>250000</v>
      </c>
      <c r="G6587" s="51">
        <f>ROUNDUP(F6587*((E6587/21)/E6564),0)</f>
        <v>0</v>
      </c>
    </row>
    <row r="6588" spans="1:9" x14ac:dyDescent="0.25">
      <c r="A6588" s="50" t="s">
        <v>328</v>
      </c>
      <c r="B6588" s="220" t="str">
        <f>VLOOKUP(A6588,'Componentes APUs'!$S$1:$V$10,2,0)</f>
        <v>Herramienta Menor</v>
      </c>
      <c r="C6588" s="220"/>
      <c r="D6588" s="50" t="s">
        <v>18</v>
      </c>
      <c r="E6588" s="50">
        <v>1</v>
      </c>
      <c r="F6588" s="51">
        <f>VLOOKUP(A6588,'Componentes APUs'!$S$1:$V$10,4,0)</f>
        <v>75758</v>
      </c>
      <c r="G6588" s="51">
        <f>ROUNDUP(F6588*((E6588/21)/E6564),0)</f>
        <v>121</v>
      </c>
    </row>
    <row r="6589" spans="1:9" x14ac:dyDescent="0.25">
      <c r="A6589" s="219" t="s">
        <v>69</v>
      </c>
      <c r="B6589" s="219"/>
      <c r="C6589" s="219"/>
      <c r="D6589" s="219"/>
      <c r="E6589" s="219"/>
      <c r="F6589" s="219"/>
      <c r="G6589" s="52">
        <f>SUM(G6583:G6588)</f>
        <v>121</v>
      </c>
    </row>
    <row r="6590" spans="1:9" x14ac:dyDescent="0.25">
      <c r="A6590" s="56"/>
      <c r="B6590" s="57"/>
      <c r="C6590" s="57"/>
      <c r="D6590" s="57"/>
      <c r="E6590" s="57"/>
      <c r="F6590" s="57"/>
      <c r="G6590" s="58"/>
    </row>
    <row r="6591" spans="1:9" x14ac:dyDescent="0.25">
      <c r="A6591" s="219" t="s">
        <v>70</v>
      </c>
      <c r="B6591" s="219"/>
      <c r="C6591" s="219"/>
      <c r="D6591" s="219"/>
      <c r="E6591" s="219"/>
      <c r="F6591" s="219"/>
      <c r="G6591" s="219"/>
    </row>
    <row r="6592" spans="1:9" x14ac:dyDescent="0.25">
      <c r="A6592" s="49" t="s">
        <v>35</v>
      </c>
      <c r="B6592" s="219" t="s">
        <v>36</v>
      </c>
      <c r="C6592" s="219"/>
      <c r="D6592" s="49" t="s">
        <v>37</v>
      </c>
      <c r="E6592" s="49" t="s">
        <v>38</v>
      </c>
      <c r="F6592" s="49" t="s">
        <v>39</v>
      </c>
      <c r="G6592" s="49" t="s">
        <v>40</v>
      </c>
    </row>
    <row r="6593" spans="1:9" x14ac:dyDescent="0.25">
      <c r="A6593" s="50" t="s">
        <v>71</v>
      </c>
      <c r="B6593" s="71" t="str">
        <f>VLOOKUP(A6593,'Componentes APUs'!$A$1:$D$14,2,0)</f>
        <v>Camisa indigo sin partes metalicas</v>
      </c>
      <c r="C6593" s="71"/>
      <c r="D6593" s="50" t="str">
        <f>VLOOKUP(A6593,'Componentes APUs'!$A$1:$D$14,3,0)</f>
        <v>U</v>
      </c>
      <c r="E6593" s="50">
        <f>SUM(C6573:C6578)</f>
        <v>1</v>
      </c>
      <c r="F6593" s="51">
        <f>VLOOKUP(A6593,'Componentes APUs'!$A$1:$D$14,4,0)</f>
        <v>8585.8585858585866</v>
      </c>
      <c r="G6593" s="51">
        <f>ROUNDUP(F6593*(E6593/21)/E6564,0)</f>
        <v>14</v>
      </c>
      <c r="I6593" s="91"/>
    </row>
    <row r="6594" spans="1:9" x14ac:dyDescent="0.25">
      <c r="A6594" s="69" t="s">
        <v>73</v>
      </c>
      <c r="B6594" s="72" t="str">
        <f>VLOOKUP(A6594,'Componentes APUs'!$A$1:$D$14,2,0)</f>
        <v>Bota de seguridad dielectrica</v>
      </c>
      <c r="C6594" s="73"/>
      <c r="D6594" s="70" t="str">
        <f>VLOOKUP(A6594,'Componentes APUs'!$A$1:$D$14,3,0)</f>
        <v>Par</v>
      </c>
      <c r="E6594" s="50">
        <f>SUM(C6573:C6578)</f>
        <v>1</v>
      </c>
      <c r="F6594" s="51">
        <f>VLOOKUP(A6594,'Componentes APUs'!$A$1:$D$14,4,0)</f>
        <v>7500</v>
      </c>
      <c r="G6594" s="51">
        <f>ROUNDUP(F6594*(E6594/21)/E6564,0)</f>
        <v>12</v>
      </c>
    </row>
    <row r="6595" spans="1:9" x14ac:dyDescent="0.25">
      <c r="A6595" s="50" t="s">
        <v>76</v>
      </c>
      <c r="B6595" s="72" t="str">
        <f>VLOOKUP(A6595,'Componentes APUs'!$A$1:$D$14,2,0)</f>
        <v>Casco dielectrico Tipo 1 Clase E con barbuquejo</v>
      </c>
      <c r="C6595" s="73"/>
      <c r="D6595" s="50" t="str">
        <f>VLOOKUP(A6595,'Componentes APUs'!$A$1:$D$14,3,0)</f>
        <v>U</v>
      </c>
      <c r="E6595" s="50">
        <f>C6573+C6574+C6576+C6577+C6578+IF(A6575&lt;&gt;"MO-3",C6575,0)</f>
        <v>1</v>
      </c>
      <c r="F6595" s="51">
        <f>VLOOKUP(A6595,'Componentes APUs'!$A$1:$D$14,4,0)</f>
        <v>10101.010101010101</v>
      </c>
      <c r="G6595" s="51">
        <f>ROUNDUP(F6595*(E6595/21)/E6564,0)</f>
        <v>17</v>
      </c>
    </row>
    <row r="6596" spans="1:9" x14ac:dyDescent="0.25">
      <c r="A6596" s="69" t="s">
        <v>77</v>
      </c>
      <c r="B6596" s="72" t="str">
        <f>VLOOKUP(A6596,'Componentes APUs'!$A$1:$D$14,2,0)</f>
        <v>Correa plastica y antiflama</v>
      </c>
      <c r="C6596" s="73"/>
      <c r="D6596" s="50" t="str">
        <f>VLOOKUP(A6596,'Componentes APUs'!$A$1:$D$14,3,0)</f>
        <v>U</v>
      </c>
      <c r="E6596" s="50">
        <f>SUM(C6573:C6578)</f>
        <v>1</v>
      </c>
      <c r="F6596" s="51">
        <f>VLOOKUP(A6596,'Componentes APUs'!$A$1:$D$14,4,0)</f>
        <v>3787.878787878788</v>
      </c>
      <c r="G6596" s="51">
        <f>ROUNDUP(F6596*(E6596/21)/E6564,0)</f>
        <v>7</v>
      </c>
    </row>
    <row r="6597" spans="1:9" x14ac:dyDescent="0.25">
      <c r="A6597" s="50" t="s">
        <v>79</v>
      </c>
      <c r="B6597" s="72" t="str">
        <f>VLOOKUP(A6597,'Componentes APUs'!$A$1:$D$14,2,0)</f>
        <v>Gafas protectoras filtro UV</v>
      </c>
      <c r="C6597" s="73"/>
      <c r="D6597" s="50" t="str">
        <f>VLOOKUP(A6597,'Componentes APUs'!$A$1:$D$14,3,0)</f>
        <v>U</v>
      </c>
      <c r="E6597" s="50">
        <f>SUM(C6573:C6578)</f>
        <v>1</v>
      </c>
      <c r="F6597" s="51">
        <f>VLOOKUP(A6597,'Componentes APUs'!$A$1:$D$14,4,0)</f>
        <v>2777.7777777777778</v>
      </c>
      <c r="G6597" s="51">
        <f>ROUNDUP(F6597*(E6597/21)/E6564,0)</f>
        <v>5</v>
      </c>
    </row>
    <row r="6598" spans="1:9" x14ac:dyDescent="0.25">
      <c r="A6598" s="69" t="s">
        <v>402</v>
      </c>
      <c r="B6598" s="72" t="str">
        <f>VLOOKUP(A6598,'Componentes APUs'!$A$1:$D$14,2,0)</f>
        <v>Bota de seguridad PVC dielectrica</v>
      </c>
      <c r="C6598" s="73"/>
      <c r="D6598" s="50" t="str">
        <f>VLOOKUP(A6598,'Componentes APUs'!$A$1:$D$14,3,0)</f>
        <v>Par</v>
      </c>
      <c r="E6598" s="50">
        <f>SUM(C6573:C6578)</f>
        <v>1</v>
      </c>
      <c r="F6598" s="51">
        <f>VLOOKUP(A6598,'Componentes APUs'!$A$1:$D$14,4,0)</f>
        <v>2916.6666666666665</v>
      </c>
      <c r="G6598" s="51">
        <f>ROUNDUP(F6598*(E6598/21)/E6564,0)</f>
        <v>5</v>
      </c>
    </row>
    <row r="6599" spans="1:9" x14ac:dyDescent="0.25">
      <c r="A6599" s="50" t="s">
        <v>403</v>
      </c>
      <c r="B6599" s="72" t="str">
        <f>VLOOKUP(A6599,'Componentes APUs'!$A$1:$D$14,2,0)</f>
        <v>Capuchon</v>
      </c>
      <c r="C6599" s="73"/>
      <c r="D6599" s="50" t="str">
        <f>VLOOKUP(A6599,'Componentes APUs'!$A$1:$D$14,3,0)</f>
        <v>U</v>
      </c>
      <c r="E6599" s="50">
        <f>SUM(C6573:C6578)</f>
        <v>1</v>
      </c>
      <c r="F6599" s="51">
        <f>VLOOKUP(A6599,'Componentes APUs'!$A$1:$D$14,4,0)</f>
        <v>2525.2525252525252</v>
      </c>
      <c r="G6599" s="51">
        <f>ROUNDUP(F6599*(E6599/21)/E6564,0)</f>
        <v>5</v>
      </c>
    </row>
    <row r="6600" spans="1:9" x14ac:dyDescent="0.25">
      <c r="A6600" s="69" t="s">
        <v>81</v>
      </c>
      <c r="B6600" s="72" t="str">
        <f>VLOOKUP(A6600,'Componentes APUs'!$A$1:$D$14,2,0)</f>
        <v>Guantes Protectores  - ingeniero reforzados</v>
      </c>
      <c r="C6600" s="73"/>
      <c r="D6600" s="50" t="str">
        <f>VLOOKUP(A6600,'Componentes APUs'!$A$1:$D$14,3,0)</f>
        <v>Par</v>
      </c>
      <c r="E6600" s="50">
        <f>C6575+C6576+C6578</f>
        <v>1</v>
      </c>
      <c r="F6600" s="51">
        <f>VLOOKUP(A6600,'Componentes APUs'!$A$1:$D$14,4,0)</f>
        <v>2525.2525252525252</v>
      </c>
      <c r="G6600" s="51">
        <f>ROUNDUP(F6600*(E6600/21)/E6564,0)</f>
        <v>5</v>
      </c>
    </row>
    <row r="6601" spans="1:9" x14ac:dyDescent="0.25">
      <c r="A6601" s="50" t="s">
        <v>83</v>
      </c>
      <c r="B6601" s="72" t="str">
        <f>VLOOKUP(A6601,'Componentes APUs'!$A$1:$D$14,2,0)</f>
        <v>Impermeable (pantalon camisa)</v>
      </c>
      <c r="C6601" s="73"/>
      <c r="D6601" s="50" t="str">
        <f>VLOOKUP(A6601,'Componentes APUs'!$A$1:$D$14,3,0)</f>
        <v>U</v>
      </c>
      <c r="E6601" s="50">
        <f>SUM(C6573:C6578)</f>
        <v>1</v>
      </c>
      <c r="F6601" s="51">
        <f>VLOOKUP(A6601,'Componentes APUs'!$A$1:$D$14,4,0)</f>
        <v>3750</v>
      </c>
      <c r="G6601" s="51">
        <f>ROUNDUP(F6601*(E6601/21)/E6564,0)</f>
        <v>6</v>
      </c>
    </row>
    <row r="6602" spans="1:9" x14ac:dyDescent="0.25">
      <c r="A6602" s="69" t="s">
        <v>85</v>
      </c>
      <c r="B6602" s="72" t="str">
        <f>VLOOKUP(A6602,'Componentes APUs'!$A$1:$D$14,2,0)</f>
        <v>Jean Dielectrico</v>
      </c>
      <c r="C6602" s="73"/>
      <c r="D6602" s="50" t="str">
        <f>VLOOKUP(A6602,'Componentes APUs'!$A$1:$D$14,3,0)</f>
        <v>U</v>
      </c>
      <c r="E6602" s="50">
        <f>SUM(C6573:C6578)</f>
        <v>1</v>
      </c>
      <c r="F6602" s="51">
        <f>VLOOKUP(A6602,'Componentes APUs'!$A$1:$D$14,4,0)</f>
        <v>7575.757575757576</v>
      </c>
      <c r="G6602" s="51">
        <f>ROUNDUP(F6602*(E6602/21)/E6564,0)</f>
        <v>13</v>
      </c>
    </row>
    <row r="6603" spans="1:9" x14ac:dyDescent="0.25">
      <c r="A6603" s="50" t="s">
        <v>87</v>
      </c>
      <c r="B6603" s="72" t="str">
        <f>VLOOKUP(A6603,'Componentes APUs'!$A$1:$D$14,2,0)</f>
        <v>Casco dielectrico Tipo 2 Clase E con barboquejo</v>
      </c>
      <c r="C6603" s="73"/>
      <c r="D6603" s="50" t="str">
        <f>VLOOKUP(A6603,'Componentes APUs'!$A$1:$D$14,3,0)</f>
        <v>U</v>
      </c>
      <c r="E6603" s="53">
        <f>IF(A6575="MO-3",C6575,0)</f>
        <v>0</v>
      </c>
      <c r="F6603" s="51">
        <f>VLOOKUP(A6603,'Componentes APUs'!$A$1:$D$14,4,0)</f>
        <v>7500</v>
      </c>
      <c r="G6603" s="51">
        <f>ROUNDUP(F6603*(E6603/21)/E6564,0)</f>
        <v>0</v>
      </c>
    </row>
    <row r="6604" spans="1:9" x14ac:dyDescent="0.25">
      <c r="A6604" s="69" t="s">
        <v>89</v>
      </c>
      <c r="B6604" s="72" t="str">
        <f>VLOOKUP(A6604,'Componentes APUs'!$A$1:$D$14,2,0)</f>
        <v>Kit de rescate para trabajo en alturas</v>
      </c>
      <c r="C6604" s="73"/>
      <c r="D6604" s="50" t="str">
        <f>VLOOKUP(A6604,'Componentes APUs'!$A$1:$D$14,3,0)</f>
        <v>U</v>
      </c>
      <c r="E6604" s="50">
        <f>IF(AND(A6575="MO-3",C6575=2),1,0)</f>
        <v>0</v>
      </c>
      <c r="F6604" s="51">
        <f>VLOOKUP(A6604,'Componentes APUs'!$A$1:$D$14,4,0)</f>
        <v>37500</v>
      </c>
      <c r="G6604" s="51">
        <f>ROUNDUP(F6604*(E6604/21)/E6564,0)</f>
        <v>0</v>
      </c>
    </row>
    <row r="6605" spans="1:9" x14ac:dyDescent="0.25">
      <c r="A6605" s="50" t="s">
        <v>91</v>
      </c>
      <c r="B6605" s="72" t="str">
        <f>VLOOKUP(A6605,'Componentes APUs'!$A$1:$D$14,2,0)</f>
        <v>Equipo completo para trabajo en alturas con pretales (Arnes dielectrico, 1 mosqueton de seguridad, tie off dielectrico, eslinga de posicionamiento, juego de pretales)</v>
      </c>
      <c r="C6605" s="73"/>
      <c r="D6605" s="50" t="str">
        <f>VLOOKUP(A6605,'Componentes APUs'!$A$1:$D$14,3,0)</f>
        <v>U</v>
      </c>
      <c r="E6605" s="50">
        <f>IF(A6575="MO-3",C6575,0)</f>
        <v>0</v>
      </c>
      <c r="F6605" s="51">
        <f>VLOOKUP(A6605,'Componentes APUs'!$A$1:$D$14,4,0)</f>
        <v>26041.666666666668</v>
      </c>
      <c r="G6605" s="51">
        <f>ROUNDUP(F6605*(E6605/21)/E6564,0)</f>
        <v>0</v>
      </c>
    </row>
    <row r="6606" spans="1:9" x14ac:dyDescent="0.25">
      <c r="A6606" s="219" t="s">
        <v>95</v>
      </c>
      <c r="B6606" s="219"/>
      <c r="C6606" s="219"/>
      <c r="D6606" s="219"/>
      <c r="E6606" s="219"/>
      <c r="F6606" s="219"/>
      <c r="G6606" s="52">
        <f>SUM(G6593:G6605)</f>
        <v>89</v>
      </c>
    </row>
    <row r="6607" spans="1:9" x14ac:dyDescent="0.25">
      <c r="A6607" s="56"/>
      <c r="B6607" s="57"/>
      <c r="C6607" s="57"/>
      <c r="D6607" s="57"/>
      <c r="E6607" s="57"/>
      <c r="F6607" s="57"/>
      <c r="G6607" s="58"/>
    </row>
    <row r="6608" spans="1:9" x14ac:dyDescent="0.25">
      <c r="A6608" s="219" t="s">
        <v>96</v>
      </c>
      <c r="B6608" s="219"/>
      <c r="C6608" s="219"/>
      <c r="D6608" s="219"/>
      <c r="E6608" s="219"/>
      <c r="F6608" s="219"/>
      <c r="G6608" s="219"/>
    </row>
    <row r="6609" spans="1:7" x14ac:dyDescent="0.25">
      <c r="A6609" s="49" t="s">
        <v>35</v>
      </c>
      <c r="B6609" s="225" t="s">
        <v>36</v>
      </c>
      <c r="C6609" s="225"/>
      <c r="D6609" s="49" t="s">
        <v>37</v>
      </c>
      <c r="E6609" s="49" t="s">
        <v>38</v>
      </c>
      <c r="F6609" s="49" t="s">
        <v>39</v>
      </c>
      <c r="G6609" s="49" t="s">
        <v>40</v>
      </c>
    </row>
    <row r="6610" spans="1:7" x14ac:dyDescent="0.25">
      <c r="A6610" s="69" t="s">
        <v>97</v>
      </c>
      <c r="B6610" s="72" t="str">
        <f>VLOOKUP(A6610,'Componentes APUs'!$N$1:$Q$30,2,0)</f>
        <v>Camioneta</v>
      </c>
      <c r="C6610" s="73"/>
      <c r="D6610" s="70" t="str">
        <f>VLOOKUP(A6610,'Componentes APUs'!$N$1:$Q$30,3,0)</f>
        <v>U</v>
      </c>
      <c r="E6610" s="50">
        <v>1</v>
      </c>
      <c r="F6610" s="51">
        <f>VLOOKUP(A6610,'Componentes APUs'!$N$1:$Q$30,4,0)</f>
        <v>5500000</v>
      </c>
      <c r="G6610" s="51">
        <f>IFERROR(ROUNDUP(F6610*(E6610/21)/E6564,0),"-")</f>
        <v>8731</v>
      </c>
    </row>
    <row r="6611" spans="1:7" x14ac:dyDescent="0.25">
      <c r="A6611" s="50" t="s">
        <v>321</v>
      </c>
      <c r="B6611" s="72" t="str">
        <f>VLOOKUP(A6611,'Componentes APUs'!$N$1:$Q$30,2,0)</f>
        <v>Grúa Hidráulica</v>
      </c>
      <c r="C6611" s="73"/>
      <c r="D6611" s="70" t="str">
        <f>VLOOKUP(A6611,'Componentes APUs'!$N$1:$Q$30,3,0)</f>
        <v>U</v>
      </c>
      <c r="E6611" s="50">
        <v>0</v>
      </c>
      <c r="F6611" s="51">
        <f>VLOOKUP(A6611,'Componentes APUs'!$N$1:$Q$30,4,0)</f>
        <v>21000000</v>
      </c>
      <c r="G6611" s="51">
        <f>IFERROR(ROUNDUP(F6611*(E6611/21)/E6564,0),"-")</f>
        <v>0</v>
      </c>
    </row>
    <row r="6612" spans="1:7" x14ac:dyDescent="0.25">
      <c r="A6612" s="69" t="s">
        <v>1379</v>
      </c>
      <c r="B6612" s="72" t="str">
        <f>VLOOKUP(A6612,'Componentes APUs'!$N$1:$Q$30,2,0)</f>
        <v>Dumper de descarga Frontal 2T</v>
      </c>
      <c r="C6612" s="73"/>
      <c r="D6612" s="70" t="str">
        <f>VLOOKUP(A6612,'Componentes APUs'!$N$1:$Q$30,3,0)</f>
        <v>U</v>
      </c>
      <c r="E6612" s="50">
        <v>0</v>
      </c>
      <c r="F6612" s="51">
        <f>VLOOKUP(A6612,'Componentes APUs'!$N$1:$Q$30,4,0)</f>
        <v>4438716.24</v>
      </c>
      <c r="G6612" s="51">
        <f>IFERROR(ROUNDUP(F6612*(E6612/21)/E6564,0),"-")</f>
        <v>0</v>
      </c>
    </row>
    <row r="6613" spans="1:7" x14ac:dyDescent="0.25">
      <c r="A6613" s="50" t="s">
        <v>323</v>
      </c>
      <c r="B6613" s="72" t="str">
        <f>VLOOKUP(A6613,'Componentes APUs'!$N$1:$Q$30,2,0)</f>
        <v>Volqueta</v>
      </c>
      <c r="C6613" s="73"/>
      <c r="D6613" s="70" t="str">
        <f>VLOOKUP(A6613,'Componentes APUs'!$N$1:$Q$30,3,0)</f>
        <v>U</v>
      </c>
      <c r="E6613" s="50">
        <v>0</v>
      </c>
      <c r="F6613" s="51">
        <f>VLOOKUP(A6613,'Componentes APUs'!$N$1:$Q$30,4,0)</f>
        <v>14828184</v>
      </c>
      <c r="G6613" s="51">
        <f>IFERROR(ROUNDUP(F6613*(E6613/21)/E6564,0),"-")</f>
        <v>0</v>
      </c>
    </row>
    <row r="6614" spans="1:7" x14ac:dyDescent="0.25">
      <c r="A6614" s="69" t="s">
        <v>324</v>
      </c>
      <c r="B6614" s="72" t="str">
        <f>VLOOKUP(A6614,'Componentes APUs'!$N$1:$Q$30,2,0)</f>
        <v>Retroexcavadora</v>
      </c>
      <c r="C6614" s="73"/>
      <c r="D6614" s="70" t="str">
        <f>VLOOKUP(A6614,'Componentes APUs'!$N$1:$Q$30,3,0)</f>
        <v>U</v>
      </c>
      <c r="E6614" s="50">
        <v>0</v>
      </c>
      <c r="F6614" s="51">
        <f>VLOOKUP(A6614,'Componentes APUs'!$N$1:$Q$30,4,0)</f>
        <v>46030656</v>
      </c>
      <c r="G6614" s="51">
        <f>IFERROR(ROUNDUP(F6614*(E6614/21)/E6564,0),"-")</f>
        <v>0</v>
      </c>
    </row>
    <row r="6615" spans="1:7" x14ac:dyDescent="0.25">
      <c r="A6615" s="219" t="s">
        <v>99</v>
      </c>
      <c r="B6615" s="219"/>
      <c r="C6615" s="219"/>
      <c r="D6615" s="219"/>
      <c r="E6615" s="219"/>
      <c r="F6615" s="219"/>
      <c r="G6615" s="52">
        <f>SUM(G6610:G6614)</f>
        <v>8731</v>
      </c>
    </row>
    <row r="6616" spans="1:7" x14ac:dyDescent="0.25">
      <c r="A6616" s="56"/>
      <c r="B6616" s="57"/>
      <c r="C6616" s="57"/>
      <c r="D6616" s="57"/>
      <c r="E6616" s="57"/>
      <c r="F6616" s="57"/>
      <c r="G6616" s="58"/>
    </row>
    <row r="6617" spans="1:7" x14ac:dyDescent="0.25">
      <c r="A6617" s="219" t="s">
        <v>100</v>
      </c>
      <c r="B6617" s="219"/>
      <c r="C6617" s="219"/>
      <c r="D6617" s="219"/>
      <c r="E6617" s="219"/>
      <c r="F6617" s="219"/>
      <c r="G6617" s="52">
        <f>G6615+G6606+G6589+G6579+G6569</f>
        <v>303773</v>
      </c>
    </row>
    <row r="6618" spans="1:7" x14ac:dyDescent="0.25">
      <c r="A6618" s="59"/>
      <c r="B6618" s="60"/>
      <c r="C6618" s="60"/>
      <c r="D6618" s="60"/>
      <c r="E6618" s="57"/>
      <c r="F6618" s="57"/>
      <c r="G6618" s="58"/>
    </row>
    <row r="6619" spans="1:7" x14ac:dyDescent="0.25">
      <c r="A6619" s="64"/>
      <c r="D6619" s="55"/>
      <c r="E6619" s="49" t="s">
        <v>25</v>
      </c>
      <c r="F6619" s="54">
        <v>0.15</v>
      </c>
      <c r="G6619" s="51">
        <f>G6617*F6619</f>
        <v>45565.95</v>
      </c>
    </row>
    <row r="6620" spans="1:7" x14ac:dyDescent="0.25">
      <c r="A6620" s="64"/>
      <c r="D6620" s="55"/>
      <c r="E6620" s="49" t="s">
        <v>26</v>
      </c>
      <c r="F6620" s="54">
        <v>0.05</v>
      </c>
      <c r="G6620" s="51">
        <f>G6617*F6620</f>
        <v>15188.650000000001</v>
      </c>
    </row>
    <row r="6621" spans="1:7" x14ac:dyDescent="0.25">
      <c r="A6621" s="61"/>
      <c r="B6621" s="65"/>
      <c r="C6621" s="65"/>
      <c r="D6621" s="62"/>
      <c r="E6621" s="49" t="s">
        <v>27</v>
      </c>
      <c r="F6621" s="54">
        <v>0.05</v>
      </c>
      <c r="G6621" s="51">
        <f>G6617*F6621</f>
        <v>15188.650000000001</v>
      </c>
    </row>
    <row r="6622" spans="1:7" x14ac:dyDescent="0.25">
      <c r="A6622" s="61"/>
      <c r="B6622" s="62"/>
      <c r="C6622" s="62"/>
      <c r="D6622" s="62"/>
      <c r="E6622" s="62"/>
      <c r="F6622" s="62"/>
      <c r="G6622" s="63"/>
    </row>
    <row r="6623" spans="1:7" x14ac:dyDescent="0.25">
      <c r="A6623" s="219" t="s">
        <v>101</v>
      </c>
      <c r="B6623" s="219"/>
      <c r="C6623" s="219"/>
      <c r="D6623" s="219"/>
      <c r="E6623" s="219"/>
      <c r="F6623" s="219"/>
      <c r="G6623" s="52">
        <f>G6617+G6619+G6620+G6621</f>
        <v>379716.25000000006</v>
      </c>
    </row>
    <row r="6624" spans="1:7" x14ac:dyDescent="0.25">
      <c r="A6624" s="59"/>
      <c r="B6624" s="60"/>
      <c r="C6624" s="60"/>
      <c r="D6624" s="60"/>
      <c r="E6624" s="57"/>
      <c r="F6624" s="57"/>
      <c r="G6624" s="58"/>
    </row>
    <row r="6625" spans="1:9" x14ac:dyDescent="0.25">
      <c r="A6625" s="64"/>
      <c r="D6625" s="55"/>
      <c r="E6625" s="49" t="s">
        <v>102</v>
      </c>
      <c r="F6625" s="49" t="s">
        <v>103</v>
      </c>
      <c r="G6625" s="51">
        <f>G6621*19%</f>
        <v>2885.8435000000004</v>
      </c>
    </row>
    <row r="6626" spans="1:9" x14ac:dyDescent="0.25">
      <c r="A6626" s="61"/>
      <c r="B6626" s="62"/>
      <c r="C6626" s="62"/>
      <c r="D6626" s="62"/>
      <c r="E6626" s="57"/>
      <c r="F6626" s="57"/>
      <c r="G6626" s="58"/>
    </row>
    <row r="6627" spans="1:9" x14ac:dyDescent="0.25">
      <c r="A6627" s="219" t="s">
        <v>104</v>
      </c>
      <c r="B6627" s="219"/>
      <c r="C6627" s="219"/>
      <c r="D6627" s="219"/>
      <c r="E6627" s="219"/>
      <c r="F6627" s="219"/>
      <c r="G6627" s="52">
        <f>G6625+G6623</f>
        <v>382602.09350000008</v>
      </c>
    </row>
    <row r="6629" spans="1:9" x14ac:dyDescent="0.25">
      <c r="A6629" s="74" t="s">
        <v>29</v>
      </c>
      <c r="B6629" s="226" t="s">
        <v>30</v>
      </c>
      <c r="C6629" s="226"/>
      <c r="D6629" s="74" t="s">
        <v>31</v>
      </c>
      <c r="E6629" s="74" t="s">
        <v>32</v>
      </c>
      <c r="F6629" s="74" t="s">
        <v>189</v>
      </c>
      <c r="G6629" s="74" t="s">
        <v>33</v>
      </c>
      <c r="H6629" s="105"/>
    </row>
    <row r="6630" spans="1:9" x14ac:dyDescent="0.25">
      <c r="A6630" s="50" t="str">
        <f>Presupuesto!B127</f>
        <v>106_OC</v>
      </c>
      <c r="B6630" s="227" t="str">
        <f>Presupuesto!C127</f>
        <v>CIELO RASO EN PVC</v>
      </c>
      <c r="C6630" s="228"/>
      <c r="D6630" s="50" t="s">
        <v>113</v>
      </c>
      <c r="E6630" s="107">
        <v>17</v>
      </c>
      <c r="F6630" s="50"/>
      <c r="G6630" s="51">
        <f>G6693</f>
        <v>123293.7145</v>
      </c>
      <c r="H6630" s="45"/>
    </row>
    <row r="6631" spans="1:9" x14ac:dyDescent="0.25">
      <c r="A6631" s="219" t="s">
        <v>34</v>
      </c>
      <c r="B6631" s="219"/>
      <c r="C6631" s="219"/>
      <c r="D6631" s="219"/>
      <c r="E6631" s="219"/>
      <c r="F6631" s="219"/>
      <c r="G6631" s="219"/>
    </row>
    <row r="6632" spans="1:9" x14ac:dyDescent="0.25">
      <c r="A6632" s="49" t="s">
        <v>35</v>
      </c>
      <c r="B6632" s="219" t="s">
        <v>36</v>
      </c>
      <c r="C6632" s="219"/>
      <c r="D6632" s="49" t="s">
        <v>37</v>
      </c>
      <c r="E6632" s="49" t="s">
        <v>38</v>
      </c>
      <c r="F6632" s="49" t="s">
        <v>39</v>
      </c>
      <c r="G6632" s="49" t="s">
        <v>40</v>
      </c>
    </row>
    <row r="6633" spans="1:9" x14ac:dyDescent="0.25">
      <c r="A6633" s="50" t="str">
        <f>Material!A656</f>
        <v>MA-655</v>
      </c>
      <c r="B6633" s="72" t="str">
        <f>IFERROR(VLOOKUP(A6633,Material!$A:$H,2,0),"-")</f>
        <v>PERFILERÍA PARA CIELORASO MODULAR</v>
      </c>
      <c r="C6633" s="76"/>
      <c r="D6633" s="50" t="str">
        <f>IFERROR(VLOOKUP(A6633,Material!$A:$H,4,0),"-")</f>
        <v>M2</v>
      </c>
      <c r="E6633" s="53">
        <v>1</v>
      </c>
      <c r="F6633" s="51">
        <f>IFERROR(VLOOKUP(A6633,Material!$A:$H,3,0),"-")</f>
        <v>19500</v>
      </c>
      <c r="G6633" s="51">
        <f>IFERROR(ROUNDUP(F6633*E6633,0),"-")</f>
        <v>19500</v>
      </c>
      <c r="H6633" s="106"/>
    </row>
    <row r="6634" spans="1:9" ht="36.75" customHeight="1" x14ac:dyDescent="0.25">
      <c r="A6634" s="50" t="str">
        <f>Material!A657</f>
        <v>MA-656</v>
      </c>
      <c r="B6634" s="221" t="str">
        <f>IFERROR(VLOOKUP(A6634,Material!$A:$H,2,0),"-")</f>
        <v>CIELO RASO FIBRA MINERAL 0.60M X 0.60M X 14MM CAJA X 10 UNIDADES</v>
      </c>
      <c r="C6634" s="222"/>
      <c r="D6634" s="50" t="str">
        <f>IFERROR(VLOOKUP(A6634,Material!$A:$H,4,0),"-")</f>
        <v>M2</v>
      </c>
      <c r="E6634" s="23">
        <v>1</v>
      </c>
      <c r="F6634" s="51">
        <f>IFERROR(VLOOKUP(A6634,Material!$A:$H,3,0),"-")</f>
        <v>66046.5</v>
      </c>
      <c r="G6634" s="51">
        <f>IFERROR(ROUNDUP(F6634*E6634,0),"-")</f>
        <v>66047</v>
      </c>
      <c r="H6634" s="106"/>
    </row>
    <row r="6635" spans="1:9" x14ac:dyDescent="0.25">
      <c r="A6635" s="219" t="s">
        <v>41</v>
      </c>
      <c r="B6635" s="219"/>
      <c r="C6635" s="219"/>
      <c r="D6635" s="219"/>
      <c r="E6635" s="219"/>
      <c r="F6635" s="219"/>
      <c r="G6635" s="52">
        <f>SUM(G6633:G6634)</f>
        <v>85547</v>
      </c>
      <c r="I6635" s="104"/>
    </row>
    <row r="6636" spans="1:9" x14ac:dyDescent="0.25">
      <c r="A6636" s="56"/>
      <c r="B6636" s="57"/>
      <c r="C6636" s="57"/>
      <c r="D6636" s="57"/>
      <c r="E6636" s="57"/>
      <c r="F6636" s="57"/>
      <c r="G6636" s="58"/>
    </row>
    <row r="6637" spans="1:9" x14ac:dyDescent="0.25">
      <c r="A6637" s="219" t="s">
        <v>42</v>
      </c>
      <c r="B6637" s="219"/>
      <c r="C6637" s="219"/>
      <c r="D6637" s="219"/>
      <c r="E6637" s="219"/>
      <c r="F6637" s="219"/>
      <c r="G6637" s="219"/>
    </row>
    <row r="6638" spans="1:9" x14ac:dyDescent="0.25">
      <c r="A6638" s="49" t="s">
        <v>35</v>
      </c>
      <c r="B6638" s="49" t="s">
        <v>36</v>
      </c>
      <c r="C6638" s="49" t="s">
        <v>38</v>
      </c>
      <c r="D6638" s="49" t="s">
        <v>43</v>
      </c>
      <c r="E6638" s="49" t="s">
        <v>44</v>
      </c>
      <c r="F6638" s="49" t="s">
        <v>45</v>
      </c>
      <c r="G6638" s="49" t="s">
        <v>40</v>
      </c>
    </row>
    <row r="6639" spans="1:9" x14ac:dyDescent="0.25">
      <c r="A6639" s="50" t="s">
        <v>319</v>
      </c>
      <c r="B6639" s="68" t="str">
        <f>VLOOKUP(A6639,'Componentes APUs'!$H$1:$L$25,2,0)</f>
        <v>Ingeniero Residente de Obra</v>
      </c>
      <c r="C6639" s="93">
        <v>0</v>
      </c>
      <c r="D6639" s="50">
        <f>VLOOKUP(A6639,'Componentes APUs'!$H$1:$L$25,3,0)</f>
        <v>4</v>
      </c>
      <c r="E6639" s="51">
        <f>VLOOKUP(A6639,'Componentes APUs'!$H$1:$L$25,4,0)</f>
        <v>271142.85714285716</v>
      </c>
      <c r="F6639" s="51">
        <f>VLOOKUP(A6639,'Componentes APUs'!$H$1:$L$25,5,0)</f>
        <v>162685.71428571429</v>
      </c>
      <c r="G6639" s="51">
        <f>ROUNDUP((E6639+F6639)*C6639/E6630,0)</f>
        <v>0</v>
      </c>
      <c r="H6639" s="66"/>
    </row>
    <row r="6640" spans="1:9" x14ac:dyDescent="0.25">
      <c r="A6640" s="50" t="s">
        <v>320</v>
      </c>
      <c r="B6640" s="68" t="str">
        <f>VLOOKUP(A6640,'Componentes APUs'!$H$1:$L$25,2,0)</f>
        <v>Tecnico Supervisor</v>
      </c>
      <c r="C6640" s="93">
        <v>0</v>
      </c>
      <c r="D6640" s="50">
        <f>VLOOKUP(A6640,'Componentes APUs'!$H$1:$L$25,3,0)</f>
        <v>2.2999999999999998</v>
      </c>
      <c r="E6640" s="51">
        <f>VLOOKUP(A6640,'Componentes APUs'!$H$1:$L$25,4,0)</f>
        <v>155907.14285714284</v>
      </c>
      <c r="F6640" s="51">
        <f>VLOOKUP(A6640,'Componentes APUs'!$H$1:$L$25,5,0)</f>
        <v>93544.285714285696</v>
      </c>
      <c r="G6640" s="51">
        <f>ROUNDUP((E6640+F6640)*C6640/E6630,0)</f>
        <v>0</v>
      </c>
    </row>
    <row r="6641" spans="1:9" x14ac:dyDescent="0.25">
      <c r="A6641" s="50" t="s">
        <v>54</v>
      </c>
      <c r="B6641" s="68" t="str">
        <f>VLOOKUP(A6641,'Componentes APUs'!$H$1:$L$25,2,0)</f>
        <v>Maestro de obra civil</v>
      </c>
      <c r="C6641" s="93">
        <v>0</v>
      </c>
      <c r="D6641" s="50">
        <f>VLOOKUP(A6641,'Componentes APUs'!$H$1:$L$25,3,0)</f>
        <v>2.5</v>
      </c>
      <c r="E6641" s="51">
        <f>VLOOKUP(A6641,'Componentes APUs'!$H$1:$L$25,4,0)</f>
        <v>169464.28571428571</v>
      </c>
      <c r="F6641" s="51">
        <f>VLOOKUP(A6641,'Componentes APUs'!$H$1:$L$25,5,0)</f>
        <v>101678.57142857142</v>
      </c>
      <c r="G6641" s="51">
        <f>ROUNDUP((E6641+F6641)*C6641/E6630,0)</f>
        <v>0</v>
      </c>
    </row>
    <row r="6642" spans="1:9" x14ac:dyDescent="0.25">
      <c r="A6642" s="50" t="s">
        <v>1110</v>
      </c>
      <c r="B6642" s="68" t="str">
        <f>VLOOKUP(A6642,'Componentes APUs'!$H$1:$L$25,2,0)</f>
        <v>Oficial de Obra Civil</v>
      </c>
      <c r="C6642" s="93">
        <v>0</v>
      </c>
      <c r="D6642" s="50">
        <f>VLOOKUP(A6642,'Componentes APUs'!$H$1:$L$25,3,0)</f>
        <v>1.5</v>
      </c>
      <c r="E6642" s="51">
        <f>VLOOKUP(A6642,'Componentes APUs'!$H$1:$L$25,4,0)</f>
        <v>115964.28571428571</v>
      </c>
      <c r="F6642" s="51">
        <f>VLOOKUP(A6642,'Componentes APUs'!$H$1:$L$25,5,0)</f>
        <v>69578.57142857142</v>
      </c>
      <c r="G6642" s="51">
        <f>ROUNDUP((E6642+F6642)*C6642/E6630,0)</f>
        <v>0</v>
      </c>
    </row>
    <row r="6643" spans="1:9" x14ac:dyDescent="0.25">
      <c r="A6643" s="50" t="s">
        <v>50</v>
      </c>
      <c r="B6643" s="68" t="str">
        <f>VLOOKUP(A6643,'Componentes APUs'!$H$1:$L$25,2,0)</f>
        <v>Profesional en SST</v>
      </c>
      <c r="C6643" s="93">
        <v>0</v>
      </c>
      <c r="D6643" s="50">
        <f>VLOOKUP(A6643,'Componentes APUs'!$H$1:$L$25,3,0)</f>
        <v>2.5</v>
      </c>
      <c r="E6643" s="51">
        <f>VLOOKUP(A6643,'Componentes APUs'!$H$1:$L$25,4,0)</f>
        <v>169464.28571428571</v>
      </c>
      <c r="F6643" s="51">
        <f>VLOOKUP(A6643,'Componentes APUs'!$H$1:$L$25,5,0)</f>
        <v>101678.57142857142</v>
      </c>
      <c r="G6643" s="51">
        <f>ROUNDUP((E6643+F6643)*C6643/E6630,0)</f>
        <v>0</v>
      </c>
    </row>
    <row r="6644" spans="1:9" x14ac:dyDescent="0.25">
      <c r="A6644" s="50" t="s">
        <v>1109</v>
      </c>
      <c r="B6644" s="68" t="str">
        <f>VLOOKUP(A6644,'Componentes APUs'!$H$1:$L$25,2,0)</f>
        <v>Ayudante de Obra Civil</v>
      </c>
      <c r="C6644" s="93">
        <v>1</v>
      </c>
      <c r="D6644" s="50">
        <f>VLOOKUP(A6644,'Componentes APUs'!$H$1:$L$25,3,0)</f>
        <v>1</v>
      </c>
      <c r="E6644" s="51">
        <f>VLOOKUP(A6644,'Componentes APUs'!$H$1:$L$25,4,0)</f>
        <v>77309.523809523816</v>
      </c>
      <c r="F6644" s="51">
        <f>VLOOKUP(A6644,'Componentes APUs'!$H$1:$L$25,5,0)</f>
        <v>46385.71428571429</v>
      </c>
      <c r="G6644" s="51">
        <f>ROUNDUP((E6644+F6644)*C6644/E6630,0)</f>
        <v>7277</v>
      </c>
    </row>
    <row r="6645" spans="1:9" x14ac:dyDescent="0.25">
      <c r="A6645" s="219" t="s">
        <v>56</v>
      </c>
      <c r="B6645" s="219"/>
      <c r="C6645" s="219"/>
      <c r="D6645" s="219"/>
      <c r="E6645" s="219"/>
      <c r="F6645" s="219"/>
      <c r="G6645" s="52">
        <f>SUM(G6639:G6644)</f>
        <v>7277</v>
      </c>
    </row>
    <row r="6646" spans="1:9" x14ac:dyDescent="0.25">
      <c r="A6646" s="56"/>
      <c r="B6646" s="57"/>
      <c r="C6646" s="57"/>
      <c r="D6646" s="57"/>
      <c r="E6646" s="57"/>
      <c r="F6646" s="57"/>
      <c r="G6646" s="58"/>
    </row>
    <row r="6647" spans="1:9" x14ac:dyDescent="0.25">
      <c r="A6647" s="219" t="s">
        <v>57</v>
      </c>
      <c r="B6647" s="219"/>
      <c r="C6647" s="219"/>
      <c r="D6647" s="219"/>
      <c r="E6647" s="219"/>
      <c r="F6647" s="219"/>
      <c r="G6647" s="219"/>
    </row>
    <row r="6648" spans="1:9" x14ac:dyDescent="0.25">
      <c r="A6648" s="49" t="s">
        <v>35</v>
      </c>
      <c r="B6648" s="219" t="s">
        <v>36</v>
      </c>
      <c r="C6648" s="219"/>
      <c r="D6648" s="49" t="s">
        <v>37</v>
      </c>
      <c r="E6648" s="49" t="s">
        <v>38</v>
      </c>
      <c r="F6648" s="49" t="s">
        <v>39</v>
      </c>
      <c r="G6648" s="49" t="s">
        <v>40</v>
      </c>
    </row>
    <row r="6649" spans="1:9" x14ac:dyDescent="0.25">
      <c r="A6649" s="50" t="s">
        <v>326</v>
      </c>
      <c r="B6649" s="220" t="str">
        <f>VLOOKUP(A6649,'Componentes APUs'!$S$1:$V$10,2,0)</f>
        <v>Juego Llaves</v>
      </c>
      <c r="C6649" s="220"/>
      <c r="D6649" s="50" t="s">
        <v>18</v>
      </c>
      <c r="E6649" s="50">
        <v>0</v>
      </c>
      <c r="F6649" s="51">
        <f>VLOOKUP(A6649,'Componentes APUs'!$S$1:$V$10,4,0)</f>
        <v>9167</v>
      </c>
      <c r="G6649" s="51">
        <f>ROUNDUP(F6649*((E6649/21)/E6630),0)</f>
        <v>0</v>
      </c>
      <c r="I6649" s="91"/>
    </row>
    <row r="6650" spans="1:9" x14ac:dyDescent="0.25">
      <c r="A6650" s="50" t="s">
        <v>58</v>
      </c>
      <c r="B6650" s="220" t="str">
        <f>VLOOKUP(A6650,'Componentes APUs'!$S$1:$V$10,2,0)</f>
        <v>Manila de servicio</v>
      </c>
      <c r="C6650" s="220"/>
      <c r="D6650" s="50" t="s">
        <v>18</v>
      </c>
      <c r="E6650" s="50">
        <v>0</v>
      </c>
      <c r="F6650" s="51">
        <f>VLOOKUP(A6650,'Componentes APUs'!$S$1:$V$10,4,0)</f>
        <v>2333</v>
      </c>
      <c r="G6650" s="51">
        <f>ROUNDUP(F6650*((E6650/21)/E6630),0)</f>
        <v>0</v>
      </c>
    </row>
    <row r="6651" spans="1:9" x14ac:dyDescent="0.25">
      <c r="A6651" s="50" t="s">
        <v>327</v>
      </c>
      <c r="B6651" s="220" t="str">
        <f>VLOOKUP(A6651,'Componentes APUs'!$S$1:$V$10,2,0)</f>
        <v>Tula portaherramientas</v>
      </c>
      <c r="C6651" s="220"/>
      <c r="D6651" s="50" t="s">
        <v>18</v>
      </c>
      <c r="E6651" s="50">
        <v>0</v>
      </c>
      <c r="F6651" s="51">
        <f>VLOOKUP(A6651,'Componentes APUs'!$S$1:$V$10,4,0)</f>
        <v>1250</v>
      </c>
      <c r="G6651" s="51">
        <f>ROUNDUP(F6651*((E6651/21)/E6630),0)</f>
        <v>0</v>
      </c>
    </row>
    <row r="6652" spans="1:9" x14ac:dyDescent="0.25">
      <c r="A6652" s="50" t="s">
        <v>60</v>
      </c>
      <c r="B6652" s="220" t="str">
        <f>VLOOKUP(A6652,'Componentes APUs'!$S$1:$V$10,2,0)</f>
        <v>Agarradoras</v>
      </c>
      <c r="C6652" s="220"/>
      <c r="D6652" s="50" t="s">
        <v>18</v>
      </c>
      <c r="E6652" s="50">
        <v>0</v>
      </c>
      <c r="F6652" s="51">
        <f>VLOOKUP(A6652,'Componentes APUs'!$S$1:$V$10,4,0)</f>
        <v>125000</v>
      </c>
      <c r="G6652" s="51">
        <f>ROUNDUP(F6652*((E6652/21)/E6630),0)</f>
        <v>0</v>
      </c>
    </row>
    <row r="6653" spans="1:9" x14ac:dyDescent="0.25">
      <c r="A6653" s="50" t="s">
        <v>62</v>
      </c>
      <c r="B6653" s="220" t="str">
        <f>VLOOKUP(A6653,'Componentes APUs'!$S$1:$V$10,2,0)</f>
        <v>Templadoras</v>
      </c>
      <c r="C6653" s="220"/>
      <c r="D6653" s="50" t="s">
        <v>18</v>
      </c>
      <c r="E6653" s="50">
        <v>0</v>
      </c>
      <c r="F6653" s="51">
        <f>VLOOKUP(A6653,'Componentes APUs'!$S$1:$V$10,4,0)</f>
        <v>250000</v>
      </c>
      <c r="G6653" s="51">
        <f>ROUNDUP(F6653*((E6653/21)/E6630),0)</f>
        <v>0</v>
      </c>
    </row>
    <row r="6654" spans="1:9" x14ac:dyDescent="0.25">
      <c r="A6654" s="50" t="s">
        <v>328</v>
      </c>
      <c r="B6654" s="220" t="str">
        <f>VLOOKUP(A6654,'Componentes APUs'!$S$1:$V$10,2,0)</f>
        <v>Herramienta Menor</v>
      </c>
      <c r="C6654" s="220"/>
      <c r="D6654" s="50" t="s">
        <v>18</v>
      </c>
      <c r="E6654" s="50">
        <v>5</v>
      </c>
      <c r="F6654" s="51">
        <f>VLOOKUP(A6654,'Componentes APUs'!$S$1:$V$10,4,0)</f>
        <v>75758</v>
      </c>
      <c r="G6654" s="51">
        <f>ROUNDUP(F6654*((E6654/21)/E6630),0)</f>
        <v>1062</v>
      </c>
    </row>
    <row r="6655" spans="1:9" x14ac:dyDescent="0.25">
      <c r="A6655" s="219" t="s">
        <v>69</v>
      </c>
      <c r="B6655" s="219"/>
      <c r="C6655" s="219"/>
      <c r="D6655" s="219"/>
      <c r="E6655" s="219"/>
      <c r="F6655" s="219"/>
      <c r="G6655" s="52">
        <f>SUM(G6649:G6654)</f>
        <v>1062</v>
      </c>
    </row>
    <row r="6656" spans="1:9" x14ac:dyDescent="0.25">
      <c r="A6656" s="56"/>
      <c r="B6656" s="57"/>
      <c r="C6656" s="57"/>
      <c r="D6656" s="57"/>
      <c r="E6656" s="57"/>
      <c r="F6656" s="57"/>
      <c r="G6656" s="58"/>
    </row>
    <row r="6657" spans="1:9" x14ac:dyDescent="0.25">
      <c r="A6657" s="219" t="s">
        <v>70</v>
      </c>
      <c r="B6657" s="219"/>
      <c r="C6657" s="219"/>
      <c r="D6657" s="219"/>
      <c r="E6657" s="219"/>
      <c r="F6657" s="219"/>
      <c r="G6657" s="219"/>
    </row>
    <row r="6658" spans="1:9" x14ac:dyDescent="0.25">
      <c r="A6658" s="49" t="s">
        <v>35</v>
      </c>
      <c r="B6658" s="219" t="s">
        <v>36</v>
      </c>
      <c r="C6658" s="219"/>
      <c r="D6658" s="49" t="s">
        <v>37</v>
      </c>
      <c r="E6658" s="49" t="s">
        <v>38</v>
      </c>
      <c r="F6658" s="49" t="s">
        <v>39</v>
      </c>
      <c r="G6658" s="49" t="s">
        <v>40</v>
      </c>
    </row>
    <row r="6659" spans="1:9" x14ac:dyDescent="0.25">
      <c r="A6659" s="50" t="s">
        <v>71</v>
      </c>
      <c r="B6659" s="71" t="str">
        <f>VLOOKUP(A6659,'Componentes APUs'!$A$1:$D$14,2,0)</f>
        <v>Camisa indigo sin partes metalicas</v>
      </c>
      <c r="C6659" s="71"/>
      <c r="D6659" s="50" t="str">
        <f>VLOOKUP(A6659,'Componentes APUs'!$A$1:$D$14,3,0)</f>
        <v>U</v>
      </c>
      <c r="E6659" s="50">
        <f>SUM(C6639:C6644)</f>
        <v>1</v>
      </c>
      <c r="F6659" s="51">
        <f>VLOOKUP(A6659,'Componentes APUs'!$A$1:$D$14,4,0)</f>
        <v>8585.8585858585866</v>
      </c>
      <c r="G6659" s="51">
        <f>ROUNDUP(F6659*(E6659/21)/E6630,0)</f>
        <v>25</v>
      </c>
      <c r="I6659" s="91"/>
    </row>
    <row r="6660" spans="1:9" x14ac:dyDescent="0.25">
      <c r="A6660" s="69" t="s">
        <v>73</v>
      </c>
      <c r="B6660" s="72" t="str">
        <f>VLOOKUP(A6660,'Componentes APUs'!$A$1:$D$14,2,0)</f>
        <v>Bota de seguridad dielectrica</v>
      </c>
      <c r="C6660" s="73"/>
      <c r="D6660" s="70" t="str">
        <f>VLOOKUP(A6660,'Componentes APUs'!$A$1:$D$14,3,0)</f>
        <v>Par</v>
      </c>
      <c r="E6660" s="50">
        <f>SUM(C6639:C6644)</f>
        <v>1</v>
      </c>
      <c r="F6660" s="51">
        <f>VLOOKUP(A6660,'Componentes APUs'!$A$1:$D$14,4,0)</f>
        <v>7500</v>
      </c>
      <c r="G6660" s="51">
        <f>ROUNDUP(F6660*(E6660/21)/E6630,0)</f>
        <v>22</v>
      </c>
    </row>
    <row r="6661" spans="1:9" x14ac:dyDescent="0.25">
      <c r="A6661" s="50" t="s">
        <v>76</v>
      </c>
      <c r="B6661" s="72" t="str">
        <f>VLOOKUP(A6661,'Componentes APUs'!$A$1:$D$14,2,0)</f>
        <v>Casco dielectrico Tipo 1 Clase E con barbuquejo</v>
      </c>
      <c r="C6661" s="73"/>
      <c r="D6661" s="50" t="str">
        <f>VLOOKUP(A6661,'Componentes APUs'!$A$1:$D$14,3,0)</f>
        <v>U</v>
      </c>
      <c r="E6661" s="50">
        <f>C6639+C6640+C6642+C6643+C6644+IF(A6641&lt;&gt;"MO-3",C6641,0)</f>
        <v>1</v>
      </c>
      <c r="F6661" s="51">
        <f>VLOOKUP(A6661,'Componentes APUs'!$A$1:$D$14,4,0)</f>
        <v>10101.010101010101</v>
      </c>
      <c r="G6661" s="51">
        <f>ROUNDUP(F6661*(E6661/21)/E6630,0)</f>
        <v>29</v>
      </c>
    </row>
    <row r="6662" spans="1:9" x14ac:dyDescent="0.25">
      <c r="A6662" s="69" t="s">
        <v>77</v>
      </c>
      <c r="B6662" s="72" t="str">
        <f>VLOOKUP(A6662,'Componentes APUs'!$A$1:$D$14,2,0)</f>
        <v>Correa plastica y antiflama</v>
      </c>
      <c r="C6662" s="73"/>
      <c r="D6662" s="50" t="str">
        <f>VLOOKUP(A6662,'Componentes APUs'!$A$1:$D$14,3,0)</f>
        <v>U</v>
      </c>
      <c r="E6662" s="50">
        <f>SUM(C6639:C6644)</f>
        <v>1</v>
      </c>
      <c r="F6662" s="51">
        <f>VLOOKUP(A6662,'Componentes APUs'!$A$1:$D$14,4,0)</f>
        <v>3787.878787878788</v>
      </c>
      <c r="G6662" s="51">
        <f>ROUNDUP(F6662*(E6662/21)/E6630,0)</f>
        <v>11</v>
      </c>
    </row>
    <row r="6663" spans="1:9" x14ac:dyDescent="0.25">
      <c r="A6663" s="50" t="s">
        <v>79</v>
      </c>
      <c r="B6663" s="72" t="str">
        <f>VLOOKUP(A6663,'Componentes APUs'!$A$1:$D$14,2,0)</f>
        <v>Gafas protectoras filtro UV</v>
      </c>
      <c r="C6663" s="73"/>
      <c r="D6663" s="50" t="str">
        <f>VLOOKUP(A6663,'Componentes APUs'!$A$1:$D$14,3,0)</f>
        <v>U</v>
      </c>
      <c r="E6663" s="50">
        <f>SUM(C6639:C6644)</f>
        <v>1</v>
      </c>
      <c r="F6663" s="51">
        <f>VLOOKUP(A6663,'Componentes APUs'!$A$1:$D$14,4,0)</f>
        <v>2777.7777777777778</v>
      </c>
      <c r="G6663" s="51">
        <f>ROUNDUP(F6663*(E6663/21)/E6630,0)</f>
        <v>8</v>
      </c>
    </row>
    <row r="6664" spans="1:9" x14ac:dyDescent="0.25">
      <c r="A6664" s="69" t="s">
        <v>402</v>
      </c>
      <c r="B6664" s="72" t="str">
        <f>VLOOKUP(A6664,'Componentes APUs'!$A$1:$D$14,2,0)</f>
        <v>Bota de seguridad PVC dielectrica</v>
      </c>
      <c r="C6664" s="73"/>
      <c r="D6664" s="50" t="str">
        <f>VLOOKUP(A6664,'Componentes APUs'!$A$1:$D$14,3,0)</f>
        <v>Par</v>
      </c>
      <c r="E6664" s="50">
        <f>SUM(C6639:C6644)</f>
        <v>1</v>
      </c>
      <c r="F6664" s="51">
        <f>VLOOKUP(A6664,'Componentes APUs'!$A$1:$D$14,4,0)</f>
        <v>2916.6666666666665</v>
      </c>
      <c r="G6664" s="51">
        <f>ROUNDUP(F6664*(E6664/21)/E6630,0)</f>
        <v>9</v>
      </c>
    </row>
    <row r="6665" spans="1:9" x14ac:dyDescent="0.25">
      <c r="A6665" s="50" t="s">
        <v>403</v>
      </c>
      <c r="B6665" s="72" t="str">
        <f>VLOOKUP(A6665,'Componentes APUs'!$A$1:$D$14,2,0)</f>
        <v>Capuchon</v>
      </c>
      <c r="C6665" s="73"/>
      <c r="D6665" s="50" t="str">
        <f>VLOOKUP(A6665,'Componentes APUs'!$A$1:$D$14,3,0)</f>
        <v>U</v>
      </c>
      <c r="E6665" s="50">
        <f>SUM(C6639:C6644)</f>
        <v>1</v>
      </c>
      <c r="F6665" s="51">
        <f>VLOOKUP(A6665,'Componentes APUs'!$A$1:$D$14,4,0)</f>
        <v>2525.2525252525252</v>
      </c>
      <c r="G6665" s="51">
        <f>ROUNDUP(F6665*(E6665/21)/E6630,0)</f>
        <v>8</v>
      </c>
    </row>
    <row r="6666" spans="1:9" x14ac:dyDescent="0.25">
      <c r="A6666" s="69" t="s">
        <v>81</v>
      </c>
      <c r="B6666" s="72" t="str">
        <f>VLOOKUP(A6666,'Componentes APUs'!$A$1:$D$14,2,0)</f>
        <v>Guantes Protectores  - ingeniero reforzados</v>
      </c>
      <c r="C6666" s="73"/>
      <c r="D6666" s="50" t="str">
        <f>VLOOKUP(A6666,'Componentes APUs'!$A$1:$D$14,3,0)</f>
        <v>Par</v>
      </c>
      <c r="E6666" s="50">
        <f>C6641+C6642+C6644</f>
        <v>1</v>
      </c>
      <c r="F6666" s="51">
        <f>VLOOKUP(A6666,'Componentes APUs'!$A$1:$D$14,4,0)</f>
        <v>2525.2525252525252</v>
      </c>
      <c r="G6666" s="51">
        <f>ROUNDUP(F6666*(E6666/21)/E6630,0)</f>
        <v>8</v>
      </c>
    </row>
    <row r="6667" spans="1:9" x14ac:dyDescent="0.25">
      <c r="A6667" s="50" t="s">
        <v>83</v>
      </c>
      <c r="B6667" s="72" t="str">
        <f>VLOOKUP(A6667,'Componentes APUs'!$A$1:$D$14,2,0)</f>
        <v>Impermeable (pantalon camisa)</v>
      </c>
      <c r="C6667" s="73"/>
      <c r="D6667" s="50" t="str">
        <f>VLOOKUP(A6667,'Componentes APUs'!$A$1:$D$14,3,0)</f>
        <v>U</v>
      </c>
      <c r="E6667" s="50">
        <f>SUM(C6639:C6644)</f>
        <v>1</v>
      </c>
      <c r="F6667" s="51">
        <f>VLOOKUP(A6667,'Componentes APUs'!$A$1:$D$14,4,0)</f>
        <v>3750</v>
      </c>
      <c r="G6667" s="51">
        <f>ROUNDUP(F6667*(E6667/21)/E6630,0)</f>
        <v>11</v>
      </c>
    </row>
    <row r="6668" spans="1:9" x14ac:dyDescent="0.25">
      <c r="A6668" s="69" t="s">
        <v>85</v>
      </c>
      <c r="B6668" s="72" t="str">
        <f>VLOOKUP(A6668,'Componentes APUs'!$A$1:$D$14,2,0)</f>
        <v>Jean Dielectrico</v>
      </c>
      <c r="C6668" s="73"/>
      <c r="D6668" s="50" t="str">
        <f>VLOOKUP(A6668,'Componentes APUs'!$A$1:$D$14,3,0)</f>
        <v>U</v>
      </c>
      <c r="E6668" s="50">
        <f>SUM(C6639:C6644)</f>
        <v>1</v>
      </c>
      <c r="F6668" s="51">
        <f>VLOOKUP(A6668,'Componentes APUs'!$A$1:$D$14,4,0)</f>
        <v>7575.757575757576</v>
      </c>
      <c r="G6668" s="51">
        <f>ROUNDUP(F6668*(E6668/21)/E6630,0)</f>
        <v>22</v>
      </c>
    </row>
    <row r="6669" spans="1:9" x14ac:dyDescent="0.25">
      <c r="A6669" s="50" t="s">
        <v>87</v>
      </c>
      <c r="B6669" s="72" t="str">
        <f>VLOOKUP(A6669,'Componentes APUs'!$A$1:$D$14,2,0)</f>
        <v>Casco dielectrico Tipo 2 Clase E con barboquejo</v>
      </c>
      <c r="C6669" s="73"/>
      <c r="D6669" s="50" t="str">
        <f>VLOOKUP(A6669,'Componentes APUs'!$A$1:$D$14,3,0)</f>
        <v>U</v>
      </c>
      <c r="E6669" s="53">
        <f>IF(A6641="MO-3",C6641,0)</f>
        <v>0</v>
      </c>
      <c r="F6669" s="51">
        <f>VLOOKUP(A6669,'Componentes APUs'!$A$1:$D$14,4,0)</f>
        <v>7500</v>
      </c>
      <c r="G6669" s="51">
        <f>ROUNDUP(F6669*(E6669/21)/E6630,0)</f>
        <v>0</v>
      </c>
    </row>
    <row r="6670" spans="1:9" x14ac:dyDescent="0.25">
      <c r="A6670" s="69" t="s">
        <v>89</v>
      </c>
      <c r="B6670" s="72" t="str">
        <f>VLOOKUP(A6670,'Componentes APUs'!$A$1:$D$14,2,0)</f>
        <v>Kit de rescate para trabajo en alturas</v>
      </c>
      <c r="C6670" s="73"/>
      <c r="D6670" s="50" t="str">
        <f>VLOOKUP(A6670,'Componentes APUs'!$A$1:$D$14,3,0)</f>
        <v>U</v>
      </c>
      <c r="E6670" s="50">
        <f>IF(AND(A6641="MO-3",C6641=2),1,0)</f>
        <v>0</v>
      </c>
      <c r="F6670" s="51">
        <f>VLOOKUP(A6670,'Componentes APUs'!$A$1:$D$14,4,0)</f>
        <v>37500</v>
      </c>
      <c r="G6670" s="51">
        <f>ROUNDUP(F6670*(E6670/21)/E6630,0)</f>
        <v>0</v>
      </c>
    </row>
    <row r="6671" spans="1:9" x14ac:dyDescent="0.25">
      <c r="A6671" s="50" t="s">
        <v>91</v>
      </c>
      <c r="B6671" s="72" t="str">
        <f>VLOOKUP(A6671,'Componentes APUs'!$A$1:$D$14,2,0)</f>
        <v>Equipo completo para trabajo en alturas con pretales (Arnes dielectrico, 1 mosqueton de seguridad, tie off dielectrico, eslinga de posicionamiento, juego de pretales)</v>
      </c>
      <c r="C6671" s="73"/>
      <c r="D6671" s="50" t="str">
        <f>VLOOKUP(A6671,'Componentes APUs'!$A$1:$D$14,3,0)</f>
        <v>U</v>
      </c>
      <c r="E6671" s="50">
        <f>IF(A6641="MO-3",C6641,0)</f>
        <v>0</v>
      </c>
      <c r="F6671" s="51">
        <f>VLOOKUP(A6671,'Componentes APUs'!$A$1:$D$14,4,0)</f>
        <v>26041.666666666668</v>
      </c>
      <c r="G6671" s="51">
        <f>ROUNDUP(F6671*(E6671/21)/E6630,0)</f>
        <v>0</v>
      </c>
    </row>
    <row r="6672" spans="1:9" x14ac:dyDescent="0.25">
      <c r="A6672" s="219" t="s">
        <v>95</v>
      </c>
      <c r="B6672" s="219"/>
      <c r="C6672" s="219"/>
      <c r="D6672" s="219"/>
      <c r="E6672" s="219"/>
      <c r="F6672" s="219"/>
      <c r="G6672" s="52">
        <f>SUM(G6659:G6671)</f>
        <v>153</v>
      </c>
    </row>
    <row r="6673" spans="1:7" x14ac:dyDescent="0.25">
      <c r="A6673" s="56"/>
      <c r="B6673" s="57"/>
      <c r="C6673" s="57"/>
      <c r="D6673" s="57"/>
      <c r="E6673" s="57"/>
      <c r="F6673" s="57"/>
      <c r="G6673" s="58"/>
    </row>
    <row r="6674" spans="1:7" x14ac:dyDescent="0.25">
      <c r="A6674" s="219" t="s">
        <v>96</v>
      </c>
      <c r="B6674" s="219"/>
      <c r="C6674" s="219"/>
      <c r="D6674" s="219"/>
      <c r="E6674" s="219"/>
      <c r="F6674" s="219"/>
      <c r="G6674" s="219"/>
    </row>
    <row r="6675" spans="1:7" x14ac:dyDescent="0.25">
      <c r="A6675" s="49" t="s">
        <v>35</v>
      </c>
      <c r="B6675" s="225" t="s">
        <v>36</v>
      </c>
      <c r="C6675" s="225"/>
      <c r="D6675" s="49" t="s">
        <v>37</v>
      </c>
      <c r="E6675" s="49" t="s">
        <v>38</v>
      </c>
      <c r="F6675" s="49" t="s">
        <v>39</v>
      </c>
      <c r="G6675" s="49" t="s">
        <v>40</v>
      </c>
    </row>
    <row r="6676" spans="1:7" x14ac:dyDescent="0.25">
      <c r="A6676" s="69" t="s">
        <v>97</v>
      </c>
      <c r="B6676" s="72" t="str">
        <f>VLOOKUP(A6676,'Componentes APUs'!$N$1:$Q$30,2,0)</f>
        <v>Camioneta</v>
      </c>
      <c r="C6676" s="73"/>
      <c r="D6676" s="70" t="str">
        <f>VLOOKUP(A6676,'Componentes APUs'!$N$1:$Q$30,3,0)</f>
        <v>U</v>
      </c>
      <c r="E6676" s="50">
        <v>0.25</v>
      </c>
      <c r="F6676" s="51">
        <f>VLOOKUP(A6676,'Componentes APUs'!$N$1:$Q$30,4,0)</f>
        <v>5500000</v>
      </c>
      <c r="G6676" s="51">
        <f>IFERROR(ROUNDUP(F6676*(E6676/21)/E6630,0),"-")</f>
        <v>3852</v>
      </c>
    </row>
    <row r="6677" spans="1:7" x14ac:dyDescent="0.25">
      <c r="A6677" s="50" t="s">
        <v>321</v>
      </c>
      <c r="B6677" s="72" t="str">
        <f>VLOOKUP(A6677,'Componentes APUs'!$N$1:$Q$30,2,0)</f>
        <v>Grúa Hidráulica</v>
      </c>
      <c r="C6677" s="73"/>
      <c r="D6677" s="70" t="str">
        <f>VLOOKUP(A6677,'Componentes APUs'!$N$1:$Q$30,3,0)</f>
        <v>U</v>
      </c>
      <c r="E6677" s="50">
        <v>0</v>
      </c>
      <c r="F6677" s="51">
        <f>VLOOKUP(A6677,'Componentes APUs'!$N$1:$Q$30,4,0)</f>
        <v>21000000</v>
      </c>
      <c r="G6677" s="51">
        <f>IFERROR(ROUNDUP(F6677*(E6677/21)/E6630,0),"-")</f>
        <v>0</v>
      </c>
    </row>
    <row r="6678" spans="1:7" x14ac:dyDescent="0.25">
      <c r="A6678" s="69" t="s">
        <v>1379</v>
      </c>
      <c r="B6678" s="72" t="str">
        <f>VLOOKUP(A6678,'Componentes APUs'!$N$1:$Q$30,2,0)</f>
        <v>Dumper de descarga Frontal 2T</v>
      </c>
      <c r="C6678" s="73"/>
      <c r="D6678" s="70" t="str">
        <f>VLOOKUP(A6678,'Componentes APUs'!$N$1:$Q$30,3,0)</f>
        <v>U</v>
      </c>
      <c r="E6678" s="50">
        <v>0</v>
      </c>
      <c r="F6678" s="51">
        <f>VLOOKUP(A6678,'Componentes APUs'!$N$1:$Q$30,4,0)</f>
        <v>4438716.24</v>
      </c>
      <c r="G6678" s="51">
        <f>IFERROR(ROUNDUP(F6678*(E6678/21)/E6630,0),"-")</f>
        <v>0</v>
      </c>
    </row>
    <row r="6679" spans="1:7" x14ac:dyDescent="0.25">
      <c r="A6679" s="50" t="s">
        <v>323</v>
      </c>
      <c r="B6679" s="72" t="str">
        <f>VLOOKUP(A6679,'Componentes APUs'!$N$1:$Q$30,2,0)</f>
        <v>Volqueta</v>
      </c>
      <c r="C6679" s="73"/>
      <c r="D6679" s="70" t="str">
        <f>VLOOKUP(A6679,'Componentes APUs'!$N$1:$Q$30,3,0)</f>
        <v>U</v>
      </c>
      <c r="E6679" s="50">
        <v>0</v>
      </c>
      <c r="F6679" s="51">
        <f>VLOOKUP(A6679,'Componentes APUs'!$N$1:$Q$30,4,0)</f>
        <v>14828184</v>
      </c>
      <c r="G6679" s="51">
        <f>IFERROR(ROUNDUP(F6679*(E6679/21)/E6630,0),"-")</f>
        <v>0</v>
      </c>
    </row>
    <row r="6680" spans="1:7" x14ac:dyDescent="0.25">
      <c r="A6680" s="69" t="s">
        <v>324</v>
      </c>
      <c r="B6680" s="72" t="str">
        <f>VLOOKUP(A6680,'Componentes APUs'!$N$1:$Q$30,2,0)</f>
        <v>Retroexcavadora</v>
      </c>
      <c r="C6680" s="73"/>
      <c r="D6680" s="70" t="str">
        <f>VLOOKUP(A6680,'Componentes APUs'!$N$1:$Q$30,3,0)</f>
        <v>U</v>
      </c>
      <c r="E6680" s="50">
        <v>0</v>
      </c>
      <c r="F6680" s="51">
        <f>VLOOKUP(A6680,'Componentes APUs'!$N$1:$Q$30,4,0)</f>
        <v>46030656</v>
      </c>
      <c r="G6680" s="51">
        <f>IFERROR(ROUNDUP(F6680*(E6680/21)/E6630,0),"-")</f>
        <v>0</v>
      </c>
    </row>
    <row r="6681" spans="1:7" x14ac:dyDescent="0.25">
      <c r="A6681" s="219" t="s">
        <v>99</v>
      </c>
      <c r="B6681" s="219"/>
      <c r="C6681" s="219"/>
      <c r="D6681" s="219"/>
      <c r="E6681" s="219"/>
      <c r="F6681" s="219"/>
      <c r="G6681" s="52">
        <f>SUM(G6676:G6680)</f>
        <v>3852</v>
      </c>
    </row>
    <row r="6682" spans="1:7" x14ac:dyDescent="0.25">
      <c r="A6682" s="56"/>
      <c r="B6682" s="57"/>
      <c r="C6682" s="57"/>
      <c r="D6682" s="57"/>
      <c r="E6682" s="57"/>
      <c r="F6682" s="57"/>
      <c r="G6682" s="58"/>
    </row>
    <row r="6683" spans="1:7" x14ac:dyDescent="0.25">
      <c r="A6683" s="219" t="s">
        <v>100</v>
      </c>
      <c r="B6683" s="219"/>
      <c r="C6683" s="219"/>
      <c r="D6683" s="219"/>
      <c r="E6683" s="219"/>
      <c r="F6683" s="219"/>
      <c r="G6683" s="52">
        <f>G6681+G6672+G6655+G6645+G6635</f>
        <v>97891</v>
      </c>
    </row>
    <row r="6684" spans="1:7" x14ac:dyDescent="0.25">
      <c r="A6684" s="59"/>
      <c r="B6684" s="60"/>
      <c r="C6684" s="60"/>
      <c r="D6684" s="60"/>
      <c r="E6684" s="57"/>
      <c r="F6684" s="57"/>
      <c r="G6684" s="58"/>
    </row>
    <row r="6685" spans="1:7" x14ac:dyDescent="0.25">
      <c r="A6685" s="64"/>
      <c r="D6685" s="55"/>
      <c r="E6685" s="49" t="s">
        <v>25</v>
      </c>
      <c r="F6685" s="54">
        <v>0.15</v>
      </c>
      <c r="G6685" s="51">
        <f>G6683*F6685</f>
        <v>14683.65</v>
      </c>
    </row>
    <row r="6686" spans="1:7" x14ac:dyDescent="0.25">
      <c r="A6686" s="64"/>
      <c r="D6686" s="55"/>
      <c r="E6686" s="49" t="s">
        <v>26</v>
      </c>
      <c r="F6686" s="54">
        <v>0.05</v>
      </c>
      <c r="G6686" s="51">
        <f>G6683*F6686</f>
        <v>4894.55</v>
      </c>
    </row>
    <row r="6687" spans="1:7" x14ac:dyDescent="0.25">
      <c r="A6687" s="61"/>
      <c r="B6687" s="65"/>
      <c r="C6687" s="65"/>
      <c r="D6687" s="62"/>
      <c r="E6687" s="49" t="s">
        <v>27</v>
      </c>
      <c r="F6687" s="54">
        <v>0.05</v>
      </c>
      <c r="G6687" s="51">
        <f>G6683*F6687</f>
        <v>4894.55</v>
      </c>
    </row>
    <row r="6688" spans="1:7" x14ac:dyDescent="0.25">
      <c r="A6688" s="61"/>
      <c r="B6688" s="62"/>
      <c r="C6688" s="62"/>
      <c r="D6688" s="62"/>
      <c r="E6688" s="62"/>
      <c r="F6688" s="62"/>
      <c r="G6688" s="63"/>
    </row>
    <row r="6689" spans="1:9" x14ac:dyDescent="0.25">
      <c r="A6689" s="219" t="s">
        <v>101</v>
      </c>
      <c r="B6689" s="219"/>
      <c r="C6689" s="219"/>
      <c r="D6689" s="219"/>
      <c r="E6689" s="219"/>
      <c r="F6689" s="219"/>
      <c r="G6689" s="52">
        <f>G6683+G6685+G6686+G6687</f>
        <v>122363.75</v>
      </c>
    </row>
    <row r="6690" spans="1:9" x14ac:dyDescent="0.25">
      <c r="A6690" s="59"/>
      <c r="B6690" s="60"/>
      <c r="C6690" s="60"/>
      <c r="D6690" s="60"/>
      <c r="E6690" s="57"/>
      <c r="F6690" s="57"/>
      <c r="G6690" s="58"/>
    </row>
    <row r="6691" spans="1:9" x14ac:dyDescent="0.25">
      <c r="A6691" s="64"/>
      <c r="D6691" s="55"/>
      <c r="E6691" s="49" t="s">
        <v>102</v>
      </c>
      <c r="F6691" s="49" t="s">
        <v>103</v>
      </c>
      <c r="G6691" s="51">
        <f>G6687*19%</f>
        <v>929.96450000000004</v>
      </c>
    </row>
    <row r="6692" spans="1:9" x14ac:dyDescent="0.25">
      <c r="A6692" s="61"/>
      <c r="B6692" s="62"/>
      <c r="C6692" s="62"/>
      <c r="D6692" s="62"/>
      <c r="E6692" s="57"/>
      <c r="F6692" s="57"/>
      <c r="G6692" s="58"/>
    </row>
    <row r="6693" spans="1:9" x14ac:dyDescent="0.25">
      <c r="A6693" s="219" t="s">
        <v>104</v>
      </c>
      <c r="B6693" s="219"/>
      <c r="C6693" s="219"/>
      <c r="D6693" s="219"/>
      <c r="E6693" s="219"/>
      <c r="F6693" s="219"/>
      <c r="G6693" s="52">
        <f>G6691+G6689</f>
        <v>123293.7145</v>
      </c>
    </row>
    <row r="6695" spans="1:9" x14ac:dyDescent="0.25">
      <c r="A6695" s="74" t="s">
        <v>29</v>
      </c>
      <c r="B6695" s="226" t="s">
        <v>30</v>
      </c>
      <c r="C6695" s="226"/>
      <c r="D6695" s="74" t="s">
        <v>31</v>
      </c>
      <c r="E6695" s="74" t="s">
        <v>32</v>
      </c>
      <c r="F6695" s="74" t="s">
        <v>189</v>
      </c>
      <c r="G6695" s="74" t="s">
        <v>33</v>
      </c>
      <c r="H6695" s="105"/>
    </row>
    <row r="6696" spans="1:9" x14ac:dyDescent="0.25">
      <c r="A6696" s="50" t="str">
        <f>Presupuesto!B128</f>
        <v>107_OC</v>
      </c>
      <c r="B6696" s="227" t="str">
        <f>Presupuesto!C128</f>
        <v>ESPEJO 0,50 M X 0,80 M</v>
      </c>
      <c r="C6696" s="228"/>
      <c r="D6696" s="50" t="s">
        <v>8</v>
      </c>
      <c r="E6696" s="107">
        <v>30</v>
      </c>
      <c r="F6696" s="50"/>
      <c r="G6696" s="51">
        <f>G6761</f>
        <v>126834.16900000001</v>
      </c>
      <c r="H6696" s="45"/>
    </row>
    <row r="6697" spans="1:9" x14ac:dyDescent="0.25">
      <c r="A6697" s="219" t="s">
        <v>34</v>
      </c>
      <c r="B6697" s="219"/>
      <c r="C6697" s="219"/>
      <c r="D6697" s="219"/>
      <c r="E6697" s="219"/>
      <c r="F6697" s="219"/>
      <c r="G6697" s="219"/>
    </row>
    <row r="6698" spans="1:9" x14ac:dyDescent="0.25">
      <c r="A6698" s="49" t="s">
        <v>35</v>
      </c>
      <c r="B6698" s="219" t="s">
        <v>36</v>
      </c>
      <c r="C6698" s="219"/>
      <c r="D6698" s="49" t="s">
        <v>37</v>
      </c>
      <c r="E6698" s="49" t="s">
        <v>38</v>
      </c>
      <c r="F6698" s="49" t="s">
        <v>39</v>
      </c>
      <c r="G6698" s="49" t="s">
        <v>40</v>
      </c>
    </row>
    <row r="6699" spans="1:9" x14ac:dyDescent="0.25">
      <c r="A6699" s="50" t="str">
        <f>Material!A302</f>
        <v>MA-301</v>
      </c>
      <c r="B6699" s="72" t="str">
        <f>IFERROR(VLOOKUP(A6699,Material!$A:$H,2,0),"-")</f>
        <v>ESPEJO CAFE 79X108 CM</v>
      </c>
      <c r="C6699" s="76"/>
      <c r="D6699" s="50" t="str">
        <f>IFERROR(VLOOKUP(A6699,Material!$A:$H,4,0),"-")</f>
        <v>UN</v>
      </c>
      <c r="E6699" s="107">
        <v>1</v>
      </c>
      <c r="F6699" s="51">
        <f>IFERROR(VLOOKUP(A6699,Material!$A:$H,3,0),"-")</f>
        <v>93600</v>
      </c>
      <c r="G6699" s="51">
        <f>IFERROR(ROUNDUP(F6699*E6699,0),"-")</f>
        <v>93600</v>
      </c>
      <c r="H6699" s="106"/>
    </row>
    <row r="6700" spans="1:9" x14ac:dyDescent="0.25">
      <c r="A6700" s="50" t="str">
        <f>Material!A245</f>
        <v>MA-244</v>
      </c>
      <c r="B6700" s="72" t="str">
        <f>IFERROR(VLOOKUP(A6700,Material!$A:$H,2,0),"-")</f>
        <v>CHAZO DE PLÁSTICO</v>
      </c>
      <c r="C6700" s="76"/>
      <c r="D6700" s="50" t="str">
        <f>IFERROR(VLOOKUP(A6700,Material!$A:$H,4,0),"-")</f>
        <v>UN</v>
      </c>
      <c r="E6700" s="107">
        <v>1</v>
      </c>
      <c r="F6700" s="51">
        <f>IFERROR(VLOOKUP(A6700,Material!$A:$H,3,0),"-")</f>
        <v>585</v>
      </c>
      <c r="G6700" s="51">
        <f>IFERROR(ROUNDUP(F6700*E6700,0),"-")</f>
        <v>585</v>
      </c>
      <c r="H6700" s="106"/>
    </row>
    <row r="6701" spans="1:9" x14ac:dyDescent="0.25">
      <c r="A6701" s="50"/>
      <c r="B6701" s="72" t="str">
        <f>IFERROR(VLOOKUP(A6701,Material!$A:$H,2,0),"-")</f>
        <v>-</v>
      </c>
      <c r="C6701" s="76"/>
      <c r="D6701" s="50" t="str">
        <f>IFERROR(VLOOKUP(A6701,Material!$A:$H,4,0),"-")</f>
        <v>-</v>
      </c>
      <c r="E6701" s="107"/>
      <c r="F6701" s="51" t="str">
        <f>IFERROR(VLOOKUP(A6701,Material!$A:$H,3,0),"-")</f>
        <v>-</v>
      </c>
      <c r="G6701" s="51" t="str">
        <f>IFERROR(ROUNDUP(F6701*E6701,0),"-")</f>
        <v>-</v>
      </c>
      <c r="H6701" s="106"/>
    </row>
    <row r="6702" spans="1:9" x14ac:dyDescent="0.25">
      <c r="A6702" s="50"/>
      <c r="B6702" s="72" t="str">
        <f>IFERROR(VLOOKUP(A6702,Material!$A:$H,2,0),"-")</f>
        <v>-</v>
      </c>
      <c r="C6702" s="76"/>
      <c r="D6702" s="50" t="str">
        <f>IFERROR(VLOOKUP(A6702,Material!$A:$H,4,0),"-")</f>
        <v>-</v>
      </c>
      <c r="E6702" s="107"/>
      <c r="F6702" s="51" t="str">
        <f>IFERROR(VLOOKUP(A6702,Material!$A:$H,3,0),"-")</f>
        <v>-</v>
      </c>
      <c r="G6702" s="51" t="str">
        <f>IFERROR(ROUNDUP(F6702*E6702,0),"-")</f>
        <v>-</v>
      </c>
      <c r="H6702" s="106"/>
    </row>
    <row r="6703" spans="1:9" x14ac:dyDescent="0.25">
      <c r="A6703" s="219" t="s">
        <v>41</v>
      </c>
      <c r="B6703" s="219"/>
      <c r="C6703" s="219"/>
      <c r="D6703" s="219"/>
      <c r="E6703" s="219"/>
      <c r="F6703" s="219"/>
      <c r="G6703" s="52">
        <f>SUM(G6699:G6702)</f>
        <v>94185</v>
      </c>
      <c r="I6703" s="104"/>
    </row>
    <row r="6704" spans="1:9" x14ac:dyDescent="0.25">
      <c r="A6704" s="56"/>
      <c r="B6704" s="57"/>
      <c r="C6704" s="57"/>
      <c r="D6704" s="57"/>
      <c r="E6704" s="57"/>
      <c r="F6704" s="57"/>
      <c r="G6704" s="58"/>
    </row>
    <row r="6705" spans="1:9" x14ac:dyDescent="0.25">
      <c r="A6705" s="219" t="s">
        <v>42</v>
      </c>
      <c r="B6705" s="219"/>
      <c r="C6705" s="219"/>
      <c r="D6705" s="219"/>
      <c r="E6705" s="219"/>
      <c r="F6705" s="219"/>
      <c r="G6705" s="219"/>
    </row>
    <row r="6706" spans="1:9" x14ac:dyDescent="0.25">
      <c r="A6706" s="49" t="s">
        <v>35</v>
      </c>
      <c r="B6706" s="49" t="s">
        <v>36</v>
      </c>
      <c r="C6706" s="49" t="s">
        <v>38</v>
      </c>
      <c r="D6706" s="49" t="s">
        <v>43</v>
      </c>
      <c r="E6706" s="49" t="s">
        <v>44</v>
      </c>
      <c r="F6706" s="49" t="s">
        <v>45</v>
      </c>
      <c r="G6706" s="49" t="s">
        <v>40</v>
      </c>
    </row>
    <row r="6707" spans="1:9" x14ac:dyDescent="0.25">
      <c r="A6707" s="50" t="s">
        <v>319</v>
      </c>
      <c r="B6707" s="68" t="str">
        <f>VLOOKUP(A6707,'Componentes APUs'!$H$1:$L$25,2,0)</f>
        <v>Ingeniero Residente de Obra</v>
      </c>
      <c r="C6707" s="93">
        <v>0</v>
      </c>
      <c r="D6707" s="50">
        <f>VLOOKUP(A6707,'Componentes APUs'!$H$1:$L$25,3,0)</f>
        <v>4</v>
      </c>
      <c r="E6707" s="51">
        <f>VLOOKUP(A6707,'Componentes APUs'!$H$1:$L$25,4,0)</f>
        <v>271142.85714285716</v>
      </c>
      <c r="F6707" s="51">
        <f>VLOOKUP(A6707,'Componentes APUs'!$H$1:$L$25,5,0)</f>
        <v>162685.71428571429</v>
      </c>
      <c r="G6707" s="51">
        <f>ROUNDUP((E6707+F6707)*C6707/E6696,0)</f>
        <v>0</v>
      </c>
      <c r="H6707" s="66"/>
    </row>
    <row r="6708" spans="1:9" x14ac:dyDescent="0.25">
      <c r="A6708" s="50" t="s">
        <v>320</v>
      </c>
      <c r="B6708" s="68" t="str">
        <f>VLOOKUP(A6708,'Componentes APUs'!$H$1:$L$25,2,0)</f>
        <v>Tecnico Supervisor</v>
      </c>
      <c r="C6708" s="93">
        <v>0</v>
      </c>
      <c r="D6708" s="50">
        <f>VLOOKUP(A6708,'Componentes APUs'!$H$1:$L$25,3,0)</f>
        <v>2.2999999999999998</v>
      </c>
      <c r="E6708" s="51">
        <f>VLOOKUP(A6708,'Componentes APUs'!$H$1:$L$25,4,0)</f>
        <v>155907.14285714284</v>
      </c>
      <c r="F6708" s="51">
        <f>VLOOKUP(A6708,'Componentes APUs'!$H$1:$L$25,5,0)</f>
        <v>93544.285714285696</v>
      </c>
      <c r="G6708" s="51">
        <f>ROUNDUP((E6708+F6708)*C6708/E6696,0)</f>
        <v>0</v>
      </c>
    </row>
    <row r="6709" spans="1:9" x14ac:dyDescent="0.25">
      <c r="A6709" s="50" t="s">
        <v>54</v>
      </c>
      <c r="B6709" s="68" t="str">
        <f>VLOOKUP(A6709,'Componentes APUs'!$H$1:$L$25,2,0)</f>
        <v>Maestro de obra civil</v>
      </c>
      <c r="C6709" s="93">
        <v>0</v>
      </c>
      <c r="D6709" s="50">
        <f>VLOOKUP(A6709,'Componentes APUs'!$H$1:$L$25,3,0)</f>
        <v>2.5</v>
      </c>
      <c r="E6709" s="51">
        <f>VLOOKUP(A6709,'Componentes APUs'!$H$1:$L$25,4,0)</f>
        <v>169464.28571428571</v>
      </c>
      <c r="F6709" s="51">
        <f>VLOOKUP(A6709,'Componentes APUs'!$H$1:$L$25,5,0)</f>
        <v>101678.57142857142</v>
      </c>
      <c r="G6709" s="51">
        <f>ROUNDUP((E6709+F6709)*C6709/E6696,0)</f>
        <v>0</v>
      </c>
    </row>
    <row r="6710" spans="1:9" x14ac:dyDescent="0.25">
      <c r="A6710" s="50" t="s">
        <v>1110</v>
      </c>
      <c r="B6710" s="68" t="str">
        <f>VLOOKUP(A6710,'Componentes APUs'!$H$1:$L$25,2,0)</f>
        <v>Oficial de Obra Civil</v>
      </c>
      <c r="C6710" s="93">
        <v>0</v>
      </c>
      <c r="D6710" s="50">
        <f>VLOOKUP(A6710,'Componentes APUs'!$H$1:$L$25,3,0)</f>
        <v>1.5</v>
      </c>
      <c r="E6710" s="51">
        <f>VLOOKUP(A6710,'Componentes APUs'!$H$1:$L$25,4,0)</f>
        <v>115964.28571428571</v>
      </c>
      <c r="F6710" s="51">
        <f>VLOOKUP(A6710,'Componentes APUs'!$H$1:$L$25,5,0)</f>
        <v>69578.57142857142</v>
      </c>
      <c r="G6710" s="51">
        <f>ROUNDUP((E6710+F6710)*C6710/E6696,0)</f>
        <v>0</v>
      </c>
    </row>
    <row r="6711" spans="1:9" x14ac:dyDescent="0.25">
      <c r="A6711" s="50" t="s">
        <v>50</v>
      </c>
      <c r="B6711" s="68" t="str">
        <f>VLOOKUP(A6711,'Componentes APUs'!$H$1:$L$25,2,0)</f>
        <v>Profesional en SST</v>
      </c>
      <c r="C6711" s="93">
        <v>0</v>
      </c>
      <c r="D6711" s="50">
        <f>VLOOKUP(A6711,'Componentes APUs'!$H$1:$L$25,3,0)</f>
        <v>2.5</v>
      </c>
      <c r="E6711" s="51">
        <f>VLOOKUP(A6711,'Componentes APUs'!$H$1:$L$25,4,0)</f>
        <v>169464.28571428571</v>
      </c>
      <c r="F6711" s="51">
        <f>VLOOKUP(A6711,'Componentes APUs'!$H$1:$L$25,5,0)</f>
        <v>101678.57142857142</v>
      </c>
      <c r="G6711" s="51">
        <f>ROUNDUP((E6711+F6711)*C6711/E6696,0)</f>
        <v>0</v>
      </c>
    </row>
    <row r="6712" spans="1:9" x14ac:dyDescent="0.25">
      <c r="A6712" s="50" t="s">
        <v>1109</v>
      </c>
      <c r="B6712" s="68" t="str">
        <f>VLOOKUP(A6712,'Componentes APUs'!$H$1:$L$25,2,0)</f>
        <v>Ayudante de Obra Civil</v>
      </c>
      <c r="C6712" s="93">
        <v>1</v>
      </c>
      <c r="D6712" s="50">
        <f>VLOOKUP(A6712,'Componentes APUs'!$H$1:$L$25,3,0)</f>
        <v>1</v>
      </c>
      <c r="E6712" s="51">
        <f>VLOOKUP(A6712,'Componentes APUs'!$H$1:$L$25,4,0)</f>
        <v>77309.523809523816</v>
      </c>
      <c r="F6712" s="51">
        <f>VLOOKUP(A6712,'Componentes APUs'!$H$1:$L$25,5,0)</f>
        <v>46385.71428571429</v>
      </c>
      <c r="G6712" s="51">
        <f>ROUNDUP((E6712+F6712)*C6712/E6696,0)</f>
        <v>4124</v>
      </c>
    </row>
    <row r="6713" spans="1:9" x14ac:dyDescent="0.25">
      <c r="A6713" s="219" t="s">
        <v>56</v>
      </c>
      <c r="B6713" s="219"/>
      <c r="C6713" s="219"/>
      <c r="D6713" s="219"/>
      <c r="E6713" s="219"/>
      <c r="F6713" s="219"/>
      <c r="G6713" s="52">
        <f>SUM(G6707:G6712)</f>
        <v>4124</v>
      </c>
    </row>
    <row r="6714" spans="1:9" x14ac:dyDescent="0.25">
      <c r="A6714" s="56"/>
      <c r="B6714" s="57"/>
      <c r="C6714" s="57"/>
      <c r="D6714" s="57"/>
      <c r="E6714" s="57"/>
      <c r="F6714" s="57"/>
      <c r="G6714" s="58"/>
    </row>
    <row r="6715" spans="1:9" x14ac:dyDescent="0.25">
      <c r="A6715" s="219" t="s">
        <v>57</v>
      </c>
      <c r="B6715" s="219"/>
      <c r="C6715" s="219"/>
      <c r="D6715" s="219"/>
      <c r="E6715" s="219"/>
      <c r="F6715" s="219"/>
      <c r="G6715" s="219"/>
    </row>
    <row r="6716" spans="1:9" x14ac:dyDescent="0.25">
      <c r="A6716" s="49" t="s">
        <v>35</v>
      </c>
      <c r="B6716" s="219" t="s">
        <v>36</v>
      </c>
      <c r="C6716" s="219"/>
      <c r="D6716" s="49" t="s">
        <v>37</v>
      </c>
      <c r="E6716" s="49" t="s">
        <v>38</v>
      </c>
      <c r="F6716" s="49" t="s">
        <v>39</v>
      </c>
      <c r="G6716" s="49" t="s">
        <v>40</v>
      </c>
    </row>
    <row r="6717" spans="1:9" x14ac:dyDescent="0.25">
      <c r="A6717" s="50" t="s">
        <v>326</v>
      </c>
      <c r="B6717" s="220" t="str">
        <f>VLOOKUP(A6717,'Componentes APUs'!$S$1:$V$10,2,0)</f>
        <v>Juego Llaves</v>
      </c>
      <c r="C6717" s="220"/>
      <c r="D6717" s="50" t="s">
        <v>18</v>
      </c>
      <c r="E6717" s="50">
        <v>0</v>
      </c>
      <c r="F6717" s="51">
        <f>VLOOKUP(A6717,'Componentes APUs'!$S$1:$V$10,4,0)</f>
        <v>9167</v>
      </c>
      <c r="G6717" s="51">
        <f>ROUNDUP(F6717*((E6717/21)/E6696),0)</f>
        <v>0</v>
      </c>
      <c r="I6717" s="91"/>
    </row>
    <row r="6718" spans="1:9" x14ac:dyDescent="0.25">
      <c r="A6718" s="50" t="s">
        <v>58</v>
      </c>
      <c r="B6718" s="220" t="str">
        <f>VLOOKUP(A6718,'Componentes APUs'!$S$1:$V$10,2,0)</f>
        <v>Manila de servicio</v>
      </c>
      <c r="C6718" s="220"/>
      <c r="D6718" s="50" t="s">
        <v>18</v>
      </c>
      <c r="E6718" s="50">
        <v>0</v>
      </c>
      <c r="F6718" s="51">
        <f>VLOOKUP(A6718,'Componentes APUs'!$S$1:$V$10,4,0)</f>
        <v>2333</v>
      </c>
      <c r="G6718" s="51">
        <f>ROUNDUP(F6718*((E6718/21)/E6696),0)</f>
        <v>0</v>
      </c>
    </row>
    <row r="6719" spans="1:9" x14ac:dyDescent="0.25">
      <c r="A6719" s="50" t="s">
        <v>327</v>
      </c>
      <c r="B6719" s="220" t="str">
        <f>VLOOKUP(A6719,'Componentes APUs'!$S$1:$V$10,2,0)</f>
        <v>Tula portaherramientas</v>
      </c>
      <c r="C6719" s="220"/>
      <c r="D6719" s="50" t="s">
        <v>18</v>
      </c>
      <c r="E6719" s="50">
        <v>0</v>
      </c>
      <c r="F6719" s="51">
        <f>VLOOKUP(A6719,'Componentes APUs'!$S$1:$V$10,4,0)</f>
        <v>1250</v>
      </c>
      <c r="G6719" s="51">
        <f>ROUNDUP(F6719*((E6719/21)/E6696),0)</f>
        <v>0</v>
      </c>
    </row>
    <row r="6720" spans="1:9" x14ac:dyDescent="0.25">
      <c r="A6720" s="50" t="s">
        <v>60</v>
      </c>
      <c r="B6720" s="220" t="str">
        <f>VLOOKUP(A6720,'Componentes APUs'!$S$1:$V$10,2,0)</f>
        <v>Agarradoras</v>
      </c>
      <c r="C6720" s="220"/>
      <c r="D6720" s="50" t="s">
        <v>18</v>
      </c>
      <c r="E6720" s="50">
        <v>0</v>
      </c>
      <c r="F6720" s="51">
        <f>VLOOKUP(A6720,'Componentes APUs'!$S$1:$V$10,4,0)</f>
        <v>125000</v>
      </c>
      <c r="G6720" s="51">
        <f>ROUNDUP(F6720*((E6720/21)/E6696),0)</f>
        <v>0</v>
      </c>
    </row>
    <row r="6721" spans="1:9" x14ac:dyDescent="0.25">
      <c r="A6721" s="50" t="s">
        <v>62</v>
      </c>
      <c r="B6721" s="220" t="str">
        <f>VLOOKUP(A6721,'Componentes APUs'!$S$1:$V$10,2,0)</f>
        <v>Templadoras</v>
      </c>
      <c r="C6721" s="220"/>
      <c r="D6721" s="50" t="s">
        <v>18</v>
      </c>
      <c r="E6721" s="50">
        <v>0</v>
      </c>
      <c r="F6721" s="51">
        <f>VLOOKUP(A6721,'Componentes APUs'!$S$1:$V$10,4,0)</f>
        <v>250000</v>
      </c>
      <c r="G6721" s="51">
        <f>ROUNDUP(F6721*((E6721/21)/E6696),0)</f>
        <v>0</v>
      </c>
    </row>
    <row r="6722" spans="1:9" x14ac:dyDescent="0.25">
      <c r="A6722" s="50" t="s">
        <v>328</v>
      </c>
      <c r="B6722" s="220" t="str">
        <f>VLOOKUP(A6722,'Componentes APUs'!$S$1:$V$10,2,0)</f>
        <v>Herramienta Menor</v>
      </c>
      <c r="C6722" s="220"/>
      <c r="D6722" s="50" t="s">
        <v>18</v>
      </c>
      <c r="E6722" s="50">
        <v>1</v>
      </c>
      <c r="F6722" s="51">
        <f>VLOOKUP(A6722,'Componentes APUs'!$S$1:$V$10,4,0)</f>
        <v>75758</v>
      </c>
      <c r="G6722" s="51">
        <f>ROUNDUP(F6722*((E6722/21)/E6696),0)</f>
        <v>121</v>
      </c>
    </row>
    <row r="6723" spans="1:9" x14ac:dyDescent="0.25">
      <c r="A6723" s="219" t="s">
        <v>69</v>
      </c>
      <c r="B6723" s="219"/>
      <c r="C6723" s="219"/>
      <c r="D6723" s="219"/>
      <c r="E6723" s="219"/>
      <c r="F6723" s="219"/>
      <c r="G6723" s="52">
        <f>SUM(G6717:G6722)</f>
        <v>121</v>
      </c>
    </row>
    <row r="6724" spans="1:9" x14ac:dyDescent="0.25">
      <c r="A6724" s="56"/>
      <c r="B6724" s="57"/>
      <c r="C6724" s="57"/>
      <c r="D6724" s="57"/>
      <c r="E6724" s="57"/>
      <c r="F6724" s="57"/>
      <c r="G6724" s="58"/>
    </row>
    <row r="6725" spans="1:9" x14ac:dyDescent="0.25">
      <c r="A6725" s="219" t="s">
        <v>70</v>
      </c>
      <c r="B6725" s="219"/>
      <c r="C6725" s="219"/>
      <c r="D6725" s="219"/>
      <c r="E6725" s="219"/>
      <c r="F6725" s="219"/>
      <c r="G6725" s="219"/>
    </row>
    <row r="6726" spans="1:9" x14ac:dyDescent="0.25">
      <c r="A6726" s="49" t="s">
        <v>35</v>
      </c>
      <c r="B6726" s="219" t="s">
        <v>36</v>
      </c>
      <c r="C6726" s="219"/>
      <c r="D6726" s="49" t="s">
        <v>37</v>
      </c>
      <c r="E6726" s="49" t="s">
        <v>38</v>
      </c>
      <c r="F6726" s="49" t="s">
        <v>39</v>
      </c>
      <c r="G6726" s="49" t="s">
        <v>40</v>
      </c>
    </row>
    <row r="6727" spans="1:9" x14ac:dyDescent="0.25">
      <c r="A6727" s="50" t="s">
        <v>71</v>
      </c>
      <c r="B6727" s="71" t="str">
        <f>VLOOKUP(A6727,'Componentes APUs'!$A$1:$D$14,2,0)</f>
        <v>Camisa indigo sin partes metalicas</v>
      </c>
      <c r="C6727" s="71"/>
      <c r="D6727" s="50" t="str">
        <f>VLOOKUP(A6727,'Componentes APUs'!$A$1:$D$14,3,0)</f>
        <v>U</v>
      </c>
      <c r="E6727" s="50">
        <f>SUM(C6707:C6712)</f>
        <v>1</v>
      </c>
      <c r="F6727" s="51">
        <f>VLOOKUP(A6727,'Componentes APUs'!$A$1:$D$14,4,0)</f>
        <v>8585.8585858585866</v>
      </c>
      <c r="G6727" s="51">
        <f>ROUNDUP(F6727*(E6727/21)/E6696,0)</f>
        <v>14</v>
      </c>
      <c r="I6727" s="91"/>
    </row>
    <row r="6728" spans="1:9" x14ac:dyDescent="0.25">
      <c r="A6728" s="69" t="s">
        <v>73</v>
      </c>
      <c r="B6728" s="72" t="str">
        <f>VLOOKUP(A6728,'Componentes APUs'!$A$1:$D$14,2,0)</f>
        <v>Bota de seguridad dielectrica</v>
      </c>
      <c r="C6728" s="73"/>
      <c r="D6728" s="70" t="str">
        <f>VLOOKUP(A6728,'Componentes APUs'!$A$1:$D$14,3,0)</f>
        <v>Par</v>
      </c>
      <c r="E6728" s="50">
        <f>SUM(C6707:C6712)</f>
        <v>1</v>
      </c>
      <c r="F6728" s="51">
        <f>VLOOKUP(A6728,'Componentes APUs'!$A$1:$D$14,4,0)</f>
        <v>7500</v>
      </c>
      <c r="G6728" s="51">
        <f>ROUNDUP(F6728*(E6728/21)/E6696,0)</f>
        <v>12</v>
      </c>
    </row>
    <row r="6729" spans="1:9" x14ac:dyDescent="0.25">
      <c r="A6729" s="50" t="s">
        <v>76</v>
      </c>
      <c r="B6729" s="72" t="str">
        <f>VLOOKUP(A6729,'Componentes APUs'!$A$1:$D$14,2,0)</f>
        <v>Casco dielectrico Tipo 1 Clase E con barbuquejo</v>
      </c>
      <c r="C6729" s="73"/>
      <c r="D6729" s="50" t="str">
        <f>VLOOKUP(A6729,'Componentes APUs'!$A$1:$D$14,3,0)</f>
        <v>U</v>
      </c>
      <c r="E6729" s="50">
        <f>C6707+C6708+C6710+C6711+C6712+IF(A6709&lt;&gt;"MO-3",C6709,0)</f>
        <v>1</v>
      </c>
      <c r="F6729" s="51">
        <f>VLOOKUP(A6729,'Componentes APUs'!$A$1:$D$14,4,0)</f>
        <v>10101.010101010101</v>
      </c>
      <c r="G6729" s="51">
        <f>ROUNDUP(F6729*(E6729/21)/E6696,0)</f>
        <v>17</v>
      </c>
    </row>
    <row r="6730" spans="1:9" x14ac:dyDescent="0.25">
      <c r="A6730" s="69" t="s">
        <v>77</v>
      </c>
      <c r="B6730" s="72" t="str">
        <f>VLOOKUP(A6730,'Componentes APUs'!$A$1:$D$14,2,0)</f>
        <v>Correa plastica y antiflama</v>
      </c>
      <c r="C6730" s="73"/>
      <c r="D6730" s="50" t="str">
        <f>VLOOKUP(A6730,'Componentes APUs'!$A$1:$D$14,3,0)</f>
        <v>U</v>
      </c>
      <c r="E6730" s="50">
        <f>SUM(C6707:C6712)</f>
        <v>1</v>
      </c>
      <c r="F6730" s="51">
        <f>VLOOKUP(A6730,'Componentes APUs'!$A$1:$D$14,4,0)</f>
        <v>3787.878787878788</v>
      </c>
      <c r="G6730" s="51">
        <f>ROUNDUP(F6730*(E6730/21)/E6696,0)</f>
        <v>7</v>
      </c>
    </row>
    <row r="6731" spans="1:9" x14ac:dyDescent="0.25">
      <c r="A6731" s="50" t="s">
        <v>79</v>
      </c>
      <c r="B6731" s="72" t="str">
        <f>VLOOKUP(A6731,'Componentes APUs'!$A$1:$D$14,2,0)</f>
        <v>Gafas protectoras filtro UV</v>
      </c>
      <c r="C6731" s="73"/>
      <c r="D6731" s="50" t="str">
        <f>VLOOKUP(A6731,'Componentes APUs'!$A$1:$D$14,3,0)</f>
        <v>U</v>
      </c>
      <c r="E6731" s="50">
        <f>SUM(C6707:C6712)</f>
        <v>1</v>
      </c>
      <c r="F6731" s="51">
        <f>VLOOKUP(A6731,'Componentes APUs'!$A$1:$D$14,4,0)</f>
        <v>2777.7777777777778</v>
      </c>
      <c r="G6731" s="51">
        <f>ROUNDUP(F6731*(E6731/21)/E6696,0)</f>
        <v>5</v>
      </c>
    </row>
    <row r="6732" spans="1:9" x14ac:dyDescent="0.25">
      <c r="A6732" s="69" t="s">
        <v>402</v>
      </c>
      <c r="B6732" s="72" t="str">
        <f>VLOOKUP(A6732,'Componentes APUs'!$A$1:$D$14,2,0)</f>
        <v>Bota de seguridad PVC dielectrica</v>
      </c>
      <c r="C6732" s="73"/>
      <c r="D6732" s="50" t="str">
        <f>VLOOKUP(A6732,'Componentes APUs'!$A$1:$D$14,3,0)</f>
        <v>Par</v>
      </c>
      <c r="E6732" s="50">
        <f>SUM(C6707:C6712)</f>
        <v>1</v>
      </c>
      <c r="F6732" s="51">
        <f>VLOOKUP(A6732,'Componentes APUs'!$A$1:$D$14,4,0)</f>
        <v>2916.6666666666665</v>
      </c>
      <c r="G6732" s="51">
        <f>ROUNDUP(F6732*(E6732/21)/E6696,0)</f>
        <v>5</v>
      </c>
    </row>
    <row r="6733" spans="1:9" x14ac:dyDescent="0.25">
      <c r="A6733" s="50" t="s">
        <v>403</v>
      </c>
      <c r="B6733" s="72" t="str">
        <f>VLOOKUP(A6733,'Componentes APUs'!$A$1:$D$14,2,0)</f>
        <v>Capuchon</v>
      </c>
      <c r="C6733" s="73"/>
      <c r="D6733" s="50" t="str">
        <f>VLOOKUP(A6733,'Componentes APUs'!$A$1:$D$14,3,0)</f>
        <v>U</v>
      </c>
      <c r="E6733" s="50">
        <f>SUM(C6707:C6712)</f>
        <v>1</v>
      </c>
      <c r="F6733" s="51">
        <f>VLOOKUP(A6733,'Componentes APUs'!$A$1:$D$14,4,0)</f>
        <v>2525.2525252525252</v>
      </c>
      <c r="G6733" s="51">
        <f>ROUNDUP(F6733*(E6733/21)/E6696,0)</f>
        <v>5</v>
      </c>
    </row>
    <row r="6734" spans="1:9" x14ac:dyDescent="0.25">
      <c r="A6734" s="69" t="s">
        <v>81</v>
      </c>
      <c r="B6734" s="72" t="str">
        <f>VLOOKUP(A6734,'Componentes APUs'!$A$1:$D$14,2,0)</f>
        <v>Guantes Protectores  - ingeniero reforzados</v>
      </c>
      <c r="C6734" s="73"/>
      <c r="D6734" s="50" t="str">
        <f>VLOOKUP(A6734,'Componentes APUs'!$A$1:$D$14,3,0)</f>
        <v>Par</v>
      </c>
      <c r="E6734" s="50">
        <f>C6709+C6710+C6712</f>
        <v>1</v>
      </c>
      <c r="F6734" s="51">
        <f>VLOOKUP(A6734,'Componentes APUs'!$A$1:$D$14,4,0)</f>
        <v>2525.2525252525252</v>
      </c>
      <c r="G6734" s="51">
        <f>ROUNDUP(F6734*(E6734/21)/E6696,0)</f>
        <v>5</v>
      </c>
    </row>
    <row r="6735" spans="1:9" x14ac:dyDescent="0.25">
      <c r="A6735" s="50" t="s">
        <v>83</v>
      </c>
      <c r="B6735" s="72" t="str">
        <f>VLOOKUP(A6735,'Componentes APUs'!$A$1:$D$14,2,0)</f>
        <v>Impermeable (pantalon camisa)</v>
      </c>
      <c r="C6735" s="73"/>
      <c r="D6735" s="50" t="str">
        <f>VLOOKUP(A6735,'Componentes APUs'!$A$1:$D$14,3,0)</f>
        <v>U</v>
      </c>
      <c r="E6735" s="50">
        <f>SUM(C6707:C6712)</f>
        <v>1</v>
      </c>
      <c r="F6735" s="51">
        <f>VLOOKUP(A6735,'Componentes APUs'!$A$1:$D$14,4,0)</f>
        <v>3750</v>
      </c>
      <c r="G6735" s="51">
        <f>ROUNDUP(F6735*(E6735/21)/E6696,0)</f>
        <v>6</v>
      </c>
    </row>
    <row r="6736" spans="1:9" x14ac:dyDescent="0.25">
      <c r="A6736" s="69" t="s">
        <v>85</v>
      </c>
      <c r="B6736" s="72" t="str">
        <f>VLOOKUP(A6736,'Componentes APUs'!$A$1:$D$14,2,0)</f>
        <v>Jean Dielectrico</v>
      </c>
      <c r="C6736" s="73"/>
      <c r="D6736" s="50" t="str">
        <f>VLOOKUP(A6736,'Componentes APUs'!$A$1:$D$14,3,0)</f>
        <v>U</v>
      </c>
      <c r="E6736" s="50">
        <f>SUM(C6707:C6712)</f>
        <v>1</v>
      </c>
      <c r="F6736" s="51">
        <f>VLOOKUP(A6736,'Componentes APUs'!$A$1:$D$14,4,0)</f>
        <v>7575.757575757576</v>
      </c>
      <c r="G6736" s="51">
        <f>ROUNDUP(F6736*(E6736/21)/E6696,0)</f>
        <v>13</v>
      </c>
    </row>
    <row r="6737" spans="1:7" x14ac:dyDescent="0.25">
      <c r="A6737" s="50" t="s">
        <v>87</v>
      </c>
      <c r="B6737" s="72" t="str">
        <f>VLOOKUP(A6737,'Componentes APUs'!$A$1:$D$14,2,0)</f>
        <v>Casco dielectrico Tipo 2 Clase E con barboquejo</v>
      </c>
      <c r="C6737" s="73"/>
      <c r="D6737" s="50" t="str">
        <f>VLOOKUP(A6737,'Componentes APUs'!$A$1:$D$14,3,0)</f>
        <v>U</v>
      </c>
      <c r="E6737" s="53">
        <f>IF(A6709="MO-3",C6709,0)</f>
        <v>0</v>
      </c>
      <c r="F6737" s="51">
        <f>VLOOKUP(A6737,'Componentes APUs'!$A$1:$D$14,4,0)</f>
        <v>7500</v>
      </c>
      <c r="G6737" s="51">
        <f>ROUNDUP(F6737*(E6737/21)/E6696,0)</f>
        <v>0</v>
      </c>
    </row>
    <row r="6738" spans="1:7" x14ac:dyDescent="0.25">
      <c r="A6738" s="69" t="s">
        <v>89</v>
      </c>
      <c r="B6738" s="72" t="str">
        <f>VLOOKUP(A6738,'Componentes APUs'!$A$1:$D$14,2,0)</f>
        <v>Kit de rescate para trabajo en alturas</v>
      </c>
      <c r="C6738" s="73"/>
      <c r="D6738" s="50" t="str">
        <f>VLOOKUP(A6738,'Componentes APUs'!$A$1:$D$14,3,0)</f>
        <v>U</v>
      </c>
      <c r="E6738" s="50">
        <f>IF(AND(A6709="MO-3",C6709=2),1,0)</f>
        <v>0</v>
      </c>
      <c r="F6738" s="51">
        <f>VLOOKUP(A6738,'Componentes APUs'!$A$1:$D$14,4,0)</f>
        <v>37500</v>
      </c>
      <c r="G6738" s="51">
        <f>ROUNDUP(F6738*(E6738/21)/E6696,0)</f>
        <v>0</v>
      </c>
    </row>
    <row r="6739" spans="1:7" x14ac:dyDescent="0.25">
      <c r="A6739" s="50" t="s">
        <v>91</v>
      </c>
      <c r="B6739" s="72" t="str">
        <f>VLOOKUP(A6739,'Componentes APUs'!$A$1:$D$14,2,0)</f>
        <v>Equipo completo para trabajo en alturas con pretales (Arnes dielectrico, 1 mosqueton de seguridad, tie off dielectrico, eslinga de posicionamiento, juego de pretales)</v>
      </c>
      <c r="C6739" s="73"/>
      <c r="D6739" s="50" t="str">
        <f>VLOOKUP(A6739,'Componentes APUs'!$A$1:$D$14,3,0)</f>
        <v>U</v>
      </c>
      <c r="E6739" s="50">
        <f>IF(A6709="MO-3",C6709,0)</f>
        <v>0</v>
      </c>
      <c r="F6739" s="51">
        <f>VLOOKUP(A6739,'Componentes APUs'!$A$1:$D$14,4,0)</f>
        <v>26041.666666666668</v>
      </c>
      <c r="G6739" s="51">
        <f>ROUNDUP(F6739*(E6739/21)/E6696,0)</f>
        <v>0</v>
      </c>
    </row>
    <row r="6740" spans="1:7" x14ac:dyDescent="0.25">
      <c r="A6740" s="219" t="s">
        <v>95</v>
      </c>
      <c r="B6740" s="219"/>
      <c r="C6740" s="219"/>
      <c r="D6740" s="219"/>
      <c r="E6740" s="219"/>
      <c r="F6740" s="219"/>
      <c r="G6740" s="52">
        <f>SUM(G6727:G6739)</f>
        <v>89</v>
      </c>
    </row>
    <row r="6741" spans="1:7" x14ac:dyDescent="0.25">
      <c r="A6741" s="56"/>
      <c r="B6741" s="57"/>
      <c r="C6741" s="57"/>
      <c r="D6741" s="57"/>
      <c r="E6741" s="57"/>
      <c r="F6741" s="57"/>
      <c r="G6741" s="58"/>
    </row>
    <row r="6742" spans="1:7" x14ac:dyDescent="0.25">
      <c r="A6742" s="219" t="s">
        <v>96</v>
      </c>
      <c r="B6742" s="219"/>
      <c r="C6742" s="219"/>
      <c r="D6742" s="219"/>
      <c r="E6742" s="219"/>
      <c r="F6742" s="219"/>
      <c r="G6742" s="219"/>
    </row>
    <row r="6743" spans="1:7" x14ac:dyDescent="0.25">
      <c r="A6743" s="49" t="s">
        <v>35</v>
      </c>
      <c r="B6743" s="225" t="s">
        <v>36</v>
      </c>
      <c r="C6743" s="225"/>
      <c r="D6743" s="49" t="s">
        <v>37</v>
      </c>
      <c r="E6743" s="49" t="s">
        <v>38</v>
      </c>
      <c r="F6743" s="49" t="s">
        <v>39</v>
      </c>
      <c r="G6743" s="49" t="s">
        <v>40</v>
      </c>
    </row>
    <row r="6744" spans="1:7" x14ac:dyDescent="0.25">
      <c r="A6744" s="69" t="s">
        <v>97</v>
      </c>
      <c r="B6744" s="72" t="str">
        <f>VLOOKUP(A6744,'Componentes APUs'!$N$1:$Q$30,2,0)</f>
        <v>Camioneta</v>
      </c>
      <c r="C6744" s="73"/>
      <c r="D6744" s="70" t="str">
        <f>VLOOKUP(A6744,'Componentes APUs'!$N$1:$Q$30,3,0)</f>
        <v>U</v>
      </c>
      <c r="E6744" s="50">
        <f>1/4</f>
        <v>0.25</v>
      </c>
      <c r="F6744" s="51">
        <f>VLOOKUP(A6744,'Componentes APUs'!$N$1:$Q$30,4,0)</f>
        <v>5500000</v>
      </c>
      <c r="G6744" s="51">
        <f>IFERROR(ROUNDUP(F6744*(E6744/21)/E6696,0),"-")</f>
        <v>2183</v>
      </c>
    </row>
    <row r="6745" spans="1:7" x14ac:dyDescent="0.25">
      <c r="A6745" s="50" t="s">
        <v>321</v>
      </c>
      <c r="B6745" s="72" t="str">
        <f>VLOOKUP(A6745,'Componentes APUs'!$N$1:$Q$30,2,0)</f>
        <v>Grúa Hidráulica</v>
      </c>
      <c r="C6745" s="73"/>
      <c r="D6745" s="70" t="str">
        <f>VLOOKUP(A6745,'Componentes APUs'!$N$1:$Q$30,3,0)</f>
        <v>U</v>
      </c>
      <c r="E6745" s="50">
        <v>0</v>
      </c>
      <c r="F6745" s="51">
        <f>VLOOKUP(A6745,'Componentes APUs'!$N$1:$Q$30,4,0)</f>
        <v>21000000</v>
      </c>
      <c r="G6745" s="51">
        <f>IFERROR(ROUNDUP(F6745*(E6745/21)/E6696,0),"-")</f>
        <v>0</v>
      </c>
    </row>
    <row r="6746" spans="1:7" x14ac:dyDescent="0.25">
      <c r="A6746" s="69" t="s">
        <v>1379</v>
      </c>
      <c r="B6746" s="72" t="str">
        <f>VLOOKUP(A6746,'Componentes APUs'!$N$1:$Q$30,2,0)</f>
        <v>Dumper de descarga Frontal 2T</v>
      </c>
      <c r="C6746" s="73"/>
      <c r="D6746" s="70" t="str">
        <f>VLOOKUP(A6746,'Componentes APUs'!$N$1:$Q$30,3,0)</f>
        <v>U</v>
      </c>
      <c r="E6746" s="50">
        <v>0</v>
      </c>
      <c r="F6746" s="51">
        <f>VLOOKUP(A6746,'Componentes APUs'!$N$1:$Q$30,4,0)</f>
        <v>4438716.24</v>
      </c>
      <c r="G6746" s="51">
        <f>IFERROR(ROUNDUP(F6746*(E6746/21)/E6696,0),"-")</f>
        <v>0</v>
      </c>
    </row>
    <row r="6747" spans="1:7" x14ac:dyDescent="0.25">
      <c r="A6747" s="50" t="s">
        <v>323</v>
      </c>
      <c r="B6747" s="72" t="str">
        <f>VLOOKUP(A6747,'Componentes APUs'!$N$1:$Q$30,2,0)</f>
        <v>Volqueta</v>
      </c>
      <c r="C6747" s="73"/>
      <c r="D6747" s="70" t="str">
        <f>VLOOKUP(A6747,'Componentes APUs'!$N$1:$Q$30,3,0)</f>
        <v>U</v>
      </c>
      <c r="E6747" s="50">
        <v>0</v>
      </c>
      <c r="F6747" s="51">
        <f>VLOOKUP(A6747,'Componentes APUs'!$N$1:$Q$30,4,0)</f>
        <v>14828184</v>
      </c>
      <c r="G6747" s="51">
        <f>IFERROR(ROUNDUP(F6747*(E6747/21)/E6696,0),"-")</f>
        <v>0</v>
      </c>
    </row>
    <row r="6748" spans="1:7" x14ac:dyDescent="0.25">
      <c r="A6748" s="69" t="s">
        <v>324</v>
      </c>
      <c r="B6748" s="72" t="str">
        <f>VLOOKUP(A6748,'Componentes APUs'!$N$1:$Q$30,2,0)</f>
        <v>Retroexcavadora</v>
      </c>
      <c r="C6748" s="73"/>
      <c r="D6748" s="70" t="str">
        <f>VLOOKUP(A6748,'Componentes APUs'!$N$1:$Q$30,3,0)</f>
        <v>U</v>
      </c>
      <c r="E6748" s="50">
        <v>0</v>
      </c>
      <c r="F6748" s="51">
        <f>VLOOKUP(A6748,'Componentes APUs'!$N$1:$Q$30,4,0)</f>
        <v>46030656</v>
      </c>
      <c r="G6748" s="51">
        <f>IFERROR(ROUNDUP(F6748*(E6748/21)/E6696,0),"-")</f>
        <v>0</v>
      </c>
    </row>
    <row r="6749" spans="1:7" x14ac:dyDescent="0.25">
      <c r="A6749" s="219" t="s">
        <v>99</v>
      </c>
      <c r="B6749" s="219"/>
      <c r="C6749" s="219"/>
      <c r="D6749" s="219"/>
      <c r="E6749" s="219"/>
      <c r="F6749" s="219"/>
      <c r="G6749" s="52">
        <f>SUM(G6744:G6748)</f>
        <v>2183</v>
      </c>
    </row>
    <row r="6750" spans="1:7" x14ac:dyDescent="0.25">
      <c r="A6750" s="56"/>
      <c r="B6750" s="57"/>
      <c r="C6750" s="57"/>
      <c r="D6750" s="57"/>
      <c r="E6750" s="57"/>
      <c r="F6750" s="57"/>
      <c r="G6750" s="58"/>
    </row>
    <row r="6751" spans="1:7" x14ac:dyDescent="0.25">
      <c r="A6751" s="219" t="s">
        <v>100</v>
      </c>
      <c r="B6751" s="219"/>
      <c r="C6751" s="219"/>
      <c r="D6751" s="219"/>
      <c r="E6751" s="219"/>
      <c r="F6751" s="219"/>
      <c r="G6751" s="52">
        <f>G6749+G6740+G6723+G6713+G6703</f>
        <v>100702</v>
      </c>
    </row>
    <row r="6752" spans="1:7" x14ac:dyDescent="0.25">
      <c r="A6752" s="59"/>
      <c r="B6752" s="60"/>
      <c r="C6752" s="60"/>
      <c r="D6752" s="60"/>
      <c r="E6752" s="57"/>
      <c r="F6752" s="57"/>
      <c r="G6752" s="58"/>
    </row>
    <row r="6753" spans="1:12" x14ac:dyDescent="0.25">
      <c r="A6753" s="64"/>
      <c r="D6753" s="55"/>
      <c r="E6753" s="49" t="s">
        <v>25</v>
      </c>
      <c r="F6753" s="54">
        <v>0.15</v>
      </c>
      <c r="G6753" s="51">
        <f>G6751*F6753</f>
        <v>15105.3</v>
      </c>
    </row>
    <row r="6754" spans="1:12" x14ac:dyDescent="0.25">
      <c r="A6754" s="64"/>
      <c r="D6754" s="55"/>
      <c r="E6754" s="49" t="s">
        <v>26</v>
      </c>
      <c r="F6754" s="54">
        <v>0.05</v>
      </c>
      <c r="G6754" s="51">
        <f>G6751*F6754</f>
        <v>5035.1000000000004</v>
      </c>
    </row>
    <row r="6755" spans="1:12" x14ac:dyDescent="0.25">
      <c r="A6755" s="61"/>
      <c r="B6755" s="65"/>
      <c r="C6755" s="65"/>
      <c r="D6755" s="62"/>
      <c r="E6755" s="49" t="s">
        <v>27</v>
      </c>
      <c r="F6755" s="54">
        <v>0.05</v>
      </c>
      <c r="G6755" s="51">
        <f>G6751*F6755</f>
        <v>5035.1000000000004</v>
      </c>
    </row>
    <row r="6756" spans="1:12" x14ac:dyDescent="0.25">
      <c r="A6756" s="61"/>
      <c r="B6756" s="62"/>
      <c r="C6756" s="62"/>
      <c r="D6756" s="62"/>
      <c r="E6756" s="62"/>
      <c r="F6756" s="62"/>
      <c r="G6756" s="63"/>
    </row>
    <row r="6757" spans="1:12" x14ac:dyDescent="0.25">
      <c r="A6757" s="219" t="s">
        <v>101</v>
      </c>
      <c r="B6757" s="219"/>
      <c r="C6757" s="219"/>
      <c r="D6757" s="219"/>
      <c r="E6757" s="219"/>
      <c r="F6757" s="219"/>
      <c r="G6757" s="52">
        <f>G6751+G6753+G6754+G6755</f>
        <v>125877.50000000001</v>
      </c>
    </row>
    <row r="6758" spans="1:12" x14ac:dyDescent="0.25">
      <c r="A6758" s="59"/>
      <c r="B6758" s="60"/>
      <c r="C6758" s="60"/>
      <c r="D6758" s="60"/>
      <c r="E6758" s="57"/>
      <c r="F6758" s="57"/>
      <c r="G6758" s="58"/>
    </row>
    <row r="6759" spans="1:12" x14ac:dyDescent="0.25">
      <c r="A6759" s="64"/>
      <c r="D6759" s="55"/>
      <c r="E6759" s="49" t="s">
        <v>102</v>
      </c>
      <c r="F6759" s="49" t="s">
        <v>103</v>
      </c>
      <c r="G6759" s="51">
        <f>G6755*19%</f>
        <v>956.6690000000001</v>
      </c>
    </row>
    <row r="6760" spans="1:12" x14ac:dyDescent="0.25">
      <c r="A6760" s="61"/>
      <c r="B6760" s="62"/>
      <c r="C6760" s="62"/>
      <c r="D6760" s="62"/>
      <c r="E6760" s="57"/>
      <c r="F6760" s="57"/>
      <c r="G6760" s="58"/>
    </row>
    <row r="6761" spans="1:12" x14ac:dyDescent="0.25">
      <c r="A6761" s="219" t="s">
        <v>104</v>
      </c>
      <c r="B6761" s="219"/>
      <c r="C6761" s="219"/>
      <c r="D6761" s="219"/>
      <c r="E6761" s="219"/>
      <c r="F6761" s="219"/>
      <c r="G6761" s="52">
        <f>G6759+G6757</f>
        <v>126834.16900000001</v>
      </c>
    </row>
    <row r="6763" spans="1:12" x14ac:dyDescent="0.25">
      <c r="A6763" s="74" t="s">
        <v>29</v>
      </c>
      <c r="B6763" s="226" t="s">
        <v>30</v>
      </c>
      <c r="C6763" s="226"/>
      <c r="D6763" s="74" t="s">
        <v>31</v>
      </c>
      <c r="E6763" s="74" t="s">
        <v>32</v>
      </c>
      <c r="F6763" s="74" t="s">
        <v>189</v>
      </c>
      <c r="G6763" s="74" t="s">
        <v>33</v>
      </c>
      <c r="H6763" s="105"/>
    </row>
    <row r="6764" spans="1:12" ht="24.75" customHeight="1" x14ac:dyDescent="0.25">
      <c r="A6764" s="50" t="str">
        <f>Presupuesto!B129</f>
        <v>108_OC</v>
      </c>
      <c r="B6764" s="229" t="str">
        <f>Presupuesto!C129</f>
        <v>PINTURA EPOXICA COLOR GRIS PARA LOSA DE CONTRAPISO QUE NO VAYA EN BALDOSA NI CERAMICA</v>
      </c>
      <c r="C6764" s="230"/>
      <c r="D6764" s="50" t="s">
        <v>8</v>
      </c>
      <c r="E6764" s="107">
        <v>95</v>
      </c>
      <c r="F6764" s="50"/>
      <c r="G6764" s="51">
        <f>G6830</f>
        <v>26522.551000000003</v>
      </c>
      <c r="H6764" s="45"/>
    </row>
    <row r="6765" spans="1:12" x14ac:dyDescent="0.25">
      <c r="A6765" s="219" t="s">
        <v>34</v>
      </c>
      <c r="B6765" s="219"/>
      <c r="C6765" s="219"/>
      <c r="D6765" s="219"/>
      <c r="E6765" s="219"/>
      <c r="F6765" s="219"/>
      <c r="G6765" s="219"/>
    </row>
    <row r="6766" spans="1:12" x14ac:dyDescent="0.25">
      <c r="A6766" s="49" t="s">
        <v>35</v>
      </c>
      <c r="B6766" s="219" t="s">
        <v>36</v>
      </c>
      <c r="C6766" s="219"/>
      <c r="D6766" s="49" t="s">
        <v>37</v>
      </c>
      <c r="E6766" s="49" t="s">
        <v>38</v>
      </c>
      <c r="F6766" s="49" t="s">
        <v>39</v>
      </c>
      <c r="G6766" s="49" t="s">
        <v>40</v>
      </c>
      <c r="K6766" s="23"/>
      <c r="L6766" s="23"/>
    </row>
    <row r="6767" spans="1:12" x14ac:dyDescent="0.25">
      <c r="A6767" s="50" t="str">
        <f>Material!A318</f>
        <v>MA-317</v>
      </c>
      <c r="B6767" s="72" t="str">
        <f>IFERROR(VLOOKUP(A6767,Material!$A:$H,2,0),"-")</f>
        <v>PINTURA EPÓXICA GRIS</v>
      </c>
      <c r="C6767" s="76"/>
      <c r="D6767" s="50" t="str">
        <f>IFERROR(VLOOKUP(A6767,Material!$A:$H,4,0),"-")</f>
        <v>GALÓN</v>
      </c>
      <c r="E6767" s="95">
        <f>1/17</f>
        <v>5.8823529411764705E-2</v>
      </c>
      <c r="F6767" s="51">
        <f>IFERROR(VLOOKUP(A6767,Material!$A:$H,3,0),"-")</f>
        <v>279370</v>
      </c>
      <c r="G6767" s="51">
        <f>IFERROR(ROUNDUP(F6767*E6767,0),"-")</f>
        <v>16434</v>
      </c>
      <c r="H6767" s="106"/>
    </row>
    <row r="6768" spans="1:12" x14ac:dyDescent="0.25">
      <c r="A6768" s="50"/>
      <c r="B6768" s="72" t="str">
        <f>IFERROR(VLOOKUP(A6768,Material!$A:$H,2,0),"-")</f>
        <v>-</v>
      </c>
      <c r="C6768" s="76"/>
      <c r="D6768" s="50" t="str">
        <f>IFERROR(VLOOKUP(A6768,Material!$A:$H,4,0),"-")</f>
        <v>-</v>
      </c>
      <c r="E6768" s="23"/>
      <c r="F6768" s="51" t="str">
        <f>IFERROR(VLOOKUP(A6768,Material!$A:$H,3,0),"-")</f>
        <v>-</v>
      </c>
      <c r="G6768" s="51" t="str">
        <f>IFERROR(ROUNDUP(F6768*E6768,0),"-")</f>
        <v>-</v>
      </c>
      <c r="H6768" s="106"/>
    </row>
    <row r="6769" spans="1:9" x14ac:dyDescent="0.25">
      <c r="A6769" s="50"/>
      <c r="B6769" s="72" t="str">
        <f>IFERROR(VLOOKUP(A6769,Material!$A:$H,2,0),"-")</f>
        <v>-</v>
      </c>
      <c r="C6769" s="76"/>
      <c r="D6769" s="50" t="str">
        <f>IFERROR(VLOOKUP(A6769,Material!$A:$H,4,0),"-")</f>
        <v>-</v>
      </c>
      <c r="E6769" s="107"/>
      <c r="F6769" s="51" t="str">
        <f>IFERROR(VLOOKUP(A6769,Material!$A:$H,3,0),"-")</f>
        <v>-</v>
      </c>
      <c r="G6769" s="51" t="str">
        <f>IFERROR(ROUNDUP(F6769*E6769,0),"-")</f>
        <v>-</v>
      </c>
      <c r="H6769" s="106"/>
    </row>
    <row r="6770" spans="1:9" x14ac:dyDescent="0.25">
      <c r="A6770" s="50"/>
      <c r="B6770" s="72" t="str">
        <f>IFERROR(VLOOKUP(A6770,Material!$A:$H,2,0),"-")</f>
        <v>-</v>
      </c>
      <c r="C6770" s="76"/>
      <c r="D6770" s="50" t="str">
        <f>IFERROR(VLOOKUP(A6770,Material!$A:$H,4,0),"-")</f>
        <v>-</v>
      </c>
      <c r="E6770" s="107"/>
      <c r="F6770" s="51" t="str">
        <f>IFERROR(VLOOKUP(A6770,Material!$A:$H,3,0),"-")</f>
        <v>-</v>
      </c>
      <c r="G6770" s="51" t="str">
        <f>IFERROR(ROUNDUP(F6770*E6770,0),"-")</f>
        <v>-</v>
      </c>
      <c r="H6770" s="106"/>
    </row>
    <row r="6771" spans="1:9" x14ac:dyDescent="0.25">
      <c r="A6771" s="50"/>
      <c r="B6771" s="72" t="str">
        <f>IFERROR(VLOOKUP(A6771,Material!$A:$H,2,0),"-")</f>
        <v>-</v>
      </c>
      <c r="C6771" s="76"/>
      <c r="D6771" s="50" t="str">
        <f>IFERROR(VLOOKUP(A6771,Material!$A:$H,4,0),"-")</f>
        <v>-</v>
      </c>
      <c r="E6771" s="107"/>
      <c r="F6771" s="51" t="str">
        <f>IFERROR(VLOOKUP(A6771,Material!$A:$H,3,0),"-")</f>
        <v>-</v>
      </c>
      <c r="G6771" s="51" t="str">
        <f>IFERROR(ROUNDUP(F6771*E6771,0),"-")</f>
        <v>-</v>
      </c>
      <c r="H6771" s="106"/>
    </row>
    <row r="6772" spans="1:9" x14ac:dyDescent="0.25">
      <c r="A6772" s="219" t="s">
        <v>41</v>
      </c>
      <c r="B6772" s="219"/>
      <c r="C6772" s="219"/>
      <c r="D6772" s="219"/>
      <c r="E6772" s="219"/>
      <c r="F6772" s="219"/>
      <c r="G6772" s="52">
        <f>SUM(G6767:G6771)</f>
        <v>16434</v>
      </c>
      <c r="I6772" s="104"/>
    </row>
    <row r="6773" spans="1:9" x14ac:dyDescent="0.25">
      <c r="A6773" s="56"/>
      <c r="B6773" s="57"/>
      <c r="C6773" s="57"/>
      <c r="D6773" s="57"/>
      <c r="E6773" s="57"/>
      <c r="F6773" s="57"/>
      <c r="G6773" s="58"/>
    </row>
    <row r="6774" spans="1:9" x14ac:dyDescent="0.25">
      <c r="A6774" s="219" t="s">
        <v>42</v>
      </c>
      <c r="B6774" s="219"/>
      <c r="C6774" s="219"/>
      <c r="D6774" s="219"/>
      <c r="E6774" s="219"/>
      <c r="F6774" s="219"/>
      <c r="G6774" s="219"/>
    </row>
    <row r="6775" spans="1:9" x14ac:dyDescent="0.25">
      <c r="A6775" s="49" t="s">
        <v>35</v>
      </c>
      <c r="B6775" s="49" t="s">
        <v>36</v>
      </c>
      <c r="C6775" s="49" t="s">
        <v>38</v>
      </c>
      <c r="D6775" s="49" t="s">
        <v>43</v>
      </c>
      <c r="E6775" s="49" t="s">
        <v>44</v>
      </c>
      <c r="F6775" s="49" t="s">
        <v>45</v>
      </c>
      <c r="G6775" s="49" t="s">
        <v>40</v>
      </c>
    </row>
    <row r="6776" spans="1:9" x14ac:dyDescent="0.25">
      <c r="A6776" s="50" t="s">
        <v>319</v>
      </c>
      <c r="B6776" s="68" t="str">
        <f>VLOOKUP(A6776,'Componentes APUs'!$H$1:$L$25,2,0)</f>
        <v>Ingeniero Residente de Obra</v>
      </c>
      <c r="C6776" s="93">
        <v>0</v>
      </c>
      <c r="D6776" s="50">
        <f>VLOOKUP(A6776,'Componentes APUs'!$H$1:$L$25,3,0)</f>
        <v>4</v>
      </c>
      <c r="E6776" s="51">
        <f>VLOOKUP(A6776,'Componentes APUs'!$H$1:$L$25,4,0)</f>
        <v>271142.85714285716</v>
      </c>
      <c r="F6776" s="51">
        <f>VLOOKUP(A6776,'Componentes APUs'!$H$1:$L$25,5,0)</f>
        <v>162685.71428571429</v>
      </c>
      <c r="G6776" s="51">
        <f>ROUNDUP((E6776+F6776)*C6776/E6764,0)</f>
        <v>0</v>
      </c>
      <c r="H6776" s="66"/>
    </row>
    <row r="6777" spans="1:9" x14ac:dyDescent="0.25">
      <c r="A6777" s="50" t="s">
        <v>320</v>
      </c>
      <c r="B6777" s="68" t="str">
        <f>VLOOKUP(A6777,'Componentes APUs'!$H$1:$L$25,2,0)</f>
        <v>Tecnico Supervisor</v>
      </c>
      <c r="C6777" s="93">
        <v>0</v>
      </c>
      <c r="D6777" s="50">
        <f>VLOOKUP(A6777,'Componentes APUs'!$H$1:$L$25,3,0)</f>
        <v>2.2999999999999998</v>
      </c>
      <c r="E6777" s="51">
        <f>VLOOKUP(A6777,'Componentes APUs'!$H$1:$L$25,4,0)</f>
        <v>155907.14285714284</v>
      </c>
      <c r="F6777" s="51">
        <f>VLOOKUP(A6777,'Componentes APUs'!$H$1:$L$25,5,0)</f>
        <v>93544.285714285696</v>
      </c>
      <c r="G6777" s="51">
        <f>ROUNDUP((E6777+F6777)*C6777/E6764,0)</f>
        <v>0</v>
      </c>
    </row>
    <row r="6778" spans="1:9" x14ac:dyDescent="0.25">
      <c r="A6778" s="50" t="s">
        <v>54</v>
      </c>
      <c r="B6778" s="68" t="str">
        <f>VLOOKUP(A6778,'Componentes APUs'!$H$1:$L$25,2,0)</f>
        <v>Maestro de obra civil</v>
      </c>
      <c r="C6778" s="93">
        <v>0</v>
      </c>
      <c r="D6778" s="50">
        <f>VLOOKUP(A6778,'Componentes APUs'!$H$1:$L$25,3,0)</f>
        <v>2.5</v>
      </c>
      <c r="E6778" s="51">
        <f>VLOOKUP(A6778,'Componentes APUs'!$H$1:$L$25,4,0)</f>
        <v>169464.28571428571</v>
      </c>
      <c r="F6778" s="51">
        <f>VLOOKUP(A6778,'Componentes APUs'!$H$1:$L$25,5,0)</f>
        <v>101678.57142857142</v>
      </c>
      <c r="G6778" s="51">
        <f>ROUNDUP((E6778+F6778)*C6778/E6764,0)</f>
        <v>0</v>
      </c>
    </row>
    <row r="6779" spans="1:9" x14ac:dyDescent="0.25">
      <c r="A6779" s="50" t="s">
        <v>1110</v>
      </c>
      <c r="B6779" s="68" t="str">
        <f>VLOOKUP(A6779,'Componentes APUs'!$H$1:$L$25,2,0)</f>
        <v>Oficial de Obra Civil</v>
      </c>
      <c r="C6779" s="93">
        <v>0.25</v>
      </c>
      <c r="D6779" s="50">
        <f>VLOOKUP(A6779,'Componentes APUs'!$H$1:$L$25,3,0)</f>
        <v>1.5</v>
      </c>
      <c r="E6779" s="51">
        <f>VLOOKUP(A6779,'Componentes APUs'!$H$1:$L$25,4,0)</f>
        <v>115964.28571428571</v>
      </c>
      <c r="F6779" s="51">
        <f>VLOOKUP(A6779,'Componentes APUs'!$H$1:$L$25,5,0)</f>
        <v>69578.57142857142</v>
      </c>
      <c r="G6779" s="51">
        <f>ROUNDUP((E6779+F6779)*C6779/E6764,0)</f>
        <v>489</v>
      </c>
    </row>
    <row r="6780" spans="1:9" x14ac:dyDescent="0.25">
      <c r="A6780" s="50" t="s">
        <v>50</v>
      </c>
      <c r="B6780" s="68" t="str">
        <f>VLOOKUP(A6780,'Componentes APUs'!$H$1:$L$25,2,0)</f>
        <v>Profesional en SST</v>
      </c>
      <c r="C6780" s="93">
        <v>0</v>
      </c>
      <c r="D6780" s="50">
        <f>VLOOKUP(A6780,'Componentes APUs'!$H$1:$L$25,3,0)</f>
        <v>2.5</v>
      </c>
      <c r="E6780" s="51">
        <f>VLOOKUP(A6780,'Componentes APUs'!$H$1:$L$25,4,0)</f>
        <v>169464.28571428571</v>
      </c>
      <c r="F6780" s="51">
        <f>VLOOKUP(A6780,'Componentes APUs'!$H$1:$L$25,5,0)</f>
        <v>101678.57142857142</v>
      </c>
      <c r="G6780" s="51">
        <f>ROUNDUP((E6780+F6780)*C6780/E6764,0)</f>
        <v>0</v>
      </c>
    </row>
    <row r="6781" spans="1:9" x14ac:dyDescent="0.25">
      <c r="A6781" s="50" t="s">
        <v>1109</v>
      </c>
      <c r="B6781" s="68" t="str">
        <f>VLOOKUP(A6781,'Componentes APUs'!$H$1:$L$25,2,0)</f>
        <v>Ayudante de Obra Civil</v>
      </c>
      <c r="C6781" s="93">
        <v>1</v>
      </c>
      <c r="D6781" s="50">
        <f>VLOOKUP(A6781,'Componentes APUs'!$H$1:$L$25,3,0)</f>
        <v>1</v>
      </c>
      <c r="E6781" s="51">
        <f>VLOOKUP(A6781,'Componentes APUs'!$H$1:$L$25,4,0)</f>
        <v>77309.523809523816</v>
      </c>
      <c r="F6781" s="51">
        <f>VLOOKUP(A6781,'Componentes APUs'!$H$1:$L$25,5,0)</f>
        <v>46385.71428571429</v>
      </c>
      <c r="G6781" s="51">
        <f>ROUNDUP((E6781+F6781)*C6781/E6764,0)</f>
        <v>1303</v>
      </c>
    </row>
    <row r="6782" spans="1:9" x14ac:dyDescent="0.25">
      <c r="A6782" s="219" t="s">
        <v>56</v>
      </c>
      <c r="B6782" s="219"/>
      <c r="C6782" s="219"/>
      <c r="D6782" s="219"/>
      <c r="E6782" s="219"/>
      <c r="F6782" s="219"/>
      <c r="G6782" s="52">
        <f>SUM(G6776:G6781)</f>
        <v>1792</v>
      </c>
    </row>
    <row r="6783" spans="1:9" x14ac:dyDescent="0.25">
      <c r="A6783" s="56"/>
      <c r="B6783" s="57"/>
      <c r="C6783" s="57"/>
      <c r="D6783" s="57"/>
      <c r="E6783" s="57"/>
      <c r="F6783" s="57"/>
      <c r="G6783" s="58"/>
    </row>
    <row r="6784" spans="1:9" x14ac:dyDescent="0.25">
      <c r="A6784" s="219" t="s">
        <v>57</v>
      </c>
      <c r="B6784" s="219"/>
      <c r="C6784" s="219"/>
      <c r="D6784" s="219"/>
      <c r="E6784" s="219"/>
      <c r="F6784" s="219"/>
      <c r="G6784" s="219"/>
    </row>
    <row r="6785" spans="1:9" x14ac:dyDescent="0.25">
      <c r="A6785" s="49" t="s">
        <v>35</v>
      </c>
      <c r="B6785" s="219" t="s">
        <v>36</v>
      </c>
      <c r="C6785" s="219"/>
      <c r="D6785" s="49" t="s">
        <v>37</v>
      </c>
      <c r="E6785" s="49" t="s">
        <v>38</v>
      </c>
      <c r="F6785" s="49" t="s">
        <v>39</v>
      </c>
      <c r="G6785" s="49" t="s">
        <v>40</v>
      </c>
    </row>
    <row r="6786" spans="1:9" x14ac:dyDescent="0.25">
      <c r="A6786" s="50" t="s">
        <v>326</v>
      </c>
      <c r="B6786" s="220" t="str">
        <f>VLOOKUP(A6786,'Componentes APUs'!$S$1:$V$10,2,0)</f>
        <v>Juego Llaves</v>
      </c>
      <c r="C6786" s="220"/>
      <c r="D6786" s="50" t="s">
        <v>18</v>
      </c>
      <c r="E6786" s="50">
        <v>0</v>
      </c>
      <c r="F6786" s="51">
        <f>VLOOKUP(A6786,'Componentes APUs'!$S$1:$V$10,4,0)</f>
        <v>9167</v>
      </c>
      <c r="G6786" s="51">
        <f>ROUNDUP(F6786*((E6786/21)/E6764),0)</f>
        <v>0</v>
      </c>
      <c r="I6786" s="91"/>
    </row>
    <row r="6787" spans="1:9" x14ac:dyDescent="0.25">
      <c r="A6787" s="50" t="s">
        <v>58</v>
      </c>
      <c r="B6787" s="220" t="str">
        <f>VLOOKUP(A6787,'Componentes APUs'!$S$1:$V$10,2,0)</f>
        <v>Manila de servicio</v>
      </c>
      <c r="C6787" s="220"/>
      <c r="D6787" s="50" t="s">
        <v>18</v>
      </c>
      <c r="E6787" s="50">
        <v>0</v>
      </c>
      <c r="F6787" s="51">
        <f>VLOOKUP(A6787,'Componentes APUs'!$S$1:$V$10,4,0)</f>
        <v>2333</v>
      </c>
      <c r="G6787" s="51">
        <f>ROUNDUP(F6787*((E6787/21)/E6764),0)</f>
        <v>0</v>
      </c>
    </row>
    <row r="6788" spans="1:9" x14ac:dyDescent="0.25">
      <c r="A6788" s="50" t="s">
        <v>327</v>
      </c>
      <c r="B6788" s="220" t="str">
        <f>VLOOKUP(A6788,'Componentes APUs'!$S$1:$V$10,2,0)</f>
        <v>Tula portaherramientas</v>
      </c>
      <c r="C6788" s="220"/>
      <c r="D6788" s="50" t="s">
        <v>18</v>
      </c>
      <c r="E6788" s="50">
        <v>0</v>
      </c>
      <c r="F6788" s="51">
        <f>VLOOKUP(A6788,'Componentes APUs'!$S$1:$V$10,4,0)</f>
        <v>1250</v>
      </c>
      <c r="G6788" s="51">
        <f>ROUNDUP(F6788*((E6788/21)/E6764),0)</f>
        <v>0</v>
      </c>
    </row>
    <row r="6789" spans="1:9" x14ac:dyDescent="0.25">
      <c r="A6789" s="50" t="s">
        <v>60</v>
      </c>
      <c r="B6789" s="220" t="str">
        <f>VLOOKUP(A6789,'Componentes APUs'!$S$1:$V$10,2,0)</f>
        <v>Agarradoras</v>
      </c>
      <c r="C6789" s="220"/>
      <c r="D6789" s="50" t="s">
        <v>18</v>
      </c>
      <c r="E6789" s="50">
        <v>0</v>
      </c>
      <c r="F6789" s="51">
        <f>VLOOKUP(A6789,'Componentes APUs'!$S$1:$V$10,4,0)</f>
        <v>125000</v>
      </c>
      <c r="G6789" s="51">
        <f>ROUNDUP(F6789*((E6789/21)/E6764),0)</f>
        <v>0</v>
      </c>
    </row>
    <row r="6790" spans="1:9" x14ac:dyDescent="0.25">
      <c r="A6790" s="50" t="s">
        <v>62</v>
      </c>
      <c r="B6790" s="220" t="str">
        <f>VLOOKUP(A6790,'Componentes APUs'!$S$1:$V$10,2,0)</f>
        <v>Templadoras</v>
      </c>
      <c r="C6790" s="220"/>
      <c r="D6790" s="50" t="s">
        <v>18</v>
      </c>
      <c r="E6790" s="50">
        <v>0</v>
      </c>
      <c r="F6790" s="51">
        <f>VLOOKUP(A6790,'Componentes APUs'!$S$1:$V$10,4,0)</f>
        <v>250000</v>
      </c>
      <c r="G6790" s="51">
        <f>ROUNDUP(F6790*((E6790/21)/E6764),0)</f>
        <v>0</v>
      </c>
    </row>
    <row r="6791" spans="1:9" x14ac:dyDescent="0.25">
      <c r="A6791" s="50" t="s">
        <v>328</v>
      </c>
      <c r="B6791" s="220" t="str">
        <f>VLOOKUP(A6791,'Componentes APUs'!$S$1:$V$10,2,0)</f>
        <v>Herramienta Menor</v>
      </c>
      <c r="C6791" s="220"/>
      <c r="D6791" s="50" t="s">
        <v>18</v>
      </c>
      <c r="E6791" s="50">
        <v>1</v>
      </c>
      <c r="F6791" s="51">
        <f>VLOOKUP(A6791,'Componentes APUs'!$S$1:$V$10,4,0)</f>
        <v>75758</v>
      </c>
      <c r="G6791" s="51">
        <f>ROUNDUP(F6791*((E6791/21)/E6764),0)</f>
        <v>38</v>
      </c>
    </row>
    <row r="6792" spans="1:9" x14ac:dyDescent="0.25">
      <c r="A6792" s="219" t="s">
        <v>69</v>
      </c>
      <c r="B6792" s="219"/>
      <c r="C6792" s="219"/>
      <c r="D6792" s="219"/>
      <c r="E6792" s="219"/>
      <c r="F6792" s="219"/>
      <c r="G6792" s="52">
        <f>SUM(G6786:G6791)</f>
        <v>38</v>
      </c>
    </row>
    <row r="6793" spans="1:9" x14ac:dyDescent="0.25">
      <c r="A6793" s="56"/>
      <c r="B6793" s="57"/>
      <c r="C6793" s="57"/>
      <c r="D6793" s="57"/>
      <c r="E6793" s="57"/>
      <c r="F6793" s="57"/>
      <c r="G6793" s="58"/>
    </row>
    <row r="6794" spans="1:9" x14ac:dyDescent="0.25">
      <c r="A6794" s="219" t="s">
        <v>70</v>
      </c>
      <c r="B6794" s="219"/>
      <c r="C6794" s="219"/>
      <c r="D6794" s="219"/>
      <c r="E6794" s="219"/>
      <c r="F6794" s="219"/>
      <c r="G6794" s="219"/>
    </row>
    <row r="6795" spans="1:9" x14ac:dyDescent="0.25">
      <c r="A6795" s="49" t="s">
        <v>35</v>
      </c>
      <c r="B6795" s="219" t="s">
        <v>36</v>
      </c>
      <c r="C6795" s="219"/>
      <c r="D6795" s="49" t="s">
        <v>37</v>
      </c>
      <c r="E6795" s="49" t="s">
        <v>38</v>
      </c>
      <c r="F6795" s="49" t="s">
        <v>39</v>
      </c>
      <c r="G6795" s="49" t="s">
        <v>40</v>
      </c>
    </row>
    <row r="6796" spans="1:9" x14ac:dyDescent="0.25">
      <c r="A6796" s="50" t="s">
        <v>71</v>
      </c>
      <c r="B6796" s="71" t="str">
        <f>VLOOKUP(A6796,'Componentes APUs'!$A$1:$D$14,2,0)</f>
        <v>Camisa indigo sin partes metalicas</v>
      </c>
      <c r="C6796" s="71"/>
      <c r="D6796" s="50" t="str">
        <f>VLOOKUP(A6796,'Componentes APUs'!$A$1:$D$14,3,0)</f>
        <v>U</v>
      </c>
      <c r="E6796" s="50">
        <f>SUM(C6776:C6781)</f>
        <v>1.25</v>
      </c>
      <c r="F6796" s="51">
        <f>VLOOKUP(A6796,'Componentes APUs'!$A$1:$D$14,4,0)</f>
        <v>8585.8585858585866</v>
      </c>
      <c r="G6796" s="51">
        <f>ROUNDUP(F6796*(E6796/21)/E6764,0)</f>
        <v>6</v>
      </c>
      <c r="I6796" s="91"/>
    </row>
    <row r="6797" spans="1:9" x14ac:dyDescent="0.25">
      <c r="A6797" s="69" t="s">
        <v>73</v>
      </c>
      <c r="B6797" s="72" t="str">
        <f>VLOOKUP(A6797,'Componentes APUs'!$A$1:$D$14,2,0)</f>
        <v>Bota de seguridad dielectrica</v>
      </c>
      <c r="C6797" s="73"/>
      <c r="D6797" s="70" t="str">
        <f>VLOOKUP(A6797,'Componentes APUs'!$A$1:$D$14,3,0)</f>
        <v>Par</v>
      </c>
      <c r="E6797" s="50">
        <f>SUM(C6776:C6781)</f>
        <v>1.25</v>
      </c>
      <c r="F6797" s="51">
        <f>VLOOKUP(A6797,'Componentes APUs'!$A$1:$D$14,4,0)</f>
        <v>7500</v>
      </c>
      <c r="G6797" s="51">
        <f>ROUNDUP(F6797*(E6797/21)/E6764,0)</f>
        <v>5</v>
      </c>
    </row>
    <row r="6798" spans="1:9" x14ac:dyDescent="0.25">
      <c r="A6798" s="50" t="s">
        <v>76</v>
      </c>
      <c r="B6798" s="72" t="str">
        <f>VLOOKUP(A6798,'Componentes APUs'!$A$1:$D$14,2,0)</f>
        <v>Casco dielectrico Tipo 1 Clase E con barbuquejo</v>
      </c>
      <c r="C6798" s="73"/>
      <c r="D6798" s="50" t="str">
        <f>VLOOKUP(A6798,'Componentes APUs'!$A$1:$D$14,3,0)</f>
        <v>U</v>
      </c>
      <c r="E6798" s="50">
        <f>C6776+C6777+C6779+C6780+C6781+IF(A6778&lt;&gt;"MO-3",C6778,0)</f>
        <v>1.25</v>
      </c>
      <c r="F6798" s="51">
        <f>VLOOKUP(A6798,'Componentes APUs'!$A$1:$D$14,4,0)</f>
        <v>10101.010101010101</v>
      </c>
      <c r="G6798" s="51">
        <f>ROUNDUP(F6798*(E6798/21)/E6764,0)</f>
        <v>7</v>
      </c>
    </row>
    <row r="6799" spans="1:9" x14ac:dyDescent="0.25">
      <c r="A6799" s="69" t="s">
        <v>77</v>
      </c>
      <c r="B6799" s="72" t="str">
        <f>VLOOKUP(A6799,'Componentes APUs'!$A$1:$D$14,2,0)</f>
        <v>Correa plastica y antiflama</v>
      </c>
      <c r="C6799" s="73"/>
      <c r="D6799" s="50" t="str">
        <f>VLOOKUP(A6799,'Componentes APUs'!$A$1:$D$14,3,0)</f>
        <v>U</v>
      </c>
      <c r="E6799" s="50">
        <f>SUM(C6776:C6781)</f>
        <v>1.25</v>
      </c>
      <c r="F6799" s="51">
        <f>VLOOKUP(A6799,'Componentes APUs'!$A$1:$D$14,4,0)</f>
        <v>3787.878787878788</v>
      </c>
      <c r="G6799" s="51">
        <f>ROUNDUP(F6799*(E6799/21)/E6764,0)</f>
        <v>3</v>
      </c>
    </row>
    <row r="6800" spans="1:9" x14ac:dyDescent="0.25">
      <c r="A6800" s="50" t="s">
        <v>79</v>
      </c>
      <c r="B6800" s="72" t="str">
        <f>VLOOKUP(A6800,'Componentes APUs'!$A$1:$D$14,2,0)</f>
        <v>Gafas protectoras filtro UV</v>
      </c>
      <c r="C6800" s="73"/>
      <c r="D6800" s="50" t="str">
        <f>VLOOKUP(A6800,'Componentes APUs'!$A$1:$D$14,3,0)</f>
        <v>U</v>
      </c>
      <c r="E6800" s="50">
        <f>SUM(C6776:C6781)</f>
        <v>1.25</v>
      </c>
      <c r="F6800" s="51">
        <f>VLOOKUP(A6800,'Componentes APUs'!$A$1:$D$14,4,0)</f>
        <v>2777.7777777777778</v>
      </c>
      <c r="G6800" s="51">
        <f>ROUNDUP(F6800*(E6800/21)/E6764,0)</f>
        <v>2</v>
      </c>
    </row>
    <row r="6801" spans="1:7" x14ac:dyDescent="0.25">
      <c r="A6801" s="69" t="s">
        <v>402</v>
      </c>
      <c r="B6801" s="72" t="str">
        <f>VLOOKUP(A6801,'Componentes APUs'!$A$1:$D$14,2,0)</f>
        <v>Bota de seguridad PVC dielectrica</v>
      </c>
      <c r="C6801" s="73"/>
      <c r="D6801" s="50" t="str">
        <f>VLOOKUP(A6801,'Componentes APUs'!$A$1:$D$14,3,0)</f>
        <v>Par</v>
      </c>
      <c r="E6801" s="50">
        <f>SUM(C6776:C6781)</f>
        <v>1.25</v>
      </c>
      <c r="F6801" s="51">
        <f>VLOOKUP(A6801,'Componentes APUs'!$A$1:$D$14,4,0)</f>
        <v>2916.6666666666665</v>
      </c>
      <c r="G6801" s="51">
        <f>ROUNDUP(F6801*(E6801/21)/E6764,0)</f>
        <v>2</v>
      </c>
    </row>
    <row r="6802" spans="1:7" x14ac:dyDescent="0.25">
      <c r="A6802" s="50" t="s">
        <v>403</v>
      </c>
      <c r="B6802" s="72" t="str">
        <f>VLOOKUP(A6802,'Componentes APUs'!$A$1:$D$14,2,0)</f>
        <v>Capuchon</v>
      </c>
      <c r="C6802" s="73"/>
      <c r="D6802" s="50" t="str">
        <f>VLOOKUP(A6802,'Componentes APUs'!$A$1:$D$14,3,0)</f>
        <v>U</v>
      </c>
      <c r="E6802" s="50">
        <f>SUM(C6776:C6781)</f>
        <v>1.25</v>
      </c>
      <c r="F6802" s="51">
        <f>VLOOKUP(A6802,'Componentes APUs'!$A$1:$D$14,4,0)</f>
        <v>2525.2525252525252</v>
      </c>
      <c r="G6802" s="51">
        <f>ROUNDUP(F6802*(E6802/21)/E6764,0)</f>
        <v>2</v>
      </c>
    </row>
    <row r="6803" spans="1:7" x14ac:dyDescent="0.25">
      <c r="A6803" s="69" t="s">
        <v>81</v>
      </c>
      <c r="B6803" s="72" t="str">
        <f>VLOOKUP(A6803,'Componentes APUs'!$A$1:$D$14,2,0)</f>
        <v>Guantes Protectores  - ingeniero reforzados</v>
      </c>
      <c r="C6803" s="73"/>
      <c r="D6803" s="50" t="str">
        <f>VLOOKUP(A6803,'Componentes APUs'!$A$1:$D$14,3,0)</f>
        <v>Par</v>
      </c>
      <c r="E6803" s="50">
        <f>C6778+C6779+C6781</f>
        <v>1.25</v>
      </c>
      <c r="F6803" s="51">
        <f>VLOOKUP(A6803,'Componentes APUs'!$A$1:$D$14,4,0)</f>
        <v>2525.2525252525252</v>
      </c>
      <c r="G6803" s="51">
        <f>ROUNDUP(F6803*(E6803/21)/E6764,0)</f>
        <v>2</v>
      </c>
    </row>
    <row r="6804" spans="1:7" x14ac:dyDescent="0.25">
      <c r="A6804" s="50" t="s">
        <v>83</v>
      </c>
      <c r="B6804" s="72" t="str">
        <f>VLOOKUP(A6804,'Componentes APUs'!$A$1:$D$14,2,0)</f>
        <v>Impermeable (pantalon camisa)</v>
      </c>
      <c r="C6804" s="73"/>
      <c r="D6804" s="50" t="str">
        <f>VLOOKUP(A6804,'Componentes APUs'!$A$1:$D$14,3,0)</f>
        <v>U</v>
      </c>
      <c r="E6804" s="50">
        <f>SUM(C6776:C6781)</f>
        <v>1.25</v>
      </c>
      <c r="F6804" s="51">
        <f>VLOOKUP(A6804,'Componentes APUs'!$A$1:$D$14,4,0)</f>
        <v>3750</v>
      </c>
      <c r="G6804" s="51">
        <f>ROUNDUP(F6804*(E6804/21)/E6764,0)</f>
        <v>3</v>
      </c>
    </row>
    <row r="6805" spans="1:7" x14ac:dyDescent="0.25">
      <c r="A6805" s="69" t="s">
        <v>85</v>
      </c>
      <c r="B6805" s="72" t="str">
        <f>VLOOKUP(A6805,'Componentes APUs'!$A$1:$D$14,2,0)</f>
        <v>Jean Dielectrico</v>
      </c>
      <c r="C6805" s="73"/>
      <c r="D6805" s="50" t="str">
        <f>VLOOKUP(A6805,'Componentes APUs'!$A$1:$D$14,3,0)</f>
        <v>U</v>
      </c>
      <c r="E6805" s="50">
        <f>SUM(C6776:C6781)</f>
        <v>1.25</v>
      </c>
      <c r="F6805" s="51">
        <f>VLOOKUP(A6805,'Componentes APUs'!$A$1:$D$14,4,0)</f>
        <v>7575.757575757576</v>
      </c>
      <c r="G6805" s="51">
        <f>ROUNDUP(F6805*(E6805/21)/E6764,0)</f>
        <v>5</v>
      </c>
    </row>
    <row r="6806" spans="1:7" x14ac:dyDescent="0.25">
      <c r="A6806" s="50" t="s">
        <v>87</v>
      </c>
      <c r="B6806" s="72" t="str">
        <f>VLOOKUP(A6806,'Componentes APUs'!$A$1:$D$14,2,0)</f>
        <v>Casco dielectrico Tipo 2 Clase E con barboquejo</v>
      </c>
      <c r="C6806" s="73"/>
      <c r="D6806" s="50" t="str">
        <f>VLOOKUP(A6806,'Componentes APUs'!$A$1:$D$14,3,0)</f>
        <v>U</v>
      </c>
      <c r="E6806" s="53">
        <f>IF(A6778="MO-3",C6778,0)</f>
        <v>0</v>
      </c>
      <c r="F6806" s="51">
        <f>VLOOKUP(A6806,'Componentes APUs'!$A$1:$D$14,4,0)</f>
        <v>7500</v>
      </c>
      <c r="G6806" s="51">
        <f>ROUNDUP(F6806*(E6806/21)/E6764,0)</f>
        <v>0</v>
      </c>
    </row>
    <row r="6807" spans="1:7" x14ac:dyDescent="0.25">
      <c r="A6807" s="69" t="s">
        <v>89</v>
      </c>
      <c r="B6807" s="72" t="str">
        <f>VLOOKUP(A6807,'Componentes APUs'!$A$1:$D$14,2,0)</f>
        <v>Kit de rescate para trabajo en alturas</v>
      </c>
      <c r="C6807" s="73"/>
      <c r="D6807" s="50" t="str">
        <f>VLOOKUP(A6807,'Componentes APUs'!$A$1:$D$14,3,0)</f>
        <v>U</v>
      </c>
      <c r="E6807" s="50">
        <f>IF(AND(A6778="MO-3",C6778=2),1,0)</f>
        <v>0</v>
      </c>
      <c r="F6807" s="51">
        <f>VLOOKUP(A6807,'Componentes APUs'!$A$1:$D$14,4,0)</f>
        <v>37500</v>
      </c>
      <c r="G6807" s="51">
        <f>ROUNDUP(F6807*(E6807/21)/E6764,0)</f>
        <v>0</v>
      </c>
    </row>
    <row r="6808" spans="1:7" x14ac:dyDescent="0.25">
      <c r="A6808" s="50" t="s">
        <v>91</v>
      </c>
      <c r="B6808" s="72" t="str">
        <f>VLOOKUP(A6808,'Componentes APUs'!$A$1:$D$14,2,0)</f>
        <v>Equipo completo para trabajo en alturas con pretales (Arnes dielectrico, 1 mosqueton de seguridad, tie off dielectrico, eslinga de posicionamiento, juego de pretales)</v>
      </c>
      <c r="C6808" s="73"/>
      <c r="D6808" s="50" t="str">
        <f>VLOOKUP(A6808,'Componentes APUs'!$A$1:$D$14,3,0)</f>
        <v>U</v>
      </c>
      <c r="E6808" s="50">
        <f>IF(A6778="MO-3",C6778,0)</f>
        <v>0</v>
      </c>
      <c r="F6808" s="51">
        <f>VLOOKUP(A6808,'Componentes APUs'!$A$1:$D$14,4,0)</f>
        <v>26041.666666666668</v>
      </c>
      <c r="G6808" s="51">
        <f>ROUNDUP(F6808*(E6808/21)/E6764,0)</f>
        <v>0</v>
      </c>
    </row>
    <row r="6809" spans="1:7" x14ac:dyDescent="0.25">
      <c r="A6809" s="219" t="s">
        <v>95</v>
      </c>
      <c r="B6809" s="219"/>
      <c r="C6809" s="219"/>
      <c r="D6809" s="219"/>
      <c r="E6809" s="219"/>
      <c r="F6809" s="219"/>
      <c r="G6809" s="52">
        <f>SUM(G6796:G6808)</f>
        <v>37</v>
      </c>
    </row>
    <row r="6810" spans="1:7" x14ac:dyDescent="0.25">
      <c r="A6810" s="56"/>
      <c r="B6810" s="57"/>
      <c r="C6810" s="57"/>
      <c r="D6810" s="57"/>
      <c r="E6810" s="57"/>
      <c r="F6810" s="57"/>
      <c r="G6810" s="58"/>
    </row>
    <row r="6811" spans="1:7" x14ac:dyDescent="0.25">
      <c r="A6811" s="219" t="s">
        <v>96</v>
      </c>
      <c r="B6811" s="219"/>
      <c r="C6811" s="219"/>
      <c r="D6811" s="219"/>
      <c r="E6811" s="219"/>
      <c r="F6811" s="219"/>
      <c r="G6811" s="219"/>
    </row>
    <row r="6812" spans="1:7" x14ac:dyDescent="0.25">
      <c r="A6812" s="49" t="s">
        <v>35</v>
      </c>
      <c r="B6812" s="225" t="s">
        <v>36</v>
      </c>
      <c r="C6812" s="225"/>
      <c r="D6812" s="49" t="s">
        <v>37</v>
      </c>
      <c r="E6812" s="49" t="s">
        <v>38</v>
      </c>
      <c r="F6812" s="49" t="s">
        <v>39</v>
      </c>
      <c r="G6812" s="49" t="s">
        <v>40</v>
      </c>
    </row>
    <row r="6813" spans="1:7" x14ac:dyDescent="0.25">
      <c r="A6813" s="69" t="s">
        <v>97</v>
      </c>
      <c r="B6813" s="72" t="str">
        <f>VLOOKUP(A6813,'Componentes APUs'!$N$1:$Q$30,2,0)</f>
        <v>Camioneta</v>
      </c>
      <c r="C6813" s="73"/>
      <c r="D6813" s="70" t="str">
        <f>VLOOKUP(A6813,'Componentes APUs'!$N$1:$Q$30,3,0)</f>
        <v>U</v>
      </c>
      <c r="E6813" s="50">
        <v>1</v>
      </c>
      <c r="F6813" s="51">
        <f>VLOOKUP(A6813,'Componentes APUs'!$N$1:$Q$30,4,0)</f>
        <v>5500000</v>
      </c>
      <c r="G6813" s="51">
        <f>IFERROR(ROUNDUP(F6813*(E6813/21)/E6764,0),"-")</f>
        <v>2757</v>
      </c>
    </row>
    <row r="6814" spans="1:7" x14ac:dyDescent="0.25">
      <c r="A6814" s="50" t="s">
        <v>321</v>
      </c>
      <c r="B6814" s="72" t="str">
        <f>VLOOKUP(A6814,'Componentes APUs'!$N$1:$Q$30,2,0)</f>
        <v>Grúa Hidráulica</v>
      </c>
      <c r="C6814" s="73"/>
      <c r="D6814" s="70" t="str">
        <f>VLOOKUP(A6814,'Componentes APUs'!$N$1:$Q$30,3,0)</f>
        <v>U</v>
      </c>
      <c r="E6814" s="50">
        <v>0</v>
      </c>
      <c r="F6814" s="51">
        <f>VLOOKUP(A6814,'Componentes APUs'!$N$1:$Q$30,4,0)</f>
        <v>21000000</v>
      </c>
      <c r="G6814" s="51">
        <f>IFERROR(ROUNDUP(F6814*(E6814/21)/E6764,0),"-")</f>
        <v>0</v>
      </c>
    </row>
    <row r="6815" spans="1:7" x14ac:dyDescent="0.25">
      <c r="A6815" s="69" t="s">
        <v>1379</v>
      </c>
      <c r="B6815" s="72" t="str">
        <f>VLOOKUP(A6815,'Componentes APUs'!$N$1:$Q$30,2,0)</f>
        <v>Dumper de descarga Frontal 2T</v>
      </c>
      <c r="C6815" s="73"/>
      <c r="D6815" s="70" t="str">
        <f>VLOOKUP(A6815,'Componentes APUs'!$N$1:$Q$30,3,0)</f>
        <v>U</v>
      </c>
      <c r="E6815" s="50">
        <v>0</v>
      </c>
      <c r="F6815" s="51">
        <f>VLOOKUP(A6815,'Componentes APUs'!$N$1:$Q$30,4,0)</f>
        <v>4438716.24</v>
      </c>
      <c r="G6815" s="51">
        <f>IFERROR(ROUNDUP(F6815*(E6815/21)/E6764,0),"-")</f>
        <v>0</v>
      </c>
    </row>
    <row r="6816" spans="1:7" x14ac:dyDescent="0.25">
      <c r="A6816" s="50" t="s">
        <v>323</v>
      </c>
      <c r="B6816" s="72" t="str">
        <f>VLOOKUP(A6816,'Componentes APUs'!$N$1:$Q$30,2,0)</f>
        <v>Volqueta</v>
      </c>
      <c r="C6816" s="73"/>
      <c r="D6816" s="70" t="str">
        <f>VLOOKUP(A6816,'Componentes APUs'!$N$1:$Q$30,3,0)</f>
        <v>U</v>
      </c>
      <c r="E6816" s="50">
        <v>0</v>
      </c>
      <c r="F6816" s="51">
        <f>VLOOKUP(A6816,'Componentes APUs'!$N$1:$Q$30,4,0)</f>
        <v>14828184</v>
      </c>
      <c r="G6816" s="51">
        <f>IFERROR(ROUNDUP(F6816*(E6816/21)/E6764,0),"-")</f>
        <v>0</v>
      </c>
    </row>
    <row r="6817" spans="1:8" x14ac:dyDescent="0.25">
      <c r="A6817" s="69" t="s">
        <v>324</v>
      </c>
      <c r="B6817" s="72" t="str">
        <f>VLOOKUP(A6817,'Componentes APUs'!$N$1:$Q$30,2,0)</f>
        <v>Retroexcavadora</v>
      </c>
      <c r="C6817" s="73"/>
      <c r="D6817" s="70" t="str">
        <f>VLOOKUP(A6817,'Componentes APUs'!$N$1:$Q$30,3,0)</f>
        <v>U</v>
      </c>
      <c r="E6817" s="50">
        <v>0</v>
      </c>
      <c r="F6817" s="51">
        <f>VLOOKUP(A6817,'Componentes APUs'!$N$1:$Q$30,4,0)</f>
        <v>46030656</v>
      </c>
      <c r="G6817" s="51">
        <f>IFERROR(ROUNDUP(F6817*(E6817/21)/E6764,0),"-")</f>
        <v>0</v>
      </c>
    </row>
    <row r="6818" spans="1:8" x14ac:dyDescent="0.25">
      <c r="A6818" s="219" t="s">
        <v>99</v>
      </c>
      <c r="B6818" s="219"/>
      <c r="C6818" s="219"/>
      <c r="D6818" s="219"/>
      <c r="E6818" s="219"/>
      <c r="F6818" s="219"/>
      <c r="G6818" s="52">
        <f>SUM(G6813:G6817)</f>
        <v>2757</v>
      </c>
    </row>
    <row r="6819" spans="1:8" x14ac:dyDescent="0.25">
      <c r="A6819" s="56"/>
      <c r="B6819" s="57"/>
      <c r="C6819" s="57"/>
      <c r="D6819" s="57"/>
      <c r="E6819" s="57"/>
      <c r="F6819" s="57"/>
      <c r="G6819" s="58"/>
    </row>
    <row r="6820" spans="1:8" x14ac:dyDescent="0.25">
      <c r="A6820" s="219" t="s">
        <v>100</v>
      </c>
      <c r="B6820" s="219"/>
      <c r="C6820" s="219"/>
      <c r="D6820" s="219"/>
      <c r="E6820" s="219"/>
      <c r="F6820" s="219"/>
      <c r="G6820" s="52">
        <f>G6818+G6809+G6792+G6782+G6772</f>
        <v>21058</v>
      </c>
    </row>
    <row r="6821" spans="1:8" x14ac:dyDescent="0.25">
      <c r="A6821" s="59"/>
      <c r="B6821" s="60"/>
      <c r="C6821" s="60"/>
      <c r="D6821" s="60"/>
      <c r="E6821" s="57"/>
      <c r="F6821" s="57"/>
      <c r="G6821" s="58"/>
    </row>
    <row r="6822" spans="1:8" x14ac:dyDescent="0.25">
      <c r="A6822" s="64"/>
      <c r="D6822" s="55"/>
      <c r="E6822" s="49" t="s">
        <v>25</v>
      </c>
      <c r="F6822" s="54">
        <v>0.15</v>
      </c>
      <c r="G6822" s="51">
        <f>G6820*F6822</f>
        <v>3158.7</v>
      </c>
    </row>
    <row r="6823" spans="1:8" x14ac:dyDescent="0.25">
      <c r="A6823" s="64"/>
      <c r="D6823" s="55"/>
      <c r="E6823" s="49" t="s">
        <v>26</v>
      </c>
      <c r="F6823" s="54">
        <v>0.05</v>
      </c>
      <c r="G6823" s="51">
        <f>G6820*F6823</f>
        <v>1052.9000000000001</v>
      </c>
    </row>
    <row r="6824" spans="1:8" x14ac:dyDescent="0.25">
      <c r="A6824" s="61"/>
      <c r="B6824" s="65"/>
      <c r="C6824" s="65"/>
      <c r="D6824" s="62"/>
      <c r="E6824" s="49" t="s">
        <v>27</v>
      </c>
      <c r="F6824" s="54">
        <v>0.05</v>
      </c>
      <c r="G6824" s="51">
        <f>G6820*F6824</f>
        <v>1052.9000000000001</v>
      </c>
    </row>
    <row r="6825" spans="1:8" x14ac:dyDescent="0.25">
      <c r="A6825" s="61"/>
      <c r="B6825" s="62"/>
      <c r="C6825" s="62"/>
      <c r="D6825" s="62"/>
      <c r="E6825" s="62"/>
      <c r="F6825" s="62"/>
      <c r="G6825" s="63"/>
    </row>
    <row r="6826" spans="1:8" x14ac:dyDescent="0.25">
      <c r="A6826" s="219" t="s">
        <v>101</v>
      </c>
      <c r="B6826" s="219"/>
      <c r="C6826" s="219"/>
      <c r="D6826" s="219"/>
      <c r="E6826" s="219"/>
      <c r="F6826" s="219"/>
      <c r="G6826" s="52">
        <f>G6820+G6822+G6823+G6824</f>
        <v>26322.500000000004</v>
      </c>
    </row>
    <row r="6827" spans="1:8" x14ac:dyDescent="0.25">
      <c r="A6827" s="59"/>
      <c r="B6827" s="60"/>
      <c r="C6827" s="60"/>
      <c r="D6827" s="60"/>
      <c r="E6827" s="57"/>
      <c r="F6827" s="57"/>
      <c r="G6827" s="58"/>
    </row>
    <row r="6828" spans="1:8" x14ac:dyDescent="0.25">
      <c r="A6828" s="64"/>
      <c r="D6828" s="55"/>
      <c r="E6828" s="49" t="s">
        <v>102</v>
      </c>
      <c r="F6828" s="49" t="s">
        <v>103</v>
      </c>
      <c r="G6828" s="51">
        <f>G6824*19%</f>
        <v>200.05100000000002</v>
      </c>
    </row>
    <row r="6829" spans="1:8" x14ac:dyDescent="0.25">
      <c r="A6829" s="61"/>
      <c r="B6829" s="62"/>
      <c r="C6829" s="62"/>
      <c r="D6829" s="62"/>
      <c r="E6829" s="57"/>
      <c r="F6829" s="57"/>
      <c r="G6829" s="58"/>
    </row>
    <row r="6830" spans="1:8" x14ac:dyDescent="0.25">
      <c r="A6830" s="219" t="s">
        <v>104</v>
      </c>
      <c r="B6830" s="219"/>
      <c r="C6830" s="219"/>
      <c r="D6830" s="219"/>
      <c r="E6830" s="219"/>
      <c r="F6830" s="219"/>
      <c r="G6830" s="52">
        <f>G6828+G6826</f>
        <v>26522.551000000003</v>
      </c>
    </row>
    <row r="6832" spans="1:8" x14ac:dyDescent="0.25">
      <c r="A6832" s="74" t="s">
        <v>29</v>
      </c>
      <c r="B6832" s="226" t="s">
        <v>30</v>
      </c>
      <c r="C6832" s="226"/>
      <c r="D6832" s="74" t="s">
        <v>31</v>
      </c>
      <c r="E6832" s="74" t="s">
        <v>32</v>
      </c>
      <c r="F6832" s="74" t="s">
        <v>189</v>
      </c>
      <c r="G6832" s="74" t="s">
        <v>33</v>
      </c>
      <c r="H6832" s="105"/>
    </row>
    <row r="6833" spans="1:9" x14ac:dyDescent="0.25">
      <c r="A6833" s="50" t="str">
        <f>Presupuesto!B130</f>
        <v>109_OC</v>
      </c>
      <c r="B6833" s="227" t="str">
        <f>Presupuesto!C130</f>
        <v>GUARDAESCOBA SOLO PARA PISO EN BALDOSA</v>
      </c>
      <c r="C6833" s="228"/>
      <c r="D6833" s="50" t="s">
        <v>8</v>
      </c>
      <c r="E6833" s="107">
        <v>95</v>
      </c>
      <c r="F6833" s="50"/>
      <c r="G6833" s="51">
        <f>G6899</f>
        <v>16488.1145</v>
      </c>
      <c r="H6833" s="45"/>
    </row>
    <row r="6834" spans="1:9" x14ac:dyDescent="0.25">
      <c r="A6834" s="219" t="s">
        <v>34</v>
      </c>
      <c r="B6834" s="219"/>
      <c r="C6834" s="219"/>
      <c r="D6834" s="219"/>
      <c r="E6834" s="219"/>
      <c r="F6834" s="219"/>
      <c r="G6834" s="219"/>
    </row>
    <row r="6835" spans="1:9" x14ac:dyDescent="0.25">
      <c r="A6835" s="49" t="s">
        <v>35</v>
      </c>
      <c r="B6835" s="219" t="s">
        <v>36</v>
      </c>
      <c r="C6835" s="219"/>
      <c r="D6835" s="49" t="s">
        <v>37</v>
      </c>
      <c r="E6835" s="49" t="s">
        <v>38</v>
      </c>
      <c r="F6835" s="49" t="s">
        <v>39</v>
      </c>
      <c r="G6835" s="49" t="s">
        <v>40</v>
      </c>
    </row>
    <row r="6836" spans="1:9" ht="30" customHeight="1" x14ac:dyDescent="0.25">
      <c r="A6836" s="50" t="str">
        <f>Material!A298</f>
        <v>MA-297</v>
      </c>
      <c r="B6836" s="221" t="str">
        <f>IFERROR(VLOOKUP(A6836,Material!$A:$H,2,0),"-")</f>
        <v>ADHESIVO CEMENTOSO DE USO EXCLUSIVO PARA INTERIORES, CI, COLOR GRIS.</v>
      </c>
      <c r="C6836" s="222"/>
      <c r="D6836" s="50" t="str">
        <f>IFERROR(VLOOKUP(A6836,Material!$A:$H,4,0),"-")</f>
        <v>KG</v>
      </c>
      <c r="E6836" s="108">
        <v>0.1</v>
      </c>
      <c r="F6836" s="51">
        <f>IFERROR(VLOOKUP(A6836,Material!$A:$H,3,0),"-")</f>
        <v>525.16100000000006</v>
      </c>
      <c r="G6836" s="51">
        <f>IFERROR(ROUNDUP(F6836*E6836,0),"-")</f>
        <v>53</v>
      </c>
      <c r="H6836" s="106"/>
    </row>
    <row r="6837" spans="1:9" ht="26.25" customHeight="1" x14ac:dyDescent="0.25">
      <c r="A6837" s="50" t="str">
        <f>Material!A316</f>
        <v>MA-315</v>
      </c>
      <c r="B6837" s="221" t="str">
        <f>IFERROR(VLOOKUP(A6837,Material!$A:$H,2,0),"-")</f>
        <v>GUARDAESCOBA CERÁMICO DE GRES ESMALTADO, 7 CM, $ 3,00/M.</v>
      </c>
      <c r="C6837" s="222"/>
      <c r="D6837" s="50" t="str">
        <f>IFERROR(VLOOKUP(A6837,Material!$A:$H,4,0),"-")</f>
        <v>ML</v>
      </c>
      <c r="E6837" s="23">
        <v>1.05</v>
      </c>
      <c r="F6837" s="51">
        <f>IFERROR(VLOOKUP(A6837,Material!$A:$H,3,0),"-")</f>
        <v>9963.2000000000007</v>
      </c>
      <c r="G6837" s="51">
        <f>IFERROR(ROUNDUP(F6837*E6837,0),"-")</f>
        <v>10462</v>
      </c>
      <c r="H6837" s="106"/>
    </row>
    <row r="6838" spans="1:9" ht="26.25" customHeight="1" x14ac:dyDescent="0.25">
      <c r="A6838" s="50" t="str">
        <f>Material!A317</f>
        <v>MA-316</v>
      </c>
      <c r="B6838" s="221" t="str">
        <f>IFERROR(VLOOKUP(A6838,Material!$A:$H,2,0),"-")</f>
        <v>MORTERO DE JUNTAS CEMENTOSO, CG1, PARA JUNTA MÍNIMA ENTRE 1,5 Y 3 MM</v>
      </c>
      <c r="C6838" s="222"/>
      <c r="D6838" s="50" t="str">
        <f>IFERROR(VLOOKUP(A6838,Material!$A:$H,4,0),"-")</f>
        <v>KG</v>
      </c>
      <c r="E6838" s="107">
        <v>1.0999999999999999E-2</v>
      </c>
      <c r="F6838" s="51">
        <f>IFERROR(VLOOKUP(A6838,Material!$A:$H,3,0),"-")</f>
        <v>1670.5</v>
      </c>
      <c r="G6838" s="51">
        <f>IFERROR(ROUNDUP(F6838*E6838,0),"-")</f>
        <v>19</v>
      </c>
      <c r="H6838" s="106"/>
    </row>
    <row r="6839" spans="1:9" x14ac:dyDescent="0.25">
      <c r="A6839" s="50"/>
      <c r="B6839" s="72" t="str">
        <f>IFERROR(VLOOKUP(A6839,Material!$A:$H,2,0),"-")</f>
        <v>-</v>
      </c>
      <c r="C6839" s="76"/>
      <c r="D6839" s="50" t="str">
        <f>IFERROR(VLOOKUP(A6839,Material!$A:$H,4,0),"-")</f>
        <v>-</v>
      </c>
      <c r="E6839" s="107"/>
      <c r="F6839" s="51" t="str">
        <f>IFERROR(VLOOKUP(A6839,Material!$A:$H,3,0),"-")</f>
        <v>-</v>
      </c>
      <c r="G6839" s="51" t="str">
        <f>IFERROR(ROUNDUP(F6839*E6839,0),"-")</f>
        <v>-</v>
      </c>
      <c r="H6839" s="106"/>
    </row>
    <row r="6840" spans="1:9" x14ac:dyDescent="0.25">
      <c r="A6840" s="50"/>
      <c r="B6840" s="72" t="str">
        <f>IFERROR(VLOOKUP(A6840,Material!$A:$H,2,0),"-")</f>
        <v>-</v>
      </c>
      <c r="C6840" s="76"/>
      <c r="D6840" s="50" t="str">
        <f>IFERROR(VLOOKUP(A6840,Material!$A:$H,4,0),"-")</f>
        <v>-</v>
      </c>
      <c r="E6840" s="107"/>
      <c r="F6840" s="51" t="str">
        <f>IFERROR(VLOOKUP(A6840,Material!$A:$H,3,0),"-")</f>
        <v>-</v>
      </c>
      <c r="G6840" s="51" t="str">
        <f>IFERROR(ROUNDUP(F6840*E6840,0),"-")</f>
        <v>-</v>
      </c>
      <c r="H6840" s="106"/>
    </row>
    <row r="6841" spans="1:9" x14ac:dyDescent="0.25">
      <c r="A6841" s="219" t="s">
        <v>41</v>
      </c>
      <c r="B6841" s="219"/>
      <c r="C6841" s="219"/>
      <c r="D6841" s="219"/>
      <c r="E6841" s="219"/>
      <c r="F6841" s="219"/>
      <c r="G6841" s="52">
        <f>SUM(G6836:G6840)</f>
        <v>10534</v>
      </c>
      <c r="I6841" s="104"/>
    </row>
    <row r="6842" spans="1:9" x14ac:dyDescent="0.25">
      <c r="A6842" s="56"/>
      <c r="B6842" s="57"/>
      <c r="C6842" s="57"/>
      <c r="D6842" s="57"/>
      <c r="E6842" s="57"/>
      <c r="F6842" s="57"/>
      <c r="G6842" s="58"/>
    </row>
    <row r="6843" spans="1:9" x14ac:dyDescent="0.25">
      <c r="A6843" s="219" t="s">
        <v>42</v>
      </c>
      <c r="B6843" s="219"/>
      <c r="C6843" s="219"/>
      <c r="D6843" s="219"/>
      <c r="E6843" s="219"/>
      <c r="F6843" s="219"/>
      <c r="G6843" s="219"/>
    </row>
    <row r="6844" spans="1:9" x14ac:dyDescent="0.25">
      <c r="A6844" s="49" t="s">
        <v>35</v>
      </c>
      <c r="B6844" s="49" t="s">
        <v>36</v>
      </c>
      <c r="C6844" s="49" t="s">
        <v>38</v>
      </c>
      <c r="D6844" s="49" t="s">
        <v>43</v>
      </c>
      <c r="E6844" s="49" t="s">
        <v>44</v>
      </c>
      <c r="F6844" s="49" t="s">
        <v>45</v>
      </c>
      <c r="G6844" s="49" t="s">
        <v>40</v>
      </c>
    </row>
    <row r="6845" spans="1:9" x14ac:dyDescent="0.25">
      <c r="A6845" s="50" t="s">
        <v>319</v>
      </c>
      <c r="B6845" s="68" t="str">
        <f>VLOOKUP(A6845,'Componentes APUs'!$H$1:$L$25,2,0)</f>
        <v>Ingeniero Residente de Obra</v>
      </c>
      <c r="C6845" s="93">
        <v>0</v>
      </c>
      <c r="D6845" s="50">
        <f>VLOOKUP(A6845,'Componentes APUs'!$H$1:$L$25,3,0)</f>
        <v>4</v>
      </c>
      <c r="E6845" s="51">
        <f>VLOOKUP(A6845,'Componentes APUs'!$H$1:$L$25,4,0)</f>
        <v>271142.85714285716</v>
      </c>
      <c r="F6845" s="51">
        <f>VLOOKUP(A6845,'Componentes APUs'!$H$1:$L$25,5,0)</f>
        <v>162685.71428571429</v>
      </c>
      <c r="G6845" s="51">
        <f>ROUNDUP((E6845+F6845)*C6845/E6833,0)</f>
        <v>0</v>
      </c>
      <c r="H6845" s="66"/>
    </row>
    <row r="6846" spans="1:9" x14ac:dyDescent="0.25">
      <c r="A6846" s="50" t="s">
        <v>320</v>
      </c>
      <c r="B6846" s="68" t="str">
        <f>VLOOKUP(A6846,'Componentes APUs'!$H$1:$L$25,2,0)</f>
        <v>Tecnico Supervisor</v>
      </c>
      <c r="C6846" s="93">
        <v>0</v>
      </c>
      <c r="D6846" s="50">
        <f>VLOOKUP(A6846,'Componentes APUs'!$H$1:$L$25,3,0)</f>
        <v>2.2999999999999998</v>
      </c>
      <c r="E6846" s="51">
        <f>VLOOKUP(A6846,'Componentes APUs'!$H$1:$L$25,4,0)</f>
        <v>155907.14285714284</v>
      </c>
      <c r="F6846" s="51">
        <f>VLOOKUP(A6846,'Componentes APUs'!$H$1:$L$25,5,0)</f>
        <v>93544.285714285696</v>
      </c>
      <c r="G6846" s="51">
        <f>ROUNDUP((E6846+F6846)*C6846/E6833,0)</f>
        <v>0</v>
      </c>
    </row>
    <row r="6847" spans="1:9" x14ac:dyDescent="0.25">
      <c r="A6847" s="50" t="s">
        <v>54</v>
      </c>
      <c r="B6847" s="68" t="str">
        <f>VLOOKUP(A6847,'Componentes APUs'!$H$1:$L$25,2,0)</f>
        <v>Maestro de obra civil</v>
      </c>
      <c r="C6847" s="93">
        <v>0</v>
      </c>
      <c r="D6847" s="50">
        <f>VLOOKUP(A6847,'Componentes APUs'!$H$1:$L$25,3,0)</f>
        <v>2.5</v>
      </c>
      <c r="E6847" s="51">
        <f>VLOOKUP(A6847,'Componentes APUs'!$H$1:$L$25,4,0)</f>
        <v>169464.28571428571</v>
      </c>
      <c r="F6847" s="51">
        <f>VLOOKUP(A6847,'Componentes APUs'!$H$1:$L$25,5,0)</f>
        <v>101678.57142857142</v>
      </c>
      <c r="G6847" s="51">
        <f>ROUNDUP((E6847+F6847)*C6847/E6833,0)</f>
        <v>0</v>
      </c>
    </row>
    <row r="6848" spans="1:9" x14ac:dyDescent="0.25">
      <c r="A6848" s="50" t="s">
        <v>1110</v>
      </c>
      <c r="B6848" s="68" t="str">
        <f>VLOOKUP(A6848,'Componentes APUs'!$H$1:$L$25,2,0)</f>
        <v>Oficial de Obra Civil</v>
      </c>
      <c r="C6848" s="93">
        <v>0.25</v>
      </c>
      <c r="D6848" s="50">
        <f>VLOOKUP(A6848,'Componentes APUs'!$H$1:$L$25,3,0)</f>
        <v>1.5</v>
      </c>
      <c r="E6848" s="51">
        <f>VLOOKUP(A6848,'Componentes APUs'!$H$1:$L$25,4,0)</f>
        <v>115964.28571428571</v>
      </c>
      <c r="F6848" s="51">
        <f>VLOOKUP(A6848,'Componentes APUs'!$H$1:$L$25,5,0)</f>
        <v>69578.57142857142</v>
      </c>
      <c r="G6848" s="51">
        <f>ROUNDUP((E6848+F6848)*C6848/E6833,0)</f>
        <v>489</v>
      </c>
    </row>
    <row r="6849" spans="1:9" x14ac:dyDescent="0.25">
      <c r="A6849" s="50" t="s">
        <v>50</v>
      </c>
      <c r="B6849" s="68" t="str">
        <f>VLOOKUP(A6849,'Componentes APUs'!$H$1:$L$25,2,0)</f>
        <v>Profesional en SST</v>
      </c>
      <c r="C6849" s="93">
        <v>0</v>
      </c>
      <c r="D6849" s="50">
        <f>VLOOKUP(A6849,'Componentes APUs'!$H$1:$L$25,3,0)</f>
        <v>2.5</v>
      </c>
      <c r="E6849" s="51">
        <f>VLOOKUP(A6849,'Componentes APUs'!$H$1:$L$25,4,0)</f>
        <v>169464.28571428571</v>
      </c>
      <c r="F6849" s="51">
        <f>VLOOKUP(A6849,'Componentes APUs'!$H$1:$L$25,5,0)</f>
        <v>101678.57142857142</v>
      </c>
      <c r="G6849" s="51">
        <f>ROUNDUP((E6849+F6849)*C6849/E6833,0)</f>
        <v>0</v>
      </c>
    </row>
    <row r="6850" spans="1:9" x14ac:dyDescent="0.25">
      <c r="A6850" s="50" t="s">
        <v>1109</v>
      </c>
      <c r="B6850" s="68" t="str">
        <f>VLOOKUP(A6850,'Componentes APUs'!$H$1:$L$25,2,0)</f>
        <v>Ayudante de Obra Civil</v>
      </c>
      <c r="C6850" s="93">
        <v>1</v>
      </c>
      <c r="D6850" s="50">
        <f>VLOOKUP(A6850,'Componentes APUs'!$H$1:$L$25,3,0)</f>
        <v>1</v>
      </c>
      <c r="E6850" s="51">
        <f>VLOOKUP(A6850,'Componentes APUs'!$H$1:$L$25,4,0)</f>
        <v>77309.523809523816</v>
      </c>
      <c r="F6850" s="51">
        <f>VLOOKUP(A6850,'Componentes APUs'!$H$1:$L$25,5,0)</f>
        <v>46385.71428571429</v>
      </c>
      <c r="G6850" s="51">
        <f>ROUNDUP((E6850+F6850)*C6850/E6833,0)</f>
        <v>1303</v>
      </c>
    </row>
    <row r="6851" spans="1:9" x14ac:dyDescent="0.25">
      <c r="A6851" s="219" t="s">
        <v>56</v>
      </c>
      <c r="B6851" s="219"/>
      <c r="C6851" s="219"/>
      <c r="D6851" s="219"/>
      <c r="E6851" s="219"/>
      <c r="F6851" s="219"/>
      <c r="G6851" s="52">
        <f>SUM(G6845:G6850)</f>
        <v>1792</v>
      </c>
    </row>
    <row r="6852" spans="1:9" x14ac:dyDescent="0.25">
      <c r="A6852" s="56"/>
      <c r="B6852" s="57"/>
      <c r="C6852" s="57"/>
      <c r="D6852" s="57"/>
      <c r="E6852" s="57"/>
      <c r="F6852" s="57"/>
      <c r="G6852" s="58"/>
    </row>
    <row r="6853" spans="1:9" x14ac:dyDescent="0.25">
      <c r="A6853" s="219" t="s">
        <v>57</v>
      </c>
      <c r="B6853" s="219"/>
      <c r="C6853" s="219"/>
      <c r="D6853" s="219"/>
      <c r="E6853" s="219"/>
      <c r="F6853" s="219"/>
      <c r="G6853" s="219"/>
    </row>
    <row r="6854" spans="1:9" x14ac:dyDescent="0.25">
      <c r="A6854" s="49" t="s">
        <v>35</v>
      </c>
      <c r="B6854" s="219" t="s">
        <v>36</v>
      </c>
      <c r="C6854" s="219"/>
      <c r="D6854" s="49" t="s">
        <v>37</v>
      </c>
      <c r="E6854" s="49" t="s">
        <v>38</v>
      </c>
      <c r="F6854" s="49" t="s">
        <v>39</v>
      </c>
      <c r="G6854" s="49" t="s">
        <v>40</v>
      </c>
    </row>
    <row r="6855" spans="1:9" x14ac:dyDescent="0.25">
      <c r="A6855" s="50" t="s">
        <v>326</v>
      </c>
      <c r="B6855" s="220" t="str">
        <f>VLOOKUP(A6855,'Componentes APUs'!$S$1:$V$10,2,0)</f>
        <v>Juego Llaves</v>
      </c>
      <c r="C6855" s="220"/>
      <c r="D6855" s="50" t="s">
        <v>18</v>
      </c>
      <c r="E6855" s="50">
        <v>0</v>
      </c>
      <c r="F6855" s="51">
        <f>VLOOKUP(A6855,'Componentes APUs'!$S$1:$V$10,4,0)</f>
        <v>9167</v>
      </c>
      <c r="G6855" s="51">
        <f>ROUNDUP(F6855*((E6855/21)/E6833),0)</f>
        <v>0</v>
      </c>
      <c r="I6855" s="91"/>
    </row>
    <row r="6856" spans="1:9" x14ac:dyDescent="0.25">
      <c r="A6856" s="50" t="s">
        <v>58</v>
      </c>
      <c r="B6856" s="220" t="str">
        <f>VLOOKUP(A6856,'Componentes APUs'!$S$1:$V$10,2,0)</f>
        <v>Manila de servicio</v>
      </c>
      <c r="C6856" s="220"/>
      <c r="D6856" s="50" t="s">
        <v>18</v>
      </c>
      <c r="E6856" s="50">
        <v>0</v>
      </c>
      <c r="F6856" s="51">
        <f>VLOOKUP(A6856,'Componentes APUs'!$S$1:$V$10,4,0)</f>
        <v>2333</v>
      </c>
      <c r="G6856" s="51">
        <f>ROUNDUP(F6856*((E6856/21)/E6833),0)</f>
        <v>0</v>
      </c>
    </row>
    <row r="6857" spans="1:9" x14ac:dyDescent="0.25">
      <c r="A6857" s="50" t="s">
        <v>327</v>
      </c>
      <c r="B6857" s="220" t="str">
        <f>VLOOKUP(A6857,'Componentes APUs'!$S$1:$V$10,2,0)</f>
        <v>Tula portaherramientas</v>
      </c>
      <c r="C6857" s="220"/>
      <c r="D6857" s="50" t="s">
        <v>18</v>
      </c>
      <c r="E6857" s="50">
        <v>0</v>
      </c>
      <c r="F6857" s="51">
        <f>VLOOKUP(A6857,'Componentes APUs'!$S$1:$V$10,4,0)</f>
        <v>1250</v>
      </c>
      <c r="G6857" s="51">
        <f>ROUNDUP(F6857*((E6857/21)/E6833),0)</f>
        <v>0</v>
      </c>
    </row>
    <row r="6858" spans="1:9" x14ac:dyDescent="0.25">
      <c r="A6858" s="50" t="s">
        <v>60</v>
      </c>
      <c r="B6858" s="220" t="str">
        <f>VLOOKUP(A6858,'Componentes APUs'!$S$1:$V$10,2,0)</f>
        <v>Agarradoras</v>
      </c>
      <c r="C6858" s="220"/>
      <c r="D6858" s="50" t="s">
        <v>18</v>
      </c>
      <c r="E6858" s="50">
        <v>0</v>
      </c>
      <c r="F6858" s="51">
        <f>VLOOKUP(A6858,'Componentes APUs'!$S$1:$V$10,4,0)</f>
        <v>125000</v>
      </c>
      <c r="G6858" s="51">
        <f>ROUNDUP(F6858*((E6858/21)/E6833),0)</f>
        <v>0</v>
      </c>
    </row>
    <row r="6859" spans="1:9" x14ac:dyDescent="0.25">
      <c r="A6859" s="50" t="s">
        <v>62</v>
      </c>
      <c r="B6859" s="220" t="str">
        <f>VLOOKUP(A6859,'Componentes APUs'!$S$1:$V$10,2,0)</f>
        <v>Templadoras</v>
      </c>
      <c r="C6859" s="220"/>
      <c r="D6859" s="50" t="s">
        <v>18</v>
      </c>
      <c r="E6859" s="50">
        <v>0</v>
      </c>
      <c r="F6859" s="51">
        <f>VLOOKUP(A6859,'Componentes APUs'!$S$1:$V$10,4,0)</f>
        <v>250000</v>
      </c>
      <c r="G6859" s="51">
        <f>ROUNDUP(F6859*((E6859/21)/E6833),0)</f>
        <v>0</v>
      </c>
    </row>
    <row r="6860" spans="1:9" x14ac:dyDescent="0.25">
      <c r="A6860" s="50" t="s">
        <v>328</v>
      </c>
      <c r="B6860" s="220" t="str">
        <f>VLOOKUP(A6860,'Componentes APUs'!$S$1:$V$10,2,0)</f>
        <v>Herramienta Menor</v>
      </c>
      <c r="C6860" s="220"/>
      <c r="D6860" s="50" t="s">
        <v>18</v>
      </c>
      <c r="E6860" s="50">
        <v>1</v>
      </c>
      <c r="F6860" s="51">
        <f>VLOOKUP(A6860,'Componentes APUs'!$S$1:$V$10,4,0)</f>
        <v>75758</v>
      </c>
      <c r="G6860" s="51">
        <f>ROUNDUP(F6860*((E6860/21)/E6833),0)</f>
        <v>38</v>
      </c>
    </row>
    <row r="6861" spans="1:9" x14ac:dyDescent="0.25">
      <c r="A6861" s="219" t="s">
        <v>69</v>
      </c>
      <c r="B6861" s="219"/>
      <c r="C6861" s="219"/>
      <c r="D6861" s="219"/>
      <c r="E6861" s="219"/>
      <c r="F6861" s="219"/>
      <c r="G6861" s="52">
        <f>SUM(G6855:G6860)</f>
        <v>38</v>
      </c>
    </row>
    <row r="6862" spans="1:9" x14ac:dyDescent="0.25">
      <c r="A6862" s="56"/>
      <c r="B6862" s="57"/>
      <c r="C6862" s="57"/>
      <c r="D6862" s="57"/>
      <c r="E6862" s="57"/>
      <c r="F6862" s="57"/>
      <c r="G6862" s="58"/>
    </row>
    <row r="6863" spans="1:9" x14ac:dyDescent="0.25">
      <c r="A6863" s="219" t="s">
        <v>70</v>
      </c>
      <c r="B6863" s="219"/>
      <c r="C6863" s="219"/>
      <c r="D6863" s="219"/>
      <c r="E6863" s="219"/>
      <c r="F6863" s="219"/>
      <c r="G6863" s="219"/>
    </row>
    <row r="6864" spans="1:9" x14ac:dyDescent="0.25">
      <c r="A6864" s="49" t="s">
        <v>35</v>
      </c>
      <c r="B6864" s="219" t="s">
        <v>36</v>
      </c>
      <c r="C6864" s="219"/>
      <c r="D6864" s="49" t="s">
        <v>37</v>
      </c>
      <c r="E6864" s="49" t="s">
        <v>38</v>
      </c>
      <c r="F6864" s="49" t="s">
        <v>39</v>
      </c>
      <c r="G6864" s="49" t="s">
        <v>40</v>
      </c>
    </row>
    <row r="6865" spans="1:9" x14ac:dyDescent="0.25">
      <c r="A6865" s="50" t="s">
        <v>71</v>
      </c>
      <c r="B6865" s="71" t="str">
        <f>VLOOKUP(A6865,'Componentes APUs'!$A$1:$D$14,2,0)</f>
        <v>Camisa indigo sin partes metalicas</v>
      </c>
      <c r="C6865" s="71"/>
      <c r="D6865" s="50" t="str">
        <f>VLOOKUP(A6865,'Componentes APUs'!$A$1:$D$14,3,0)</f>
        <v>U</v>
      </c>
      <c r="E6865" s="50">
        <f>SUM(C6845:C6850)</f>
        <v>1.25</v>
      </c>
      <c r="F6865" s="51">
        <f>VLOOKUP(A6865,'Componentes APUs'!$A$1:$D$14,4,0)</f>
        <v>8585.8585858585866</v>
      </c>
      <c r="G6865" s="51">
        <f>ROUNDUP(F6865*(E6865/21)/E6833,0)</f>
        <v>6</v>
      </c>
      <c r="I6865" s="91"/>
    </row>
    <row r="6866" spans="1:9" x14ac:dyDescent="0.25">
      <c r="A6866" s="69" t="s">
        <v>73</v>
      </c>
      <c r="B6866" s="72" t="str">
        <f>VLOOKUP(A6866,'Componentes APUs'!$A$1:$D$14,2,0)</f>
        <v>Bota de seguridad dielectrica</v>
      </c>
      <c r="C6866" s="73"/>
      <c r="D6866" s="70" t="str">
        <f>VLOOKUP(A6866,'Componentes APUs'!$A$1:$D$14,3,0)</f>
        <v>Par</v>
      </c>
      <c r="E6866" s="50">
        <f>SUM(C6845:C6850)</f>
        <v>1.25</v>
      </c>
      <c r="F6866" s="51">
        <f>VLOOKUP(A6866,'Componentes APUs'!$A$1:$D$14,4,0)</f>
        <v>7500</v>
      </c>
      <c r="G6866" s="51">
        <f>ROUNDUP(F6866*(E6866/21)/E6833,0)</f>
        <v>5</v>
      </c>
    </row>
    <row r="6867" spans="1:9" x14ac:dyDescent="0.25">
      <c r="A6867" s="50" t="s">
        <v>76</v>
      </c>
      <c r="B6867" s="72" t="str">
        <f>VLOOKUP(A6867,'Componentes APUs'!$A$1:$D$14,2,0)</f>
        <v>Casco dielectrico Tipo 1 Clase E con barbuquejo</v>
      </c>
      <c r="C6867" s="73"/>
      <c r="D6867" s="50" t="str">
        <f>VLOOKUP(A6867,'Componentes APUs'!$A$1:$D$14,3,0)</f>
        <v>U</v>
      </c>
      <c r="E6867" s="50">
        <f>C6845+C6846+C6848+C6849+C6850+IF(A6847&lt;&gt;"MO-3",C6847,0)</f>
        <v>1.25</v>
      </c>
      <c r="F6867" s="51">
        <f>VLOOKUP(A6867,'Componentes APUs'!$A$1:$D$14,4,0)</f>
        <v>10101.010101010101</v>
      </c>
      <c r="G6867" s="51">
        <f>ROUNDUP(F6867*(E6867/21)/E6833,0)</f>
        <v>7</v>
      </c>
    </row>
    <row r="6868" spans="1:9" x14ac:dyDescent="0.25">
      <c r="A6868" s="69" t="s">
        <v>77</v>
      </c>
      <c r="B6868" s="72" t="str">
        <f>VLOOKUP(A6868,'Componentes APUs'!$A$1:$D$14,2,0)</f>
        <v>Correa plastica y antiflama</v>
      </c>
      <c r="C6868" s="73"/>
      <c r="D6868" s="50" t="str">
        <f>VLOOKUP(A6868,'Componentes APUs'!$A$1:$D$14,3,0)</f>
        <v>U</v>
      </c>
      <c r="E6868" s="50">
        <f>SUM(C6845:C6850)</f>
        <v>1.25</v>
      </c>
      <c r="F6868" s="51">
        <f>VLOOKUP(A6868,'Componentes APUs'!$A$1:$D$14,4,0)</f>
        <v>3787.878787878788</v>
      </c>
      <c r="G6868" s="51">
        <f>ROUNDUP(F6868*(E6868/21)/E6833,0)</f>
        <v>3</v>
      </c>
    </row>
    <row r="6869" spans="1:9" x14ac:dyDescent="0.25">
      <c r="A6869" s="50" t="s">
        <v>79</v>
      </c>
      <c r="B6869" s="72" t="str">
        <f>VLOOKUP(A6869,'Componentes APUs'!$A$1:$D$14,2,0)</f>
        <v>Gafas protectoras filtro UV</v>
      </c>
      <c r="C6869" s="73"/>
      <c r="D6869" s="50" t="str">
        <f>VLOOKUP(A6869,'Componentes APUs'!$A$1:$D$14,3,0)</f>
        <v>U</v>
      </c>
      <c r="E6869" s="50">
        <f>SUM(C6845:C6850)</f>
        <v>1.25</v>
      </c>
      <c r="F6869" s="51">
        <f>VLOOKUP(A6869,'Componentes APUs'!$A$1:$D$14,4,0)</f>
        <v>2777.7777777777778</v>
      </c>
      <c r="G6869" s="51">
        <f>ROUNDUP(F6869*(E6869/21)/E6833,0)</f>
        <v>2</v>
      </c>
    </row>
    <row r="6870" spans="1:9" x14ac:dyDescent="0.25">
      <c r="A6870" s="69" t="s">
        <v>402</v>
      </c>
      <c r="B6870" s="72" t="str">
        <f>VLOOKUP(A6870,'Componentes APUs'!$A$1:$D$14,2,0)</f>
        <v>Bota de seguridad PVC dielectrica</v>
      </c>
      <c r="C6870" s="73"/>
      <c r="D6870" s="50" t="str">
        <f>VLOOKUP(A6870,'Componentes APUs'!$A$1:$D$14,3,0)</f>
        <v>Par</v>
      </c>
      <c r="E6870" s="50">
        <f>SUM(C6845:C6850)</f>
        <v>1.25</v>
      </c>
      <c r="F6870" s="51">
        <f>VLOOKUP(A6870,'Componentes APUs'!$A$1:$D$14,4,0)</f>
        <v>2916.6666666666665</v>
      </c>
      <c r="G6870" s="51">
        <f>ROUNDUP(F6870*(E6870/21)/E6833,0)</f>
        <v>2</v>
      </c>
    </row>
    <row r="6871" spans="1:9" x14ac:dyDescent="0.25">
      <c r="A6871" s="50" t="s">
        <v>403</v>
      </c>
      <c r="B6871" s="72" t="str">
        <f>VLOOKUP(A6871,'Componentes APUs'!$A$1:$D$14,2,0)</f>
        <v>Capuchon</v>
      </c>
      <c r="C6871" s="73"/>
      <c r="D6871" s="50" t="str">
        <f>VLOOKUP(A6871,'Componentes APUs'!$A$1:$D$14,3,0)</f>
        <v>U</v>
      </c>
      <c r="E6871" s="50">
        <f>SUM(C6845:C6850)</f>
        <v>1.25</v>
      </c>
      <c r="F6871" s="51">
        <f>VLOOKUP(A6871,'Componentes APUs'!$A$1:$D$14,4,0)</f>
        <v>2525.2525252525252</v>
      </c>
      <c r="G6871" s="51">
        <f>ROUNDUP(F6871*(E6871/21)/E6833,0)</f>
        <v>2</v>
      </c>
    </row>
    <row r="6872" spans="1:9" x14ac:dyDescent="0.25">
      <c r="A6872" s="69" t="s">
        <v>81</v>
      </c>
      <c r="B6872" s="72" t="str">
        <f>VLOOKUP(A6872,'Componentes APUs'!$A$1:$D$14,2,0)</f>
        <v>Guantes Protectores  - ingeniero reforzados</v>
      </c>
      <c r="C6872" s="73"/>
      <c r="D6872" s="50" t="str">
        <f>VLOOKUP(A6872,'Componentes APUs'!$A$1:$D$14,3,0)</f>
        <v>Par</v>
      </c>
      <c r="E6872" s="50">
        <f>C6847+C6848+C6850</f>
        <v>1.25</v>
      </c>
      <c r="F6872" s="51">
        <f>VLOOKUP(A6872,'Componentes APUs'!$A$1:$D$14,4,0)</f>
        <v>2525.2525252525252</v>
      </c>
      <c r="G6872" s="51">
        <f>ROUNDUP(F6872*(E6872/21)/E6833,0)</f>
        <v>2</v>
      </c>
    </row>
    <row r="6873" spans="1:9" x14ac:dyDescent="0.25">
      <c r="A6873" s="50" t="s">
        <v>83</v>
      </c>
      <c r="B6873" s="72" t="str">
        <f>VLOOKUP(A6873,'Componentes APUs'!$A$1:$D$14,2,0)</f>
        <v>Impermeable (pantalon camisa)</v>
      </c>
      <c r="C6873" s="73"/>
      <c r="D6873" s="50" t="str">
        <f>VLOOKUP(A6873,'Componentes APUs'!$A$1:$D$14,3,0)</f>
        <v>U</v>
      </c>
      <c r="E6873" s="50">
        <f>SUM(C6845:C6850)</f>
        <v>1.25</v>
      </c>
      <c r="F6873" s="51">
        <f>VLOOKUP(A6873,'Componentes APUs'!$A$1:$D$14,4,0)</f>
        <v>3750</v>
      </c>
      <c r="G6873" s="51">
        <f>ROUNDUP(F6873*(E6873/21)/E6833,0)</f>
        <v>3</v>
      </c>
    </row>
    <row r="6874" spans="1:9" x14ac:dyDescent="0.25">
      <c r="A6874" s="69" t="s">
        <v>85</v>
      </c>
      <c r="B6874" s="72" t="str">
        <f>VLOOKUP(A6874,'Componentes APUs'!$A$1:$D$14,2,0)</f>
        <v>Jean Dielectrico</v>
      </c>
      <c r="C6874" s="73"/>
      <c r="D6874" s="50" t="str">
        <f>VLOOKUP(A6874,'Componentes APUs'!$A$1:$D$14,3,0)</f>
        <v>U</v>
      </c>
      <c r="E6874" s="50">
        <f>SUM(C6845:C6850)</f>
        <v>1.25</v>
      </c>
      <c r="F6874" s="51">
        <f>VLOOKUP(A6874,'Componentes APUs'!$A$1:$D$14,4,0)</f>
        <v>7575.757575757576</v>
      </c>
      <c r="G6874" s="51">
        <f>ROUNDUP(F6874*(E6874/21)/E6833,0)</f>
        <v>5</v>
      </c>
    </row>
    <row r="6875" spans="1:9" x14ac:dyDescent="0.25">
      <c r="A6875" s="50" t="s">
        <v>87</v>
      </c>
      <c r="B6875" s="72" t="str">
        <f>VLOOKUP(A6875,'Componentes APUs'!$A$1:$D$14,2,0)</f>
        <v>Casco dielectrico Tipo 2 Clase E con barboquejo</v>
      </c>
      <c r="C6875" s="73"/>
      <c r="D6875" s="50" t="str">
        <f>VLOOKUP(A6875,'Componentes APUs'!$A$1:$D$14,3,0)</f>
        <v>U</v>
      </c>
      <c r="E6875" s="53">
        <f>IF(A6847="MO-3",C6847,0)</f>
        <v>0</v>
      </c>
      <c r="F6875" s="51">
        <f>VLOOKUP(A6875,'Componentes APUs'!$A$1:$D$14,4,0)</f>
        <v>7500</v>
      </c>
      <c r="G6875" s="51">
        <f>ROUNDUP(F6875*(E6875/21)/E6833,0)</f>
        <v>0</v>
      </c>
    </row>
    <row r="6876" spans="1:9" x14ac:dyDescent="0.25">
      <c r="A6876" s="69" t="s">
        <v>89</v>
      </c>
      <c r="B6876" s="72" t="str">
        <f>VLOOKUP(A6876,'Componentes APUs'!$A$1:$D$14,2,0)</f>
        <v>Kit de rescate para trabajo en alturas</v>
      </c>
      <c r="C6876" s="73"/>
      <c r="D6876" s="50" t="str">
        <f>VLOOKUP(A6876,'Componentes APUs'!$A$1:$D$14,3,0)</f>
        <v>U</v>
      </c>
      <c r="E6876" s="50">
        <f>IF(AND(A6847="MO-3",C6847=2),1,0)</f>
        <v>0</v>
      </c>
      <c r="F6876" s="51">
        <f>VLOOKUP(A6876,'Componentes APUs'!$A$1:$D$14,4,0)</f>
        <v>37500</v>
      </c>
      <c r="G6876" s="51">
        <f>ROUNDUP(F6876*(E6876/21)/E6833,0)</f>
        <v>0</v>
      </c>
    </row>
    <row r="6877" spans="1:9" x14ac:dyDescent="0.25">
      <c r="A6877" s="50" t="s">
        <v>91</v>
      </c>
      <c r="B6877" s="72" t="str">
        <f>VLOOKUP(A6877,'Componentes APUs'!$A$1:$D$14,2,0)</f>
        <v>Equipo completo para trabajo en alturas con pretales (Arnes dielectrico, 1 mosqueton de seguridad, tie off dielectrico, eslinga de posicionamiento, juego de pretales)</v>
      </c>
      <c r="C6877" s="73"/>
      <c r="D6877" s="50" t="str">
        <f>VLOOKUP(A6877,'Componentes APUs'!$A$1:$D$14,3,0)</f>
        <v>U</v>
      </c>
      <c r="E6877" s="50">
        <f>IF(A6847="MO-3",C6847,0)</f>
        <v>0</v>
      </c>
      <c r="F6877" s="51">
        <f>VLOOKUP(A6877,'Componentes APUs'!$A$1:$D$14,4,0)</f>
        <v>26041.666666666668</v>
      </c>
      <c r="G6877" s="51">
        <f>ROUNDUP(F6877*(E6877/21)/E6833,0)</f>
        <v>0</v>
      </c>
    </row>
    <row r="6878" spans="1:9" x14ac:dyDescent="0.25">
      <c r="A6878" s="219" t="s">
        <v>95</v>
      </c>
      <c r="B6878" s="219"/>
      <c r="C6878" s="219"/>
      <c r="D6878" s="219"/>
      <c r="E6878" s="219"/>
      <c r="F6878" s="219"/>
      <c r="G6878" s="52">
        <f>SUM(G6865:G6877)</f>
        <v>37</v>
      </c>
    </row>
    <row r="6879" spans="1:9" x14ac:dyDescent="0.25">
      <c r="A6879" s="56"/>
      <c r="B6879" s="57"/>
      <c r="C6879" s="57"/>
      <c r="D6879" s="57"/>
      <c r="E6879" s="57"/>
      <c r="F6879" s="57"/>
      <c r="G6879" s="58"/>
    </row>
    <row r="6880" spans="1:9" x14ac:dyDescent="0.25">
      <c r="A6880" s="219" t="s">
        <v>96</v>
      </c>
      <c r="B6880" s="219"/>
      <c r="C6880" s="219"/>
      <c r="D6880" s="219"/>
      <c r="E6880" s="219"/>
      <c r="F6880" s="219"/>
      <c r="G6880" s="219"/>
    </row>
    <row r="6881" spans="1:7" x14ac:dyDescent="0.25">
      <c r="A6881" s="49" t="s">
        <v>35</v>
      </c>
      <c r="B6881" s="225" t="s">
        <v>36</v>
      </c>
      <c r="C6881" s="225"/>
      <c r="D6881" s="49" t="s">
        <v>37</v>
      </c>
      <c r="E6881" s="49" t="s">
        <v>38</v>
      </c>
      <c r="F6881" s="49" t="s">
        <v>39</v>
      </c>
      <c r="G6881" s="49" t="s">
        <v>40</v>
      </c>
    </row>
    <row r="6882" spans="1:7" x14ac:dyDescent="0.25">
      <c r="A6882" s="69" t="s">
        <v>97</v>
      </c>
      <c r="B6882" s="72" t="str">
        <f>VLOOKUP(A6882,'Componentes APUs'!$N$1:$Q$30,2,0)</f>
        <v>Camioneta</v>
      </c>
      <c r="C6882" s="73"/>
      <c r="D6882" s="70" t="str">
        <f>VLOOKUP(A6882,'Componentes APUs'!$N$1:$Q$30,3,0)</f>
        <v>U</v>
      </c>
      <c r="E6882" s="50">
        <v>0.25</v>
      </c>
      <c r="F6882" s="51">
        <f>VLOOKUP(A6882,'Componentes APUs'!$N$1:$Q$30,4,0)</f>
        <v>5500000</v>
      </c>
      <c r="G6882" s="51">
        <f>IFERROR(ROUNDUP(F6882*(E6882/21)/E6833,0),"-")</f>
        <v>690</v>
      </c>
    </row>
    <row r="6883" spans="1:7" x14ac:dyDescent="0.25">
      <c r="A6883" s="50" t="s">
        <v>321</v>
      </c>
      <c r="B6883" s="72" t="str">
        <f>VLOOKUP(A6883,'Componentes APUs'!$N$1:$Q$30,2,0)</f>
        <v>Grúa Hidráulica</v>
      </c>
      <c r="C6883" s="73"/>
      <c r="D6883" s="70" t="str">
        <f>VLOOKUP(A6883,'Componentes APUs'!$N$1:$Q$30,3,0)</f>
        <v>U</v>
      </c>
      <c r="E6883" s="50">
        <v>0</v>
      </c>
      <c r="F6883" s="51">
        <f>VLOOKUP(A6883,'Componentes APUs'!$N$1:$Q$30,4,0)</f>
        <v>21000000</v>
      </c>
      <c r="G6883" s="51">
        <f>IFERROR(ROUNDUP(F6883*(E6883/21)/E6833,0),"-")</f>
        <v>0</v>
      </c>
    </row>
    <row r="6884" spans="1:7" x14ac:dyDescent="0.25">
      <c r="A6884" s="69" t="s">
        <v>1379</v>
      </c>
      <c r="B6884" s="72" t="str">
        <f>VLOOKUP(A6884,'Componentes APUs'!$N$1:$Q$30,2,0)</f>
        <v>Dumper de descarga Frontal 2T</v>
      </c>
      <c r="C6884" s="73"/>
      <c r="D6884" s="70" t="str">
        <f>VLOOKUP(A6884,'Componentes APUs'!$N$1:$Q$30,3,0)</f>
        <v>U</v>
      </c>
      <c r="E6884" s="50">
        <v>0</v>
      </c>
      <c r="F6884" s="51">
        <f>VLOOKUP(A6884,'Componentes APUs'!$N$1:$Q$30,4,0)</f>
        <v>4438716.24</v>
      </c>
      <c r="G6884" s="51">
        <f>IFERROR(ROUNDUP(F6884*(E6884/21)/E6833,0),"-")</f>
        <v>0</v>
      </c>
    </row>
    <row r="6885" spans="1:7" x14ac:dyDescent="0.25">
      <c r="A6885" s="50" t="s">
        <v>323</v>
      </c>
      <c r="B6885" s="72" t="str">
        <f>VLOOKUP(A6885,'Componentes APUs'!$N$1:$Q$30,2,0)</f>
        <v>Volqueta</v>
      </c>
      <c r="C6885" s="73"/>
      <c r="D6885" s="70" t="str">
        <f>VLOOKUP(A6885,'Componentes APUs'!$N$1:$Q$30,3,0)</f>
        <v>U</v>
      </c>
      <c r="E6885" s="50">
        <v>0</v>
      </c>
      <c r="F6885" s="51">
        <f>VLOOKUP(A6885,'Componentes APUs'!$N$1:$Q$30,4,0)</f>
        <v>14828184</v>
      </c>
      <c r="G6885" s="51">
        <f>IFERROR(ROUNDUP(F6885*(E6885/21)/E6833,0),"-")</f>
        <v>0</v>
      </c>
    </row>
    <row r="6886" spans="1:7" x14ac:dyDescent="0.25">
      <c r="A6886" s="69" t="s">
        <v>324</v>
      </c>
      <c r="B6886" s="72" t="str">
        <f>VLOOKUP(A6886,'Componentes APUs'!$N$1:$Q$30,2,0)</f>
        <v>Retroexcavadora</v>
      </c>
      <c r="C6886" s="73"/>
      <c r="D6886" s="70" t="str">
        <f>VLOOKUP(A6886,'Componentes APUs'!$N$1:$Q$30,3,0)</f>
        <v>U</v>
      </c>
      <c r="E6886" s="50">
        <v>0</v>
      </c>
      <c r="F6886" s="51">
        <f>VLOOKUP(A6886,'Componentes APUs'!$N$1:$Q$30,4,0)</f>
        <v>46030656</v>
      </c>
      <c r="G6886" s="51">
        <f>IFERROR(ROUNDUP(F6886*(E6886/21)/E6833,0),"-")</f>
        <v>0</v>
      </c>
    </row>
    <row r="6887" spans="1:7" x14ac:dyDescent="0.25">
      <c r="A6887" s="219" t="s">
        <v>99</v>
      </c>
      <c r="B6887" s="219"/>
      <c r="C6887" s="219"/>
      <c r="D6887" s="219"/>
      <c r="E6887" s="219"/>
      <c r="F6887" s="219"/>
      <c r="G6887" s="52">
        <f>SUM(G6882:G6886)</f>
        <v>690</v>
      </c>
    </row>
    <row r="6888" spans="1:7" x14ac:dyDescent="0.25">
      <c r="A6888" s="56"/>
      <c r="B6888" s="57"/>
      <c r="C6888" s="57"/>
      <c r="D6888" s="57"/>
      <c r="E6888" s="57"/>
      <c r="F6888" s="57"/>
      <c r="G6888" s="58"/>
    </row>
    <row r="6889" spans="1:7" x14ac:dyDescent="0.25">
      <c r="A6889" s="219" t="s">
        <v>100</v>
      </c>
      <c r="B6889" s="219"/>
      <c r="C6889" s="219"/>
      <c r="D6889" s="219"/>
      <c r="E6889" s="219"/>
      <c r="F6889" s="219"/>
      <c r="G6889" s="52">
        <f>G6887+G6878+G6861+G6851+G6841</f>
        <v>13091</v>
      </c>
    </row>
    <row r="6890" spans="1:7" x14ac:dyDescent="0.25">
      <c r="A6890" s="59"/>
      <c r="B6890" s="60"/>
      <c r="C6890" s="60"/>
      <c r="D6890" s="60"/>
      <c r="E6890" s="57"/>
      <c r="F6890" s="57"/>
      <c r="G6890" s="58"/>
    </row>
    <row r="6891" spans="1:7" x14ac:dyDescent="0.25">
      <c r="A6891" s="64"/>
      <c r="D6891" s="55"/>
      <c r="E6891" s="49" t="s">
        <v>25</v>
      </c>
      <c r="F6891" s="54">
        <v>0.15</v>
      </c>
      <c r="G6891" s="51">
        <f>G6889*F6891</f>
        <v>1963.6499999999999</v>
      </c>
    </row>
    <row r="6892" spans="1:7" x14ac:dyDescent="0.25">
      <c r="A6892" s="64"/>
      <c r="D6892" s="55"/>
      <c r="E6892" s="49" t="s">
        <v>26</v>
      </c>
      <c r="F6892" s="54">
        <v>0.05</v>
      </c>
      <c r="G6892" s="51">
        <f>G6889*F6892</f>
        <v>654.55000000000007</v>
      </c>
    </row>
    <row r="6893" spans="1:7" x14ac:dyDescent="0.25">
      <c r="A6893" s="61"/>
      <c r="B6893" s="65"/>
      <c r="C6893" s="65"/>
      <c r="D6893" s="62"/>
      <c r="E6893" s="49" t="s">
        <v>27</v>
      </c>
      <c r="F6893" s="54">
        <v>0.05</v>
      </c>
      <c r="G6893" s="51">
        <f>G6889*F6893</f>
        <v>654.55000000000007</v>
      </c>
    </row>
    <row r="6894" spans="1:7" x14ac:dyDescent="0.25">
      <c r="A6894" s="61"/>
      <c r="B6894" s="62"/>
      <c r="C6894" s="62"/>
      <c r="D6894" s="62"/>
      <c r="E6894" s="62"/>
      <c r="F6894" s="62"/>
      <c r="G6894" s="63"/>
    </row>
    <row r="6895" spans="1:7" x14ac:dyDescent="0.25">
      <c r="A6895" s="219" t="s">
        <v>101</v>
      </c>
      <c r="B6895" s="219"/>
      <c r="C6895" s="219"/>
      <c r="D6895" s="219"/>
      <c r="E6895" s="219"/>
      <c r="F6895" s="219"/>
      <c r="G6895" s="52">
        <f>G6889+G6891+G6892+G6893</f>
        <v>16363.749999999998</v>
      </c>
    </row>
    <row r="6896" spans="1:7" x14ac:dyDescent="0.25">
      <c r="A6896" s="59"/>
      <c r="B6896" s="60"/>
      <c r="C6896" s="60"/>
      <c r="D6896" s="60"/>
      <c r="E6896" s="57"/>
      <c r="F6896" s="57"/>
      <c r="G6896" s="58"/>
    </row>
    <row r="6897" spans="1:9" x14ac:dyDescent="0.25">
      <c r="A6897" s="64"/>
      <c r="D6897" s="55"/>
      <c r="E6897" s="49" t="s">
        <v>102</v>
      </c>
      <c r="F6897" s="49" t="s">
        <v>103</v>
      </c>
      <c r="G6897" s="51">
        <f>G6893*19%</f>
        <v>124.36450000000002</v>
      </c>
    </row>
    <row r="6898" spans="1:9" x14ac:dyDescent="0.25">
      <c r="A6898" s="61"/>
      <c r="B6898" s="62"/>
      <c r="C6898" s="62"/>
      <c r="D6898" s="62"/>
      <c r="E6898" s="57"/>
      <c r="F6898" s="57"/>
      <c r="G6898" s="58"/>
    </row>
    <row r="6899" spans="1:9" x14ac:dyDescent="0.25">
      <c r="A6899" s="219" t="s">
        <v>104</v>
      </c>
      <c r="B6899" s="219"/>
      <c r="C6899" s="219"/>
      <c r="D6899" s="219"/>
      <c r="E6899" s="219"/>
      <c r="F6899" s="219"/>
      <c r="G6899" s="52">
        <f>G6897+G6895</f>
        <v>16488.1145</v>
      </c>
    </row>
    <row r="6901" spans="1:9" x14ac:dyDescent="0.25">
      <c r="A6901" s="74" t="s">
        <v>29</v>
      </c>
      <c r="B6901" s="226" t="s">
        <v>30</v>
      </c>
      <c r="C6901" s="226"/>
      <c r="D6901" s="74" t="s">
        <v>31</v>
      </c>
      <c r="E6901" s="74" t="s">
        <v>32</v>
      </c>
      <c r="F6901" s="74" t="s">
        <v>189</v>
      </c>
      <c r="G6901" s="74" t="s">
        <v>33</v>
      </c>
      <c r="H6901" s="105"/>
    </row>
    <row r="6902" spans="1:9" x14ac:dyDescent="0.25">
      <c r="A6902" s="50" t="str">
        <f>Presupuesto!B131</f>
        <v>110_OC</v>
      </c>
      <c r="B6902" s="227" t="str">
        <f>Presupuesto!C131</f>
        <v>PISO BALDOSA CEMENTO</v>
      </c>
      <c r="C6902" s="228"/>
      <c r="D6902" s="50" t="s">
        <v>113</v>
      </c>
      <c r="E6902" s="107">
        <v>6</v>
      </c>
      <c r="F6902" s="50"/>
      <c r="G6902" s="51">
        <f>G6968</f>
        <v>268233.196</v>
      </c>
      <c r="H6902" s="45"/>
    </row>
    <row r="6903" spans="1:9" x14ac:dyDescent="0.25">
      <c r="A6903" s="219" t="s">
        <v>1961</v>
      </c>
      <c r="B6903" s="219"/>
      <c r="C6903" s="219"/>
      <c r="D6903" s="219"/>
      <c r="E6903" s="219"/>
      <c r="F6903" s="219"/>
      <c r="G6903" s="219"/>
    </row>
    <row r="6904" spans="1:9" x14ac:dyDescent="0.25">
      <c r="A6904" s="49" t="s">
        <v>35</v>
      </c>
      <c r="B6904" s="219" t="s">
        <v>36</v>
      </c>
      <c r="C6904" s="219"/>
      <c r="D6904" s="49" t="s">
        <v>37</v>
      </c>
      <c r="E6904" s="49" t="s">
        <v>38</v>
      </c>
      <c r="F6904" s="49" t="s">
        <v>39</v>
      </c>
      <c r="G6904" s="49" t="s">
        <v>40</v>
      </c>
    </row>
    <row r="6905" spans="1:9" x14ac:dyDescent="0.25">
      <c r="A6905" s="50" t="str">
        <f>Material!A642</f>
        <v>MA-641</v>
      </c>
      <c r="B6905" s="72" t="str">
        <f>IFERROR(VLOOKUP(A6905,Material!$A:$H,2,0),"-")</f>
        <v xml:space="preserve">BALDOSA DE CEMENTO </v>
      </c>
      <c r="C6905" s="76"/>
      <c r="D6905" s="50" t="str">
        <f>IFERROR(VLOOKUP(A6905,Material!$A:$H,4,0),"-")</f>
        <v>M2</v>
      </c>
      <c r="E6905" s="96">
        <v>1</v>
      </c>
      <c r="F6905" s="51">
        <f>IFERROR(VLOOKUP(A6905,Material!$A:$H,3,0),"-")</f>
        <v>116870</v>
      </c>
      <c r="G6905" s="51">
        <f>IFERROR(ROUNDUP(F6905*E6905,0),"-")</f>
        <v>116870</v>
      </c>
      <c r="H6905" s="106"/>
    </row>
    <row r="6906" spans="1:9" x14ac:dyDescent="0.25">
      <c r="A6906" s="50" t="str">
        <f>Material!A643</f>
        <v>MA-642</v>
      </c>
      <c r="B6906" s="72" t="str">
        <f>IFERROR(VLOOKUP(A6906,Material!$A:$H,2,0),"-")</f>
        <v>PEGACOR</v>
      </c>
      <c r="C6906" s="76"/>
      <c r="D6906" s="50" t="str">
        <f>IFERROR(VLOOKUP(A6906,Material!$A:$H,4,0),"-")</f>
        <v>KG</v>
      </c>
      <c r="E6906" s="23">
        <v>4</v>
      </c>
      <c r="F6906" s="51">
        <f>IFERROR(VLOOKUP(A6906,Material!$A:$H,3,0),"-")</f>
        <v>15352.723750000001</v>
      </c>
      <c r="G6906" s="51">
        <f>IFERROR(ROUNDUP(F6906*E6906,0),"-")</f>
        <v>61411</v>
      </c>
      <c r="H6906" s="106"/>
    </row>
    <row r="6907" spans="1:9" x14ac:dyDescent="0.25">
      <c r="A6907" s="50" t="str">
        <f>Material!A644</f>
        <v>MA-643</v>
      </c>
      <c r="B6907" s="72" t="str">
        <f>IFERROR(VLOOKUP(A6907,Material!$A:$H,2,0),"-")</f>
        <v>BOQUILLA PARA ENCHAPE</v>
      </c>
      <c r="C6907" s="76"/>
      <c r="D6907" s="50" t="str">
        <f>IFERROR(VLOOKUP(A6907,Material!$A:$H,4,0),"-")</f>
        <v>KG</v>
      </c>
      <c r="E6907" s="107">
        <v>0.25</v>
      </c>
      <c r="F6907" s="51">
        <f>IFERROR(VLOOKUP(A6907,Material!$A:$H,3,0),"-")</f>
        <v>12425.833333333334</v>
      </c>
      <c r="G6907" s="51">
        <f>IFERROR(ROUNDUP(F6907*E6907,0),"-")</f>
        <v>3107</v>
      </c>
      <c r="H6907" s="106"/>
    </row>
    <row r="6908" spans="1:9" x14ac:dyDescent="0.25">
      <c r="A6908" s="50" t="str">
        <f>Material!A645</f>
        <v>MA-644</v>
      </c>
      <c r="B6908" s="72" t="str">
        <f>IFERROR(VLOOKUP(A6908,Material!$A:$H,2,0),"-")</f>
        <v>DILATADORES PARA PEGA DE ENCHAPE</v>
      </c>
      <c r="C6908" s="76"/>
      <c r="D6908" s="50" t="str">
        <f>IFERROR(VLOOKUP(A6908,Material!$A:$H,4,0),"-")</f>
        <v>UN</v>
      </c>
      <c r="E6908" s="107">
        <v>5</v>
      </c>
      <c r="F6908" s="51">
        <f>IFERROR(VLOOKUP(A6908,Material!$A:$H,3,0),"-")</f>
        <v>181.09000000000003</v>
      </c>
      <c r="G6908" s="51">
        <f>IFERROR(ROUNDUP(F6908*E6908,0),"-")</f>
        <v>906</v>
      </c>
      <c r="H6908" s="106"/>
    </row>
    <row r="6909" spans="1:9" x14ac:dyDescent="0.25">
      <c r="A6909" s="50"/>
      <c r="B6909" s="72" t="str">
        <f>IFERROR(VLOOKUP(A6909,Material!$A:$H,2,0),"-")</f>
        <v>-</v>
      </c>
      <c r="C6909" s="76"/>
      <c r="D6909" s="50" t="str">
        <f>IFERROR(VLOOKUP(A6909,Material!$A:$H,4,0),"-")</f>
        <v>-</v>
      </c>
      <c r="E6909" s="107"/>
      <c r="F6909" s="51" t="str">
        <f>IFERROR(VLOOKUP(A6909,Material!$A:$H,3,0),"-")</f>
        <v>-</v>
      </c>
      <c r="G6909" s="51" t="str">
        <f>IFERROR(ROUNDUP(F6909*E6909,0),"-")</f>
        <v>-</v>
      </c>
      <c r="H6909" s="106"/>
    </row>
    <row r="6910" spans="1:9" x14ac:dyDescent="0.25">
      <c r="A6910" s="219" t="s">
        <v>41</v>
      </c>
      <c r="B6910" s="219"/>
      <c r="C6910" s="219"/>
      <c r="D6910" s="219"/>
      <c r="E6910" s="219"/>
      <c r="F6910" s="219"/>
      <c r="G6910" s="52">
        <f>SUM(G6905:G6909)</f>
        <v>182294</v>
      </c>
      <c r="I6910" s="104"/>
    </row>
    <row r="6911" spans="1:9" x14ac:dyDescent="0.25">
      <c r="A6911" s="56"/>
      <c r="B6911" s="57"/>
      <c r="C6911" s="57"/>
      <c r="D6911" s="57"/>
      <c r="E6911" s="57"/>
      <c r="F6911" s="57"/>
      <c r="G6911" s="58"/>
    </row>
    <row r="6912" spans="1:9" x14ac:dyDescent="0.25">
      <c r="A6912" s="219" t="s">
        <v>42</v>
      </c>
      <c r="B6912" s="219"/>
      <c r="C6912" s="219"/>
      <c r="D6912" s="219"/>
      <c r="E6912" s="219"/>
      <c r="F6912" s="219"/>
      <c r="G6912" s="219"/>
    </row>
    <row r="6913" spans="1:9" x14ac:dyDescent="0.25">
      <c r="A6913" s="49" t="s">
        <v>35</v>
      </c>
      <c r="B6913" s="49" t="s">
        <v>36</v>
      </c>
      <c r="C6913" s="49" t="s">
        <v>38</v>
      </c>
      <c r="D6913" s="49" t="s">
        <v>43</v>
      </c>
      <c r="E6913" s="49" t="s">
        <v>44</v>
      </c>
      <c r="F6913" s="49" t="s">
        <v>45</v>
      </c>
      <c r="G6913" s="49" t="s">
        <v>40</v>
      </c>
    </row>
    <row r="6914" spans="1:9" x14ac:dyDescent="0.25">
      <c r="A6914" s="50" t="s">
        <v>319</v>
      </c>
      <c r="B6914" s="68" t="str">
        <f>VLOOKUP(A6914,'Componentes APUs'!$H$1:$L$25,2,0)</f>
        <v>Ingeniero Residente de Obra</v>
      </c>
      <c r="C6914" s="93">
        <v>0</v>
      </c>
      <c r="D6914" s="50">
        <f>VLOOKUP(A6914,'Componentes APUs'!$H$1:$L$25,3,0)</f>
        <v>4</v>
      </c>
      <c r="E6914" s="51">
        <f>VLOOKUP(A6914,'Componentes APUs'!$H$1:$L$25,4,0)</f>
        <v>271142.85714285716</v>
      </c>
      <c r="F6914" s="51">
        <f>VLOOKUP(A6914,'Componentes APUs'!$H$1:$L$25,5,0)</f>
        <v>162685.71428571429</v>
      </c>
      <c r="G6914" s="51">
        <f>ROUNDUP((E6914+F6914)*C6914/E6902,0)</f>
        <v>0</v>
      </c>
      <c r="H6914" s="66"/>
    </row>
    <row r="6915" spans="1:9" x14ac:dyDescent="0.25">
      <c r="A6915" s="50" t="s">
        <v>320</v>
      </c>
      <c r="B6915" s="68" t="str">
        <f>VLOOKUP(A6915,'Componentes APUs'!$H$1:$L$25,2,0)</f>
        <v>Tecnico Supervisor</v>
      </c>
      <c r="C6915" s="93">
        <v>0</v>
      </c>
      <c r="D6915" s="50">
        <f>VLOOKUP(A6915,'Componentes APUs'!$H$1:$L$25,3,0)</f>
        <v>2.2999999999999998</v>
      </c>
      <c r="E6915" s="51">
        <f>VLOOKUP(A6915,'Componentes APUs'!$H$1:$L$25,4,0)</f>
        <v>155907.14285714284</v>
      </c>
      <c r="F6915" s="51">
        <f>VLOOKUP(A6915,'Componentes APUs'!$H$1:$L$25,5,0)</f>
        <v>93544.285714285696</v>
      </c>
      <c r="G6915" s="51">
        <f>ROUNDUP((E6915+F6915)*C6915/E6902,0)</f>
        <v>0</v>
      </c>
    </row>
    <row r="6916" spans="1:9" x14ac:dyDescent="0.25">
      <c r="A6916" s="50" t="s">
        <v>54</v>
      </c>
      <c r="B6916" s="68" t="str">
        <f>VLOOKUP(A6916,'Componentes APUs'!$H$1:$L$25,2,0)</f>
        <v>Maestro de obra civil</v>
      </c>
      <c r="C6916" s="93">
        <v>0</v>
      </c>
      <c r="D6916" s="50">
        <f>VLOOKUP(A6916,'Componentes APUs'!$H$1:$L$25,3,0)</f>
        <v>2.5</v>
      </c>
      <c r="E6916" s="51">
        <f>VLOOKUP(A6916,'Componentes APUs'!$H$1:$L$25,4,0)</f>
        <v>169464.28571428571</v>
      </c>
      <c r="F6916" s="51">
        <f>VLOOKUP(A6916,'Componentes APUs'!$H$1:$L$25,5,0)</f>
        <v>101678.57142857142</v>
      </c>
      <c r="G6916" s="51">
        <f>ROUNDUP((E6916+F6916)*C6916/E6902,0)</f>
        <v>0</v>
      </c>
    </row>
    <row r="6917" spans="1:9" x14ac:dyDescent="0.25">
      <c r="A6917" s="50" t="s">
        <v>1110</v>
      </c>
      <c r="B6917" s="68" t="str">
        <f>VLOOKUP(A6917,'Componentes APUs'!$H$1:$L$25,2,0)</f>
        <v>Oficial de Obra Civil</v>
      </c>
      <c r="C6917" s="93">
        <v>0.25</v>
      </c>
      <c r="D6917" s="50">
        <f>VLOOKUP(A6917,'Componentes APUs'!$H$1:$L$25,3,0)</f>
        <v>1.5</v>
      </c>
      <c r="E6917" s="51">
        <f>VLOOKUP(A6917,'Componentes APUs'!$H$1:$L$25,4,0)</f>
        <v>115964.28571428571</v>
      </c>
      <c r="F6917" s="51">
        <f>VLOOKUP(A6917,'Componentes APUs'!$H$1:$L$25,5,0)</f>
        <v>69578.57142857142</v>
      </c>
      <c r="G6917" s="51">
        <f>ROUNDUP((E6917+F6917)*C6917/E6902,0)</f>
        <v>7731</v>
      </c>
    </row>
    <row r="6918" spans="1:9" x14ac:dyDescent="0.25">
      <c r="A6918" s="50" t="s">
        <v>50</v>
      </c>
      <c r="B6918" s="68" t="str">
        <f>VLOOKUP(A6918,'Componentes APUs'!$H$1:$L$25,2,0)</f>
        <v>Profesional en SST</v>
      </c>
      <c r="C6918" s="93">
        <v>0</v>
      </c>
      <c r="D6918" s="50">
        <f>VLOOKUP(A6918,'Componentes APUs'!$H$1:$L$25,3,0)</f>
        <v>2.5</v>
      </c>
      <c r="E6918" s="51">
        <f>VLOOKUP(A6918,'Componentes APUs'!$H$1:$L$25,4,0)</f>
        <v>169464.28571428571</v>
      </c>
      <c r="F6918" s="51">
        <f>VLOOKUP(A6918,'Componentes APUs'!$H$1:$L$25,5,0)</f>
        <v>101678.57142857142</v>
      </c>
      <c r="G6918" s="51">
        <f>ROUNDUP((E6918+F6918)*C6918/E6902,0)</f>
        <v>0</v>
      </c>
    </row>
    <row r="6919" spans="1:9" x14ac:dyDescent="0.25">
      <c r="A6919" s="50" t="s">
        <v>1109</v>
      </c>
      <c r="B6919" s="68" t="str">
        <f>VLOOKUP(A6919,'Componentes APUs'!$H$1:$L$25,2,0)</f>
        <v>Ayudante de Obra Civil</v>
      </c>
      <c r="C6919" s="93">
        <v>1</v>
      </c>
      <c r="D6919" s="50">
        <f>VLOOKUP(A6919,'Componentes APUs'!$H$1:$L$25,3,0)</f>
        <v>1</v>
      </c>
      <c r="E6919" s="51">
        <f>VLOOKUP(A6919,'Componentes APUs'!$H$1:$L$25,4,0)</f>
        <v>77309.523809523816</v>
      </c>
      <c r="F6919" s="51">
        <f>VLOOKUP(A6919,'Componentes APUs'!$H$1:$L$25,5,0)</f>
        <v>46385.71428571429</v>
      </c>
      <c r="G6919" s="51">
        <f>ROUNDUP((E6919+F6919)*C6919/E6902,0)</f>
        <v>20616</v>
      </c>
    </row>
    <row r="6920" spans="1:9" x14ac:dyDescent="0.25">
      <c r="A6920" s="219" t="s">
        <v>56</v>
      </c>
      <c r="B6920" s="219"/>
      <c r="C6920" s="219"/>
      <c r="D6920" s="219"/>
      <c r="E6920" s="219"/>
      <c r="F6920" s="219"/>
      <c r="G6920" s="52">
        <f>SUM(G6914:G6919)</f>
        <v>28347</v>
      </c>
    </row>
    <row r="6921" spans="1:9" x14ac:dyDescent="0.25">
      <c r="A6921" s="56"/>
      <c r="B6921" s="57"/>
      <c r="C6921" s="57"/>
      <c r="D6921" s="57"/>
      <c r="E6921" s="57"/>
      <c r="F6921" s="57"/>
      <c r="G6921" s="58"/>
    </row>
    <row r="6922" spans="1:9" x14ac:dyDescent="0.25">
      <c r="A6922" s="219" t="s">
        <v>57</v>
      </c>
      <c r="B6922" s="219"/>
      <c r="C6922" s="219"/>
      <c r="D6922" s="219"/>
      <c r="E6922" s="219"/>
      <c r="F6922" s="219"/>
      <c r="G6922" s="219"/>
    </row>
    <row r="6923" spans="1:9" x14ac:dyDescent="0.25">
      <c r="A6923" s="49" t="s">
        <v>35</v>
      </c>
      <c r="B6923" s="219" t="s">
        <v>36</v>
      </c>
      <c r="C6923" s="219"/>
      <c r="D6923" s="49" t="s">
        <v>37</v>
      </c>
      <c r="E6923" s="49" t="s">
        <v>38</v>
      </c>
      <c r="F6923" s="49" t="s">
        <v>39</v>
      </c>
      <c r="G6923" s="49" t="s">
        <v>40</v>
      </c>
    </row>
    <row r="6924" spans="1:9" x14ac:dyDescent="0.25">
      <c r="A6924" s="50" t="s">
        <v>326</v>
      </c>
      <c r="B6924" s="220" t="str">
        <f>VLOOKUP(A6924,'Componentes APUs'!$S$1:$V$10,2,0)</f>
        <v>Juego Llaves</v>
      </c>
      <c r="C6924" s="220"/>
      <c r="D6924" s="50" t="s">
        <v>18</v>
      </c>
      <c r="E6924" s="50">
        <v>0</v>
      </c>
      <c r="F6924" s="51">
        <f>VLOOKUP(A6924,'Componentes APUs'!$S$1:$V$10,4,0)</f>
        <v>9167</v>
      </c>
      <c r="G6924" s="51">
        <f>ROUNDUP(F6924*((E6924/21)/E6902),0)</f>
        <v>0</v>
      </c>
      <c r="I6924" s="91"/>
    </row>
    <row r="6925" spans="1:9" x14ac:dyDescent="0.25">
      <c r="A6925" s="50" t="s">
        <v>58</v>
      </c>
      <c r="B6925" s="220" t="str">
        <f>VLOOKUP(A6925,'Componentes APUs'!$S$1:$V$10,2,0)</f>
        <v>Manila de servicio</v>
      </c>
      <c r="C6925" s="220"/>
      <c r="D6925" s="50" t="s">
        <v>18</v>
      </c>
      <c r="E6925" s="50">
        <v>0</v>
      </c>
      <c r="F6925" s="51">
        <f>VLOOKUP(A6925,'Componentes APUs'!$S$1:$V$10,4,0)</f>
        <v>2333</v>
      </c>
      <c r="G6925" s="51">
        <f>ROUNDUP(F6925*((E6925/21)/E6902),0)</f>
        <v>0</v>
      </c>
    </row>
    <row r="6926" spans="1:9" x14ac:dyDescent="0.25">
      <c r="A6926" s="50" t="s">
        <v>327</v>
      </c>
      <c r="B6926" s="220" t="str">
        <f>VLOOKUP(A6926,'Componentes APUs'!$S$1:$V$10,2,0)</f>
        <v>Tula portaherramientas</v>
      </c>
      <c r="C6926" s="220"/>
      <c r="D6926" s="50" t="s">
        <v>18</v>
      </c>
      <c r="E6926" s="50">
        <v>0</v>
      </c>
      <c r="F6926" s="51">
        <f>VLOOKUP(A6926,'Componentes APUs'!$S$1:$V$10,4,0)</f>
        <v>1250</v>
      </c>
      <c r="G6926" s="51">
        <f>ROUNDUP(F6926*((E6926/21)/E6902),0)</f>
        <v>0</v>
      </c>
    </row>
    <row r="6927" spans="1:9" x14ac:dyDescent="0.25">
      <c r="A6927" s="50" t="s">
        <v>60</v>
      </c>
      <c r="B6927" s="220" t="str">
        <f>VLOOKUP(A6927,'Componentes APUs'!$S$1:$V$10,2,0)</f>
        <v>Agarradoras</v>
      </c>
      <c r="C6927" s="220"/>
      <c r="D6927" s="50" t="s">
        <v>18</v>
      </c>
      <c r="E6927" s="50">
        <v>0</v>
      </c>
      <c r="F6927" s="51">
        <f>VLOOKUP(A6927,'Componentes APUs'!$S$1:$V$10,4,0)</f>
        <v>125000</v>
      </c>
      <c r="G6927" s="51">
        <f>ROUNDUP(F6927*((E6927/21)/E6902),0)</f>
        <v>0</v>
      </c>
    </row>
    <row r="6928" spans="1:9" x14ac:dyDescent="0.25">
      <c r="A6928" s="50" t="s">
        <v>62</v>
      </c>
      <c r="B6928" s="220" t="str">
        <f>VLOOKUP(A6928,'Componentes APUs'!$S$1:$V$10,2,0)</f>
        <v>Templadoras</v>
      </c>
      <c r="C6928" s="220"/>
      <c r="D6928" s="50" t="s">
        <v>18</v>
      </c>
      <c r="E6928" s="50">
        <v>0</v>
      </c>
      <c r="F6928" s="51">
        <f>VLOOKUP(A6928,'Componentes APUs'!$S$1:$V$10,4,0)</f>
        <v>250000</v>
      </c>
      <c r="G6928" s="51">
        <f>ROUNDUP(F6928*((E6928/21)/E6902),0)</f>
        <v>0</v>
      </c>
    </row>
    <row r="6929" spans="1:9" x14ac:dyDescent="0.25">
      <c r="A6929" s="50" t="s">
        <v>328</v>
      </c>
      <c r="B6929" s="220" t="str">
        <f>VLOOKUP(A6929,'Componentes APUs'!$S$1:$V$10,2,0)</f>
        <v>Herramienta Menor</v>
      </c>
      <c r="C6929" s="220"/>
      <c r="D6929" s="50" t="s">
        <v>18</v>
      </c>
      <c r="E6929" s="50">
        <v>3</v>
      </c>
      <c r="F6929" s="51">
        <f>VLOOKUP(A6929,'Componentes APUs'!$S$1:$V$10,4,0)</f>
        <v>75758</v>
      </c>
      <c r="G6929" s="51">
        <f>ROUNDUP(F6929*((E6929/21)/E6902),0)</f>
        <v>1804</v>
      </c>
    </row>
    <row r="6930" spans="1:9" x14ac:dyDescent="0.25">
      <c r="A6930" s="219" t="s">
        <v>69</v>
      </c>
      <c r="B6930" s="219"/>
      <c r="C6930" s="219"/>
      <c r="D6930" s="219"/>
      <c r="E6930" s="219"/>
      <c r="F6930" s="219"/>
      <c r="G6930" s="52">
        <f>SUM(G6924:G6929)</f>
        <v>1804</v>
      </c>
    </row>
    <row r="6931" spans="1:9" x14ac:dyDescent="0.25">
      <c r="A6931" s="56"/>
      <c r="B6931" s="57"/>
      <c r="C6931" s="57"/>
      <c r="D6931" s="57"/>
      <c r="E6931" s="57"/>
      <c r="F6931" s="57"/>
      <c r="G6931" s="58"/>
    </row>
    <row r="6932" spans="1:9" x14ac:dyDescent="0.25">
      <c r="A6932" s="219" t="s">
        <v>70</v>
      </c>
      <c r="B6932" s="219"/>
      <c r="C6932" s="219"/>
      <c r="D6932" s="219"/>
      <c r="E6932" s="219"/>
      <c r="F6932" s="219"/>
      <c r="G6932" s="219"/>
    </row>
    <row r="6933" spans="1:9" x14ac:dyDescent="0.25">
      <c r="A6933" s="49" t="s">
        <v>35</v>
      </c>
      <c r="B6933" s="219" t="s">
        <v>36</v>
      </c>
      <c r="C6933" s="219"/>
      <c r="D6933" s="49" t="s">
        <v>37</v>
      </c>
      <c r="E6933" s="49" t="s">
        <v>38</v>
      </c>
      <c r="F6933" s="49" t="s">
        <v>39</v>
      </c>
      <c r="G6933" s="49" t="s">
        <v>40</v>
      </c>
    </row>
    <row r="6934" spans="1:9" x14ac:dyDescent="0.25">
      <c r="A6934" s="50" t="s">
        <v>71</v>
      </c>
      <c r="B6934" s="71" t="str">
        <f>VLOOKUP(A6934,'Componentes APUs'!$A$1:$D$14,2,0)</f>
        <v>Camisa indigo sin partes metalicas</v>
      </c>
      <c r="C6934" s="71"/>
      <c r="D6934" s="50" t="str">
        <f>VLOOKUP(A6934,'Componentes APUs'!$A$1:$D$14,3,0)</f>
        <v>U</v>
      </c>
      <c r="E6934" s="50">
        <f>SUM(C6914:C6919)</f>
        <v>1.25</v>
      </c>
      <c r="F6934" s="51">
        <f>VLOOKUP(A6934,'Componentes APUs'!$A$1:$D$14,4,0)</f>
        <v>8585.8585858585866</v>
      </c>
      <c r="G6934" s="51">
        <f>ROUNDUP(F6934*(E6934/21)/E6902,0)</f>
        <v>86</v>
      </c>
      <c r="I6934" s="91"/>
    </row>
    <row r="6935" spans="1:9" x14ac:dyDescent="0.25">
      <c r="A6935" s="69" t="s">
        <v>73</v>
      </c>
      <c r="B6935" s="72" t="str">
        <f>VLOOKUP(A6935,'Componentes APUs'!$A$1:$D$14,2,0)</f>
        <v>Bota de seguridad dielectrica</v>
      </c>
      <c r="C6935" s="73"/>
      <c r="D6935" s="70" t="str">
        <f>VLOOKUP(A6935,'Componentes APUs'!$A$1:$D$14,3,0)</f>
        <v>Par</v>
      </c>
      <c r="E6935" s="50">
        <f>SUM(C6914:C6919)</f>
        <v>1.25</v>
      </c>
      <c r="F6935" s="51">
        <f>VLOOKUP(A6935,'Componentes APUs'!$A$1:$D$14,4,0)</f>
        <v>7500</v>
      </c>
      <c r="G6935" s="51">
        <f>ROUNDUP(F6935*(E6935/21)/E6902,0)</f>
        <v>75</v>
      </c>
    </row>
    <row r="6936" spans="1:9" x14ac:dyDescent="0.25">
      <c r="A6936" s="50" t="s">
        <v>76</v>
      </c>
      <c r="B6936" s="72" t="str">
        <f>VLOOKUP(A6936,'Componentes APUs'!$A$1:$D$14,2,0)</f>
        <v>Casco dielectrico Tipo 1 Clase E con barbuquejo</v>
      </c>
      <c r="C6936" s="73"/>
      <c r="D6936" s="50" t="str">
        <f>VLOOKUP(A6936,'Componentes APUs'!$A$1:$D$14,3,0)</f>
        <v>U</v>
      </c>
      <c r="E6936" s="50">
        <f>C6914+C6915+C6917+C6918+C6919+IF(A6916&lt;&gt;"MO-3",C6916,0)</f>
        <v>1.25</v>
      </c>
      <c r="F6936" s="51">
        <f>VLOOKUP(A6936,'Componentes APUs'!$A$1:$D$14,4,0)</f>
        <v>10101.010101010101</v>
      </c>
      <c r="G6936" s="51">
        <f>ROUNDUP(F6936*(E6936/21)/E6902,0)</f>
        <v>101</v>
      </c>
    </row>
    <row r="6937" spans="1:9" x14ac:dyDescent="0.25">
      <c r="A6937" s="69" t="s">
        <v>77</v>
      </c>
      <c r="B6937" s="72" t="str">
        <f>VLOOKUP(A6937,'Componentes APUs'!$A$1:$D$14,2,0)</f>
        <v>Correa plastica y antiflama</v>
      </c>
      <c r="C6937" s="73"/>
      <c r="D6937" s="50" t="str">
        <f>VLOOKUP(A6937,'Componentes APUs'!$A$1:$D$14,3,0)</f>
        <v>U</v>
      </c>
      <c r="E6937" s="50">
        <f>SUM(C6914:C6919)</f>
        <v>1.25</v>
      </c>
      <c r="F6937" s="51">
        <f>VLOOKUP(A6937,'Componentes APUs'!$A$1:$D$14,4,0)</f>
        <v>3787.878787878788</v>
      </c>
      <c r="G6937" s="51">
        <f>ROUNDUP(F6937*(E6937/21)/E6902,0)</f>
        <v>38</v>
      </c>
    </row>
    <row r="6938" spans="1:9" x14ac:dyDescent="0.25">
      <c r="A6938" s="50" t="s">
        <v>79</v>
      </c>
      <c r="B6938" s="72" t="str">
        <f>VLOOKUP(A6938,'Componentes APUs'!$A$1:$D$14,2,0)</f>
        <v>Gafas protectoras filtro UV</v>
      </c>
      <c r="C6938" s="73"/>
      <c r="D6938" s="50" t="str">
        <f>VLOOKUP(A6938,'Componentes APUs'!$A$1:$D$14,3,0)</f>
        <v>U</v>
      </c>
      <c r="E6938" s="50">
        <f>SUM(C6914:C6919)</f>
        <v>1.25</v>
      </c>
      <c r="F6938" s="51">
        <f>VLOOKUP(A6938,'Componentes APUs'!$A$1:$D$14,4,0)</f>
        <v>2777.7777777777778</v>
      </c>
      <c r="G6938" s="51">
        <f>ROUNDUP(F6938*(E6938/21)/E6902,0)</f>
        <v>28</v>
      </c>
    </row>
    <row r="6939" spans="1:9" x14ac:dyDescent="0.25">
      <c r="A6939" s="69" t="s">
        <v>402</v>
      </c>
      <c r="B6939" s="72" t="str">
        <f>VLOOKUP(A6939,'Componentes APUs'!$A$1:$D$14,2,0)</f>
        <v>Bota de seguridad PVC dielectrica</v>
      </c>
      <c r="C6939" s="73"/>
      <c r="D6939" s="50" t="str">
        <f>VLOOKUP(A6939,'Componentes APUs'!$A$1:$D$14,3,0)</f>
        <v>Par</v>
      </c>
      <c r="E6939" s="50">
        <f>SUM(C6914:C6919)</f>
        <v>1.25</v>
      </c>
      <c r="F6939" s="51">
        <f>VLOOKUP(A6939,'Componentes APUs'!$A$1:$D$14,4,0)</f>
        <v>2916.6666666666665</v>
      </c>
      <c r="G6939" s="51">
        <f>ROUNDUP(F6939*(E6939/21)/E6902,0)</f>
        <v>29</v>
      </c>
    </row>
    <row r="6940" spans="1:9" x14ac:dyDescent="0.25">
      <c r="A6940" s="50" t="s">
        <v>403</v>
      </c>
      <c r="B6940" s="72" t="str">
        <f>VLOOKUP(A6940,'Componentes APUs'!$A$1:$D$14,2,0)</f>
        <v>Capuchon</v>
      </c>
      <c r="C6940" s="73"/>
      <c r="D6940" s="50" t="str">
        <f>VLOOKUP(A6940,'Componentes APUs'!$A$1:$D$14,3,0)</f>
        <v>U</v>
      </c>
      <c r="E6940" s="50">
        <f>SUM(C6914:C6919)</f>
        <v>1.25</v>
      </c>
      <c r="F6940" s="51">
        <f>VLOOKUP(A6940,'Componentes APUs'!$A$1:$D$14,4,0)</f>
        <v>2525.2525252525252</v>
      </c>
      <c r="G6940" s="51">
        <f>ROUNDUP(F6940*(E6940/21)/E6902,0)</f>
        <v>26</v>
      </c>
    </row>
    <row r="6941" spans="1:9" x14ac:dyDescent="0.25">
      <c r="A6941" s="69" t="s">
        <v>81</v>
      </c>
      <c r="B6941" s="72" t="str">
        <f>VLOOKUP(A6941,'Componentes APUs'!$A$1:$D$14,2,0)</f>
        <v>Guantes Protectores  - ingeniero reforzados</v>
      </c>
      <c r="C6941" s="73"/>
      <c r="D6941" s="50" t="str">
        <f>VLOOKUP(A6941,'Componentes APUs'!$A$1:$D$14,3,0)</f>
        <v>Par</v>
      </c>
      <c r="E6941" s="50">
        <f>C6916+C6917+C6919</f>
        <v>1.25</v>
      </c>
      <c r="F6941" s="51">
        <f>VLOOKUP(A6941,'Componentes APUs'!$A$1:$D$14,4,0)</f>
        <v>2525.2525252525252</v>
      </c>
      <c r="G6941" s="51">
        <f>ROUNDUP(F6941*(E6941/21)/E6902,0)</f>
        <v>26</v>
      </c>
    </row>
    <row r="6942" spans="1:9" x14ac:dyDescent="0.25">
      <c r="A6942" s="50" t="s">
        <v>83</v>
      </c>
      <c r="B6942" s="72" t="str">
        <f>VLOOKUP(A6942,'Componentes APUs'!$A$1:$D$14,2,0)</f>
        <v>Impermeable (pantalon camisa)</v>
      </c>
      <c r="C6942" s="73"/>
      <c r="D6942" s="50" t="str">
        <f>VLOOKUP(A6942,'Componentes APUs'!$A$1:$D$14,3,0)</f>
        <v>U</v>
      </c>
      <c r="E6942" s="50">
        <f>SUM(C6914:C6919)</f>
        <v>1.25</v>
      </c>
      <c r="F6942" s="51">
        <f>VLOOKUP(A6942,'Componentes APUs'!$A$1:$D$14,4,0)</f>
        <v>3750</v>
      </c>
      <c r="G6942" s="51">
        <f>ROUNDUP(F6942*(E6942/21)/E6902,0)</f>
        <v>38</v>
      </c>
    </row>
    <row r="6943" spans="1:9" x14ac:dyDescent="0.25">
      <c r="A6943" s="69" t="s">
        <v>85</v>
      </c>
      <c r="B6943" s="72" t="str">
        <f>VLOOKUP(A6943,'Componentes APUs'!$A$1:$D$14,2,0)</f>
        <v>Jean Dielectrico</v>
      </c>
      <c r="C6943" s="73"/>
      <c r="D6943" s="50" t="str">
        <f>VLOOKUP(A6943,'Componentes APUs'!$A$1:$D$14,3,0)</f>
        <v>U</v>
      </c>
      <c r="E6943" s="50">
        <f>SUM(C6914:C6919)</f>
        <v>1.25</v>
      </c>
      <c r="F6943" s="51">
        <f>VLOOKUP(A6943,'Componentes APUs'!$A$1:$D$14,4,0)</f>
        <v>7575.757575757576</v>
      </c>
      <c r="G6943" s="51">
        <f>ROUNDUP(F6943*(E6943/21)/E6902,0)</f>
        <v>76</v>
      </c>
    </row>
    <row r="6944" spans="1:9" x14ac:dyDescent="0.25">
      <c r="A6944" s="50" t="s">
        <v>87</v>
      </c>
      <c r="B6944" s="72" t="str">
        <f>VLOOKUP(A6944,'Componentes APUs'!$A$1:$D$14,2,0)</f>
        <v>Casco dielectrico Tipo 2 Clase E con barboquejo</v>
      </c>
      <c r="C6944" s="73"/>
      <c r="D6944" s="50" t="str">
        <f>VLOOKUP(A6944,'Componentes APUs'!$A$1:$D$14,3,0)</f>
        <v>U</v>
      </c>
      <c r="E6944" s="53">
        <f>IF(A6916="MO-3",C6916,0)</f>
        <v>0</v>
      </c>
      <c r="F6944" s="51">
        <f>VLOOKUP(A6944,'Componentes APUs'!$A$1:$D$14,4,0)</f>
        <v>7500</v>
      </c>
      <c r="G6944" s="51">
        <f>ROUNDUP(F6944*(E6944/21)/E6902,0)</f>
        <v>0</v>
      </c>
    </row>
    <row r="6945" spans="1:7" x14ac:dyDescent="0.25">
      <c r="A6945" s="69" t="s">
        <v>89</v>
      </c>
      <c r="B6945" s="72" t="str">
        <f>VLOOKUP(A6945,'Componentes APUs'!$A$1:$D$14,2,0)</f>
        <v>Kit de rescate para trabajo en alturas</v>
      </c>
      <c r="C6945" s="73"/>
      <c r="D6945" s="50" t="str">
        <f>VLOOKUP(A6945,'Componentes APUs'!$A$1:$D$14,3,0)</f>
        <v>U</v>
      </c>
      <c r="E6945" s="50">
        <f>IF(AND(A6916="MO-3",C6916=2),1,0)</f>
        <v>0</v>
      </c>
      <c r="F6945" s="51">
        <f>VLOOKUP(A6945,'Componentes APUs'!$A$1:$D$14,4,0)</f>
        <v>37500</v>
      </c>
      <c r="G6945" s="51">
        <f>ROUNDUP(F6945*(E6945/21)/E6902,0)</f>
        <v>0</v>
      </c>
    </row>
    <row r="6946" spans="1:7" x14ac:dyDescent="0.25">
      <c r="A6946" s="50" t="s">
        <v>91</v>
      </c>
      <c r="B6946" s="72" t="str">
        <f>VLOOKUP(A6946,'Componentes APUs'!$A$1:$D$14,2,0)</f>
        <v>Equipo completo para trabajo en alturas con pretales (Arnes dielectrico, 1 mosqueton de seguridad, tie off dielectrico, eslinga de posicionamiento, juego de pretales)</v>
      </c>
      <c r="C6946" s="73"/>
      <c r="D6946" s="50" t="str">
        <f>VLOOKUP(A6946,'Componentes APUs'!$A$1:$D$14,3,0)</f>
        <v>U</v>
      </c>
      <c r="E6946" s="50">
        <f>IF(A6916="MO-3",C6916,0)</f>
        <v>0</v>
      </c>
      <c r="F6946" s="51">
        <f>VLOOKUP(A6946,'Componentes APUs'!$A$1:$D$14,4,0)</f>
        <v>26041.666666666668</v>
      </c>
      <c r="G6946" s="51">
        <f>ROUNDUP(F6946*(E6946/21)/E6902,0)</f>
        <v>0</v>
      </c>
    </row>
    <row r="6947" spans="1:7" x14ac:dyDescent="0.25">
      <c r="A6947" s="219" t="s">
        <v>95</v>
      </c>
      <c r="B6947" s="219"/>
      <c r="C6947" s="219"/>
      <c r="D6947" s="219"/>
      <c r="E6947" s="219"/>
      <c r="F6947" s="219"/>
      <c r="G6947" s="52">
        <f>SUM(G6934:G6946)</f>
        <v>523</v>
      </c>
    </row>
    <row r="6948" spans="1:7" x14ac:dyDescent="0.25">
      <c r="A6948" s="56"/>
      <c r="B6948" s="57"/>
      <c r="C6948" s="57"/>
      <c r="D6948" s="57"/>
      <c r="E6948" s="57"/>
      <c r="F6948" s="57"/>
      <c r="G6948" s="58"/>
    </row>
    <row r="6949" spans="1:7" x14ac:dyDescent="0.25">
      <c r="A6949" s="219" t="s">
        <v>96</v>
      </c>
      <c r="B6949" s="219"/>
      <c r="C6949" s="219"/>
      <c r="D6949" s="219"/>
      <c r="E6949" s="219"/>
      <c r="F6949" s="219"/>
      <c r="G6949" s="219"/>
    </row>
    <row r="6950" spans="1:7" x14ac:dyDescent="0.25">
      <c r="A6950" s="49" t="s">
        <v>35</v>
      </c>
      <c r="B6950" s="225" t="s">
        <v>36</v>
      </c>
      <c r="C6950" s="225"/>
      <c r="D6950" s="49" t="s">
        <v>37</v>
      </c>
      <c r="E6950" s="49" t="s">
        <v>38</v>
      </c>
      <c r="F6950" s="49" t="s">
        <v>39</v>
      </c>
      <c r="G6950" s="49" t="s">
        <v>40</v>
      </c>
    </row>
    <row r="6951" spans="1:7" x14ac:dyDescent="0.25">
      <c r="A6951" s="69" t="s">
        <v>97</v>
      </c>
      <c r="B6951" s="72" t="str">
        <f>VLOOKUP(A6951,'Componentes APUs'!$N$1:$Q$30,2,0)</f>
        <v>Camioneta</v>
      </c>
      <c r="C6951" s="73"/>
      <c r="D6951" s="70" t="str">
        <f>VLOOKUP(A6951,'Componentes APUs'!$N$1:$Q$30,3,0)</f>
        <v>U</v>
      </c>
      <c r="E6951" s="50">
        <v>0</v>
      </c>
      <c r="F6951" s="51">
        <f>VLOOKUP(A6951,'Componentes APUs'!$N$1:$Q$30,4,0)</f>
        <v>5500000</v>
      </c>
      <c r="G6951" s="51">
        <f>IFERROR(ROUNDUP(F6951*(E6951/21)/E6902,0),"-")</f>
        <v>0</v>
      </c>
    </row>
    <row r="6952" spans="1:7" x14ac:dyDescent="0.25">
      <c r="A6952" s="50" t="s">
        <v>321</v>
      </c>
      <c r="B6952" s="72" t="str">
        <f>VLOOKUP(A6952,'Componentes APUs'!$N$1:$Q$30,2,0)</f>
        <v>Grúa Hidráulica</v>
      </c>
      <c r="C6952" s="73"/>
      <c r="D6952" s="70" t="str">
        <f>VLOOKUP(A6952,'Componentes APUs'!$N$1:$Q$30,3,0)</f>
        <v>U</v>
      </c>
      <c r="E6952" s="50">
        <v>0</v>
      </c>
      <c r="F6952" s="51">
        <f>VLOOKUP(A6952,'Componentes APUs'!$N$1:$Q$30,4,0)</f>
        <v>21000000</v>
      </c>
      <c r="G6952" s="51">
        <f>IFERROR(ROUNDUP(F6952*(E6952/21)/E6902,0),"-")</f>
        <v>0</v>
      </c>
    </row>
    <row r="6953" spans="1:7" x14ac:dyDescent="0.25">
      <c r="A6953" s="69" t="s">
        <v>1379</v>
      </c>
      <c r="B6953" s="72" t="str">
        <f>VLOOKUP(A6953,'Componentes APUs'!$N$1:$Q$30,2,0)</f>
        <v>Dumper de descarga Frontal 2T</v>
      </c>
      <c r="C6953" s="73"/>
      <c r="D6953" s="70" t="str">
        <f>VLOOKUP(A6953,'Componentes APUs'!$N$1:$Q$30,3,0)</f>
        <v>U</v>
      </c>
      <c r="E6953" s="50">
        <v>0</v>
      </c>
      <c r="F6953" s="51">
        <f>VLOOKUP(A6953,'Componentes APUs'!$N$1:$Q$30,4,0)</f>
        <v>4438716.24</v>
      </c>
      <c r="G6953" s="51">
        <f>IFERROR(ROUNDUP(F6953*(E6953/21)/E6902,0),"-")</f>
        <v>0</v>
      </c>
    </row>
    <row r="6954" spans="1:7" x14ac:dyDescent="0.25">
      <c r="A6954" s="50" t="s">
        <v>323</v>
      </c>
      <c r="B6954" s="72" t="str">
        <f>VLOOKUP(A6954,'Componentes APUs'!$N$1:$Q$30,2,0)</f>
        <v>Volqueta</v>
      </c>
      <c r="C6954" s="73"/>
      <c r="D6954" s="70" t="str">
        <f>VLOOKUP(A6954,'Componentes APUs'!$N$1:$Q$30,3,0)</f>
        <v>U</v>
      </c>
      <c r="E6954" s="50">
        <v>0</v>
      </c>
      <c r="F6954" s="51">
        <f>VLOOKUP(A6954,'Componentes APUs'!$N$1:$Q$30,4,0)</f>
        <v>14828184</v>
      </c>
      <c r="G6954" s="51">
        <f>IFERROR(ROUNDUP(F6954*(E6954/21)/E6902,0),"-")</f>
        <v>0</v>
      </c>
    </row>
    <row r="6955" spans="1:7" x14ac:dyDescent="0.25">
      <c r="A6955" s="69" t="s">
        <v>324</v>
      </c>
      <c r="B6955" s="72" t="str">
        <f>VLOOKUP(A6955,'Componentes APUs'!$N$1:$Q$30,2,0)</f>
        <v>Retroexcavadora</v>
      </c>
      <c r="C6955" s="73"/>
      <c r="D6955" s="70" t="str">
        <f>VLOOKUP(A6955,'Componentes APUs'!$N$1:$Q$30,3,0)</f>
        <v>U</v>
      </c>
      <c r="E6955" s="50">
        <v>0</v>
      </c>
      <c r="F6955" s="51">
        <f>VLOOKUP(A6955,'Componentes APUs'!$N$1:$Q$30,4,0)</f>
        <v>46030656</v>
      </c>
      <c r="G6955" s="51">
        <f>IFERROR(ROUNDUP(F6955*(E6955/21)/E6902,0),"-")</f>
        <v>0</v>
      </c>
    </row>
    <row r="6956" spans="1:7" x14ac:dyDescent="0.25">
      <c r="A6956" s="219" t="s">
        <v>99</v>
      </c>
      <c r="B6956" s="219"/>
      <c r="C6956" s="219"/>
      <c r="D6956" s="219"/>
      <c r="E6956" s="219"/>
      <c r="F6956" s="219"/>
      <c r="G6956" s="52">
        <f>SUM(G6951:G6955)</f>
        <v>0</v>
      </c>
    </row>
    <row r="6957" spans="1:7" x14ac:dyDescent="0.25">
      <c r="A6957" s="56"/>
      <c r="B6957" s="57"/>
      <c r="C6957" s="57"/>
      <c r="D6957" s="57"/>
      <c r="E6957" s="57"/>
      <c r="F6957" s="57"/>
      <c r="G6957" s="58"/>
    </row>
    <row r="6958" spans="1:7" x14ac:dyDescent="0.25">
      <c r="A6958" s="219" t="s">
        <v>100</v>
      </c>
      <c r="B6958" s="219"/>
      <c r="C6958" s="219"/>
      <c r="D6958" s="219"/>
      <c r="E6958" s="219"/>
      <c r="F6958" s="219"/>
      <c r="G6958" s="52">
        <f>G6956+G6947+G6930+G6920+G6910</f>
        <v>212968</v>
      </c>
    </row>
    <row r="6959" spans="1:7" x14ac:dyDescent="0.25">
      <c r="A6959" s="59"/>
      <c r="B6959" s="60"/>
      <c r="C6959" s="60"/>
      <c r="D6959" s="60"/>
      <c r="E6959" s="57"/>
      <c r="F6959" s="57"/>
      <c r="G6959" s="58"/>
    </row>
    <row r="6960" spans="1:7" x14ac:dyDescent="0.25">
      <c r="A6960" s="64"/>
      <c r="D6960" s="55"/>
      <c r="E6960" s="49" t="s">
        <v>25</v>
      </c>
      <c r="F6960" s="54">
        <v>0.15</v>
      </c>
      <c r="G6960" s="51">
        <f>G6958*F6960</f>
        <v>31945.199999999997</v>
      </c>
    </row>
    <row r="6961" spans="1:8" x14ac:dyDescent="0.25">
      <c r="A6961" s="64"/>
      <c r="D6961" s="55"/>
      <c r="E6961" s="49" t="s">
        <v>26</v>
      </c>
      <c r="F6961" s="54">
        <v>0.05</v>
      </c>
      <c r="G6961" s="51">
        <f>G6958*F6961</f>
        <v>10648.400000000001</v>
      </c>
    </row>
    <row r="6962" spans="1:8" x14ac:dyDescent="0.25">
      <c r="A6962" s="61"/>
      <c r="B6962" s="65"/>
      <c r="C6962" s="65"/>
      <c r="D6962" s="62"/>
      <c r="E6962" s="49" t="s">
        <v>27</v>
      </c>
      <c r="F6962" s="54">
        <v>0.05</v>
      </c>
      <c r="G6962" s="51">
        <f>G6958*F6962</f>
        <v>10648.400000000001</v>
      </c>
    </row>
    <row r="6963" spans="1:8" x14ac:dyDescent="0.25">
      <c r="A6963" s="61"/>
      <c r="B6963" s="62"/>
      <c r="C6963" s="62"/>
      <c r="D6963" s="62"/>
      <c r="E6963" s="62"/>
      <c r="F6963" s="62"/>
      <c r="G6963" s="63"/>
    </row>
    <row r="6964" spans="1:8" x14ac:dyDescent="0.25">
      <c r="A6964" s="219" t="s">
        <v>101</v>
      </c>
      <c r="B6964" s="219"/>
      <c r="C6964" s="219"/>
      <c r="D6964" s="219"/>
      <c r="E6964" s="219"/>
      <c r="F6964" s="219"/>
      <c r="G6964" s="52">
        <f>G6958+G6960+G6961+G6962</f>
        <v>266210</v>
      </c>
    </row>
    <row r="6965" spans="1:8" x14ac:dyDescent="0.25">
      <c r="A6965" s="59"/>
      <c r="B6965" s="60"/>
      <c r="C6965" s="60"/>
      <c r="D6965" s="60"/>
      <c r="E6965" s="57"/>
      <c r="F6965" s="57"/>
      <c r="G6965" s="58"/>
    </row>
    <row r="6966" spans="1:8" x14ac:dyDescent="0.25">
      <c r="A6966" s="64"/>
      <c r="D6966" s="55"/>
      <c r="E6966" s="49" t="s">
        <v>102</v>
      </c>
      <c r="F6966" s="49" t="s">
        <v>103</v>
      </c>
      <c r="G6966" s="51">
        <f>G6962*19%</f>
        <v>2023.1960000000004</v>
      </c>
    </row>
    <row r="6967" spans="1:8" x14ac:dyDescent="0.25">
      <c r="A6967" s="61"/>
      <c r="B6967" s="62"/>
      <c r="C6967" s="62"/>
      <c r="D6967" s="62"/>
      <c r="E6967" s="57"/>
      <c r="F6967" s="57"/>
      <c r="G6967" s="58"/>
    </row>
    <row r="6968" spans="1:8" x14ac:dyDescent="0.25">
      <c r="A6968" s="219" t="s">
        <v>104</v>
      </c>
      <c r="B6968" s="219"/>
      <c r="C6968" s="219"/>
      <c r="D6968" s="219"/>
      <c r="E6968" s="219"/>
      <c r="F6968" s="219"/>
      <c r="G6968" s="52">
        <f>G6966+G6964</f>
        <v>268233.196</v>
      </c>
    </row>
    <row r="6970" spans="1:8" x14ac:dyDescent="0.25">
      <c r="A6970" s="74" t="s">
        <v>29</v>
      </c>
      <c r="B6970" s="226" t="s">
        <v>30</v>
      </c>
      <c r="C6970" s="226"/>
      <c r="D6970" s="74" t="s">
        <v>31</v>
      </c>
      <c r="E6970" s="74" t="s">
        <v>32</v>
      </c>
      <c r="F6970" s="74" t="s">
        <v>189</v>
      </c>
      <c r="G6970" s="74" t="s">
        <v>33</v>
      </c>
      <c r="H6970" s="105"/>
    </row>
    <row r="6971" spans="1:8" ht="27" customHeight="1" x14ac:dyDescent="0.25">
      <c r="A6971" s="50" t="str">
        <f>Presupuesto!B132</f>
        <v>111_OC</v>
      </c>
      <c r="B6971" s="229" t="str">
        <f>Presupuesto!C132</f>
        <v>IMPERMEABILIZACIÓN CON EDIL SUPER MANTO POLIESTER ST-P4 3KG/M3</v>
      </c>
      <c r="C6971" s="230"/>
      <c r="D6971" s="50" t="s">
        <v>113</v>
      </c>
      <c r="E6971" s="107">
        <v>10</v>
      </c>
      <c r="F6971" s="50"/>
      <c r="G6971" s="51">
        <f>G7036</f>
        <v>100794.00650000002</v>
      </c>
      <c r="H6971" s="45"/>
    </row>
    <row r="6972" spans="1:8" x14ac:dyDescent="0.25">
      <c r="A6972" s="219" t="s">
        <v>1961</v>
      </c>
      <c r="B6972" s="219"/>
      <c r="C6972" s="219"/>
      <c r="D6972" s="219"/>
      <c r="E6972" s="219"/>
      <c r="F6972" s="219"/>
      <c r="G6972" s="219"/>
    </row>
    <row r="6973" spans="1:8" x14ac:dyDescent="0.25">
      <c r="A6973" s="49" t="s">
        <v>35</v>
      </c>
      <c r="B6973" s="219" t="s">
        <v>36</v>
      </c>
      <c r="C6973" s="219"/>
      <c r="D6973" s="49" t="s">
        <v>37</v>
      </c>
      <c r="E6973" s="49" t="s">
        <v>38</v>
      </c>
      <c r="F6973" s="49" t="s">
        <v>39</v>
      </c>
      <c r="G6973" s="49" t="s">
        <v>40</v>
      </c>
    </row>
    <row r="6974" spans="1:8" x14ac:dyDescent="0.25">
      <c r="A6974" s="50" t="str">
        <f>Material!A652</f>
        <v>MA-651</v>
      </c>
      <c r="B6974" s="72" t="str">
        <f>IFERROR(VLOOKUP(A6974,Material!$A:$H,2,0),"-")</f>
        <v>IMPRIMANTE PARA MANTO EDIL</v>
      </c>
      <c r="C6974" s="76"/>
      <c r="D6974" s="50" t="str">
        <f>IFERROR(VLOOKUP(A6974,Material!$A:$H,4,0),"-")</f>
        <v>M2</v>
      </c>
      <c r="E6974" s="96">
        <v>1</v>
      </c>
      <c r="F6974" s="51">
        <f>IFERROR(VLOOKUP(A6974,Material!$A:$H,3,0),"-")</f>
        <v>22092.98</v>
      </c>
      <c r="G6974" s="51">
        <f>IFERROR(ROUNDUP(F6974*E6974,0),"-")</f>
        <v>22093</v>
      </c>
      <c r="H6974" s="106"/>
    </row>
    <row r="6975" spans="1:8" x14ac:dyDescent="0.25">
      <c r="A6975" s="50" t="str">
        <f>Material!A653</f>
        <v>MA-652</v>
      </c>
      <c r="B6975" s="72" t="str">
        <f>IFERROR(VLOOKUP(A6975,Material!$A:$H,2,0),"-")</f>
        <v>MANTO FIBER GLASS 3MM</v>
      </c>
      <c r="C6975" s="76"/>
      <c r="D6975" s="50" t="str">
        <f>IFERROR(VLOOKUP(A6975,Material!$A:$H,4,0),"-")</f>
        <v>M2</v>
      </c>
      <c r="E6975" s="23">
        <v>1</v>
      </c>
      <c r="F6975" s="51">
        <f>IFERROR(VLOOKUP(A6975,Material!$A:$H,3,0),"-")</f>
        <v>35656.621000000006</v>
      </c>
      <c r="G6975" s="51">
        <f>IFERROR(ROUNDUP(F6975*E6975,0),"-")</f>
        <v>35657</v>
      </c>
      <c r="H6975" s="106"/>
    </row>
    <row r="6976" spans="1:8" x14ac:dyDescent="0.25">
      <c r="A6976" s="50" t="str">
        <f>Material!A654</f>
        <v>MA-653</v>
      </c>
      <c r="B6976" s="72" t="str">
        <f>IFERROR(VLOOKUP(A6976,Material!$A:$H,2,0),"-")</f>
        <v>SOPLETE</v>
      </c>
      <c r="C6976" s="76"/>
      <c r="D6976" s="50" t="str">
        <f>IFERROR(VLOOKUP(A6976,Material!$A:$H,4,0),"-")</f>
        <v>DIA</v>
      </c>
      <c r="E6976" s="107">
        <v>0.02</v>
      </c>
      <c r="F6976" s="51">
        <f>IFERROR(VLOOKUP(A6976,Material!$A:$H,3,0),"-")</f>
        <v>63381.5</v>
      </c>
      <c r="G6976" s="51">
        <f>IFERROR(ROUNDUP(F6976*E6976,0),"-")</f>
        <v>1268</v>
      </c>
      <c r="H6976" s="106"/>
    </row>
    <row r="6977" spans="1:9" x14ac:dyDescent="0.25">
      <c r="A6977" s="50" t="str">
        <f>Material!A655</f>
        <v>MA-654</v>
      </c>
      <c r="B6977" s="72" t="str">
        <f>IFERROR(VLOOKUP(A6977,Material!$A:$H,2,0),"-")</f>
        <v>PIPA DE GAS</v>
      </c>
      <c r="C6977" s="76"/>
      <c r="D6977" s="50" t="str">
        <f>IFERROR(VLOOKUP(A6977,Material!$A:$H,4,0),"-")</f>
        <v>UN</v>
      </c>
      <c r="E6977" s="107">
        <v>0.02</v>
      </c>
      <c r="F6977" s="51">
        <f>IFERROR(VLOOKUP(A6977,Material!$A:$H,3,0),"-")</f>
        <v>129990.90000000001</v>
      </c>
      <c r="G6977" s="51">
        <f>IFERROR(ROUNDUP(F6977*E6977,0),"-")</f>
        <v>2600</v>
      </c>
      <c r="H6977" s="106"/>
    </row>
    <row r="6978" spans="1:9" x14ac:dyDescent="0.25">
      <c r="A6978" s="219" t="s">
        <v>41</v>
      </c>
      <c r="B6978" s="219"/>
      <c r="C6978" s="219"/>
      <c r="D6978" s="219"/>
      <c r="E6978" s="219"/>
      <c r="F6978" s="219"/>
      <c r="G6978" s="52">
        <f>SUM(G6974:G6977)</f>
        <v>61618</v>
      </c>
      <c r="I6978" s="104"/>
    </row>
    <row r="6979" spans="1:9" x14ac:dyDescent="0.25">
      <c r="A6979" s="56"/>
      <c r="B6979" s="57"/>
      <c r="C6979" s="57"/>
      <c r="D6979" s="57"/>
      <c r="E6979" s="57"/>
      <c r="F6979" s="57"/>
      <c r="G6979" s="58"/>
    </row>
    <row r="6980" spans="1:9" x14ac:dyDescent="0.25">
      <c r="A6980" s="219" t="s">
        <v>42</v>
      </c>
      <c r="B6980" s="219"/>
      <c r="C6980" s="219"/>
      <c r="D6980" s="219"/>
      <c r="E6980" s="219"/>
      <c r="F6980" s="219"/>
      <c r="G6980" s="219"/>
    </row>
    <row r="6981" spans="1:9" x14ac:dyDescent="0.25">
      <c r="A6981" s="49" t="s">
        <v>35</v>
      </c>
      <c r="B6981" s="49" t="s">
        <v>36</v>
      </c>
      <c r="C6981" s="49" t="s">
        <v>38</v>
      </c>
      <c r="D6981" s="49" t="s">
        <v>43</v>
      </c>
      <c r="E6981" s="49" t="s">
        <v>44</v>
      </c>
      <c r="F6981" s="49" t="s">
        <v>45</v>
      </c>
      <c r="G6981" s="49" t="s">
        <v>40</v>
      </c>
    </row>
    <row r="6982" spans="1:9" x14ac:dyDescent="0.25">
      <c r="A6982" s="50" t="s">
        <v>319</v>
      </c>
      <c r="B6982" s="68" t="str">
        <f>VLOOKUP(A6982,'Componentes APUs'!$H$1:$L$25,2,0)</f>
        <v>Ingeniero Residente de Obra</v>
      </c>
      <c r="C6982" s="93">
        <v>0</v>
      </c>
      <c r="D6982" s="50">
        <f>VLOOKUP(A6982,'Componentes APUs'!$H$1:$L$25,3,0)</f>
        <v>4</v>
      </c>
      <c r="E6982" s="51">
        <f>VLOOKUP(A6982,'Componentes APUs'!$H$1:$L$25,4,0)</f>
        <v>271142.85714285716</v>
      </c>
      <c r="F6982" s="51">
        <f>VLOOKUP(A6982,'Componentes APUs'!$H$1:$L$25,5,0)</f>
        <v>162685.71428571429</v>
      </c>
      <c r="G6982" s="51">
        <f>ROUNDUP((E6982+F6982)*C6982/E6971,0)</f>
        <v>0</v>
      </c>
      <c r="H6982" s="66"/>
    </row>
    <row r="6983" spans="1:9" x14ac:dyDescent="0.25">
      <c r="A6983" s="50" t="s">
        <v>320</v>
      </c>
      <c r="B6983" s="68" t="str">
        <f>VLOOKUP(A6983,'Componentes APUs'!$H$1:$L$25,2,0)</f>
        <v>Tecnico Supervisor</v>
      </c>
      <c r="C6983" s="93">
        <v>0</v>
      </c>
      <c r="D6983" s="50">
        <f>VLOOKUP(A6983,'Componentes APUs'!$H$1:$L$25,3,0)</f>
        <v>2.2999999999999998</v>
      </c>
      <c r="E6983" s="51">
        <f>VLOOKUP(A6983,'Componentes APUs'!$H$1:$L$25,4,0)</f>
        <v>155907.14285714284</v>
      </c>
      <c r="F6983" s="51">
        <f>VLOOKUP(A6983,'Componentes APUs'!$H$1:$L$25,5,0)</f>
        <v>93544.285714285696</v>
      </c>
      <c r="G6983" s="51">
        <f>ROUNDUP((E6983+F6983)*C6983/E6971,0)</f>
        <v>0</v>
      </c>
    </row>
    <row r="6984" spans="1:9" x14ac:dyDescent="0.25">
      <c r="A6984" s="50" t="s">
        <v>54</v>
      </c>
      <c r="B6984" s="68" t="str">
        <f>VLOOKUP(A6984,'Componentes APUs'!$H$1:$L$25,2,0)</f>
        <v>Maestro de obra civil</v>
      </c>
      <c r="C6984" s="93">
        <v>0</v>
      </c>
      <c r="D6984" s="50">
        <f>VLOOKUP(A6984,'Componentes APUs'!$H$1:$L$25,3,0)</f>
        <v>2.5</v>
      </c>
      <c r="E6984" s="51">
        <f>VLOOKUP(A6984,'Componentes APUs'!$H$1:$L$25,4,0)</f>
        <v>169464.28571428571</v>
      </c>
      <c r="F6984" s="51">
        <f>VLOOKUP(A6984,'Componentes APUs'!$H$1:$L$25,5,0)</f>
        <v>101678.57142857142</v>
      </c>
      <c r="G6984" s="51">
        <f>ROUNDUP((E6984+F6984)*C6984/E6971,0)</f>
        <v>0</v>
      </c>
    </row>
    <row r="6985" spans="1:9" x14ac:dyDescent="0.25">
      <c r="A6985" s="50" t="s">
        <v>1110</v>
      </c>
      <c r="B6985" s="68" t="str">
        <f>VLOOKUP(A6985,'Componentes APUs'!$H$1:$L$25,2,0)</f>
        <v>Oficial de Obra Civil</v>
      </c>
      <c r="C6985" s="93">
        <v>0.25</v>
      </c>
      <c r="D6985" s="50">
        <f>VLOOKUP(A6985,'Componentes APUs'!$H$1:$L$25,3,0)</f>
        <v>1.5</v>
      </c>
      <c r="E6985" s="51">
        <f>VLOOKUP(A6985,'Componentes APUs'!$H$1:$L$25,4,0)</f>
        <v>115964.28571428571</v>
      </c>
      <c r="F6985" s="51">
        <f>VLOOKUP(A6985,'Componentes APUs'!$H$1:$L$25,5,0)</f>
        <v>69578.57142857142</v>
      </c>
      <c r="G6985" s="51">
        <f>ROUNDUP((E6985+F6985)*C6985/E6971,0)</f>
        <v>4639</v>
      </c>
    </row>
    <row r="6986" spans="1:9" x14ac:dyDescent="0.25">
      <c r="A6986" s="50" t="s">
        <v>50</v>
      </c>
      <c r="B6986" s="68" t="str">
        <f>VLOOKUP(A6986,'Componentes APUs'!$H$1:$L$25,2,0)</f>
        <v>Profesional en SST</v>
      </c>
      <c r="C6986" s="93">
        <v>0</v>
      </c>
      <c r="D6986" s="50">
        <f>VLOOKUP(A6986,'Componentes APUs'!$H$1:$L$25,3,0)</f>
        <v>2.5</v>
      </c>
      <c r="E6986" s="51">
        <f>VLOOKUP(A6986,'Componentes APUs'!$H$1:$L$25,4,0)</f>
        <v>169464.28571428571</v>
      </c>
      <c r="F6986" s="51">
        <f>VLOOKUP(A6986,'Componentes APUs'!$H$1:$L$25,5,0)</f>
        <v>101678.57142857142</v>
      </c>
      <c r="G6986" s="51">
        <f>ROUNDUP((E6986+F6986)*C6986/E6971,0)</f>
        <v>0</v>
      </c>
    </row>
    <row r="6987" spans="1:9" x14ac:dyDescent="0.25">
      <c r="A6987" s="50" t="s">
        <v>1109</v>
      </c>
      <c r="B6987" s="68" t="str">
        <f>VLOOKUP(A6987,'Componentes APUs'!$H$1:$L$25,2,0)</f>
        <v>Ayudante de Obra Civil</v>
      </c>
      <c r="C6987" s="93">
        <v>1</v>
      </c>
      <c r="D6987" s="50">
        <f>VLOOKUP(A6987,'Componentes APUs'!$H$1:$L$25,3,0)</f>
        <v>1</v>
      </c>
      <c r="E6987" s="51">
        <f>VLOOKUP(A6987,'Componentes APUs'!$H$1:$L$25,4,0)</f>
        <v>77309.523809523816</v>
      </c>
      <c r="F6987" s="51">
        <f>VLOOKUP(A6987,'Componentes APUs'!$H$1:$L$25,5,0)</f>
        <v>46385.71428571429</v>
      </c>
      <c r="G6987" s="51">
        <f>ROUNDUP((E6987+F6987)*C6987/E6971,0)</f>
        <v>12370</v>
      </c>
    </row>
    <row r="6988" spans="1:9" x14ac:dyDescent="0.25">
      <c r="A6988" s="219" t="s">
        <v>56</v>
      </c>
      <c r="B6988" s="219"/>
      <c r="C6988" s="219"/>
      <c r="D6988" s="219"/>
      <c r="E6988" s="219"/>
      <c r="F6988" s="219"/>
      <c r="G6988" s="52">
        <f>SUM(G6982:G6987)</f>
        <v>17009</v>
      </c>
    </row>
    <row r="6989" spans="1:9" x14ac:dyDescent="0.25">
      <c r="A6989" s="56"/>
      <c r="B6989" s="57"/>
      <c r="C6989" s="57"/>
      <c r="D6989" s="57"/>
      <c r="E6989" s="57"/>
      <c r="F6989" s="57"/>
      <c r="G6989" s="58"/>
    </row>
    <row r="6990" spans="1:9" x14ac:dyDescent="0.25">
      <c r="A6990" s="219" t="s">
        <v>57</v>
      </c>
      <c r="B6990" s="219"/>
      <c r="C6990" s="219"/>
      <c r="D6990" s="219"/>
      <c r="E6990" s="219"/>
      <c r="F6990" s="219"/>
      <c r="G6990" s="219"/>
    </row>
    <row r="6991" spans="1:9" x14ac:dyDescent="0.25">
      <c r="A6991" s="49" t="s">
        <v>35</v>
      </c>
      <c r="B6991" s="219" t="s">
        <v>36</v>
      </c>
      <c r="C6991" s="219"/>
      <c r="D6991" s="49" t="s">
        <v>37</v>
      </c>
      <c r="E6991" s="49" t="s">
        <v>38</v>
      </c>
      <c r="F6991" s="49" t="s">
        <v>39</v>
      </c>
      <c r="G6991" s="49" t="s">
        <v>40</v>
      </c>
    </row>
    <row r="6992" spans="1:9" x14ac:dyDescent="0.25">
      <c r="A6992" s="50" t="s">
        <v>326</v>
      </c>
      <c r="B6992" s="220" t="str">
        <f>VLOOKUP(A6992,'Componentes APUs'!$S$1:$V$10,2,0)</f>
        <v>Juego Llaves</v>
      </c>
      <c r="C6992" s="220"/>
      <c r="D6992" s="50" t="s">
        <v>18</v>
      </c>
      <c r="E6992" s="50">
        <v>0</v>
      </c>
      <c r="F6992" s="51">
        <f>VLOOKUP(A6992,'Componentes APUs'!$S$1:$V$10,4,0)</f>
        <v>9167</v>
      </c>
      <c r="G6992" s="51">
        <f>ROUNDUP(F6992*((E6992/21)/E6971),0)</f>
        <v>0</v>
      </c>
      <c r="I6992" s="91"/>
    </row>
    <row r="6993" spans="1:9" x14ac:dyDescent="0.25">
      <c r="A6993" s="50" t="s">
        <v>58</v>
      </c>
      <c r="B6993" s="220" t="str">
        <f>VLOOKUP(A6993,'Componentes APUs'!$S$1:$V$10,2,0)</f>
        <v>Manila de servicio</v>
      </c>
      <c r="C6993" s="220"/>
      <c r="D6993" s="50" t="s">
        <v>18</v>
      </c>
      <c r="E6993" s="50">
        <v>0</v>
      </c>
      <c r="F6993" s="51">
        <f>VLOOKUP(A6993,'Componentes APUs'!$S$1:$V$10,4,0)</f>
        <v>2333</v>
      </c>
      <c r="G6993" s="51">
        <f>ROUNDUP(F6993*((E6993/21)/E6971),0)</f>
        <v>0</v>
      </c>
    </row>
    <row r="6994" spans="1:9" x14ac:dyDescent="0.25">
      <c r="A6994" s="50" t="s">
        <v>327</v>
      </c>
      <c r="B6994" s="220" t="str">
        <f>VLOOKUP(A6994,'Componentes APUs'!$S$1:$V$10,2,0)</f>
        <v>Tula portaherramientas</v>
      </c>
      <c r="C6994" s="220"/>
      <c r="D6994" s="50" t="s">
        <v>18</v>
      </c>
      <c r="E6994" s="50">
        <v>0</v>
      </c>
      <c r="F6994" s="51">
        <f>VLOOKUP(A6994,'Componentes APUs'!$S$1:$V$10,4,0)</f>
        <v>1250</v>
      </c>
      <c r="G6994" s="51">
        <f>ROUNDUP(F6994*((E6994/21)/E6971),0)</f>
        <v>0</v>
      </c>
    </row>
    <row r="6995" spans="1:9" x14ac:dyDescent="0.25">
      <c r="A6995" s="50" t="s">
        <v>60</v>
      </c>
      <c r="B6995" s="220" t="str">
        <f>VLOOKUP(A6995,'Componentes APUs'!$S$1:$V$10,2,0)</f>
        <v>Agarradoras</v>
      </c>
      <c r="C6995" s="220"/>
      <c r="D6995" s="50" t="s">
        <v>18</v>
      </c>
      <c r="E6995" s="50">
        <v>0</v>
      </c>
      <c r="F6995" s="51">
        <f>VLOOKUP(A6995,'Componentes APUs'!$S$1:$V$10,4,0)</f>
        <v>125000</v>
      </c>
      <c r="G6995" s="51">
        <f>ROUNDUP(F6995*((E6995/21)/E6971),0)</f>
        <v>0</v>
      </c>
    </row>
    <row r="6996" spans="1:9" x14ac:dyDescent="0.25">
      <c r="A6996" s="50" t="s">
        <v>62</v>
      </c>
      <c r="B6996" s="220" t="str">
        <f>VLOOKUP(A6996,'Componentes APUs'!$S$1:$V$10,2,0)</f>
        <v>Templadoras</v>
      </c>
      <c r="C6996" s="220"/>
      <c r="D6996" s="50" t="s">
        <v>18</v>
      </c>
      <c r="E6996" s="50">
        <v>0</v>
      </c>
      <c r="F6996" s="51">
        <f>VLOOKUP(A6996,'Componentes APUs'!$S$1:$V$10,4,0)</f>
        <v>250000</v>
      </c>
      <c r="G6996" s="51">
        <f>ROUNDUP(F6996*((E6996/21)/E6971),0)</f>
        <v>0</v>
      </c>
    </row>
    <row r="6997" spans="1:9" x14ac:dyDescent="0.25">
      <c r="A6997" s="50" t="s">
        <v>328</v>
      </c>
      <c r="B6997" s="220" t="str">
        <f>VLOOKUP(A6997,'Componentes APUs'!$S$1:$V$10,2,0)</f>
        <v>Herramienta Menor</v>
      </c>
      <c r="C6997" s="220"/>
      <c r="D6997" s="50" t="s">
        <v>18</v>
      </c>
      <c r="E6997" s="50">
        <v>3</v>
      </c>
      <c r="F6997" s="51">
        <f>VLOOKUP(A6997,'Componentes APUs'!$S$1:$V$10,4,0)</f>
        <v>75758</v>
      </c>
      <c r="G6997" s="51">
        <f>ROUNDUP(F6997*((E6997/21)/E6971),0)</f>
        <v>1083</v>
      </c>
    </row>
    <row r="6998" spans="1:9" x14ac:dyDescent="0.25">
      <c r="A6998" s="219" t="s">
        <v>69</v>
      </c>
      <c r="B6998" s="219"/>
      <c r="C6998" s="219"/>
      <c r="D6998" s="219"/>
      <c r="E6998" s="219"/>
      <c r="F6998" s="219"/>
      <c r="G6998" s="52">
        <f>SUM(G6992:G6997)</f>
        <v>1083</v>
      </c>
    </row>
    <row r="6999" spans="1:9" x14ac:dyDescent="0.25">
      <c r="A6999" s="56"/>
      <c r="B6999" s="57"/>
      <c r="C6999" s="57"/>
      <c r="D6999" s="57"/>
      <c r="E6999" s="57"/>
      <c r="F6999" s="57"/>
      <c r="G6999" s="58"/>
    </row>
    <row r="7000" spans="1:9" x14ac:dyDescent="0.25">
      <c r="A7000" s="219" t="s">
        <v>70</v>
      </c>
      <c r="B7000" s="219"/>
      <c r="C7000" s="219"/>
      <c r="D7000" s="219"/>
      <c r="E7000" s="219"/>
      <c r="F7000" s="219"/>
      <c r="G7000" s="219"/>
    </row>
    <row r="7001" spans="1:9" x14ac:dyDescent="0.25">
      <c r="A7001" s="49" t="s">
        <v>35</v>
      </c>
      <c r="B7001" s="219" t="s">
        <v>36</v>
      </c>
      <c r="C7001" s="219"/>
      <c r="D7001" s="49" t="s">
        <v>37</v>
      </c>
      <c r="E7001" s="49" t="s">
        <v>38</v>
      </c>
      <c r="F7001" s="49" t="s">
        <v>39</v>
      </c>
      <c r="G7001" s="49" t="s">
        <v>40</v>
      </c>
    </row>
    <row r="7002" spans="1:9" x14ac:dyDescent="0.25">
      <c r="A7002" s="50" t="s">
        <v>71</v>
      </c>
      <c r="B7002" s="71" t="str">
        <f>VLOOKUP(A7002,'Componentes APUs'!$A$1:$D$14,2,0)</f>
        <v>Camisa indigo sin partes metalicas</v>
      </c>
      <c r="C7002" s="71"/>
      <c r="D7002" s="50" t="str">
        <f>VLOOKUP(A7002,'Componentes APUs'!$A$1:$D$14,3,0)</f>
        <v>U</v>
      </c>
      <c r="E7002" s="50">
        <f>SUM(C6982:C6987)</f>
        <v>1.25</v>
      </c>
      <c r="F7002" s="51">
        <f>VLOOKUP(A7002,'Componentes APUs'!$A$1:$D$14,4,0)</f>
        <v>8585.8585858585866</v>
      </c>
      <c r="G7002" s="51">
        <f>ROUNDUP(F7002*(E7002/21)/E6971,0)</f>
        <v>52</v>
      </c>
      <c r="I7002" s="91"/>
    </row>
    <row r="7003" spans="1:9" x14ac:dyDescent="0.25">
      <c r="A7003" s="69" t="s">
        <v>73</v>
      </c>
      <c r="B7003" s="72" t="str">
        <f>VLOOKUP(A7003,'Componentes APUs'!$A$1:$D$14,2,0)</f>
        <v>Bota de seguridad dielectrica</v>
      </c>
      <c r="C7003" s="73"/>
      <c r="D7003" s="70" t="str">
        <f>VLOOKUP(A7003,'Componentes APUs'!$A$1:$D$14,3,0)</f>
        <v>Par</v>
      </c>
      <c r="E7003" s="50">
        <f>SUM(C6982:C6987)</f>
        <v>1.25</v>
      </c>
      <c r="F7003" s="51">
        <f>VLOOKUP(A7003,'Componentes APUs'!$A$1:$D$14,4,0)</f>
        <v>7500</v>
      </c>
      <c r="G7003" s="51">
        <f>ROUNDUP(F7003*(E7003/21)/E6971,0)</f>
        <v>45</v>
      </c>
    </row>
    <row r="7004" spans="1:9" x14ac:dyDescent="0.25">
      <c r="A7004" s="50" t="s">
        <v>76</v>
      </c>
      <c r="B7004" s="72" t="str">
        <f>VLOOKUP(A7004,'Componentes APUs'!$A$1:$D$14,2,0)</f>
        <v>Casco dielectrico Tipo 1 Clase E con barbuquejo</v>
      </c>
      <c r="C7004" s="73"/>
      <c r="D7004" s="50" t="str">
        <f>VLOOKUP(A7004,'Componentes APUs'!$A$1:$D$14,3,0)</f>
        <v>U</v>
      </c>
      <c r="E7004" s="50">
        <f>C6982+C6983+C6985+C6986+C6987+IF(A6984&lt;&gt;"MO-3",C6984,0)</f>
        <v>1.25</v>
      </c>
      <c r="F7004" s="51">
        <f>VLOOKUP(A7004,'Componentes APUs'!$A$1:$D$14,4,0)</f>
        <v>10101.010101010101</v>
      </c>
      <c r="G7004" s="51">
        <f>ROUNDUP(F7004*(E7004/21)/E6971,0)</f>
        <v>61</v>
      </c>
    </row>
    <row r="7005" spans="1:9" x14ac:dyDescent="0.25">
      <c r="A7005" s="69" t="s">
        <v>77</v>
      </c>
      <c r="B7005" s="72" t="str">
        <f>VLOOKUP(A7005,'Componentes APUs'!$A$1:$D$14,2,0)</f>
        <v>Correa plastica y antiflama</v>
      </c>
      <c r="C7005" s="73"/>
      <c r="D7005" s="50" t="str">
        <f>VLOOKUP(A7005,'Componentes APUs'!$A$1:$D$14,3,0)</f>
        <v>U</v>
      </c>
      <c r="E7005" s="50">
        <f>SUM(C6982:C6987)</f>
        <v>1.25</v>
      </c>
      <c r="F7005" s="51">
        <f>VLOOKUP(A7005,'Componentes APUs'!$A$1:$D$14,4,0)</f>
        <v>3787.878787878788</v>
      </c>
      <c r="G7005" s="51">
        <f>ROUNDUP(F7005*(E7005/21)/E6971,0)</f>
        <v>23</v>
      </c>
    </row>
    <row r="7006" spans="1:9" x14ac:dyDescent="0.25">
      <c r="A7006" s="50" t="s">
        <v>79</v>
      </c>
      <c r="B7006" s="72" t="str">
        <f>VLOOKUP(A7006,'Componentes APUs'!$A$1:$D$14,2,0)</f>
        <v>Gafas protectoras filtro UV</v>
      </c>
      <c r="C7006" s="73"/>
      <c r="D7006" s="50" t="str">
        <f>VLOOKUP(A7006,'Componentes APUs'!$A$1:$D$14,3,0)</f>
        <v>U</v>
      </c>
      <c r="E7006" s="50">
        <f>SUM(C6982:C6987)</f>
        <v>1.25</v>
      </c>
      <c r="F7006" s="51">
        <f>VLOOKUP(A7006,'Componentes APUs'!$A$1:$D$14,4,0)</f>
        <v>2777.7777777777778</v>
      </c>
      <c r="G7006" s="51">
        <f>ROUNDUP(F7006*(E7006/21)/E6971,0)</f>
        <v>17</v>
      </c>
    </row>
    <row r="7007" spans="1:9" x14ac:dyDescent="0.25">
      <c r="A7007" s="69" t="s">
        <v>402</v>
      </c>
      <c r="B7007" s="72" t="str">
        <f>VLOOKUP(A7007,'Componentes APUs'!$A$1:$D$14,2,0)</f>
        <v>Bota de seguridad PVC dielectrica</v>
      </c>
      <c r="C7007" s="73"/>
      <c r="D7007" s="50" t="str">
        <f>VLOOKUP(A7007,'Componentes APUs'!$A$1:$D$14,3,0)</f>
        <v>Par</v>
      </c>
      <c r="E7007" s="50">
        <f>SUM(C6982:C6987)</f>
        <v>1.25</v>
      </c>
      <c r="F7007" s="51">
        <f>VLOOKUP(A7007,'Componentes APUs'!$A$1:$D$14,4,0)</f>
        <v>2916.6666666666665</v>
      </c>
      <c r="G7007" s="51">
        <f>ROUNDUP(F7007*(E7007/21)/E6971,0)</f>
        <v>18</v>
      </c>
    </row>
    <row r="7008" spans="1:9" x14ac:dyDescent="0.25">
      <c r="A7008" s="50" t="s">
        <v>403</v>
      </c>
      <c r="B7008" s="72" t="str">
        <f>VLOOKUP(A7008,'Componentes APUs'!$A$1:$D$14,2,0)</f>
        <v>Capuchon</v>
      </c>
      <c r="C7008" s="73"/>
      <c r="D7008" s="50" t="str">
        <f>VLOOKUP(A7008,'Componentes APUs'!$A$1:$D$14,3,0)</f>
        <v>U</v>
      </c>
      <c r="E7008" s="50">
        <f>SUM(C6982:C6987)</f>
        <v>1.25</v>
      </c>
      <c r="F7008" s="51">
        <f>VLOOKUP(A7008,'Componentes APUs'!$A$1:$D$14,4,0)</f>
        <v>2525.2525252525252</v>
      </c>
      <c r="G7008" s="51">
        <f>ROUNDUP(F7008*(E7008/21)/E6971,0)</f>
        <v>16</v>
      </c>
    </row>
    <row r="7009" spans="1:7" x14ac:dyDescent="0.25">
      <c r="A7009" s="69" t="s">
        <v>81</v>
      </c>
      <c r="B7009" s="72" t="str">
        <f>VLOOKUP(A7009,'Componentes APUs'!$A$1:$D$14,2,0)</f>
        <v>Guantes Protectores  - ingeniero reforzados</v>
      </c>
      <c r="C7009" s="73"/>
      <c r="D7009" s="50" t="str">
        <f>VLOOKUP(A7009,'Componentes APUs'!$A$1:$D$14,3,0)</f>
        <v>Par</v>
      </c>
      <c r="E7009" s="50">
        <f>C6984+C6985+C6987</f>
        <v>1.25</v>
      </c>
      <c r="F7009" s="51">
        <f>VLOOKUP(A7009,'Componentes APUs'!$A$1:$D$14,4,0)</f>
        <v>2525.2525252525252</v>
      </c>
      <c r="G7009" s="51">
        <f>ROUNDUP(F7009*(E7009/21)/E6971,0)</f>
        <v>16</v>
      </c>
    </row>
    <row r="7010" spans="1:7" x14ac:dyDescent="0.25">
      <c r="A7010" s="50" t="s">
        <v>83</v>
      </c>
      <c r="B7010" s="72" t="str">
        <f>VLOOKUP(A7010,'Componentes APUs'!$A$1:$D$14,2,0)</f>
        <v>Impermeable (pantalon camisa)</v>
      </c>
      <c r="C7010" s="73"/>
      <c r="D7010" s="50" t="str">
        <f>VLOOKUP(A7010,'Componentes APUs'!$A$1:$D$14,3,0)</f>
        <v>U</v>
      </c>
      <c r="E7010" s="50">
        <f>SUM(C6982:C6987)</f>
        <v>1.25</v>
      </c>
      <c r="F7010" s="51">
        <f>VLOOKUP(A7010,'Componentes APUs'!$A$1:$D$14,4,0)</f>
        <v>3750</v>
      </c>
      <c r="G7010" s="51">
        <f>ROUNDUP(F7010*(E7010/21)/E6971,0)</f>
        <v>23</v>
      </c>
    </row>
    <row r="7011" spans="1:7" x14ac:dyDescent="0.25">
      <c r="A7011" s="69" t="s">
        <v>85</v>
      </c>
      <c r="B7011" s="72" t="str">
        <f>VLOOKUP(A7011,'Componentes APUs'!$A$1:$D$14,2,0)</f>
        <v>Jean Dielectrico</v>
      </c>
      <c r="C7011" s="73"/>
      <c r="D7011" s="50" t="str">
        <f>VLOOKUP(A7011,'Componentes APUs'!$A$1:$D$14,3,0)</f>
        <v>U</v>
      </c>
      <c r="E7011" s="50">
        <f>SUM(C6982:C6987)</f>
        <v>1.25</v>
      </c>
      <c r="F7011" s="51">
        <f>VLOOKUP(A7011,'Componentes APUs'!$A$1:$D$14,4,0)</f>
        <v>7575.757575757576</v>
      </c>
      <c r="G7011" s="51">
        <f>ROUNDUP(F7011*(E7011/21)/E6971,0)</f>
        <v>46</v>
      </c>
    </row>
    <row r="7012" spans="1:7" x14ac:dyDescent="0.25">
      <c r="A7012" s="50" t="s">
        <v>87</v>
      </c>
      <c r="B7012" s="72" t="str">
        <f>VLOOKUP(A7012,'Componentes APUs'!$A$1:$D$14,2,0)</f>
        <v>Casco dielectrico Tipo 2 Clase E con barboquejo</v>
      </c>
      <c r="C7012" s="73"/>
      <c r="D7012" s="50" t="str">
        <f>VLOOKUP(A7012,'Componentes APUs'!$A$1:$D$14,3,0)</f>
        <v>U</v>
      </c>
      <c r="E7012" s="53">
        <f>IF(A6984="MO-3",C6984,0)</f>
        <v>0</v>
      </c>
      <c r="F7012" s="51">
        <f>VLOOKUP(A7012,'Componentes APUs'!$A$1:$D$14,4,0)</f>
        <v>7500</v>
      </c>
      <c r="G7012" s="51">
        <f>ROUNDUP(F7012*(E7012/21)/E6971,0)</f>
        <v>0</v>
      </c>
    </row>
    <row r="7013" spans="1:7" x14ac:dyDescent="0.25">
      <c r="A7013" s="69" t="s">
        <v>89</v>
      </c>
      <c r="B7013" s="72" t="str">
        <f>VLOOKUP(A7013,'Componentes APUs'!$A$1:$D$14,2,0)</f>
        <v>Kit de rescate para trabajo en alturas</v>
      </c>
      <c r="C7013" s="73"/>
      <c r="D7013" s="50" t="str">
        <f>VLOOKUP(A7013,'Componentes APUs'!$A$1:$D$14,3,0)</f>
        <v>U</v>
      </c>
      <c r="E7013" s="50">
        <f>IF(AND(A6984="MO-3",C6984=2),1,0)</f>
        <v>0</v>
      </c>
      <c r="F7013" s="51">
        <f>VLOOKUP(A7013,'Componentes APUs'!$A$1:$D$14,4,0)</f>
        <v>37500</v>
      </c>
      <c r="G7013" s="51">
        <f>ROUNDUP(F7013*(E7013/21)/E6971,0)</f>
        <v>0</v>
      </c>
    </row>
    <row r="7014" spans="1:7" x14ac:dyDescent="0.25">
      <c r="A7014" s="50" t="s">
        <v>91</v>
      </c>
      <c r="B7014" s="72" t="str">
        <f>VLOOKUP(A7014,'Componentes APUs'!$A$1:$D$14,2,0)</f>
        <v>Equipo completo para trabajo en alturas con pretales (Arnes dielectrico, 1 mosqueton de seguridad, tie off dielectrico, eslinga de posicionamiento, juego de pretales)</v>
      </c>
      <c r="C7014" s="73"/>
      <c r="D7014" s="50" t="str">
        <f>VLOOKUP(A7014,'Componentes APUs'!$A$1:$D$14,3,0)</f>
        <v>U</v>
      </c>
      <c r="E7014" s="50">
        <f>IF(A6984="MO-3",C6984,0)</f>
        <v>0</v>
      </c>
      <c r="F7014" s="51">
        <f>VLOOKUP(A7014,'Componentes APUs'!$A$1:$D$14,4,0)</f>
        <v>26041.666666666668</v>
      </c>
      <c r="G7014" s="51">
        <f>ROUNDUP(F7014*(E7014/21)/E6971,0)</f>
        <v>0</v>
      </c>
    </row>
    <row r="7015" spans="1:7" x14ac:dyDescent="0.25">
      <c r="A7015" s="219" t="s">
        <v>95</v>
      </c>
      <c r="B7015" s="219"/>
      <c r="C7015" s="219"/>
      <c r="D7015" s="219"/>
      <c r="E7015" s="219"/>
      <c r="F7015" s="219"/>
      <c r="G7015" s="52">
        <f>SUM(G7002:G7014)</f>
        <v>317</v>
      </c>
    </row>
    <row r="7016" spans="1:7" x14ac:dyDescent="0.25">
      <c r="A7016" s="56"/>
      <c r="B7016" s="57"/>
      <c r="C7016" s="57"/>
      <c r="D7016" s="57"/>
      <c r="E7016" s="57"/>
      <c r="F7016" s="57"/>
      <c r="G7016" s="58"/>
    </row>
    <row r="7017" spans="1:7" x14ac:dyDescent="0.25">
      <c r="A7017" s="219" t="s">
        <v>96</v>
      </c>
      <c r="B7017" s="219"/>
      <c r="C7017" s="219"/>
      <c r="D7017" s="219"/>
      <c r="E7017" s="219"/>
      <c r="F7017" s="219"/>
      <c r="G7017" s="219"/>
    </row>
    <row r="7018" spans="1:7" x14ac:dyDescent="0.25">
      <c r="A7018" s="49" t="s">
        <v>35</v>
      </c>
      <c r="B7018" s="225" t="s">
        <v>36</v>
      </c>
      <c r="C7018" s="225"/>
      <c r="D7018" s="49" t="s">
        <v>37</v>
      </c>
      <c r="E7018" s="49" t="s">
        <v>38</v>
      </c>
      <c r="F7018" s="49" t="s">
        <v>39</v>
      </c>
      <c r="G7018" s="49" t="s">
        <v>40</v>
      </c>
    </row>
    <row r="7019" spans="1:7" x14ac:dyDescent="0.25">
      <c r="A7019" s="69" t="s">
        <v>97</v>
      </c>
      <c r="B7019" s="72" t="str">
        <f>VLOOKUP(A7019,'Componentes APUs'!$N$1:$Q$30,2,0)</f>
        <v>Camioneta</v>
      </c>
      <c r="C7019" s="73"/>
      <c r="D7019" s="70" t="str">
        <f>VLOOKUP(A7019,'Componentes APUs'!$N$1:$Q$30,3,0)</f>
        <v>U</v>
      </c>
      <c r="E7019" s="50">
        <v>0</v>
      </c>
      <c r="F7019" s="51">
        <f>VLOOKUP(A7019,'Componentes APUs'!$N$1:$Q$30,4,0)</f>
        <v>5500000</v>
      </c>
      <c r="G7019" s="51">
        <f>IFERROR(ROUNDUP(F7019*(E7019/21)/E6971,0),"-")</f>
        <v>0</v>
      </c>
    </row>
    <row r="7020" spans="1:7" x14ac:dyDescent="0.25">
      <c r="A7020" s="50" t="s">
        <v>321</v>
      </c>
      <c r="B7020" s="72" t="str">
        <f>VLOOKUP(A7020,'Componentes APUs'!$N$1:$Q$30,2,0)</f>
        <v>Grúa Hidráulica</v>
      </c>
      <c r="C7020" s="73"/>
      <c r="D7020" s="70" t="str">
        <f>VLOOKUP(A7020,'Componentes APUs'!$N$1:$Q$30,3,0)</f>
        <v>U</v>
      </c>
      <c r="E7020" s="50">
        <v>0</v>
      </c>
      <c r="F7020" s="51">
        <f>VLOOKUP(A7020,'Componentes APUs'!$N$1:$Q$30,4,0)</f>
        <v>21000000</v>
      </c>
      <c r="G7020" s="51">
        <f>IFERROR(ROUNDUP(F7020*(E7020/21)/E6971,0),"-")</f>
        <v>0</v>
      </c>
    </row>
    <row r="7021" spans="1:7" x14ac:dyDescent="0.25">
      <c r="A7021" s="69" t="s">
        <v>1379</v>
      </c>
      <c r="B7021" s="72" t="str">
        <f>VLOOKUP(A7021,'Componentes APUs'!$N$1:$Q$30,2,0)</f>
        <v>Dumper de descarga Frontal 2T</v>
      </c>
      <c r="C7021" s="73"/>
      <c r="D7021" s="70" t="str">
        <f>VLOOKUP(A7021,'Componentes APUs'!$N$1:$Q$30,3,0)</f>
        <v>U</v>
      </c>
      <c r="E7021" s="50">
        <v>0</v>
      </c>
      <c r="F7021" s="51">
        <f>VLOOKUP(A7021,'Componentes APUs'!$N$1:$Q$30,4,0)</f>
        <v>4438716.24</v>
      </c>
      <c r="G7021" s="51">
        <f>IFERROR(ROUNDUP(F7021*(E7021/21)/E6971,0),"-")</f>
        <v>0</v>
      </c>
    </row>
    <row r="7022" spans="1:7" x14ac:dyDescent="0.25">
      <c r="A7022" s="50" t="s">
        <v>323</v>
      </c>
      <c r="B7022" s="72" t="str">
        <f>VLOOKUP(A7022,'Componentes APUs'!$N$1:$Q$30,2,0)</f>
        <v>Volqueta</v>
      </c>
      <c r="C7022" s="73"/>
      <c r="D7022" s="70" t="str">
        <f>VLOOKUP(A7022,'Componentes APUs'!$N$1:$Q$30,3,0)</f>
        <v>U</v>
      </c>
      <c r="E7022" s="50">
        <v>0</v>
      </c>
      <c r="F7022" s="51">
        <f>VLOOKUP(A7022,'Componentes APUs'!$N$1:$Q$30,4,0)</f>
        <v>14828184</v>
      </c>
      <c r="G7022" s="51">
        <f>IFERROR(ROUNDUP(F7022*(E7022/21)/E6971,0),"-")</f>
        <v>0</v>
      </c>
    </row>
    <row r="7023" spans="1:7" x14ac:dyDescent="0.25">
      <c r="A7023" s="69" t="s">
        <v>324</v>
      </c>
      <c r="B7023" s="72" t="str">
        <f>VLOOKUP(A7023,'Componentes APUs'!$N$1:$Q$30,2,0)</f>
        <v>Retroexcavadora</v>
      </c>
      <c r="C7023" s="73"/>
      <c r="D7023" s="70" t="str">
        <f>VLOOKUP(A7023,'Componentes APUs'!$N$1:$Q$30,3,0)</f>
        <v>U</v>
      </c>
      <c r="E7023" s="50">
        <v>0</v>
      </c>
      <c r="F7023" s="51">
        <f>VLOOKUP(A7023,'Componentes APUs'!$N$1:$Q$30,4,0)</f>
        <v>46030656</v>
      </c>
      <c r="G7023" s="51">
        <f>IFERROR(ROUNDUP(F7023*(E7023/21)/E6971,0),"-")</f>
        <v>0</v>
      </c>
    </row>
    <row r="7024" spans="1:7" x14ac:dyDescent="0.25">
      <c r="A7024" s="219" t="s">
        <v>99</v>
      </c>
      <c r="B7024" s="219"/>
      <c r="C7024" s="219"/>
      <c r="D7024" s="219"/>
      <c r="E7024" s="219"/>
      <c r="F7024" s="219"/>
      <c r="G7024" s="52">
        <f>SUM(G7019:G7023)</f>
        <v>0</v>
      </c>
    </row>
    <row r="7025" spans="1:8" x14ac:dyDescent="0.25">
      <c r="A7025" s="56"/>
      <c r="B7025" s="57"/>
      <c r="C7025" s="57"/>
      <c r="D7025" s="57"/>
      <c r="E7025" s="57"/>
      <c r="F7025" s="57"/>
      <c r="G7025" s="58"/>
    </row>
    <row r="7026" spans="1:8" x14ac:dyDescent="0.25">
      <c r="A7026" s="219" t="s">
        <v>100</v>
      </c>
      <c r="B7026" s="219"/>
      <c r="C7026" s="219"/>
      <c r="D7026" s="219"/>
      <c r="E7026" s="219"/>
      <c r="F7026" s="219"/>
      <c r="G7026" s="52">
        <f>G7024+G7015+G6998+G6988+G6978</f>
        <v>80027</v>
      </c>
    </row>
    <row r="7027" spans="1:8" x14ac:dyDescent="0.25">
      <c r="A7027" s="59"/>
      <c r="B7027" s="60"/>
      <c r="C7027" s="60"/>
      <c r="D7027" s="60"/>
      <c r="E7027" s="57"/>
      <c r="F7027" s="57"/>
      <c r="G7027" s="58"/>
    </row>
    <row r="7028" spans="1:8" x14ac:dyDescent="0.25">
      <c r="A7028" s="64"/>
      <c r="D7028" s="55"/>
      <c r="E7028" s="49" t="s">
        <v>25</v>
      </c>
      <c r="F7028" s="54">
        <v>0.15</v>
      </c>
      <c r="G7028" s="51">
        <f>G7026*F7028</f>
        <v>12004.05</v>
      </c>
    </row>
    <row r="7029" spans="1:8" x14ac:dyDescent="0.25">
      <c r="A7029" s="64"/>
      <c r="D7029" s="55"/>
      <c r="E7029" s="49" t="s">
        <v>26</v>
      </c>
      <c r="F7029" s="54">
        <v>0.05</v>
      </c>
      <c r="G7029" s="51">
        <f>G7026*F7029</f>
        <v>4001.3500000000004</v>
      </c>
    </row>
    <row r="7030" spans="1:8" x14ac:dyDescent="0.25">
      <c r="A7030" s="61"/>
      <c r="B7030" s="65"/>
      <c r="C7030" s="65"/>
      <c r="D7030" s="62"/>
      <c r="E7030" s="49" t="s">
        <v>27</v>
      </c>
      <c r="F7030" s="54">
        <v>0.05</v>
      </c>
      <c r="G7030" s="51">
        <f>G7026*F7030</f>
        <v>4001.3500000000004</v>
      </c>
    </row>
    <row r="7031" spans="1:8" x14ac:dyDescent="0.25">
      <c r="A7031" s="61"/>
      <c r="B7031" s="62"/>
      <c r="C7031" s="62"/>
      <c r="D7031" s="62"/>
      <c r="E7031" s="62"/>
      <c r="F7031" s="62"/>
      <c r="G7031" s="63"/>
    </row>
    <row r="7032" spans="1:8" x14ac:dyDescent="0.25">
      <c r="A7032" s="219" t="s">
        <v>101</v>
      </c>
      <c r="B7032" s="219"/>
      <c r="C7032" s="219"/>
      <c r="D7032" s="219"/>
      <c r="E7032" s="219"/>
      <c r="F7032" s="219"/>
      <c r="G7032" s="52">
        <f>G7026+G7028+G7029+G7030</f>
        <v>100033.75000000001</v>
      </c>
    </row>
    <row r="7033" spans="1:8" x14ac:dyDescent="0.25">
      <c r="A7033" s="59"/>
      <c r="B7033" s="60"/>
      <c r="C7033" s="60"/>
      <c r="D7033" s="60"/>
      <c r="E7033" s="57"/>
      <c r="F7033" s="57"/>
      <c r="G7033" s="58"/>
    </row>
    <row r="7034" spans="1:8" x14ac:dyDescent="0.25">
      <c r="A7034" s="64"/>
      <c r="D7034" s="55"/>
      <c r="E7034" s="49" t="s">
        <v>102</v>
      </c>
      <c r="F7034" s="49" t="s">
        <v>103</v>
      </c>
      <c r="G7034" s="51">
        <f>G7030*19%</f>
        <v>760.25650000000007</v>
      </c>
    </row>
    <row r="7035" spans="1:8" x14ac:dyDescent="0.25">
      <c r="A7035" s="61"/>
      <c r="B7035" s="62"/>
      <c r="C7035" s="62"/>
      <c r="D7035" s="62"/>
      <c r="E7035" s="57"/>
      <c r="F7035" s="57"/>
      <c r="G7035" s="58"/>
    </row>
    <row r="7036" spans="1:8" x14ac:dyDescent="0.25">
      <c r="A7036" s="219" t="s">
        <v>104</v>
      </c>
      <c r="B7036" s="219"/>
      <c r="C7036" s="219"/>
      <c r="D7036" s="219"/>
      <c r="E7036" s="219"/>
      <c r="F7036" s="219"/>
      <c r="G7036" s="52">
        <f>G7034+G7032</f>
        <v>100794.00650000002</v>
      </c>
    </row>
    <row r="7038" spans="1:8" x14ac:dyDescent="0.25">
      <c r="A7038" s="74" t="s">
        <v>29</v>
      </c>
      <c r="B7038" s="226" t="s">
        <v>30</v>
      </c>
      <c r="C7038" s="226"/>
      <c r="D7038" s="74" t="s">
        <v>31</v>
      </c>
      <c r="E7038" s="74" t="s">
        <v>32</v>
      </c>
      <c r="F7038" s="74" t="s">
        <v>189</v>
      </c>
      <c r="G7038" s="74" t="s">
        <v>33</v>
      </c>
      <c r="H7038" s="105"/>
    </row>
    <row r="7039" spans="1:8" x14ac:dyDescent="0.25">
      <c r="A7039" s="50" t="str">
        <f>Presupuesto!B133</f>
        <v>112_OC</v>
      </c>
      <c r="B7039" s="227" t="str">
        <f>Presupuesto!C133</f>
        <v>REVOQUE MURO EXTERIOR FACHADA</v>
      </c>
      <c r="C7039" s="228"/>
      <c r="D7039" s="50" t="s">
        <v>113</v>
      </c>
      <c r="E7039" s="107">
        <v>6</v>
      </c>
      <c r="F7039" s="50"/>
      <c r="G7039" s="51">
        <f>G7104</f>
        <v>63303.729500000009</v>
      </c>
      <c r="H7039" s="45"/>
    </row>
    <row r="7040" spans="1:8" x14ac:dyDescent="0.25">
      <c r="A7040" s="219" t="s">
        <v>1961</v>
      </c>
      <c r="B7040" s="219"/>
      <c r="C7040" s="219"/>
      <c r="D7040" s="219"/>
      <c r="E7040" s="219"/>
      <c r="F7040" s="219"/>
      <c r="G7040" s="219"/>
    </row>
    <row r="7041" spans="1:9" x14ac:dyDescent="0.25">
      <c r="A7041" s="49" t="s">
        <v>35</v>
      </c>
      <c r="B7041" s="219" t="s">
        <v>36</v>
      </c>
      <c r="C7041" s="219"/>
      <c r="D7041" s="49" t="s">
        <v>37</v>
      </c>
      <c r="E7041" s="49" t="s">
        <v>38</v>
      </c>
      <c r="F7041" s="49" t="s">
        <v>39</v>
      </c>
      <c r="G7041" s="49" t="s">
        <v>40</v>
      </c>
    </row>
    <row r="7042" spans="1:9" x14ac:dyDescent="0.25">
      <c r="A7042" s="50" t="str">
        <f>Material!A595</f>
        <v>MA-594</v>
      </c>
      <c r="B7042" s="72" t="str">
        <f>IFERROR(VLOOKUP(A7042,Material!$A:$H,2,0),"-")</f>
        <v>MORTERO 1:3</v>
      </c>
      <c r="C7042" s="76"/>
      <c r="D7042" s="50" t="str">
        <f>IFERROR(VLOOKUP(A7042,Material!$A:$H,4,0),"-")</f>
        <v>M3</v>
      </c>
      <c r="E7042" s="96">
        <v>0.03</v>
      </c>
      <c r="F7042" s="51">
        <f>IFERROR(VLOOKUP(A7042,Material!$A:$H,3,0),"-")</f>
        <v>611297.70000000007</v>
      </c>
      <c r="G7042" s="51">
        <f>IFERROR(ROUNDUP(F7042*E7042,0),"-")</f>
        <v>18339</v>
      </c>
      <c r="H7042" s="106"/>
    </row>
    <row r="7043" spans="1:9" x14ac:dyDescent="0.25">
      <c r="A7043" s="50" t="str">
        <f>Material!A607</f>
        <v>MA-606</v>
      </c>
      <c r="B7043" s="72" t="str">
        <f>IFERROR(VLOOKUP(A7043,Material!$A:$H,2,0),"-")</f>
        <v xml:space="preserve">ANDAMIO DE TIJERA COMPLETO 1.5 X 1.5 X 2,3 </v>
      </c>
      <c r="C7043" s="76"/>
      <c r="D7043" s="50" t="str">
        <f>IFERROR(VLOOKUP(A7043,Material!$A:$H,4,0),"-")</f>
        <v>DIA</v>
      </c>
      <c r="E7043" s="23">
        <v>1</v>
      </c>
      <c r="F7043" s="51">
        <f>IFERROR(VLOOKUP(A7043,Material!$A:$H,3,0),"-")</f>
        <v>1247.3500000000001</v>
      </c>
      <c r="G7043" s="51">
        <f>IFERROR(ROUNDUP(F7043*E7043,0),"-")</f>
        <v>1248</v>
      </c>
      <c r="H7043" s="106"/>
    </row>
    <row r="7044" spans="1:9" x14ac:dyDescent="0.25">
      <c r="A7044" s="50"/>
      <c r="B7044" s="72" t="str">
        <f>IFERROR(VLOOKUP(A7044,Material!$A:$H,2,0),"-")</f>
        <v>-</v>
      </c>
      <c r="C7044" s="76"/>
      <c r="D7044" s="50" t="str">
        <f>IFERROR(VLOOKUP(A7044,Material!$A:$H,4,0),"-")</f>
        <v>-</v>
      </c>
      <c r="E7044" s="107"/>
      <c r="F7044" s="51" t="str">
        <f>IFERROR(VLOOKUP(A7044,Material!$A:$H,3,0),"-")</f>
        <v>-</v>
      </c>
      <c r="G7044" s="51" t="str">
        <f>IFERROR(ROUNDUP(F7044*E7044,0),"-")</f>
        <v>-</v>
      </c>
      <c r="H7044" s="106"/>
    </row>
    <row r="7045" spans="1:9" x14ac:dyDescent="0.25">
      <c r="A7045" s="50"/>
      <c r="B7045" s="72" t="str">
        <f>IFERROR(VLOOKUP(A7045,Material!$A:$H,2,0),"-")</f>
        <v>-</v>
      </c>
      <c r="C7045" s="76"/>
      <c r="D7045" s="50" t="str">
        <f>IFERROR(VLOOKUP(A7045,Material!$A:$H,4,0),"-")</f>
        <v>-</v>
      </c>
      <c r="E7045" s="107"/>
      <c r="F7045" s="51" t="str">
        <f>IFERROR(VLOOKUP(A7045,Material!$A:$H,3,0),"-")</f>
        <v>-</v>
      </c>
      <c r="G7045" s="51" t="str">
        <f>IFERROR(ROUNDUP(F7045*E7045,0),"-")</f>
        <v>-</v>
      </c>
      <c r="H7045" s="106"/>
    </row>
    <row r="7046" spans="1:9" x14ac:dyDescent="0.25">
      <c r="A7046" s="219" t="s">
        <v>41</v>
      </c>
      <c r="B7046" s="219"/>
      <c r="C7046" s="219"/>
      <c r="D7046" s="219"/>
      <c r="E7046" s="219"/>
      <c r="F7046" s="219"/>
      <c r="G7046" s="52">
        <f>SUM(G7042:G7045)</f>
        <v>19587</v>
      </c>
      <c r="I7046" s="104"/>
    </row>
    <row r="7047" spans="1:9" x14ac:dyDescent="0.25">
      <c r="A7047" s="56"/>
      <c r="B7047" s="57"/>
      <c r="C7047" s="57"/>
      <c r="D7047" s="57"/>
      <c r="E7047" s="57"/>
      <c r="F7047" s="57"/>
      <c r="G7047" s="58"/>
    </row>
    <row r="7048" spans="1:9" x14ac:dyDescent="0.25">
      <c r="A7048" s="219" t="s">
        <v>42</v>
      </c>
      <c r="B7048" s="219"/>
      <c r="C7048" s="219"/>
      <c r="D7048" s="219"/>
      <c r="E7048" s="219"/>
      <c r="F7048" s="219"/>
      <c r="G7048" s="219"/>
    </row>
    <row r="7049" spans="1:9" x14ac:dyDescent="0.25">
      <c r="A7049" s="49" t="s">
        <v>35</v>
      </c>
      <c r="B7049" s="49" t="s">
        <v>36</v>
      </c>
      <c r="C7049" s="49" t="s">
        <v>38</v>
      </c>
      <c r="D7049" s="49" t="s">
        <v>43</v>
      </c>
      <c r="E7049" s="49" t="s">
        <v>44</v>
      </c>
      <c r="F7049" s="49" t="s">
        <v>45</v>
      </c>
      <c r="G7049" s="49" t="s">
        <v>40</v>
      </c>
    </row>
    <row r="7050" spans="1:9" x14ac:dyDescent="0.25">
      <c r="A7050" s="50" t="s">
        <v>319</v>
      </c>
      <c r="B7050" s="68" t="str">
        <f>VLOOKUP(A7050,'Componentes APUs'!$H$1:$L$25,2,0)</f>
        <v>Ingeniero Residente de Obra</v>
      </c>
      <c r="C7050" s="93">
        <v>0</v>
      </c>
      <c r="D7050" s="50">
        <f>VLOOKUP(A7050,'Componentes APUs'!$H$1:$L$25,3,0)</f>
        <v>4</v>
      </c>
      <c r="E7050" s="51">
        <f>VLOOKUP(A7050,'Componentes APUs'!$H$1:$L$25,4,0)</f>
        <v>271142.85714285716</v>
      </c>
      <c r="F7050" s="51">
        <f>VLOOKUP(A7050,'Componentes APUs'!$H$1:$L$25,5,0)</f>
        <v>162685.71428571429</v>
      </c>
      <c r="G7050" s="51">
        <f>ROUNDUP((E7050+F7050)*C7050/E7039,0)</f>
        <v>0</v>
      </c>
      <c r="H7050" s="66"/>
    </row>
    <row r="7051" spans="1:9" x14ac:dyDescent="0.25">
      <c r="A7051" s="50" t="s">
        <v>320</v>
      </c>
      <c r="B7051" s="68" t="str">
        <f>VLOOKUP(A7051,'Componentes APUs'!$H$1:$L$25,2,0)</f>
        <v>Tecnico Supervisor</v>
      </c>
      <c r="C7051" s="93">
        <v>0</v>
      </c>
      <c r="D7051" s="50">
        <f>VLOOKUP(A7051,'Componentes APUs'!$H$1:$L$25,3,0)</f>
        <v>2.2999999999999998</v>
      </c>
      <c r="E7051" s="51">
        <f>VLOOKUP(A7051,'Componentes APUs'!$H$1:$L$25,4,0)</f>
        <v>155907.14285714284</v>
      </c>
      <c r="F7051" s="51">
        <f>VLOOKUP(A7051,'Componentes APUs'!$H$1:$L$25,5,0)</f>
        <v>93544.285714285696</v>
      </c>
      <c r="G7051" s="51">
        <f>ROUNDUP((E7051+F7051)*C7051/E7039,0)</f>
        <v>0</v>
      </c>
    </row>
    <row r="7052" spans="1:9" x14ac:dyDescent="0.25">
      <c r="A7052" s="50" t="s">
        <v>54</v>
      </c>
      <c r="B7052" s="68" t="str">
        <f>VLOOKUP(A7052,'Componentes APUs'!$H$1:$L$25,2,0)</f>
        <v>Maestro de obra civil</v>
      </c>
      <c r="C7052" s="93">
        <v>0</v>
      </c>
      <c r="D7052" s="50">
        <f>VLOOKUP(A7052,'Componentes APUs'!$H$1:$L$25,3,0)</f>
        <v>2.5</v>
      </c>
      <c r="E7052" s="51">
        <f>VLOOKUP(A7052,'Componentes APUs'!$H$1:$L$25,4,0)</f>
        <v>169464.28571428571</v>
      </c>
      <c r="F7052" s="51">
        <f>VLOOKUP(A7052,'Componentes APUs'!$H$1:$L$25,5,0)</f>
        <v>101678.57142857142</v>
      </c>
      <c r="G7052" s="51">
        <f>ROUNDUP((E7052+F7052)*C7052/E7039,0)</f>
        <v>0</v>
      </c>
    </row>
    <row r="7053" spans="1:9" x14ac:dyDescent="0.25">
      <c r="A7053" s="50" t="s">
        <v>1110</v>
      </c>
      <c r="B7053" s="68" t="str">
        <f>VLOOKUP(A7053,'Componentes APUs'!$H$1:$L$25,2,0)</f>
        <v>Oficial de Obra Civil</v>
      </c>
      <c r="C7053" s="93">
        <v>0.25</v>
      </c>
      <c r="D7053" s="50">
        <f>VLOOKUP(A7053,'Componentes APUs'!$H$1:$L$25,3,0)</f>
        <v>1.5</v>
      </c>
      <c r="E7053" s="51">
        <f>VLOOKUP(A7053,'Componentes APUs'!$H$1:$L$25,4,0)</f>
        <v>115964.28571428571</v>
      </c>
      <c r="F7053" s="51">
        <f>VLOOKUP(A7053,'Componentes APUs'!$H$1:$L$25,5,0)</f>
        <v>69578.57142857142</v>
      </c>
      <c r="G7053" s="51">
        <f>ROUNDUP((E7053+F7053)*C7053/E7039,0)</f>
        <v>7731</v>
      </c>
    </row>
    <row r="7054" spans="1:9" x14ac:dyDescent="0.25">
      <c r="A7054" s="50" t="s">
        <v>50</v>
      </c>
      <c r="B7054" s="68" t="str">
        <f>VLOOKUP(A7054,'Componentes APUs'!$H$1:$L$25,2,0)</f>
        <v>Profesional en SST</v>
      </c>
      <c r="C7054" s="93">
        <v>0</v>
      </c>
      <c r="D7054" s="50">
        <f>VLOOKUP(A7054,'Componentes APUs'!$H$1:$L$25,3,0)</f>
        <v>2.5</v>
      </c>
      <c r="E7054" s="51">
        <f>VLOOKUP(A7054,'Componentes APUs'!$H$1:$L$25,4,0)</f>
        <v>169464.28571428571</v>
      </c>
      <c r="F7054" s="51">
        <f>VLOOKUP(A7054,'Componentes APUs'!$H$1:$L$25,5,0)</f>
        <v>101678.57142857142</v>
      </c>
      <c r="G7054" s="51">
        <f>ROUNDUP((E7054+F7054)*C7054/E7039,0)</f>
        <v>0</v>
      </c>
    </row>
    <row r="7055" spans="1:9" x14ac:dyDescent="0.25">
      <c r="A7055" s="50" t="s">
        <v>1109</v>
      </c>
      <c r="B7055" s="68" t="str">
        <f>VLOOKUP(A7055,'Componentes APUs'!$H$1:$L$25,2,0)</f>
        <v>Ayudante de Obra Civil</v>
      </c>
      <c r="C7055" s="93">
        <v>1</v>
      </c>
      <c r="D7055" s="50">
        <f>VLOOKUP(A7055,'Componentes APUs'!$H$1:$L$25,3,0)</f>
        <v>1</v>
      </c>
      <c r="E7055" s="51">
        <f>VLOOKUP(A7055,'Componentes APUs'!$H$1:$L$25,4,0)</f>
        <v>77309.523809523816</v>
      </c>
      <c r="F7055" s="51">
        <f>VLOOKUP(A7055,'Componentes APUs'!$H$1:$L$25,5,0)</f>
        <v>46385.71428571429</v>
      </c>
      <c r="G7055" s="51">
        <f>ROUNDUP((E7055+F7055)*C7055/E7039,0)</f>
        <v>20616</v>
      </c>
    </row>
    <row r="7056" spans="1:9" x14ac:dyDescent="0.25">
      <c r="A7056" s="219" t="s">
        <v>56</v>
      </c>
      <c r="B7056" s="219"/>
      <c r="C7056" s="219"/>
      <c r="D7056" s="219"/>
      <c r="E7056" s="219"/>
      <c r="F7056" s="219"/>
      <c r="G7056" s="52">
        <f>SUM(G7050:G7055)</f>
        <v>28347</v>
      </c>
    </row>
    <row r="7057" spans="1:9" x14ac:dyDescent="0.25">
      <c r="A7057" s="56"/>
      <c r="B7057" s="57"/>
      <c r="C7057" s="57"/>
      <c r="D7057" s="57"/>
      <c r="E7057" s="57"/>
      <c r="F7057" s="57"/>
      <c r="G7057" s="58"/>
    </row>
    <row r="7058" spans="1:9" x14ac:dyDescent="0.25">
      <c r="A7058" s="219" t="s">
        <v>57</v>
      </c>
      <c r="B7058" s="219"/>
      <c r="C7058" s="219"/>
      <c r="D7058" s="219"/>
      <c r="E7058" s="219"/>
      <c r="F7058" s="219"/>
      <c r="G7058" s="219"/>
    </row>
    <row r="7059" spans="1:9" x14ac:dyDescent="0.25">
      <c r="A7059" s="49" t="s">
        <v>35</v>
      </c>
      <c r="B7059" s="219" t="s">
        <v>36</v>
      </c>
      <c r="C7059" s="219"/>
      <c r="D7059" s="49" t="s">
        <v>37</v>
      </c>
      <c r="E7059" s="49" t="s">
        <v>38</v>
      </c>
      <c r="F7059" s="49" t="s">
        <v>39</v>
      </c>
      <c r="G7059" s="49" t="s">
        <v>40</v>
      </c>
    </row>
    <row r="7060" spans="1:9" x14ac:dyDescent="0.25">
      <c r="A7060" s="50" t="s">
        <v>326</v>
      </c>
      <c r="B7060" s="220" t="str">
        <f>VLOOKUP(A7060,'Componentes APUs'!$S$1:$V$10,2,0)</f>
        <v>Juego Llaves</v>
      </c>
      <c r="C7060" s="220"/>
      <c r="D7060" s="50" t="s">
        <v>18</v>
      </c>
      <c r="E7060" s="50">
        <v>0</v>
      </c>
      <c r="F7060" s="51">
        <f>VLOOKUP(A7060,'Componentes APUs'!$S$1:$V$10,4,0)</f>
        <v>9167</v>
      </c>
      <c r="G7060" s="51">
        <f>ROUNDUP(F7060*((E7060/21)/E7039),0)</f>
        <v>0</v>
      </c>
      <c r="I7060" s="91"/>
    </row>
    <row r="7061" spans="1:9" x14ac:dyDescent="0.25">
      <c r="A7061" s="50" t="s">
        <v>58</v>
      </c>
      <c r="B7061" s="220" t="str">
        <f>VLOOKUP(A7061,'Componentes APUs'!$S$1:$V$10,2,0)</f>
        <v>Manila de servicio</v>
      </c>
      <c r="C7061" s="220"/>
      <c r="D7061" s="50" t="s">
        <v>18</v>
      </c>
      <c r="E7061" s="50">
        <v>0</v>
      </c>
      <c r="F7061" s="51">
        <f>VLOOKUP(A7061,'Componentes APUs'!$S$1:$V$10,4,0)</f>
        <v>2333</v>
      </c>
      <c r="G7061" s="51">
        <f>ROUNDUP(F7061*((E7061/21)/E7039),0)</f>
        <v>0</v>
      </c>
    </row>
    <row r="7062" spans="1:9" x14ac:dyDescent="0.25">
      <c r="A7062" s="50" t="s">
        <v>327</v>
      </c>
      <c r="B7062" s="220" t="str">
        <f>VLOOKUP(A7062,'Componentes APUs'!$S$1:$V$10,2,0)</f>
        <v>Tula portaherramientas</v>
      </c>
      <c r="C7062" s="220"/>
      <c r="D7062" s="50" t="s">
        <v>18</v>
      </c>
      <c r="E7062" s="50">
        <v>0</v>
      </c>
      <c r="F7062" s="51">
        <f>VLOOKUP(A7062,'Componentes APUs'!$S$1:$V$10,4,0)</f>
        <v>1250</v>
      </c>
      <c r="G7062" s="51">
        <f>ROUNDUP(F7062*((E7062/21)/E7039),0)</f>
        <v>0</v>
      </c>
    </row>
    <row r="7063" spans="1:9" x14ac:dyDescent="0.25">
      <c r="A7063" s="50" t="s">
        <v>60</v>
      </c>
      <c r="B7063" s="220" t="str">
        <f>VLOOKUP(A7063,'Componentes APUs'!$S$1:$V$10,2,0)</f>
        <v>Agarradoras</v>
      </c>
      <c r="C7063" s="220"/>
      <c r="D7063" s="50" t="s">
        <v>18</v>
      </c>
      <c r="E7063" s="50">
        <v>0</v>
      </c>
      <c r="F7063" s="51">
        <f>VLOOKUP(A7063,'Componentes APUs'!$S$1:$V$10,4,0)</f>
        <v>125000</v>
      </c>
      <c r="G7063" s="51">
        <f>ROUNDUP(F7063*((E7063/21)/E7039),0)</f>
        <v>0</v>
      </c>
    </row>
    <row r="7064" spans="1:9" x14ac:dyDescent="0.25">
      <c r="A7064" s="50" t="s">
        <v>62</v>
      </c>
      <c r="B7064" s="220" t="str">
        <f>VLOOKUP(A7064,'Componentes APUs'!$S$1:$V$10,2,0)</f>
        <v>Templadoras</v>
      </c>
      <c r="C7064" s="220"/>
      <c r="D7064" s="50" t="s">
        <v>18</v>
      </c>
      <c r="E7064" s="50">
        <v>0</v>
      </c>
      <c r="F7064" s="51">
        <f>VLOOKUP(A7064,'Componentes APUs'!$S$1:$V$10,4,0)</f>
        <v>250000</v>
      </c>
      <c r="G7064" s="51">
        <f>ROUNDUP(F7064*((E7064/21)/E7039),0)</f>
        <v>0</v>
      </c>
    </row>
    <row r="7065" spans="1:9" x14ac:dyDescent="0.25">
      <c r="A7065" s="50" t="s">
        <v>328</v>
      </c>
      <c r="B7065" s="220" t="str">
        <f>VLOOKUP(A7065,'Componentes APUs'!$S$1:$V$10,2,0)</f>
        <v>Herramienta Menor</v>
      </c>
      <c r="C7065" s="220"/>
      <c r="D7065" s="50" t="s">
        <v>18</v>
      </c>
      <c r="E7065" s="50">
        <v>3</v>
      </c>
      <c r="F7065" s="51">
        <f>VLOOKUP(A7065,'Componentes APUs'!$S$1:$V$10,4,0)</f>
        <v>75758</v>
      </c>
      <c r="G7065" s="51">
        <f>ROUNDUP(F7065*((E7065/21)/E7039),0)</f>
        <v>1804</v>
      </c>
    </row>
    <row r="7066" spans="1:9" x14ac:dyDescent="0.25">
      <c r="A7066" s="219" t="s">
        <v>69</v>
      </c>
      <c r="B7066" s="219"/>
      <c r="C7066" s="219"/>
      <c r="D7066" s="219"/>
      <c r="E7066" s="219"/>
      <c r="F7066" s="219"/>
      <c r="G7066" s="52">
        <f>SUM(G7060:G7065)</f>
        <v>1804</v>
      </c>
    </row>
    <row r="7067" spans="1:9" x14ac:dyDescent="0.25">
      <c r="A7067" s="56"/>
      <c r="B7067" s="57"/>
      <c r="C7067" s="57"/>
      <c r="D7067" s="57"/>
      <c r="E7067" s="57"/>
      <c r="F7067" s="57"/>
      <c r="G7067" s="58"/>
    </row>
    <row r="7068" spans="1:9" x14ac:dyDescent="0.25">
      <c r="A7068" s="219" t="s">
        <v>70</v>
      </c>
      <c r="B7068" s="219"/>
      <c r="C7068" s="219"/>
      <c r="D7068" s="219"/>
      <c r="E7068" s="219"/>
      <c r="F7068" s="219"/>
      <c r="G7068" s="219"/>
    </row>
    <row r="7069" spans="1:9" x14ac:dyDescent="0.25">
      <c r="A7069" s="49" t="s">
        <v>35</v>
      </c>
      <c r="B7069" s="219" t="s">
        <v>36</v>
      </c>
      <c r="C7069" s="219"/>
      <c r="D7069" s="49" t="s">
        <v>37</v>
      </c>
      <c r="E7069" s="49" t="s">
        <v>38</v>
      </c>
      <c r="F7069" s="49" t="s">
        <v>39</v>
      </c>
      <c r="G7069" s="49" t="s">
        <v>40</v>
      </c>
    </row>
    <row r="7070" spans="1:9" x14ac:dyDescent="0.25">
      <c r="A7070" s="50" t="s">
        <v>71</v>
      </c>
      <c r="B7070" s="71" t="str">
        <f>VLOOKUP(A7070,'Componentes APUs'!$A$1:$D$14,2,0)</f>
        <v>Camisa indigo sin partes metalicas</v>
      </c>
      <c r="C7070" s="71"/>
      <c r="D7070" s="50" t="str">
        <f>VLOOKUP(A7070,'Componentes APUs'!$A$1:$D$14,3,0)</f>
        <v>U</v>
      </c>
      <c r="E7070" s="50">
        <f>SUM(C7050:C7055)</f>
        <v>1.25</v>
      </c>
      <c r="F7070" s="51">
        <f>VLOOKUP(A7070,'Componentes APUs'!$A$1:$D$14,4,0)</f>
        <v>8585.8585858585866</v>
      </c>
      <c r="G7070" s="51">
        <f>ROUNDUP(F7070*(E7070/21)/E7039,0)</f>
        <v>86</v>
      </c>
      <c r="I7070" s="91"/>
    </row>
    <row r="7071" spans="1:9" x14ac:dyDescent="0.25">
      <c r="A7071" s="69" t="s">
        <v>73</v>
      </c>
      <c r="B7071" s="72" t="str">
        <f>VLOOKUP(A7071,'Componentes APUs'!$A$1:$D$14,2,0)</f>
        <v>Bota de seguridad dielectrica</v>
      </c>
      <c r="C7071" s="73"/>
      <c r="D7071" s="70" t="str">
        <f>VLOOKUP(A7071,'Componentes APUs'!$A$1:$D$14,3,0)</f>
        <v>Par</v>
      </c>
      <c r="E7071" s="50">
        <f>SUM(C7050:C7055)</f>
        <v>1.25</v>
      </c>
      <c r="F7071" s="51">
        <f>VLOOKUP(A7071,'Componentes APUs'!$A$1:$D$14,4,0)</f>
        <v>7500</v>
      </c>
      <c r="G7071" s="51">
        <f>ROUNDUP(F7071*(E7071/21)/E7039,0)</f>
        <v>75</v>
      </c>
    </row>
    <row r="7072" spans="1:9" x14ac:dyDescent="0.25">
      <c r="A7072" s="50" t="s">
        <v>76</v>
      </c>
      <c r="B7072" s="72" t="str">
        <f>VLOOKUP(A7072,'Componentes APUs'!$A$1:$D$14,2,0)</f>
        <v>Casco dielectrico Tipo 1 Clase E con barbuquejo</v>
      </c>
      <c r="C7072" s="73"/>
      <c r="D7072" s="50" t="str">
        <f>VLOOKUP(A7072,'Componentes APUs'!$A$1:$D$14,3,0)</f>
        <v>U</v>
      </c>
      <c r="E7072" s="50">
        <f>C7050+C7051+C7053+C7054+C7055+IF(A7052&lt;&gt;"MO-3",C7052,0)</f>
        <v>1.25</v>
      </c>
      <c r="F7072" s="51">
        <f>VLOOKUP(A7072,'Componentes APUs'!$A$1:$D$14,4,0)</f>
        <v>10101.010101010101</v>
      </c>
      <c r="G7072" s="51">
        <f>ROUNDUP(F7072*(E7072/21)/E7039,0)</f>
        <v>101</v>
      </c>
    </row>
    <row r="7073" spans="1:7" x14ac:dyDescent="0.25">
      <c r="A7073" s="69" t="s">
        <v>77</v>
      </c>
      <c r="B7073" s="72" t="str">
        <f>VLOOKUP(A7073,'Componentes APUs'!$A$1:$D$14,2,0)</f>
        <v>Correa plastica y antiflama</v>
      </c>
      <c r="C7073" s="73"/>
      <c r="D7073" s="50" t="str">
        <f>VLOOKUP(A7073,'Componentes APUs'!$A$1:$D$14,3,0)</f>
        <v>U</v>
      </c>
      <c r="E7073" s="50">
        <f>SUM(C7050:C7055)</f>
        <v>1.25</v>
      </c>
      <c r="F7073" s="51">
        <f>VLOOKUP(A7073,'Componentes APUs'!$A$1:$D$14,4,0)</f>
        <v>3787.878787878788</v>
      </c>
      <c r="G7073" s="51">
        <f>ROUNDUP(F7073*(E7073/21)/E7039,0)</f>
        <v>38</v>
      </c>
    </row>
    <row r="7074" spans="1:7" x14ac:dyDescent="0.25">
      <c r="A7074" s="50" t="s">
        <v>79</v>
      </c>
      <c r="B7074" s="72" t="str">
        <f>VLOOKUP(A7074,'Componentes APUs'!$A$1:$D$14,2,0)</f>
        <v>Gafas protectoras filtro UV</v>
      </c>
      <c r="C7074" s="73"/>
      <c r="D7074" s="50" t="str">
        <f>VLOOKUP(A7074,'Componentes APUs'!$A$1:$D$14,3,0)</f>
        <v>U</v>
      </c>
      <c r="E7074" s="50">
        <f>SUM(C7050:C7055)</f>
        <v>1.25</v>
      </c>
      <c r="F7074" s="51">
        <f>VLOOKUP(A7074,'Componentes APUs'!$A$1:$D$14,4,0)</f>
        <v>2777.7777777777778</v>
      </c>
      <c r="G7074" s="51">
        <f>ROUNDUP(F7074*(E7074/21)/E7039,0)</f>
        <v>28</v>
      </c>
    </row>
    <row r="7075" spans="1:7" x14ac:dyDescent="0.25">
      <c r="A7075" s="69" t="s">
        <v>402</v>
      </c>
      <c r="B7075" s="72" t="str">
        <f>VLOOKUP(A7075,'Componentes APUs'!$A$1:$D$14,2,0)</f>
        <v>Bota de seguridad PVC dielectrica</v>
      </c>
      <c r="C7075" s="73"/>
      <c r="D7075" s="50" t="str">
        <f>VLOOKUP(A7075,'Componentes APUs'!$A$1:$D$14,3,0)</f>
        <v>Par</v>
      </c>
      <c r="E7075" s="50">
        <f>SUM(C7050:C7055)</f>
        <v>1.25</v>
      </c>
      <c r="F7075" s="51">
        <f>VLOOKUP(A7075,'Componentes APUs'!$A$1:$D$14,4,0)</f>
        <v>2916.6666666666665</v>
      </c>
      <c r="G7075" s="51">
        <f>ROUNDUP(F7075*(E7075/21)/E7039,0)</f>
        <v>29</v>
      </c>
    </row>
    <row r="7076" spans="1:7" x14ac:dyDescent="0.25">
      <c r="A7076" s="50" t="s">
        <v>403</v>
      </c>
      <c r="B7076" s="72" t="str">
        <f>VLOOKUP(A7076,'Componentes APUs'!$A$1:$D$14,2,0)</f>
        <v>Capuchon</v>
      </c>
      <c r="C7076" s="73"/>
      <c r="D7076" s="50" t="str">
        <f>VLOOKUP(A7076,'Componentes APUs'!$A$1:$D$14,3,0)</f>
        <v>U</v>
      </c>
      <c r="E7076" s="50">
        <f>SUM(C7050:C7055)</f>
        <v>1.25</v>
      </c>
      <c r="F7076" s="51">
        <f>VLOOKUP(A7076,'Componentes APUs'!$A$1:$D$14,4,0)</f>
        <v>2525.2525252525252</v>
      </c>
      <c r="G7076" s="51">
        <f>ROUNDUP(F7076*(E7076/21)/E7039,0)</f>
        <v>26</v>
      </c>
    </row>
    <row r="7077" spans="1:7" x14ac:dyDescent="0.25">
      <c r="A7077" s="69" t="s">
        <v>81</v>
      </c>
      <c r="B7077" s="72" t="str">
        <f>VLOOKUP(A7077,'Componentes APUs'!$A$1:$D$14,2,0)</f>
        <v>Guantes Protectores  - ingeniero reforzados</v>
      </c>
      <c r="C7077" s="73"/>
      <c r="D7077" s="50" t="str">
        <f>VLOOKUP(A7077,'Componentes APUs'!$A$1:$D$14,3,0)</f>
        <v>Par</v>
      </c>
      <c r="E7077" s="50">
        <f>C7052+C7053+C7055</f>
        <v>1.25</v>
      </c>
      <c r="F7077" s="51">
        <f>VLOOKUP(A7077,'Componentes APUs'!$A$1:$D$14,4,0)</f>
        <v>2525.2525252525252</v>
      </c>
      <c r="G7077" s="51">
        <f>ROUNDUP(F7077*(E7077/21)/E7039,0)</f>
        <v>26</v>
      </c>
    </row>
    <row r="7078" spans="1:7" x14ac:dyDescent="0.25">
      <c r="A7078" s="50" t="s">
        <v>83</v>
      </c>
      <c r="B7078" s="72" t="str">
        <f>VLOOKUP(A7078,'Componentes APUs'!$A$1:$D$14,2,0)</f>
        <v>Impermeable (pantalon camisa)</v>
      </c>
      <c r="C7078" s="73"/>
      <c r="D7078" s="50" t="str">
        <f>VLOOKUP(A7078,'Componentes APUs'!$A$1:$D$14,3,0)</f>
        <v>U</v>
      </c>
      <c r="E7078" s="50">
        <f>SUM(C7050:C7055)</f>
        <v>1.25</v>
      </c>
      <c r="F7078" s="51">
        <f>VLOOKUP(A7078,'Componentes APUs'!$A$1:$D$14,4,0)</f>
        <v>3750</v>
      </c>
      <c r="G7078" s="51">
        <f>ROUNDUP(F7078*(E7078/21)/E7039,0)</f>
        <v>38</v>
      </c>
    </row>
    <row r="7079" spans="1:7" x14ac:dyDescent="0.25">
      <c r="A7079" s="69" t="s">
        <v>85</v>
      </c>
      <c r="B7079" s="72" t="str">
        <f>VLOOKUP(A7079,'Componentes APUs'!$A$1:$D$14,2,0)</f>
        <v>Jean Dielectrico</v>
      </c>
      <c r="C7079" s="73"/>
      <c r="D7079" s="50" t="str">
        <f>VLOOKUP(A7079,'Componentes APUs'!$A$1:$D$14,3,0)</f>
        <v>U</v>
      </c>
      <c r="E7079" s="50">
        <f>SUM(C7050:C7055)</f>
        <v>1.25</v>
      </c>
      <c r="F7079" s="51">
        <f>VLOOKUP(A7079,'Componentes APUs'!$A$1:$D$14,4,0)</f>
        <v>7575.757575757576</v>
      </c>
      <c r="G7079" s="51">
        <f>ROUNDUP(F7079*(E7079/21)/E7039,0)</f>
        <v>76</v>
      </c>
    </row>
    <row r="7080" spans="1:7" x14ac:dyDescent="0.25">
      <c r="A7080" s="50" t="s">
        <v>87</v>
      </c>
      <c r="B7080" s="72" t="str">
        <f>VLOOKUP(A7080,'Componentes APUs'!$A$1:$D$14,2,0)</f>
        <v>Casco dielectrico Tipo 2 Clase E con barboquejo</v>
      </c>
      <c r="C7080" s="73"/>
      <c r="D7080" s="50" t="str">
        <f>VLOOKUP(A7080,'Componentes APUs'!$A$1:$D$14,3,0)</f>
        <v>U</v>
      </c>
      <c r="E7080" s="53">
        <f>IF(A7052="MO-3",C7052,0)</f>
        <v>0</v>
      </c>
      <c r="F7080" s="51">
        <f>VLOOKUP(A7080,'Componentes APUs'!$A$1:$D$14,4,0)</f>
        <v>7500</v>
      </c>
      <c r="G7080" s="51">
        <f>ROUNDUP(F7080*(E7080/21)/E7039,0)</f>
        <v>0</v>
      </c>
    </row>
    <row r="7081" spans="1:7" x14ac:dyDescent="0.25">
      <c r="A7081" s="69" t="s">
        <v>89</v>
      </c>
      <c r="B7081" s="72" t="str">
        <f>VLOOKUP(A7081,'Componentes APUs'!$A$1:$D$14,2,0)</f>
        <v>Kit de rescate para trabajo en alturas</v>
      </c>
      <c r="C7081" s="73"/>
      <c r="D7081" s="50" t="str">
        <f>VLOOKUP(A7081,'Componentes APUs'!$A$1:$D$14,3,0)</f>
        <v>U</v>
      </c>
      <c r="E7081" s="50">
        <f>IF(AND(A7052="MO-3",C7052=2),1,0)</f>
        <v>0</v>
      </c>
      <c r="F7081" s="51">
        <f>VLOOKUP(A7081,'Componentes APUs'!$A$1:$D$14,4,0)</f>
        <v>37500</v>
      </c>
      <c r="G7081" s="51">
        <f>ROUNDUP(F7081*(E7081/21)/E7039,0)</f>
        <v>0</v>
      </c>
    </row>
    <row r="7082" spans="1:7" x14ac:dyDescent="0.25">
      <c r="A7082" s="50" t="s">
        <v>91</v>
      </c>
      <c r="B7082" s="72" t="str">
        <f>VLOOKUP(A7082,'Componentes APUs'!$A$1:$D$14,2,0)</f>
        <v>Equipo completo para trabajo en alturas con pretales (Arnes dielectrico, 1 mosqueton de seguridad, tie off dielectrico, eslinga de posicionamiento, juego de pretales)</v>
      </c>
      <c r="C7082" s="73"/>
      <c r="D7082" s="50" t="str">
        <f>VLOOKUP(A7082,'Componentes APUs'!$A$1:$D$14,3,0)</f>
        <v>U</v>
      </c>
      <c r="E7082" s="50">
        <f>IF(A7052="MO-3",C7052,0)</f>
        <v>0</v>
      </c>
      <c r="F7082" s="51">
        <f>VLOOKUP(A7082,'Componentes APUs'!$A$1:$D$14,4,0)</f>
        <v>26041.666666666668</v>
      </c>
      <c r="G7082" s="51">
        <f>ROUNDUP(F7082*(E7082/21)/E7039,0)</f>
        <v>0</v>
      </c>
    </row>
    <row r="7083" spans="1:7" x14ac:dyDescent="0.25">
      <c r="A7083" s="219" t="s">
        <v>95</v>
      </c>
      <c r="B7083" s="219"/>
      <c r="C7083" s="219"/>
      <c r="D7083" s="219"/>
      <c r="E7083" s="219"/>
      <c r="F7083" s="219"/>
      <c r="G7083" s="52">
        <f>SUM(G7070:G7082)</f>
        <v>523</v>
      </c>
    </row>
    <row r="7084" spans="1:7" x14ac:dyDescent="0.25">
      <c r="A7084" s="56"/>
      <c r="B7084" s="57"/>
      <c r="C7084" s="57"/>
      <c r="D7084" s="57"/>
      <c r="E7084" s="57"/>
      <c r="F7084" s="57"/>
      <c r="G7084" s="58"/>
    </row>
    <row r="7085" spans="1:7" x14ac:dyDescent="0.25">
      <c r="A7085" s="219" t="s">
        <v>96</v>
      </c>
      <c r="B7085" s="219"/>
      <c r="C7085" s="219"/>
      <c r="D7085" s="219"/>
      <c r="E7085" s="219"/>
      <c r="F7085" s="219"/>
      <c r="G7085" s="219"/>
    </row>
    <row r="7086" spans="1:7" x14ac:dyDescent="0.25">
      <c r="A7086" s="49" t="s">
        <v>35</v>
      </c>
      <c r="B7086" s="225" t="s">
        <v>36</v>
      </c>
      <c r="C7086" s="225"/>
      <c r="D7086" s="49" t="s">
        <v>37</v>
      </c>
      <c r="E7086" s="49" t="s">
        <v>38</v>
      </c>
      <c r="F7086" s="49" t="s">
        <v>39</v>
      </c>
      <c r="G7086" s="49" t="s">
        <v>40</v>
      </c>
    </row>
    <row r="7087" spans="1:7" x14ac:dyDescent="0.25">
      <c r="A7087" s="69" t="s">
        <v>97</v>
      </c>
      <c r="B7087" s="72" t="str">
        <f>VLOOKUP(A7087,'Componentes APUs'!$N$1:$Q$30,2,0)</f>
        <v>Camioneta</v>
      </c>
      <c r="C7087" s="73"/>
      <c r="D7087" s="70" t="str">
        <f>VLOOKUP(A7087,'Componentes APUs'!$N$1:$Q$30,3,0)</f>
        <v>U</v>
      </c>
      <c r="E7087" s="50">
        <v>0</v>
      </c>
      <c r="F7087" s="51">
        <f>VLOOKUP(A7087,'Componentes APUs'!$N$1:$Q$30,4,0)</f>
        <v>5500000</v>
      </c>
      <c r="G7087" s="51">
        <f>IFERROR(ROUNDUP(F7087*(E7087/21)/E7039,0),"-")</f>
        <v>0</v>
      </c>
    </row>
    <row r="7088" spans="1:7" x14ac:dyDescent="0.25">
      <c r="A7088" s="50" t="s">
        <v>321</v>
      </c>
      <c r="B7088" s="72" t="str">
        <f>VLOOKUP(A7088,'Componentes APUs'!$N$1:$Q$30,2,0)</f>
        <v>Grúa Hidráulica</v>
      </c>
      <c r="C7088" s="73"/>
      <c r="D7088" s="70" t="str">
        <f>VLOOKUP(A7088,'Componentes APUs'!$N$1:$Q$30,3,0)</f>
        <v>U</v>
      </c>
      <c r="E7088" s="50">
        <v>0</v>
      </c>
      <c r="F7088" s="51">
        <f>VLOOKUP(A7088,'Componentes APUs'!$N$1:$Q$30,4,0)</f>
        <v>21000000</v>
      </c>
      <c r="G7088" s="51">
        <f>IFERROR(ROUNDUP(F7088*(E7088/21)/E7039,0),"-")</f>
        <v>0</v>
      </c>
    </row>
    <row r="7089" spans="1:7" x14ac:dyDescent="0.25">
      <c r="A7089" s="69" t="s">
        <v>1379</v>
      </c>
      <c r="B7089" s="72" t="str">
        <f>VLOOKUP(A7089,'Componentes APUs'!$N$1:$Q$30,2,0)</f>
        <v>Dumper de descarga Frontal 2T</v>
      </c>
      <c r="C7089" s="73"/>
      <c r="D7089" s="70" t="str">
        <f>VLOOKUP(A7089,'Componentes APUs'!$N$1:$Q$30,3,0)</f>
        <v>U</v>
      </c>
      <c r="E7089" s="50">
        <v>0</v>
      </c>
      <c r="F7089" s="51">
        <f>VLOOKUP(A7089,'Componentes APUs'!$N$1:$Q$30,4,0)</f>
        <v>4438716.24</v>
      </c>
      <c r="G7089" s="51">
        <f>IFERROR(ROUNDUP(F7089*(E7089/21)/E7039,0),"-")</f>
        <v>0</v>
      </c>
    </row>
    <row r="7090" spans="1:7" x14ac:dyDescent="0.25">
      <c r="A7090" s="50" t="s">
        <v>323</v>
      </c>
      <c r="B7090" s="72" t="str">
        <f>VLOOKUP(A7090,'Componentes APUs'!$N$1:$Q$30,2,0)</f>
        <v>Volqueta</v>
      </c>
      <c r="C7090" s="73"/>
      <c r="D7090" s="70" t="str">
        <f>VLOOKUP(A7090,'Componentes APUs'!$N$1:$Q$30,3,0)</f>
        <v>U</v>
      </c>
      <c r="E7090" s="50">
        <v>0</v>
      </c>
      <c r="F7090" s="51">
        <f>VLOOKUP(A7090,'Componentes APUs'!$N$1:$Q$30,4,0)</f>
        <v>14828184</v>
      </c>
      <c r="G7090" s="51">
        <f>IFERROR(ROUNDUP(F7090*(E7090/21)/E7039,0),"-")</f>
        <v>0</v>
      </c>
    </row>
    <row r="7091" spans="1:7" x14ac:dyDescent="0.25">
      <c r="A7091" s="69" t="s">
        <v>324</v>
      </c>
      <c r="B7091" s="72" t="str">
        <f>VLOOKUP(A7091,'Componentes APUs'!$N$1:$Q$30,2,0)</f>
        <v>Retroexcavadora</v>
      </c>
      <c r="C7091" s="73"/>
      <c r="D7091" s="70" t="str">
        <f>VLOOKUP(A7091,'Componentes APUs'!$N$1:$Q$30,3,0)</f>
        <v>U</v>
      </c>
      <c r="E7091" s="50">
        <v>0</v>
      </c>
      <c r="F7091" s="51">
        <f>VLOOKUP(A7091,'Componentes APUs'!$N$1:$Q$30,4,0)</f>
        <v>46030656</v>
      </c>
      <c r="G7091" s="51">
        <f>IFERROR(ROUNDUP(F7091*(E7091/21)/E7039,0),"-")</f>
        <v>0</v>
      </c>
    </row>
    <row r="7092" spans="1:7" x14ac:dyDescent="0.25">
      <c r="A7092" s="219" t="s">
        <v>99</v>
      </c>
      <c r="B7092" s="219"/>
      <c r="C7092" s="219"/>
      <c r="D7092" s="219"/>
      <c r="E7092" s="219"/>
      <c r="F7092" s="219"/>
      <c r="G7092" s="52">
        <f>SUM(G7087:G7091)</f>
        <v>0</v>
      </c>
    </row>
    <row r="7093" spans="1:7" x14ac:dyDescent="0.25">
      <c r="A7093" s="56"/>
      <c r="B7093" s="57"/>
      <c r="C7093" s="57"/>
      <c r="D7093" s="57"/>
      <c r="E7093" s="57"/>
      <c r="F7093" s="57"/>
      <c r="G7093" s="58"/>
    </row>
    <row r="7094" spans="1:7" x14ac:dyDescent="0.25">
      <c r="A7094" s="219" t="s">
        <v>100</v>
      </c>
      <c r="B7094" s="219"/>
      <c r="C7094" s="219"/>
      <c r="D7094" s="219"/>
      <c r="E7094" s="219"/>
      <c r="F7094" s="219"/>
      <c r="G7094" s="52">
        <f>G7092+G7083+G7066+G7056+G7046</f>
        <v>50261</v>
      </c>
    </row>
    <row r="7095" spans="1:7" x14ac:dyDescent="0.25">
      <c r="A7095" s="59"/>
      <c r="B7095" s="60"/>
      <c r="C7095" s="60"/>
      <c r="D7095" s="60"/>
      <c r="E7095" s="57"/>
      <c r="F7095" s="57"/>
      <c r="G7095" s="58"/>
    </row>
    <row r="7096" spans="1:7" x14ac:dyDescent="0.25">
      <c r="A7096" s="64"/>
      <c r="D7096" s="55"/>
      <c r="E7096" s="49" t="s">
        <v>25</v>
      </c>
      <c r="F7096" s="54">
        <v>0.15</v>
      </c>
      <c r="G7096" s="51">
        <f>G7094*F7096</f>
        <v>7539.15</v>
      </c>
    </row>
    <row r="7097" spans="1:7" x14ac:dyDescent="0.25">
      <c r="A7097" s="64"/>
      <c r="D7097" s="55"/>
      <c r="E7097" s="49" t="s">
        <v>26</v>
      </c>
      <c r="F7097" s="54">
        <v>0.05</v>
      </c>
      <c r="G7097" s="51">
        <f>G7094*F7097</f>
        <v>2513.0500000000002</v>
      </c>
    </row>
    <row r="7098" spans="1:7" x14ac:dyDescent="0.25">
      <c r="A7098" s="61"/>
      <c r="B7098" s="65"/>
      <c r="C7098" s="65"/>
      <c r="D7098" s="62"/>
      <c r="E7098" s="49" t="s">
        <v>27</v>
      </c>
      <c r="F7098" s="54">
        <v>0.05</v>
      </c>
      <c r="G7098" s="51">
        <f>G7094*F7098</f>
        <v>2513.0500000000002</v>
      </c>
    </row>
    <row r="7099" spans="1:7" x14ac:dyDescent="0.25">
      <c r="A7099" s="61"/>
      <c r="B7099" s="62"/>
      <c r="C7099" s="62"/>
      <c r="D7099" s="62"/>
      <c r="E7099" s="62"/>
      <c r="F7099" s="62"/>
      <c r="G7099" s="63"/>
    </row>
    <row r="7100" spans="1:7" x14ac:dyDescent="0.25">
      <c r="A7100" s="219" t="s">
        <v>101</v>
      </c>
      <c r="B7100" s="219"/>
      <c r="C7100" s="219"/>
      <c r="D7100" s="219"/>
      <c r="E7100" s="219"/>
      <c r="F7100" s="219"/>
      <c r="G7100" s="52">
        <f>G7094+G7096+G7097+G7098</f>
        <v>62826.250000000007</v>
      </c>
    </row>
    <row r="7101" spans="1:7" x14ac:dyDescent="0.25">
      <c r="A7101" s="59"/>
      <c r="B7101" s="60"/>
      <c r="C7101" s="60"/>
      <c r="D7101" s="60"/>
      <c r="E7101" s="57"/>
      <c r="F7101" s="57"/>
      <c r="G7101" s="58"/>
    </row>
    <row r="7102" spans="1:7" x14ac:dyDescent="0.25">
      <c r="A7102" s="64"/>
      <c r="D7102" s="55"/>
      <c r="E7102" s="49" t="s">
        <v>102</v>
      </c>
      <c r="F7102" s="49" t="s">
        <v>103</v>
      </c>
      <c r="G7102" s="51">
        <f>G7098*19%</f>
        <v>477.47950000000003</v>
      </c>
    </row>
    <row r="7103" spans="1:7" x14ac:dyDescent="0.25">
      <c r="A7103" s="61"/>
      <c r="B7103" s="62"/>
      <c r="C7103" s="62"/>
      <c r="D7103" s="62"/>
      <c r="E7103" s="57"/>
      <c r="F7103" s="57"/>
      <c r="G7103" s="58"/>
    </row>
    <row r="7104" spans="1:7" x14ac:dyDescent="0.25">
      <c r="A7104" s="219" t="s">
        <v>104</v>
      </c>
      <c r="B7104" s="219"/>
      <c r="C7104" s="219"/>
      <c r="D7104" s="219"/>
      <c r="E7104" s="219"/>
      <c r="F7104" s="219"/>
      <c r="G7104" s="52">
        <f>G7102+G7100</f>
        <v>63303.729500000009</v>
      </c>
    </row>
    <row r="7106" spans="1:9" x14ac:dyDescent="0.25">
      <c r="A7106" s="74" t="s">
        <v>29</v>
      </c>
      <c r="B7106" s="226" t="s">
        <v>30</v>
      </c>
      <c r="C7106" s="226"/>
      <c r="D7106" s="74" t="s">
        <v>31</v>
      </c>
      <c r="E7106" s="74" t="s">
        <v>32</v>
      </c>
      <c r="F7106" s="74" t="s">
        <v>189</v>
      </c>
      <c r="G7106" s="74" t="s">
        <v>33</v>
      </c>
      <c r="H7106" s="105"/>
    </row>
    <row r="7107" spans="1:9" x14ac:dyDescent="0.25">
      <c r="A7107" s="50" t="str">
        <f>Presupuesto!B134</f>
        <v>113_OC</v>
      </c>
      <c r="B7107" s="227" t="str">
        <f>Presupuesto!C134</f>
        <v>REVOQUE MURO INTERIOR+FIL+DIL</v>
      </c>
      <c r="C7107" s="228"/>
      <c r="D7107" s="50" t="s">
        <v>113</v>
      </c>
      <c r="E7107" s="107">
        <v>8</v>
      </c>
      <c r="F7107" s="50"/>
      <c r="G7107" s="51">
        <f>G7173</f>
        <v>51427.904000000002</v>
      </c>
      <c r="H7107" s="45"/>
    </row>
    <row r="7108" spans="1:9" x14ac:dyDescent="0.25">
      <c r="A7108" s="219" t="s">
        <v>1961</v>
      </c>
      <c r="B7108" s="219"/>
      <c r="C7108" s="219"/>
      <c r="D7108" s="219"/>
      <c r="E7108" s="219"/>
      <c r="F7108" s="219"/>
      <c r="G7108" s="219"/>
    </row>
    <row r="7109" spans="1:9" x14ac:dyDescent="0.25">
      <c r="A7109" s="49" t="s">
        <v>35</v>
      </c>
      <c r="B7109" s="219" t="s">
        <v>36</v>
      </c>
      <c r="C7109" s="219"/>
      <c r="D7109" s="49" t="s">
        <v>37</v>
      </c>
      <c r="E7109" s="49" t="s">
        <v>38</v>
      </c>
      <c r="F7109" s="49" t="s">
        <v>39</v>
      </c>
      <c r="G7109" s="49" t="s">
        <v>40</v>
      </c>
    </row>
    <row r="7110" spans="1:9" x14ac:dyDescent="0.25">
      <c r="A7110" s="50" t="str">
        <f>Material!A617</f>
        <v>MA-616</v>
      </c>
      <c r="B7110" s="72" t="str">
        <f>IFERROR(VLOOKUP(A7110,Material!$A:$H,2,0),"-")</f>
        <v>LIJA DE AGUA</v>
      </c>
      <c r="C7110" s="76"/>
      <c r="D7110" s="50" t="str">
        <f>IFERROR(VLOOKUP(A7110,Material!$A:$H,4,0),"-")</f>
        <v>PLIEGO</v>
      </c>
      <c r="E7110" s="96">
        <v>0.2</v>
      </c>
      <c r="F7110" s="51">
        <f>IFERROR(VLOOKUP(A7110,Material!$A:$H,3,0),"-")</f>
        <v>2536.3000000000002</v>
      </c>
      <c r="G7110" s="51">
        <f>IFERROR(ROUNDUP(F7110*E7110,0),"-")</f>
        <v>508</v>
      </c>
      <c r="H7110" s="106"/>
    </row>
    <row r="7111" spans="1:9" x14ac:dyDescent="0.25">
      <c r="A7111" s="50" t="str">
        <f>Material!A646</f>
        <v>MA-645</v>
      </c>
      <c r="B7111" s="72" t="str">
        <f>IFERROR(VLOOKUP(A7111,Material!$A:$H,2,0),"-")</f>
        <v xml:space="preserve">PINTURA ESMALTE </v>
      </c>
      <c r="C7111" s="76"/>
      <c r="D7111" s="50" t="str">
        <f>IFERROR(VLOOKUP(A7111,Material!$A:$H,4,0),"-")</f>
        <v>GAL</v>
      </c>
      <c r="E7111" s="96">
        <v>8.3333333333333329E-2</v>
      </c>
      <c r="F7111" s="51">
        <f>IFERROR(VLOOKUP(A7111,Material!$A:$H,3,0),"-")</f>
        <v>99606</v>
      </c>
      <c r="G7111" s="51">
        <f>IFERROR(ROUNDUP(F7111*E7111,0),"-")</f>
        <v>8301</v>
      </c>
      <c r="H7111" s="106"/>
    </row>
    <row r="7112" spans="1:9" x14ac:dyDescent="0.25">
      <c r="A7112" s="50" t="str">
        <f>Material!A647</f>
        <v>MA-646</v>
      </c>
      <c r="B7112" s="72" t="str">
        <f>IFERROR(VLOOKUP(A7112,Material!$A:$H,2,0),"-")</f>
        <v xml:space="preserve">DISOLVENTE ESMALTE </v>
      </c>
      <c r="C7112" s="76"/>
      <c r="D7112" s="50" t="str">
        <f>IFERROR(VLOOKUP(A7112,Material!$A:$H,4,0),"-")</f>
        <v>LT</v>
      </c>
      <c r="E7112" s="107">
        <v>0.25</v>
      </c>
      <c r="F7112" s="51">
        <f>IFERROR(VLOOKUP(A7112,Material!$A:$H,3,0),"-")</f>
        <v>33081.1</v>
      </c>
      <c r="G7112" s="51">
        <f>IFERROR(ROUNDUP(F7112*E7112,0),"-")</f>
        <v>8271</v>
      </c>
      <c r="H7112" s="106"/>
    </row>
    <row r="7113" spans="1:9" x14ac:dyDescent="0.25">
      <c r="A7113" s="50" t="str">
        <f>Material!A648</f>
        <v>MA-647</v>
      </c>
      <c r="B7113" s="72" t="str">
        <f>IFERROR(VLOOKUP(A7113,Material!$A:$H,2,0),"-")</f>
        <v>CINTA DE ENMASCARAR 1/2"</v>
      </c>
      <c r="C7113" s="76"/>
      <c r="D7113" s="50" t="str">
        <f>IFERROR(VLOOKUP(A7113,Material!$A:$H,4,0),"-")</f>
        <v>ROLLO</v>
      </c>
      <c r="E7113" s="107">
        <v>0.2</v>
      </c>
      <c r="F7113" s="51">
        <f>IFERROR(VLOOKUP(A7113,Material!$A:$H,3,0),"-")</f>
        <v>5980</v>
      </c>
      <c r="G7113" s="51">
        <f>IFERROR(ROUNDUP(F7113*E7113,0),"-")</f>
        <v>1196</v>
      </c>
      <c r="H7113" s="106"/>
    </row>
    <row r="7114" spans="1:9" x14ac:dyDescent="0.25">
      <c r="A7114" s="50" t="str">
        <f>Material!A649</f>
        <v>MA-648</v>
      </c>
      <c r="B7114" s="72" t="str">
        <f>IFERROR(VLOOKUP(A7114,Material!$A:$H,2,0),"-")</f>
        <v>BROCHA 4"</v>
      </c>
      <c r="C7114" s="76"/>
      <c r="D7114" s="50" t="str">
        <f>IFERROR(VLOOKUP(A7114,Material!$A:$H,4,0),"-")</f>
        <v>UN</v>
      </c>
      <c r="E7114" s="107">
        <v>0.02</v>
      </c>
      <c r="F7114" s="51">
        <f>IFERROR(VLOOKUP(A7114,Material!$A:$H,3,0),"-")</f>
        <v>70.850000000000009</v>
      </c>
      <c r="G7114" s="51">
        <f>IFERROR(ROUNDUP(F7114*E7114,0),"-")</f>
        <v>2</v>
      </c>
      <c r="H7114" s="106"/>
    </row>
    <row r="7115" spans="1:9" x14ac:dyDescent="0.25">
      <c r="A7115" s="219" t="s">
        <v>41</v>
      </c>
      <c r="B7115" s="219"/>
      <c r="C7115" s="219"/>
      <c r="D7115" s="219"/>
      <c r="E7115" s="219"/>
      <c r="F7115" s="219"/>
      <c r="G7115" s="52">
        <f>SUM(G7110:G7114)</f>
        <v>18278</v>
      </c>
      <c r="I7115" s="104"/>
    </row>
    <row r="7116" spans="1:9" x14ac:dyDescent="0.25">
      <c r="A7116" s="56"/>
      <c r="B7116" s="57"/>
      <c r="C7116" s="57"/>
      <c r="D7116" s="57"/>
      <c r="E7116" s="57"/>
      <c r="F7116" s="57"/>
      <c r="G7116" s="58"/>
    </row>
    <row r="7117" spans="1:9" x14ac:dyDescent="0.25">
      <c r="A7117" s="219" t="s">
        <v>42</v>
      </c>
      <c r="B7117" s="219"/>
      <c r="C7117" s="219"/>
      <c r="D7117" s="219"/>
      <c r="E7117" s="219"/>
      <c r="F7117" s="219"/>
      <c r="G7117" s="219"/>
    </row>
    <row r="7118" spans="1:9" x14ac:dyDescent="0.25">
      <c r="A7118" s="49" t="s">
        <v>35</v>
      </c>
      <c r="B7118" s="49" t="s">
        <v>36</v>
      </c>
      <c r="C7118" s="49" t="s">
        <v>38</v>
      </c>
      <c r="D7118" s="49" t="s">
        <v>43</v>
      </c>
      <c r="E7118" s="49" t="s">
        <v>44</v>
      </c>
      <c r="F7118" s="49" t="s">
        <v>45</v>
      </c>
      <c r="G7118" s="49" t="s">
        <v>40</v>
      </c>
    </row>
    <row r="7119" spans="1:9" x14ac:dyDescent="0.25">
      <c r="A7119" s="50" t="s">
        <v>319</v>
      </c>
      <c r="B7119" s="68" t="str">
        <f>VLOOKUP(A7119,'Componentes APUs'!$H$1:$L$25,2,0)</f>
        <v>Ingeniero Residente de Obra</v>
      </c>
      <c r="C7119" s="93">
        <v>0</v>
      </c>
      <c r="D7119" s="50">
        <f>VLOOKUP(A7119,'Componentes APUs'!$H$1:$L$25,3,0)</f>
        <v>4</v>
      </c>
      <c r="E7119" s="51">
        <f>VLOOKUP(A7119,'Componentes APUs'!$H$1:$L$25,4,0)</f>
        <v>271142.85714285716</v>
      </c>
      <c r="F7119" s="51">
        <f>VLOOKUP(A7119,'Componentes APUs'!$H$1:$L$25,5,0)</f>
        <v>162685.71428571429</v>
      </c>
      <c r="G7119" s="51">
        <f>ROUNDUP((E7119+F7119)*C7119/E7107,0)</f>
        <v>0</v>
      </c>
      <c r="H7119" s="66"/>
    </row>
    <row r="7120" spans="1:9" x14ac:dyDescent="0.25">
      <c r="A7120" s="50" t="s">
        <v>320</v>
      </c>
      <c r="B7120" s="68" t="str">
        <f>VLOOKUP(A7120,'Componentes APUs'!$H$1:$L$25,2,0)</f>
        <v>Tecnico Supervisor</v>
      </c>
      <c r="C7120" s="93">
        <v>0</v>
      </c>
      <c r="D7120" s="50">
        <f>VLOOKUP(A7120,'Componentes APUs'!$H$1:$L$25,3,0)</f>
        <v>2.2999999999999998</v>
      </c>
      <c r="E7120" s="51">
        <f>VLOOKUP(A7120,'Componentes APUs'!$H$1:$L$25,4,0)</f>
        <v>155907.14285714284</v>
      </c>
      <c r="F7120" s="51">
        <f>VLOOKUP(A7120,'Componentes APUs'!$H$1:$L$25,5,0)</f>
        <v>93544.285714285696</v>
      </c>
      <c r="G7120" s="51">
        <f>ROUNDUP((E7120+F7120)*C7120/E7107,0)</f>
        <v>0</v>
      </c>
    </row>
    <row r="7121" spans="1:9" x14ac:dyDescent="0.25">
      <c r="A7121" s="50" t="s">
        <v>54</v>
      </c>
      <c r="B7121" s="68" t="str">
        <f>VLOOKUP(A7121,'Componentes APUs'!$H$1:$L$25,2,0)</f>
        <v>Maestro de obra civil</v>
      </c>
      <c r="C7121" s="93">
        <v>0</v>
      </c>
      <c r="D7121" s="50">
        <f>VLOOKUP(A7121,'Componentes APUs'!$H$1:$L$25,3,0)</f>
        <v>2.5</v>
      </c>
      <c r="E7121" s="51">
        <f>VLOOKUP(A7121,'Componentes APUs'!$H$1:$L$25,4,0)</f>
        <v>169464.28571428571</v>
      </c>
      <c r="F7121" s="51">
        <f>VLOOKUP(A7121,'Componentes APUs'!$H$1:$L$25,5,0)</f>
        <v>101678.57142857142</v>
      </c>
      <c r="G7121" s="51">
        <f>ROUNDUP((E7121+F7121)*C7121/E7107,0)</f>
        <v>0</v>
      </c>
    </row>
    <row r="7122" spans="1:9" x14ac:dyDescent="0.25">
      <c r="A7122" s="50" t="s">
        <v>1110</v>
      </c>
      <c r="B7122" s="68" t="str">
        <f>VLOOKUP(A7122,'Componentes APUs'!$H$1:$L$25,2,0)</f>
        <v>Oficial de Obra Civil</v>
      </c>
      <c r="C7122" s="93">
        <v>0.25</v>
      </c>
      <c r="D7122" s="50">
        <f>VLOOKUP(A7122,'Componentes APUs'!$H$1:$L$25,3,0)</f>
        <v>1.5</v>
      </c>
      <c r="E7122" s="51">
        <f>VLOOKUP(A7122,'Componentes APUs'!$H$1:$L$25,4,0)</f>
        <v>115964.28571428571</v>
      </c>
      <c r="F7122" s="51">
        <f>VLOOKUP(A7122,'Componentes APUs'!$H$1:$L$25,5,0)</f>
        <v>69578.57142857142</v>
      </c>
      <c r="G7122" s="51">
        <f>ROUNDUP((E7122+F7122)*C7122/E7107,0)</f>
        <v>5799</v>
      </c>
    </row>
    <row r="7123" spans="1:9" x14ac:dyDescent="0.25">
      <c r="A7123" s="50" t="s">
        <v>50</v>
      </c>
      <c r="B7123" s="68" t="str">
        <f>VLOOKUP(A7123,'Componentes APUs'!$H$1:$L$25,2,0)</f>
        <v>Profesional en SST</v>
      </c>
      <c r="C7123" s="93">
        <v>0</v>
      </c>
      <c r="D7123" s="50">
        <f>VLOOKUP(A7123,'Componentes APUs'!$H$1:$L$25,3,0)</f>
        <v>2.5</v>
      </c>
      <c r="E7123" s="51">
        <f>VLOOKUP(A7123,'Componentes APUs'!$H$1:$L$25,4,0)</f>
        <v>169464.28571428571</v>
      </c>
      <c r="F7123" s="51">
        <f>VLOOKUP(A7123,'Componentes APUs'!$H$1:$L$25,5,0)</f>
        <v>101678.57142857142</v>
      </c>
      <c r="G7123" s="51">
        <f>ROUNDUP((E7123+F7123)*C7123/E7107,0)</f>
        <v>0</v>
      </c>
    </row>
    <row r="7124" spans="1:9" x14ac:dyDescent="0.25">
      <c r="A7124" s="50" t="s">
        <v>1109</v>
      </c>
      <c r="B7124" s="68" t="str">
        <f>VLOOKUP(A7124,'Componentes APUs'!$H$1:$L$25,2,0)</f>
        <v>Ayudante de Obra Civil</v>
      </c>
      <c r="C7124" s="93">
        <v>1</v>
      </c>
      <c r="D7124" s="50">
        <f>VLOOKUP(A7124,'Componentes APUs'!$H$1:$L$25,3,0)</f>
        <v>1</v>
      </c>
      <c r="E7124" s="51">
        <f>VLOOKUP(A7124,'Componentes APUs'!$H$1:$L$25,4,0)</f>
        <v>77309.523809523816</v>
      </c>
      <c r="F7124" s="51">
        <f>VLOOKUP(A7124,'Componentes APUs'!$H$1:$L$25,5,0)</f>
        <v>46385.71428571429</v>
      </c>
      <c r="G7124" s="51">
        <f>ROUNDUP((E7124+F7124)*C7124/E7107,0)</f>
        <v>15462</v>
      </c>
    </row>
    <row r="7125" spans="1:9" x14ac:dyDescent="0.25">
      <c r="A7125" s="219" t="s">
        <v>56</v>
      </c>
      <c r="B7125" s="219"/>
      <c r="C7125" s="219"/>
      <c r="D7125" s="219"/>
      <c r="E7125" s="219"/>
      <c r="F7125" s="219"/>
      <c r="G7125" s="52">
        <f>SUM(G7119:G7124)</f>
        <v>21261</v>
      </c>
    </row>
    <row r="7126" spans="1:9" x14ac:dyDescent="0.25">
      <c r="A7126" s="56"/>
      <c r="B7126" s="57"/>
      <c r="C7126" s="57"/>
      <c r="D7126" s="57"/>
      <c r="E7126" s="57"/>
      <c r="F7126" s="57"/>
      <c r="G7126" s="58"/>
    </row>
    <row r="7127" spans="1:9" x14ac:dyDescent="0.25">
      <c r="A7127" s="219" t="s">
        <v>57</v>
      </c>
      <c r="B7127" s="219"/>
      <c r="C7127" s="219"/>
      <c r="D7127" s="219"/>
      <c r="E7127" s="219"/>
      <c r="F7127" s="219"/>
      <c r="G7127" s="219"/>
    </row>
    <row r="7128" spans="1:9" x14ac:dyDescent="0.25">
      <c r="A7128" s="49" t="s">
        <v>35</v>
      </c>
      <c r="B7128" s="219" t="s">
        <v>36</v>
      </c>
      <c r="C7128" s="219"/>
      <c r="D7128" s="49" t="s">
        <v>37</v>
      </c>
      <c r="E7128" s="49" t="s">
        <v>38</v>
      </c>
      <c r="F7128" s="49" t="s">
        <v>39</v>
      </c>
      <c r="G7128" s="49" t="s">
        <v>40</v>
      </c>
    </row>
    <row r="7129" spans="1:9" x14ac:dyDescent="0.25">
      <c r="A7129" s="50" t="s">
        <v>326</v>
      </c>
      <c r="B7129" s="220" t="str">
        <f>VLOOKUP(A7129,'Componentes APUs'!$S$1:$V$10,2,0)</f>
        <v>Juego Llaves</v>
      </c>
      <c r="C7129" s="220"/>
      <c r="D7129" s="50" t="s">
        <v>18</v>
      </c>
      <c r="E7129" s="50">
        <v>0</v>
      </c>
      <c r="F7129" s="51">
        <f>VLOOKUP(A7129,'Componentes APUs'!$S$1:$V$10,4,0)</f>
        <v>9167</v>
      </c>
      <c r="G7129" s="51">
        <f>ROUNDUP(F7129*((E7129/21)/E7107),0)</f>
        <v>0</v>
      </c>
      <c r="I7129" s="91"/>
    </row>
    <row r="7130" spans="1:9" x14ac:dyDescent="0.25">
      <c r="A7130" s="50" t="s">
        <v>58</v>
      </c>
      <c r="B7130" s="220" t="str">
        <f>VLOOKUP(A7130,'Componentes APUs'!$S$1:$V$10,2,0)</f>
        <v>Manila de servicio</v>
      </c>
      <c r="C7130" s="220"/>
      <c r="D7130" s="50" t="s">
        <v>18</v>
      </c>
      <c r="E7130" s="50">
        <v>0</v>
      </c>
      <c r="F7130" s="51">
        <f>VLOOKUP(A7130,'Componentes APUs'!$S$1:$V$10,4,0)</f>
        <v>2333</v>
      </c>
      <c r="G7130" s="51">
        <f>ROUNDUP(F7130*((E7130/21)/E7107),0)</f>
        <v>0</v>
      </c>
    </row>
    <row r="7131" spans="1:9" x14ac:dyDescent="0.25">
      <c r="A7131" s="50" t="s">
        <v>327</v>
      </c>
      <c r="B7131" s="220" t="str">
        <f>VLOOKUP(A7131,'Componentes APUs'!$S$1:$V$10,2,0)</f>
        <v>Tula portaherramientas</v>
      </c>
      <c r="C7131" s="220"/>
      <c r="D7131" s="50" t="s">
        <v>18</v>
      </c>
      <c r="E7131" s="50">
        <v>0</v>
      </c>
      <c r="F7131" s="51">
        <f>VLOOKUP(A7131,'Componentes APUs'!$S$1:$V$10,4,0)</f>
        <v>1250</v>
      </c>
      <c r="G7131" s="51">
        <f>ROUNDUP(F7131*((E7131/21)/E7107),0)</f>
        <v>0</v>
      </c>
    </row>
    <row r="7132" spans="1:9" x14ac:dyDescent="0.25">
      <c r="A7132" s="50" t="s">
        <v>60</v>
      </c>
      <c r="B7132" s="220" t="str">
        <f>VLOOKUP(A7132,'Componentes APUs'!$S$1:$V$10,2,0)</f>
        <v>Agarradoras</v>
      </c>
      <c r="C7132" s="220"/>
      <c r="D7132" s="50" t="s">
        <v>18</v>
      </c>
      <c r="E7132" s="50">
        <v>0</v>
      </c>
      <c r="F7132" s="51">
        <f>VLOOKUP(A7132,'Componentes APUs'!$S$1:$V$10,4,0)</f>
        <v>125000</v>
      </c>
      <c r="G7132" s="51">
        <f>ROUNDUP(F7132*((E7132/21)/E7107),0)</f>
        <v>0</v>
      </c>
    </row>
    <row r="7133" spans="1:9" x14ac:dyDescent="0.25">
      <c r="A7133" s="50" t="s">
        <v>62</v>
      </c>
      <c r="B7133" s="220" t="str">
        <f>VLOOKUP(A7133,'Componentes APUs'!$S$1:$V$10,2,0)</f>
        <v>Templadoras</v>
      </c>
      <c r="C7133" s="220"/>
      <c r="D7133" s="50" t="s">
        <v>18</v>
      </c>
      <c r="E7133" s="50">
        <v>0</v>
      </c>
      <c r="F7133" s="51">
        <f>VLOOKUP(A7133,'Componentes APUs'!$S$1:$V$10,4,0)</f>
        <v>250000</v>
      </c>
      <c r="G7133" s="51">
        <f>ROUNDUP(F7133*((E7133/21)/E7107),0)</f>
        <v>0</v>
      </c>
    </row>
    <row r="7134" spans="1:9" x14ac:dyDescent="0.25">
      <c r="A7134" s="50" t="s">
        <v>328</v>
      </c>
      <c r="B7134" s="220" t="str">
        <f>VLOOKUP(A7134,'Componentes APUs'!$S$1:$V$10,2,0)</f>
        <v>Herramienta Menor</v>
      </c>
      <c r="C7134" s="220"/>
      <c r="D7134" s="50" t="s">
        <v>18</v>
      </c>
      <c r="E7134" s="50">
        <v>2</v>
      </c>
      <c r="F7134" s="51">
        <f>VLOOKUP(A7134,'Componentes APUs'!$S$1:$V$10,4,0)</f>
        <v>75758</v>
      </c>
      <c r="G7134" s="51">
        <f>ROUNDUP(F7134*((E7134/21)/E7107),0)</f>
        <v>902</v>
      </c>
    </row>
    <row r="7135" spans="1:9" x14ac:dyDescent="0.25">
      <c r="A7135" s="219" t="s">
        <v>69</v>
      </c>
      <c r="B7135" s="219"/>
      <c r="C7135" s="219"/>
      <c r="D7135" s="219"/>
      <c r="E7135" s="219"/>
      <c r="F7135" s="219"/>
      <c r="G7135" s="52">
        <f>SUM(G7129:G7134)</f>
        <v>902</v>
      </c>
    </row>
    <row r="7136" spans="1:9" x14ac:dyDescent="0.25">
      <c r="A7136" s="56"/>
      <c r="B7136" s="57"/>
      <c r="C7136" s="57"/>
      <c r="D7136" s="57"/>
      <c r="E7136" s="57"/>
      <c r="F7136" s="57"/>
      <c r="G7136" s="58"/>
    </row>
    <row r="7137" spans="1:9" x14ac:dyDescent="0.25">
      <c r="A7137" s="219" t="s">
        <v>70</v>
      </c>
      <c r="B7137" s="219"/>
      <c r="C7137" s="219"/>
      <c r="D7137" s="219"/>
      <c r="E7137" s="219"/>
      <c r="F7137" s="219"/>
      <c r="G7137" s="219"/>
    </row>
    <row r="7138" spans="1:9" x14ac:dyDescent="0.25">
      <c r="A7138" s="49" t="s">
        <v>35</v>
      </c>
      <c r="B7138" s="219" t="s">
        <v>36</v>
      </c>
      <c r="C7138" s="219"/>
      <c r="D7138" s="49" t="s">
        <v>37</v>
      </c>
      <c r="E7138" s="49" t="s">
        <v>38</v>
      </c>
      <c r="F7138" s="49" t="s">
        <v>39</v>
      </c>
      <c r="G7138" s="49" t="s">
        <v>40</v>
      </c>
    </row>
    <row r="7139" spans="1:9" x14ac:dyDescent="0.25">
      <c r="A7139" s="50" t="s">
        <v>71</v>
      </c>
      <c r="B7139" s="71" t="str">
        <f>VLOOKUP(A7139,'Componentes APUs'!$A$1:$D$14,2,0)</f>
        <v>Camisa indigo sin partes metalicas</v>
      </c>
      <c r="C7139" s="71"/>
      <c r="D7139" s="50" t="str">
        <f>VLOOKUP(A7139,'Componentes APUs'!$A$1:$D$14,3,0)</f>
        <v>U</v>
      </c>
      <c r="E7139" s="50">
        <f>SUM(C7119:C7124)</f>
        <v>1.25</v>
      </c>
      <c r="F7139" s="51">
        <f>VLOOKUP(A7139,'Componentes APUs'!$A$1:$D$14,4,0)</f>
        <v>8585.8585858585866</v>
      </c>
      <c r="G7139" s="51">
        <f>ROUNDUP(F7139*(E7139/21)/E7107,0)</f>
        <v>64</v>
      </c>
      <c r="I7139" s="91"/>
    </row>
    <row r="7140" spans="1:9" x14ac:dyDescent="0.25">
      <c r="A7140" s="69" t="s">
        <v>73</v>
      </c>
      <c r="B7140" s="72" t="str">
        <f>VLOOKUP(A7140,'Componentes APUs'!$A$1:$D$14,2,0)</f>
        <v>Bota de seguridad dielectrica</v>
      </c>
      <c r="C7140" s="73"/>
      <c r="D7140" s="70" t="str">
        <f>VLOOKUP(A7140,'Componentes APUs'!$A$1:$D$14,3,0)</f>
        <v>Par</v>
      </c>
      <c r="E7140" s="50">
        <f>SUM(C7119:C7124)</f>
        <v>1.25</v>
      </c>
      <c r="F7140" s="51">
        <f>VLOOKUP(A7140,'Componentes APUs'!$A$1:$D$14,4,0)</f>
        <v>7500</v>
      </c>
      <c r="G7140" s="51">
        <f>ROUNDUP(F7140*(E7140/21)/E7107,0)</f>
        <v>56</v>
      </c>
    </row>
    <row r="7141" spans="1:9" x14ac:dyDescent="0.25">
      <c r="A7141" s="50" t="s">
        <v>76</v>
      </c>
      <c r="B7141" s="72" t="str">
        <f>VLOOKUP(A7141,'Componentes APUs'!$A$1:$D$14,2,0)</f>
        <v>Casco dielectrico Tipo 1 Clase E con barbuquejo</v>
      </c>
      <c r="C7141" s="73"/>
      <c r="D7141" s="50" t="str">
        <f>VLOOKUP(A7141,'Componentes APUs'!$A$1:$D$14,3,0)</f>
        <v>U</v>
      </c>
      <c r="E7141" s="50">
        <f>C7119+C7120+C7122+C7123+C7124+IF(A7121&lt;&gt;"MO-3",C7121,0)</f>
        <v>1.25</v>
      </c>
      <c r="F7141" s="51">
        <f>VLOOKUP(A7141,'Componentes APUs'!$A$1:$D$14,4,0)</f>
        <v>10101.010101010101</v>
      </c>
      <c r="G7141" s="51">
        <f>ROUNDUP(F7141*(E7141/21)/E7107,0)</f>
        <v>76</v>
      </c>
    </row>
    <row r="7142" spans="1:9" x14ac:dyDescent="0.25">
      <c r="A7142" s="69" t="s">
        <v>77</v>
      </c>
      <c r="B7142" s="72" t="str">
        <f>VLOOKUP(A7142,'Componentes APUs'!$A$1:$D$14,2,0)</f>
        <v>Correa plastica y antiflama</v>
      </c>
      <c r="C7142" s="73"/>
      <c r="D7142" s="50" t="str">
        <f>VLOOKUP(A7142,'Componentes APUs'!$A$1:$D$14,3,0)</f>
        <v>U</v>
      </c>
      <c r="E7142" s="50">
        <f>SUM(C7119:C7124)</f>
        <v>1.25</v>
      </c>
      <c r="F7142" s="51">
        <f>VLOOKUP(A7142,'Componentes APUs'!$A$1:$D$14,4,0)</f>
        <v>3787.878787878788</v>
      </c>
      <c r="G7142" s="51">
        <f>ROUNDUP(F7142*(E7142/21)/E7107,0)</f>
        <v>29</v>
      </c>
    </row>
    <row r="7143" spans="1:9" x14ac:dyDescent="0.25">
      <c r="A7143" s="50" t="s">
        <v>79</v>
      </c>
      <c r="B7143" s="72" t="str">
        <f>VLOOKUP(A7143,'Componentes APUs'!$A$1:$D$14,2,0)</f>
        <v>Gafas protectoras filtro UV</v>
      </c>
      <c r="C7143" s="73"/>
      <c r="D7143" s="50" t="str">
        <f>VLOOKUP(A7143,'Componentes APUs'!$A$1:$D$14,3,0)</f>
        <v>U</v>
      </c>
      <c r="E7143" s="50">
        <f>SUM(C7119:C7124)</f>
        <v>1.25</v>
      </c>
      <c r="F7143" s="51">
        <f>VLOOKUP(A7143,'Componentes APUs'!$A$1:$D$14,4,0)</f>
        <v>2777.7777777777778</v>
      </c>
      <c r="G7143" s="51">
        <f>ROUNDUP(F7143*(E7143/21)/E7107,0)</f>
        <v>21</v>
      </c>
    </row>
    <row r="7144" spans="1:9" x14ac:dyDescent="0.25">
      <c r="A7144" s="69" t="s">
        <v>402</v>
      </c>
      <c r="B7144" s="72" t="str">
        <f>VLOOKUP(A7144,'Componentes APUs'!$A$1:$D$14,2,0)</f>
        <v>Bota de seguridad PVC dielectrica</v>
      </c>
      <c r="C7144" s="73"/>
      <c r="D7144" s="50" t="str">
        <f>VLOOKUP(A7144,'Componentes APUs'!$A$1:$D$14,3,0)</f>
        <v>Par</v>
      </c>
      <c r="E7144" s="50">
        <f>SUM(C7119:C7124)</f>
        <v>1.25</v>
      </c>
      <c r="F7144" s="51">
        <f>VLOOKUP(A7144,'Componentes APUs'!$A$1:$D$14,4,0)</f>
        <v>2916.6666666666665</v>
      </c>
      <c r="G7144" s="51">
        <f>ROUNDUP(F7144*(E7144/21)/E7107,0)</f>
        <v>22</v>
      </c>
    </row>
    <row r="7145" spans="1:9" x14ac:dyDescent="0.25">
      <c r="A7145" s="50" t="s">
        <v>403</v>
      </c>
      <c r="B7145" s="72" t="str">
        <f>VLOOKUP(A7145,'Componentes APUs'!$A$1:$D$14,2,0)</f>
        <v>Capuchon</v>
      </c>
      <c r="C7145" s="73"/>
      <c r="D7145" s="50" t="str">
        <f>VLOOKUP(A7145,'Componentes APUs'!$A$1:$D$14,3,0)</f>
        <v>U</v>
      </c>
      <c r="E7145" s="50">
        <f>SUM(C7119:C7124)</f>
        <v>1.25</v>
      </c>
      <c r="F7145" s="51">
        <f>VLOOKUP(A7145,'Componentes APUs'!$A$1:$D$14,4,0)</f>
        <v>2525.2525252525252</v>
      </c>
      <c r="G7145" s="51">
        <f>ROUNDUP(F7145*(E7145/21)/E7107,0)</f>
        <v>19</v>
      </c>
    </row>
    <row r="7146" spans="1:9" x14ac:dyDescent="0.25">
      <c r="A7146" s="69" t="s">
        <v>81</v>
      </c>
      <c r="B7146" s="72" t="str">
        <f>VLOOKUP(A7146,'Componentes APUs'!$A$1:$D$14,2,0)</f>
        <v>Guantes Protectores  - ingeniero reforzados</v>
      </c>
      <c r="C7146" s="73"/>
      <c r="D7146" s="50" t="str">
        <f>VLOOKUP(A7146,'Componentes APUs'!$A$1:$D$14,3,0)</f>
        <v>Par</v>
      </c>
      <c r="E7146" s="50">
        <f>C7121+C7122+C7124</f>
        <v>1.25</v>
      </c>
      <c r="F7146" s="51">
        <f>VLOOKUP(A7146,'Componentes APUs'!$A$1:$D$14,4,0)</f>
        <v>2525.2525252525252</v>
      </c>
      <c r="G7146" s="51">
        <f>ROUNDUP(F7146*(E7146/21)/E7107,0)</f>
        <v>19</v>
      </c>
    </row>
    <row r="7147" spans="1:9" x14ac:dyDescent="0.25">
      <c r="A7147" s="50" t="s">
        <v>83</v>
      </c>
      <c r="B7147" s="72" t="str">
        <f>VLOOKUP(A7147,'Componentes APUs'!$A$1:$D$14,2,0)</f>
        <v>Impermeable (pantalon camisa)</v>
      </c>
      <c r="C7147" s="73"/>
      <c r="D7147" s="50" t="str">
        <f>VLOOKUP(A7147,'Componentes APUs'!$A$1:$D$14,3,0)</f>
        <v>U</v>
      </c>
      <c r="E7147" s="50">
        <f>SUM(C7119:C7124)</f>
        <v>1.25</v>
      </c>
      <c r="F7147" s="51">
        <f>VLOOKUP(A7147,'Componentes APUs'!$A$1:$D$14,4,0)</f>
        <v>3750</v>
      </c>
      <c r="G7147" s="51">
        <f>ROUNDUP(F7147*(E7147/21)/E7107,0)</f>
        <v>28</v>
      </c>
    </row>
    <row r="7148" spans="1:9" x14ac:dyDescent="0.25">
      <c r="A7148" s="69" t="s">
        <v>85</v>
      </c>
      <c r="B7148" s="72" t="str">
        <f>VLOOKUP(A7148,'Componentes APUs'!$A$1:$D$14,2,0)</f>
        <v>Jean Dielectrico</v>
      </c>
      <c r="C7148" s="73"/>
      <c r="D7148" s="50" t="str">
        <f>VLOOKUP(A7148,'Componentes APUs'!$A$1:$D$14,3,0)</f>
        <v>U</v>
      </c>
      <c r="E7148" s="50">
        <f>SUM(C7119:C7124)</f>
        <v>1.25</v>
      </c>
      <c r="F7148" s="51">
        <f>VLOOKUP(A7148,'Componentes APUs'!$A$1:$D$14,4,0)</f>
        <v>7575.757575757576</v>
      </c>
      <c r="G7148" s="51">
        <f>ROUNDUP(F7148*(E7148/21)/E7107,0)</f>
        <v>57</v>
      </c>
    </row>
    <row r="7149" spans="1:9" x14ac:dyDescent="0.25">
      <c r="A7149" s="50" t="s">
        <v>87</v>
      </c>
      <c r="B7149" s="72" t="str">
        <f>VLOOKUP(A7149,'Componentes APUs'!$A$1:$D$14,2,0)</f>
        <v>Casco dielectrico Tipo 2 Clase E con barboquejo</v>
      </c>
      <c r="C7149" s="73"/>
      <c r="D7149" s="50" t="str">
        <f>VLOOKUP(A7149,'Componentes APUs'!$A$1:$D$14,3,0)</f>
        <v>U</v>
      </c>
      <c r="E7149" s="53">
        <f>IF(A7121="MO-3",C7121,0)</f>
        <v>0</v>
      </c>
      <c r="F7149" s="51">
        <f>VLOOKUP(A7149,'Componentes APUs'!$A$1:$D$14,4,0)</f>
        <v>7500</v>
      </c>
      <c r="G7149" s="51">
        <f>ROUNDUP(F7149*(E7149/21)/E7107,0)</f>
        <v>0</v>
      </c>
    </row>
    <row r="7150" spans="1:9" x14ac:dyDescent="0.25">
      <c r="A7150" s="69" t="s">
        <v>89</v>
      </c>
      <c r="B7150" s="72" t="str">
        <f>VLOOKUP(A7150,'Componentes APUs'!$A$1:$D$14,2,0)</f>
        <v>Kit de rescate para trabajo en alturas</v>
      </c>
      <c r="C7150" s="73"/>
      <c r="D7150" s="50" t="str">
        <f>VLOOKUP(A7150,'Componentes APUs'!$A$1:$D$14,3,0)</f>
        <v>U</v>
      </c>
      <c r="E7150" s="50">
        <f>IF(AND(A7121="MO-3",C7121=2),1,0)</f>
        <v>0</v>
      </c>
      <c r="F7150" s="51">
        <f>VLOOKUP(A7150,'Componentes APUs'!$A$1:$D$14,4,0)</f>
        <v>37500</v>
      </c>
      <c r="G7150" s="51">
        <f>ROUNDUP(F7150*(E7150/21)/E7107,0)</f>
        <v>0</v>
      </c>
    </row>
    <row r="7151" spans="1:9" x14ac:dyDescent="0.25">
      <c r="A7151" s="50" t="s">
        <v>91</v>
      </c>
      <c r="B7151" s="72" t="str">
        <f>VLOOKUP(A7151,'Componentes APUs'!$A$1:$D$14,2,0)</f>
        <v>Equipo completo para trabajo en alturas con pretales (Arnes dielectrico, 1 mosqueton de seguridad, tie off dielectrico, eslinga de posicionamiento, juego de pretales)</v>
      </c>
      <c r="C7151" s="73"/>
      <c r="D7151" s="50" t="str">
        <f>VLOOKUP(A7151,'Componentes APUs'!$A$1:$D$14,3,0)</f>
        <v>U</v>
      </c>
      <c r="E7151" s="50">
        <f>IF(A7121="MO-3",C7121,0)</f>
        <v>0</v>
      </c>
      <c r="F7151" s="51">
        <f>VLOOKUP(A7151,'Componentes APUs'!$A$1:$D$14,4,0)</f>
        <v>26041.666666666668</v>
      </c>
      <c r="G7151" s="51">
        <f>ROUNDUP(F7151*(E7151/21)/E7107,0)</f>
        <v>0</v>
      </c>
    </row>
    <row r="7152" spans="1:9" x14ac:dyDescent="0.25">
      <c r="A7152" s="219" t="s">
        <v>95</v>
      </c>
      <c r="B7152" s="219"/>
      <c r="C7152" s="219"/>
      <c r="D7152" s="219"/>
      <c r="E7152" s="219"/>
      <c r="F7152" s="219"/>
      <c r="G7152" s="52">
        <f>SUM(G7139:G7151)</f>
        <v>391</v>
      </c>
    </row>
    <row r="7153" spans="1:7" x14ac:dyDescent="0.25">
      <c r="A7153" s="56"/>
      <c r="B7153" s="57"/>
      <c r="C7153" s="57"/>
      <c r="D7153" s="57"/>
      <c r="E7153" s="57"/>
      <c r="F7153" s="57"/>
      <c r="G7153" s="58"/>
    </row>
    <row r="7154" spans="1:7" x14ac:dyDescent="0.25">
      <c r="A7154" s="219" t="s">
        <v>96</v>
      </c>
      <c r="B7154" s="219"/>
      <c r="C7154" s="219"/>
      <c r="D7154" s="219"/>
      <c r="E7154" s="219"/>
      <c r="F7154" s="219"/>
      <c r="G7154" s="219"/>
    </row>
    <row r="7155" spans="1:7" x14ac:dyDescent="0.25">
      <c r="A7155" s="49" t="s">
        <v>35</v>
      </c>
      <c r="B7155" s="225" t="s">
        <v>36</v>
      </c>
      <c r="C7155" s="225"/>
      <c r="D7155" s="49" t="s">
        <v>37</v>
      </c>
      <c r="E7155" s="49" t="s">
        <v>38</v>
      </c>
      <c r="F7155" s="49" t="s">
        <v>39</v>
      </c>
      <c r="G7155" s="49" t="s">
        <v>40</v>
      </c>
    </row>
    <row r="7156" spans="1:7" x14ac:dyDescent="0.25">
      <c r="A7156" s="69" t="s">
        <v>97</v>
      </c>
      <c r="B7156" s="72" t="str">
        <f>VLOOKUP(A7156,'Componentes APUs'!$N$1:$Q$30,2,0)</f>
        <v>Camioneta</v>
      </c>
      <c r="C7156" s="73"/>
      <c r="D7156" s="70" t="str">
        <f>VLOOKUP(A7156,'Componentes APUs'!$N$1:$Q$30,3,0)</f>
        <v>U</v>
      </c>
      <c r="E7156" s="50">
        <v>0</v>
      </c>
      <c r="F7156" s="51">
        <f>VLOOKUP(A7156,'Componentes APUs'!$N$1:$Q$30,4,0)</f>
        <v>5500000</v>
      </c>
      <c r="G7156" s="51">
        <f>IFERROR(ROUNDUP(F7156*(E7156/21)/E7107,0),"-")</f>
        <v>0</v>
      </c>
    </row>
    <row r="7157" spans="1:7" x14ac:dyDescent="0.25">
      <c r="A7157" s="50" t="s">
        <v>321</v>
      </c>
      <c r="B7157" s="72" t="str">
        <f>VLOOKUP(A7157,'Componentes APUs'!$N$1:$Q$30,2,0)</f>
        <v>Grúa Hidráulica</v>
      </c>
      <c r="C7157" s="73"/>
      <c r="D7157" s="70" t="str">
        <f>VLOOKUP(A7157,'Componentes APUs'!$N$1:$Q$30,3,0)</f>
        <v>U</v>
      </c>
      <c r="E7157" s="50">
        <v>0</v>
      </c>
      <c r="F7157" s="51">
        <f>VLOOKUP(A7157,'Componentes APUs'!$N$1:$Q$30,4,0)</f>
        <v>21000000</v>
      </c>
      <c r="G7157" s="51">
        <f>IFERROR(ROUNDUP(F7157*(E7157/21)/E7107,0),"-")</f>
        <v>0</v>
      </c>
    </row>
    <row r="7158" spans="1:7" x14ac:dyDescent="0.25">
      <c r="A7158" s="69" t="s">
        <v>1379</v>
      </c>
      <c r="B7158" s="72" t="str">
        <f>VLOOKUP(A7158,'Componentes APUs'!$N$1:$Q$30,2,0)</f>
        <v>Dumper de descarga Frontal 2T</v>
      </c>
      <c r="C7158" s="73"/>
      <c r="D7158" s="70" t="str">
        <f>VLOOKUP(A7158,'Componentes APUs'!$N$1:$Q$30,3,0)</f>
        <v>U</v>
      </c>
      <c r="E7158" s="50">
        <v>0</v>
      </c>
      <c r="F7158" s="51">
        <f>VLOOKUP(A7158,'Componentes APUs'!$N$1:$Q$30,4,0)</f>
        <v>4438716.24</v>
      </c>
      <c r="G7158" s="51">
        <f>IFERROR(ROUNDUP(F7158*(E7158/21)/E7107,0),"-")</f>
        <v>0</v>
      </c>
    </row>
    <row r="7159" spans="1:7" x14ac:dyDescent="0.25">
      <c r="A7159" s="50" t="s">
        <v>323</v>
      </c>
      <c r="B7159" s="72" t="str">
        <f>VLOOKUP(A7159,'Componentes APUs'!$N$1:$Q$30,2,0)</f>
        <v>Volqueta</v>
      </c>
      <c r="C7159" s="73"/>
      <c r="D7159" s="70" t="str">
        <f>VLOOKUP(A7159,'Componentes APUs'!$N$1:$Q$30,3,0)</f>
        <v>U</v>
      </c>
      <c r="E7159" s="50">
        <v>0</v>
      </c>
      <c r="F7159" s="51">
        <f>VLOOKUP(A7159,'Componentes APUs'!$N$1:$Q$30,4,0)</f>
        <v>14828184</v>
      </c>
      <c r="G7159" s="51">
        <f>IFERROR(ROUNDUP(F7159*(E7159/21)/E7107,0),"-")</f>
        <v>0</v>
      </c>
    </row>
    <row r="7160" spans="1:7" x14ac:dyDescent="0.25">
      <c r="A7160" s="69" t="s">
        <v>324</v>
      </c>
      <c r="B7160" s="72" t="str">
        <f>VLOOKUP(A7160,'Componentes APUs'!$N$1:$Q$30,2,0)</f>
        <v>Retroexcavadora</v>
      </c>
      <c r="C7160" s="73"/>
      <c r="D7160" s="70" t="str">
        <f>VLOOKUP(A7160,'Componentes APUs'!$N$1:$Q$30,3,0)</f>
        <v>U</v>
      </c>
      <c r="E7160" s="50">
        <v>0</v>
      </c>
      <c r="F7160" s="51">
        <f>VLOOKUP(A7160,'Componentes APUs'!$N$1:$Q$30,4,0)</f>
        <v>46030656</v>
      </c>
      <c r="G7160" s="51">
        <f>IFERROR(ROUNDUP(F7160*(E7160/21)/E7107,0),"-")</f>
        <v>0</v>
      </c>
    </row>
    <row r="7161" spans="1:7" x14ac:dyDescent="0.25">
      <c r="A7161" s="219" t="s">
        <v>99</v>
      </c>
      <c r="B7161" s="219"/>
      <c r="C7161" s="219"/>
      <c r="D7161" s="219"/>
      <c r="E7161" s="219"/>
      <c r="F7161" s="219"/>
      <c r="G7161" s="52">
        <f>SUM(G7156:G7160)</f>
        <v>0</v>
      </c>
    </row>
    <row r="7162" spans="1:7" x14ac:dyDescent="0.25">
      <c r="A7162" s="56"/>
      <c r="B7162" s="57"/>
      <c r="C7162" s="57"/>
      <c r="D7162" s="57"/>
      <c r="E7162" s="57"/>
      <c r="F7162" s="57"/>
      <c r="G7162" s="58"/>
    </row>
    <row r="7163" spans="1:7" x14ac:dyDescent="0.25">
      <c r="A7163" s="219" t="s">
        <v>100</v>
      </c>
      <c r="B7163" s="219"/>
      <c r="C7163" s="219"/>
      <c r="D7163" s="219"/>
      <c r="E7163" s="219"/>
      <c r="F7163" s="219"/>
      <c r="G7163" s="52">
        <f>G7161+G7152+G7135+G7125+G7115</f>
        <v>40832</v>
      </c>
    </row>
    <row r="7164" spans="1:7" x14ac:dyDescent="0.25">
      <c r="A7164" s="59"/>
      <c r="B7164" s="60"/>
      <c r="C7164" s="60"/>
      <c r="D7164" s="60"/>
      <c r="E7164" s="57"/>
      <c r="F7164" s="57"/>
      <c r="G7164" s="58"/>
    </row>
    <row r="7165" spans="1:7" x14ac:dyDescent="0.25">
      <c r="A7165" s="64"/>
      <c r="D7165" s="55"/>
      <c r="E7165" s="49" t="s">
        <v>25</v>
      </c>
      <c r="F7165" s="54">
        <v>0.15</v>
      </c>
      <c r="G7165" s="51">
        <f>G7163*F7165</f>
        <v>6124.8</v>
      </c>
    </row>
    <row r="7166" spans="1:7" x14ac:dyDescent="0.25">
      <c r="A7166" s="64"/>
      <c r="D7166" s="55"/>
      <c r="E7166" s="49" t="s">
        <v>26</v>
      </c>
      <c r="F7166" s="54">
        <v>0.05</v>
      </c>
      <c r="G7166" s="51">
        <f>G7163*F7166</f>
        <v>2041.6000000000001</v>
      </c>
    </row>
    <row r="7167" spans="1:7" x14ac:dyDescent="0.25">
      <c r="A7167" s="61"/>
      <c r="B7167" s="65"/>
      <c r="C7167" s="65"/>
      <c r="D7167" s="62"/>
      <c r="E7167" s="49" t="s">
        <v>27</v>
      </c>
      <c r="F7167" s="54">
        <v>0.05</v>
      </c>
      <c r="G7167" s="51">
        <f>G7163*F7167</f>
        <v>2041.6000000000001</v>
      </c>
    </row>
    <row r="7168" spans="1:7" x14ac:dyDescent="0.25">
      <c r="A7168" s="61"/>
      <c r="B7168" s="62"/>
      <c r="C7168" s="62"/>
      <c r="D7168" s="62"/>
      <c r="E7168" s="62"/>
      <c r="F7168" s="62"/>
      <c r="G7168" s="63"/>
    </row>
    <row r="7169" spans="1:9" x14ac:dyDescent="0.25">
      <c r="A7169" s="219" t="s">
        <v>101</v>
      </c>
      <c r="B7169" s="219"/>
      <c r="C7169" s="219"/>
      <c r="D7169" s="219"/>
      <c r="E7169" s="219"/>
      <c r="F7169" s="219"/>
      <c r="G7169" s="52">
        <f>G7163+G7165+G7166+G7167</f>
        <v>51040</v>
      </c>
    </row>
    <row r="7170" spans="1:9" x14ac:dyDescent="0.25">
      <c r="A7170" s="59"/>
      <c r="B7170" s="60"/>
      <c r="C7170" s="60"/>
      <c r="D7170" s="60"/>
      <c r="E7170" s="57"/>
      <c r="F7170" s="57"/>
      <c r="G7170" s="58"/>
    </row>
    <row r="7171" spans="1:9" x14ac:dyDescent="0.25">
      <c r="A7171" s="64"/>
      <c r="D7171" s="55"/>
      <c r="E7171" s="49" t="s">
        <v>102</v>
      </c>
      <c r="F7171" s="49" t="s">
        <v>103</v>
      </c>
      <c r="G7171" s="51">
        <f>G7167*19%</f>
        <v>387.90400000000005</v>
      </c>
    </row>
    <row r="7172" spans="1:9" x14ac:dyDescent="0.25">
      <c r="A7172" s="61"/>
      <c r="B7172" s="62"/>
      <c r="C7172" s="62"/>
      <c r="D7172" s="62"/>
      <c r="E7172" s="57"/>
      <c r="F7172" s="57"/>
      <c r="G7172" s="58"/>
    </row>
    <row r="7173" spans="1:9" x14ac:dyDescent="0.25">
      <c r="A7173" s="219" t="s">
        <v>104</v>
      </c>
      <c r="B7173" s="219"/>
      <c r="C7173" s="219"/>
      <c r="D7173" s="219"/>
      <c r="E7173" s="219"/>
      <c r="F7173" s="219"/>
      <c r="G7173" s="52">
        <f>G7171+G7169</f>
        <v>51427.904000000002</v>
      </c>
    </row>
    <row r="7175" spans="1:9" x14ac:dyDescent="0.25">
      <c r="A7175" s="74" t="s">
        <v>29</v>
      </c>
      <c r="B7175" s="226" t="s">
        <v>30</v>
      </c>
      <c r="C7175" s="226"/>
      <c r="D7175" s="74" t="s">
        <v>31</v>
      </c>
      <c r="E7175" s="74" t="s">
        <v>32</v>
      </c>
      <c r="F7175" s="74" t="s">
        <v>189</v>
      </c>
      <c r="G7175" s="74" t="s">
        <v>33</v>
      </c>
      <c r="H7175" s="105"/>
    </row>
    <row r="7176" spans="1:9" x14ac:dyDescent="0.25">
      <c r="A7176" s="50" t="str">
        <f>Presupuesto!B135</f>
        <v>114_OC</v>
      </c>
      <c r="B7176" s="227" t="str">
        <f>Presupuesto!C135</f>
        <v>TRATAMIENTO FACHADA REPELE AGUA (HIDROFUGO)</v>
      </c>
      <c r="C7176" s="228"/>
      <c r="D7176" s="50" t="s">
        <v>113</v>
      </c>
      <c r="E7176" s="107">
        <v>6</v>
      </c>
      <c r="F7176" s="50"/>
      <c r="G7176" s="51">
        <f>G7240</f>
        <v>59105.815999999999</v>
      </c>
      <c r="H7176" s="45"/>
    </row>
    <row r="7177" spans="1:9" x14ac:dyDescent="0.25">
      <c r="A7177" s="219" t="s">
        <v>1961</v>
      </c>
      <c r="B7177" s="219"/>
      <c r="C7177" s="219"/>
      <c r="D7177" s="219"/>
      <c r="E7177" s="219"/>
      <c r="F7177" s="219"/>
      <c r="G7177" s="219"/>
    </row>
    <row r="7178" spans="1:9" x14ac:dyDescent="0.25">
      <c r="A7178" s="49" t="s">
        <v>35</v>
      </c>
      <c r="B7178" s="219" t="s">
        <v>36</v>
      </c>
      <c r="C7178" s="219"/>
      <c r="D7178" s="49" t="s">
        <v>37</v>
      </c>
      <c r="E7178" s="49" t="s">
        <v>38</v>
      </c>
      <c r="F7178" s="49" t="s">
        <v>39</v>
      </c>
      <c r="G7178" s="49" t="s">
        <v>40</v>
      </c>
    </row>
    <row r="7179" spans="1:9" x14ac:dyDescent="0.25">
      <c r="A7179" s="50" t="str">
        <f>Material!A650</f>
        <v>MA-649</v>
      </c>
      <c r="B7179" s="72" t="str">
        <f>IFERROR(VLOOKUP(A7179,Material!$A:$H,2,0),"-")</f>
        <v>HIDROLAVADORA INDUSTRIAL 3.000 PSI</v>
      </c>
      <c r="C7179" s="76"/>
      <c r="D7179" s="50" t="str">
        <f>IFERROR(VLOOKUP(A7179,Material!$A:$H,4,0),"-")</f>
        <v>DIA</v>
      </c>
      <c r="E7179" s="96">
        <v>0.1</v>
      </c>
      <c r="F7179" s="51">
        <f>IFERROR(VLOOKUP(A7179,Material!$A:$H,3,0),"-")</f>
        <v>96236.400000000009</v>
      </c>
      <c r="G7179" s="51">
        <f>IFERROR(ROUNDUP(F7179*E7179,0),"-")</f>
        <v>9624</v>
      </c>
      <c r="H7179" s="106"/>
    </row>
    <row r="7180" spans="1:9" x14ac:dyDescent="0.25">
      <c r="A7180" s="50" t="str">
        <f>Material!A651</f>
        <v>MA-650</v>
      </c>
      <c r="B7180" s="72" t="str">
        <f>IFERROR(VLOOKUP(A7180,Material!$A:$H,2,0),"-")</f>
        <v>PINTURA TEXTURIZADA HIDROREPELENTE</v>
      </c>
      <c r="C7180" s="76"/>
      <c r="D7180" s="50" t="str">
        <f>IFERROR(VLOOKUP(A7180,Material!$A:$H,4,0),"-")</f>
        <v>Cñ</v>
      </c>
      <c r="E7180" s="96">
        <v>6.6666666666666666E-2</v>
      </c>
      <c r="F7180" s="51">
        <f>IFERROR(VLOOKUP(A7180,Material!$A:$H,3,0),"-")</f>
        <v>90089.025000000009</v>
      </c>
      <c r="G7180" s="51">
        <f>IFERROR(ROUNDUP(F7180*E7180,0),"-")</f>
        <v>6006</v>
      </c>
      <c r="H7180" s="106"/>
    </row>
    <row r="7181" spans="1:9" x14ac:dyDescent="0.25">
      <c r="A7181" s="50" t="str">
        <f>Material!A607</f>
        <v>MA-606</v>
      </c>
      <c r="B7181" s="72" t="str">
        <f>IFERROR(VLOOKUP(A7181,Material!$A:$H,2,0),"-")</f>
        <v xml:space="preserve">ANDAMIO DE TIJERA COMPLETO 1.5 X 1.5 X 2,3 </v>
      </c>
      <c r="C7181" s="76"/>
      <c r="D7181" s="50" t="str">
        <f>IFERROR(VLOOKUP(A7181,Material!$A:$H,4,0),"-")</f>
        <v>DIA</v>
      </c>
      <c r="E7181" s="107">
        <v>0.5</v>
      </c>
      <c r="F7181" s="51">
        <f>IFERROR(VLOOKUP(A7181,Material!$A:$H,3,0),"-")</f>
        <v>1247.3500000000001</v>
      </c>
      <c r="G7181" s="51">
        <f>IFERROR(ROUNDUP(F7181*E7181,0),"-")</f>
        <v>624</v>
      </c>
      <c r="H7181" s="106"/>
    </row>
    <row r="7182" spans="1:9" x14ac:dyDescent="0.25">
      <c r="A7182" s="219" t="s">
        <v>41</v>
      </c>
      <c r="B7182" s="219"/>
      <c r="C7182" s="219"/>
      <c r="D7182" s="219"/>
      <c r="E7182" s="219"/>
      <c r="F7182" s="219"/>
      <c r="G7182" s="52">
        <f>SUM(G7179:G7181)</f>
        <v>16254</v>
      </c>
      <c r="I7182" s="104"/>
    </row>
    <row r="7183" spans="1:9" x14ac:dyDescent="0.25">
      <c r="A7183" s="56"/>
      <c r="B7183" s="57"/>
      <c r="C7183" s="57"/>
      <c r="D7183" s="57"/>
      <c r="E7183" s="57"/>
      <c r="F7183" s="57"/>
      <c r="G7183" s="58"/>
    </row>
    <row r="7184" spans="1:9" x14ac:dyDescent="0.25">
      <c r="A7184" s="219" t="s">
        <v>42</v>
      </c>
      <c r="B7184" s="219"/>
      <c r="C7184" s="219"/>
      <c r="D7184" s="219"/>
      <c r="E7184" s="219"/>
      <c r="F7184" s="219"/>
      <c r="G7184" s="219"/>
    </row>
    <row r="7185" spans="1:9" x14ac:dyDescent="0.25">
      <c r="A7185" s="49" t="s">
        <v>35</v>
      </c>
      <c r="B7185" s="49" t="s">
        <v>36</v>
      </c>
      <c r="C7185" s="49" t="s">
        <v>38</v>
      </c>
      <c r="D7185" s="49" t="s">
        <v>43</v>
      </c>
      <c r="E7185" s="49" t="s">
        <v>44</v>
      </c>
      <c r="F7185" s="49" t="s">
        <v>45</v>
      </c>
      <c r="G7185" s="49" t="s">
        <v>40</v>
      </c>
    </row>
    <row r="7186" spans="1:9" x14ac:dyDescent="0.25">
      <c r="A7186" s="50" t="s">
        <v>319</v>
      </c>
      <c r="B7186" s="68" t="str">
        <f>VLOOKUP(A7186,'Componentes APUs'!$H$1:$L$25,2,0)</f>
        <v>Ingeniero Residente de Obra</v>
      </c>
      <c r="C7186" s="93">
        <v>0</v>
      </c>
      <c r="D7186" s="50">
        <f>VLOOKUP(A7186,'Componentes APUs'!$H$1:$L$25,3,0)</f>
        <v>4</v>
      </c>
      <c r="E7186" s="51">
        <f>VLOOKUP(A7186,'Componentes APUs'!$H$1:$L$25,4,0)</f>
        <v>271142.85714285716</v>
      </c>
      <c r="F7186" s="51">
        <f>VLOOKUP(A7186,'Componentes APUs'!$H$1:$L$25,5,0)</f>
        <v>162685.71428571429</v>
      </c>
      <c r="G7186" s="51">
        <f>ROUNDUP((E7186+F7186)*C7186/E7176,0)</f>
        <v>0</v>
      </c>
      <c r="H7186" s="66"/>
    </row>
    <row r="7187" spans="1:9" x14ac:dyDescent="0.25">
      <c r="A7187" s="50" t="s">
        <v>320</v>
      </c>
      <c r="B7187" s="68" t="str">
        <f>VLOOKUP(A7187,'Componentes APUs'!$H$1:$L$25,2,0)</f>
        <v>Tecnico Supervisor</v>
      </c>
      <c r="C7187" s="93">
        <v>0</v>
      </c>
      <c r="D7187" s="50">
        <f>VLOOKUP(A7187,'Componentes APUs'!$H$1:$L$25,3,0)</f>
        <v>2.2999999999999998</v>
      </c>
      <c r="E7187" s="51">
        <f>VLOOKUP(A7187,'Componentes APUs'!$H$1:$L$25,4,0)</f>
        <v>155907.14285714284</v>
      </c>
      <c r="F7187" s="51">
        <f>VLOOKUP(A7187,'Componentes APUs'!$H$1:$L$25,5,0)</f>
        <v>93544.285714285696</v>
      </c>
      <c r="G7187" s="51">
        <f>ROUNDUP((E7187+F7187)*C7187/E7176,0)</f>
        <v>0</v>
      </c>
    </row>
    <row r="7188" spans="1:9" x14ac:dyDescent="0.25">
      <c r="A7188" s="50" t="s">
        <v>54</v>
      </c>
      <c r="B7188" s="68" t="str">
        <f>VLOOKUP(A7188,'Componentes APUs'!$H$1:$L$25,2,0)</f>
        <v>Maestro de obra civil</v>
      </c>
      <c r="C7188" s="93">
        <v>0</v>
      </c>
      <c r="D7188" s="50">
        <f>VLOOKUP(A7188,'Componentes APUs'!$H$1:$L$25,3,0)</f>
        <v>2.5</v>
      </c>
      <c r="E7188" s="51">
        <f>VLOOKUP(A7188,'Componentes APUs'!$H$1:$L$25,4,0)</f>
        <v>169464.28571428571</v>
      </c>
      <c r="F7188" s="51">
        <f>VLOOKUP(A7188,'Componentes APUs'!$H$1:$L$25,5,0)</f>
        <v>101678.57142857142</v>
      </c>
      <c r="G7188" s="51">
        <f>ROUNDUP((E7188+F7188)*C7188/E7176,0)</f>
        <v>0</v>
      </c>
    </row>
    <row r="7189" spans="1:9" x14ac:dyDescent="0.25">
      <c r="A7189" s="50" t="s">
        <v>1110</v>
      </c>
      <c r="B7189" s="68" t="str">
        <f>VLOOKUP(A7189,'Componentes APUs'!$H$1:$L$25,2,0)</f>
        <v>Oficial de Obra Civil</v>
      </c>
      <c r="C7189" s="93">
        <v>0.25</v>
      </c>
      <c r="D7189" s="50">
        <f>VLOOKUP(A7189,'Componentes APUs'!$H$1:$L$25,3,0)</f>
        <v>1.5</v>
      </c>
      <c r="E7189" s="51">
        <f>VLOOKUP(A7189,'Componentes APUs'!$H$1:$L$25,4,0)</f>
        <v>115964.28571428571</v>
      </c>
      <c r="F7189" s="51">
        <f>VLOOKUP(A7189,'Componentes APUs'!$H$1:$L$25,5,0)</f>
        <v>69578.57142857142</v>
      </c>
      <c r="G7189" s="51">
        <f>ROUNDUP((E7189+F7189)*C7189/E7176,0)</f>
        <v>7731</v>
      </c>
    </row>
    <row r="7190" spans="1:9" x14ac:dyDescent="0.25">
      <c r="A7190" s="50" t="s">
        <v>50</v>
      </c>
      <c r="B7190" s="68" t="str">
        <f>VLOOKUP(A7190,'Componentes APUs'!$H$1:$L$25,2,0)</f>
        <v>Profesional en SST</v>
      </c>
      <c r="C7190" s="93">
        <v>0</v>
      </c>
      <c r="D7190" s="50">
        <f>VLOOKUP(A7190,'Componentes APUs'!$H$1:$L$25,3,0)</f>
        <v>2.5</v>
      </c>
      <c r="E7190" s="51">
        <f>VLOOKUP(A7190,'Componentes APUs'!$H$1:$L$25,4,0)</f>
        <v>169464.28571428571</v>
      </c>
      <c r="F7190" s="51">
        <f>VLOOKUP(A7190,'Componentes APUs'!$H$1:$L$25,5,0)</f>
        <v>101678.57142857142</v>
      </c>
      <c r="G7190" s="51">
        <f>ROUNDUP((E7190+F7190)*C7190/E7176,0)</f>
        <v>0</v>
      </c>
    </row>
    <row r="7191" spans="1:9" x14ac:dyDescent="0.25">
      <c r="A7191" s="50" t="s">
        <v>1109</v>
      </c>
      <c r="B7191" s="68" t="str">
        <f>VLOOKUP(A7191,'Componentes APUs'!$H$1:$L$25,2,0)</f>
        <v>Ayudante de Obra Civil</v>
      </c>
      <c r="C7191" s="93">
        <v>1</v>
      </c>
      <c r="D7191" s="50">
        <f>VLOOKUP(A7191,'Componentes APUs'!$H$1:$L$25,3,0)</f>
        <v>1</v>
      </c>
      <c r="E7191" s="51">
        <f>VLOOKUP(A7191,'Componentes APUs'!$H$1:$L$25,4,0)</f>
        <v>77309.523809523816</v>
      </c>
      <c r="F7191" s="51">
        <f>VLOOKUP(A7191,'Componentes APUs'!$H$1:$L$25,5,0)</f>
        <v>46385.71428571429</v>
      </c>
      <c r="G7191" s="51">
        <f>ROUNDUP((E7191+F7191)*C7191/E7176,0)</f>
        <v>20616</v>
      </c>
    </row>
    <row r="7192" spans="1:9" x14ac:dyDescent="0.25">
      <c r="A7192" s="219" t="s">
        <v>56</v>
      </c>
      <c r="B7192" s="219"/>
      <c r="C7192" s="219"/>
      <c r="D7192" s="219"/>
      <c r="E7192" s="219"/>
      <c r="F7192" s="219"/>
      <c r="G7192" s="52">
        <f>SUM(G7186:G7191)</f>
        <v>28347</v>
      </c>
    </row>
    <row r="7193" spans="1:9" x14ac:dyDescent="0.25">
      <c r="A7193" s="56"/>
      <c r="B7193" s="57"/>
      <c r="C7193" s="57"/>
      <c r="D7193" s="57"/>
      <c r="E7193" s="57"/>
      <c r="F7193" s="57"/>
      <c r="G7193" s="58"/>
    </row>
    <row r="7194" spans="1:9" x14ac:dyDescent="0.25">
      <c r="A7194" s="219" t="s">
        <v>57</v>
      </c>
      <c r="B7194" s="219"/>
      <c r="C7194" s="219"/>
      <c r="D7194" s="219"/>
      <c r="E7194" s="219"/>
      <c r="F7194" s="219"/>
      <c r="G7194" s="219"/>
    </row>
    <row r="7195" spans="1:9" x14ac:dyDescent="0.25">
      <c r="A7195" s="49" t="s">
        <v>35</v>
      </c>
      <c r="B7195" s="219" t="s">
        <v>36</v>
      </c>
      <c r="C7195" s="219"/>
      <c r="D7195" s="49" t="s">
        <v>37</v>
      </c>
      <c r="E7195" s="49" t="s">
        <v>38</v>
      </c>
      <c r="F7195" s="49" t="s">
        <v>39</v>
      </c>
      <c r="G7195" s="49" t="s">
        <v>40</v>
      </c>
    </row>
    <row r="7196" spans="1:9" x14ac:dyDescent="0.25">
      <c r="A7196" s="50" t="s">
        <v>326</v>
      </c>
      <c r="B7196" s="220" t="str">
        <f>VLOOKUP(A7196,'Componentes APUs'!$S$1:$V$10,2,0)</f>
        <v>Juego Llaves</v>
      </c>
      <c r="C7196" s="220"/>
      <c r="D7196" s="50" t="s">
        <v>18</v>
      </c>
      <c r="E7196" s="50">
        <v>0</v>
      </c>
      <c r="F7196" s="51">
        <f>VLOOKUP(A7196,'Componentes APUs'!$S$1:$V$10,4,0)</f>
        <v>9167</v>
      </c>
      <c r="G7196" s="51">
        <f>ROUNDUP(F7196*((E7196/21)/E7176),0)</f>
        <v>0</v>
      </c>
      <c r="I7196" s="91"/>
    </row>
    <row r="7197" spans="1:9" x14ac:dyDescent="0.25">
      <c r="A7197" s="50" t="s">
        <v>58</v>
      </c>
      <c r="B7197" s="220" t="str">
        <f>VLOOKUP(A7197,'Componentes APUs'!$S$1:$V$10,2,0)</f>
        <v>Manila de servicio</v>
      </c>
      <c r="C7197" s="220"/>
      <c r="D7197" s="50" t="s">
        <v>18</v>
      </c>
      <c r="E7197" s="50">
        <v>0</v>
      </c>
      <c r="F7197" s="51">
        <f>VLOOKUP(A7197,'Componentes APUs'!$S$1:$V$10,4,0)</f>
        <v>2333</v>
      </c>
      <c r="G7197" s="51">
        <f>ROUNDUP(F7197*((E7197/21)/E7176),0)</f>
        <v>0</v>
      </c>
    </row>
    <row r="7198" spans="1:9" x14ac:dyDescent="0.25">
      <c r="A7198" s="50" t="s">
        <v>327</v>
      </c>
      <c r="B7198" s="220" t="str">
        <f>VLOOKUP(A7198,'Componentes APUs'!$S$1:$V$10,2,0)</f>
        <v>Tula portaherramientas</v>
      </c>
      <c r="C7198" s="220"/>
      <c r="D7198" s="50" t="s">
        <v>18</v>
      </c>
      <c r="E7198" s="50">
        <v>0</v>
      </c>
      <c r="F7198" s="51">
        <f>VLOOKUP(A7198,'Componentes APUs'!$S$1:$V$10,4,0)</f>
        <v>1250</v>
      </c>
      <c r="G7198" s="51">
        <f>ROUNDUP(F7198*((E7198/21)/E7176),0)</f>
        <v>0</v>
      </c>
    </row>
    <row r="7199" spans="1:9" x14ac:dyDescent="0.25">
      <c r="A7199" s="50" t="s">
        <v>60</v>
      </c>
      <c r="B7199" s="220" t="str">
        <f>VLOOKUP(A7199,'Componentes APUs'!$S$1:$V$10,2,0)</f>
        <v>Agarradoras</v>
      </c>
      <c r="C7199" s="220"/>
      <c r="D7199" s="50" t="s">
        <v>18</v>
      </c>
      <c r="E7199" s="50">
        <v>0</v>
      </c>
      <c r="F7199" s="51">
        <f>VLOOKUP(A7199,'Componentes APUs'!$S$1:$V$10,4,0)</f>
        <v>125000</v>
      </c>
      <c r="G7199" s="51">
        <f>ROUNDUP(F7199*((E7199/21)/E7176),0)</f>
        <v>0</v>
      </c>
    </row>
    <row r="7200" spans="1:9" x14ac:dyDescent="0.25">
      <c r="A7200" s="50" t="s">
        <v>62</v>
      </c>
      <c r="B7200" s="220" t="str">
        <f>VLOOKUP(A7200,'Componentes APUs'!$S$1:$V$10,2,0)</f>
        <v>Templadoras</v>
      </c>
      <c r="C7200" s="220"/>
      <c r="D7200" s="50" t="s">
        <v>18</v>
      </c>
      <c r="E7200" s="50">
        <v>0</v>
      </c>
      <c r="F7200" s="51">
        <f>VLOOKUP(A7200,'Componentes APUs'!$S$1:$V$10,4,0)</f>
        <v>250000</v>
      </c>
      <c r="G7200" s="51">
        <f>ROUNDUP(F7200*((E7200/21)/E7176),0)</f>
        <v>0</v>
      </c>
    </row>
    <row r="7201" spans="1:9" x14ac:dyDescent="0.25">
      <c r="A7201" s="50" t="s">
        <v>328</v>
      </c>
      <c r="B7201" s="220" t="str">
        <f>VLOOKUP(A7201,'Componentes APUs'!$S$1:$V$10,2,0)</f>
        <v>Herramienta Menor</v>
      </c>
      <c r="C7201" s="220"/>
      <c r="D7201" s="50" t="s">
        <v>18</v>
      </c>
      <c r="E7201" s="50">
        <v>3</v>
      </c>
      <c r="F7201" s="51">
        <f>VLOOKUP(A7201,'Componentes APUs'!$S$1:$V$10,4,0)</f>
        <v>75758</v>
      </c>
      <c r="G7201" s="51">
        <f>ROUNDUP(F7201*((E7201/21)/E7176),0)</f>
        <v>1804</v>
      </c>
    </row>
    <row r="7202" spans="1:9" x14ac:dyDescent="0.25">
      <c r="A7202" s="219" t="s">
        <v>69</v>
      </c>
      <c r="B7202" s="219"/>
      <c r="C7202" s="219"/>
      <c r="D7202" s="219"/>
      <c r="E7202" s="219"/>
      <c r="F7202" s="219"/>
      <c r="G7202" s="52">
        <f>SUM(G7196:G7201)</f>
        <v>1804</v>
      </c>
    </row>
    <row r="7203" spans="1:9" x14ac:dyDescent="0.25">
      <c r="A7203" s="56"/>
      <c r="B7203" s="57"/>
      <c r="C7203" s="57"/>
      <c r="D7203" s="57"/>
      <c r="E7203" s="57"/>
      <c r="F7203" s="57"/>
      <c r="G7203" s="58"/>
    </row>
    <row r="7204" spans="1:9" x14ac:dyDescent="0.25">
      <c r="A7204" s="219" t="s">
        <v>70</v>
      </c>
      <c r="B7204" s="219"/>
      <c r="C7204" s="219"/>
      <c r="D7204" s="219"/>
      <c r="E7204" s="219"/>
      <c r="F7204" s="219"/>
      <c r="G7204" s="219"/>
    </row>
    <row r="7205" spans="1:9" x14ac:dyDescent="0.25">
      <c r="A7205" s="49" t="s">
        <v>35</v>
      </c>
      <c r="B7205" s="219" t="s">
        <v>36</v>
      </c>
      <c r="C7205" s="219"/>
      <c r="D7205" s="49" t="s">
        <v>37</v>
      </c>
      <c r="E7205" s="49" t="s">
        <v>38</v>
      </c>
      <c r="F7205" s="49" t="s">
        <v>39</v>
      </c>
      <c r="G7205" s="49" t="s">
        <v>40</v>
      </c>
    </row>
    <row r="7206" spans="1:9" x14ac:dyDescent="0.25">
      <c r="A7206" s="50" t="s">
        <v>71</v>
      </c>
      <c r="B7206" s="71" t="str">
        <f>VLOOKUP(A7206,'Componentes APUs'!$A$1:$D$14,2,0)</f>
        <v>Camisa indigo sin partes metalicas</v>
      </c>
      <c r="C7206" s="71"/>
      <c r="D7206" s="50" t="str">
        <f>VLOOKUP(A7206,'Componentes APUs'!$A$1:$D$14,3,0)</f>
        <v>U</v>
      </c>
      <c r="E7206" s="50">
        <f>SUM(C7186:C7191)</f>
        <v>1.25</v>
      </c>
      <c r="F7206" s="51">
        <f>VLOOKUP(A7206,'Componentes APUs'!$A$1:$D$14,4,0)</f>
        <v>8585.8585858585866</v>
      </c>
      <c r="G7206" s="51">
        <f>ROUNDUP(F7206*(E7206/21)/E7176,0)</f>
        <v>86</v>
      </c>
      <c r="I7206" s="91"/>
    </row>
    <row r="7207" spans="1:9" x14ac:dyDescent="0.25">
      <c r="A7207" s="69" t="s">
        <v>73</v>
      </c>
      <c r="B7207" s="72" t="str">
        <f>VLOOKUP(A7207,'Componentes APUs'!$A$1:$D$14,2,0)</f>
        <v>Bota de seguridad dielectrica</v>
      </c>
      <c r="C7207" s="73"/>
      <c r="D7207" s="70" t="str">
        <f>VLOOKUP(A7207,'Componentes APUs'!$A$1:$D$14,3,0)</f>
        <v>Par</v>
      </c>
      <c r="E7207" s="50">
        <f>SUM(C7186:C7191)</f>
        <v>1.25</v>
      </c>
      <c r="F7207" s="51">
        <f>VLOOKUP(A7207,'Componentes APUs'!$A$1:$D$14,4,0)</f>
        <v>7500</v>
      </c>
      <c r="G7207" s="51">
        <f>ROUNDUP(F7207*(E7207/21)/E7176,0)</f>
        <v>75</v>
      </c>
    </row>
    <row r="7208" spans="1:9" x14ac:dyDescent="0.25">
      <c r="A7208" s="50" t="s">
        <v>76</v>
      </c>
      <c r="B7208" s="72" t="str">
        <f>VLOOKUP(A7208,'Componentes APUs'!$A$1:$D$14,2,0)</f>
        <v>Casco dielectrico Tipo 1 Clase E con barbuquejo</v>
      </c>
      <c r="C7208" s="73"/>
      <c r="D7208" s="50" t="str">
        <f>VLOOKUP(A7208,'Componentes APUs'!$A$1:$D$14,3,0)</f>
        <v>U</v>
      </c>
      <c r="E7208" s="50">
        <f>C7186+C7187+C7189+C7190+C7191+IF(A7188&lt;&gt;"MO-3",C7188,0)</f>
        <v>1.25</v>
      </c>
      <c r="F7208" s="51">
        <f>VLOOKUP(A7208,'Componentes APUs'!$A$1:$D$14,4,0)</f>
        <v>10101.010101010101</v>
      </c>
      <c r="G7208" s="51">
        <f>ROUNDUP(F7208*(E7208/21)/E7176,0)</f>
        <v>101</v>
      </c>
    </row>
    <row r="7209" spans="1:9" x14ac:dyDescent="0.25">
      <c r="A7209" s="69" t="s">
        <v>77</v>
      </c>
      <c r="B7209" s="72" t="str">
        <f>VLOOKUP(A7209,'Componentes APUs'!$A$1:$D$14,2,0)</f>
        <v>Correa plastica y antiflama</v>
      </c>
      <c r="C7209" s="73"/>
      <c r="D7209" s="50" t="str">
        <f>VLOOKUP(A7209,'Componentes APUs'!$A$1:$D$14,3,0)</f>
        <v>U</v>
      </c>
      <c r="E7209" s="50">
        <f>SUM(C7186:C7191)</f>
        <v>1.25</v>
      </c>
      <c r="F7209" s="51">
        <f>VLOOKUP(A7209,'Componentes APUs'!$A$1:$D$14,4,0)</f>
        <v>3787.878787878788</v>
      </c>
      <c r="G7209" s="51">
        <f>ROUNDUP(F7209*(E7209/21)/E7176,0)</f>
        <v>38</v>
      </c>
    </row>
    <row r="7210" spans="1:9" x14ac:dyDescent="0.25">
      <c r="A7210" s="50" t="s">
        <v>79</v>
      </c>
      <c r="B7210" s="72" t="str">
        <f>VLOOKUP(A7210,'Componentes APUs'!$A$1:$D$14,2,0)</f>
        <v>Gafas protectoras filtro UV</v>
      </c>
      <c r="C7210" s="73"/>
      <c r="D7210" s="50" t="str">
        <f>VLOOKUP(A7210,'Componentes APUs'!$A$1:$D$14,3,0)</f>
        <v>U</v>
      </c>
      <c r="E7210" s="50">
        <f>SUM(C7186:C7191)</f>
        <v>1.25</v>
      </c>
      <c r="F7210" s="51">
        <f>VLOOKUP(A7210,'Componentes APUs'!$A$1:$D$14,4,0)</f>
        <v>2777.7777777777778</v>
      </c>
      <c r="G7210" s="51">
        <f>ROUNDUP(F7210*(E7210/21)/E7176,0)</f>
        <v>28</v>
      </c>
    </row>
    <row r="7211" spans="1:9" x14ac:dyDescent="0.25">
      <c r="A7211" s="69" t="s">
        <v>402</v>
      </c>
      <c r="B7211" s="72" t="str">
        <f>VLOOKUP(A7211,'Componentes APUs'!$A$1:$D$14,2,0)</f>
        <v>Bota de seguridad PVC dielectrica</v>
      </c>
      <c r="C7211" s="73"/>
      <c r="D7211" s="50" t="str">
        <f>VLOOKUP(A7211,'Componentes APUs'!$A$1:$D$14,3,0)</f>
        <v>Par</v>
      </c>
      <c r="E7211" s="50">
        <f>SUM(C7186:C7191)</f>
        <v>1.25</v>
      </c>
      <c r="F7211" s="51">
        <f>VLOOKUP(A7211,'Componentes APUs'!$A$1:$D$14,4,0)</f>
        <v>2916.6666666666665</v>
      </c>
      <c r="G7211" s="51">
        <f>ROUNDUP(F7211*(E7211/21)/E7176,0)</f>
        <v>29</v>
      </c>
    </row>
    <row r="7212" spans="1:9" x14ac:dyDescent="0.25">
      <c r="A7212" s="50" t="s">
        <v>403</v>
      </c>
      <c r="B7212" s="72" t="str">
        <f>VLOOKUP(A7212,'Componentes APUs'!$A$1:$D$14,2,0)</f>
        <v>Capuchon</v>
      </c>
      <c r="C7212" s="73"/>
      <c r="D7212" s="50" t="str">
        <f>VLOOKUP(A7212,'Componentes APUs'!$A$1:$D$14,3,0)</f>
        <v>U</v>
      </c>
      <c r="E7212" s="50">
        <f>SUM(C7186:C7191)</f>
        <v>1.25</v>
      </c>
      <c r="F7212" s="51">
        <f>VLOOKUP(A7212,'Componentes APUs'!$A$1:$D$14,4,0)</f>
        <v>2525.2525252525252</v>
      </c>
      <c r="G7212" s="51">
        <f>ROUNDUP(F7212*(E7212/21)/E7176,0)</f>
        <v>26</v>
      </c>
    </row>
    <row r="7213" spans="1:9" x14ac:dyDescent="0.25">
      <c r="A7213" s="69" t="s">
        <v>81</v>
      </c>
      <c r="B7213" s="72" t="str">
        <f>VLOOKUP(A7213,'Componentes APUs'!$A$1:$D$14,2,0)</f>
        <v>Guantes Protectores  - ingeniero reforzados</v>
      </c>
      <c r="C7213" s="73"/>
      <c r="D7213" s="50" t="str">
        <f>VLOOKUP(A7213,'Componentes APUs'!$A$1:$D$14,3,0)</f>
        <v>Par</v>
      </c>
      <c r="E7213" s="50">
        <f>C7188+C7189+C7191</f>
        <v>1.25</v>
      </c>
      <c r="F7213" s="51">
        <f>VLOOKUP(A7213,'Componentes APUs'!$A$1:$D$14,4,0)</f>
        <v>2525.2525252525252</v>
      </c>
      <c r="G7213" s="51">
        <f>ROUNDUP(F7213*(E7213/21)/E7176,0)</f>
        <v>26</v>
      </c>
    </row>
    <row r="7214" spans="1:9" x14ac:dyDescent="0.25">
      <c r="A7214" s="50" t="s">
        <v>83</v>
      </c>
      <c r="B7214" s="72" t="str">
        <f>VLOOKUP(A7214,'Componentes APUs'!$A$1:$D$14,2,0)</f>
        <v>Impermeable (pantalon camisa)</v>
      </c>
      <c r="C7214" s="73"/>
      <c r="D7214" s="50" t="str">
        <f>VLOOKUP(A7214,'Componentes APUs'!$A$1:$D$14,3,0)</f>
        <v>U</v>
      </c>
      <c r="E7214" s="50">
        <f>SUM(C7186:C7191)</f>
        <v>1.25</v>
      </c>
      <c r="F7214" s="51">
        <f>VLOOKUP(A7214,'Componentes APUs'!$A$1:$D$14,4,0)</f>
        <v>3750</v>
      </c>
      <c r="G7214" s="51">
        <f>ROUNDUP(F7214*(E7214/21)/E7176,0)</f>
        <v>38</v>
      </c>
    </row>
    <row r="7215" spans="1:9" x14ac:dyDescent="0.25">
      <c r="A7215" s="69" t="s">
        <v>85</v>
      </c>
      <c r="B7215" s="72" t="str">
        <f>VLOOKUP(A7215,'Componentes APUs'!$A$1:$D$14,2,0)</f>
        <v>Jean Dielectrico</v>
      </c>
      <c r="C7215" s="73"/>
      <c r="D7215" s="50" t="str">
        <f>VLOOKUP(A7215,'Componentes APUs'!$A$1:$D$14,3,0)</f>
        <v>U</v>
      </c>
      <c r="E7215" s="50">
        <f>SUM(C7186:C7191)</f>
        <v>1.25</v>
      </c>
      <c r="F7215" s="51">
        <f>VLOOKUP(A7215,'Componentes APUs'!$A$1:$D$14,4,0)</f>
        <v>7575.757575757576</v>
      </c>
      <c r="G7215" s="51">
        <f>ROUNDUP(F7215*(E7215/21)/E7176,0)</f>
        <v>76</v>
      </c>
    </row>
    <row r="7216" spans="1:9" x14ac:dyDescent="0.25">
      <c r="A7216" s="50" t="s">
        <v>87</v>
      </c>
      <c r="B7216" s="72" t="str">
        <f>VLOOKUP(A7216,'Componentes APUs'!$A$1:$D$14,2,0)</f>
        <v>Casco dielectrico Tipo 2 Clase E con barboquejo</v>
      </c>
      <c r="C7216" s="73"/>
      <c r="D7216" s="50" t="str">
        <f>VLOOKUP(A7216,'Componentes APUs'!$A$1:$D$14,3,0)</f>
        <v>U</v>
      </c>
      <c r="E7216" s="53">
        <f>IF(A7188="MO-3",C7188,0)</f>
        <v>0</v>
      </c>
      <c r="F7216" s="51">
        <f>VLOOKUP(A7216,'Componentes APUs'!$A$1:$D$14,4,0)</f>
        <v>7500</v>
      </c>
      <c r="G7216" s="51">
        <f>ROUNDUP(F7216*(E7216/21)/E7176,0)</f>
        <v>0</v>
      </c>
    </row>
    <row r="7217" spans="1:7" x14ac:dyDescent="0.25">
      <c r="A7217" s="69" t="s">
        <v>89</v>
      </c>
      <c r="B7217" s="72" t="str">
        <f>VLOOKUP(A7217,'Componentes APUs'!$A$1:$D$14,2,0)</f>
        <v>Kit de rescate para trabajo en alturas</v>
      </c>
      <c r="C7217" s="73"/>
      <c r="D7217" s="50" t="str">
        <f>VLOOKUP(A7217,'Componentes APUs'!$A$1:$D$14,3,0)</f>
        <v>U</v>
      </c>
      <c r="E7217" s="50">
        <f>IF(AND(A7188="MO-3",C7188=2),1,0)</f>
        <v>0</v>
      </c>
      <c r="F7217" s="51">
        <f>VLOOKUP(A7217,'Componentes APUs'!$A$1:$D$14,4,0)</f>
        <v>37500</v>
      </c>
      <c r="G7217" s="51">
        <f>ROUNDUP(F7217*(E7217/21)/E7176,0)</f>
        <v>0</v>
      </c>
    </row>
    <row r="7218" spans="1:7" x14ac:dyDescent="0.25">
      <c r="A7218" s="50" t="s">
        <v>91</v>
      </c>
      <c r="B7218" s="72" t="str">
        <f>VLOOKUP(A7218,'Componentes APUs'!$A$1:$D$14,2,0)</f>
        <v>Equipo completo para trabajo en alturas con pretales (Arnes dielectrico, 1 mosqueton de seguridad, tie off dielectrico, eslinga de posicionamiento, juego de pretales)</v>
      </c>
      <c r="C7218" s="73"/>
      <c r="D7218" s="50" t="str">
        <f>VLOOKUP(A7218,'Componentes APUs'!$A$1:$D$14,3,0)</f>
        <v>U</v>
      </c>
      <c r="E7218" s="50">
        <f>IF(A7188="MO-3",C7188,0)</f>
        <v>0</v>
      </c>
      <c r="F7218" s="51">
        <f>VLOOKUP(A7218,'Componentes APUs'!$A$1:$D$14,4,0)</f>
        <v>26041.666666666668</v>
      </c>
      <c r="G7218" s="51">
        <f>ROUNDUP(F7218*(E7218/21)/E7176,0)</f>
        <v>0</v>
      </c>
    </row>
    <row r="7219" spans="1:7" x14ac:dyDescent="0.25">
      <c r="A7219" s="219" t="s">
        <v>95</v>
      </c>
      <c r="B7219" s="219"/>
      <c r="C7219" s="219"/>
      <c r="D7219" s="219"/>
      <c r="E7219" s="219"/>
      <c r="F7219" s="219"/>
      <c r="G7219" s="52">
        <f>SUM(G7206:G7218)</f>
        <v>523</v>
      </c>
    </row>
    <row r="7220" spans="1:7" x14ac:dyDescent="0.25">
      <c r="A7220" s="56"/>
      <c r="B7220" s="57"/>
      <c r="C7220" s="57"/>
      <c r="D7220" s="57"/>
      <c r="E7220" s="57"/>
      <c r="F7220" s="57"/>
      <c r="G7220" s="58"/>
    </row>
    <row r="7221" spans="1:7" x14ac:dyDescent="0.25">
      <c r="A7221" s="219" t="s">
        <v>96</v>
      </c>
      <c r="B7221" s="219"/>
      <c r="C7221" s="219"/>
      <c r="D7221" s="219"/>
      <c r="E7221" s="219"/>
      <c r="F7221" s="219"/>
      <c r="G7221" s="219"/>
    </row>
    <row r="7222" spans="1:7" x14ac:dyDescent="0.25">
      <c r="A7222" s="49" t="s">
        <v>35</v>
      </c>
      <c r="B7222" s="225" t="s">
        <v>36</v>
      </c>
      <c r="C7222" s="225"/>
      <c r="D7222" s="49" t="s">
        <v>37</v>
      </c>
      <c r="E7222" s="49" t="s">
        <v>38</v>
      </c>
      <c r="F7222" s="49" t="s">
        <v>39</v>
      </c>
      <c r="G7222" s="49" t="s">
        <v>40</v>
      </c>
    </row>
    <row r="7223" spans="1:7" x14ac:dyDescent="0.25">
      <c r="A7223" s="69" t="s">
        <v>97</v>
      </c>
      <c r="B7223" s="72" t="str">
        <f>VLOOKUP(A7223,'Componentes APUs'!$N$1:$Q$30,2,0)</f>
        <v>Camioneta</v>
      </c>
      <c r="C7223" s="73"/>
      <c r="D7223" s="70" t="str">
        <f>VLOOKUP(A7223,'Componentes APUs'!$N$1:$Q$30,3,0)</f>
        <v>U</v>
      </c>
      <c r="E7223" s="50">
        <v>0</v>
      </c>
      <c r="F7223" s="51">
        <f>VLOOKUP(A7223,'Componentes APUs'!$N$1:$Q$30,4,0)</f>
        <v>5500000</v>
      </c>
      <c r="G7223" s="51">
        <f>IFERROR(ROUNDUP(F7223*(E7223/21)/E7176,0),"-")</f>
        <v>0</v>
      </c>
    </row>
    <row r="7224" spans="1:7" x14ac:dyDescent="0.25">
      <c r="A7224" s="50" t="s">
        <v>321</v>
      </c>
      <c r="B7224" s="72" t="str">
        <f>VLOOKUP(A7224,'Componentes APUs'!$N$1:$Q$30,2,0)</f>
        <v>Grúa Hidráulica</v>
      </c>
      <c r="C7224" s="73"/>
      <c r="D7224" s="70" t="str">
        <f>VLOOKUP(A7224,'Componentes APUs'!$N$1:$Q$30,3,0)</f>
        <v>U</v>
      </c>
      <c r="E7224" s="50">
        <v>0</v>
      </c>
      <c r="F7224" s="51">
        <f>VLOOKUP(A7224,'Componentes APUs'!$N$1:$Q$30,4,0)</f>
        <v>21000000</v>
      </c>
      <c r="G7224" s="51">
        <f>IFERROR(ROUNDUP(F7224*(E7224/21)/E7176,0),"-")</f>
        <v>0</v>
      </c>
    </row>
    <row r="7225" spans="1:7" x14ac:dyDescent="0.25">
      <c r="A7225" s="69" t="s">
        <v>1379</v>
      </c>
      <c r="B7225" s="72" t="str">
        <f>VLOOKUP(A7225,'Componentes APUs'!$N$1:$Q$30,2,0)</f>
        <v>Dumper de descarga Frontal 2T</v>
      </c>
      <c r="C7225" s="73"/>
      <c r="D7225" s="70" t="str">
        <f>VLOOKUP(A7225,'Componentes APUs'!$N$1:$Q$30,3,0)</f>
        <v>U</v>
      </c>
      <c r="E7225" s="50">
        <v>0</v>
      </c>
      <c r="F7225" s="51">
        <f>VLOOKUP(A7225,'Componentes APUs'!$N$1:$Q$30,4,0)</f>
        <v>4438716.24</v>
      </c>
      <c r="G7225" s="51">
        <f>IFERROR(ROUNDUP(F7225*(E7225/21)/E7176,0),"-")</f>
        <v>0</v>
      </c>
    </row>
    <row r="7226" spans="1:7" x14ac:dyDescent="0.25">
      <c r="A7226" s="50" t="s">
        <v>323</v>
      </c>
      <c r="B7226" s="72" t="str">
        <f>VLOOKUP(A7226,'Componentes APUs'!$N$1:$Q$30,2,0)</f>
        <v>Volqueta</v>
      </c>
      <c r="C7226" s="73"/>
      <c r="D7226" s="70" t="str">
        <f>VLOOKUP(A7226,'Componentes APUs'!$N$1:$Q$30,3,0)</f>
        <v>U</v>
      </c>
      <c r="E7226" s="50">
        <v>0</v>
      </c>
      <c r="F7226" s="51">
        <f>VLOOKUP(A7226,'Componentes APUs'!$N$1:$Q$30,4,0)</f>
        <v>14828184</v>
      </c>
      <c r="G7226" s="51">
        <f>IFERROR(ROUNDUP(F7226*(E7226/21)/E7176,0),"-")</f>
        <v>0</v>
      </c>
    </row>
    <row r="7227" spans="1:7" x14ac:dyDescent="0.25">
      <c r="A7227" s="69" t="s">
        <v>324</v>
      </c>
      <c r="B7227" s="72" t="str">
        <f>VLOOKUP(A7227,'Componentes APUs'!$N$1:$Q$30,2,0)</f>
        <v>Retroexcavadora</v>
      </c>
      <c r="C7227" s="73"/>
      <c r="D7227" s="70" t="str">
        <f>VLOOKUP(A7227,'Componentes APUs'!$N$1:$Q$30,3,0)</f>
        <v>U</v>
      </c>
      <c r="E7227" s="50">
        <v>0</v>
      </c>
      <c r="F7227" s="51">
        <f>VLOOKUP(A7227,'Componentes APUs'!$N$1:$Q$30,4,0)</f>
        <v>46030656</v>
      </c>
      <c r="G7227" s="51">
        <f>IFERROR(ROUNDUP(F7227*(E7227/21)/E7176,0),"-")</f>
        <v>0</v>
      </c>
    </row>
    <row r="7228" spans="1:7" x14ac:dyDescent="0.25">
      <c r="A7228" s="219" t="s">
        <v>99</v>
      </c>
      <c r="B7228" s="219"/>
      <c r="C7228" s="219"/>
      <c r="D7228" s="219"/>
      <c r="E7228" s="219"/>
      <c r="F7228" s="219"/>
      <c r="G7228" s="52">
        <f>SUM(G7223:G7227)</f>
        <v>0</v>
      </c>
    </row>
    <row r="7229" spans="1:7" x14ac:dyDescent="0.25">
      <c r="A7229" s="56"/>
      <c r="B7229" s="57"/>
      <c r="C7229" s="57"/>
      <c r="D7229" s="57"/>
      <c r="E7229" s="57"/>
      <c r="F7229" s="57"/>
      <c r="G7229" s="58"/>
    </row>
    <row r="7230" spans="1:7" x14ac:dyDescent="0.25">
      <c r="A7230" s="219" t="s">
        <v>100</v>
      </c>
      <c r="B7230" s="219"/>
      <c r="C7230" s="219"/>
      <c r="D7230" s="219"/>
      <c r="E7230" s="219"/>
      <c r="F7230" s="219"/>
      <c r="G7230" s="52">
        <f>G7228+G7219+G7202+G7192+G7182</f>
        <v>46928</v>
      </c>
    </row>
    <row r="7231" spans="1:7" x14ac:dyDescent="0.25">
      <c r="A7231" s="59"/>
      <c r="B7231" s="60"/>
      <c r="C7231" s="60"/>
      <c r="D7231" s="60"/>
      <c r="E7231" s="57"/>
      <c r="F7231" s="57"/>
      <c r="G7231" s="58"/>
    </row>
    <row r="7232" spans="1:7" x14ac:dyDescent="0.25">
      <c r="A7232" s="64"/>
      <c r="D7232" s="55"/>
      <c r="E7232" s="49" t="s">
        <v>25</v>
      </c>
      <c r="F7232" s="54">
        <v>0.15</v>
      </c>
      <c r="G7232" s="51">
        <f>G7230*F7232</f>
        <v>7039.2</v>
      </c>
    </row>
    <row r="7233" spans="1:8" x14ac:dyDescent="0.25">
      <c r="A7233" s="64"/>
      <c r="D7233" s="55"/>
      <c r="E7233" s="49" t="s">
        <v>26</v>
      </c>
      <c r="F7233" s="54">
        <v>0.05</v>
      </c>
      <c r="G7233" s="51">
        <f>G7230*F7233</f>
        <v>2346.4</v>
      </c>
    </row>
    <row r="7234" spans="1:8" x14ac:dyDescent="0.25">
      <c r="A7234" s="61"/>
      <c r="B7234" s="65"/>
      <c r="C7234" s="65"/>
      <c r="D7234" s="62"/>
      <c r="E7234" s="49" t="s">
        <v>27</v>
      </c>
      <c r="F7234" s="54">
        <v>0.05</v>
      </c>
      <c r="G7234" s="51">
        <f>G7230*F7234</f>
        <v>2346.4</v>
      </c>
    </row>
    <row r="7235" spans="1:8" x14ac:dyDescent="0.25">
      <c r="A7235" s="61"/>
      <c r="B7235" s="62"/>
      <c r="C7235" s="62"/>
      <c r="D7235" s="62"/>
      <c r="E7235" s="62"/>
      <c r="F7235" s="62"/>
      <c r="G7235" s="63"/>
    </row>
    <row r="7236" spans="1:8" x14ac:dyDescent="0.25">
      <c r="A7236" s="219" t="s">
        <v>101</v>
      </c>
      <c r="B7236" s="219"/>
      <c r="C7236" s="219"/>
      <c r="D7236" s="219"/>
      <c r="E7236" s="219"/>
      <c r="F7236" s="219"/>
      <c r="G7236" s="52">
        <f>G7230+G7232+G7233+G7234</f>
        <v>58660</v>
      </c>
    </row>
    <row r="7237" spans="1:8" x14ac:dyDescent="0.25">
      <c r="A7237" s="59"/>
      <c r="B7237" s="60"/>
      <c r="C7237" s="60"/>
      <c r="D7237" s="60"/>
      <c r="E7237" s="57"/>
      <c r="F7237" s="57"/>
      <c r="G7237" s="58"/>
    </row>
    <row r="7238" spans="1:8" x14ac:dyDescent="0.25">
      <c r="A7238" s="64"/>
      <c r="D7238" s="55"/>
      <c r="E7238" s="49" t="s">
        <v>102</v>
      </c>
      <c r="F7238" s="49" t="s">
        <v>103</v>
      </c>
      <c r="G7238" s="51">
        <f>G7234*19%</f>
        <v>445.81600000000003</v>
      </c>
    </row>
    <row r="7239" spans="1:8" x14ac:dyDescent="0.25">
      <c r="A7239" s="61"/>
      <c r="B7239" s="62"/>
      <c r="C7239" s="62"/>
      <c r="D7239" s="62"/>
      <c r="E7239" s="57"/>
      <c r="F7239" s="57"/>
      <c r="G7239" s="58"/>
    </row>
    <row r="7240" spans="1:8" x14ac:dyDescent="0.25">
      <c r="A7240" s="219" t="s">
        <v>104</v>
      </c>
      <c r="B7240" s="219"/>
      <c r="C7240" s="219"/>
      <c r="D7240" s="219"/>
      <c r="E7240" s="219"/>
      <c r="F7240" s="219"/>
      <c r="G7240" s="52">
        <f>G7238+G7236</f>
        <v>59105.815999999999</v>
      </c>
    </row>
    <row r="7242" spans="1:8" x14ac:dyDescent="0.25">
      <c r="A7242" s="74" t="s">
        <v>29</v>
      </c>
      <c r="B7242" s="226" t="s">
        <v>30</v>
      </c>
      <c r="C7242" s="226"/>
      <c r="D7242" s="74" t="s">
        <v>31</v>
      </c>
      <c r="E7242" s="74" t="s">
        <v>32</v>
      </c>
      <c r="F7242" s="74" t="s">
        <v>189</v>
      </c>
      <c r="G7242" s="74" t="s">
        <v>33</v>
      </c>
      <c r="H7242" s="105"/>
    </row>
    <row r="7243" spans="1:8" x14ac:dyDescent="0.25">
      <c r="A7243" s="50" t="str">
        <f>Presupuesto!B136</f>
        <v>115_OC</v>
      </c>
      <c r="B7243" s="227" t="str">
        <f>Presupuesto!C136</f>
        <v>CONSTRUCCION DE ESTUCO</v>
      </c>
      <c r="C7243" s="228"/>
      <c r="D7243" s="50" t="s">
        <v>113</v>
      </c>
      <c r="E7243" s="107">
        <v>29</v>
      </c>
      <c r="F7243" s="50"/>
      <c r="G7243" s="51">
        <f>G7309</f>
        <v>21854.843999999997</v>
      </c>
      <c r="H7243" s="45"/>
    </row>
    <row r="7244" spans="1:8" x14ac:dyDescent="0.25">
      <c r="A7244" s="219" t="s">
        <v>34</v>
      </c>
      <c r="B7244" s="219"/>
      <c r="C7244" s="219"/>
      <c r="D7244" s="219"/>
      <c r="E7244" s="219"/>
      <c r="F7244" s="219"/>
      <c r="G7244" s="219"/>
    </row>
    <row r="7245" spans="1:8" x14ac:dyDescent="0.25">
      <c r="A7245" s="49" t="s">
        <v>35</v>
      </c>
      <c r="B7245" s="219" t="s">
        <v>36</v>
      </c>
      <c r="C7245" s="219"/>
      <c r="D7245" s="49" t="s">
        <v>37</v>
      </c>
      <c r="E7245" s="49" t="s">
        <v>38</v>
      </c>
      <c r="F7245" s="49" t="s">
        <v>39</v>
      </c>
      <c r="G7245" s="49" t="s">
        <v>40</v>
      </c>
    </row>
    <row r="7246" spans="1:8" x14ac:dyDescent="0.25">
      <c r="A7246" s="50" t="str">
        <f>Material!A617</f>
        <v>MA-616</v>
      </c>
      <c r="B7246" s="72" t="str">
        <f>IFERROR(VLOOKUP(A7246,Material!$A:$H,2,0),"-")</f>
        <v>LIJA DE AGUA</v>
      </c>
      <c r="C7246" s="76"/>
      <c r="D7246" s="50" t="str">
        <f>IFERROR(VLOOKUP(A7246,Material!$A:$H,4,0),"-")</f>
        <v>PLIEGO</v>
      </c>
      <c r="E7246" s="108">
        <v>0.1</v>
      </c>
      <c r="F7246" s="51">
        <f>IFERROR(VLOOKUP(A7246,Material!$A:$H,3,0),"-")</f>
        <v>2536.3000000000002</v>
      </c>
      <c r="G7246" s="51">
        <f>IFERROR(ROUNDUP(F7246*E7246,0),"-")</f>
        <v>254</v>
      </c>
      <c r="H7246" s="106"/>
    </row>
    <row r="7247" spans="1:8" x14ac:dyDescent="0.25">
      <c r="A7247" s="50" t="str">
        <f>Material!A618</f>
        <v>MA-617</v>
      </c>
      <c r="B7247" s="72" t="str">
        <f>IFERROR(VLOOKUP(A7247,Material!$A:$H,2,0),"-")</f>
        <v>ESTUCOR ESTUCO PLÁSTICO</v>
      </c>
      <c r="C7247" s="76"/>
      <c r="D7247" s="50" t="str">
        <f>IFERROR(VLOOKUP(A7247,Material!$A:$H,4,0),"-")</f>
        <v>KG</v>
      </c>
      <c r="E7247" s="23">
        <v>1.4</v>
      </c>
      <c r="F7247" s="51">
        <f>IFERROR(VLOOKUP(A7247,Material!$A:$H,3,0),"-")</f>
        <v>4997.2</v>
      </c>
      <c r="G7247" s="51">
        <f>IFERROR(ROUNDUP(F7247*E7247,0),"-")</f>
        <v>6997</v>
      </c>
      <c r="H7247" s="106"/>
    </row>
    <row r="7248" spans="1:8" x14ac:dyDescent="0.25">
      <c r="A7248" s="50"/>
      <c r="B7248" s="72" t="str">
        <f>IFERROR(VLOOKUP(A7248,Material!$A:$H,2,0),"-")</f>
        <v>-</v>
      </c>
      <c r="C7248" s="76"/>
      <c r="D7248" s="50" t="str">
        <f>IFERROR(VLOOKUP(A7248,Material!$A:$H,4,0),"-")</f>
        <v>-</v>
      </c>
      <c r="E7248" s="107"/>
      <c r="F7248" s="51" t="str">
        <f>IFERROR(VLOOKUP(A7248,Material!$A:$H,3,0),"-")</f>
        <v>-</v>
      </c>
      <c r="G7248" s="51" t="str">
        <f>IFERROR(ROUNDUP(F7248*E7248,0),"-")</f>
        <v>-</v>
      </c>
      <c r="H7248" s="106"/>
    </row>
    <row r="7249" spans="1:9" x14ac:dyDescent="0.25">
      <c r="A7249" s="50"/>
      <c r="B7249" s="72" t="str">
        <f>IFERROR(VLOOKUP(A7249,Material!$A:$H,2,0),"-")</f>
        <v>-</v>
      </c>
      <c r="C7249" s="76"/>
      <c r="D7249" s="50" t="str">
        <f>IFERROR(VLOOKUP(A7249,Material!$A:$H,4,0),"-")</f>
        <v>-</v>
      </c>
      <c r="E7249" s="107"/>
      <c r="F7249" s="51" t="str">
        <f>IFERROR(VLOOKUP(A7249,Material!$A:$H,3,0),"-")</f>
        <v>-</v>
      </c>
      <c r="G7249" s="51" t="str">
        <f>IFERROR(ROUNDUP(F7249*E7249,0),"-")</f>
        <v>-</v>
      </c>
      <c r="H7249" s="106"/>
    </row>
    <row r="7250" spans="1:9" x14ac:dyDescent="0.25">
      <c r="A7250" s="50"/>
      <c r="B7250" s="72" t="str">
        <f>IFERROR(VLOOKUP(A7250,Material!$A:$H,2,0),"-")</f>
        <v>-</v>
      </c>
      <c r="C7250" s="76"/>
      <c r="D7250" s="50" t="str">
        <f>IFERROR(VLOOKUP(A7250,Material!$A:$H,4,0),"-")</f>
        <v>-</v>
      </c>
      <c r="E7250" s="107"/>
      <c r="F7250" s="51" t="str">
        <f>IFERROR(VLOOKUP(A7250,Material!$A:$H,3,0),"-")</f>
        <v>-</v>
      </c>
      <c r="G7250" s="51" t="str">
        <f>IFERROR(ROUNDUP(F7250*E7250,0),"-")</f>
        <v>-</v>
      </c>
      <c r="H7250" s="106"/>
    </row>
    <row r="7251" spans="1:9" x14ac:dyDescent="0.25">
      <c r="A7251" s="219" t="s">
        <v>41</v>
      </c>
      <c r="B7251" s="219"/>
      <c r="C7251" s="219"/>
      <c r="D7251" s="219"/>
      <c r="E7251" s="219"/>
      <c r="F7251" s="219"/>
      <c r="G7251" s="52">
        <f>SUM(G7246:G7250)</f>
        <v>7251</v>
      </c>
      <c r="I7251" s="104"/>
    </row>
    <row r="7252" spans="1:9" x14ac:dyDescent="0.25">
      <c r="A7252" s="56"/>
      <c r="B7252" s="57"/>
      <c r="C7252" s="57"/>
      <c r="D7252" s="57"/>
      <c r="E7252" s="57"/>
      <c r="F7252" s="57"/>
      <c r="G7252" s="58"/>
    </row>
    <row r="7253" spans="1:9" x14ac:dyDescent="0.25">
      <c r="A7253" s="219" t="s">
        <v>42</v>
      </c>
      <c r="B7253" s="219"/>
      <c r="C7253" s="219"/>
      <c r="D7253" s="219"/>
      <c r="E7253" s="219"/>
      <c r="F7253" s="219"/>
      <c r="G7253" s="219"/>
    </row>
    <row r="7254" spans="1:9" x14ac:dyDescent="0.25">
      <c r="A7254" s="49" t="s">
        <v>35</v>
      </c>
      <c r="B7254" s="49" t="s">
        <v>36</v>
      </c>
      <c r="C7254" s="49" t="s">
        <v>38</v>
      </c>
      <c r="D7254" s="49" t="s">
        <v>43</v>
      </c>
      <c r="E7254" s="49" t="s">
        <v>44</v>
      </c>
      <c r="F7254" s="49" t="s">
        <v>45</v>
      </c>
      <c r="G7254" s="49" t="s">
        <v>40</v>
      </c>
    </row>
    <row r="7255" spans="1:9" x14ac:dyDescent="0.25">
      <c r="A7255" s="50" t="s">
        <v>319</v>
      </c>
      <c r="B7255" s="68" t="str">
        <f>VLOOKUP(A7255,'Componentes APUs'!$H$1:$L$25,2,0)</f>
        <v>Ingeniero Residente de Obra</v>
      </c>
      <c r="C7255" s="93">
        <v>0</v>
      </c>
      <c r="D7255" s="50">
        <f>VLOOKUP(A7255,'Componentes APUs'!$H$1:$L$25,3,0)</f>
        <v>4</v>
      </c>
      <c r="E7255" s="51">
        <f>VLOOKUP(A7255,'Componentes APUs'!$H$1:$L$25,4,0)</f>
        <v>271142.85714285716</v>
      </c>
      <c r="F7255" s="51">
        <f>VLOOKUP(A7255,'Componentes APUs'!$H$1:$L$25,5,0)</f>
        <v>162685.71428571429</v>
      </c>
      <c r="G7255" s="51">
        <f>ROUNDUP((E7255+F7255)*C7255/E7243,0)</f>
        <v>0</v>
      </c>
      <c r="H7255" s="66"/>
    </row>
    <row r="7256" spans="1:9" x14ac:dyDescent="0.25">
      <c r="A7256" s="50" t="s">
        <v>320</v>
      </c>
      <c r="B7256" s="68" t="str">
        <f>VLOOKUP(A7256,'Componentes APUs'!$H$1:$L$25,2,0)</f>
        <v>Tecnico Supervisor</v>
      </c>
      <c r="C7256" s="93">
        <v>0</v>
      </c>
      <c r="D7256" s="50">
        <f>VLOOKUP(A7256,'Componentes APUs'!$H$1:$L$25,3,0)</f>
        <v>2.2999999999999998</v>
      </c>
      <c r="E7256" s="51">
        <f>VLOOKUP(A7256,'Componentes APUs'!$H$1:$L$25,4,0)</f>
        <v>155907.14285714284</v>
      </c>
      <c r="F7256" s="51">
        <f>VLOOKUP(A7256,'Componentes APUs'!$H$1:$L$25,5,0)</f>
        <v>93544.285714285696</v>
      </c>
      <c r="G7256" s="51">
        <f>ROUNDUP((E7256+F7256)*C7256/E7243,0)</f>
        <v>0</v>
      </c>
    </row>
    <row r="7257" spans="1:9" x14ac:dyDescent="0.25">
      <c r="A7257" s="50" t="s">
        <v>54</v>
      </c>
      <c r="B7257" s="68" t="str">
        <f>VLOOKUP(A7257,'Componentes APUs'!$H$1:$L$25,2,0)</f>
        <v>Maestro de obra civil</v>
      </c>
      <c r="C7257" s="93">
        <v>0</v>
      </c>
      <c r="D7257" s="50">
        <f>VLOOKUP(A7257,'Componentes APUs'!$H$1:$L$25,3,0)</f>
        <v>2.5</v>
      </c>
      <c r="E7257" s="51">
        <f>VLOOKUP(A7257,'Componentes APUs'!$H$1:$L$25,4,0)</f>
        <v>169464.28571428571</v>
      </c>
      <c r="F7257" s="51">
        <f>VLOOKUP(A7257,'Componentes APUs'!$H$1:$L$25,5,0)</f>
        <v>101678.57142857142</v>
      </c>
      <c r="G7257" s="51">
        <f>ROUNDUP((E7257+F7257)*C7257/E7243,0)</f>
        <v>0</v>
      </c>
    </row>
    <row r="7258" spans="1:9" x14ac:dyDescent="0.25">
      <c r="A7258" s="50" t="s">
        <v>1110</v>
      </c>
      <c r="B7258" s="68" t="str">
        <f>VLOOKUP(A7258,'Componentes APUs'!$H$1:$L$25,2,0)</f>
        <v>Oficial de Obra Civil</v>
      </c>
      <c r="C7258" s="93">
        <v>0.25</v>
      </c>
      <c r="D7258" s="50">
        <f>VLOOKUP(A7258,'Componentes APUs'!$H$1:$L$25,3,0)</f>
        <v>1.5</v>
      </c>
      <c r="E7258" s="51">
        <f>VLOOKUP(A7258,'Componentes APUs'!$H$1:$L$25,4,0)</f>
        <v>115964.28571428571</v>
      </c>
      <c r="F7258" s="51">
        <f>VLOOKUP(A7258,'Componentes APUs'!$H$1:$L$25,5,0)</f>
        <v>69578.57142857142</v>
      </c>
      <c r="G7258" s="51">
        <f>ROUNDUP((E7258+F7258)*C7258/E7243,0)</f>
        <v>1600</v>
      </c>
    </row>
    <row r="7259" spans="1:9" x14ac:dyDescent="0.25">
      <c r="A7259" s="50" t="s">
        <v>50</v>
      </c>
      <c r="B7259" s="68" t="str">
        <f>VLOOKUP(A7259,'Componentes APUs'!$H$1:$L$25,2,0)</f>
        <v>Profesional en SST</v>
      </c>
      <c r="C7259" s="93">
        <v>0</v>
      </c>
      <c r="D7259" s="50">
        <f>VLOOKUP(A7259,'Componentes APUs'!$H$1:$L$25,3,0)</f>
        <v>2.5</v>
      </c>
      <c r="E7259" s="51">
        <f>VLOOKUP(A7259,'Componentes APUs'!$H$1:$L$25,4,0)</f>
        <v>169464.28571428571</v>
      </c>
      <c r="F7259" s="51">
        <f>VLOOKUP(A7259,'Componentes APUs'!$H$1:$L$25,5,0)</f>
        <v>101678.57142857142</v>
      </c>
      <c r="G7259" s="51">
        <f>ROUNDUP((E7259+F7259)*C7259/E7243,0)</f>
        <v>0</v>
      </c>
    </row>
    <row r="7260" spans="1:9" x14ac:dyDescent="0.25">
      <c r="A7260" s="50" t="s">
        <v>1109</v>
      </c>
      <c r="B7260" s="68" t="str">
        <f>VLOOKUP(A7260,'Componentes APUs'!$H$1:$L$25,2,0)</f>
        <v>Ayudante de Obra Civil</v>
      </c>
      <c r="C7260" s="93">
        <v>1</v>
      </c>
      <c r="D7260" s="50">
        <f>VLOOKUP(A7260,'Componentes APUs'!$H$1:$L$25,3,0)</f>
        <v>1</v>
      </c>
      <c r="E7260" s="51">
        <f>VLOOKUP(A7260,'Componentes APUs'!$H$1:$L$25,4,0)</f>
        <v>77309.523809523816</v>
      </c>
      <c r="F7260" s="51">
        <f>VLOOKUP(A7260,'Componentes APUs'!$H$1:$L$25,5,0)</f>
        <v>46385.71428571429</v>
      </c>
      <c r="G7260" s="51">
        <f>ROUNDUP((E7260+F7260)*C7260/E7243,0)</f>
        <v>4266</v>
      </c>
    </row>
    <row r="7261" spans="1:9" x14ac:dyDescent="0.25">
      <c r="A7261" s="219" t="s">
        <v>56</v>
      </c>
      <c r="B7261" s="219"/>
      <c r="C7261" s="219"/>
      <c r="D7261" s="219"/>
      <c r="E7261" s="219"/>
      <c r="F7261" s="219"/>
      <c r="G7261" s="52">
        <f>SUM(G7255:G7260)</f>
        <v>5866</v>
      </c>
    </row>
    <row r="7262" spans="1:9" x14ac:dyDescent="0.25">
      <c r="A7262" s="56"/>
      <c r="B7262" s="57"/>
      <c r="C7262" s="57"/>
      <c r="D7262" s="57"/>
      <c r="E7262" s="57"/>
      <c r="F7262" s="57"/>
      <c r="G7262" s="58"/>
    </row>
    <row r="7263" spans="1:9" x14ac:dyDescent="0.25">
      <c r="A7263" s="219" t="s">
        <v>57</v>
      </c>
      <c r="B7263" s="219"/>
      <c r="C7263" s="219"/>
      <c r="D7263" s="219"/>
      <c r="E7263" s="219"/>
      <c r="F7263" s="219"/>
      <c r="G7263" s="219"/>
    </row>
    <row r="7264" spans="1:9" x14ac:dyDescent="0.25">
      <c r="A7264" s="49" t="s">
        <v>35</v>
      </c>
      <c r="B7264" s="219" t="s">
        <v>36</v>
      </c>
      <c r="C7264" s="219"/>
      <c r="D7264" s="49" t="s">
        <v>37</v>
      </c>
      <c r="E7264" s="49" t="s">
        <v>38</v>
      </c>
      <c r="F7264" s="49" t="s">
        <v>39</v>
      </c>
      <c r="G7264" s="49" t="s">
        <v>40</v>
      </c>
    </row>
    <row r="7265" spans="1:9" x14ac:dyDescent="0.25">
      <c r="A7265" s="50" t="s">
        <v>326</v>
      </c>
      <c r="B7265" s="220" t="str">
        <f>VLOOKUP(A7265,'Componentes APUs'!$S$1:$V$10,2,0)</f>
        <v>Juego Llaves</v>
      </c>
      <c r="C7265" s="220"/>
      <c r="D7265" s="50" t="s">
        <v>18</v>
      </c>
      <c r="E7265" s="50">
        <v>0</v>
      </c>
      <c r="F7265" s="51">
        <f>VLOOKUP(A7265,'Componentes APUs'!$S$1:$V$10,4,0)</f>
        <v>9167</v>
      </c>
      <c r="G7265" s="51">
        <f>ROUNDUP(F7265*((E7265/21)/E7243),0)</f>
        <v>0</v>
      </c>
      <c r="I7265" s="91"/>
    </row>
    <row r="7266" spans="1:9" x14ac:dyDescent="0.25">
      <c r="A7266" s="50" t="s">
        <v>58</v>
      </c>
      <c r="B7266" s="220" t="str">
        <f>VLOOKUP(A7266,'Componentes APUs'!$S$1:$V$10,2,0)</f>
        <v>Manila de servicio</v>
      </c>
      <c r="C7266" s="220"/>
      <c r="D7266" s="50" t="s">
        <v>18</v>
      </c>
      <c r="E7266" s="50">
        <v>0</v>
      </c>
      <c r="F7266" s="51">
        <f>VLOOKUP(A7266,'Componentes APUs'!$S$1:$V$10,4,0)</f>
        <v>2333</v>
      </c>
      <c r="G7266" s="51">
        <f>ROUNDUP(F7266*((E7266/21)/E7243),0)</f>
        <v>0</v>
      </c>
    </row>
    <row r="7267" spans="1:9" x14ac:dyDescent="0.25">
      <c r="A7267" s="50" t="s">
        <v>327</v>
      </c>
      <c r="B7267" s="220" t="str">
        <f>VLOOKUP(A7267,'Componentes APUs'!$S$1:$V$10,2,0)</f>
        <v>Tula portaherramientas</v>
      </c>
      <c r="C7267" s="220"/>
      <c r="D7267" s="50" t="s">
        <v>18</v>
      </c>
      <c r="E7267" s="50">
        <v>0</v>
      </c>
      <c r="F7267" s="51">
        <f>VLOOKUP(A7267,'Componentes APUs'!$S$1:$V$10,4,0)</f>
        <v>1250</v>
      </c>
      <c r="G7267" s="51">
        <f>ROUNDUP(F7267*((E7267/21)/E7243),0)</f>
        <v>0</v>
      </c>
    </row>
    <row r="7268" spans="1:9" x14ac:dyDescent="0.25">
      <c r="A7268" s="50" t="s">
        <v>60</v>
      </c>
      <c r="B7268" s="220" t="str">
        <f>VLOOKUP(A7268,'Componentes APUs'!$S$1:$V$10,2,0)</f>
        <v>Agarradoras</v>
      </c>
      <c r="C7268" s="220"/>
      <c r="D7268" s="50" t="s">
        <v>18</v>
      </c>
      <c r="E7268" s="50">
        <v>0</v>
      </c>
      <c r="F7268" s="51">
        <f>VLOOKUP(A7268,'Componentes APUs'!$S$1:$V$10,4,0)</f>
        <v>125000</v>
      </c>
      <c r="G7268" s="51">
        <f>ROUNDUP(F7268*((E7268/21)/E7243),0)</f>
        <v>0</v>
      </c>
    </row>
    <row r="7269" spans="1:9" x14ac:dyDescent="0.25">
      <c r="A7269" s="50" t="s">
        <v>62</v>
      </c>
      <c r="B7269" s="220" t="str">
        <f>VLOOKUP(A7269,'Componentes APUs'!$S$1:$V$10,2,0)</f>
        <v>Templadoras</v>
      </c>
      <c r="C7269" s="220"/>
      <c r="D7269" s="50" t="s">
        <v>18</v>
      </c>
      <c r="E7269" s="50">
        <v>0</v>
      </c>
      <c r="F7269" s="51">
        <f>VLOOKUP(A7269,'Componentes APUs'!$S$1:$V$10,4,0)</f>
        <v>250000</v>
      </c>
      <c r="G7269" s="51">
        <f>ROUNDUP(F7269*((E7269/21)/E7243),0)</f>
        <v>0</v>
      </c>
    </row>
    <row r="7270" spans="1:9" x14ac:dyDescent="0.25">
      <c r="A7270" s="50" t="s">
        <v>328</v>
      </c>
      <c r="B7270" s="220" t="str">
        <f>VLOOKUP(A7270,'Componentes APUs'!$S$1:$V$10,2,0)</f>
        <v>Herramienta Menor</v>
      </c>
      <c r="C7270" s="220"/>
      <c r="D7270" s="50" t="s">
        <v>18</v>
      </c>
      <c r="E7270" s="50">
        <v>15</v>
      </c>
      <c r="F7270" s="51">
        <f>VLOOKUP(A7270,'Componentes APUs'!$S$1:$V$10,4,0)</f>
        <v>75758</v>
      </c>
      <c r="G7270" s="51">
        <f>ROUNDUP(F7270*((E7270/21)/E7243),0)</f>
        <v>1866</v>
      </c>
    </row>
    <row r="7271" spans="1:9" x14ac:dyDescent="0.25">
      <c r="A7271" s="219" t="s">
        <v>69</v>
      </c>
      <c r="B7271" s="219"/>
      <c r="C7271" s="219"/>
      <c r="D7271" s="219"/>
      <c r="E7271" s="219"/>
      <c r="F7271" s="219"/>
      <c r="G7271" s="52">
        <f>SUM(G7265:G7270)</f>
        <v>1866</v>
      </c>
    </row>
    <row r="7272" spans="1:9" x14ac:dyDescent="0.25">
      <c r="A7272" s="56"/>
      <c r="B7272" s="57"/>
      <c r="C7272" s="57"/>
      <c r="D7272" s="57"/>
      <c r="E7272" s="57"/>
      <c r="F7272" s="57"/>
      <c r="G7272" s="58"/>
    </row>
    <row r="7273" spans="1:9" x14ac:dyDescent="0.25">
      <c r="A7273" s="219" t="s">
        <v>70</v>
      </c>
      <c r="B7273" s="219"/>
      <c r="C7273" s="219"/>
      <c r="D7273" s="219"/>
      <c r="E7273" s="219"/>
      <c r="F7273" s="219"/>
      <c r="G7273" s="219"/>
    </row>
    <row r="7274" spans="1:9" x14ac:dyDescent="0.25">
      <c r="A7274" s="49" t="s">
        <v>35</v>
      </c>
      <c r="B7274" s="219" t="s">
        <v>36</v>
      </c>
      <c r="C7274" s="219"/>
      <c r="D7274" s="49" t="s">
        <v>37</v>
      </c>
      <c r="E7274" s="49" t="s">
        <v>38</v>
      </c>
      <c r="F7274" s="49" t="s">
        <v>39</v>
      </c>
      <c r="G7274" s="49" t="s">
        <v>40</v>
      </c>
    </row>
    <row r="7275" spans="1:9" x14ac:dyDescent="0.25">
      <c r="A7275" s="50" t="s">
        <v>71</v>
      </c>
      <c r="B7275" s="71" t="str">
        <f>VLOOKUP(A7275,'Componentes APUs'!$A$1:$D$14,2,0)</f>
        <v>Camisa indigo sin partes metalicas</v>
      </c>
      <c r="C7275" s="71"/>
      <c r="D7275" s="50" t="str">
        <f>VLOOKUP(A7275,'Componentes APUs'!$A$1:$D$14,3,0)</f>
        <v>U</v>
      </c>
      <c r="E7275" s="50">
        <f>SUM(C7255:C7260)</f>
        <v>1.25</v>
      </c>
      <c r="F7275" s="51">
        <f>VLOOKUP(A7275,'Componentes APUs'!$A$1:$D$14,4,0)</f>
        <v>8585.8585858585866</v>
      </c>
      <c r="G7275" s="51">
        <f>ROUNDUP(F7275*(E7275/21)/E7243,0)</f>
        <v>18</v>
      </c>
      <c r="I7275" s="91"/>
    </row>
    <row r="7276" spans="1:9" x14ac:dyDescent="0.25">
      <c r="A7276" s="69" t="s">
        <v>73</v>
      </c>
      <c r="B7276" s="72" t="str">
        <f>VLOOKUP(A7276,'Componentes APUs'!$A$1:$D$14,2,0)</f>
        <v>Bota de seguridad dielectrica</v>
      </c>
      <c r="C7276" s="73"/>
      <c r="D7276" s="70" t="str">
        <f>VLOOKUP(A7276,'Componentes APUs'!$A$1:$D$14,3,0)</f>
        <v>Par</v>
      </c>
      <c r="E7276" s="50">
        <f>SUM(C7255:C7260)</f>
        <v>1.25</v>
      </c>
      <c r="F7276" s="51">
        <f>VLOOKUP(A7276,'Componentes APUs'!$A$1:$D$14,4,0)</f>
        <v>7500</v>
      </c>
      <c r="G7276" s="51">
        <f>ROUNDUP(F7276*(E7276/21)/E7243,0)</f>
        <v>16</v>
      </c>
    </row>
    <row r="7277" spans="1:9" x14ac:dyDescent="0.25">
      <c r="A7277" s="50" t="s">
        <v>76</v>
      </c>
      <c r="B7277" s="72" t="str">
        <f>VLOOKUP(A7277,'Componentes APUs'!$A$1:$D$14,2,0)</f>
        <v>Casco dielectrico Tipo 1 Clase E con barbuquejo</v>
      </c>
      <c r="C7277" s="73"/>
      <c r="D7277" s="50" t="str">
        <f>VLOOKUP(A7277,'Componentes APUs'!$A$1:$D$14,3,0)</f>
        <v>U</v>
      </c>
      <c r="E7277" s="50">
        <f>C7255+C7256+C7258+C7259+C7260+IF(A7257&lt;&gt;"MO-3",C7257,0)</f>
        <v>1.25</v>
      </c>
      <c r="F7277" s="51">
        <f>VLOOKUP(A7277,'Componentes APUs'!$A$1:$D$14,4,0)</f>
        <v>10101.010101010101</v>
      </c>
      <c r="G7277" s="51">
        <f>ROUNDUP(F7277*(E7277/21)/E7243,0)</f>
        <v>21</v>
      </c>
    </row>
    <row r="7278" spans="1:9" x14ac:dyDescent="0.25">
      <c r="A7278" s="69" t="s">
        <v>77</v>
      </c>
      <c r="B7278" s="72" t="str">
        <f>VLOOKUP(A7278,'Componentes APUs'!$A$1:$D$14,2,0)</f>
        <v>Correa plastica y antiflama</v>
      </c>
      <c r="C7278" s="73"/>
      <c r="D7278" s="50" t="str">
        <f>VLOOKUP(A7278,'Componentes APUs'!$A$1:$D$14,3,0)</f>
        <v>U</v>
      </c>
      <c r="E7278" s="50">
        <f>SUM(C7255:C7260)</f>
        <v>1.25</v>
      </c>
      <c r="F7278" s="51">
        <f>VLOOKUP(A7278,'Componentes APUs'!$A$1:$D$14,4,0)</f>
        <v>3787.878787878788</v>
      </c>
      <c r="G7278" s="51">
        <f>ROUNDUP(F7278*(E7278/21)/E7243,0)</f>
        <v>8</v>
      </c>
    </row>
    <row r="7279" spans="1:9" x14ac:dyDescent="0.25">
      <c r="A7279" s="50" t="s">
        <v>79</v>
      </c>
      <c r="B7279" s="72" t="str">
        <f>VLOOKUP(A7279,'Componentes APUs'!$A$1:$D$14,2,0)</f>
        <v>Gafas protectoras filtro UV</v>
      </c>
      <c r="C7279" s="73"/>
      <c r="D7279" s="50" t="str">
        <f>VLOOKUP(A7279,'Componentes APUs'!$A$1:$D$14,3,0)</f>
        <v>U</v>
      </c>
      <c r="E7279" s="50">
        <f>SUM(C7255:C7260)</f>
        <v>1.25</v>
      </c>
      <c r="F7279" s="51">
        <f>VLOOKUP(A7279,'Componentes APUs'!$A$1:$D$14,4,0)</f>
        <v>2777.7777777777778</v>
      </c>
      <c r="G7279" s="51">
        <f>ROUNDUP(F7279*(E7279/21)/E7243,0)</f>
        <v>6</v>
      </c>
    </row>
    <row r="7280" spans="1:9" x14ac:dyDescent="0.25">
      <c r="A7280" s="69" t="s">
        <v>402</v>
      </c>
      <c r="B7280" s="72" t="str">
        <f>VLOOKUP(A7280,'Componentes APUs'!$A$1:$D$14,2,0)</f>
        <v>Bota de seguridad PVC dielectrica</v>
      </c>
      <c r="C7280" s="73"/>
      <c r="D7280" s="50" t="str">
        <f>VLOOKUP(A7280,'Componentes APUs'!$A$1:$D$14,3,0)</f>
        <v>Par</v>
      </c>
      <c r="E7280" s="50">
        <f>SUM(C7255:C7260)</f>
        <v>1.25</v>
      </c>
      <c r="F7280" s="51">
        <f>VLOOKUP(A7280,'Componentes APUs'!$A$1:$D$14,4,0)</f>
        <v>2916.6666666666665</v>
      </c>
      <c r="G7280" s="51">
        <f>ROUNDUP(F7280*(E7280/21)/E7243,0)</f>
        <v>6</v>
      </c>
    </row>
    <row r="7281" spans="1:7" x14ac:dyDescent="0.25">
      <c r="A7281" s="50" t="s">
        <v>403</v>
      </c>
      <c r="B7281" s="72" t="str">
        <f>VLOOKUP(A7281,'Componentes APUs'!$A$1:$D$14,2,0)</f>
        <v>Capuchon</v>
      </c>
      <c r="C7281" s="73"/>
      <c r="D7281" s="50" t="str">
        <f>VLOOKUP(A7281,'Componentes APUs'!$A$1:$D$14,3,0)</f>
        <v>U</v>
      </c>
      <c r="E7281" s="50">
        <f>SUM(C7255:C7260)</f>
        <v>1.25</v>
      </c>
      <c r="F7281" s="51">
        <f>VLOOKUP(A7281,'Componentes APUs'!$A$1:$D$14,4,0)</f>
        <v>2525.2525252525252</v>
      </c>
      <c r="G7281" s="51">
        <f>ROUNDUP(F7281*(E7281/21)/E7243,0)</f>
        <v>6</v>
      </c>
    </row>
    <row r="7282" spans="1:7" x14ac:dyDescent="0.25">
      <c r="A7282" s="69" t="s">
        <v>81</v>
      </c>
      <c r="B7282" s="72" t="str">
        <f>VLOOKUP(A7282,'Componentes APUs'!$A$1:$D$14,2,0)</f>
        <v>Guantes Protectores  - ingeniero reforzados</v>
      </c>
      <c r="C7282" s="73"/>
      <c r="D7282" s="50" t="str">
        <f>VLOOKUP(A7282,'Componentes APUs'!$A$1:$D$14,3,0)</f>
        <v>Par</v>
      </c>
      <c r="E7282" s="50">
        <f>C7257+C7258+C7260</f>
        <v>1.25</v>
      </c>
      <c r="F7282" s="51">
        <f>VLOOKUP(A7282,'Componentes APUs'!$A$1:$D$14,4,0)</f>
        <v>2525.2525252525252</v>
      </c>
      <c r="G7282" s="51">
        <f>ROUNDUP(F7282*(E7282/21)/E7243,0)</f>
        <v>6</v>
      </c>
    </row>
    <row r="7283" spans="1:7" x14ac:dyDescent="0.25">
      <c r="A7283" s="50" t="s">
        <v>83</v>
      </c>
      <c r="B7283" s="72" t="str">
        <f>VLOOKUP(A7283,'Componentes APUs'!$A$1:$D$14,2,0)</f>
        <v>Impermeable (pantalon camisa)</v>
      </c>
      <c r="C7283" s="73"/>
      <c r="D7283" s="50" t="str">
        <f>VLOOKUP(A7283,'Componentes APUs'!$A$1:$D$14,3,0)</f>
        <v>U</v>
      </c>
      <c r="E7283" s="50">
        <f>SUM(C7255:C7260)</f>
        <v>1.25</v>
      </c>
      <c r="F7283" s="51">
        <f>VLOOKUP(A7283,'Componentes APUs'!$A$1:$D$14,4,0)</f>
        <v>3750</v>
      </c>
      <c r="G7283" s="51">
        <f>ROUNDUP(F7283*(E7283/21)/E7243,0)</f>
        <v>8</v>
      </c>
    </row>
    <row r="7284" spans="1:7" x14ac:dyDescent="0.25">
      <c r="A7284" s="69" t="s">
        <v>85</v>
      </c>
      <c r="B7284" s="72" t="str">
        <f>VLOOKUP(A7284,'Componentes APUs'!$A$1:$D$14,2,0)</f>
        <v>Jean Dielectrico</v>
      </c>
      <c r="C7284" s="73"/>
      <c r="D7284" s="50" t="str">
        <f>VLOOKUP(A7284,'Componentes APUs'!$A$1:$D$14,3,0)</f>
        <v>U</v>
      </c>
      <c r="E7284" s="50">
        <f>SUM(C7255:C7260)</f>
        <v>1.25</v>
      </c>
      <c r="F7284" s="51">
        <f>VLOOKUP(A7284,'Componentes APUs'!$A$1:$D$14,4,0)</f>
        <v>7575.757575757576</v>
      </c>
      <c r="G7284" s="51">
        <f>ROUNDUP(F7284*(E7284/21)/E7243,0)</f>
        <v>16</v>
      </c>
    </row>
    <row r="7285" spans="1:7" x14ac:dyDescent="0.25">
      <c r="A7285" s="50" t="s">
        <v>87</v>
      </c>
      <c r="B7285" s="72" t="str">
        <f>VLOOKUP(A7285,'Componentes APUs'!$A$1:$D$14,2,0)</f>
        <v>Casco dielectrico Tipo 2 Clase E con barboquejo</v>
      </c>
      <c r="C7285" s="73"/>
      <c r="D7285" s="50" t="str">
        <f>VLOOKUP(A7285,'Componentes APUs'!$A$1:$D$14,3,0)</f>
        <v>U</v>
      </c>
      <c r="E7285" s="53">
        <f>IF(A7257="MO-3",C7257,0)</f>
        <v>0</v>
      </c>
      <c r="F7285" s="51">
        <f>VLOOKUP(A7285,'Componentes APUs'!$A$1:$D$14,4,0)</f>
        <v>7500</v>
      </c>
      <c r="G7285" s="51">
        <f>ROUNDUP(F7285*(E7285/21)/E7243,0)</f>
        <v>0</v>
      </c>
    </row>
    <row r="7286" spans="1:7" x14ac:dyDescent="0.25">
      <c r="A7286" s="69" t="s">
        <v>89</v>
      </c>
      <c r="B7286" s="72" t="str">
        <f>VLOOKUP(A7286,'Componentes APUs'!$A$1:$D$14,2,0)</f>
        <v>Kit de rescate para trabajo en alturas</v>
      </c>
      <c r="C7286" s="73"/>
      <c r="D7286" s="50" t="str">
        <f>VLOOKUP(A7286,'Componentes APUs'!$A$1:$D$14,3,0)</f>
        <v>U</v>
      </c>
      <c r="E7286" s="50">
        <f>IF(AND(A7257="MO-3",C7257=2),1,0)</f>
        <v>0</v>
      </c>
      <c r="F7286" s="51">
        <f>VLOOKUP(A7286,'Componentes APUs'!$A$1:$D$14,4,0)</f>
        <v>37500</v>
      </c>
      <c r="G7286" s="51">
        <f>ROUNDUP(F7286*(E7286/21)/E7243,0)</f>
        <v>0</v>
      </c>
    </row>
    <row r="7287" spans="1:7" x14ac:dyDescent="0.25">
      <c r="A7287" s="50" t="s">
        <v>91</v>
      </c>
      <c r="B7287" s="72" t="str">
        <f>VLOOKUP(A7287,'Componentes APUs'!$A$1:$D$14,2,0)</f>
        <v>Equipo completo para trabajo en alturas con pretales (Arnes dielectrico, 1 mosqueton de seguridad, tie off dielectrico, eslinga de posicionamiento, juego de pretales)</v>
      </c>
      <c r="C7287" s="73"/>
      <c r="D7287" s="50" t="str">
        <f>VLOOKUP(A7287,'Componentes APUs'!$A$1:$D$14,3,0)</f>
        <v>U</v>
      </c>
      <c r="E7287" s="50">
        <f>IF(A7257="MO-3",C7257,0)</f>
        <v>0</v>
      </c>
      <c r="F7287" s="51">
        <f>VLOOKUP(A7287,'Componentes APUs'!$A$1:$D$14,4,0)</f>
        <v>26041.666666666668</v>
      </c>
      <c r="G7287" s="51">
        <f>ROUNDUP(F7287*(E7287/21)/E7243,0)</f>
        <v>0</v>
      </c>
    </row>
    <row r="7288" spans="1:7" x14ac:dyDescent="0.25">
      <c r="A7288" s="219" t="s">
        <v>95</v>
      </c>
      <c r="B7288" s="219"/>
      <c r="C7288" s="219"/>
      <c r="D7288" s="219"/>
      <c r="E7288" s="219"/>
      <c r="F7288" s="219"/>
      <c r="G7288" s="52">
        <f>SUM(G7275:G7287)</f>
        <v>111</v>
      </c>
    </row>
    <row r="7289" spans="1:7" x14ac:dyDescent="0.25">
      <c r="A7289" s="56"/>
      <c r="B7289" s="57"/>
      <c r="C7289" s="57"/>
      <c r="D7289" s="57"/>
      <c r="E7289" s="57"/>
      <c r="F7289" s="57"/>
      <c r="G7289" s="58"/>
    </row>
    <row r="7290" spans="1:7" x14ac:dyDescent="0.25">
      <c r="A7290" s="219" t="s">
        <v>96</v>
      </c>
      <c r="B7290" s="219"/>
      <c r="C7290" s="219"/>
      <c r="D7290" s="219"/>
      <c r="E7290" s="219"/>
      <c r="F7290" s="219"/>
      <c r="G7290" s="219"/>
    </row>
    <row r="7291" spans="1:7" x14ac:dyDescent="0.25">
      <c r="A7291" s="49" t="s">
        <v>35</v>
      </c>
      <c r="B7291" s="225" t="s">
        <v>36</v>
      </c>
      <c r="C7291" s="225"/>
      <c r="D7291" s="49" t="s">
        <v>37</v>
      </c>
      <c r="E7291" s="49" t="s">
        <v>38</v>
      </c>
      <c r="F7291" s="49" t="s">
        <v>39</v>
      </c>
      <c r="G7291" s="49" t="s">
        <v>40</v>
      </c>
    </row>
    <row r="7292" spans="1:7" x14ac:dyDescent="0.25">
      <c r="A7292" s="69" t="s">
        <v>97</v>
      </c>
      <c r="B7292" s="72" t="str">
        <f>VLOOKUP(A7292,'Componentes APUs'!$N$1:$Q$30,2,0)</f>
        <v>Camioneta</v>
      </c>
      <c r="C7292" s="73"/>
      <c r="D7292" s="70" t="str">
        <f>VLOOKUP(A7292,'Componentes APUs'!$N$1:$Q$30,3,0)</f>
        <v>U</v>
      </c>
      <c r="E7292" s="50">
        <v>0.25</v>
      </c>
      <c r="F7292" s="51">
        <f>VLOOKUP(A7292,'Componentes APUs'!$N$1:$Q$30,4,0)</f>
        <v>5500000</v>
      </c>
      <c r="G7292" s="51">
        <f>IFERROR(ROUNDUP(F7292*(E7292/21)/E7243,0),"-")</f>
        <v>2258</v>
      </c>
    </row>
    <row r="7293" spans="1:7" x14ac:dyDescent="0.25">
      <c r="A7293" s="50" t="s">
        <v>321</v>
      </c>
      <c r="B7293" s="72" t="str">
        <f>VLOOKUP(A7293,'Componentes APUs'!$N$1:$Q$30,2,0)</f>
        <v>Grúa Hidráulica</v>
      </c>
      <c r="C7293" s="73"/>
      <c r="D7293" s="70" t="str">
        <f>VLOOKUP(A7293,'Componentes APUs'!$N$1:$Q$30,3,0)</f>
        <v>U</v>
      </c>
      <c r="E7293" s="50">
        <v>0</v>
      </c>
      <c r="F7293" s="51">
        <f>VLOOKUP(A7293,'Componentes APUs'!$N$1:$Q$30,4,0)</f>
        <v>21000000</v>
      </c>
      <c r="G7293" s="51">
        <f>IFERROR(ROUNDUP(F7293*(E7293/21)/E7243,0),"-")</f>
        <v>0</v>
      </c>
    </row>
    <row r="7294" spans="1:7" x14ac:dyDescent="0.25">
      <c r="A7294" s="69" t="s">
        <v>1379</v>
      </c>
      <c r="B7294" s="72" t="str">
        <f>VLOOKUP(A7294,'Componentes APUs'!$N$1:$Q$30,2,0)</f>
        <v>Dumper de descarga Frontal 2T</v>
      </c>
      <c r="C7294" s="73"/>
      <c r="D7294" s="70" t="str">
        <f>VLOOKUP(A7294,'Componentes APUs'!$N$1:$Q$30,3,0)</f>
        <v>U</v>
      </c>
      <c r="E7294" s="50">
        <v>0</v>
      </c>
      <c r="F7294" s="51">
        <f>VLOOKUP(A7294,'Componentes APUs'!$N$1:$Q$30,4,0)</f>
        <v>4438716.24</v>
      </c>
      <c r="G7294" s="51">
        <f>IFERROR(ROUNDUP(F7294*(E7294/21)/E7243,0),"-")</f>
        <v>0</v>
      </c>
    </row>
    <row r="7295" spans="1:7" x14ac:dyDescent="0.25">
      <c r="A7295" s="50" t="s">
        <v>323</v>
      </c>
      <c r="B7295" s="72" t="str">
        <f>VLOOKUP(A7295,'Componentes APUs'!$N$1:$Q$30,2,0)</f>
        <v>Volqueta</v>
      </c>
      <c r="C7295" s="73"/>
      <c r="D7295" s="70" t="str">
        <f>VLOOKUP(A7295,'Componentes APUs'!$N$1:$Q$30,3,0)</f>
        <v>U</v>
      </c>
      <c r="E7295" s="50">
        <v>0</v>
      </c>
      <c r="F7295" s="51">
        <f>VLOOKUP(A7295,'Componentes APUs'!$N$1:$Q$30,4,0)</f>
        <v>14828184</v>
      </c>
      <c r="G7295" s="51">
        <f>IFERROR(ROUNDUP(F7295*(E7295/21)/E7243,0),"-")</f>
        <v>0</v>
      </c>
    </row>
    <row r="7296" spans="1:7" x14ac:dyDescent="0.25">
      <c r="A7296" s="69" t="s">
        <v>324</v>
      </c>
      <c r="B7296" s="72" t="str">
        <f>VLOOKUP(A7296,'Componentes APUs'!$N$1:$Q$30,2,0)</f>
        <v>Retroexcavadora</v>
      </c>
      <c r="C7296" s="73"/>
      <c r="D7296" s="70" t="str">
        <f>VLOOKUP(A7296,'Componentes APUs'!$N$1:$Q$30,3,0)</f>
        <v>U</v>
      </c>
      <c r="E7296" s="50">
        <v>0</v>
      </c>
      <c r="F7296" s="51">
        <f>VLOOKUP(A7296,'Componentes APUs'!$N$1:$Q$30,4,0)</f>
        <v>46030656</v>
      </c>
      <c r="G7296" s="51">
        <f>IFERROR(ROUNDUP(F7296*(E7296/21)/E7243,0),"-")</f>
        <v>0</v>
      </c>
    </row>
    <row r="7297" spans="1:8" x14ac:dyDescent="0.25">
      <c r="A7297" s="219" t="s">
        <v>99</v>
      </c>
      <c r="B7297" s="219"/>
      <c r="C7297" s="219"/>
      <c r="D7297" s="219"/>
      <c r="E7297" s="219"/>
      <c r="F7297" s="219"/>
      <c r="G7297" s="52">
        <f>SUM(G7292:G7296)</f>
        <v>2258</v>
      </c>
    </row>
    <row r="7298" spans="1:8" x14ac:dyDescent="0.25">
      <c r="A7298" s="56"/>
      <c r="B7298" s="57"/>
      <c r="C7298" s="57"/>
      <c r="D7298" s="57"/>
      <c r="E7298" s="57"/>
      <c r="F7298" s="57"/>
      <c r="G7298" s="58"/>
    </row>
    <row r="7299" spans="1:8" x14ac:dyDescent="0.25">
      <c r="A7299" s="219" t="s">
        <v>100</v>
      </c>
      <c r="B7299" s="219"/>
      <c r="C7299" s="219"/>
      <c r="D7299" s="219"/>
      <c r="E7299" s="219"/>
      <c r="F7299" s="219"/>
      <c r="G7299" s="52">
        <f>G7297+G7288+G7271+G7261+G7251</f>
        <v>17352</v>
      </c>
    </row>
    <row r="7300" spans="1:8" x14ac:dyDescent="0.25">
      <c r="A7300" s="59"/>
      <c r="B7300" s="60"/>
      <c r="C7300" s="60"/>
      <c r="D7300" s="60"/>
      <c r="E7300" s="57"/>
      <c r="F7300" s="57"/>
      <c r="G7300" s="58"/>
    </row>
    <row r="7301" spans="1:8" x14ac:dyDescent="0.25">
      <c r="A7301" s="64"/>
      <c r="D7301" s="55"/>
      <c r="E7301" s="49" t="s">
        <v>25</v>
      </c>
      <c r="F7301" s="54">
        <v>0.15</v>
      </c>
      <c r="G7301" s="51">
        <f>G7299*F7301</f>
        <v>2602.7999999999997</v>
      </c>
    </row>
    <row r="7302" spans="1:8" x14ac:dyDescent="0.25">
      <c r="A7302" s="64"/>
      <c r="D7302" s="55"/>
      <c r="E7302" s="49" t="s">
        <v>26</v>
      </c>
      <c r="F7302" s="54">
        <v>0.05</v>
      </c>
      <c r="G7302" s="51">
        <f>G7299*F7302</f>
        <v>867.6</v>
      </c>
    </row>
    <row r="7303" spans="1:8" x14ac:dyDescent="0.25">
      <c r="A7303" s="61"/>
      <c r="B7303" s="65"/>
      <c r="C7303" s="65"/>
      <c r="D7303" s="62"/>
      <c r="E7303" s="49" t="s">
        <v>27</v>
      </c>
      <c r="F7303" s="54">
        <v>0.05</v>
      </c>
      <c r="G7303" s="51">
        <f>G7299*F7303</f>
        <v>867.6</v>
      </c>
    </row>
    <row r="7304" spans="1:8" x14ac:dyDescent="0.25">
      <c r="A7304" s="61"/>
      <c r="B7304" s="62"/>
      <c r="C7304" s="62"/>
      <c r="D7304" s="62"/>
      <c r="E7304" s="62"/>
      <c r="F7304" s="62"/>
      <c r="G7304" s="63"/>
    </row>
    <row r="7305" spans="1:8" x14ac:dyDescent="0.25">
      <c r="A7305" s="219" t="s">
        <v>101</v>
      </c>
      <c r="B7305" s="219"/>
      <c r="C7305" s="219"/>
      <c r="D7305" s="219"/>
      <c r="E7305" s="219"/>
      <c r="F7305" s="219"/>
      <c r="G7305" s="52">
        <f>G7299+G7301+G7302+G7303</f>
        <v>21689.999999999996</v>
      </c>
    </row>
    <row r="7306" spans="1:8" x14ac:dyDescent="0.25">
      <c r="A7306" s="59"/>
      <c r="B7306" s="60"/>
      <c r="C7306" s="60"/>
      <c r="D7306" s="60"/>
      <c r="E7306" s="57"/>
      <c r="F7306" s="57"/>
      <c r="G7306" s="58"/>
    </row>
    <row r="7307" spans="1:8" x14ac:dyDescent="0.25">
      <c r="A7307" s="64"/>
      <c r="D7307" s="55"/>
      <c r="E7307" s="49" t="s">
        <v>102</v>
      </c>
      <c r="F7307" s="49" t="s">
        <v>103</v>
      </c>
      <c r="G7307" s="51">
        <f>G7303*19%</f>
        <v>164.84399999999999</v>
      </c>
    </row>
    <row r="7308" spans="1:8" x14ac:dyDescent="0.25">
      <c r="A7308" s="61"/>
      <c r="B7308" s="62"/>
      <c r="C7308" s="62"/>
      <c r="D7308" s="62"/>
      <c r="E7308" s="57"/>
      <c r="F7308" s="57"/>
      <c r="G7308" s="58"/>
    </row>
    <row r="7309" spans="1:8" x14ac:dyDescent="0.25">
      <c r="A7309" s="219" t="s">
        <v>104</v>
      </c>
      <c r="B7309" s="219"/>
      <c r="C7309" s="219"/>
      <c r="D7309" s="219"/>
      <c r="E7309" s="219"/>
      <c r="F7309" s="219"/>
      <c r="G7309" s="52">
        <f>G7307+G7305</f>
        <v>21854.843999999997</v>
      </c>
    </row>
    <row r="7311" spans="1:8" x14ac:dyDescent="0.25">
      <c r="A7311" s="74" t="s">
        <v>29</v>
      </c>
      <c r="B7311" s="226" t="s">
        <v>30</v>
      </c>
      <c r="C7311" s="226"/>
      <c r="D7311" s="74" t="s">
        <v>31</v>
      </c>
      <c r="E7311" s="74" t="s">
        <v>32</v>
      </c>
      <c r="F7311" s="74" t="s">
        <v>189</v>
      </c>
      <c r="G7311" s="74" t="s">
        <v>33</v>
      </c>
      <c r="H7311" s="105"/>
    </row>
    <row r="7312" spans="1:8" x14ac:dyDescent="0.25">
      <c r="A7312" s="50" t="str">
        <f>Presupuesto!B137</f>
        <v>116_OC</v>
      </c>
      <c r="B7312" s="227" t="str">
        <f>Presupuesto!C137</f>
        <v>PINTURA EN VINILO A 3 MANOS</v>
      </c>
      <c r="C7312" s="228"/>
      <c r="D7312" s="50" t="s">
        <v>113</v>
      </c>
      <c r="E7312" s="107">
        <v>13</v>
      </c>
      <c r="F7312" s="50"/>
      <c r="G7312" s="51">
        <f>G7378</f>
        <v>30068.043500000003</v>
      </c>
      <c r="H7312" s="45"/>
    </row>
    <row r="7313" spans="1:9" x14ac:dyDescent="0.25">
      <c r="A7313" s="219" t="s">
        <v>34</v>
      </c>
      <c r="B7313" s="219"/>
      <c r="C7313" s="219"/>
      <c r="D7313" s="219"/>
      <c r="E7313" s="219"/>
      <c r="F7313" s="219"/>
      <c r="G7313" s="219"/>
    </row>
    <row r="7314" spans="1:9" x14ac:dyDescent="0.25">
      <c r="A7314" s="49" t="s">
        <v>35</v>
      </c>
      <c r="B7314" s="219" t="s">
        <v>36</v>
      </c>
      <c r="C7314" s="219"/>
      <c r="D7314" s="49" t="s">
        <v>37</v>
      </c>
      <c r="E7314" s="49" t="s">
        <v>38</v>
      </c>
      <c r="F7314" s="49" t="s">
        <v>39</v>
      </c>
      <c r="G7314" s="49" t="s">
        <v>40</v>
      </c>
    </row>
    <row r="7315" spans="1:9" x14ac:dyDescent="0.25">
      <c r="A7315" s="50" t="str">
        <f>Material!A619</f>
        <v>MA-618</v>
      </c>
      <c r="B7315" s="72" t="str">
        <f>IFERROR(VLOOKUP(A7315,Material!$A:$H,2,0),"-")</f>
        <v>YESO</v>
      </c>
      <c r="C7315" s="76"/>
      <c r="D7315" s="50" t="str">
        <f>IFERROR(VLOOKUP(A7315,Material!$A:$H,4,0),"-")</f>
        <v>KG</v>
      </c>
      <c r="E7315" s="108">
        <v>0.1</v>
      </c>
      <c r="F7315" s="51">
        <f>IFERROR(VLOOKUP(A7315,Material!$A:$H,3,0),"-")</f>
        <v>1869.4</v>
      </c>
      <c r="G7315" s="51">
        <f>IFERROR(ROUNDUP(F7315*E7315,0),"-")</f>
        <v>187</v>
      </c>
      <c r="H7315" s="106"/>
    </row>
    <row r="7316" spans="1:9" x14ac:dyDescent="0.25">
      <c r="A7316" s="50" t="str">
        <f>Material!A620</f>
        <v>MA-619</v>
      </c>
      <c r="B7316" s="72" t="str">
        <f>IFERROR(VLOOKUP(A7316,Material!$A:$H,2,0),"-")</f>
        <v>PINTURA VINILTEX</v>
      </c>
      <c r="C7316" s="76"/>
      <c r="D7316" s="50" t="str">
        <f>IFERROR(VLOOKUP(A7316,Material!$A:$H,4,0),"-")</f>
        <v>GAL</v>
      </c>
      <c r="E7316" s="23">
        <v>0.02</v>
      </c>
      <c r="F7316" s="51">
        <f>IFERROR(VLOOKUP(A7316,Material!$A:$H,3,0),"-")</f>
        <v>127172.5</v>
      </c>
      <c r="G7316" s="51">
        <f>IFERROR(ROUNDUP(F7316*E7316,0),"-")</f>
        <v>2544</v>
      </c>
      <c r="H7316" s="106"/>
    </row>
    <row r="7317" spans="1:9" x14ac:dyDescent="0.25">
      <c r="A7317" s="50"/>
      <c r="B7317" s="72" t="str">
        <f>IFERROR(VLOOKUP(A7317,Material!$A:$H,2,0),"-")</f>
        <v>-</v>
      </c>
      <c r="C7317" s="76"/>
      <c r="D7317" s="50" t="str">
        <f>IFERROR(VLOOKUP(A7317,Material!$A:$H,4,0),"-")</f>
        <v>-</v>
      </c>
      <c r="E7317" s="107"/>
      <c r="F7317" s="51" t="str">
        <f>IFERROR(VLOOKUP(A7317,Material!$A:$H,3,0),"-")</f>
        <v>-</v>
      </c>
      <c r="G7317" s="51" t="str">
        <f>IFERROR(ROUNDUP(F7317*E7317,0),"-")</f>
        <v>-</v>
      </c>
      <c r="H7317" s="106"/>
    </row>
    <row r="7318" spans="1:9" x14ac:dyDescent="0.25">
      <c r="A7318" s="50"/>
      <c r="B7318" s="72" t="str">
        <f>IFERROR(VLOOKUP(A7318,Material!$A:$H,2,0),"-")</f>
        <v>-</v>
      </c>
      <c r="C7318" s="76"/>
      <c r="D7318" s="50" t="str">
        <f>IFERROR(VLOOKUP(A7318,Material!$A:$H,4,0),"-")</f>
        <v>-</v>
      </c>
      <c r="E7318" s="107"/>
      <c r="F7318" s="51" t="str">
        <f>IFERROR(VLOOKUP(A7318,Material!$A:$H,3,0),"-")</f>
        <v>-</v>
      </c>
      <c r="G7318" s="51" t="str">
        <f>IFERROR(ROUNDUP(F7318*E7318,0),"-")</f>
        <v>-</v>
      </c>
      <c r="H7318" s="106"/>
    </row>
    <row r="7319" spans="1:9" x14ac:dyDescent="0.25">
      <c r="A7319" s="50"/>
      <c r="B7319" s="72" t="str">
        <f>IFERROR(VLOOKUP(A7319,Material!$A:$H,2,0),"-")</f>
        <v>-</v>
      </c>
      <c r="C7319" s="76"/>
      <c r="D7319" s="50" t="str">
        <f>IFERROR(VLOOKUP(A7319,Material!$A:$H,4,0),"-")</f>
        <v>-</v>
      </c>
      <c r="E7319" s="107"/>
      <c r="F7319" s="51" t="str">
        <f>IFERROR(VLOOKUP(A7319,Material!$A:$H,3,0),"-")</f>
        <v>-</v>
      </c>
      <c r="G7319" s="51" t="str">
        <f>IFERROR(ROUNDUP(F7319*E7319,0),"-")</f>
        <v>-</v>
      </c>
      <c r="H7319" s="106"/>
    </row>
    <row r="7320" spans="1:9" x14ac:dyDescent="0.25">
      <c r="A7320" s="219" t="s">
        <v>41</v>
      </c>
      <c r="B7320" s="219"/>
      <c r="C7320" s="219"/>
      <c r="D7320" s="219"/>
      <c r="E7320" s="219"/>
      <c r="F7320" s="219"/>
      <c r="G7320" s="52">
        <f>SUM(G7315:G7319)</f>
        <v>2731</v>
      </c>
      <c r="I7320" s="104"/>
    </row>
    <row r="7321" spans="1:9" x14ac:dyDescent="0.25">
      <c r="A7321" s="56"/>
      <c r="B7321" s="57"/>
      <c r="C7321" s="57"/>
      <c r="D7321" s="57"/>
      <c r="E7321" s="57"/>
      <c r="F7321" s="57"/>
      <c r="G7321" s="58"/>
    </row>
    <row r="7322" spans="1:9" x14ac:dyDescent="0.25">
      <c r="A7322" s="219" t="s">
        <v>42</v>
      </c>
      <c r="B7322" s="219"/>
      <c r="C7322" s="219"/>
      <c r="D7322" s="219"/>
      <c r="E7322" s="219"/>
      <c r="F7322" s="219"/>
      <c r="G7322" s="219"/>
    </row>
    <row r="7323" spans="1:9" x14ac:dyDescent="0.25">
      <c r="A7323" s="49" t="s">
        <v>35</v>
      </c>
      <c r="B7323" s="49" t="s">
        <v>36</v>
      </c>
      <c r="C7323" s="49" t="s">
        <v>38</v>
      </c>
      <c r="D7323" s="49" t="s">
        <v>43</v>
      </c>
      <c r="E7323" s="49" t="s">
        <v>44</v>
      </c>
      <c r="F7323" s="49" t="s">
        <v>45</v>
      </c>
      <c r="G7323" s="49" t="s">
        <v>40</v>
      </c>
    </row>
    <row r="7324" spans="1:9" x14ac:dyDescent="0.25">
      <c r="A7324" s="50" t="s">
        <v>319</v>
      </c>
      <c r="B7324" s="68" t="str">
        <f>VLOOKUP(A7324,'Componentes APUs'!$H$1:$L$25,2,0)</f>
        <v>Ingeniero Residente de Obra</v>
      </c>
      <c r="C7324" s="93">
        <v>0</v>
      </c>
      <c r="D7324" s="50">
        <f>VLOOKUP(A7324,'Componentes APUs'!$H$1:$L$25,3,0)</f>
        <v>4</v>
      </c>
      <c r="E7324" s="51">
        <f>VLOOKUP(A7324,'Componentes APUs'!$H$1:$L$25,4,0)</f>
        <v>271142.85714285716</v>
      </c>
      <c r="F7324" s="51">
        <f>VLOOKUP(A7324,'Componentes APUs'!$H$1:$L$25,5,0)</f>
        <v>162685.71428571429</v>
      </c>
      <c r="G7324" s="51">
        <f>ROUNDUP((E7324+F7324)*C7324/E7312,0)</f>
        <v>0</v>
      </c>
      <c r="H7324" s="66"/>
    </row>
    <row r="7325" spans="1:9" x14ac:dyDescent="0.25">
      <c r="A7325" s="50" t="s">
        <v>320</v>
      </c>
      <c r="B7325" s="68" t="str">
        <f>VLOOKUP(A7325,'Componentes APUs'!$H$1:$L$25,2,0)</f>
        <v>Tecnico Supervisor</v>
      </c>
      <c r="C7325" s="93">
        <v>0</v>
      </c>
      <c r="D7325" s="50">
        <f>VLOOKUP(A7325,'Componentes APUs'!$H$1:$L$25,3,0)</f>
        <v>2.2999999999999998</v>
      </c>
      <c r="E7325" s="51">
        <f>VLOOKUP(A7325,'Componentes APUs'!$H$1:$L$25,4,0)</f>
        <v>155907.14285714284</v>
      </c>
      <c r="F7325" s="51">
        <f>VLOOKUP(A7325,'Componentes APUs'!$H$1:$L$25,5,0)</f>
        <v>93544.285714285696</v>
      </c>
      <c r="G7325" s="51">
        <f>ROUNDUP((E7325+F7325)*C7325/E7312,0)</f>
        <v>0</v>
      </c>
    </row>
    <row r="7326" spans="1:9" x14ac:dyDescent="0.25">
      <c r="A7326" s="50" t="s">
        <v>54</v>
      </c>
      <c r="B7326" s="68" t="str">
        <f>VLOOKUP(A7326,'Componentes APUs'!$H$1:$L$25,2,0)</f>
        <v>Maestro de obra civil</v>
      </c>
      <c r="C7326" s="93">
        <v>0</v>
      </c>
      <c r="D7326" s="50">
        <f>VLOOKUP(A7326,'Componentes APUs'!$H$1:$L$25,3,0)</f>
        <v>2.5</v>
      </c>
      <c r="E7326" s="51">
        <f>VLOOKUP(A7326,'Componentes APUs'!$H$1:$L$25,4,0)</f>
        <v>169464.28571428571</v>
      </c>
      <c r="F7326" s="51">
        <f>VLOOKUP(A7326,'Componentes APUs'!$H$1:$L$25,5,0)</f>
        <v>101678.57142857142</v>
      </c>
      <c r="G7326" s="51">
        <f>ROUNDUP((E7326+F7326)*C7326/E7312,0)</f>
        <v>0</v>
      </c>
    </row>
    <row r="7327" spans="1:9" x14ac:dyDescent="0.25">
      <c r="A7327" s="50" t="s">
        <v>1110</v>
      </c>
      <c r="B7327" s="68" t="str">
        <f>VLOOKUP(A7327,'Componentes APUs'!$H$1:$L$25,2,0)</f>
        <v>Oficial de Obra Civil</v>
      </c>
      <c r="C7327" s="93">
        <v>0.25</v>
      </c>
      <c r="D7327" s="50">
        <f>VLOOKUP(A7327,'Componentes APUs'!$H$1:$L$25,3,0)</f>
        <v>1.5</v>
      </c>
      <c r="E7327" s="51">
        <f>VLOOKUP(A7327,'Componentes APUs'!$H$1:$L$25,4,0)</f>
        <v>115964.28571428571</v>
      </c>
      <c r="F7327" s="51">
        <f>VLOOKUP(A7327,'Componentes APUs'!$H$1:$L$25,5,0)</f>
        <v>69578.57142857142</v>
      </c>
      <c r="G7327" s="51">
        <f>ROUNDUP((E7327+F7327)*C7327/E7312,0)</f>
        <v>3569</v>
      </c>
    </row>
    <row r="7328" spans="1:9" x14ac:dyDescent="0.25">
      <c r="A7328" s="50" t="s">
        <v>50</v>
      </c>
      <c r="B7328" s="68" t="str">
        <f>VLOOKUP(A7328,'Componentes APUs'!$H$1:$L$25,2,0)</f>
        <v>Profesional en SST</v>
      </c>
      <c r="C7328" s="93">
        <v>0</v>
      </c>
      <c r="D7328" s="50">
        <f>VLOOKUP(A7328,'Componentes APUs'!$H$1:$L$25,3,0)</f>
        <v>2.5</v>
      </c>
      <c r="E7328" s="51">
        <f>VLOOKUP(A7328,'Componentes APUs'!$H$1:$L$25,4,0)</f>
        <v>169464.28571428571</v>
      </c>
      <c r="F7328" s="51">
        <f>VLOOKUP(A7328,'Componentes APUs'!$H$1:$L$25,5,0)</f>
        <v>101678.57142857142</v>
      </c>
      <c r="G7328" s="51">
        <f>ROUNDUP((E7328+F7328)*C7328/E7312,0)</f>
        <v>0</v>
      </c>
    </row>
    <row r="7329" spans="1:9" x14ac:dyDescent="0.25">
      <c r="A7329" s="50" t="s">
        <v>1109</v>
      </c>
      <c r="B7329" s="68" t="str">
        <f>VLOOKUP(A7329,'Componentes APUs'!$H$1:$L$25,2,0)</f>
        <v>Ayudante de Obra Civil</v>
      </c>
      <c r="C7329" s="93">
        <v>1</v>
      </c>
      <c r="D7329" s="50">
        <f>VLOOKUP(A7329,'Componentes APUs'!$H$1:$L$25,3,0)</f>
        <v>1</v>
      </c>
      <c r="E7329" s="51">
        <f>VLOOKUP(A7329,'Componentes APUs'!$H$1:$L$25,4,0)</f>
        <v>77309.523809523816</v>
      </c>
      <c r="F7329" s="51">
        <f>VLOOKUP(A7329,'Componentes APUs'!$H$1:$L$25,5,0)</f>
        <v>46385.71428571429</v>
      </c>
      <c r="G7329" s="51">
        <f>ROUNDUP((E7329+F7329)*C7329/E7312,0)</f>
        <v>9516</v>
      </c>
    </row>
    <row r="7330" spans="1:9" x14ac:dyDescent="0.25">
      <c r="A7330" s="219" t="s">
        <v>56</v>
      </c>
      <c r="B7330" s="219"/>
      <c r="C7330" s="219"/>
      <c r="D7330" s="219"/>
      <c r="E7330" s="219"/>
      <c r="F7330" s="219"/>
      <c r="G7330" s="52">
        <f>SUM(G7324:G7329)</f>
        <v>13085</v>
      </c>
    </row>
    <row r="7331" spans="1:9" x14ac:dyDescent="0.25">
      <c r="A7331" s="56"/>
      <c r="B7331" s="57"/>
      <c r="C7331" s="57"/>
      <c r="D7331" s="57"/>
      <c r="E7331" s="57"/>
      <c r="F7331" s="57"/>
      <c r="G7331" s="58"/>
    </row>
    <row r="7332" spans="1:9" x14ac:dyDescent="0.25">
      <c r="A7332" s="219" t="s">
        <v>57</v>
      </c>
      <c r="B7332" s="219"/>
      <c r="C7332" s="219"/>
      <c r="D7332" s="219"/>
      <c r="E7332" s="219"/>
      <c r="F7332" s="219"/>
      <c r="G7332" s="219"/>
    </row>
    <row r="7333" spans="1:9" x14ac:dyDescent="0.25">
      <c r="A7333" s="49" t="s">
        <v>35</v>
      </c>
      <c r="B7333" s="219" t="s">
        <v>36</v>
      </c>
      <c r="C7333" s="219"/>
      <c r="D7333" s="49" t="s">
        <v>37</v>
      </c>
      <c r="E7333" s="49" t="s">
        <v>38</v>
      </c>
      <c r="F7333" s="49" t="s">
        <v>39</v>
      </c>
      <c r="G7333" s="49" t="s">
        <v>40</v>
      </c>
    </row>
    <row r="7334" spans="1:9" x14ac:dyDescent="0.25">
      <c r="A7334" s="50" t="s">
        <v>326</v>
      </c>
      <c r="B7334" s="220" t="str">
        <f>VLOOKUP(A7334,'Componentes APUs'!$S$1:$V$10,2,0)</f>
        <v>Juego Llaves</v>
      </c>
      <c r="C7334" s="220"/>
      <c r="D7334" s="50" t="s">
        <v>18</v>
      </c>
      <c r="E7334" s="50">
        <v>0</v>
      </c>
      <c r="F7334" s="51">
        <f>VLOOKUP(A7334,'Componentes APUs'!$S$1:$V$10,4,0)</f>
        <v>9167</v>
      </c>
      <c r="G7334" s="51">
        <f>ROUNDUP(F7334*((E7334/21)/E7312),0)</f>
        <v>0</v>
      </c>
      <c r="I7334" s="91"/>
    </row>
    <row r="7335" spans="1:9" x14ac:dyDescent="0.25">
      <c r="A7335" s="50" t="s">
        <v>58</v>
      </c>
      <c r="B7335" s="220" t="str">
        <f>VLOOKUP(A7335,'Componentes APUs'!$S$1:$V$10,2,0)</f>
        <v>Manila de servicio</v>
      </c>
      <c r="C7335" s="220"/>
      <c r="D7335" s="50" t="s">
        <v>18</v>
      </c>
      <c r="E7335" s="50">
        <v>0</v>
      </c>
      <c r="F7335" s="51">
        <f>VLOOKUP(A7335,'Componentes APUs'!$S$1:$V$10,4,0)</f>
        <v>2333</v>
      </c>
      <c r="G7335" s="51">
        <f>ROUNDUP(F7335*((E7335/21)/E7312),0)</f>
        <v>0</v>
      </c>
    </row>
    <row r="7336" spans="1:9" x14ac:dyDescent="0.25">
      <c r="A7336" s="50" t="s">
        <v>327</v>
      </c>
      <c r="B7336" s="220" t="str">
        <f>VLOOKUP(A7336,'Componentes APUs'!$S$1:$V$10,2,0)</f>
        <v>Tula portaherramientas</v>
      </c>
      <c r="C7336" s="220"/>
      <c r="D7336" s="50" t="s">
        <v>18</v>
      </c>
      <c r="E7336" s="50">
        <v>0</v>
      </c>
      <c r="F7336" s="51">
        <f>VLOOKUP(A7336,'Componentes APUs'!$S$1:$V$10,4,0)</f>
        <v>1250</v>
      </c>
      <c r="G7336" s="51">
        <f>ROUNDUP(F7336*((E7336/21)/E7312),0)</f>
        <v>0</v>
      </c>
    </row>
    <row r="7337" spans="1:9" x14ac:dyDescent="0.25">
      <c r="A7337" s="50" t="s">
        <v>60</v>
      </c>
      <c r="B7337" s="220" t="str">
        <f>VLOOKUP(A7337,'Componentes APUs'!$S$1:$V$10,2,0)</f>
        <v>Agarradoras</v>
      </c>
      <c r="C7337" s="220"/>
      <c r="D7337" s="50" t="s">
        <v>18</v>
      </c>
      <c r="E7337" s="50">
        <v>0</v>
      </c>
      <c r="F7337" s="51">
        <f>VLOOKUP(A7337,'Componentes APUs'!$S$1:$V$10,4,0)</f>
        <v>125000</v>
      </c>
      <c r="G7337" s="51">
        <f>ROUNDUP(F7337*((E7337/21)/E7312),0)</f>
        <v>0</v>
      </c>
    </row>
    <row r="7338" spans="1:9" x14ac:dyDescent="0.25">
      <c r="A7338" s="50" t="s">
        <v>62</v>
      </c>
      <c r="B7338" s="220" t="str">
        <f>VLOOKUP(A7338,'Componentes APUs'!$S$1:$V$10,2,0)</f>
        <v>Templadoras</v>
      </c>
      <c r="C7338" s="220"/>
      <c r="D7338" s="50" t="s">
        <v>18</v>
      </c>
      <c r="E7338" s="50">
        <v>0</v>
      </c>
      <c r="F7338" s="51">
        <f>VLOOKUP(A7338,'Componentes APUs'!$S$1:$V$10,4,0)</f>
        <v>250000</v>
      </c>
      <c r="G7338" s="51">
        <f>ROUNDUP(F7338*((E7338/21)/E7312),0)</f>
        <v>0</v>
      </c>
    </row>
    <row r="7339" spans="1:9" x14ac:dyDescent="0.25">
      <c r="A7339" s="50" t="s">
        <v>328</v>
      </c>
      <c r="B7339" s="220" t="str">
        <f>VLOOKUP(A7339,'Componentes APUs'!$S$1:$V$10,2,0)</f>
        <v>Herramienta Menor</v>
      </c>
      <c r="C7339" s="220"/>
      <c r="D7339" s="50" t="s">
        <v>18</v>
      </c>
      <c r="E7339" s="50">
        <v>10</v>
      </c>
      <c r="F7339" s="51">
        <f>VLOOKUP(A7339,'Componentes APUs'!$S$1:$V$10,4,0)</f>
        <v>75758</v>
      </c>
      <c r="G7339" s="51">
        <f>ROUNDUP(F7339*((E7339/21)/E7312),0)</f>
        <v>2776</v>
      </c>
    </row>
    <row r="7340" spans="1:9" x14ac:dyDescent="0.25">
      <c r="A7340" s="219" t="s">
        <v>69</v>
      </c>
      <c r="B7340" s="219"/>
      <c r="C7340" s="219"/>
      <c r="D7340" s="219"/>
      <c r="E7340" s="219"/>
      <c r="F7340" s="219"/>
      <c r="G7340" s="52">
        <f>SUM(G7334:G7339)</f>
        <v>2776</v>
      </c>
    </row>
    <row r="7341" spans="1:9" x14ac:dyDescent="0.25">
      <c r="A7341" s="56"/>
      <c r="B7341" s="57"/>
      <c r="C7341" s="57"/>
      <c r="D7341" s="57"/>
      <c r="E7341" s="57"/>
      <c r="F7341" s="57"/>
      <c r="G7341" s="58"/>
    </row>
    <row r="7342" spans="1:9" x14ac:dyDescent="0.25">
      <c r="A7342" s="219" t="s">
        <v>70</v>
      </c>
      <c r="B7342" s="219"/>
      <c r="C7342" s="219"/>
      <c r="D7342" s="219"/>
      <c r="E7342" s="219"/>
      <c r="F7342" s="219"/>
      <c r="G7342" s="219"/>
    </row>
    <row r="7343" spans="1:9" x14ac:dyDescent="0.25">
      <c r="A7343" s="49" t="s">
        <v>35</v>
      </c>
      <c r="B7343" s="219" t="s">
        <v>36</v>
      </c>
      <c r="C7343" s="219"/>
      <c r="D7343" s="49" t="s">
        <v>37</v>
      </c>
      <c r="E7343" s="49" t="s">
        <v>38</v>
      </c>
      <c r="F7343" s="49" t="s">
        <v>39</v>
      </c>
      <c r="G7343" s="49" t="s">
        <v>40</v>
      </c>
    </row>
    <row r="7344" spans="1:9" x14ac:dyDescent="0.25">
      <c r="A7344" s="50" t="s">
        <v>71</v>
      </c>
      <c r="B7344" s="71" t="str">
        <f>VLOOKUP(A7344,'Componentes APUs'!$A$1:$D$14,2,0)</f>
        <v>Camisa indigo sin partes metalicas</v>
      </c>
      <c r="C7344" s="71"/>
      <c r="D7344" s="50" t="str">
        <f>VLOOKUP(A7344,'Componentes APUs'!$A$1:$D$14,3,0)</f>
        <v>U</v>
      </c>
      <c r="E7344" s="50">
        <f>SUM(C7324:C7329)</f>
        <v>1.25</v>
      </c>
      <c r="F7344" s="51">
        <f>VLOOKUP(A7344,'Componentes APUs'!$A$1:$D$14,4,0)</f>
        <v>8585.8585858585866</v>
      </c>
      <c r="G7344" s="51">
        <f>ROUNDUP(F7344*(E7344/21)/E7312,0)</f>
        <v>40</v>
      </c>
      <c r="I7344" s="91"/>
    </row>
    <row r="7345" spans="1:7" x14ac:dyDescent="0.25">
      <c r="A7345" s="69" t="s">
        <v>73</v>
      </c>
      <c r="B7345" s="72" t="str">
        <f>VLOOKUP(A7345,'Componentes APUs'!$A$1:$D$14,2,0)</f>
        <v>Bota de seguridad dielectrica</v>
      </c>
      <c r="C7345" s="73"/>
      <c r="D7345" s="70" t="str">
        <f>VLOOKUP(A7345,'Componentes APUs'!$A$1:$D$14,3,0)</f>
        <v>Par</v>
      </c>
      <c r="E7345" s="50">
        <f>SUM(C7324:C7329)</f>
        <v>1.25</v>
      </c>
      <c r="F7345" s="51">
        <f>VLOOKUP(A7345,'Componentes APUs'!$A$1:$D$14,4,0)</f>
        <v>7500</v>
      </c>
      <c r="G7345" s="51">
        <f>ROUNDUP(F7345*(E7345/21)/E7312,0)</f>
        <v>35</v>
      </c>
    </row>
    <row r="7346" spans="1:7" x14ac:dyDescent="0.25">
      <c r="A7346" s="50" t="s">
        <v>76</v>
      </c>
      <c r="B7346" s="72" t="str">
        <f>VLOOKUP(A7346,'Componentes APUs'!$A$1:$D$14,2,0)</f>
        <v>Casco dielectrico Tipo 1 Clase E con barbuquejo</v>
      </c>
      <c r="C7346" s="73"/>
      <c r="D7346" s="50" t="str">
        <f>VLOOKUP(A7346,'Componentes APUs'!$A$1:$D$14,3,0)</f>
        <v>U</v>
      </c>
      <c r="E7346" s="50">
        <f>C7324+C7325+C7327+C7328+C7329+IF(A7326&lt;&gt;"MO-3",C7326,0)</f>
        <v>1.25</v>
      </c>
      <c r="F7346" s="51">
        <f>VLOOKUP(A7346,'Componentes APUs'!$A$1:$D$14,4,0)</f>
        <v>10101.010101010101</v>
      </c>
      <c r="G7346" s="51">
        <f>ROUNDUP(F7346*(E7346/21)/E7312,0)</f>
        <v>47</v>
      </c>
    </row>
    <row r="7347" spans="1:7" x14ac:dyDescent="0.25">
      <c r="A7347" s="69" t="s">
        <v>77</v>
      </c>
      <c r="B7347" s="72" t="str">
        <f>VLOOKUP(A7347,'Componentes APUs'!$A$1:$D$14,2,0)</f>
        <v>Correa plastica y antiflama</v>
      </c>
      <c r="C7347" s="73"/>
      <c r="D7347" s="50" t="str">
        <f>VLOOKUP(A7347,'Componentes APUs'!$A$1:$D$14,3,0)</f>
        <v>U</v>
      </c>
      <c r="E7347" s="50">
        <f>SUM(C7324:C7329)</f>
        <v>1.25</v>
      </c>
      <c r="F7347" s="51">
        <f>VLOOKUP(A7347,'Componentes APUs'!$A$1:$D$14,4,0)</f>
        <v>3787.878787878788</v>
      </c>
      <c r="G7347" s="51">
        <f>ROUNDUP(F7347*(E7347/21)/E7312,0)</f>
        <v>18</v>
      </c>
    </row>
    <row r="7348" spans="1:7" x14ac:dyDescent="0.25">
      <c r="A7348" s="50" t="s">
        <v>79</v>
      </c>
      <c r="B7348" s="72" t="str">
        <f>VLOOKUP(A7348,'Componentes APUs'!$A$1:$D$14,2,0)</f>
        <v>Gafas protectoras filtro UV</v>
      </c>
      <c r="C7348" s="73"/>
      <c r="D7348" s="50" t="str">
        <f>VLOOKUP(A7348,'Componentes APUs'!$A$1:$D$14,3,0)</f>
        <v>U</v>
      </c>
      <c r="E7348" s="50">
        <f>SUM(C7324:C7329)</f>
        <v>1.25</v>
      </c>
      <c r="F7348" s="51">
        <f>VLOOKUP(A7348,'Componentes APUs'!$A$1:$D$14,4,0)</f>
        <v>2777.7777777777778</v>
      </c>
      <c r="G7348" s="51">
        <f>ROUNDUP(F7348*(E7348/21)/E7312,0)</f>
        <v>13</v>
      </c>
    </row>
    <row r="7349" spans="1:7" x14ac:dyDescent="0.25">
      <c r="A7349" s="69" t="s">
        <v>402</v>
      </c>
      <c r="B7349" s="72" t="str">
        <f>VLOOKUP(A7349,'Componentes APUs'!$A$1:$D$14,2,0)</f>
        <v>Bota de seguridad PVC dielectrica</v>
      </c>
      <c r="C7349" s="73"/>
      <c r="D7349" s="50" t="str">
        <f>VLOOKUP(A7349,'Componentes APUs'!$A$1:$D$14,3,0)</f>
        <v>Par</v>
      </c>
      <c r="E7349" s="50">
        <f>SUM(C7324:C7329)</f>
        <v>1.25</v>
      </c>
      <c r="F7349" s="51">
        <f>VLOOKUP(A7349,'Componentes APUs'!$A$1:$D$14,4,0)</f>
        <v>2916.6666666666665</v>
      </c>
      <c r="G7349" s="51">
        <f>ROUNDUP(F7349*(E7349/21)/E7312,0)</f>
        <v>14</v>
      </c>
    </row>
    <row r="7350" spans="1:7" x14ac:dyDescent="0.25">
      <c r="A7350" s="50" t="s">
        <v>403</v>
      </c>
      <c r="B7350" s="72" t="str">
        <f>VLOOKUP(A7350,'Componentes APUs'!$A$1:$D$14,2,0)</f>
        <v>Capuchon</v>
      </c>
      <c r="C7350" s="73"/>
      <c r="D7350" s="50" t="str">
        <f>VLOOKUP(A7350,'Componentes APUs'!$A$1:$D$14,3,0)</f>
        <v>U</v>
      </c>
      <c r="E7350" s="50">
        <f>SUM(C7324:C7329)</f>
        <v>1.25</v>
      </c>
      <c r="F7350" s="51">
        <f>VLOOKUP(A7350,'Componentes APUs'!$A$1:$D$14,4,0)</f>
        <v>2525.2525252525252</v>
      </c>
      <c r="G7350" s="51">
        <f>ROUNDUP(F7350*(E7350/21)/E7312,0)</f>
        <v>12</v>
      </c>
    </row>
    <row r="7351" spans="1:7" x14ac:dyDescent="0.25">
      <c r="A7351" s="69" t="s">
        <v>81</v>
      </c>
      <c r="B7351" s="72" t="str">
        <f>VLOOKUP(A7351,'Componentes APUs'!$A$1:$D$14,2,0)</f>
        <v>Guantes Protectores  - ingeniero reforzados</v>
      </c>
      <c r="C7351" s="73"/>
      <c r="D7351" s="50" t="str">
        <f>VLOOKUP(A7351,'Componentes APUs'!$A$1:$D$14,3,0)</f>
        <v>Par</v>
      </c>
      <c r="E7351" s="50">
        <f>C7326+C7327+C7329</f>
        <v>1.25</v>
      </c>
      <c r="F7351" s="51">
        <f>VLOOKUP(A7351,'Componentes APUs'!$A$1:$D$14,4,0)</f>
        <v>2525.2525252525252</v>
      </c>
      <c r="G7351" s="51">
        <f>ROUNDUP(F7351*(E7351/21)/E7312,0)</f>
        <v>12</v>
      </c>
    </row>
    <row r="7352" spans="1:7" x14ac:dyDescent="0.25">
      <c r="A7352" s="50" t="s">
        <v>83</v>
      </c>
      <c r="B7352" s="72" t="str">
        <f>VLOOKUP(A7352,'Componentes APUs'!$A$1:$D$14,2,0)</f>
        <v>Impermeable (pantalon camisa)</v>
      </c>
      <c r="C7352" s="73"/>
      <c r="D7352" s="50" t="str">
        <f>VLOOKUP(A7352,'Componentes APUs'!$A$1:$D$14,3,0)</f>
        <v>U</v>
      </c>
      <c r="E7352" s="50">
        <f>SUM(C7324:C7329)</f>
        <v>1.25</v>
      </c>
      <c r="F7352" s="51">
        <f>VLOOKUP(A7352,'Componentes APUs'!$A$1:$D$14,4,0)</f>
        <v>3750</v>
      </c>
      <c r="G7352" s="51">
        <f>ROUNDUP(F7352*(E7352/21)/E7312,0)</f>
        <v>18</v>
      </c>
    </row>
    <row r="7353" spans="1:7" x14ac:dyDescent="0.25">
      <c r="A7353" s="69" t="s">
        <v>85</v>
      </c>
      <c r="B7353" s="72" t="str">
        <f>VLOOKUP(A7353,'Componentes APUs'!$A$1:$D$14,2,0)</f>
        <v>Jean Dielectrico</v>
      </c>
      <c r="C7353" s="73"/>
      <c r="D7353" s="50" t="str">
        <f>VLOOKUP(A7353,'Componentes APUs'!$A$1:$D$14,3,0)</f>
        <v>U</v>
      </c>
      <c r="E7353" s="50">
        <f>SUM(C7324:C7329)</f>
        <v>1.25</v>
      </c>
      <c r="F7353" s="51">
        <f>VLOOKUP(A7353,'Componentes APUs'!$A$1:$D$14,4,0)</f>
        <v>7575.757575757576</v>
      </c>
      <c r="G7353" s="51">
        <f>ROUNDUP(F7353*(E7353/21)/E7312,0)</f>
        <v>35</v>
      </c>
    </row>
    <row r="7354" spans="1:7" x14ac:dyDescent="0.25">
      <c r="A7354" s="50" t="s">
        <v>87</v>
      </c>
      <c r="B7354" s="72" t="str">
        <f>VLOOKUP(A7354,'Componentes APUs'!$A$1:$D$14,2,0)</f>
        <v>Casco dielectrico Tipo 2 Clase E con barboquejo</v>
      </c>
      <c r="C7354" s="73"/>
      <c r="D7354" s="50" t="str">
        <f>VLOOKUP(A7354,'Componentes APUs'!$A$1:$D$14,3,0)</f>
        <v>U</v>
      </c>
      <c r="E7354" s="53">
        <f>IF(A7326="MO-3",C7326,0)</f>
        <v>0</v>
      </c>
      <c r="F7354" s="51">
        <f>VLOOKUP(A7354,'Componentes APUs'!$A$1:$D$14,4,0)</f>
        <v>7500</v>
      </c>
      <c r="G7354" s="51">
        <f>ROUNDUP(F7354*(E7354/21)/E7312,0)</f>
        <v>0</v>
      </c>
    </row>
    <row r="7355" spans="1:7" x14ac:dyDescent="0.25">
      <c r="A7355" s="69" t="s">
        <v>89</v>
      </c>
      <c r="B7355" s="72" t="str">
        <f>VLOOKUP(A7355,'Componentes APUs'!$A$1:$D$14,2,0)</f>
        <v>Kit de rescate para trabajo en alturas</v>
      </c>
      <c r="C7355" s="73"/>
      <c r="D7355" s="50" t="str">
        <f>VLOOKUP(A7355,'Componentes APUs'!$A$1:$D$14,3,0)</f>
        <v>U</v>
      </c>
      <c r="E7355" s="50">
        <f>IF(AND(A7326="MO-3",C7326=2),1,0)</f>
        <v>0</v>
      </c>
      <c r="F7355" s="51">
        <f>VLOOKUP(A7355,'Componentes APUs'!$A$1:$D$14,4,0)</f>
        <v>37500</v>
      </c>
      <c r="G7355" s="51">
        <f>ROUNDUP(F7355*(E7355/21)/E7312,0)</f>
        <v>0</v>
      </c>
    </row>
    <row r="7356" spans="1:7" x14ac:dyDescent="0.25">
      <c r="A7356" s="50" t="s">
        <v>91</v>
      </c>
      <c r="B7356" s="72" t="str">
        <f>VLOOKUP(A7356,'Componentes APUs'!$A$1:$D$14,2,0)</f>
        <v>Equipo completo para trabajo en alturas con pretales (Arnes dielectrico, 1 mosqueton de seguridad, tie off dielectrico, eslinga de posicionamiento, juego de pretales)</v>
      </c>
      <c r="C7356" s="73"/>
      <c r="D7356" s="50" t="str">
        <f>VLOOKUP(A7356,'Componentes APUs'!$A$1:$D$14,3,0)</f>
        <v>U</v>
      </c>
      <c r="E7356" s="50">
        <f>IF(A7326="MO-3",C7326,0)</f>
        <v>0</v>
      </c>
      <c r="F7356" s="51">
        <f>VLOOKUP(A7356,'Componentes APUs'!$A$1:$D$14,4,0)</f>
        <v>26041.666666666668</v>
      </c>
      <c r="G7356" s="51">
        <f>ROUNDUP(F7356*(E7356/21)/E7312,0)</f>
        <v>0</v>
      </c>
    </row>
    <row r="7357" spans="1:7" x14ac:dyDescent="0.25">
      <c r="A7357" s="219" t="s">
        <v>95</v>
      </c>
      <c r="B7357" s="219"/>
      <c r="C7357" s="219"/>
      <c r="D7357" s="219"/>
      <c r="E7357" s="219"/>
      <c r="F7357" s="219"/>
      <c r="G7357" s="52">
        <f>SUM(G7344:G7356)</f>
        <v>244</v>
      </c>
    </row>
    <row r="7358" spans="1:7" x14ac:dyDescent="0.25">
      <c r="A7358" s="56"/>
      <c r="B7358" s="57"/>
      <c r="C7358" s="57"/>
      <c r="D7358" s="57"/>
      <c r="E7358" s="57"/>
      <c r="F7358" s="57"/>
      <c r="G7358" s="58"/>
    </row>
    <row r="7359" spans="1:7" x14ac:dyDescent="0.25">
      <c r="A7359" s="219" t="s">
        <v>96</v>
      </c>
      <c r="B7359" s="219"/>
      <c r="C7359" s="219"/>
      <c r="D7359" s="219"/>
      <c r="E7359" s="219"/>
      <c r="F7359" s="219"/>
      <c r="G7359" s="219"/>
    </row>
    <row r="7360" spans="1:7" x14ac:dyDescent="0.25">
      <c r="A7360" s="49" t="s">
        <v>35</v>
      </c>
      <c r="B7360" s="225" t="s">
        <v>36</v>
      </c>
      <c r="C7360" s="225"/>
      <c r="D7360" s="49" t="s">
        <v>37</v>
      </c>
      <c r="E7360" s="49" t="s">
        <v>38</v>
      </c>
      <c r="F7360" s="49" t="s">
        <v>39</v>
      </c>
      <c r="G7360" s="49" t="s">
        <v>40</v>
      </c>
    </row>
    <row r="7361" spans="1:7" x14ac:dyDescent="0.25">
      <c r="A7361" s="69" t="s">
        <v>97</v>
      </c>
      <c r="B7361" s="72" t="str">
        <f>VLOOKUP(A7361,'Componentes APUs'!$N$1:$Q$30,2,0)</f>
        <v>Camioneta</v>
      </c>
      <c r="C7361" s="73"/>
      <c r="D7361" s="70" t="str">
        <f>VLOOKUP(A7361,'Componentes APUs'!$N$1:$Q$30,3,0)</f>
        <v>U</v>
      </c>
      <c r="E7361" s="50">
        <v>0.25</v>
      </c>
      <c r="F7361" s="51">
        <f>VLOOKUP(A7361,'Componentes APUs'!$N$1:$Q$30,4,0)</f>
        <v>5500000</v>
      </c>
      <c r="G7361" s="51">
        <f>IFERROR(ROUNDUP(F7361*(E7361/21)/E7312,0),"-")</f>
        <v>5037</v>
      </c>
    </row>
    <row r="7362" spans="1:7" x14ac:dyDescent="0.25">
      <c r="A7362" s="50" t="s">
        <v>321</v>
      </c>
      <c r="B7362" s="72" t="str">
        <f>VLOOKUP(A7362,'Componentes APUs'!$N$1:$Q$30,2,0)</f>
        <v>Grúa Hidráulica</v>
      </c>
      <c r="C7362" s="73"/>
      <c r="D7362" s="70" t="str">
        <f>VLOOKUP(A7362,'Componentes APUs'!$N$1:$Q$30,3,0)</f>
        <v>U</v>
      </c>
      <c r="E7362" s="50">
        <v>0</v>
      </c>
      <c r="F7362" s="51">
        <f>VLOOKUP(A7362,'Componentes APUs'!$N$1:$Q$30,4,0)</f>
        <v>21000000</v>
      </c>
      <c r="G7362" s="51">
        <f>IFERROR(ROUNDUP(F7362*(E7362/21)/E7312,0),"-")</f>
        <v>0</v>
      </c>
    </row>
    <row r="7363" spans="1:7" x14ac:dyDescent="0.25">
      <c r="A7363" s="69" t="s">
        <v>1379</v>
      </c>
      <c r="B7363" s="72" t="str">
        <f>VLOOKUP(A7363,'Componentes APUs'!$N$1:$Q$30,2,0)</f>
        <v>Dumper de descarga Frontal 2T</v>
      </c>
      <c r="C7363" s="73"/>
      <c r="D7363" s="70" t="str">
        <f>VLOOKUP(A7363,'Componentes APUs'!$N$1:$Q$30,3,0)</f>
        <v>U</v>
      </c>
      <c r="E7363" s="50">
        <v>0</v>
      </c>
      <c r="F7363" s="51">
        <f>VLOOKUP(A7363,'Componentes APUs'!$N$1:$Q$30,4,0)</f>
        <v>4438716.24</v>
      </c>
      <c r="G7363" s="51">
        <f>IFERROR(ROUNDUP(F7363*(E7363/21)/E7312,0),"-")</f>
        <v>0</v>
      </c>
    </row>
    <row r="7364" spans="1:7" x14ac:dyDescent="0.25">
      <c r="A7364" s="50" t="s">
        <v>323</v>
      </c>
      <c r="B7364" s="72" t="str">
        <f>VLOOKUP(A7364,'Componentes APUs'!$N$1:$Q$30,2,0)</f>
        <v>Volqueta</v>
      </c>
      <c r="C7364" s="73"/>
      <c r="D7364" s="70" t="str">
        <f>VLOOKUP(A7364,'Componentes APUs'!$N$1:$Q$30,3,0)</f>
        <v>U</v>
      </c>
      <c r="E7364" s="50">
        <v>0</v>
      </c>
      <c r="F7364" s="51">
        <f>VLOOKUP(A7364,'Componentes APUs'!$N$1:$Q$30,4,0)</f>
        <v>14828184</v>
      </c>
      <c r="G7364" s="51">
        <f>IFERROR(ROUNDUP(F7364*(E7364/21)/E7312,0),"-")</f>
        <v>0</v>
      </c>
    </row>
    <row r="7365" spans="1:7" x14ac:dyDescent="0.25">
      <c r="A7365" s="69" t="s">
        <v>324</v>
      </c>
      <c r="B7365" s="72" t="str">
        <f>VLOOKUP(A7365,'Componentes APUs'!$N$1:$Q$30,2,0)</f>
        <v>Retroexcavadora</v>
      </c>
      <c r="C7365" s="73"/>
      <c r="D7365" s="70" t="str">
        <f>VLOOKUP(A7365,'Componentes APUs'!$N$1:$Q$30,3,0)</f>
        <v>U</v>
      </c>
      <c r="E7365" s="50">
        <v>0</v>
      </c>
      <c r="F7365" s="51">
        <f>VLOOKUP(A7365,'Componentes APUs'!$N$1:$Q$30,4,0)</f>
        <v>46030656</v>
      </c>
      <c r="G7365" s="51">
        <f>IFERROR(ROUNDUP(F7365*(E7365/21)/E7312,0),"-")</f>
        <v>0</v>
      </c>
    </row>
    <row r="7366" spans="1:7" x14ac:dyDescent="0.25">
      <c r="A7366" s="219" t="s">
        <v>99</v>
      </c>
      <c r="B7366" s="219"/>
      <c r="C7366" s="219"/>
      <c r="D7366" s="219"/>
      <c r="E7366" s="219"/>
      <c r="F7366" s="219"/>
      <c r="G7366" s="52">
        <f>SUM(G7361:G7365)</f>
        <v>5037</v>
      </c>
    </row>
    <row r="7367" spans="1:7" x14ac:dyDescent="0.25">
      <c r="A7367" s="56"/>
      <c r="B7367" s="57"/>
      <c r="C7367" s="57"/>
      <c r="D7367" s="57"/>
      <c r="E7367" s="57"/>
      <c r="F7367" s="57"/>
      <c r="G7367" s="58"/>
    </row>
    <row r="7368" spans="1:7" x14ac:dyDescent="0.25">
      <c r="A7368" s="219" t="s">
        <v>100</v>
      </c>
      <c r="B7368" s="219"/>
      <c r="C7368" s="219"/>
      <c r="D7368" s="219"/>
      <c r="E7368" s="219"/>
      <c r="F7368" s="219"/>
      <c r="G7368" s="52">
        <f>G7366+G7357+G7340+G7330+G7320</f>
        <v>23873</v>
      </c>
    </row>
    <row r="7369" spans="1:7" x14ac:dyDescent="0.25">
      <c r="A7369" s="59"/>
      <c r="B7369" s="60"/>
      <c r="C7369" s="60"/>
      <c r="D7369" s="60"/>
      <c r="E7369" s="57"/>
      <c r="F7369" s="57"/>
      <c r="G7369" s="58"/>
    </row>
    <row r="7370" spans="1:7" x14ac:dyDescent="0.25">
      <c r="A7370" s="64"/>
      <c r="D7370" s="55"/>
      <c r="E7370" s="49" t="s">
        <v>25</v>
      </c>
      <c r="F7370" s="54">
        <v>0.15</v>
      </c>
      <c r="G7370" s="51">
        <f>G7368*F7370</f>
        <v>3580.95</v>
      </c>
    </row>
    <row r="7371" spans="1:7" x14ac:dyDescent="0.25">
      <c r="A7371" s="64"/>
      <c r="D7371" s="55"/>
      <c r="E7371" s="49" t="s">
        <v>26</v>
      </c>
      <c r="F7371" s="54">
        <v>0.05</v>
      </c>
      <c r="G7371" s="51">
        <f>G7368*F7371</f>
        <v>1193.6500000000001</v>
      </c>
    </row>
    <row r="7372" spans="1:7" x14ac:dyDescent="0.25">
      <c r="A7372" s="61"/>
      <c r="B7372" s="65"/>
      <c r="C7372" s="65"/>
      <c r="D7372" s="62"/>
      <c r="E7372" s="49" t="s">
        <v>27</v>
      </c>
      <c r="F7372" s="54">
        <v>0.05</v>
      </c>
      <c r="G7372" s="51">
        <f>G7368*F7372</f>
        <v>1193.6500000000001</v>
      </c>
    </row>
    <row r="7373" spans="1:7" x14ac:dyDescent="0.25">
      <c r="A7373" s="61"/>
      <c r="B7373" s="62"/>
      <c r="C7373" s="62"/>
      <c r="D7373" s="62"/>
      <c r="E7373" s="62"/>
      <c r="F7373" s="62"/>
      <c r="G7373" s="63"/>
    </row>
    <row r="7374" spans="1:7" x14ac:dyDescent="0.25">
      <c r="A7374" s="219" t="s">
        <v>101</v>
      </c>
      <c r="B7374" s="219"/>
      <c r="C7374" s="219"/>
      <c r="D7374" s="219"/>
      <c r="E7374" s="219"/>
      <c r="F7374" s="219"/>
      <c r="G7374" s="52">
        <f>G7368+G7370+G7371+G7372</f>
        <v>29841.250000000004</v>
      </c>
    </row>
    <row r="7375" spans="1:7" x14ac:dyDescent="0.25">
      <c r="A7375" s="59"/>
      <c r="B7375" s="60"/>
      <c r="C7375" s="60"/>
      <c r="D7375" s="60"/>
      <c r="E7375" s="57"/>
      <c r="F7375" s="57"/>
      <c r="G7375" s="58"/>
    </row>
    <row r="7376" spans="1:7" x14ac:dyDescent="0.25">
      <c r="A7376" s="64"/>
      <c r="D7376" s="55"/>
      <c r="E7376" s="49" t="s">
        <v>102</v>
      </c>
      <c r="F7376" s="49" t="s">
        <v>103</v>
      </c>
      <c r="G7376" s="51">
        <f>G7372*19%</f>
        <v>226.79350000000002</v>
      </c>
    </row>
    <row r="7377" spans="1:9" x14ac:dyDescent="0.25">
      <c r="A7377" s="61"/>
      <c r="B7377" s="62"/>
      <c r="C7377" s="62"/>
      <c r="D7377" s="62"/>
      <c r="E7377" s="57"/>
      <c r="F7377" s="57"/>
      <c r="G7377" s="58"/>
    </row>
    <row r="7378" spans="1:9" x14ac:dyDescent="0.25">
      <c r="A7378" s="219" t="s">
        <v>104</v>
      </c>
      <c r="B7378" s="219"/>
      <c r="C7378" s="219"/>
      <c r="D7378" s="219"/>
      <c r="E7378" s="219"/>
      <c r="F7378" s="219"/>
      <c r="G7378" s="52">
        <f>G7376+G7374</f>
        <v>30068.043500000003</v>
      </c>
    </row>
    <row r="7380" spans="1:9" x14ac:dyDescent="0.25">
      <c r="A7380" s="74" t="s">
        <v>29</v>
      </c>
      <c r="B7380" s="226" t="s">
        <v>30</v>
      </c>
      <c r="C7380" s="226"/>
      <c r="D7380" s="74" t="s">
        <v>31</v>
      </c>
      <c r="E7380" s="74" t="s">
        <v>32</v>
      </c>
      <c r="F7380" s="74" t="s">
        <v>189</v>
      </c>
      <c r="G7380" s="74" t="s">
        <v>33</v>
      </c>
      <c r="H7380" s="105"/>
    </row>
    <row r="7381" spans="1:9" x14ac:dyDescent="0.25">
      <c r="A7381" s="50" t="str">
        <f>Presupuesto!B138</f>
        <v>117_OC</v>
      </c>
      <c r="B7381" s="227" t="str">
        <f>Presupuesto!C138</f>
        <v>CONSTRUCCION DE GRANIPLAST PARA FACHADA</v>
      </c>
      <c r="C7381" s="228"/>
      <c r="D7381" s="50" t="s">
        <v>113</v>
      </c>
      <c r="E7381" s="107">
        <v>8</v>
      </c>
      <c r="F7381" s="50"/>
      <c r="G7381" s="51">
        <f>G7447</f>
        <v>74378.513000000006</v>
      </c>
      <c r="H7381" s="45"/>
    </row>
    <row r="7382" spans="1:9" x14ac:dyDescent="0.25">
      <c r="A7382" s="219" t="s">
        <v>34</v>
      </c>
      <c r="B7382" s="219"/>
      <c r="C7382" s="219"/>
      <c r="D7382" s="219"/>
      <c r="E7382" s="219"/>
      <c r="F7382" s="219"/>
      <c r="G7382" s="219"/>
    </row>
    <row r="7383" spans="1:9" x14ac:dyDescent="0.25">
      <c r="A7383" s="49" t="s">
        <v>35</v>
      </c>
      <c r="B7383" s="219" t="s">
        <v>36</v>
      </c>
      <c r="C7383" s="219"/>
      <c r="D7383" s="49" t="s">
        <v>37</v>
      </c>
      <c r="E7383" s="49" t="s">
        <v>38</v>
      </c>
      <c r="F7383" s="49" t="s">
        <v>39</v>
      </c>
      <c r="G7383" s="49" t="s">
        <v>40</v>
      </c>
    </row>
    <row r="7384" spans="1:9" x14ac:dyDescent="0.25">
      <c r="A7384" s="50" t="str">
        <f>Material!A621</f>
        <v>MA-620</v>
      </c>
      <c r="B7384" s="72" t="str">
        <f>IFERROR(VLOOKUP(A7384,Material!$A:$H,2,0),"-")</f>
        <v>IMPRIMANTE ACRONAL</v>
      </c>
      <c r="C7384" s="76"/>
      <c r="D7384" s="50" t="str">
        <f>IFERROR(VLOOKUP(A7384,Material!$A:$H,4,0),"-")</f>
        <v>LT</v>
      </c>
      <c r="E7384" s="108">
        <v>0.16</v>
      </c>
      <c r="F7384" s="51">
        <f>IFERROR(VLOOKUP(A7384,Material!$A:$H,3,0),"-")</f>
        <v>23328.5</v>
      </c>
      <c r="G7384" s="51">
        <f>IFERROR(ROUNDUP(F7384*E7384,0),"-")</f>
        <v>3733</v>
      </c>
      <c r="H7384" s="106"/>
    </row>
    <row r="7385" spans="1:9" x14ac:dyDescent="0.25">
      <c r="A7385" s="50" t="str">
        <f>Material!A622</f>
        <v>MA-621</v>
      </c>
      <c r="B7385" s="72" t="str">
        <f>IFERROR(VLOOKUP(A7385,Material!$A:$H,2,0),"-")</f>
        <v>GRANIPLAST</v>
      </c>
      <c r="C7385" s="76"/>
      <c r="D7385" s="50" t="str">
        <f>IFERROR(VLOOKUP(A7385,Material!$A:$H,4,0),"-")</f>
        <v>CÑ</v>
      </c>
      <c r="E7385" s="108">
        <v>0.1</v>
      </c>
      <c r="F7385" s="51">
        <f>IFERROR(VLOOKUP(A7385,Material!$A:$H,3,0),"-")</f>
        <v>227778.2</v>
      </c>
      <c r="G7385" s="51">
        <f>IFERROR(ROUNDUP(F7385*E7385,0),"-")</f>
        <v>22778</v>
      </c>
      <c r="H7385" s="106"/>
    </row>
    <row r="7386" spans="1:9" x14ac:dyDescent="0.25">
      <c r="A7386" s="50"/>
      <c r="B7386" s="72" t="str">
        <f>IFERROR(VLOOKUP(A7386,Material!$A:$H,2,0),"-")</f>
        <v>-</v>
      </c>
      <c r="C7386" s="76"/>
      <c r="D7386" s="50" t="str">
        <f>IFERROR(VLOOKUP(A7386,Material!$A:$H,4,0),"-")</f>
        <v>-</v>
      </c>
      <c r="E7386" s="107"/>
      <c r="F7386" s="51" t="str">
        <f>IFERROR(VLOOKUP(A7386,Material!$A:$H,3,0),"-")</f>
        <v>-</v>
      </c>
      <c r="G7386" s="51" t="str">
        <f>IFERROR(ROUNDUP(F7386*E7386,0),"-")</f>
        <v>-</v>
      </c>
      <c r="H7386" s="106"/>
    </row>
    <row r="7387" spans="1:9" x14ac:dyDescent="0.25">
      <c r="A7387" s="50"/>
      <c r="B7387" s="72" t="str">
        <f>IFERROR(VLOOKUP(A7387,Material!$A:$H,2,0),"-")</f>
        <v>-</v>
      </c>
      <c r="C7387" s="76"/>
      <c r="D7387" s="50" t="str">
        <f>IFERROR(VLOOKUP(A7387,Material!$A:$H,4,0),"-")</f>
        <v>-</v>
      </c>
      <c r="E7387" s="107"/>
      <c r="F7387" s="51" t="str">
        <f>IFERROR(VLOOKUP(A7387,Material!$A:$H,3,0),"-")</f>
        <v>-</v>
      </c>
      <c r="G7387" s="51" t="str">
        <f>IFERROR(ROUNDUP(F7387*E7387,0),"-")</f>
        <v>-</v>
      </c>
      <c r="H7387" s="106"/>
    </row>
    <row r="7388" spans="1:9" x14ac:dyDescent="0.25">
      <c r="A7388" s="50"/>
      <c r="B7388" s="72" t="str">
        <f>IFERROR(VLOOKUP(A7388,Material!$A:$H,2,0),"-")</f>
        <v>-</v>
      </c>
      <c r="C7388" s="76"/>
      <c r="D7388" s="50" t="str">
        <f>IFERROR(VLOOKUP(A7388,Material!$A:$H,4,0),"-")</f>
        <v>-</v>
      </c>
      <c r="E7388" s="107"/>
      <c r="F7388" s="51" t="str">
        <f>IFERROR(VLOOKUP(A7388,Material!$A:$H,3,0),"-")</f>
        <v>-</v>
      </c>
      <c r="G7388" s="51" t="str">
        <f>IFERROR(ROUNDUP(F7388*E7388,0),"-")</f>
        <v>-</v>
      </c>
      <c r="H7388" s="106"/>
    </row>
    <row r="7389" spans="1:9" x14ac:dyDescent="0.25">
      <c r="A7389" s="219" t="s">
        <v>41</v>
      </c>
      <c r="B7389" s="219"/>
      <c r="C7389" s="219"/>
      <c r="D7389" s="219"/>
      <c r="E7389" s="219"/>
      <c r="F7389" s="219"/>
      <c r="G7389" s="52">
        <f>SUM(G7384:G7388)</f>
        <v>26511</v>
      </c>
      <c r="I7389" s="104"/>
    </row>
    <row r="7390" spans="1:9" x14ac:dyDescent="0.25">
      <c r="A7390" s="56"/>
      <c r="B7390" s="57"/>
      <c r="C7390" s="57"/>
      <c r="D7390" s="57"/>
      <c r="E7390" s="57"/>
      <c r="F7390" s="57"/>
      <c r="G7390" s="58"/>
    </row>
    <row r="7391" spans="1:9" x14ac:dyDescent="0.25">
      <c r="A7391" s="219" t="s">
        <v>42</v>
      </c>
      <c r="B7391" s="219"/>
      <c r="C7391" s="219"/>
      <c r="D7391" s="219"/>
      <c r="E7391" s="219"/>
      <c r="F7391" s="219"/>
      <c r="G7391" s="219"/>
    </row>
    <row r="7392" spans="1:9" x14ac:dyDescent="0.25">
      <c r="A7392" s="49" t="s">
        <v>35</v>
      </c>
      <c r="B7392" s="49" t="s">
        <v>36</v>
      </c>
      <c r="C7392" s="49" t="s">
        <v>38</v>
      </c>
      <c r="D7392" s="49" t="s">
        <v>43</v>
      </c>
      <c r="E7392" s="49" t="s">
        <v>44</v>
      </c>
      <c r="F7392" s="49" t="s">
        <v>45</v>
      </c>
      <c r="G7392" s="49" t="s">
        <v>40</v>
      </c>
    </row>
    <row r="7393" spans="1:9" x14ac:dyDescent="0.25">
      <c r="A7393" s="50" t="s">
        <v>319</v>
      </c>
      <c r="B7393" s="68" t="str">
        <f>VLOOKUP(A7393,'Componentes APUs'!$H$1:$L$25,2,0)</f>
        <v>Ingeniero Residente de Obra</v>
      </c>
      <c r="C7393" s="93">
        <v>0</v>
      </c>
      <c r="D7393" s="50">
        <f>VLOOKUP(A7393,'Componentes APUs'!$H$1:$L$25,3,0)</f>
        <v>4</v>
      </c>
      <c r="E7393" s="51">
        <f>VLOOKUP(A7393,'Componentes APUs'!$H$1:$L$25,4,0)</f>
        <v>271142.85714285716</v>
      </c>
      <c r="F7393" s="51">
        <f>VLOOKUP(A7393,'Componentes APUs'!$H$1:$L$25,5,0)</f>
        <v>162685.71428571429</v>
      </c>
      <c r="G7393" s="51">
        <f>ROUNDUP((E7393+F7393)*C7393/E7381,0)</f>
        <v>0</v>
      </c>
      <c r="H7393" s="66"/>
    </row>
    <row r="7394" spans="1:9" x14ac:dyDescent="0.25">
      <c r="A7394" s="50" t="s">
        <v>320</v>
      </c>
      <c r="B7394" s="68" t="str">
        <f>VLOOKUP(A7394,'Componentes APUs'!$H$1:$L$25,2,0)</f>
        <v>Tecnico Supervisor</v>
      </c>
      <c r="C7394" s="93">
        <v>0</v>
      </c>
      <c r="D7394" s="50">
        <f>VLOOKUP(A7394,'Componentes APUs'!$H$1:$L$25,3,0)</f>
        <v>2.2999999999999998</v>
      </c>
      <c r="E7394" s="51">
        <f>VLOOKUP(A7394,'Componentes APUs'!$H$1:$L$25,4,0)</f>
        <v>155907.14285714284</v>
      </c>
      <c r="F7394" s="51">
        <f>VLOOKUP(A7394,'Componentes APUs'!$H$1:$L$25,5,0)</f>
        <v>93544.285714285696</v>
      </c>
      <c r="G7394" s="51">
        <f>ROUNDUP((E7394+F7394)*C7394/E7381,0)</f>
        <v>0</v>
      </c>
    </row>
    <row r="7395" spans="1:9" x14ac:dyDescent="0.25">
      <c r="A7395" s="50" t="s">
        <v>54</v>
      </c>
      <c r="B7395" s="68" t="str">
        <f>VLOOKUP(A7395,'Componentes APUs'!$H$1:$L$25,2,0)</f>
        <v>Maestro de obra civil</v>
      </c>
      <c r="C7395" s="93">
        <v>0</v>
      </c>
      <c r="D7395" s="50">
        <f>VLOOKUP(A7395,'Componentes APUs'!$H$1:$L$25,3,0)</f>
        <v>2.5</v>
      </c>
      <c r="E7395" s="51">
        <f>VLOOKUP(A7395,'Componentes APUs'!$H$1:$L$25,4,0)</f>
        <v>169464.28571428571</v>
      </c>
      <c r="F7395" s="51">
        <f>VLOOKUP(A7395,'Componentes APUs'!$H$1:$L$25,5,0)</f>
        <v>101678.57142857142</v>
      </c>
      <c r="G7395" s="51">
        <f>ROUNDUP((E7395+F7395)*C7395/E7381,0)</f>
        <v>0</v>
      </c>
    </row>
    <row r="7396" spans="1:9" x14ac:dyDescent="0.25">
      <c r="A7396" s="50" t="s">
        <v>1110</v>
      </c>
      <c r="B7396" s="68" t="str">
        <f>VLOOKUP(A7396,'Componentes APUs'!$H$1:$L$25,2,0)</f>
        <v>Oficial de Obra Civil</v>
      </c>
      <c r="C7396" s="93">
        <v>0.25</v>
      </c>
      <c r="D7396" s="50">
        <f>VLOOKUP(A7396,'Componentes APUs'!$H$1:$L$25,3,0)</f>
        <v>1.5</v>
      </c>
      <c r="E7396" s="51">
        <f>VLOOKUP(A7396,'Componentes APUs'!$H$1:$L$25,4,0)</f>
        <v>115964.28571428571</v>
      </c>
      <c r="F7396" s="51">
        <f>VLOOKUP(A7396,'Componentes APUs'!$H$1:$L$25,5,0)</f>
        <v>69578.57142857142</v>
      </c>
      <c r="G7396" s="51">
        <f>ROUNDUP((E7396+F7396)*C7396/E7381,0)</f>
        <v>5799</v>
      </c>
    </row>
    <row r="7397" spans="1:9" x14ac:dyDescent="0.25">
      <c r="A7397" s="50" t="s">
        <v>50</v>
      </c>
      <c r="B7397" s="68" t="str">
        <f>VLOOKUP(A7397,'Componentes APUs'!$H$1:$L$25,2,0)</f>
        <v>Profesional en SST</v>
      </c>
      <c r="C7397" s="93">
        <v>0</v>
      </c>
      <c r="D7397" s="50">
        <f>VLOOKUP(A7397,'Componentes APUs'!$H$1:$L$25,3,0)</f>
        <v>2.5</v>
      </c>
      <c r="E7397" s="51">
        <f>VLOOKUP(A7397,'Componentes APUs'!$H$1:$L$25,4,0)</f>
        <v>169464.28571428571</v>
      </c>
      <c r="F7397" s="51">
        <f>VLOOKUP(A7397,'Componentes APUs'!$H$1:$L$25,5,0)</f>
        <v>101678.57142857142</v>
      </c>
      <c r="G7397" s="51">
        <f>ROUNDUP((E7397+F7397)*C7397/E7381,0)</f>
        <v>0</v>
      </c>
    </row>
    <row r="7398" spans="1:9" x14ac:dyDescent="0.25">
      <c r="A7398" s="50" t="s">
        <v>1109</v>
      </c>
      <c r="B7398" s="68" t="str">
        <f>VLOOKUP(A7398,'Componentes APUs'!$H$1:$L$25,2,0)</f>
        <v>Ayudante de Obra Civil</v>
      </c>
      <c r="C7398" s="93">
        <v>1</v>
      </c>
      <c r="D7398" s="50">
        <f>VLOOKUP(A7398,'Componentes APUs'!$H$1:$L$25,3,0)</f>
        <v>1</v>
      </c>
      <c r="E7398" s="51">
        <f>VLOOKUP(A7398,'Componentes APUs'!$H$1:$L$25,4,0)</f>
        <v>77309.523809523816</v>
      </c>
      <c r="F7398" s="51">
        <f>VLOOKUP(A7398,'Componentes APUs'!$H$1:$L$25,5,0)</f>
        <v>46385.71428571429</v>
      </c>
      <c r="G7398" s="51">
        <f>ROUNDUP((E7398+F7398)*C7398/E7381,0)</f>
        <v>15462</v>
      </c>
    </row>
    <row r="7399" spans="1:9" x14ac:dyDescent="0.25">
      <c r="A7399" s="219" t="s">
        <v>56</v>
      </c>
      <c r="B7399" s="219"/>
      <c r="C7399" s="219"/>
      <c r="D7399" s="219"/>
      <c r="E7399" s="219"/>
      <c r="F7399" s="219"/>
      <c r="G7399" s="52">
        <f>SUM(G7393:G7398)</f>
        <v>21261</v>
      </c>
    </row>
    <row r="7400" spans="1:9" x14ac:dyDescent="0.25">
      <c r="A7400" s="56"/>
      <c r="B7400" s="57"/>
      <c r="C7400" s="57"/>
      <c r="D7400" s="57"/>
      <c r="E7400" s="57"/>
      <c r="F7400" s="57"/>
      <c r="G7400" s="58"/>
    </row>
    <row r="7401" spans="1:9" x14ac:dyDescent="0.25">
      <c r="A7401" s="219" t="s">
        <v>57</v>
      </c>
      <c r="B7401" s="219"/>
      <c r="C7401" s="219"/>
      <c r="D7401" s="219"/>
      <c r="E7401" s="219"/>
      <c r="F7401" s="219"/>
      <c r="G7401" s="219"/>
    </row>
    <row r="7402" spans="1:9" x14ac:dyDescent="0.25">
      <c r="A7402" s="49" t="s">
        <v>35</v>
      </c>
      <c r="B7402" s="219" t="s">
        <v>36</v>
      </c>
      <c r="C7402" s="219"/>
      <c r="D7402" s="49" t="s">
        <v>37</v>
      </c>
      <c r="E7402" s="49" t="s">
        <v>38</v>
      </c>
      <c r="F7402" s="49" t="s">
        <v>39</v>
      </c>
      <c r="G7402" s="49" t="s">
        <v>40</v>
      </c>
    </row>
    <row r="7403" spans="1:9" x14ac:dyDescent="0.25">
      <c r="A7403" s="50" t="s">
        <v>326</v>
      </c>
      <c r="B7403" s="220" t="str">
        <f>VLOOKUP(A7403,'Componentes APUs'!$S$1:$V$10,2,0)</f>
        <v>Juego Llaves</v>
      </c>
      <c r="C7403" s="220"/>
      <c r="D7403" s="50" t="s">
        <v>18</v>
      </c>
      <c r="E7403" s="50">
        <v>0</v>
      </c>
      <c r="F7403" s="51">
        <f>VLOOKUP(A7403,'Componentes APUs'!$S$1:$V$10,4,0)</f>
        <v>9167</v>
      </c>
      <c r="G7403" s="51">
        <f>ROUNDUP(F7403*((E7403/21)/E7381),0)</f>
        <v>0</v>
      </c>
      <c r="I7403" s="91"/>
    </row>
    <row r="7404" spans="1:9" x14ac:dyDescent="0.25">
      <c r="A7404" s="50" t="s">
        <v>58</v>
      </c>
      <c r="B7404" s="220" t="str">
        <f>VLOOKUP(A7404,'Componentes APUs'!$S$1:$V$10,2,0)</f>
        <v>Manila de servicio</v>
      </c>
      <c r="C7404" s="220"/>
      <c r="D7404" s="50" t="s">
        <v>18</v>
      </c>
      <c r="E7404" s="50">
        <v>0</v>
      </c>
      <c r="F7404" s="51">
        <f>VLOOKUP(A7404,'Componentes APUs'!$S$1:$V$10,4,0)</f>
        <v>2333</v>
      </c>
      <c r="G7404" s="51">
        <f>ROUNDUP(F7404*((E7404/21)/E7381),0)</f>
        <v>0</v>
      </c>
    </row>
    <row r="7405" spans="1:9" x14ac:dyDescent="0.25">
      <c r="A7405" s="50" t="s">
        <v>327</v>
      </c>
      <c r="B7405" s="220" t="str">
        <f>VLOOKUP(A7405,'Componentes APUs'!$S$1:$V$10,2,0)</f>
        <v>Tula portaherramientas</v>
      </c>
      <c r="C7405" s="220"/>
      <c r="D7405" s="50" t="s">
        <v>18</v>
      </c>
      <c r="E7405" s="50">
        <v>0</v>
      </c>
      <c r="F7405" s="51">
        <f>VLOOKUP(A7405,'Componentes APUs'!$S$1:$V$10,4,0)</f>
        <v>1250</v>
      </c>
      <c r="G7405" s="51">
        <f>ROUNDUP(F7405*((E7405/21)/E7381),0)</f>
        <v>0</v>
      </c>
    </row>
    <row r="7406" spans="1:9" x14ac:dyDescent="0.25">
      <c r="A7406" s="50" t="s">
        <v>60</v>
      </c>
      <c r="B7406" s="220" t="str">
        <f>VLOOKUP(A7406,'Componentes APUs'!$S$1:$V$10,2,0)</f>
        <v>Agarradoras</v>
      </c>
      <c r="C7406" s="220"/>
      <c r="D7406" s="50" t="s">
        <v>18</v>
      </c>
      <c r="E7406" s="50">
        <v>0</v>
      </c>
      <c r="F7406" s="51">
        <f>VLOOKUP(A7406,'Componentes APUs'!$S$1:$V$10,4,0)</f>
        <v>125000</v>
      </c>
      <c r="G7406" s="51">
        <f>ROUNDUP(F7406*((E7406/21)/E7381),0)</f>
        <v>0</v>
      </c>
    </row>
    <row r="7407" spans="1:9" x14ac:dyDescent="0.25">
      <c r="A7407" s="50" t="s">
        <v>62</v>
      </c>
      <c r="B7407" s="220" t="str">
        <f>VLOOKUP(A7407,'Componentes APUs'!$S$1:$V$10,2,0)</f>
        <v>Templadoras</v>
      </c>
      <c r="C7407" s="220"/>
      <c r="D7407" s="50" t="s">
        <v>18</v>
      </c>
      <c r="E7407" s="50">
        <v>0</v>
      </c>
      <c r="F7407" s="51">
        <f>VLOOKUP(A7407,'Componentes APUs'!$S$1:$V$10,4,0)</f>
        <v>250000</v>
      </c>
      <c r="G7407" s="51">
        <f>ROUNDUP(F7407*((E7407/21)/E7381),0)</f>
        <v>0</v>
      </c>
    </row>
    <row r="7408" spans="1:9" x14ac:dyDescent="0.25">
      <c r="A7408" s="50" t="s">
        <v>328</v>
      </c>
      <c r="B7408" s="220" t="str">
        <f>VLOOKUP(A7408,'Componentes APUs'!$S$1:$V$10,2,0)</f>
        <v>Herramienta Menor</v>
      </c>
      <c r="C7408" s="220"/>
      <c r="D7408" s="50" t="s">
        <v>18</v>
      </c>
      <c r="E7408" s="50">
        <v>6</v>
      </c>
      <c r="F7408" s="51">
        <f>VLOOKUP(A7408,'Componentes APUs'!$S$1:$V$10,4,0)</f>
        <v>75758</v>
      </c>
      <c r="G7408" s="51">
        <f>ROUNDUP(F7408*((E7408/21)/E7381),0)</f>
        <v>2706</v>
      </c>
    </row>
    <row r="7409" spans="1:9" x14ac:dyDescent="0.25">
      <c r="A7409" s="219" t="s">
        <v>69</v>
      </c>
      <c r="B7409" s="219"/>
      <c r="C7409" s="219"/>
      <c r="D7409" s="219"/>
      <c r="E7409" s="219"/>
      <c r="F7409" s="219"/>
      <c r="G7409" s="52">
        <f>SUM(G7403:G7408)</f>
        <v>2706</v>
      </c>
    </row>
    <row r="7410" spans="1:9" x14ac:dyDescent="0.25">
      <c r="A7410" s="56"/>
      <c r="B7410" s="57"/>
      <c r="C7410" s="57"/>
      <c r="D7410" s="57"/>
      <c r="E7410" s="57"/>
      <c r="F7410" s="57"/>
      <c r="G7410" s="58"/>
    </row>
    <row r="7411" spans="1:9" x14ac:dyDescent="0.25">
      <c r="A7411" s="219" t="s">
        <v>70</v>
      </c>
      <c r="B7411" s="219"/>
      <c r="C7411" s="219"/>
      <c r="D7411" s="219"/>
      <c r="E7411" s="219"/>
      <c r="F7411" s="219"/>
      <c r="G7411" s="219"/>
    </row>
    <row r="7412" spans="1:9" x14ac:dyDescent="0.25">
      <c r="A7412" s="49" t="s">
        <v>35</v>
      </c>
      <c r="B7412" s="219" t="s">
        <v>36</v>
      </c>
      <c r="C7412" s="219"/>
      <c r="D7412" s="49" t="s">
        <v>37</v>
      </c>
      <c r="E7412" s="49" t="s">
        <v>38</v>
      </c>
      <c r="F7412" s="49" t="s">
        <v>39</v>
      </c>
      <c r="G7412" s="49" t="s">
        <v>40</v>
      </c>
    </row>
    <row r="7413" spans="1:9" x14ac:dyDescent="0.25">
      <c r="A7413" s="50" t="s">
        <v>71</v>
      </c>
      <c r="B7413" s="71" t="str">
        <f>VLOOKUP(A7413,'Componentes APUs'!$A$1:$D$14,2,0)</f>
        <v>Camisa indigo sin partes metalicas</v>
      </c>
      <c r="C7413" s="71"/>
      <c r="D7413" s="50" t="str">
        <f>VLOOKUP(A7413,'Componentes APUs'!$A$1:$D$14,3,0)</f>
        <v>U</v>
      </c>
      <c r="E7413" s="50">
        <f>SUM(C7393:C7398)</f>
        <v>1.25</v>
      </c>
      <c r="F7413" s="51">
        <f>VLOOKUP(A7413,'Componentes APUs'!$A$1:$D$14,4,0)</f>
        <v>8585.8585858585866</v>
      </c>
      <c r="G7413" s="51">
        <f>ROUNDUP(F7413*(E7413/21)/E7381,0)</f>
        <v>64</v>
      </c>
      <c r="I7413" s="91"/>
    </row>
    <row r="7414" spans="1:9" x14ac:dyDescent="0.25">
      <c r="A7414" s="69" t="s">
        <v>73</v>
      </c>
      <c r="B7414" s="72" t="str">
        <f>VLOOKUP(A7414,'Componentes APUs'!$A$1:$D$14,2,0)</f>
        <v>Bota de seguridad dielectrica</v>
      </c>
      <c r="C7414" s="73"/>
      <c r="D7414" s="70" t="str">
        <f>VLOOKUP(A7414,'Componentes APUs'!$A$1:$D$14,3,0)</f>
        <v>Par</v>
      </c>
      <c r="E7414" s="50">
        <f>SUM(C7393:C7398)</f>
        <v>1.25</v>
      </c>
      <c r="F7414" s="51">
        <f>VLOOKUP(A7414,'Componentes APUs'!$A$1:$D$14,4,0)</f>
        <v>7500</v>
      </c>
      <c r="G7414" s="51">
        <f>ROUNDUP(F7414*(E7414/21)/E7381,0)</f>
        <v>56</v>
      </c>
    </row>
    <row r="7415" spans="1:9" x14ac:dyDescent="0.25">
      <c r="A7415" s="50" t="s">
        <v>76</v>
      </c>
      <c r="B7415" s="72" t="str">
        <f>VLOOKUP(A7415,'Componentes APUs'!$A$1:$D$14,2,0)</f>
        <v>Casco dielectrico Tipo 1 Clase E con barbuquejo</v>
      </c>
      <c r="C7415" s="73"/>
      <c r="D7415" s="50" t="str">
        <f>VLOOKUP(A7415,'Componentes APUs'!$A$1:$D$14,3,0)</f>
        <v>U</v>
      </c>
      <c r="E7415" s="50">
        <f>C7393+C7394+C7396+C7397+C7398+IF(A7395&lt;&gt;"MO-3",C7395,0)</f>
        <v>1.25</v>
      </c>
      <c r="F7415" s="51">
        <f>VLOOKUP(A7415,'Componentes APUs'!$A$1:$D$14,4,0)</f>
        <v>10101.010101010101</v>
      </c>
      <c r="G7415" s="51">
        <f>ROUNDUP(F7415*(E7415/21)/E7381,0)</f>
        <v>76</v>
      </c>
    </row>
    <row r="7416" spans="1:9" x14ac:dyDescent="0.25">
      <c r="A7416" s="69" t="s">
        <v>77</v>
      </c>
      <c r="B7416" s="72" t="str">
        <f>VLOOKUP(A7416,'Componentes APUs'!$A$1:$D$14,2,0)</f>
        <v>Correa plastica y antiflama</v>
      </c>
      <c r="C7416" s="73"/>
      <c r="D7416" s="50" t="str">
        <f>VLOOKUP(A7416,'Componentes APUs'!$A$1:$D$14,3,0)</f>
        <v>U</v>
      </c>
      <c r="E7416" s="50">
        <f>SUM(C7393:C7398)</f>
        <v>1.25</v>
      </c>
      <c r="F7416" s="51">
        <f>VLOOKUP(A7416,'Componentes APUs'!$A$1:$D$14,4,0)</f>
        <v>3787.878787878788</v>
      </c>
      <c r="G7416" s="51">
        <f>ROUNDUP(F7416*(E7416/21)/E7381,0)</f>
        <v>29</v>
      </c>
    </row>
    <row r="7417" spans="1:9" x14ac:dyDescent="0.25">
      <c r="A7417" s="50" t="s">
        <v>79</v>
      </c>
      <c r="B7417" s="72" t="str">
        <f>VLOOKUP(A7417,'Componentes APUs'!$A$1:$D$14,2,0)</f>
        <v>Gafas protectoras filtro UV</v>
      </c>
      <c r="C7417" s="73"/>
      <c r="D7417" s="50" t="str">
        <f>VLOOKUP(A7417,'Componentes APUs'!$A$1:$D$14,3,0)</f>
        <v>U</v>
      </c>
      <c r="E7417" s="50">
        <f>SUM(C7393:C7398)</f>
        <v>1.25</v>
      </c>
      <c r="F7417" s="51">
        <f>VLOOKUP(A7417,'Componentes APUs'!$A$1:$D$14,4,0)</f>
        <v>2777.7777777777778</v>
      </c>
      <c r="G7417" s="51">
        <f>ROUNDUP(F7417*(E7417/21)/E7381,0)</f>
        <v>21</v>
      </c>
    </row>
    <row r="7418" spans="1:9" x14ac:dyDescent="0.25">
      <c r="A7418" s="69" t="s">
        <v>402</v>
      </c>
      <c r="B7418" s="72" t="str">
        <f>VLOOKUP(A7418,'Componentes APUs'!$A$1:$D$14,2,0)</f>
        <v>Bota de seguridad PVC dielectrica</v>
      </c>
      <c r="C7418" s="73"/>
      <c r="D7418" s="50" t="str">
        <f>VLOOKUP(A7418,'Componentes APUs'!$A$1:$D$14,3,0)</f>
        <v>Par</v>
      </c>
      <c r="E7418" s="50">
        <f>SUM(C7393:C7398)</f>
        <v>1.25</v>
      </c>
      <c r="F7418" s="51">
        <f>VLOOKUP(A7418,'Componentes APUs'!$A$1:$D$14,4,0)</f>
        <v>2916.6666666666665</v>
      </c>
      <c r="G7418" s="51">
        <f>ROUNDUP(F7418*(E7418/21)/E7381,0)</f>
        <v>22</v>
      </c>
    </row>
    <row r="7419" spans="1:9" x14ac:dyDescent="0.25">
      <c r="A7419" s="50" t="s">
        <v>403</v>
      </c>
      <c r="B7419" s="72" t="str">
        <f>VLOOKUP(A7419,'Componentes APUs'!$A$1:$D$14,2,0)</f>
        <v>Capuchon</v>
      </c>
      <c r="C7419" s="73"/>
      <c r="D7419" s="50" t="str">
        <f>VLOOKUP(A7419,'Componentes APUs'!$A$1:$D$14,3,0)</f>
        <v>U</v>
      </c>
      <c r="E7419" s="50">
        <f>SUM(C7393:C7398)</f>
        <v>1.25</v>
      </c>
      <c r="F7419" s="51">
        <f>VLOOKUP(A7419,'Componentes APUs'!$A$1:$D$14,4,0)</f>
        <v>2525.2525252525252</v>
      </c>
      <c r="G7419" s="51">
        <f>ROUNDUP(F7419*(E7419/21)/E7381,0)</f>
        <v>19</v>
      </c>
    </row>
    <row r="7420" spans="1:9" x14ac:dyDescent="0.25">
      <c r="A7420" s="69" t="s">
        <v>81</v>
      </c>
      <c r="B7420" s="72" t="str">
        <f>VLOOKUP(A7420,'Componentes APUs'!$A$1:$D$14,2,0)</f>
        <v>Guantes Protectores  - ingeniero reforzados</v>
      </c>
      <c r="C7420" s="73"/>
      <c r="D7420" s="50" t="str">
        <f>VLOOKUP(A7420,'Componentes APUs'!$A$1:$D$14,3,0)</f>
        <v>Par</v>
      </c>
      <c r="E7420" s="50">
        <f>C7395+C7396+C7398</f>
        <v>1.25</v>
      </c>
      <c r="F7420" s="51">
        <f>VLOOKUP(A7420,'Componentes APUs'!$A$1:$D$14,4,0)</f>
        <v>2525.2525252525252</v>
      </c>
      <c r="G7420" s="51">
        <f>ROUNDUP(F7420*(E7420/21)/E7381,0)</f>
        <v>19</v>
      </c>
    </row>
    <row r="7421" spans="1:9" x14ac:dyDescent="0.25">
      <c r="A7421" s="50" t="s">
        <v>83</v>
      </c>
      <c r="B7421" s="72" t="str">
        <f>VLOOKUP(A7421,'Componentes APUs'!$A$1:$D$14,2,0)</f>
        <v>Impermeable (pantalon camisa)</v>
      </c>
      <c r="C7421" s="73"/>
      <c r="D7421" s="50" t="str">
        <f>VLOOKUP(A7421,'Componentes APUs'!$A$1:$D$14,3,0)</f>
        <v>U</v>
      </c>
      <c r="E7421" s="50">
        <f>SUM(C7393:C7398)</f>
        <v>1.25</v>
      </c>
      <c r="F7421" s="51">
        <f>VLOOKUP(A7421,'Componentes APUs'!$A$1:$D$14,4,0)</f>
        <v>3750</v>
      </c>
      <c r="G7421" s="51">
        <f>ROUNDUP(F7421*(E7421/21)/E7381,0)</f>
        <v>28</v>
      </c>
    </row>
    <row r="7422" spans="1:9" x14ac:dyDescent="0.25">
      <c r="A7422" s="69" t="s">
        <v>85</v>
      </c>
      <c r="B7422" s="72" t="str">
        <f>VLOOKUP(A7422,'Componentes APUs'!$A$1:$D$14,2,0)</f>
        <v>Jean Dielectrico</v>
      </c>
      <c r="C7422" s="73"/>
      <c r="D7422" s="50" t="str">
        <f>VLOOKUP(A7422,'Componentes APUs'!$A$1:$D$14,3,0)</f>
        <v>U</v>
      </c>
      <c r="E7422" s="50">
        <f>SUM(C7393:C7398)</f>
        <v>1.25</v>
      </c>
      <c r="F7422" s="51">
        <f>VLOOKUP(A7422,'Componentes APUs'!$A$1:$D$14,4,0)</f>
        <v>7575.757575757576</v>
      </c>
      <c r="G7422" s="51">
        <f>ROUNDUP(F7422*(E7422/21)/E7381,0)</f>
        <v>57</v>
      </c>
    </row>
    <row r="7423" spans="1:9" x14ac:dyDescent="0.25">
      <c r="A7423" s="50" t="s">
        <v>87</v>
      </c>
      <c r="B7423" s="72" t="str">
        <f>VLOOKUP(A7423,'Componentes APUs'!$A$1:$D$14,2,0)</f>
        <v>Casco dielectrico Tipo 2 Clase E con barboquejo</v>
      </c>
      <c r="C7423" s="73"/>
      <c r="D7423" s="50" t="str">
        <f>VLOOKUP(A7423,'Componentes APUs'!$A$1:$D$14,3,0)</f>
        <v>U</v>
      </c>
      <c r="E7423" s="53">
        <f>IF(A7395="MO-3",C7395,0)</f>
        <v>0</v>
      </c>
      <c r="F7423" s="51">
        <f>VLOOKUP(A7423,'Componentes APUs'!$A$1:$D$14,4,0)</f>
        <v>7500</v>
      </c>
      <c r="G7423" s="51">
        <f>ROUNDUP(F7423*(E7423/21)/E7381,0)</f>
        <v>0</v>
      </c>
    </row>
    <row r="7424" spans="1:9" x14ac:dyDescent="0.25">
      <c r="A7424" s="69" t="s">
        <v>89</v>
      </c>
      <c r="B7424" s="72" t="str">
        <f>VLOOKUP(A7424,'Componentes APUs'!$A$1:$D$14,2,0)</f>
        <v>Kit de rescate para trabajo en alturas</v>
      </c>
      <c r="C7424" s="73"/>
      <c r="D7424" s="50" t="str">
        <f>VLOOKUP(A7424,'Componentes APUs'!$A$1:$D$14,3,0)</f>
        <v>U</v>
      </c>
      <c r="E7424" s="50">
        <f>IF(AND(A7395="MO-3",C7395=2),1,0)</f>
        <v>0</v>
      </c>
      <c r="F7424" s="51">
        <f>VLOOKUP(A7424,'Componentes APUs'!$A$1:$D$14,4,0)</f>
        <v>37500</v>
      </c>
      <c r="G7424" s="51">
        <f>ROUNDUP(F7424*(E7424/21)/E7381,0)</f>
        <v>0</v>
      </c>
    </row>
    <row r="7425" spans="1:7" x14ac:dyDescent="0.25">
      <c r="A7425" s="50" t="s">
        <v>91</v>
      </c>
      <c r="B7425" s="72" t="str">
        <f>VLOOKUP(A7425,'Componentes APUs'!$A$1:$D$14,2,0)</f>
        <v>Equipo completo para trabajo en alturas con pretales (Arnes dielectrico, 1 mosqueton de seguridad, tie off dielectrico, eslinga de posicionamiento, juego de pretales)</v>
      </c>
      <c r="C7425" s="73"/>
      <c r="D7425" s="50" t="str">
        <f>VLOOKUP(A7425,'Componentes APUs'!$A$1:$D$14,3,0)</f>
        <v>U</v>
      </c>
      <c r="E7425" s="50">
        <f>IF(A7395="MO-3",C7395,0)</f>
        <v>0</v>
      </c>
      <c r="F7425" s="51">
        <f>VLOOKUP(A7425,'Componentes APUs'!$A$1:$D$14,4,0)</f>
        <v>26041.666666666668</v>
      </c>
      <c r="G7425" s="51">
        <f>ROUNDUP(F7425*(E7425/21)/E7381,0)</f>
        <v>0</v>
      </c>
    </row>
    <row r="7426" spans="1:7" x14ac:dyDescent="0.25">
      <c r="A7426" s="219" t="s">
        <v>95</v>
      </c>
      <c r="B7426" s="219"/>
      <c r="C7426" s="219"/>
      <c r="D7426" s="219"/>
      <c r="E7426" s="219"/>
      <c r="F7426" s="219"/>
      <c r="G7426" s="52">
        <f>SUM(G7413:G7425)</f>
        <v>391</v>
      </c>
    </row>
    <row r="7427" spans="1:7" x14ac:dyDescent="0.25">
      <c r="A7427" s="56"/>
      <c r="B7427" s="57"/>
      <c r="C7427" s="57"/>
      <c r="D7427" s="57"/>
      <c r="E7427" s="57"/>
      <c r="F7427" s="57"/>
      <c r="G7427" s="58"/>
    </row>
    <row r="7428" spans="1:7" x14ac:dyDescent="0.25">
      <c r="A7428" s="219" t="s">
        <v>96</v>
      </c>
      <c r="B7428" s="219"/>
      <c r="C7428" s="219"/>
      <c r="D7428" s="219"/>
      <c r="E7428" s="219"/>
      <c r="F7428" s="219"/>
      <c r="G7428" s="219"/>
    </row>
    <row r="7429" spans="1:7" x14ac:dyDescent="0.25">
      <c r="A7429" s="49" t="s">
        <v>35</v>
      </c>
      <c r="B7429" s="225" t="s">
        <v>36</v>
      </c>
      <c r="C7429" s="225"/>
      <c r="D7429" s="49" t="s">
        <v>37</v>
      </c>
      <c r="E7429" s="49" t="s">
        <v>38</v>
      </c>
      <c r="F7429" s="49" t="s">
        <v>39</v>
      </c>
      <c r="G7429" s="49" t="s">
        <v>40</v>
      </c>
    </row>
    <row r="7430" spans="1:7" x14ac:dyDescent="0.25">
      <c r="A7430" s="69" t="s">
        <v>97</v>
      </c>
      <c r="B7430" s="72" t="str">
        <f>VLOOKUP(A7430,'Componentes APUs'!$N$1:$Q$30,2,0)</f>
        <v>Camioneta</v>
      </c>
      <c r="C7430" s="73"/>
      <c r="D7430" s="70" t="str">
        <f>VLOOKUP(A7430,'Componentes APUs'!$N$1:$Q$30,3,0)</f>
        <v>U</v>
      </c>
      <c r="E7430" s="50">
        <v>0.25</v>
      </c>
      <c r="F7430" s="51">
        <f>VLOOKUP(A7430,'Componentes APUs'!$N$1:$Q$30,4,0)</f>
        <v>5500000</v>
      </c>
      <c r="G7430" s="51">
        <f>IFERROR(ROUNDUP(F7430*(E7430/21)/E7381,0),"-")</f>
        <v>8185</v>
      </c>
    </row>
    <row r="7431" spans="1:7" x14ac:dyDescent="0.25">
      <c r="A7431" s="50" t="s">
        <v>321</v>
      </c>
      <c r="B7431" s="72" t="str">
        <f>VLOOKUP(A7431,'Componentes APUs'!$N$1:$Q$30,2,0)</f>
        <v>Grúa Hidráulica</v>
      </c>
      <c r="C7431" s="73"/>
      <c r="D7431" s="70" t="str">
        <f>VLOOKUP(A7431,'Componentes APUs'!$N$1:$Q$30,3,0)</f>
        <v>U</v>
      </c>
      <c r="E7431" s="50">
        <v>0</v>
      </c>
      <c r="F7431" s="51">
        <f>VLOOKUP(A7431,'Componentes APUs'!$N$1:$Q$30,4,0)</f>
        <v>21000000</v>
      </c>
      <c r="G7431" s="51">
        <f>IFERROR(ROUNDUP(F7431*(E7431/21)/E7381,0),"-")</f>
        <v>0</v>
      </c>
    </row>
    <row r="7432" spans="1:7" x14ac:dyDescent="0.25">
      <c r="A7432" s="69" t="s">
        <v>1379</v>
      </c>
      <c r="B7432" s="72" t="str">
        <f>VLOOKUP(A7432,'Componentes APUs'!$N$1:$Q$30,2,0)</f>
        <v>Dumper de descarga Frontal 2T</v>
      </c>
      <c r="C7432" s="73"/>
      <c r="D7432" s="70" t="str">
        <f>VLOOKUP(A7432,'Componentes APUs'!$N$1:$Q$30,3,0)</f>
        <v>U</v>
      </c>
      <c r="E7432" s="50">
        <v>0</v>
      </c>
      <c r="F7432" s="51">
        <f>VLOOKUP(A7432,'Componentes APUs'!$N$1:$Q$30,4,0)</f>
        <v>4438716.24</v>
      </c>
      <c r="G7432" s="51">
        <f>IFERROR(ROUNDUP(F7432*(E7432/21)/E7381,0),"-")</f>
        <v>0</v>
      </c>
    </row>
    <row r="7433" spans="1:7" x14ac:dyDescent="0.25">
      <c r="A7433" s="50" t="s">
        <v>323</v>
      </c>
      <c r="B7433" s="72" t="str">
        <f>VLOOKUP(A7433,'Componentes APUs'!$N$1:$Q$30,2,0)</f>
        <v>Volqueta</v>
      </c>
      <c r="C7433" s="73"/>
      <c r="D7433" s="70" t="str">
        <f>VLOOKUP(A7433,'Componentes APUs'!$N$1:$Q$30,3,0)</f>
        <v>U</v>
      </c>
      <c r="E7433" s="50">
        <v>0</v>
      </c>
      <c r="F7433" s="51">
        <f>VLOOKUP(A7433,'Componentes APUs'!$N$1:$Q$30,4,0)</f>
        <v>14828184</v>
      </c>
      <c r="G7433" s="51">
        <f>IFERROR(ROUNDUP(F7433*(E7433/21)/E7381,0),"-")</f>
        <v>0</v>
      </c>
    </row>
    <row r="7434" spans="1:7" x14ac:dyDescent="0.25">
      <c r="A7434" s="69" t="s">
        <v>324</v>
      </c>
      <c r="B7434" s="72" t="str">
        <f>VLOOKUP(A7434,'Componentes APUs'!$N$1:$Q$30,2,0)</f>
        <v>Retroexcavadora</v>
      </c>
      <c r="C7434" s="73"/>
      <c r="D7434" s="70" t="str">
        <f>VLOOKUP(A7434,'Componentes APUs'!$N$1:$Q$30,3,0)</f>
        <v>U</v>
      </c>
      <c r="E7434" s="50">
        <v>0</v>
      </c>
      <c r="F7434" s="51">
        <f>VLOOKUP(A7434,'Componentes APUs'!$N$1:$Q$30,4,0)</f>
        <v>46030656</v>
      </c>
      <c r="G7434" s="51">
        <f>IFERROR(ROUNDUP(F7434*(E7434/21)/E7381,0),"-")</f>
        <v>0</v>
      </c>
    </row>
    <row r="7435" spans="1:7" x14ac:dyDescent="0.25">
      <c r="A7435" s="219" t="s">
        <v>99</v>
      </c>
      <c r="B7435" s="219"/>
      <c r="C7435" s="219"/>
      <c r="D7435" s="219"/>
      <c r="E7435" s="219"/>
      <c r="F7435" s="219"/>
      <c r="G7435" s="52">
        <f>SUM(G7430:G7434)</f>
        <v>8185</v>
      </c>
    </row>
    <row r="7436" spans="1:7" x14ac:dyDescent="0.25">
      <c r="A7436" s="56"/>
      <c r="B7436" s="57"/>
      <c r="C7436" s="57"/>
      <c r="D7436" s="57"/>
      <c r="E7436" s="57"/>
      <c r="F7436" s="57"/>
      <c r="G7436" s="58"/>
    </row>
    <row r="7437" spans="1:7" x14ac:dyDescent="0.25">
      <c r="A7437" s="219" t="s">
        <v>100</v>
      </c>
      <c r="B7437" s="219"/>
      <c r="C7437" s="219"/>
      <c r="D7437" s="219"/>
      <c r="E7437" s="219"/>
      <c r="F7437" s="219"/>
      <c r="G7437" s="52">
        <f>G7435+G7426+G7409+G7399+G7389</f>
        <v>59054</v>
      </c>
    </row>
    <row r="7438" spans="1:7" x14ac:dyDescent="0.25">
      <c r="A7438" s="59"/>
      <c r="B7438" s="60"/>
      <c r="C7438" s="60"/>
      <c r="D7438" s="60"/>
      <c r="E7438" s="57"/>
      <c r="F7438" s="57"/>
      <c r="G7438" s="58"/>
    </row>
    <row r="7439" spans="1:7" x14ac:dyDescent="0.25">
      <c r="A7439" s="64"/>
      <c r="D7439" s="55"/>
      <c r="E7439" s="49" t="s">
        <v>25</v>
      </c>
      <c r="F7439" s="54">
        <v>0.15</v>
      </c>
      <c r="G7439" s="51">
        <f>G7437*F7439</f>
        <v>8858.1</v>
      </c>
    </row>
    <row r="7440" spans="1:7" x14ac:dyDescent="0.25">
      <c r="A7440" s="64"/>
      <c r="D7440" s="55"/>
      <c r="E7440" s="49" t="s">
        <v>26</v>
      </c>
      <c r="F7440" s="54">
        <v>0.05</v>
      </c>
      <c r="G7440" s="51">
        <f>G7437*F7440</f>
        <v>2952.7000000000003</v>
      </c>
    </row>
    <row r="7441" spans="1:9" x14ac:dyDescent="0.25">
      <c r="A7441" s="61"/>
      <c r="B7441" s="65"/>
      <c r="C7441" s="65"/>
      <c r="D7441" s="62"/>
      <c r="E7441" s="49" t="s">
        <v>27</v>
      </c>
      <c r="F7441" s="54">
        <v>0.05</v>
      </c>
      <c r="G7441" s="51">
        <f>G7437*F7441</f>
        <v>2952.7000000000003</v>
      </c>
    </row>
    <row r="7442" spans="1:9" x14ac:dyDescent="0.25">
      <c r="A7442" s="61"/>
      <c r="B7442" s="62"/>
      <c r="C7442" s="62"/>
      <c r="D7442" s="62"/>
      <c r="E7442" s="62"/>
      <c r="F7442" s="62"/>
      <c r="G7442" s="63"/>
    </row>
    <row r="7443" spans="1:9" x14ac:dyDescent="0.25">
      <c r="A7443" s="219" t="s">
        <v>101</v>
      </c>
      <c r="B7443" s="219"/>
      <c r="C7443" s="219"/>
      <c r="D7443" s="219"/>
      <c r="E7443" s="219"/>
      <c r="F7443" s="219"/>
      <c r="G7443" s="52">
        <f>G7437+G7439+G7440+G7441</f>
        <v>73817.5</v>
      </c>
    </row>
    <row r="7444" spans="1:9" x14ac:dyDescent="0.25">
      <c r="A7444" s="59"/>
      <c r="B7444" s="60"/>
      <c r="C7444" s="60"/>
      <c r="D7444" s="60"/>
      <c r="E7444" s="57"/>
      <c r="F7444" s="57"/>
      <c r="G7444" s="58"/>
    </row>
    <row r="7445" spans="1:9" x14ac:dyDescent="0.25">
      <c r="A7445" s="64"/>
      <c r="D7445" s="55"/>
      <c r="E7445" s="49" t="s">
        <v>102</v>
      </c>
      <c r="F7445" s="49" t="s">
        <v>103</v>
      </c>
      <c r="G7445" s="51">
        <f>G7441*19%</f>
        <v>561.01300000000003</v>
      </c>
    </row>
    <row r="7446" spans="1:9" x14ac:dyDescent="0.25">
      <c r="A7446" s="61"/>
      <c r="B7446" s="62"/>
      <c r="C7446" s="62"/>
      <c r="D7446" s="62"/>
      <c r="E7446" s="57"/>
      <c r="F7446" s="57"/>
      <c r="G7446" s="58"/>
    </row>
    <row r="7447" spans="1:9" x14ac:dyDescent="0.25">
      <c r="A7447" s="219" t="s">
        <v>104</v>
      </c>
      <c r="B7447" s="219"/>
      <c r="C7447" s="219"/>
      <c r="D7447" s="219"/>
      <c r="E7447" s="219"/>
      <c r="F7447" s="219"/>
      <c r="G7447" s="52">
        <f>G7445+G7443</f>
        <v>74378.513000000006</v>
      </c>
    </row>
    <row r="7449" spans="1:9" x14ac:dyDescent="0.25">
      <c r="A7449" s="74" t="s">
        <v>29</v>
      </c>
      <c r="B7449" s="226" t="s">
        <v>30</v>
      </c>
      <c r="C7449" s="226"/>
      <c r="D7449" s="74" t="s">
        <v>31</v>
      </c>
      <c r="E7449" s="74" t="s">
        <v>32</v>
      </c>
      <c r="F7449" s="74" t="s">
        <v>189</v>
      </c>
      <c r="G7449" s="74" t="s">
        <v>33</v>
      </c>
      <c r="H7449" s="105"/>
    </row>
    <row r="7450" spans="1:9" x14ac:dyDescent="0.25">
      <c r="A7450" s="50" t="str">
        <f>Presupuesto!B139</f>
        <v>118_OC</v>
      </c>
      <c r="B7450" s="227" t="str">
        <f>Presupuesto!C139</f>
        <v xml:space="preserve">PLANTILLA DE PISO EN MORTERO 1:4 IMPERMEABILIZADO E = 0.05 MTS </v>
      </c>
      <c r="C7450" s="228"/>
      <c r="D7450" s="50" t="s">
        <v>113</v>
      </c>
      <c r="E7450" s="107">
        <v>55</v>
      </c>
      <c r="F7450" s="50"/>
      <c r="G7450" s="51">
        <f>G7514</f>
        <v>56565.404500000004</v>
      </c>
      <c r="H7450" s="45"/>
    </row>
    <row r="7451" spans="1:9" x14ac:dyDescent="0.25">
      <c r="A7451" s="219" t="s">
        <v>34</v>
      </c>
      <c r="B7451" s="219"/>
      <c r="C7451" s="219"/>
      <c r="D7451" s="219"/>
      <c r="E7451" s="219"/>
      <c r="F7451" s="219"/>
      <c r="G7451" s="219"/>
    </row>
    <row r="7452" spans="1:9" x14ac:dyDescent="0.25">
      <c r="A7452" s="49" t="s">
        <v>35</v>
      </c>
      <c r="B7452" s="219" t="s">
        <v>36</v>
      </c>
      <c r="C7452" s="219"/>
      <c r="D7452" s="49" t="s">
        <v>37</v>
      </c>
      <c r="E7452" s="49" t="s">
        <v>38</v>
      </c>
      <c r="F7452" s="49" t="s">
        <v>39</v>
      </c>
      <c r="G7452" s="49" t="s">
        <v>40</v>
      </c>
    </row>
    <row r="7453" spans="1:9" x14ac:dyDescent="0.25">
      <c r="A7453" s="50" t="str">
        <f>Material!A636</f>
        <v>MA-635</v>
      </c>
      <c r="B7453" s="72" t="str">
        <f>IFERROR(VLOOKUP(A7453,Material!$A:$H,2,0),"-")</f>
        <v>MORTERO 1:4 (Impermeabilizado)</v>
      </c>
      <c r="C7453" s="76"/>
      <c r="D7453" s="50" t="str">
        <f>IFERROR(VLOOKUP(A7453,Material!$A:$H,4,0),"-")</f>
        <v>M3</v>
      </c>
      <c r="E7453" s="96">
        <v>0.05</v>
      </c>
      <c r="F7453" s="51">
        <f>IFERROR(VLOOKUP(A7453,Material!$A:$H,3,0),"-")</f>
        <v>829800.4</v>
      </c>
      <c r="G7453" s="51">
        <f>IFERROR(ROUNDUP(F7453*E7453,0),"-")</f>
        <v>41491</v>
      </c>
      <c r="H7453" s="106"/>
    </row>
    <row r="7454" spans="1:9" x14ac:dyDescent="0.25">
      <c r="A7454" s="50"/>
      <c r="B7454" s="72" t="str">
        <f>IFERROR(VLOOKUP(A7454,Material!$A:$H,2,0),"-")</f>
        <v>-</v>
      </c>
      <c r="C7454" s="76"/>
      <c r="D7454" s="50" t="str">
        <f>IFERROR(VLOOKUP(A7454,Material!$A:$H,4,0),"-")</f>
        <v>-</v>
      </c>
      <c r="E7454" s="108"/>
      <c r="F7454" s="51" t="str">
        <f>IFERROR(VLOOKUP(A7454,Material!$A:$H,3,0),"-")</f>
        <v>-</v>
      </c>
      <c r="G7454" s="51" t="str">
        <f>IFERROR(ROUNDUP(F7454*E7454,0),"-")</f>
        <v>-</v>
      </c>
      <c r="H7454" s="106"/>
    </row>
    <row r="7455" spans="1:9" x14ac:dyDescent="0.25">
      <c r="A7455" s="50"/>
      <c r="B7455" s="72" t="str">
        <f>IFERROR(VLOOKUP(A7455,Material!$A:$H,2,0),"-")</f>
        <v>-</v>
      </c>
      <c r="C7455" s="76"/>
      <c r="D7455" s="50" t="str">
        <f>IFERROR(VLOOKUP(A7455,Material!$A:$H,4,0),"-")</f>
        <v>-</v>
      </c>
      <c r="E7455" s="107"/>
      <c r="F7455" s="51" t="str">
        <f>IFERROR(VLOOKUP(A7455,Material!$A:$H,3,0),"-")</f>
        <v>-</v>
      </c>
      <c r="G7455" s="51" t="str">
        <f>IFERROR(ROUNDUP(F7455*E7455,0),"-")</f>
        <v>-</v>
      </c>
      <c r="H7455" s="106"/>
    </row>
    <row r="7456" spans="1:9" x14ac:dyDescent="0.25">
      <c r="A7456" s="219" t="s">
        <v>41</v>
      </c>
      <c r="B7456" s="219"/>
      <c r="C7456" s="219"/>
      <c r="D7456" s="219"/>
      <c r="E7456" s="219"/>
      <c r="F7456" s="219"/>
      <c r="G7456" s="52">
        <f>SUM(G7453:G7455)</f>
        <v>41491</v>
      </c>
      <c r="I7456" s="104"/>
    </row>
    <row r="7457" spans="1:9" x14ac:dyDescent="0.25">
      <c r="A7457" s="56"/>
      <c r="B7457" s="57"/>
      <c r="C7457" s="57"/>
      <c r="D7457" s="57"/>
      <c r="E7457" s="57"/>
      <c r="F7457" s="57"/>
      <c r="G7457" s="58"/>
    </row>
    <row r="7458" spans="1:9" x14ac:dyDescent="0.25">
      <c r="A7458" s="219" t="s">
        <v>42</v>
      </c>
      <c r="B7458" s="219"/>
      <c r="C7458" s="219"/>
      <c r="D7458" s="219"/>
      <c r="E7458" s="219"/>
      <c r="F7458" s="219"/>
      <c r="G7458" s="219"/>
    </row>
    <row r="7459" spans="1:9" x14ac:dyDescent="0.25">
      <c r="A7459" s="49" t="s">
        <v>35</v>
      </c>
      <c r="B7459" s="49" t="s">
        <v>36</v>
      </c>
      <c r="C7459" s="49" t="s">
        <v>38</v>
      </c>
      <c r="D7459" s="49" t="s">
        <v>43</v>
      </c>
      <c r="E7459" s="49" t="s">
        <v>44</v>
      </c>
      <c r="F7459" s="49" t="s">
        <v>45</v>
      </c>
      <c r="G7459" s="49" t="s">
        <v>40</v>
      </c>
    </row>
    <row r="7460" spans="1:9" x14ac:dyDescent="0.25">
      <c r="A7460" s="50" t="s">
        <v>319</v>
      </c>
      <c r="B7460" s="68" t="str">
        <f>VLOOKUP(A7460,'Componentes APUs'!$H$1:$L$25,2,0)</f>
        <v>Ingeniero Residente de Obra</v>
      </c>
      <c r="C7460" s="93">
        <v>0</v>
      </c>
      <c r="D7460" s="50">
        <f>VLOOKUP(A7460,'Componentes APUs'!$H$1:$L$25,3,0)</f>
        <v>4</v>
      </c>
      <c r="E7460" s="51">
        <f>VLOOKUP(A7460,'Componentes APUs'!$H$1:$L$25,4,0)</f>
        <v>271142.85714285716</v>
      </c>
      <c r="F7460" s="51">
        <f>VLOOKUP(A7460,'Componentes APUs'!$H$1:$L$25,5,0)</f>
        <v>162685.71428571429</v>
      </c>
      <c r="G7460" s="51">
        <f>ROUNDUP((E7460+F7460)*C7460/E7450,0)</f>
        <v>0</v>
      </c>
      <c r="H7460" s="66"/>
    </row>
    <row r="7461" spans="1:9" x14ac:dyDescent="0.25">
      <c r="A7461" s="50" t="s">
        <v>320</v>
      </c>
      <c r="B7461" s="68" t="str">
        <f>VLOOKUP(A7461,'Componentes APUs'!$H$1:$L$25,2,0)</f>
        <v>Tecnico Supervisor</v>
      </c>
      <c r="C7461" s="93">
        <v>0</v>
      </c>
      <c r="D7461" s="50">
        <f>VLOOKUP(A7461,'Componentes APUs'!$H$1:$L$25,3,0)</f>
        <v>2.2999999999999998</v>
      </c>
      <c r="E7461" s="51">
        <f>VLOOKUP(A7461,'Componentes APUs'!$H$1:$L$25,4,0)</f>
        <v>155907.14285714284</v>
      </c>
      <c r="F7461" s="51">
        <f>VLOOKUP(A7461,'Componentes APUs'!$H$1:$L$25,5,0)</f>
        <v>93544.285714285696</v>
      </c>
      <c r="G7461" s="51">
        <f>ROUNDUP((E7461+F7461)*C7461/E7450,0)</f>
        <v>0</v>
      </c>
    </row>
    <row r="7462" spans="1:9" x14ac:dyDescent="0.25">
      <c r="A7462" s="50" t="s">
        <v>54</v>
      </c>
      <c r="B7462" s="68" t="str">
        <f>VLOOKUP(A7462,'Componentes APUs'!$H$1:$L$25,2,0)</f>
        <v>Maestro de obra civil</v>
      </c>
      <c r="C7462" s="93">
        <v>0</v>
      </c>
      <c r="D7462" s="50">
        <f>VLOOKUP(A7462,'Componentes APUs'!$H$1:$L$25,3,0)</f>
        <v>2.5</v>
      </c>
      <c r="E7462" s="51">
        <f>VLOOKUP(A7462,'Componentes APUs'!$H$1:$L$25,4,0)</f>
        <v>169464.28571428571</v>
      </c>
      <c r="F7462" s="51">
        <f>VLOOKUP(A7462,'Componentes APUs'!$H$1:$L$25,5,0)</f>
        <v>101678.57142857142</v>
      </c>
      <c r="G7462" s="51">
        <f>ROUNDUP((E7462+F7462)*C7462/E7450,0)</f>
        <v>0</v>
      </c>
    </row>
    <row r="7463" spans="1:9" x14ac:dyDescent="0.25">
      <c r="A7463" s="50" t="s">
        <v>1110</v>
      </c>
      <c r="B7463" s="68" t="str">
        <f>VLOOKUP(A7463,'Componentes APUs'!$H$1:$L$25,2,0)</f>
        <v>Oficial de Obra Civil</v>
      </c>
      <c r="C7463" s="93">
        <v>0.25</v>
      </c>
      <c r="D7463" s="50">
        <f>VLOOKUP(A7463,'Componentes APUs'!$H$1:$L$25,3,0)</f>
        <v>1.5</v>
      </c>
      <c r="E7463" s="51">
        <f>VLOOKUP(A7463,'Componentes APUs'!$H$1:$L$25,4,0)</f>
        <v>115964.28571428571</v>
      </c>
      <c r="F7463" s="51">
        <f>VLOOKUP(A7463,'Componentes APUs'!$H$1:$L$25,5,0)</f>
        <v>69578.57142857142</v>
      </c>
      <c r="G7463" s="51">
        <f>ROUNDUP((E7463+F7463)*C7463/E7450,0)</f>
        <v>844</v>
      </c>
    </row>
    <row r="7464" spans="1:9" x14ac:dyDescent="0.25">
      <c r="A7464" s="50" t="s">
        <v>50</v>
      </c>
      <c r="B7464" s="68" t="str">
        <f>VLOOKUP(A7464,'Componentes APUs'!$H$1:$L$25,2,0)</f>
        <v>Profesional en SST</v>
      </c>
      <c r="C7464" s="93">
        <v>0</v>
      </c>
      <c r="D7464" s="50">
        <f>VLOOKUP(A7464,'Componentes APUs'!$H$1:$L$25,3,0)</f>
        <v>2.5</v>
      </c>
      <c r="E7464" s="51">
        <f>VLOOKUP(A7464,'Componentes APUs'!$H$1:$L$25,4,0)</f>
        <v>169464.28571428571</v>
      </c>
      <c r="F7464" s="51">
        <f>VLOOKUP(A7464,'Componentes APUs'!$H$1:$L$25,5,0)</f>
        <v>101678.57142857142</v>
      </c>
      <c r="G7464" s="51">
        <f>ROUNDUP((E7464+F7464)*C7464/E7450,0)</f>
        <v>0</v>
      </c>
    </row>
    <row r="7465" spans="1:9" x14ac:dyDescent="0.25">
      <c r="A7465" s="50" t="s">
        <v>1109</v>
      </c>
      <c r="B7465" s="68" t="str">
        <f>VLOOKUP(A7465,'Componentes APUs'!$H$1:$L$25,2,0)</f>
        <v>Ayudante de Obra Civil</v>
      </c>
      <c r="C7465" s="93">
        <v>1</v>
      </c>
      <c r="D7465" s="50">
        <f>VLOOKUP(A7465,'Componentes APUs'!$H$1:$L$25,3,0)</f>
        <v>1</v>
      </c>
      <c r="E7465" s="51">
        <f>VLOOKUP(A7465,'Componentes APUs'!$H$1:$L$25,4,0)</f>
        <v>77309.523809523816</v>
      </c>
      <c r="F7465" s="51">
        <f>VLOOKUP(A7465,'Componentes APUs'!$H$1:$L$25,5,0)</f>
        <v>46385.71428571429</v>
      </c>
      <c r="G7465" s="51">
        <f>ROUNDUP((E7465+F7465)*C7465/E7450,0)</f>
        <v>2250</v>
      </c>
    </row>
    <row r="7466" spans="1:9" x14ac:dyDescent="0.25">
      <c r="A7466" s="219" t="s">
        <v>56</v>
      </c>
      <c r="B7466" s="219"/>
      <c r="C7466" s="219"/>
      <c r="D7466" s="219"/>
      <c r="E7466" s="219"/>
      <c r="F7466" s="219"/>
      <c r="G7466" s="52">
        <f>SUM(G7460:G7465)</f>
        <v>3094</v>
      </c>
    </row>
    <row r="7467" spans="1:9" x14ac:dyDescent="0.25">
      <c r="A7467" s="56"/>
      <c r="B7467" s="57"/>
      <c r="C7467" s="57"/>
      <c r="D7467" s="57"/>
      <c r="E7467" s="57"/>
      <c r="F7467" s="57"/>
      <c r="G7467" s="58"/>
    </row>
    <row r="7468" spans="1:9" x14ac:dyDescent="0.25">
      <c r="A7468" s="219" t="s">
        <v>57</v>
      </c>
      <c r="B7468" s="219"/>
      <c r="C7468" s="219"/>
      <c r="D7468" s="219"/>
      <c r="E7468" s="219"/>
      <c r="F7468" s="219"/>
      <c r="G7468" s="219"/>
    </row>
    <row r="7469" spans="1:9" x14ac:dyDescent="0.25">
      <c r="A7469" s="49" t="s">
        <v>35</v>
      </c>
      <c r="B7469" s="219" t="s">
        <v>36</v>
      </c>
      <c r="C7469" s="219"/>
      <c r="D7469" s="49" t="s">
        <v>37</v>
      </c>
      <c r="E7469" s="49" t="s">
        <v>38</v>
      </c>
      <c r="F7469" s="49" t="s">
        <v>39</v>
      </c>
      <c r="G7469" s="49" t="s">
        <v>40</v>
      </c>
    </row>
    <row r="7470" spans="1:9" x14ac:dyDescent="0.25">
      <c r="A7470" s="50" t="s">
        <v>326</v>
      </c>
      <c r="B7470" s="220" t="str">
        <f>VLOOKUP(A7470,'Componentes APUs'!$S$1:$V$10,2,0)</f>
        <v>Juego Llaves</v>
      </c>
      <c r="C7470" s="220"/>
      <c r="D7470" s="50" t="s">
        <v>18</v>
      </c>
      <c r="E7470" s="50">
        <v>0</v>
      </c>
      <c r="F7470" s="51">
        <f>VLOOKUP(A7470,'Componentes APUs'!$S$1:$V$10,4,0)</f>
        <v>9167</v>
      </c>
      <c r="G7470" s="51">
        <f>ROUNDUP(F7470*((E7470/21)/E7450),0)</f>
        <v>0</v>
      </c>
      <c r="I7470" s="91"/>
    </row>
    <row r="7471" spans="1:9" x14ac:dyDescent="0.25">
      <c r="A7471" s="50" t="s">
        <v>58</v>
      </c>
      <c r="B7471" s="220" t="str">
        <f>VLOOKUP(A7471,'Componentes APUs'!$S$1:$V$10,2,0)</f>
        <v>Manila de servicio</v>
      </c>
      <c r="C7471" s="220"/>
      <c r="D7471" s="50" t="s">
        <v>18</v>
      </c>
      <c r="E7471" s="50">
        <v>0</v>
      </c>
      <c r="F7471" s="51">
        <f>VLOOKUP(A7471,'Componentes APUs'!$S$1:$V$10,4,0)</f>
        <v>2333</v>
      </c>
      <c r="G7471" s="51">
        <f>ROUNDUP(F7471*((E7471/21)/E7450),0)</f>
        <v>0</v>
      </c>
    </row>
    <row r="7472" spans="1:9" x14ac:dyDescent="0.25">
      <c r="A7472" s="50" t="s">
        <v>327</v>
      </c>
      <c r="B7472" s="220" t="str">
        <f>VLOOKUP(A7472,'Componentes APUs'!$S$1:$V$10,2,0)</f>
        <v>Tula portaherramientas</v>
      </c>
      <c r="C7472" s="220"/>
      <c r="D7472" s="50" t="s">
        <v>18</v>
      </c>
      <c r="E7472" s="50">
        <v>0</v>
      </c>
      <c r="F7472" s="51">
        <f>VLOOKUP(A7472,'Componentes APUs'!$S$1:$V$10,4,0)</f>
        <v>1250</v>
      </c>
      <c r="G7472" s="51">
        <f>ROUNDUP(F7472*((E7472/21)/E7450),0)</f>
        <v>0</v>
      </c>
    </row>
    <row r="7473" spans="1:9" x14ac:dyDescent="0.25">
      <c r="A7473" s="50" t="s">
        <v>60</v>
      </c>
      <c r="B7473" s="220" t="str">
        <f>VLOOKUP(A7473,'Componentes APUs'!$S$1:$V$10,2,0)</f>
        <v>Agarradoras</v>
      </c>
      <c r="C7473" s="220"/>
      <c r="D7473" s="50" t="s">
        <v>18</v>
      </c>
      <c r="E7473" s="50">
        <v>0</v>
      </c>
      <c r="F7473" s="51">
        <f>VLOOKUP(A7473,'Componentes APUs'!$S$1:$V$10,4,0)</f>
        <v>125000</v>
      </c>
      <c r="G7473" s="51">
        <f>ROUNDUP(F7473*((E7473/21)/E7450),0)</f>
        <v>0</v>
      </c>
    </row>
    <row r="7474" spans="1:9" x14ac:dyDescent="0.25">
      <c r="A7474" s="50" t="s">
        <v>62</v>
      </c>
      <c r="B7474" s="220" t="str">
        <f>VLOOKUP(A7474,'Componentes APUs'!$S$1:$V$10,2,0)</f>
        <v>Templadoras</v>
      </c>
      <c r="C7474" s="220"/>
      <c r="D7474" s="50" t="s">
        <v>18</v>
      </c>
      <c r="E7474" s="50">
        <v>0</v>
      </c>
      <c r="F7474" s="51">
        <f>VLOOKUP(A7474,'Componentes APUs'!$S$1:$V$10,4,0)</f>
        <v>250000</v>
      </c>
      <c r="G7474" s="51">
        <f>ROUNDUP(F7474*((E7474/21)/E7450),0)</f>
        <v>0</v>
      </c>
    </row>
    <row r="7475" spans="1:9" x14ac:dyDescent="0.25">
      <c r="A7475" s="50" t="s">
        <v>328</v>
      </c>
      <c r="B7475" s="220" t="str">
        <f>VLOOKUP(A7475,'Componentes APUs'!$S$1:$V$10,2,0)</f>
        <v>Herramienta Menor</v>
      </c>
      <c r="C7475" s="220"/>
      <c r="D7475" s="50" t="s">
        <v>18</v>
      </c>
      <c r="E7475" s="50">
        <v>4</v>
      </c>
      <c r="F7475" s="51">
        <f>VLOOKUP(A7475,'Componentes APUs'!$S$1:$V$10,4,0)</f>
        <v>75758</v>
      </c>
      <c r="G7475" s="51">
        <f>ROUNDUP(F7475*((E7475/21)/E7450),0)</f>
        <v>263</v>
      </c>
    </row>
    <row r="7476" spans="1:9" x14ac:dyDescent="0.25">
      <c r="A7476" s="219" t="s">
        <v>69</v>
      </c>
      <c r="B7476" s="219"/>
      <c r="C7476" s="219"/>
      <c r="D7476" s="219"/>
      <c r="E7476" s="219"/>
      <c r="F7476" s="219"/>
      <c r="G7476" s="52">
        <f>SUM(G7470:G7475)</f>
        <v>263</v>
      </c>
    </row>
    <row r="7477" spans="1:9" x14ac:dyDescent="0.25">
      <c r="A7477" s="56"/>
      <c r="B7477" s="57"/>
      <c r="C7477" s="57"/>
      <c r="D7477" s="57"/>
      <c r="E7477" s="57"/>
      <c r="F7477" s="57"/>
      <c r="G7477" s="58"/>
    </row>
    <row r="7478" spans="1:9" x14ac:dyDescent="0.25">
      <c r="A7478" s="219" t="s">
        <v>70</v>
      </c>
      <c r="B7478" s="219"/>
      <c r="C7478" s="219"/>
      <c r="D7478" s="219"/>
      <c r="E7478" s="219"/>
      <c r="F7478" s="219"/>
      <c r="G7478" s="219"/>
    </row>
    <row r="7479" spans="1:9" x14ac:dyDescent="0.25">
      <c r="A7479" s="49" t="s">
        <v>35</v>
      </c>
      <c r="B7479" s="219" t="s">
        <v>36</v>
      </c>
      <c r="C7479" s="219"/>
      <c r="D7479" s="49" t="s">
        <v>37</v>
      </c>
      <c r="E7479" s="49" t="s">
        <v>38</v>
      </c>
      <c r="F7479" s="49" t="s">
        <v>39</v>
      </c>
      <c r="G7479" s="49" t="s">
        <v>40</v>
      </c>
    </row>
    <row r="7480" spans="1:9" x14ac:dyDescent="0.25">
      <c r="A7480" s="50" t="s">
        <v>71</v>
      </c>
      <c r="B7480" s="71" t="str">
        <f>VLOOKUP(A7480,'Componentes APUs'!$A$1:$D$14,2,0)</f>
        <v>Camisa indigo sin partes metalicas</v>
      </c>
      <c r="C7480" s="71"/>
      <c r="D7480" s="50" t="str">
        <f>VLOOKUP(A7480,'Componentes APUs'!$A$1:$D$14,3,0)</f>
        <v>U</v>
      </c>
      <c r="E7480" s="50">
        <f>SUM(C7460:C7465)</f>
        <v>1.25</v>
      </c>
      <c r="F7480" s="51">
        <f>VLOOKUP(A7480,'Componentes APUs'!$A$1:$D$14,4,0)</f>
        <v>8585.8585858585866</v>
      </c>
      <c r="G7480" s="51">
        <f>ROUNDUP(F7480*(E7480/21)/E7450,0)</f>
        <v>10</v>
      </c>
      <c r="I7480" s="91"/>
    </row>
    <row r="7481" spans="1:9" x14ac:dyDescent="0.25">
      <c r="A7481" s="69" t="s">
        <v>73</v>
      </c>
      <c r="B7481" s="72" t="str">
        <f>VLOOKUP(A7481,'Componentes APUs'!$A$1:$D$14,2,0)</f>
        <v>Bota de seguridad dielectrica</v>
      </c>
      <c r="C7481" s="73"/>
      <c r="D7481" s="70" t="str">
        <f>VLOOKUP(A7481,'Componentes APUs'!$A$1:$D$14,3,0)</f>
        <v>Par</v>
      </c>
      <c r="E7481" s="50">
        <f>SUM(C7460:C7465)</f>
        <v>1.25</v>
      </c>
      <c r="F7481" s="51">
        <f>VLOOKUP(A7481,'Componentes APUs'!$A$1:$D$14,4,0)</f>
        <v>7500</v>
      </c>
      <c r="G7481" s="51">
        <f>ROUNDUP(F7481*(E7481/21)/E7450,0)</f>
        <v>9</v>
      </c>
    </row>
    <row r="7482" spans="1:9" x14ac:dyDescent="0.25">
      <c r="A7482" s="50" t="s">
        <v>76</v>
      </c>
      <c r="B7482" s="72" t="str">
        <f>VLOOKUP(A7482,'Componentes APUs'!$A$1:$D$14,2,0)</f>
        <v>Casco dielectrico Tipo 1 Clase E con barbuquejo</v>
      </c>
      <c r="C7482" s="73"/>
      <c r="D7482" s="50" t="str">
        <f>VLOOKUP(A7482,'Componentes APUs'!$A$1:$D$14,3,0)</f>
        <v>U</v>
      </c>
      <c r="E7482" s="50">
        <f>C7460+C7461+C7463+C7464+C7465+IF(A7462&lt;&gt;"MO-3",C7462,0)</f>
        <v>1.25</v>
      </c>
      <c r="F7482" s="51">
        <f>VLOOKUP(A7482,'Componentes APUs'!$A$1:$D$14,4,0)</f>
        <v>10101.010101010101</v>
      </c>
      <c r="G7482" s="51">
        <f>ROUNDUP(F7482*(E7482/21)/E7450,0)</f>
        <v>11</v>
      </c>
    </row>
    <row r="7483" spans="1:9" x14ac:dyDescent="0.25">
      <c r="A7483" s="69" t="s">
        <v>77</v>
      </c>
      <c r="B7483" s="72" t="str">
        <f>VLOOKUP(A7483,'Componentes APUs'!$A$1:$D$14,2,0)</f>
        <v>Correa plastica y antiflama</v>
      </c>
      <c r="C7483" s="73"/>
      <c r="D7483" s="50" t="str">
        <f>VLOOKUP(A7483,'Componentes APUs'!$A$1:$D$14,3,0)</f>
        <v>U</v>
      </c>
      <c r="E7483" s="50">
        <f>SUM(C7460:C7465)</f>
        <v>1.25</v>
      </c>
      <c r="F7483" s="51">
        <f>VLOOKUP(A7483,'Componentes APUs'!$A$1:$D$14,4,0)</f>
        <v>3787.878787878788</v>
      </c>
      <c r="G7483" s="51">
        <f>ROUNDUP(F7483*(E7483/21)/E7450,0)</f>
        <v>5</v>
      </c>
    </row>
    <row r="7484" spans="1:9" x14ac:dyDescent="0.25">
      <c r="A7484" s="50" t="s">
        <v>79</v>
      </c>
      <c r="B7484" s="72" t="str">
        <f>VLOOKUP(A7484,'Componentes APUs'!$A$1:$D$14,2,0)</f>
        <v>Gafas protectoras filtro UV</v>
      </c>
      <c r="C7484" s="73"/>
      <c r="D7484" s="50" t="str">
        <f>VLOOKUP(A7484,'Componentes APUs'!$A$1:$D$14,3,0)</f>
        <v>U</v>
      </c>
      <c r="E7484" s="50">
        <f>SUM(C7460:C7465)</f>
        <v>1.25</v>
      </c>
      <c r="F7484" s="51">
        <f>VLOOKUP(A7484,'Componentes APUs'!$A$1:$D$14,4,0)</f>
        <v>2777.7777777777778</v>
      </c>
      <c r="G7484" s="51">
        <f>ROUNDUP(F7484*(E7484/21)/E7450,0)</f>
        <v>4</v>
      </c>
    </row>
    <row r="7485" spans="1:9" x14ac:dyDescent="0.25">
      <c r="A7485" s="69" t="s">
        <v>402</v>
      </c>
      <c r="B7485" s="72" t="str">
        <f>VLOOKUP(A7485,'Componentes APUs'!$A$1:$D$14,2,0)</f>
        <v>Bota de seguridad PVC dielectrica</v>
      </c>
      <c r="C7485" s="73"/>
      <c r="D7485" s="50" t="str">
        <f>VLOOKUP(A7485,'Componentes APUs'!$A$1:$D$14,3,0)</f>
        <v>Par</v>
      </c>
      <c r="E7485" s="50">
        <f>SUM(C7460:C7465)</f>
        <v>1.25</v>
      </c>
      <c r="F7485" s="51">
        <f>VLOOKUP(A7485,'Componentes APUs'!$A$1:$D$14,4,0)</f>
        <v>2916.6666666666665</v>
      </c>
      <c r="G7485" s="51">
        <f>ROUNDUP(F7485*(E7485/21)/E7450,0)</f>
        <v>4</v>
      </c>
    </row>
    <row r="7486" spans="1:9" x14ac:dyDescent="0.25">
      <c r="A7486" s="50" t="s">
        <v>403</v>
      </c>
      <c r="B7486" s="72" t="str">
        <f>VLOOKUP(A7486,'Componentes APUs'!$A$1:$D$14,2,0)</f>
        <v>Capuchon</v>
      </c>
      <c r="C7486" s="73"/>
      <c r="D7486" s="50" t="str">
        <f>VLOOKUP(A7486,'Componentes APUs'!$A$1:$D$14,3,0)</f>
        <v>U</v>
      </c>
      <c r="E7486" s="50">
        <f>SUM(C7460:C7465)</f>
        <v>1.25</v>
      </c>
      <c r="F7486" s="51">
        <f>VLOOKUP(A7486,'Componentes APUs'!$A$1:$D$14,4,0)</f>
        <v>2525.2525252525252</v>
      </c>
      <c r="G7486" s="51">
        <f>ROUNDUP(F7486*(E7486/21)/E7450,0)</f>
        <v>3</v>
      </c>
    </row>
    <row r="7487" spans="1:9" x14ac:dyDescent="0.25">
      <c r="A7487" s="69" t="s">
        <v>81</v>
      </c>
      <c r="B7487" s="72" t="str">
        <f>VLOOKUP(A7487,'Componentes APUs'!$A$1:$D$14,2,0)</f>
        <v>Guantes Protectores  - ingeniero reforzados</v>
      </c>
      <c r="C7487" s="73"/>
      <c r="D7487" s="50" t="str">
        <f>VLOOKUP(A7487,'Componentes APUs'!$A$1:$D$14,3,0)</f>
        <v>Par</v>
      </c>
      <c r="E7487" s="50">
        <f>C7462+C7463+C7465</f>
        <v>1.25</v>
      </c>
      <c r="F7487" s="51">
        <f>VLOOKUP(A7487,'Componentes APUs'!$A$1:$D$14,4,0)</f>
        <v>2525.2525252525252</v>
      </c>
      <c r="G7487" s="51">
        <f>ROUNDUP(F7487*(E7487/21)/E7450,0)</f>
        <v>3</v>
      </c>
    </row>
    <row r="7488" spans="1:9" x14ac:dyDescent="0.25">
      <c r="A7488" s="50" t="s">
        <v>83</v>
      </c>
      <c r="B7488" s="72" t="str">
        <f>VLOOKUP(A7488,'Componentes APUs'!$A$1:$D$14,2,0)</f>
        <v>Impermeable (pantalon camisa)</v>
      </c>
      <c r="C7488" s="73"/>
      <c r="D7488" s="50" t="str">
        <f>VLOOKUP(A7488,'Componentes APUs'!$A$1:$D$14,3,0)</f>
        <v>U</v>
      </c>
      <c r="E7488" s="50">
        <f>SUM(C7460:C7465)</f>
        <v>1.25</v>
      </c>
      <c r="F7488" s="51">
        <f>VLOOKUP(A7488,'Componentes APUs'!$A$1:$D$14,4,0)</f>
        <v>3750</v>
      </c>
      <c r="G7488" s="51">
        <f>ROUNDUP(F7488*(E7488/21)/E7450,0)</f>
        <v>5</v>
      </c>
    </row>
    <row r="7489" spans="1:7" x14ac:dyDescent="0.25">
      <c r="A7489" s="69" t="s">
        <v>85</v>
      </c>
      <c r="B7489" s="72" t="str">
        <f>VLOOKUP(A7489,'Componentes APUs'!$A$1:$D$14,2,0)</f>
        <v>Jean Dielectrico</v>
      </c>
      <c r="C7489" s="73"/>
      <c r="D7489" s="50" t="str">
        <f>VLOOKUP(A7489,'Componentes APUs'!$A$1:$D$14,3,0)</f>
        <v>U</v>
      </c>
      <c r="E7489" s="50">
        <f>SUM(C7460:C7465)</f>
        <v>1.25</v>
      </c>
      <c r="F7489" s="51">
        <f>VLOOKUP(A7489,'Componentes APUs'!$A$1:$D$14,4,0)</f>
        <v>7575.757575757576</v>
      </c>
      <c r="G7489" s="51">
        <f>ROUNDUP(F7489*(E7489/21)/E7450,0)</f>
        <v>9</v>
      </c>
    </row>
    <row r="7490" spans="1:7" x14ac:dyDescent="0.25">
      <c r="A7490" s="50" t="s">
        <v>87</v>
      </c>
      <c r="B7490" s="72" t="str">
        <f>VLOOKUP(A7490,'Componentes APUs'!$A$1:$D$14,2,0)</f>
        <v>Casco dielectrico Tipo 2 Clase E con barboquejo</v>
      </c>
      <c r="C7490" s="73"/>
      <c r="D7490" s="50" t="str">
        <f>VLOOKUP(A7490,'Componentes APUs'!$A$1:$D$14,3,0)</f>
        <v>U</v>
      </c>
      <c r="E7490" s="53">
        <f>IF(A7462="MO-3",C7462,0)</f>
        <v>0</v>
      </c>
      <c r="F7490" s="51">
        <f>VLOOKUP(A7490,'Componentes APUs'!$A$1:$D$14,4,0)</f>
        <v>7500</v>
      </c>
      <c r="G7490" s="51">
        <f>ROUNDUP(F7490*(E7490/21)/E7450,0)</f>
        <v>0</v>
      </c>
    </row>
    <row r="7491" spans="1:7" x14ac:dyDescent="0.25">
      <c r="A7491" s="69" t="s">
        <v>89</v>
      </c>
      <c r="B7491" s="72" t="str">
        <f>VLOOKUP(A7491,'Componentes APUs'!$A$1:$D$14,2,0)</f>
        <v>Kit de rescate para trabajo en alturas</v>
      </c>
      <c r="C7491" s="73"/>
      <c r="D7491" s="50" t="str">
        <f>VLOOKUP(A7491,'Componentes APUs'!$A$1:$D$14,3,0)</f>
        <v>U</v>
      </c>
      <c r="E7491" s="50">
        <f>IF(AND(A7462="MO-3",C7462=2),1,0)</f>
        <v>0</v>
      </c>
      <c r="F7491" s="51">
        <f>VLOOKUP(A7491,'Componentes APUs'!$A$1:$D$14,4,0)</f>
        <v>37500</v>
      </c>
      <c r="G7491" s="51">
        <f>ROUNDUP(F7491*(E7491/21)/E7450,0)</f>
        <v>0</v>
      </c>
    </row>
    <row r="7492" spans="1:7" x14ac:dyDescent="0.25">
      <c r="A7492" s="50" t="s">
        <v>91</v>
      </c>
      <c r="B7492" s="72" t="str">
        <f>VLOOKUP(A7492,'Componentes APUs'!$A$1:$D$14,2,0)</f>
        <v>Equipo completo para trabajo en alturas con pretales (Arnes dielectrico, 1 mosqueton de seguridad, tie off dielectrico, eslinga de posicionamiento, juego de pretales)</v>
      </c>
      <c r="C7492" s="73"/>
      <c r="D7492" s="50" t="str">
        <f>VLOOKUP(A7492,'Componentes APUs'!$A$1:$D$14,3,0)</f>
        <v>U</v>
      </c>
      <c r="E7492" s="50">
        <f>IF(A7462="MO-3",C7462,0)</f>
        <v>0</v>
      </c>
      <c r="F7492" s="51">
        <f>VLOOKUP(A7492,'Componentes APUs'!$A$1:$D$14,4,0)</f>
        <v>26041.666666666668</v>
      </c>
      <c r="G7492" s="51">
        <f>ROUNDUP(F7492*(E7492/21)/E7450,0)</f>
        <v>0</v>
      </c>
    </row>
    <row r="7493" spans="1:7" x14ac:dyDescent="0.25">
      <c r="A7493" s="219" t="s">
        <v>95</v>
      </c>
      <c r="B7493" s="219"/>
      <c r="C7493" s="219"/>
      <c r="D7493" s="219"/>
      <c r="E7493" s="219"/>
      <c r="F7493" s="219"/>
      <c r="G7493" s="52">
        <f>SUM(G7480:G7492)</f>
        <v>63</v>
      </c>
    </row>
    <row r="7494" spans="1:7" x14ac:dyDescent="0.25">
      <c r="A7494" s="56"/>
      <c r="B7494" s="57"/>
      <c r="C7494" s="57"/>
      <c r="D7494" s="57"/>
      <c r="E7494" s="57"/>
      <c r="F7494" s="57"/>
      <c r="G7494" s="58"/>
    </row>
    <row r="7495" spans="1:7" x14ac:dyDescent="0.25">
      <c r="A7495" s="219" t="s">
        <v>96</v>
      </c>
      <c r="B7495" s="219"/>
      <c r="C7495" s="219"/>
      <c r="D7495" s="219"/>
      <c r="E7495" s="219"/>
      <c r="F7495" s="219"/>
      <c r="G7495" s="219"/>
    </row>
    <row r="7496" spans="1:7" x14ac:dyDescent="0.25">
      <c r="A7496" s="49" t="s">
        <v>35</v>
      </c>
      <c r="B7496" s="225" t="s">
        <v>36</v>
      </c>
      <c r="C7496" s="225"/>
      <c r="D7496" s="49" t="s">
        <v>37</v>
      </c>
      <c r="E7496" s="49" t="s">
        <v>38</v>
      </c>
      <c r="F7496" s="49" t="s">
        <v>39</v>
      </c>
      <c r="G7496" s="49" t="s">
        <v>40</v>
      </c>
    </row>
    <row r="7497" spans="1:7" x14ac:dyDescent="0.25">
      <c r="A7497" s="69" t="s">
        <v>97</v>
      </c>
      <c r="B7497" s="72" t="str">
        <f>VLOOKUP(A7497,'Componentes APUs'!$N$1:$Q$30,2,0)</f>
        <v>Camioneta</v>
      </c>
      <c r="C7497" s="73"/>
      <c r="D7497" s="70" t="str">
        <f>VLOOKUP(A7497,'Componentes APUs'!$N$1:$Q$30,3,0)</f>
        <v>U</v>
      </c>
      <c r="E7497" s="50">
        <v>0</v>
      </c>
      <c r="F7497" s="51">
        <f>VLOOKUP(A7497,'Componentes APUs'!$N$1:$Q$30,4,0)</f>
        <v>5500000</v>
      </c>
      <c r="G7497" s="51">
        <f>IFERROR(ROUNDUP(F7497*(E7497/21)/E7450,0),"-")</f>
        <v>0</v>
      </c>
    </row>
    <row r="7498" spans="1:7" x14ac:dyDescent="0.25">
      <c r="A7498" s="50" t="s">
        <v>321</v>
      </c>
      <c r="B7498" s="72" t="str">
        <f>VLOOKUP(A7498,'Componentes APUs'!$N$1:$Q$30,2,0)</f>
        <v>Grúa Hidráulica</v>
      </c>
      <c r="C7498" s="73"/>
      <c r="D7498" s="70" t="str">
        <f>VLOOKUP(A7498,'Componentes APUs'!$N$1:$Q$30,3,0)</f>
        <v>U</v>
      </c>
      <c r="E7498" s="50">
        <v>0</v>
      </c>
      <c r="F7498" s="51">
        <f>VLOOKUP(A7498,'Componentes APUs'!$N$1:$Q$30,4,0)</f>
        <v>21000000</v>
      </c>
      <c r="G7498" s="51">
        <f>IFERROR(ROUNDUP(F7498*(E7498/21)/E7450,0),"-")</f>
        <v>0</v>
      </c>
    </row>
    <row r="7499" spans="1:7" x14ac:dyDescent="0.25">
      <c r="A7499" s="69" t="s">
        <v>1379</v>
      </c>
      <c r="B7499" s="72" t="str">
        <f>VLOOKUP(A7499,'Componentes APUs'!$N$1:$Q$30,2,0)</f>
        <v>Dumper de descarga Frontal 2T</v>
      </c>
      <c r="C7499" s="73"/>
      <c r="D7499" s="70" t="str">
        <f>VLOOKUP(A7499,'Componentes APUs'!$N$1:$Q$30,3,0)</f>
        <v>U</v>
      </c>
      <c r="E7499" s="50">
        <v>0</v>
      </c>
      <c r="F7499" s="51">
        <f>VLOOKUP(A7499,'Componentes APUs'!$N$1:$Q$30,4,0)</f>
        <v>4438716.24</v>
      </c>
      <c r="G7499" s="51">
        <f>IFERROR(ROUNDUP(F7499*(E7499/21)/E7450,0),"-")</f>
        <v>0</v>
      </c>
    </row>
    <row r="7500" spans="1:7" x14ac:dyDescent="0.25">
      <c r="A7500" s="50" t="s">
        <v>323</v>
      </c>
      <c r="B7500" s="72" t="str">
        <f>VLOOKUP(A7500,'Componentes APUs'!$N$1:$Q$30,2,0)</f>
        <v>Volqueta</v>
      </c>
      <c r="C7500" s="73"/>
      <c r="D7500" s="70" t="str">
        <f>VLOOKUP(A7500,'Componentes APUs'!$N$1:$Q$30,3,0)</f>
        <v>U</v>
      </c>
      <c r="E7500" s="50">
        <v>0</v>
      </c>
      <c r="F7500" s="51">
        <f>VLOOKUP(A7500,'Componentes APUs'!$N$1:$Q$30,4,0)</f>
        <v>14828184</v>
      </c>
      <c r="G7500" s="51">
        <f>IFERROR(ROUNDUP(F7500*(E7500/21)/E7450,0),"-")</f>
        <v>0</v>
      </c>
    </row>
    <row r="7501" spans="1:7" x14ac:dyDescent="0.25">
      <c r="A7501" s="69" t="s">
        <v>324</v>
      </c>
      <c r="B7501" s="72" t="str">
        <f>VLOOKUP(A7501,'Componentes APUs'!$N$1:$Q$30,2,0)</f>
        <v>Retroexcavadora</v>
      </c>
      <c r="C7501" s="73"/>
      <c r="D7501" s="70" t="str">
        <f>VLOOKUP(A7501,'Componentes APUs'!$N$1:$Q$30,3,0)</f>
        <v>U</v>
      </c>
      <c r="E7501" s="50">
        <v>0</v>
      </c>
      <c r="F7501" s="51">
        <f>VLOOKUP(A7501,'Componentes APUs'!$N$1:$Q$30,4,0)</f>
        <v>46030656</v>
      </c>
      <c r="G7501" s="51">
        <f>IFERROR(ROUNDUP(F7501*(E7501/21)/E7450,0),"-")</f>
        <v>0</v>
      </c>
    </row>
    <row r="7502" spans="1:7" x14ac:dyDescent="0.25">
      <c r="A7502" s="219" t="s">
        <v>99</v>
      </c>
      <c r="B7502" s="219"/>
      <c r="C7502" s="219"/>
      <c r="D7502" s="219"/>
      <c r="E7502" s="219"/>
      <c r="F7502" s="219"/>
      <c r="G7502" s="52">
        <f>SUM(G7497:G7501)</f>
        <v>0</v>
      </c>
    </row>
    <row r="7503" spans="1:7" x14ac:dyDescent="0.25">
      <c r="A7503" s="56"/>
      <c r="B7503" s="57"/>
      <c r="C7503" s="57"/>
      <c r="D7503" s="57"/>
      <c r="E7503" s="57"/>
      <c r="F7503" s="57"/>
      <c r="G7503" s="58"/>
    </row>
    <row r="7504" spans="1:7" x14ac:dyDescent="0.25">
      <c r="A7504" s="219" t="s">
        <v>100</v>
      </c>
      <c r="B7504" s="219"/>
      <c r="C7504" s="219"/>
      <c r="D7504" s="219"/>
      <c r="E7504" s="219"/>
      <c r="F7504" s="219"/>
      <c r="G7504" s="52">
        <f>G7502+G7493+G7476+G7466+G7456</f>
        <v>44911</v>
      </c>
    </row>
    <row r="7505" spans="1:8" x14ac:dyDescent="0.25">
      <c r="A7505" s="59"/>
      <c r="B7505" s="60"/>
      <c r="C7505" s="60"/>
      <c r="D7505" s="60"/>
      <c r="E7505" s="57"/>
      <c r="F7505" s="57"/>
      <c r="G7505" s="58"/>
    </row>
    <row r="7506" spans="1:8" x14ac:dyDescent="0.25">
      <c r="A7506" s="64"/>
      <c r="D7506" s="55"/>
      <c r="E7506" s="49" t="s">
        <v>25</v>
      </c>
      <c r="F7506" s="54">
        <v>0.15</v>
      </c>
      <c r="G7506" s="51">
        <f>G7504*F7506</f>
        <v>6736.65</v>
      </c>
    </row>
    <row r="7507" spans="1:8" x14ac:dyDescent="0.25">
      <c r="A7507" s="64"/>
      <c r="D7507" s="55"/>
      <c r="E7507" s="49" t="s">
        <v>26</v>
      </c>
      <c r="F7507" s="54">
        <v>0.05</v>
      </c>
      <c r="G7507" s="51">
        <f>G7504*F7507</f>
        <v>2245.5500000000002</v>
      </c>
    </row>
    <row r="7508" spans="1:8" x14ac:dyDescent="0.25">
      <c r="A7508" s="61"/>
      <c r="B7508" s="65"/>
      <c r="C7508" s="65"/>
      <c r="D7508" s="62"/>
      <c r="E7508" s="49" t="s">
        <v>27</v>
      </c>
      <c r="F7508" s="54">
        <v>0.05</v>
      </c>
      <c r="G7508" s="51">
        <f>G7504*F7508</f>
        <v>2245.5500000000002</v>
      </c>
    </row>
    <row r="7509" spans="1:8" x14ac:dyDescent="0.25">
      <c r="A7509" s="61"/>
      <c r="B7509" s="62"/>
      <c r="C7509" s="62"/>
      <c r="D7509" s="62"/>
      <c r="E7509" s="62"/>
      <c r="F7509" s="62"/>
      <c r="G7509" s="63"/>
    </row>
    <row r="7510" spans="1:8" x14ac:dyDescent="0.25">
      <c r="A7510" s="219" t="s">
        <v>101</v>
      </c>
      <c r="B7510" s="219"/>
      <c r="C7510" s="219"/>
      <c r="D7510" s="219"/>
      <c r="E7510" s="219"/>
      <c r="F7510" s="219"/>
      <c r="G7510" s="52">
        <f>G7504+G7506+G7507+G7508</f>
        <v>56138.750000000007</v>
      </c>
    </row>
    <row r="7511" spans="1:8" x14ac:dyDescent="0.25">
      <c r="A7511" s="59"/>
      <c r="B7511" s="60"/>
      <c r="C7511" s="60"/>
      <c r="D7511" s="60"/>
      <c r="E7511" s="57"/>
      <c r="F7511" s="57"/>
      <c r="G7511" s="58"/>
    </row>
    <row r="7512" spans="1:8" x14ac:dyDescent="0.25">
      <c r="A7512" s="64"/>
      <c r="D7512" s="55"/>
      <c r="E7512" s="49" t="s">
        <v>102</v>
      </c>
      <c r="F7512" s="49" t="s">
        <v>103</v>
      </c>
      <c r="G7512" s="51">
        <f>G7508*19%</f>
        <v>426.65450000000004</v>
      </c>
    </row>
    <row r="7513" spans="1:8" x14ac:dyDescent="0.25">
      <c r="A7513" s="61"/>
      <c r="B7513" s="62"/>
      <c r="C7513" s="62"/>
      <c r="D7513" s="62"/>
      <c r="E7513" s="57"/>
      <c r="F7513" s="57"/>
      <c r="G7513" s="58"/>
    </row>
    <row r="7514" spans="1:8" x14ac:dyDescent="0.25">
      <c r="A7514" s="219" t="s">
        <v>104</v>
      </c>
      <c r="B7514" s="219"/>
      <c r="C7514" s="219"/>
      <c r="D7514" s="219"/>
      <c r="E7514" s="219"/>
      <c r="F7514" s="219"/>
      <c r="G7514" s="52">
        <f>G7512+G7510</f>
        <v>56565.404500000004</v>
      </c>
    </row>
    <row r="7516" spans="1:8" x14ac:dyDescent="0.25">
      <c r="A7516" s="74" t="s">
        <v>29</v>
      </c>
      <c r="B7516" s="226" t="s">
        <v>30</v>
      </c>
      <c r="C7516" s="226"/>
      <c r="D7516" s="74" t="s">
        <v>31</v>
      </c>
      <c r="E7516" s="74" t="s">
        <v>32</v>
      </c>
      <c r="F7516" s="74" t="s">
        <v>189</v>
      </c>
      <c r="G7516" s="74" t="s">
        <v>33</v>
      </c>
      <c r="H7516" s="105"/>
    </row>
    <row r="7517" spans="1:8" x14ac:dyDescent="0.25">
      <c r="A7517" s="50" t="str">
        <f>Presupuesto!B140</f>
        <v>119_OC</v>
      </c>
      <c r="B7517" s="227" t="str">
        <f>Presupuesto!C140</f>
        <v xml:space="preserve">PLANTILLA DE PISO EN MORTERO 1:4 E = 0.05 MTS </v>
      </c>
      <c r="C7517" s="228"/>
      <c r="D7517" s="50" t="s">
        <v>113</v>
      </c>
      <c r="E7517" s="107">
        <v>55</v>
      </c>
      <c r="F7517" s="50"/>
      <c r="G7517" s="51">
        <f>G7581</f>
        <v>5617.37</v>
      </c>
      <c r="H7517" s="45"/>
    </row>
    <row r="7518" spans="1:8" x14ac:dyDescent="0.25">
      <c r="A7518" s="219" t="s">
        <v>34</v>
      </c>
      <c r="B7518" s="219"/>
      <c r="C7518" s="219"/>
      <c r="D7518" s="219"/>
      <c r="E7518" s="219"/>
      <c r="F7518" s="219"/>
      <c r="G7518" s="219"/>
    </row>
    <row r="7519" spans="1:8" x14ac:dyDescent="0.25">
      <c r="A7519" s="49" t="s">
        <v>35</v>
      </c>
      <c r="B7519" s="219" t="s">
        <v>36</v>
      </c>
      <c r="C7519" s="219"/>
      <c r="D7519" s="49" t="s">
        <v>37</v>
      </c>
      <c r="E7519" s="49" t="s">
        <v>38</v>
      </c>
      <c r="F7519" s="49" t="s">
        <v>39</v>
      </c>
      <c r="G7519" s="49" t="s">
        <v>40</v>
      </c>
    </row>
    <row r="7520" spans="1:8" x14ac:dyDescent="0.25">
      <c r="A7520" s="50" t="str">
        <f>Material!A139</f>
        <v>MA-138</v>
      </c>
      <c r="B7520" s="72" t="str">
        <f>IFERROR(VLOOKUP(A7520,Material!$A:$H,2,0),"-")</f>
        <v>MORTERO DE PEGA 1:4</v>
      </c>
      <c r="C7520" s="76"/>
      <c r="D7520" s="50" t="str">
        <f>IFERROR(VLOOKUP(A7520,Material!$A:$H,4,0),"-")</f>
        <v>M3</v>
      </c>
      <c r="E7520" s="96">
        <v>0.05</v>
      </c>
      <c r="F7520" s="51">
        <f>IFERROR(VLOOKUP(A7520,Material!$A:$H,3,0),"-")</f>
        <v>20800</v>
      </c>
      <c r="G7520" s="51">
        <f>IFERROR(ROUNDUP(F7520*E7520,0),"-")</f>
        <v>1040</v>
      </c>
      <c r="H7520" s="106"/>
    </row>
    <row r="7521" spans="1:9" x14ac:dyDescent="0.25">
      <c r="A7521" s="50"/>
      <c r="B7521" s="72" t="str">
        <f>IFERROR(VLOOKUP(A7521,Material!$A:$H,2,0),"-")</f>
        <v>-</v>
      </c>
      <c r="C7521" s="76"/>
      <c r="D7521" s="50" t="str">
        <f>IFERROR(VLOOKUP(A7521,Material!$A:$H,4,0),"-")</f>
        <v>-</v>
      </c>
      <c r="E7521" s="108"/>
      <c r="F7521" s="51" t="str">
        <f>IFERROR(VLOOKUP(A7521,Material!$A:$H,3,0),"-")</f>
        <v>-</v>
      </c>
      <c r="G7521" s="51" t="str">
        <f>IFERROR(ROUNDUP(F7521*E7521,0),"-")</f>
        <v>-</v>
      </c>
      <c r="H7521" s="106"/>
    </row>
    <row r="7522" spans="1:9" x14ac:dyDescent="0.25">
      <c r="A7522" s="50"/>
      <c r="B7522" s="72" t="str">
        <f>IFERROR(VLOOKUP(A7522,Material!$A:$H,2,0),"-")</f>
        <v>-</v>
      </c>
      <c r="C7522" s="76"/>
      <c r="D7522" s="50" t="str">
        <f>IFERROR(VLOOKUP(A7522,Material!$A:$H,4,0),"-")</f>
        <v>-</v>
      </c>
      <c r="E7522" s="107"/>
      <c r="F7522" s="51" t="str">
        <f>IFERROR(VLOOKUP(A7522,Material!$A:$H,3,0),"-")</f>
        <v>-</v>
      </c>
      <c r="G7522" s="51" t="str">
        <f>IFERROR(ROUNDUP(F7522*E7522,0),"-")</f>
        <v>-</v>
      </c>
      <c r="H7522" s="106"/>
    </row>
    <row r="7523" spans="1:9" x14ac:dyDescent="0.25">
      <c r="A7523" s="219" t="s">
        <v>41</v>
      </c>
      <c r="B7523" s="219"/>
      <c r="C7523" s="219"/>
      <c r="D7523" s="219"/>
      <c r="E7523" s="219"/>
      <c r="F7523" s="219"/>
      <c r="G7523" s="52">
        <f>SUM(G7520:G7522)</f>
        <v>1040</v>
      </c>
      <c r="I7523" s="104"/>
    </row>
    <row r="7524" spans="1:9" x14ac:dyDescent="0.25">
      <c r="A7524" s="56"/>
      <c r="B7524" s="57"/>
      <c r="C7524" s="57"/>
      <c r="D7524" s="57"/>
      <c r="E7524" s="57"/>
      <c r="F7524" s="57"/>
      <c r="G7524" s="58"/>
    </row>
    <row r="7525" spans="1:9" x14ac:dyDescent="0.25">
      <c r="A7525" s="219" t="s">
        <v>42</v>
      </c>
      <c r="B7525" s="219"/>
      <c r="C7525" s="219"/>
      <c r="D7525" s="219"/>
      <c r="E7525" s="219"/>
      <c r="F7525" s="219"/>
      <c r="G7525" s="219"/>
    </row>
    <row r="7526" spans="1:9" x14ac:dyDescent="0.25">
      <c r="A7526" s="49" t="s">
        <v>35</v>
      </c>
      <c r="B7526" s="49" t="s">
        <v>36</v>
      </c>
      <c r="C7526" s="49" t="s">
        <v>38</v>
      </c>
      <c r="D7526" s="49" t="s">
        <v>43</v>
      </c>
      <c r="E7526" s="49" t="s">
        <v>44</v>
      </c>
      <c r="F7526" s="49" t="s">
        <v>45</v>
      </c>
      <c r="G7526" s="49" t="s">
        <v>40</v>
      </c>
    </row>
    <row r="7527" spans="1:9" x14ac:dyDescent="0.25">
      <c r="A7527" s="50" t="s">
        <v>319</v>
      </c>
      <c r="B7527" s="68" t="str">
        <f>VLOOKUP(A7527,'Componentes APUs'!$H$1:$L$25,2,0)</f>
        <v>Ingeniero Residente de Obra</v>
      </c>
      <c r="C7527" s="93">
        <v>0</v>
      </c>
      <c r="D7527" s="50">
        <f>VLOOKUP(A7527,'Componentes APUs'!$H$1:$L$25,3,0)</f>
        <v>4</v>
      </c>
      <c r="E7527" s="51">
        <f>VLOOKUP(A7527,'Componentes APUs'!$H$1:$L$25,4,0)</f>
        <v>271142.85714285716</v>
      </c>
      <c r="F7527" s="51">
        <f>VLOOKUP(A7527,'Componentes APUs'!$H$1:$L$25,5,0)</f>
        <v>162685.71428571429</v>
      </c>
      <c r="G7527" s="51">
        <f>ROUNDUP((E7527+F7527)*C7527/E7517,0)</f>
        <v>0</v>
      </c>
      <c r="H7527" s="66"/>
    </row>
    <row r="7528" spans="1:9" x14ac:dyDescent="0.25">
      <c r="A7528" s="50" t="s">
        <v>320</v>
      </c>
      <c r="B7528" s="68" t="str">
        <f>VLOOKUP(A7528,'Componentes APUs'!$H$1:$L$25,2,0)</f>
        <v>Tecnico Supervisor</v>
      </c>
      <c r="C7528" s="93">
        <v>0</v>
      </c>
      <c r="D7528" s="50">
        <f>VLOOKUP(A7528,'Componentes APUs'!$H$1:$L$25,3,0)</f>
        <v>2.2999999999999998</v>
      </c>
      <c r="E7528" s="51">
        <f>VLOOKUP(A7528,'Componentes APUs'!$H$1:$L$25,4,0)</f>
        <v>155907.14285714284</v>
      </c>
      <c r="F7528" s="51">
        <f>VLOOKUP(A7528,'Componentes APUs'!$H$1:$L$25,5,0)</f>
        <v>93544.285714285696</v>
      </c>
      <c r="G7528" s="51">
        <f>ROUNDUP((E7528+F7528)*C7528/E7517,0)</f>
        <v>0</v>
      </c>
    </row>
    <row r="7529" spans="1:9" x14ac:dyDescent="0.25">
      <c r="A7529" s="50" t="s">
        <v>54</v>
      </c>
      <c r="B7529" s="68" t="str">
        <f>VLOOKUP(A7529,'Componentes APUs'!$H$1:$L$25,2,0)</f>
        <v>Maestro de obra civil</v>
      </c>
      <c r="C7529" s="93">
        <v>0</v>
      </c>
      <c r="D7529" s="50">
        <f>VLOOKUP(A7529,'Componentes APUs'!$H$1:$L$25,3,0)</f>
        <v>2.5</v>
      </c>
      <c r="E7529" s="51">
        <f>VLOOKUP(A7529,'Componentes APUs'!$H$1:$L$25,4,0)</f>
        <v>169464.28571428571</v>
      </c>
      <c r="F7529" s="51">
        <f>VLOOKUP(A7529,'Componentes APUs'!$H$1:$L$25,5,0)</f>
        <v>101678.57142857142</v>
      </c>
      <c r="G7529" s="51">
        <f>ROUNDUP((E7529+F7529)*C7529/E7517,0)</f>
        <v>0</v>
      </c>
    </row>
    <row r="7530" spans="1:9" x14ac:dyDescent="0.25">
      <c r="A7530" s="50" t="s">
        <v>1110</v>
      </c>
      <c r="B7530" s="68" t="str">
        <f>VLOOKUP(A7530,'Componentes APUs'!$H$1:$L$25,2,0)</f>
        <v>Oficial de Obra Civil</v>
      </c>
      <c r="C7530" s="93">
        <v>0.25</v>
      </c>
      <c r="D7530" s="50">
        <f>VLOOKUP(A7530,'Componentes APUs'!$H$1:$L$25,3,0)</f>
        <v>1.5</v>
      </c>
      <c r="E7530" s="51">
        <f>VLOOKUP(A7530,'Componentes APUs'!$H$1:$L$25,4,0)</f>
        <v>115964.28571428571</v>
      </c>
      <c r="F7530" s="51">
        <f>VLOOKUP(A7530,'Componentes APUs'!$H$1:$L$25,5,0)</f>
        <v>69578.57142857142</v>
      </c>
      <c r="G7530" s="51">
        <f>ROUNDUP((E7530+F7530)*C7530/E7517,0)</f>
        <v>844</v>
      </c>
    </row>
    <row r="7531" spans="1:9" x14ac:dyDescent="0.25">
      <c r="A7531" s="50" t="s">
        <v>50</v>
      </c>
      <c r="B7531" s="68" t="str">
        <f>VLOOKUP(A7531,'Componentes APUs'!$H$1:$L$25,2,0)</f>
        <v>Profesional en SST</v>
      </c>
      <c r="C7531" s="93">
        <v>0</v>
      </c>
      <c r="D7531" s="50">
        <f>VLOOKUP(A7531,'Componentes APUs'!$H$1:$L$25,3,0)</f>
        <v>2.5</v>
      </c>
      <c r="E7531" s="51">
        <f>VLOOKUP(A7531,'Componentes APUs'!$H$1:$L$25,4,0)</f>
        <v>169464.28571428571</v>
      </c>
      <c r="F7531" s="51">
        <f>VLOOKUP(A7531,'Componentes APUs'!$H$1:$L$25,5,0)</f>
        <v>101678.57142857142</v>
      </c>
      <c r="G7531" s="51">
        <f>ROUNDUP((E7531+F7531)*C7531/E7517,0)</f>
        <v>0</v>
      </c>
    </row>
    <row r="7532" spans="1:9" x14ac:dyDescent="0.25">
      <c r="A7532" s="50" t="s">
        <v>1109</v>
      </c>
      <c r="B7532" s="68" t="str">
        <f>VLOOKUP(A7532,'Componentes APUs'!$H$1:$L$25,2,0)</f>
        <v>Ayudante de Obra Civil</v>
      </c>
      <c r="C7532" s="93">
        <v>1</v>
      </c>
      <c r="D7532" s="50">
        <f>VLOOKUP(A7532,'Componentes APUs'!$H$1:$L$25,3,0)</f>
        <v>1</v>
      </c>
      <c r="E7532" s="51">
        <f>VLOOKUP(A7532,'Componentes APUs'!$H$1:$L$25,4,0)</f>
        <v>77309.523809523816</v>
      </c>
      <c r="F7532" s="51">
        <f>VLOOKUP(A7532,'Componentes APUs'!$H$1:$L$25,5,0)</f>
        <v>46385.71428571429</v>
      </c>
      <c r="G7532" s="51">
        <f>ROUNDUP((E7532+F7532)*C7532/E7517,0)</f>
        <v>2250</v>
      </c>
    </row>
    <row r="7533" spans="1:9" x14ac:dyDescent="0.25">
      <c r="A7533" s="219" t="s">
        <v>56</v>
      </c>
      <c r="B7533" s="219"/>
      <c r="C7533" s="219"/>
      <c r="D7533" s="219"/>
      <c r="E7533" s="219"/>
      <c r="F7533" s="219"/>
      <c r="G7533" s="52">
        <f>SUM(G7527:G7532)</f>
        <v>3094</v>
      </c>
    </row>
    <row r="7534" spans="1:9" x14ac:dyDescent="0.25">
      <c r="A7534" s="56"/>
      <c r="B7534" s="57"/>
      <c r="C7534" s="57"/>
      <c r="D7534" s="57"/>
      <c r="E7534" s="57"/>
      <c r="F7534" s="57"/>
      <c r="G7534" s="58"/>
    </row>
    <row r="7535" spans="1:9" x14ac:dyDescent="0.25">
      <c r="A7535" s="219" t="s">
        <v>57</v>
      </c>
      <c r="B7535" s="219"/>
      <c r="C7535" s="219"/>
      <c r="D7535" s="219"/>
      <c r="E7535" s="219"/>
      <c r="F7535" s="219"/>
      <c r="G7535" s="219"/>
    </row>
    <row r="7536" spans="1:9" x14ac:dyDescent="0.25">
      <c r="A7536" s="49" t="s">
        <v>35</v>
      </c>
      <c r="B7536" s="219" t="s">
        <v>36</v>
      </c>
      <c r="C7536" s="219"/>
      <c r="D7536" s="49" t="s">
        <v>37</v>
      </c>
      <c r="E7536" s="49" t="s">
        <v>38</v>
      </c>
      <c r="F7536" s="49" t="s">
        <v>39</v>
      </c>
      <c r="G7536" s="49" t="s">
        <v>40</v>
      </c>
    </row>
    <row r="7537" spans="1:9" x14ac:dyDescent="0.25">
      <c r="A7537" s="50" t="s">
        <v>326</v>
      </c>
      <c r="B7537" s="220" t="str">
        <f>VLOOKUP(A7537,'Componentes APUs'!$S$1:$V$10,2,0)</f>
        <v>Juego Llaves</v>
      </c>
      <c r="C7537" s="220"/>
      <c r="D7537" s="50" t="s">
        <v>18</v>
      </c>
      <c r="E7537" s="50">
        <v>0</v>
      </c>
      <c r="F7537" s="51">
        <f>VLOOKUP(A7537,'Componentes APUs'!$S$1:$V$10,4,0)</f>
        <v>9167</v>
      </c>
      <c r="G7537" s="51">
        <f>ROUNDUP(F7537*((E7537/21)/E7517),0)</f>
        <v>0</v>
      </c>
      <c r="I7537" s="91"/>
    </row>
    <row r="7538" spans="1:9" x14ac:dyDescent="0.25">
      <c r="A7538" s="50" t="s">
        <v>58</v>
      </c>
      <c r="B7538" s="220" t="str">
        <f>VLOOKUP(A7538,'Componentes APUs'!$S$1:$V$10,2,0)</f>
        <v>Manila de servicio</v>
      </c>
      <c r="C7538" s="220"/>
      <c r="D7538" s="50" t="s">
        <v>18</v>
      </c>
      <c r="E7538" s="50">
        <v>0</v>
      </c>
      <c r="F7538" s="51">
        <f>VLOOKUP(A7538,'Componentes APUs'!$S$1:$V$10,4,0)</f>
        <v>2333</v>
      </c>
      <c r="G7538" s="51">
        <f>ROUNDUP(F7538*((E7538/21)/E7517),0)</f>
        <v>0</v>
      </c>
    </row>
    <row r="7539" spans="1:9" x14ac:dyDescent="0.25">
      <c r="A7539" s="50" t="s">
        <v>327</v>
      </c>
      <c r="B7539" s="220" t="str">
        <f>VLOOKUP(A7539,'Componentes APUs'!$S$1:$V$10,2,0)</f>
        <v>Tula portaherramientas</v>
      </c>
      <c r="C7539" s="220"/>
      <c r="D7539" s="50" t="s">
        <v>18</v>
      </c>
      <c r="E7539" s="50">
        <v>0</v>
      </c>
      <c r="F7539" s="51">
        <f>VLOOKUP(A7539,'Componentes APUs'!$S$1:$V$10,4,0)</f>
        <v>1250</v>
      </c>
      <c r="G7539" s="51">
        <f>ROUNDUP(F7539*((E7539/21)/E7517),0)</f>
        <v>0</v>
      </c>
    </row>
    <row r="7540" spans="1:9" x14ac:dyDescent="0.25">
      <c r="A7540" s="50" t="s">
        <v>60</v>
      </c>
      <c r="B7540" s="220" t="str">
        <f>VLOOKUP(A7540,'Componentes APUs'!$S$1:$V$10,2,0)</f>
        <v>Agarradoras</v>
      </c>
      <c r="C7540" s="220"/>
      <c r="D7540" s="50" t="s">
        <v>18</v>
      </c>
      <c r="E7540" s="50">
        <v>0</v>
      </c>
      <c r="F7540" s="51">
        <f>VLOOKUP(A7540,'Componentes APUs'!$S$1:$V$10,4,0)</f>
        <v>125000</v>
      </c>
      <c r="G7540" s="51">
        <f>ROUNDUP(F7540*((E7540/21)/E7517),0)</f>
        <v>0</v>
      </c>
    </row>
    <row r="7541" spans="1:9" x14ac:dyDescent="0.25">
      <c r="A7541" s="50" t="s">
        <v>62</v>
      </c>
      <c r="B7541" s="220" t="str">
        <f>VLOOKUP(A7541,'Componentes APUs'!$S$1:$V$10,2,0)</f>
        <v>Templadoras</v>
      </c>
      <c r="C7541" s="220"/>
      <c r="D7541" s="50" t="s">
        <v>18</v>
      </c>
      <c r="E7541" s="50">
        <v>0</v>
      </c>
      <c r="F7541" s="51">
        <f>VLOOKUP(A7541,'Componentes APUs'!$S$1:$V$10,4,0)</f>
        <v>250000</v>
      </c>
      <c r="G7541" s="51">
        <f>ROUNDUP(F7541*((E7541/21)/E7517),0)</f>
        <v>0</v>
      </c>
    </row>
    <row r="7542" spans="1:9" x14ac:dyDescent="0.25">
      <c r="A7542" s="50" t="s">
        <v>328</v>
      </c>
      <c r="B7542" s="220" t="str">
        <f>VLOOKUP(A7542,'Componentes APUs'!$S$1:$V$10,2,0)</f>
        <v>Herramienta Menor</v>
      </c>
      <c r="C7542" s="220"/>
      <c r="D7542" s="50" t="s">
        <v>18</v>
      </c>
      <c r="E7542" s="50">
        <v>4</v>
      </c>
      <c r="F7542" s="51">
        <f>VLOOKUP(A7542,'Componentes APUs'!$S$1:$V$10,4,0)</f>
        <v>75758</v>
      </c>
      <c r="G7542" s="51">
        <f>ROUNDUP(F7542*((E7542/21)/E7517),0)</f>
        <v>263</v>
      </c>
    </row>
    <row r="7543" spans="1:9" x14ac:dyDescent="0.25">
      <c r="A7543" s="219" t="s">
        <v>69</v>
      </c>
      <c r="B7543" s="219"/>
      <c r="C7543" s="219"/>
      <c r="D7543" s="219"/>
      <c r="E7543" s="219"/>
      <c r="F7543" s="219"/>
      <c r="G7543" s="52">
        <f>SUM(G7537:G7542)</f>
        <v>263</v>
      </c>
    </row>
    <row r="7544" spans="1:9" x14ac:dyDescent="0.25">
      <c r="A7544" s="56"/>
      <c r="B7544" s="57"/>
      <c r="C7544" s="57"/>
      <c r="D7544" s="57"/>
      <c r="E7544" s="57"/>
      <c r="F7544" s="57"/>
      <c r="G7544" s="58"/>
    </row>
    <row r="7545" spans="1:9" x14ac:dyDescent="0.25">
      <c r="A7545" s="219" t="s">
        <v>70</v>
      </c>
      <c r="B7545" s="219"/>
      <c r="C7545" s="219"/>
      <c r="D7545" s="219"/>
      <c r="E7545" s="219"/>
      <c r="F7545" s="219"/>
      <c r="G7545" s="219"/>
    </row>
    <row r="7546" spans="1:9" x14ac:dyDescent="0.25">
      <c r="A7546" s="49" t="s">
        <v>35</v>
      </c>
      <c r="B7546" s="219" t="s">
        <v>36</v>
      </c>
      <c r="C7546" s="219"/>
      <c r="D7546" s="49" t="s">
        <v>37</v>
      </c>
      <c r="E7546" s="49" t="s">
        <v>38</v>
      </c>
      <c r="F7546" s="49" t="s">
        <v>39</v>
      </c>
      <c r="G7546" s="49" t="s">
        <v>40</v>
      </c>
    </row>
    <row r="7547" spans="1:9" x14ac:dyDescent="0.25">
      <c r="A7547" s="50" t="s">
        <v>71</v>
      </c>
      <c r="B7547" s="71" t="str">
        <f>VLOOKUP(A7547,'Componentes APUs'!$A$1:$D$14,2,0)</f>
        <v>Camisa indigo sin partes metalicas</v>
      </c>
      <c r="C7547" s="71"/>
      <c r="D7547" s="50" t="str">
        <f>VLOOKUP(A7547,'Componentes APUs'!$A$1:$D$14,3,0)</f>
        <v>U</v>
      </c>
      <c r="E7547" s="50">
        <f>SUM(C7527:C7532)</f>
        <v>1.25</v>
      </c>
      <c r="F7547" s="51">
        <f>VLOOKUP(A7547,'Componentes APUs'!$A$1:$D$14,4,0)</f>
        <v>8585.8585858585866</v>
      </c>
      <c r="G7547" s="51">
        <f>ROUNDUP(F7547*(E7547/21)/E7517,0)</f>
        <v>10</v>
      </c>
      <c r="I7547" s="91"/>
    </row>
    <row r="7548" spans="1:9" x14ac:dyDescent="0.25">
      <c r="A7548" s="69" t="s">
        <v>73</v>
      </c>
      <c r="B7548" s="72" t="str">
        <f>VLOOKUP(A7548,'Componentes APUs'!$A$1:$D$14,2,0)</f>
        <v>Bota de seguridad dielectrica</v>
      </c>
      <c r="C7548" s="73"/>
      <c r="D7548" s="70" t="str">
        <f>VLOOKUP(A7548,'Componentes APUs'!$A$1:$D$14,3,0)</f>
        <v>Par</v>
      </c>
      <c r="E7548" s="50">
        <f>SUM(C7527:C7532)</f>
        <v>1.25</v>
      </c>
      <c r="F7548" s="51">
        <f>VLOOKUP(A7548,'Componentes APUs'!$A$1:$D$14,4,0)</f>
        <v>7500</v>
      </c>
      <c r="G7548" s="51">
        <f>ROUNDUP(F7548*(E7548/21)/E7517,0)</f>
        <v>9</v>
      </c>
    </row>
    <row r="7549" spans="1:9" x14ac:dyDescent="0.25">
      <c r="A7549" s="50" t="s">
        <v>76</v>
      </c>
      <c r="B7549" s="72" t="str">
        <f>VLOOKUP(A7549,'Componentes APUs'!$A$1:$D$14,2,0)</f>
        <v>Casco dielectrico Tipo 1 Clase E con barbuquejo</v>
      </c>
      <c r="C7549" s="73"/>
      <c r="D7549" s="50" t="str">
        <f>VLOOKUP(A7549,'Componentes APUs'!$A$1:$D$14,3,0)</f>
        <v>U</v>
      </c>
      <c r="E7549" s="50">
        <f>C7527+C7528+C7530+C7531+C7532+IF(A7529&lt;&gt;"MO-3",C7529,0)</f>
        <v>1.25</v>
      </c>
      <c r="F7549" s="51">
        <f>VLOOKUP(A7549,'Componentes APUs'!$A$1:$D$14,4,0)</f>
        <v>10101.010101010101</v>
      </c>
      <c r="G7549" s="51">
        <f>ROUNDUP(F7549*(E7549/21)/E7517,0)</f>
        <v>11</v>
      </c>
    </row>
    <row r="7550" spans="1:9" x14ac:dyDescent="0.25">
      <c r="A7550" s="69" t="s">
        <v>77</v>
      </c>
      <c r="B7550" s="72" t="str">
        <f>VLOOKUP(A7550,'Componentes APUs'!$A$1:$D$14,2,0)</f>
        <v>Correa plastica y antiflama</v>
      </c>
      <c r="C7550" s="73"/>
      <c r="D7550" s="50" t="str">
        <f>VLOOKUP(A7550,'Componentes APUs'!$A$1:$D$14,3,0)</f>
        <v>U</v>
      </c>
      <c r="E7550" s="50">
        <f>SUM(C7527:C7532)</f>
        <v>1.25</v>
      </c>
      <c r="F7550" s="51">
        <f>VLOOKUP(A7550,'Componentes APUs'!$A$1:$D$14,4,0)</f>
        <v>3787.878787878788</v>
      </c>
      <c r="G7550" s="51">
        <f>ROUNDUP(F7550*(E7550/21)/E7517,0)</f>
        <v>5</v>
      </c>
    </row>
    <row r="7551" spans="1:9" x14ac:dyDescent="0.25">
      <c r="A7551" s="50" t="s">
        <v>79</v>
      </c>
      <c r="B7551" s="72" t="str">
        <f>VLOOKUP(A7551,'Componentes APUs'!$A$1:$D$14,2,0)</f>
        <v>Gafas protectoras filtro UV</v>
      </c>
      <c r="C7551" s="73"/>
      <c r="D7551" s="50" t="str">
        <f>VLOOKUP(A7551,'Componentes APUs'!$A$1:$D$14,3,0)</f>
        <v>U</v>
      </c>
      <c r="E7551" s="50">
        <f>SUM(C7527:C7532)</f>
        <v>1.25</v>
      </c>
      <c r="F7551" s="51">
        <f>VLOOKUP(A7551,'Componentes APUs'!$A$1:$D$14,4,0)</f>
        <v>2777.7777777777778</v>
      </c>
      <c r="G7551" s="51">
        <f>ROUNDUP(F7551*(E7551/21)/E7517,0)</f>
        <v>4</v>
      </c>
    </row>
    <row r="7552" spans="1:9" x14ac:dyDescent="0.25">
      <c r="A7552" s="69" t="s">
        <v>402</v>
      </c>
      <c r="B7552" s="72" t="str">
        <f>VLOOKUP(A7552,'Componentes APUs'!$A$1:$D$14,2,0)</f>
        <v>Bota de seguridad PVC dielectrica</v>
      </c>
      <c r="C7552" s="73"/>
      <c r="D7552" s="50" t="str">
        <f>VLOOKUP(A7552,'Componentes APUs'!$A$1:$D$14,3,0)</f>
        <v>Par</v>
      </c>
      <c r="E7552" s="50">
        <f>SUM(C7527:C7532)</f>
        <v>1.25</v>
      </c>
      <c r="F7552" s="51">
        <f>VLOOKUP(A7552,'Componentes APUs'!$A$1:$D$14,4,0)</f>
        <v>2916.6666666666665</v>
      </c>
      <c r="G7552" s="51">
        <f>ROUNDUP(F7552*(E7552/21)/E7517,0)</f>
        <v>4</v>
      </c>
    </row>
    <row r="7553" spans="1:7" x14ac:dyDescent="0.25">
      <c r="A7553" s="50" t="s">
        <v>403</v>
      </c>
      <c r="B7553" s="72" t="str">
        <f>VLOOKUP(A7553,'Componentes APUs'!$A$1:$D$14,2,0)</f>
        <v>Capuchon</v>
      </c>
      <c r="C7553" s="73"/>
      <c r="D7553" s="50" t="str">
        <f>VLOOKUP(A7553,'Componentes APUs'!$A$1:$D$14,3,0)</f>
        <v>U</v>
      </c>
      <c r="E7553" s="50">
        <f>SUM(C7527:C7532)</f>
        <v>1.25</v>
      </c>
      <c r="F7553" s="51">
        <f>VLOOKUP(A7553,'Componentes APUs'!$A$1:$D$14,4,0)</f>
        <v>2525.2525252525252</v>
      </c>
      <c r="G7553" s="51">
        <f>ROUNDUP(F7553*(E7553/21)/E7517,0)</f>
        <v>3</v>
      </c>
    </row>
    <row r="7554" spans="1:7" x14ac:dyDescent="0.25">
      <c r="A7554" s="69" t="s">
        <v>81</v>
      </c>
      <c r="B7554" s="72" t="str">
        <f>VLOOKUP(A7554,'Componentes APUs'!$A$1:$D$14,2,0)</f>
        <v>Guantes Protectores  - ingeniero reforzados</v>
      </c>
      <c r="C7554" s="73"/>
      <c r="D7554" s="50" t="str">
        <f>VLOOKUP(A7554,'Componentes APUs'!$A$1:$D$14,3,0)</f>
        <v>Par</v>
      </c>
      <c r="E7554" s="50">
        <f>C7529+C7530+C7532</f>
        <v>1.25</v>
      </c>
      <c r="F7554" s="51">
        <f>VLOOKUP(A7554,'Componentes APUs'!$A$1:$D$14,4,0)</f>
        <v>2525.2525252525252</v>
      </c>
      <c r="G7554" s="51">
        <f>ROUNDUP(F7554*(E7554/21)/E7517,0)</f>
        <v>3</v>
      </c>
    </row>
    <row r="7555" spans="1:7" x14ac:dyDescent="0.25">
      <c r="A7555" s="50" t="s">
        <v>83</v>
      </c>
      <c r="B7555" s="72" t="str">
        <f>VLOOKUP(A7555,'Componentes APUs'!$A$1:$D$14,2,0)</f>
        <v>Impermeable (pantalon camisa)</v>
      </c>
      <c r="C7555" s="73"/>
      <c r="D7555" s="50" t="str">
        <f>VLOOKUP(A7555,'Componentes APUs'!$A$1:$D$14,3,0)</f>
        <v>U</v>
      </c>
      <c r="E7555" s="50">
        <f>SUM(C7527:C7532)</f>
        <v>1.25</v>
      </c>
      <c r="F7555" s="51">
        <f>VLOOKUP(A7555,'Componentes APUs'!$A$1:$D$14,4,0)</f>
        <v>3750</v>
      </c>
      <c r="G7555" s="51">
        <f>ROUNDUP(F7555*(E7555/21)/E7517,0)</f>
        <v>5</v>
      </c>
    </row>
    <row r="7556" spans="1:7" x14ac:dyDescent="0.25">
      <c r="A7556" s="69" t="s">
        <v>85</v>
      </c>
      <c r="B7556" s="72" t="str">
        <f>VLOOKUP(A7556,'Componentes APUs'!$A$1:$D$14,2,0)</f>
        <v>Jean Dielectrico</v>
      </c>
      <c r="C7556" s="73"/>
      <c r="D7556" s="50" t="str">
        <f>VLOOKUP(A7556,'Componentes APUs'!$A$1:$D$14,3,0)</f>
        <v>U</v>
      </c>
      <c r="E7556" s="50">
        <f>SUM(C7527:C7532)</f>
        <v>1.25</v>
      </c>
      <c r="F7556" s="51">
        <f>VLOOKUP(A7556,'Componentes APUs'!$A$1:$D$14,4,0)</f>
        <v>7575.757575757576</v>
      </c>
      <c r="G7556" s="51">
        <f>ROUNDUP(F7556*(E7556/21)/E7517,0)</f>
        <v>9</v>
      </c>
    </row>
    <row r="7557" spans="1:7" x14ac:dyDescent="0.25">
      <c r="A7557" s="50" t="s">
        <v>87</v>
      </c>
      <c r="B7557" s="72" t="str">
        <f>VLOOKUP(A7557,'Componentes APUs'!$A$1:$D$14,2,0)</f>
        <v>Casco dielectrico Tipo 2 Clase E con barboquejo</v>
      </c>
      <c r="C7557" s="73"/>
      <c r="D7557" s="50" t="str">
        <f>VLOOKUP(A7557,'Componentes APUs'!$A$1:$D$14,3,0)</f>
        <v>U</v>
      </c>
      <c r="E7557" s="53">
        <f>IF(A7529="MO-3",C7529,0)</f>
        <v>0</v>
      </c>
      <c r="F7557" s="51">
        <f>VLOOKUP(A7557,'Componentes APUs'!$A$1:$D$14,4,0)</f>
        <v>7500</v>
      </c>
      <c r="G7557" s="51">
        <f>ROUNDUP(F7557*(E7557/21)/E7517,0)</f>
        <v>0</v>
      </c>
    </row>
    <row r="7558" spans="1:7" x14ac:dyDescent="0.25">
      <c r="A7558" s="69" t="s">
        <v>89</v>
      </c>
      <c r="B7558" s="72" t="str">
        <f>VLOOKUP(A7558,'Componentes APUs'!$A$1:$D$14,2,0)</f>
        <v>Kit de rescate para trabajo en alturas</v>
      </c>
      <c r="C7558" s="73"/>
      <c r="D7558" s="50" t="str">
        <f>VLOOKUP(A7558,'Componentes APUs'!$A$1:$D$14,3,0)</f>
        <v>U</v>
      </c>
      <c r="E7558" s="50">
        <f>IF(AND(A7529="MO-3",C7529=2),1,0)</f>
        <v>0</v>
      </c>
      <c r="F7558" s="51">
        <f>VLOOKUP(A7558,'Componentes APUs'!$A$1:$D$14,4,0)</f>
        <v>37500</v>
      </c>
      <c r="G7558" s="51">
        <f>ROUNDUP(F7558*(E7558/21)/E7517,0)</f>
        <v>0</v>
      </c>
    </row>
    <row r="7559" spans="1:7" x14ac:dyDescent="0.25">
      <c r="A7559" s="50" t="s">
        <v>91</v>
      </c>
      <c r="B7559" s="72" t="str">
        <f>VLOOKUP(A7559,'Componentes APUs'!$A$1:$D$14,2,0)</f>
        <v>Equipo completo para trabajo en alturas con pretales (Arnes dielectrico, 1 mosqueton de seguridad, tie off dielectrico, eslinga de posicionamiento, juego de pretales)</v>
      </c>
      <c r="C7559" s="73"/>
      <c r="D7559" s="50" t="str">
        <f>VLOOKUP(A7559,'Componentes APUs'!$A$1:$D$14,3,0)</f>
        <v>U</v>
      </c>
      <c r="E7559" s="50">
        <f>IF(A7529="MO-3",C7529,0)</f>
        <v>0</v>
      </c>
      <c r="F7559" s="51">
        <f>VLOOKUP(A7559,'Componentes APUs'!$A$1:$D$14,4,0)</f>
        <v>26041.666666666668</v>
      </c>
      <c r="G7559" s="51">
        <f>ROUNDUP(F7559*(E7559/21)/E7517,0)</f>
        <v>0</v>
      </c>
    </row>
    <row r="7560" spans="1:7" x14ac:dyDescent="0.25">
      <c r="A7560" s="219" t="s">
        <v>95</v>
      </c>
      <c r="B7560" s="219"/>
      <c r="C7560" s="219"/>
      <c r="D7560" s="219"/>
      <c r="E7560" s="219"/>
      <c r="F7560" s="219"/>
      <c r="G7560" s="52">
        <f>SUM(G7547:G7559)</f>
        <v>63</v>
      </c>
    </row>
    <row r="7561" spans="1:7" x14ac:dyDescent="0.25">
      <c r="A7561" s="56"/>
      <c r="B7561" s="57"/>
      <c r="C7561" s="57"/>
      <c r="D7561" s="57"/>
      <c r="E7561" s="57"/>
      <c r="F7561" s="57"/>
      <c r="G7561" s="58"/>
    </row>
    <row r="7562" spans="1:7" x14ac:dyDescent="0.25">
      <c r="A7562" s="219" t="s">
        <v>96</v>
      </c>
      <c r="B7562" s="219"/>
      <c r="C7562" s="219"/>
      <c r="D7562" s="219"/>
      <c r="E7562" s="219"/>
      <c r="F7562" s="219"/>
      <c r="G7562" s="219"/>
    </row>
    <row r="7563" spans="1:7" x14ac:dyDescent="0.25">
      <c r="A7563" s="49" t="s">
        <v>35</v>
      </c>
      <c r="B7563" s="225" t="s">
        <v>36</v>
      </c>
      <c r="C7563" s="225"/>
      <c r="D7563" s="49" t="s">
        <v>37</v>
      </c>
      <c r="E7563" s="49" t="s">
        <v>38</v>
      </c>
      <c r="F7563" s="49" t="s">
        <v>39</v>
      </c>
      <c r="G7563" s="49" t="s">
        <v>40</v>
      </c>
    </row>
    <row r="7564" spans="1:7" x14ac:dyDescent="0.25">
      <c r="A7564" s="69" t="s">
        <v>97</v>
      </c>
      <c r="B7564" s="72" t="str">
        <f>VLOOKUP(A7564,'Componentes APUs'!$N$1:$Q$30,2,0)</f>
        <v>Camioneta</v>
      </c>
      <c r="C7564" s="73"/>
      <c r="D7564" s="70" t="str">
        <f>VLOOKUP(A7564,'Componentes APUs'!$N$1:$Q$30,3,0)</f>
        <v>U</v>
      </c>
      <c r="E7564" s="50">
        <v>0</v>
      </c>
      <c r="F7564" s="51">
        <f>VLOOKUP(A7564,'Componentes APUs'!$N$1:$Q$30,4,0)</f>
        <v>5500000</v>
      </c>
      <c r="G7564" s="51">
        <f>IFERROR(ROUNDUP(F7564*(E7564/21)/E7517,0),"-")</f>
        <v>0</v>
      </c>
    </row>
    <row r="7565" spans="1:7" x14ac:dyDescent="0.25">
      <c r="A7565" s="50" t="s">
        <v>321</v>
      </c>
      <c r="B7565" s="72" t="str">
        <f>VLOOKUP(A7565,'Componentes APUs'!$N$1:$Q$30,2,0)</f>
        <v>Grúa Hidráulica</v>
      </c>
      <c r="C7565" s="73"/>
      <c r="D7565" s="70" t="str">
        <f>VLOOKUP(A7565,'Componentes APUs'!$N$1:$Q$30,3,0)</f>
        <v>U</v>
      </c>
      <c r="E7565" s="50">
        <v>0</v>
      </c>
      <c r="F7565" s="51">
        <f>VLOOKUP(A7565,'Componentes APUs'!$N$1:$Q$30,4,0)</f>
        <v>21000000</v>
      </c>
      <c r="G7565" s="51">
        <f>IFERROR(ROUNDUP(F7565*(E7565/21)/E7517,0),"-")</f>
        <v>0</v>
      </c>
    </row>
    <row r="7566" spans="1:7" x14ac:dyDescent="0.25">
      <c r="A7566" s="69" t="s">
        <v>1379</v>
      </c>
      <c r="B7566" s="72" t="str">
        <f>VLOOKUP(A7566,'Componentes APUs'!$N$1:$Q$30,2,0)</f>
        <v>Dumper de descarga Frontal 2T</v>
      </c>
      <c r="C7566" s="73"/>
      <c r="D7566" s="70" t="str">
        <f>VLOOKUP(A7566,'Componentes APUs'!$N$1:$Q$30,3,0)</f>
        <v>U</v>
      </c>
      <c r="E7566" s="50">
        <v>0</v>
      </c>
      <c r="F7566" s="51">
        <f>VLOOKUP(A7566,'Componentes APUs'!$N$1:$Q$30,4,0)</f>
        <v>4438716.24</v>
      </c>
      <c r="G7566" s="51">
        <f>IFERROR(ROUNDUP(F7566*(E7566/21)/E7517,0),"-")</f>
        <v>0</v>
      </c>
    </row>
    <row r="7567" spans="1:7" x14ac:dyDescent="0.25">
      <c r="A7567" s="50" t="s">
        <v>323</v>
      </c>
      <c r="B7567" s="72" t="str">
        <f>VLOOKUP(A7567,'Componentes APUs'!$N$1:$Q$30,2,0)</f>
        <v>Volqueta</v>
      </c>
      <c r="C7567" s="73"/>
      <c r="D7567" s="70" t="str">
        <f>VLOOKUP(A7567,'Componentes APUs'!$N$1:$Q$30,3,0)</f>
        <v>U</v>
      </c>
      <c r="E7567" s="50">
        <v>0</v>
      </c>
      <c r="F7567" s="51">
        <f>VLOOKUP(A7567,'Componentes APUs'!$N$1:$Q$30,4,0)</f>
        <v>14828184</v>
      </c>
      <c r="G7567" s="51">
        <f>IFERROR(ROUNDUP(F7567*(E7567/21)/E7517,0),"-")</f>
        <v>0</v>
      </c>
    </row>
    <row r="7568" spans="1:7" x14ac:dyDescent="0.25">
      <c r="A7568" s="69" t="s">
        <v>324</v>
      </c>
      <c r="B7568" s="72" t="str">
        <f>VLOOKUP(A7568,'Componentes APUs'!$N$1:$Q$30,2,0)</f>
        <v>Retroexcavadora</v>
      </c>
      <c r="C7568" s="73"/>
      <c r="D7568" s="70" t="str">
        <f>VLOOKUP(A7568,'Componentes APUs'!$N$1:$Q$30,3,0)</f>
        <v>U</v>
      </c>
      <c r="E7568" s="50">
        <v>0</v>
      </c>
      <c r="F7568" s="51">
        <f>VLOOKUP(A7568,'Componentes APUs'!$N$1:$Q$30,4,0)</f>
        <v>46030656</v>
      </c>
      <c r="G7568" s="51">
        <f>IFERROR(ROUNDUP(F7568*(E7568/21)/E7517,0),"-")</f>
        <v>0</v>
      </c>
    </row>
    <row r="7569" spans="1:8" x14ac:dyDescent="0.25">
      <c r="A7569" s="219" t="s">
        <v>99</v>
      </c>
      <c r="B7569" s="219"/>
      <c r="C7569" s="219"/>
      <c r="D7569" s="219"/>
      <c r="E7569" s="219"/>
      <c r="F7569" s="219"/>
      <c r="G7569" s="52">
        <f>SUM(G7564:G7568)</f>
        <v>0</v>
      </c>
    </row>
    <row r="7570" spans="1:8" x14ac:dyDescent="0.25">
      <c r="A7570" s="56"/>
      <c r="B7570" s="57"/>
      <c r="C7570" s="57"/>
      <c r="D7570" s="57"/>
      <c r="E7570" s="57"/>
      <c r="F7570" s="57"/>
      <c r="G7570" s="58"/>
    </row>
    <row r="7571" spans="1:8" x14ac:dyDescent="0.25">
      <c r="A7571" s="219" t="s">
        <v>100</v>
      </c>
      <c r="B7571" s="219"/>
      <c r="C7571" s="219"/>
      <c r="D7571" s="219"/>
      <c r="E7571" s="219"/>
      <c r="F7571" s="219"/>
      <c r="G7571" s="52">
        <f>G7569+G7560+G7543+G7533+G7523</f>
        <v>4460</v>
      </c>
    </row>
    <row r="7572" spans="1:8" x14ac:dyDescent="0.25">
      <c r="A7572" s="59"/>
      <c r="B7572" s="60"/>
      <c r="C7572" s="60"/>
      <c r="D7572" s="60"/>
      <c r="E7572" s="57"/>
      <c r="F7572" s="57"/>
      <c r="G7572" s="58"/>
    </row>
    <row r="7573" spans="1:8" x14ac:dyDescent="0.25">
      <c r="A7573" s="64"/>
      <c r="D7573" s="55"/>
      <c r="E7573" s="49" t="s">
        <v>25</v>
      </c>
      <c r="F7573" s="54">
        <v>0.15</v>
      </c>
      <c r="G7573" s="51">
        <f>G7571*F7573</f>
        <v>669</v>
      </c>
    </row>
    <row r="7574" spans="1:8" x14ac:dyDescent="0.25">
      <c r="A7574" s="64"/>
      <c r="D7574" s="55"/>
      <c r="E7574" s="49" t="s">
        <v>26</v>
      </c>
      <c r="F7574" s="54">
        <v>0.05</v>
      </c>
      <c r="G7574" s="51">
        <f>G7571*F7574</f>
        <v>223</v>
      </c>
    </row>
    <row r="7575" spans="1:8" x14ac:dyDescent="0.25">
      <c r="A7575" s="61"/>
      <c r="B7575" s="65"/>
      <c r="C7575" s="65"/>
      <c r="D7575" s="62"/>
      <c r="E7575" s="49" t="s">
        <v>27</v>
      </c>
      <c r="F7575" s="54">
        <v>0.05</v>
      </c>
      <c r="G7575" s="51">
        <f>G7571*F7575</f>
        <v>223</v>
      </c>
    </row>
    <row r="7576" spans="1:8" x14ac:dyDescent="0.25">
      <c r="A7576" s="61"/>
      <c r="B7576" s="62"/>
      <c r="C7576" s="62"/>
      <c r="D7576" s="62"/>
      <c r="E7576" s="62"/>
      <c r="F7576" s="62"/>
      <c r="G7576" s="63"/>
    </row>
    <row r="7577" spans="1:8" x14ac:dyDescent="0.25">
      <c r="A7577" s="219" t="s">
        <v>101</v>
      </c>
      <c r="B7577" s="219"/>
      <c r="C7577" s="219"/>
      <c r="D7577" s="219"/>
      <c r="E7577" s="219"/>
      <c r="F7577" s="219"/>
      <c r="G7577" s="52">
        <f>G7571+G7573+G7574+G7575</f>
        <v>5575</v>
      </c>
    </row>
    <row r="7578" spans="1:8" x14ac:dyDescent="0.25">
      <c r="A7578" s="59"/>
      <c r="B7578" s="60"/>
      <c r="C7578" s="60"/>
      <c r="D7578" s="60"/>
      <c r="E7578" s="57"/>
      <c r="F7578" s="57"/>
      <c r="G7578" s="58"/>
    </row>
    <row r="7579" spans="1:8" x14ac:dyDescent="0.25">
      <c r="A7579" s="64"/>
      <c r="D7579" s="55"/>
      <c r="E7579" s="49" t="s">
        <v>102</v>
      </c>
      <c r="F7579" s="49" t="s">
        <v>103</v>
      </c>
      <c r="G7579" s="51">
        <f>G7575*19%</f>
        <v>42.37</v>
      </c>
    </row>
    <row r="7580" spans="1:8" x14ac:dyDescent="0.25">
      <c r="A7580" s="61"/>
      <c r="B7580" s="62"/>
      <c r="C7580" s="62"/>
      <c r="D7580" s="62"/>
      <c r="E7580" s="57"/>
      <c r="F7580" s="57"/>
      <c r="G7580" s="58"/>
    </row>
    <row r="7581" spans="1:8" x14ac:dyDescent="0.25">
      <c r="A7581" s="219" t="s">
        <v>104</v>
      </c>
      <c r="B7581" s="219"/>
      <c r="C7581" s="219"/>
      <c r="D7581" s="219"/>
      <c r="E7581" s="219"/>
      <c r="F7581" s="219"/>
      <c r="G7581" s="52">
        <f>G7579+G7577</f>
        <v>5617.37</v>
      </c>
    </row>
    <row r="7583" spans="1:8" x14ac:dyDescent="0.25">
      <c r="A7583" s="74" t="s">
        <v>29</v>
      </c>
      <c r="B7583" s="226" t="s">
        <v>30</v>
      </c>
      <c r="C7583" s="226"/>
      <c r="D7583" s="74" t="s">
        <v>31</v>
      </c>
      <c r="E7583" s="74" t="s">
        <v>32</v>
      </c>
      <c r="F7583" s="74" t="s">
        <v>189</v>
      </c>
      <c r="G7583" s="74" t="s">
        <v>33</v>
      </c>
      <c r="H7583" s="105"/>
    </row>
    <row r="7584" spans="1:8" ht="29.25" customHeight="1" x14ac:dyDescent="0.25">
      <c r="A7584" s="50" t="str">
        <f>Presupuesto!B141</f>
        <v>120_OC</v>
      </c>
      <c r="B7584" s="229" t="str">
        <f>Presupuesto!C141</f>
        <v>SUMINISTRO E INSTALACION DE ENCHAPE PARA PARED EN FORMATO 30X60 SEGÚN MUESTRA Y DISEÑO</v>
      </c>
      <c r="C7584" s="230"/>
      <c r="D7584" s="50" t="s">
        <v>113</v>
      </c>
      <c r="E7584" s="107">
        <v>5</v>
      </c>
      <c r="F7584" s="50"/>
      <c r="G7584" s="51">
        <f>G7652</f>
        <v>168410.264</v>
      </c>
      <c r="H7584" s="45"/>
    </row>
    <row r="7585" spans="1:9" x14ac:dyDescent="0.25">
      <c r="A7585" s="219" t="s">
        <v>34</v>
      </c>
      <c r="B7585" s="219"/>
      <c r="C7585" s="219"/>
      <c r="D7585" s="219"/>
      <c r="E7585" s="219"/>
      <c r="F7585" s="219"/>
      <c r="G7585" s="219"/>
    </row>
    <row r="7586" spans="1:9" x14ac:dyDescent="0.25">
      <c r="A7586" s="49" t="s">
        <v>35</v>
      </c>
      <c r="B7586" s="219" t="s">
        <v>36</v>
      </c>
      <c r="C7586" s="219"/>
      <c r="D7586" s="49" t="s">
        <v>37</v>
      </c>
      <c r="E7586" s="49" t="s">
        <v>38</v>
      </c>
      <c r="F7586" s="49" t="s">
        <v>39</v>
      </c>
      <c r="G7586" s="49" t="s">
        <v>40</v>
      </c>
    </row>
    <row r="7587" spans="1:9" x14ac:dyDescent="0.25">
      <c r="A7587" s="50" t="str">
        <f>Material!A637</f>
        <v>MA-636</v>
      </c>
      <c r="B7587" s="72" t="str">
        <f>IFERROR(VLOOKUP(A7587,Material!$A:$H,2,0),"-")</f>
        <v>PEGACOR GRIS</v>
      </c>
      <c r="C7587" s="76"/>
      <c r="D7587" s="50" t="str">
        <f>IFERROR(VLOOKUP(A7587,Material!$A:$H,4,0),"-")</f>
        <v>KG</v>
      </c>
      <c r="E7587" s="108">
        <v>4.2</v>
      </c>
      <c r="F7587" s="51">
        <f>IFERROR(VLOOKUP(A7587,Material!$A:$H,3,0),"-")</f>
        <v>2050.1</v>
      </c>
      <c r="G7587" s="51">
        <f t="shared" ref="G7587:G7592" si="108">IFERROR(ROUNDUP(F7587*E7587,0),"-")</f>
        <v>8611</v>
      </c>
      <c r="H7587" s="106"/>
    </row>
    <row r="7588" spans="1:9" x14ac:dyDescent="0.25">
      <c r="A7588" s="50" t="str">
        <f>Material!A282</f>
        <v>MA-281</v>
      </c>
      <c r="B7588" s="72" t="str">
        <f>IFERROR(VLOOKUP(A7588,Material!$A:$H,2,0),"-")</f>
        <v>AGUA</v>
      </c>
      <c r="C7588" s="76"/>
      <c r="D7588" s="50" t="str">
        <f>IFERROR(VLOOKUP(A7588,Material!$A:$H,4,0),"-")</f>
        <v>M3</v>
      </c>
      <c r="E7588" s="108">
        <v>16.8</v>
      </c>
      <c r="F7588" s="51">
        <f>IFERROR(VLOOKUP(A7588,Material!$A:$H,3,0),"-")</f>
        <v>94.9</v>
      </c>
      <c r="G7588" s="51">
        <f t="shared" si="108"/>
        <v>1595</v>
      </c>
      <c r="H7588" s="106"/>
    </row>
    <row r="7589" spans="1:9" x14ac:dyDescent="0.25">
      <c r="A7589" s="50" t="str">
        <f>Material!A638</f>
        <v>MA-637</v>
      </c>
      <c r="B7589" s="72" t="str">
        <f>IFERROR(VLOOKUP(A7589,Material!$A:$H,2,0),"-")</f>
        <v>ENCHAPE DE 30X60</v>
      </c>
      <c r="C7589" s="76"/>
      <c r="D7589" s="50" t="str">
        <f>IFERROR(VLOOKUP(A7589,Material!$A:$H,4,0),"-")</f>
        <v>M2</v>
      </c>
      <c r="E7589" s="107">
        <v>1.05</v>
      </c>
      <c r="F7589" s="51">
        <f>IFERROR(VLOOKUP(A7589,Material!$A:$H,3,0),"-")</f>
        <v>62400</v>
      </c>
      <c r="G7589" s="51">
        <f t="shared" si="108"/>
        <v>65520</v>
      </c>
      <c r="H7589" s="106"/>
    </row>
    <row r="7590" spans="1:9" x14ac:dyDescent="0.25">
      <c r="A7590" s="50" t="str">
        <f>Material!A639</f>
        <v>MA-638</v>
      </c>
      <c r="B7590" s="72" t="str">
        <f>IFERROR(VLOOKUP(A7590,Material!$A:$H,2,0),"-")</f>
        <v>CRUCETA PLÁSTICA</v>
      </c>
      <c r="C7590" s="76"/>
      <c r="D7590" s="50" t="str">
        <f>IFERROR(VLOOKUP(A7590,Material!$A:$H,4,0),"-")</f>
        <v>UN</v>
      </c>
      <c r="E7590" s="107">
        <v>9</v>
      </c>
      <c r="F7590" s="51">
        <f>IFERROR(VLOOKUP(A7590,Material!$A:$H,3,0),"-")</f>
        <v>48.1</v>
      </c>
      <c r="G7590" s="51">
        <f t="shared" si="108"/>
        <v>433</v>
      </c>
      <c r="H7590" s="106"/>
    </row>
    <row r="7591" spans="1:9" x14ac:dyDescent="0.25">
      <c r="A7591" s="50" t="str">
        <f>Material!A640</f>
        <v>MA-639</v>
      </c>
      <c r="B7591" s="72" t="str">
        <f>IFERROR(VLOOKUP(A7591,Material!$A:$H,2,0),"-")</f>
        <v>BLANCO DE ZINC</v>
      </c>
      <c r="C7591" s="76"/>
      <c r="D7591" s="50" t="str">
        <f>IFERROR(VLOOKUP(A7591,Material!$A:$H,4,0),"-")</f>
        <v>LB</v>
      </c>
      <c r="E7591" s="107">
        <v>0.1</v>
      </c>
      <c r="F7591" s="51">
        <f>IFERROR(VLOOKUP(A7591,Material!$A:$H,3,0),"-")</f>
        <v>5224.7</v>
      </c>
      <c r="G7591" s="51">
        <f t="shared" si="108"/>
        <v>523</v>
      </c>
      <c r="H7591" s="106"/>
    </row>
    <row r="7592" spans="1:9" x14ac:dyDescent="0.25">
      <c r="A7592" s="50" t="str">
        <f>Material!A641</f>
        <v>MA-640</v>
      </c>
      <c r="B7592" s="72" t="str">
        <f>IFERROR(VLOOKUP(A7592,Material!$A:$H,2,0),"-")</f>
        <v>ESTOPA DE LIMPIEZA (Hilaza de Algodón)</v>
      </c>
      <c r="C7592" s="76"/>
      <c r="D7592" s="50" t="str">
        <f>IFERROR(VLOOKUP(A7592,Material!$A:$H,4,0),"-")</f>
        <v>KG</v>
      </c>
      <c r="E7592" s="107">
        <v>0.05</v>
      </c>
      <c r="F7592" s="51">
        <f>IFERROR(VLOOKUP(A7592,Material!$A:$H,3,0),"-")</f>
        <v>12591.800000000001</v>
      </c>
      <c r="G7592" s="51">
        <f t="shared" si="108"/>
        <v>630</v>
      </c>
      <c r="H7592" s="106"/>
    </row>
    <row r="7593" spans="1:9" x14ac:dyDescent="0.25">
      <c r="A7593" s="50"/>
      <c r="B7593" s="72"/>
      <c r="C7593" s="76"/>
      <c r="D7593" s="50"/>
      <c r="E7593" s="107"/>
      <c r="F7593" s="51"/>
      <c r="G7593" s="51"/>
      <c r="H7593" s="106"/>
    </row>
    <row r="7594" spans="1:9" x14ac:dyDescent="0.25">
      <c r="A7594" s="219" t="s">
        <v>41</v>
      </c>
      <c r="B7594" s="219"/>
      <c r="C7594" s="219"/>
      <c r="D7594" s="219"/>
      <c r="E7594" s="219"/>
      <c r="F7594" s="219"/>
      <c r="G7594" s="52">
        <f>SUM(G7587:G7592)</f>
        <v>77312</v>
      </c>
      <c r="I7594" s="104"/>
    </row>
    <row r="7595" spans="1:9" x14ac:dyDescent="0.25">
      <c r="A7595" s="56"/>
      <c r="B7595" s="57"/>
      <c r="C7595" s="57"/>
      <c r="D7595" s="57"/>
      <c r="E7595" s="57"/>
      <c r="F7595" s="57"/>
      <c r="G7595" s="58"/>
    </row>
    <row r="7596" spans="1:9" x14ac:dyDescent="0.25">
      <c r="A7596" s="219" t="s">
        <v>42</v>
      </c>
      <c r="B7596" s="219"/>
      <c r="C7596" s="219"/>
      <c r="D7596" s="219"/>
      <c r="E7596" s="219"/>
      <c r="F7596" s="219"/>
      <c r="G7596" s="219"/>
    </row>
    <row r="7597" spans="1:9" x14ac:dyDescent="0.25">
      <c r="A7597" s="49" t="s">
        <v>35</v>
      </c>
      <c r="B7597" s="49" t="s">
        <v>36</v>
      </c>
      <c r="C7597" s="49" t="s">
        <v>38</v>
      </c>
      <c r="D7597" s="49" t="s">
        <v>43</v>
      </c>
      <c r="E7597" s="49" t="s">
        <v>44</v>
      </c>
      <c r="F7597" s="49" t="s">
        <v>45</v>
      </c>
      <c r="G7597" s="49" t="s">
        <v>40</v>
      </c>
    </row>
    <row r="7598" spans="1:9" x14ac:dyDescent="0.25">
      <c r="A7598" s="50" t="s">
        <v>319</v>
      </c>
      <c r="B7598" s="68" t="str">
        <f>VLOOKUP(A7598,'Componentes APUs'!$H$1:$L$25,2,0)</f>
        <v>Ingeniero Residente de Obra</v>
      </c>
      <c r="C7598" s="93">
        <v>0</v>
      </c>
      <c r="D7598" s="50">
        <f>VLOOKUP(A7598,'Componentes APUs'!$H$1:$L$25,3,0)</f>
        <v>4</v>
      </c>
      <c r="E7598" s="51">
        <f>VLOOKUP(A7598,'Componentes APUs'!$H$1:$L$25,4,0)</f>
        <v>271142.85714285716</v>
      </c>
      <c r="F7598" s="51">
        <f>VLOOKUP(A7598,'Componentes APUs'!$H$1:$L$25,5,0)</f>
        <v>162685.71428571429</v>
      </c>
      <c r="G7598" s="51">
        <f>ROUNDUP((E7598+F7598)*C7598/E7584,0)</f>
        <v>0</v>
      </c>
      <c r="H7598" s="66"/>
    </row>
    <row r="7599" spans="1:9" x14ac:dyDescent="0.25">
      <c r="A7599" s="50" t="s">
        <v>320</v>
      </c>
      <c r="B7599" s="68" t="str">
        <f>VLOOKUP(A7599,'Componentes APUs'!$H$1:$L$25,2,0)</f>
        <v>Tecnico Supervisor</v>
      </c>
      <c r="C7599" s="93">
        <v>0</v>
      </c>
      <c r="D7599" s="50">
        <f>VLOOKUP(A7599,'Componentes APUs'!$H$1:$L$25,3,0)</f>
        <v>2.2999999999999998</v>
      </c>
      <c r="E7599" s="51">
        <f>VLOOKUP(A7599,'Componentes APUs'!$H$1:$L$25,4,0)</f>
        <v>155907.14285714284</v>
      </c>
      <c r="F7599" s="51">
        <f>VLOOKUP(A7599,'Componentes APUs'!$H$1:$L$25,5,0)</f>
        <v>93544.285714285696</v>
      </c>
      <c r="G7599" s="51">
        <f>ROUNDUP((E7599+F7599)*C7599/E7584,0)</f>
        <v>0</v>
      </c>
    </row>
    <row r="7600" spans="1:9" x14ac:dyDescent="0.25">
      <c r="A7600" s="50" t="s">
        <v>54</v>
      </c>
      <c r="B7600" s="68" t="str">
        <f>VLOOKUP(A7600,'Componentes APUs'!$H$1:$L$25,2,0)</f>
        <v>Maestro de obra civil</v>
      </c>
      <c r="C7600" s="93">
        <v>0</v>
      </c>
      <c r="D7600" s="50">
        <f>VLOOKUP(A7600,'Componentes APUs'!$H$1:$L$25,3,0)</f>
        <v>2.5</v>
      </c>
      <c r="E7600" s="51">
        <f>VLOOKUP(A7600,'Componentes APUs'!$H$1:$L$25,4,0)</f>
        <v>169464.28571428571</v>
      </c>
      <c r="F7600" s="51">
        <f>VLOOKUP(A7600,'Componentes APUs'!$H$1:$L$25,5,0)</f>
        <v>101678.57142857142</v>
      </c>
      <c r="G7600" s="51">
        <f>ROUNDUP((E7600+F7600)*C7600/E7584,0)</f>
        <v>0</v>
      </c>
    </row>
    <row r="7601" spans="1:9" x14ac:dyDescent="0.25">
      <c r="A7601" s="50" t="s">
        <v>1110</v>
      </c>
      <c r="B7601" s="68" t="str">
        <f>VLOOKUP(A7601,'Componentes APUs'!$H$1:$L$25,2,0)</f>
        <v>Oficial de Obra Civil</v>
      </c>
      <c r="C7601" s="93">
        <v>0.25</v>
      </c>
      <c r="D7601" s="50">
        <f>VLOOKUP(A7601,'Componentes APUs'!$H$1:$L$25,3,0)</f>
        <v>1.5</v>
      </c>
      <c r="E7601" s="51">
        <f>VLOOKUP(A7601,'Componentes APUs'!$H$1:$L$25,4,0)</f>
        <v>115964.28571428571</v>
      </c>
      <c r="F7601" s="51">
        <f>VLOOKUP(A7601,'Componentes APUs'!$H$1:$L$25,5,0)</f>
        <v>69578.57142857142</v>
      </c>
      <c r="G7601" s="51">
        <f>ROUNDUP((E7601+F7601)*C7601/E7584,0)</f>
        <v>9278</v>
      </c>
    </row>
    <row r="7602" spans="1:9" x14ac:dyDescent="0.25">
      <c r="A7602" s="50" t="s">
        <v>50</v>
      </c>
      <c r="B7602" s="68" t="str">
        <f>VLOOKUP(A7602,'Componentes APUs'!$H$1:$L$25,2,0)</f>
        <v>Profesional en SST</v>
      </c>
      <c r="C7602" s="93">
        <v>0</v>
      </c>
      <c r="D7602" s="50">
        <f>VLOOKUP(A7602,'Componentes APUs'!$H$1:$L$25,3,0)</f>
        <v>2.5</v>
      </c>
      <c r="E7602" s="51">
        <f>VLOOKUP(A7602,'Componentes APUs'!$H$1:$L$25,4,0)</f>
        <v>169464.28571428571</v>
      </c>
      <c r="F7602" s="51">
        <f>VLOOKUP(A7602,'Componentes APUs'!$H$1:$L$25,5,0)</f>
        <v>101678.57142857142</v>
      </c>
      <c r="G7602" s="51">
        <f>ROUNDUP((E7602+F7602)*C7602/E7584,0)</f>
        <v>0</v>
      </c>
    </row>
    <row r="7603" spans="1:9" x14ac:dyDescent="0.25">
      <c r="A7603" s="50" t="s">
        <v>1109</v>
      </c>
      <c r="B7603" s="68" t="str">
        <f>VLOOKUP(A7603,'Componentes APUs'!$H$1:$L$25,2,0)</f>
        <v>Ayudante de Obra Civil</v>
      </c>
      <c r="C7603" s="93">
        <v>1</v>
      </c>
      <c r="D7603" s="50">
        <f>VLOOKUP(A7603,'Componentes APUs'!$H$1:$L$25,3,0)</f>
        <v>1</v>
      </c>
      <c r="E7603" s="51">
        <f>VLOOKUP(A7603,'Componentes APUs'!$H$1:$L$25,4,0)</f>
        <v>77309.523809523816</v>
      </c>
      <c r="F7603" s="51">
        <f>VLOOKUP(A7603,'Componentes APUs'!$H$1:$L$25,5,0)</f>
        <v>46385.71428571429</v>
      </c>
      <c r="G7603" s="51">
        <f>ROUNDUP((E7603+F7603)*C7603/E7584,0)</f>
        <v>24740</v>
      </c>
    </row>
    <row r="7604" spans="1:9" x14ac:dyDescent="0.25">
      <c r="A7604" s="219" t="s">
        <v>56</v>
      </c>
      <c r="B7604" s="219"/>
      <c r="C7604" s="219"/>
      <c r="D7604" s="219"/>
      <c r="E7604" s="219"/>
      <c r="F7604" s="219"/>
      <c r="G7604" s="52">
        <f>SUM(G7598:G7603)</f>
        <v>34018</v>
      </c>
    </row>
    <row r="7605" spans="1:9" x14ac:dyDescent="0.25">
      <c r="A7605" s="56"/>
      <c r="B7605" s="57"/>
      <c r="C7605" s="57"/>
      <c r="D7605" s="57"/>
      <c r="E7605" s="57"/>
      <c r="F7605" s="57"/>
      <c r="G7605" s="58"/>
    </row>
    <row r="7606" spans="1:9" x14ac:dyDescent="0.25">
      <c r="A7606" s="219" t="s">
        <v>57</v>
      </c>
      <c r="B7606" s="219"/>
      <c r="C7606" s="219"/>
      <c r="D7606" s="219"/>
      <c r="E7606" s="219"/>
      <c r="F7606" s="219"/>
      <c r="G7606" s="219"/>
    </row>
    <row r="7607" spans="1:9" x14ac:dyDescent="0.25">
      <c r="A7607" s="49" t="s">
        <v>35</v>
      </c>
      <c r="B7607" s="219" t="s">
        <v>36</v>
      </c>
      <c r="C7607" s="219"/>
      <c r="D7607" s="49" t="s">
        <v>37</v>
      </c>
      <c r="E7607" s="49" t="s">
        <v>38</v>
      </c>
      <c r="F7607" s="49" t="s">
        <v>39</v>
      </c>
      <c r="G7607" s="49" t="s">
        <v>40</v>
      </c>
    </row>
    <row r="7608" spans="1:9" x14ac:dyDescent="0.25">
      <c r="A7608" s="50" t="s">
        <v>326</v>
      </c>
      <c r="B7608" s="220" t="str">
        <f>VLOOKUP(A7608,'Componentes APUs'!$S$1:$V$10,2,0)</f>
        <v>Juego Llaves</v>
      </c>
      <c r="C7608" s="220"/>
      <c r="D7608" s="50" t="s">
        <v>18</v>
      </c>
      <c r="E7608" s="50">
        <v>0</v>
      </c>
      <c r="F7608" s="51">
        <f>VLOOKUP(A7608,'Componentes APUs'!$S$1:$V$10,4,0)</f>
        <v>9167</v>
      </c>
      <c r="G7608" s="51">
        <f>ROUNDUP(F7608*((E7608/21)/E7584),0)</f>
        <v>0</v>
      </c>
      <c r="I7608" s="91"/>
    </row>
    <row r="7609" spans="1:9" x14ac:dyDescent="0.25">
      <c r="A7609" s="50" t="s">
        <v>58</v>
      </c>
      <c r="B7609" s="220" t="str">
        <f>VLOOKUP(A7609,'Componentes APUs'!$S$1:$V$10,2,0)</f>
        <v>Manila de servicio</v>
      </c>
      <c r="C7609" s="220"/>
      <c r="D7609" s="50" t="s">
        <v>18</v>
      </c>
      <c r="E7609" s="50">
        <v>0</v>
      </c>
      <c r="F7609" s="51">
        <f>VLOOKUP(A7609,'Componentes APUs'!$S$1:$V$10,4,0)</f>
        <v>2333</v>
      </c>
      <c r="G7609" s="51">
        <f>ROUNDUP(F7609*((E7609/21)/E7584),0)</f>
        <v>0</v>
      </c>
    </row>
    <row r="7610" spans="1:9" x14ac:dyDescent="0.25">
      <c r="A7610" s="50" t="s">
        <v>327</v>
      </c>
      <c r="B7610" s="220" t="str">
        <f>VLOOKUP(A7610,'Componentes APUs'!$S$1:$V$10,2,0)</f>
        <v>Tula portaherramientas</v>
      </c>
      <c r="C7610" s="220"/>
      <c r="D7610" s="50" t="s">
        <v>18</v>
      </c>
      <c r="E7610" s="50">
        <v>0</v>
      </c>
      <c r="F7610" s="51">
        <f>VLOOKUP(A7610,'Componentes APUs'!$S$1:$V$10,4,0)</f>
        <v>1250</v>
      </c>
      <c r="G7610" s="51">
        <f>ROUNDUP(F7610*((E7610/21)/E7584),0)</f>
        <v>0</v>
      </c>
    </row>
    <row r="7611" spans="1:9" x14ac:dyDescent="0.25">
      <c r="A7611" s="50" t="s">
        <v>60</v>
      </c>
      <c r="B7611" s="220" t="str">
        <f>VLOOKUP(A7611,'Componentes APUs'!$S$1:$V$10,2,0)</f>
        <v>Agarradoras</v>
      </c>
      <c r="C7611" s="220"/>
      <c r="D7611" s="50" t="s">
        <v>18</v>
      </c>
      <c r="E7611" s="50">
        <v>0</v>
      </c>
      <c r="F7611" s="51">
        <f>VLOOKUP(A7611,'Componentes APUs'!$S$1:$V$10,4,0)</f>
        <v>125000</v>
      </c>
      <c r="G7611" s="51">
        <f>ROUNDUP(F7611*((E7611/21)/E7584),0)</f>
        <v>0</v>
      </c>
    </row>
    <row r="7612" spans="1:9" x14ac:dyDescent="0.25">
      <c r="A7612" s="50" t="s">
        <v>62</v>
      </c>
      <c r="B7612" s="220" t="str">
        <f>VLOOKUP(A7612,'Componentes APUs'!$S$1:$V$10,2,0)</f>
        <v>Templadoras</v>
      </c>
      <c r="C7612" s="220"/>
      <c r="D7612" s="50" t="s">
        <v>18</v>
      </c>
      <c r="E7612" s="50">
        <v>0</v>
      </c>
      <c r="F7612" s="51">
        <f>VLOOKUP(A7612,'Componentes APUs'!$S$1:$V$10,4,0)</f>
        <v>250000</v>
      </c>
      <c r="G7612" s="51">
        <f>ROUNDUP(F7612*((E7612/21)/E7584),0)</f>
        <v>0</v>
      </c>
    </row>
    <row r="7613" spans="1:9" x14ac:dyDescent="0.25">
      <c r="A7613" s="50" t="s">
        <v>328</v>
      </c>
      <c r="B7613" s="220" t="str">
        <f>VLOOKUP(A7613,'Componentes APUs'!$S$1:$V$10,2,0)</f>
        <v>Herramienta Menor</v>
      </c>
      <c r="C7613" s="220"/>
      <c r="D7613" s="50" t="s">
        <v>18</v>
      </c>
      <c r="E7613" s="50">
        <v>12</v>
      </c>
      <c r="F7613" s="51">
        <f>VLOOKUP(A7613,'Componentes APUs'!$S$1:$V$10,4,0)</f>
        <v>75758</v>
      </c>
      <c r="G7613" s="51">
        <f>ROUNDUP(F7613*((E7613/21)/E7584),0)</f>
        <v>8659</v>
      </c>
    </row>
    <row r="7614" spans="1:9" x14ac:dyDescent="0.25">
      <c r="A7614" s="219" t="s">
        <v>69</v>
      </c>
      <c r="B7614" s="219"/>
      <c r="C7614" s="219"/>
      <c r="D7614" s="219"/>
      <c r="E7614" s="219"/>
      <c r="F7614" s="219"/>
      <c r="G7614" s="52">
        <f>SUM(G7608:G7613)</f>
        <v>8659</v>
      </c>
    </row>
    <row r="7615" spans="1:9" x14ac:dyDescent="0.25">
      <c r="A7615" s="56"/>
      <c r="B7615" s="57"/>
      <c r="C7615" s="57"/>
      <c r="D7615" s="57"/>
      <c r="E7615" s="57"/>
      <c r="F7615" s="57"/>
      <c r="G7615" s="58"/>
    </row>
    <row r="7616" spans="1:9" x14ac:dyDescent="0.25">
      <c r="A7616" s="219" t="s">
        <v>70</v>
      </c>
      <c r="B7616" s="219"/>
      <c r="C7616" s="219"/>
      <c r="D7616" s="219"/>
      <c r="E7616" s="219"/>
      <c r="F7616" s="219"/>
      <c r="G7616" s="219"/>
    </row>
    <row r="7617" spans="1:9" x14ac:dyDescent="0.25">
      <c r="A7617" s="49" t="s">
        <v>35</v>
      </c>
      <c r="B7617" s="219" t="s">
        <v>36</v>
      </c>
      <c r="C7617" s="219"/>
      <c r="D7617" s="49" t="s">
        <v>37</v>
      </c>
      <c r="E7617" s="49" t="s">
        <v>38</v>
      </c>
      <c r="F7617" s="49" t="s">
        <v>39</v>
      </c>
      <c r="G7617" s="49" t="s">
        <v>40</v>
      </c>
    </row>
    <row r="7618" spans="1:9" x14ac:dyDescent="0.25">
      <c r="A7618" s="50" t="s">
        <v>71</v>
      </c>
      <c r="B7618" s="71" t="str">
        <f>VLOOKUP(A7618,'Componentes APUs'!$A$1:$D$14,2,0)</f>
        <v>Camisa indigo sin partes metalicas</v>
      </c>
      <c r="C7618" s="71"/>
      <c r="D7618" s="50" t="str">
        <f>VLOOKUP(A7618,'Componentes APUs'!$A$1:$D$14,3,0)</f>
        <v>U</v>
      </c>
      <c r="E7618" s="50">
        <f>SUM(C7598:C7603)</f>
        <v>1.25</v>
      </c>
      <c r="F7618" s="51">
        <f>VLOOKUP(A7618,'Componentes APUs'!$A$1:$D$14,4,0)</f>
        <v>8585.8585858585866</v>
      </c>
      <c r="G7618" s="51">
        <f>ROUNDUP(F7618*(E7618/21)/E7584,0)</f>
        <v>103</v>
      </c>
      <c r="I7618" s="91"/>
    </row>
    <row r="7619" spans="1:9" x14ac:dyDescent="0.25">
      <c r="A7619" s="69" t="s">
        <v>73</v>
      </c>
      <c r="B7619" s="72" t="str">
        <f>VLOOKUP(A7619,'Componentes APUs'!$A$1:$D$14,2,0)</f>
        <v>Bota de seguridad dielectrica</v>
      </c>
      <c r="C7619" s="73"/>
      <c r="D7619" s="70" t="str">
        <f>VLOOKUP(A7619,'Componentes APUs'!$A$1:$D$14,3,0)</f>
        <v>Par</v>
      </c>
      <c r="E7619" s="50">
        <f>SUM(C7598:C7603)</f>
        <v>1.25</v>
      </c>
      <c r="F7619" s="51">
        <f>VLOOKUP(A7619,'Componentes APUs'!$A$1:$D$14,4,0)</f>
        <v>7500</v>
      </c>
      <c r="G7619" s="51">
        <f>ROUNDUP(F7619*(E7619/21)/E7584,0)</f>
        <v>90</v>
      </c>
    </row>
    <row r="7620" spans="1:9" x14ac:dyDescent="0.25">
      <c r="A7620" s="50" t="s">
        <v>76</v>
      </c>
      <c r="B7620" s="72" t="str">
        <f>VLOOKUP(A7620,'Componentes APUs'!$A$1:$D$14,2,0)</f>
        <v>Casco dielectrico Tipo 1 Clase E con barbuquejo</v>
      </c>
      <c r="C7620" s="73"/>
      <c r="D7620" s="50" t="str">
        <f>VLOOKUP(A7620,'Componentes APUs'!$A$1:$D$14,3,0)</f>
        <v>U</v>
      </c>
      <c r="E7620" s="50">
        <f>C7598+C7599+C7601+C7602+C7603+IF(A7600&lt;&gt;"MO-3",C7600,0)</f>
        <v>1.25</v>
      </c>
      <c r="F7620" s="51">
        <f>VLOOKUP(A7620,'Componentes APUs'!$A$1:$D$14,4,0)</f>
        <v>10101.010101010101</v>
      </c>
      <c r="G7620" s="51">
        <f>ROUNDUP(F7620*(E7620/21)/E7584,0)</f>
        <v>121</v>
      </c>
    </row>
    <row r="7621" spans="1:9" x14ac:dyDescent="0.25">
      <c r="A7621" s="69" t="s">
        <v>77</v>
      </c>
      <c r="B7621" s="72" t="str">
        <f>VLOOKUP(A7621,'Componentes APUs'!$A$1:$D$14,2,0)</f>
        <v>Correa plastica y antiflama</v>
      </c>
      <c r="C7621" s="73"/>
      <c r="D7621" s="50" t="str">
        <f>VLOOKUP(A7621,'Componentes APUs'!$A$1:$D$14,3,0)</f>
        <v>U</v>
      </c>
      <c r="E7621" s="50">
        <f>SUM(C7598:C7603)</f>
        <v>1.25</v>
      </c>
      <c r="F7621" s="51">
        <f>VLOOKUP(A7621,'Componentes APUs'!$A$1:$D$14,4,0)</f>
        <v>3787.878787878788</v>
      </c>
      <c r="G7621" s="51">
        <f>ROUNDUP(F7621*(E7621/21)/E7584,0)</f>
        <v>46</v>
      </c>
    </row>
    <row r="7622" spans="1:9" x14ac:dyDescent="0.25">
      <c r="A7622" s="50" t="s">
        <v>79</v>
      </c>
      <c r="B7622" s="72" t="str">
        <f>VLOOKUP(A7622,'Componentes APUs'!$A$1:$D$14,2,0)</f>
        <v>Gafas protectoras filtro UV</v>
      </c>
      <c r="C7622" s="73"/>
      <c r="D7622" s="50" t="str">
        <f>VLOOKUP(A7622,'Componentes APUs'!$A$1:$D$14,3,0)</f>
        <v>U</v>
      </c>
      <c r="E7622" s="50">
        <f>SUM(C7598:C7603)</f>
        <v>1.25</v>
      </c>
      <c r="F7622" s="51">
        <f>VLOOKUP(A7622,'Componentes APUs'!$A$1:$D$14,4,0)</f>
        <v>2777.7777777777778</v>
      </c>
      <c r="G7622" s="51">
        <f>ROUNDUP(F7622*(E7622/21)/E7584,0)</f>
        <v>34</v>
      </c>
    </row>
    <row r="7623" spans="1:9" x14ac:dyDescent="0.25">
      <c r="A7623" s="69" t="s">
        <v>402</v>
      </c>
      <c r="B7623" s="72" t="str">
        <f>VLOOKUP(A7623,'Componentes APUs'!$A$1:$D$14,2,0)</f>
        <v>Bota de seguridad PVC dielectrica</v>
      </c>
      <c r="C7623" s="73"/>
      <c r="D7623" s="50" t="str">
        <f>VLOOKUP(A7623,'Componentes APUs'!$A$1:$D$14,3,0)</f>
        <v>Par</v>
      </c>
      <c r="E7623" s="50">
        <f>SUM(C7598:C7603)</f>
        <v>1.25</v>
      </c>
      <c r="F7623" s="51">
        <f>VLOOKUP(A7623,'Componentes APUs'!$A$1:$D$14,4,0)</f>
        <v>2916.6666666666665</v>
      </c>
      <c r="G7623" s="51">
        <f>ROUNDUP(F7623*(E7623/21)/E7584,0)</f>
        <v>35</v>
      </c>
    </row>
    <row r="7624" spans="1:9" x14ac:dyDescent="0.25">
      <c r="A7624" s="50" t="s">
        <v>403</v>
      </c>
      <c r="B7624" s="72" t="str">
        <f>VLOOKUP(A7624,'Componentes APUs'!$A$1:$D$14,2,0)</f>
        <v>Capuchon</v>
      </c>
      <c r="C7624" s="73"/>
      <c r="D7624" s="50" t="str">
        <f>VLOOKUP(A7624,'Componentes APUs'!$A$1:$D$14,3,0)</f>
        <v>U</v>
      </c>
      <c r="E7624" s="50">
        <f>SUM(C7598:C7603)</f>
        <v>1.25</v>
      </c>
      <c r="F7624" s="51">
        <f>VLOOKUP(A7624,'Componentes APUs'!$A$1:$D$14,4,0)</f>
        <v>2525.2525252525252</v>
      </c>
      <c r="G7624" s="51">
        <f>ROUNDUP(F7624*(E7624/21)/E7584,0)</f>
        <v>31</v>
      </c>
    </row>
    <row r="7625" spans="1:9" x14ac:dyDescent="0.25">
      <c r="A7625" s="69" t="s">
        <v>81</v>
      </c>
      <c r="B7625" s="72" t="str">
        <f>VLOOKUP(A7625,'Componentes APUs'!$A$1:$D$14,2,0)</f>
        <v>Guantes Protectores  - ingeniero reforzados</v>
      </c>
      <c r="C7625" s="73"/>
      <c r="D7625" s="50" t="str">
        <f>VLOOKUP(A7625,'Componentes APUs'!$A$1:$D$14,3,0)</f>
        <v>Par</v>
      </c>
      <c r="E7625" s="50">
        <f>C7600+C7601+C7603</f>
        <v>1.25</v>
      </c>
      <c r="F7625" s="51">
        <f>VLOOKUP(A7625,'Componentes APUs'!$A$1:$D$14,4,0)</f>
        <v>2525.2525252525252</v>
      </c>
      <c r="G7625" s="51">
        <f>ROUNDUP(F7625*(E7625/21)/E7584,0)</f>
        <v>31</v>
      </c>
    </row>
    <row r="7626" spans="1:9" x14ac:dyDescent="0.25">
      <c r="A7626" s="50" t="s">
        <v>83</v>
      </c>
      <c r="B7626" s="72" t="str">
        <f>VLOOKUP(A7626,'Componentes APUs'!$A$1:$D$14,2,0)</f>
        <v>Impermeable (pantalon camisa)</v>
      </c>
      <c r="C7626" s="73"/>
      <c r="D7626" s="50" t="str">
        <f>VLOOKUP(A7626,'Componentes APUs'!$A$1:$D$14,3,0)</f>
        <v>U</v>
      </c>
      <c r="E7626" s="50">
        <f>SUM(C7598:C7603)</f>
        <v>1.25</v>
      </c>
      <c r="F7626" s="51">
        <f>VLOOKUP(A7626,'Componentes APUs'!$A$1:$D$14,4,0)</f>
        <v>3750</v>
      </c>
      <c r="G7626" s="51">
        <f>ROUNDUP(F7626*(E7626/21)/E7584,0)</f>
        <v>45</v>
      </c>
    </row>
    <row r="7627" spans="1:9" x14ac:dyDescent="0.25">
      <c r="A7627" s="69" t="s">
        <v>85</v>
      </c>
      <c r="B7627" s="72" t="str">
        <f>VLOOKUP(A7627,'Componentes APUs'!$A$1:$D$14,2,0)</f>
        <v>Jean Dielectrico</v>
      </c>
      <c r="C7627" s="73"/>
      <c r="D7627" s="50" t="str">
        <f>VLOOKUP(A7627,'Componentes APUs'!$A$1:$D$14,3,0)</f>
        <v>U</v>
      </c>
      <c r="E7627" s="50">
        <f>SUM(C7598:C7603)</f>
        <v>1.25</v>
      </c>
      <c r="F7627" s="51">
        <f>VLOOKUP(A7627,'Componentes APUs'!$A$1:$D$14,4,0)</f>
        <v>7575.757575757576</v>
      </c>
      <c r="G7627" s="51">
        <f>ROUNDUP(F7627*(E7627/21)/E7584,0)</f>
        <v>91</v>
      </c>
    </row>
    <row r="7628" spans="1:9" x14ac:dyDescent="0.25">
      <c r="A7628" s="50" t="s">
        <v>87</v>
      </c>
      <c r="B7628" s="72" t="str">
        <f>VLOOKUP(A7628,'Componentes APUs'!$A$1:$D$14,2,0)</f>
        <v>Casco dielectrico Tipo 2 Clase E con barboquejo</v>
      </c>
      <c r="C7628" s="73"/>
      <c r="D7628" s="50" t="str">
        <f>VLOOKUP(A7628,'Componentes APUs'!$A$1:$D$14,3,0)</f>
        <v>U</v>
      </c>
      <c r="E7628" s="53">
        <f>IF(A7600="MO-3",C7600,0)</f>
        <v>0</v>
      </c>
      <c r="F7628" s="51">
        <f>VLOOKUP(A7628,'Componentes APUs'!$A$1:$D$14,4,0)</f>
        <v>7500</v>
      </c>
      <c r="G7628" s="51">
        <f>ROUNDUP(F7628*(E7628/21)/E7584,0)</f>
        <v>0</v>
      </c>
    </row>
    <row r="7629" spans="1:9" x14ac:dyDescent="0.25">
      <c r="A7629" s="69" t="s">
        <v>89</v>
      </c>
      <c r="B7629" s="72" t="str">
        <f>VLOOKUP(A7629,'Componentes APUs'!$A$1:$D$14,2,0)</f>
        <v>Kit de rescate para trabajo en alturas</v>
      </c>
      <c r="C7629" s="73"/>
      <c r="D7629" s="50" t="str">
        <f>VLOOKUP(A7629,'Componentes APUs'!$A$1:$D$14,3,0)</f>
        <v>U</v>
      </c>
      <c r="E7629" s="50">
        <f>IF(AND(A7600="MO-3",C7600=2),1,0)</f>
        <v>0</v>
      </c>
      <c r="F7629" s="51">
        <f>VLOOKUP(A7629,'Componentes APUs'!$A$1:$D$14,4,0)</f>
        <v>37500</v>
      </c>
      <c r="G7629" s="51">
        <f>ROUNDUP(F7629*(E7629/21)/E7584,0)</f>
        <v>0</v>
      </c>
    </row>
    <row r="7630" spans="1:9" x14ac:dyDescent="0.25">
      <c r="A7630" s="50" t="s">
        <v>91</v>
      </c>
      <c r="B7630" s="72" t="str">
        <f>VLOOKUP(A7630,'Componentes APUs'!$A$1:$D$14,2,0)</f>
        <v>Equipo completo para trabajo en alturas con pretales (Arnes dielectrico, 1 mosqueton de seguridad, tie off dielectrico, eslinga de posicionamiento, juego de pretales)</v>
      </c>
      <c r="C7630" s="73"/>
      <c r="D7630" s="50" t="str">
        <f>VLOOKUP(A7630,'Componentes APUs'!$A$1:$D$14,3,0)</f>
        <v>U</v>
      </c>
      <c r="E7630" s="50">
        <f>IF(A7600="MO-3",C7600,0)</f>
        <v>0</v>
      </c>
      <c r="F7630" s="51">
        <f>VLOOKUP(A7630,'Componentes APUs'!$A$1:$D$14,4,0)</f>
        <v>26041.666666666668</v>
      </c>
      <c r="G7630" s="51">
        <f>ROUNDUP(F7630*(E7630/21)/E7584,0)</f>
        <v>0</v>
      </c>
    </row>
    <row r="7631" spans="1:9" x14ac:dyDescent="0.25">
      <c r="A7631" s="219" t="s">
        <v>95</v>
      </c>
      <c r="B7631" s="219"/>
      <c r="C7631" s="219"/>
      <c r="D7631" s="219"/>
      <c r="E7631" s="219"/>
      <c r="F7631" s="219"/>
      <c r="G7631" s="52">
        <f>SUM(G7618:G7630)</f>
        <v>627</v>
      </c>
    </row>
    <row r="7632" spans="1:9" x14ac:dyDescent="0.25">
      <c r="A7632" s="56"/>
      <c r="B7632" s="57"/>
      <c r="C7632" s="57"/>
      <c r="D7632" s="57"/>
      <c r="E7632" s="57"/>
      <c r="F7632" s="57"/>
      <c r="G7632" s="58"/>
    </row>
    <row r="7633" spans="1:7" x14ac:dyDescent="0.25">
      <c r="A7633" s="219" t="s">
        <v>96</v>
      </c>
      <c r="B7633" s="219"/>
      <c r="C7633" s="219"/>
      <c r="D7633" s="219"/>
      <c r="E7633" s="219"/>
      <c r="F7633" s="219"/>
      <c r="G7633" s="219"/>
    </row>
    <row r="7634" spans="1:7" x14ac:dyDescent="0.25">
      <c r="A7634" s="49" t="s">
        <v>35</v>
      </c>
      <c r="B7634" s="225" t="s">
        <v>36</v>
      </c>
      <c r="C7634" s="225"/>
      <c r="D7634" s="49" t="s">
        <v>37</v>
      </c>
      <c r="E7634" s="49" t="s">
        <v>38</v>
      </c>
      <c r="F7634" s="49" t="s">
        <v>39</v>
      </c>
      <c r="G7634" s="49" t="s">
        <v>40</v>
      </c>
    </row>
    <row r="7635" spans="1:7" x14ac:dyDescent="0.25">
      <c r="A7635" s="69" t="s">
        <v>97</v>
      </c>
      <c r="B7635" s="72" t="str">
        <f>VLOOKUP(A7635,'Componentes APUs'!$N$1:$Q$30,2,0)</f>
        <v>Camioneta</v>
      </c>
      <c r="C7635" s="73"/>
      <c r="D7635" s="70" t="str">
        <f>VLOOKUP(A7635,'Componentes APUs'!$N$1:$Q$30,3,0)</f>
        <v>U</v>
      </c>
      <c r="E7635" s="50">
        <v>0.25</v>
      </c>
      <c r="F7635" s="51">
        <f>VLOOKUP(A7635,'Componentes APUs'!$N$1:$Q$30,4,0)</f>
        <v>5500000</v>
      </c>
      <c r="G7635" s="51">
        <f>IFERROR(ROUNDUP(F7635*(E7635/21)/E7584,0),"-")</f>
        <v>13096</v>
      </c>
    </row>
    <row r="7636" spans="1:7" x14ac:dyDescent="0.25">
      <c r="A7636" s="50" t="s">
        <v>321</v>
      </c>
      <c r="B7636" s="72" t="str">
        <f>VLOOKUP(A7636,'Componentes APUs'!$N$1:$Q$30,2,0)</f>
        <v>Grúa Hidráulica</v>
      </c>
      <c r="C7636" s="73"/>
      <c r="D7636" s="70" t="str">
        <f>VLOOKUP(A7636,'Componentes APUs'!$N$1:$Q$30,3,0)</f>
        <v>U</v>
      </c>
      <c r="E7636" s="50">
        <v>0</v>
      </c>
      <c r="F7636" s="51">
        <f>VLOOKUP(A7636,'Componentes APUs'!$N$1:$Q$30,4,0)</f>
        <v>21000000</v>
      </c>
      <c r="G7636" s="51">
        <f>IFERROR(ROUNDUP(F7636*(E7636/21)/E7584,0),"-")</f>
        <v>0</v>
      </c>
    </row>
    <row r="7637" spans="1:7" x14ac:dyDescent="0.25">
      <c r="A7637" s="69" t="s">
        <v>1379</v>
      </c>
      <c r="B7637" s="72" t="str">
        <f>VLOOKUP(A7637,'Componentes APUs'!$N$1:$Q$30,2,0)</f>
        <v>Dumper de descarga Frontal 2T</v>
      </c>
      <c r="C7637" s="73"/>
      <c r="D7637" s="70" t="str">
        <f>VLOOKUP(A7637,'Componentes APUs'!$N$1:$Q$30,3,0)</f>
        <v>U</v>
      </c>
      <c r="E7637" s="50">
        <v>0</v>
      </c>
      <c r="F7637" s="51">
        <f>VLOOKUP(A7637,'Componentes APUs'!$N$1:$Q$30,4,0)</f>
        <v>4438716.24</v>
      </c>
      <c r="G7637" s="51">
        <f>IFERROR(ROUNDUP(F7637*(E7637/21)/E7584,0),"-")</f>
        <v>0</v>
      </c>
    </row>
    <row r="7638" spans="1:7" x14ac:dyDescent="0.25">
      <c r="A7638" s="50" t="s">
        <v>323</v>
      </c>
      <c r="B7638" s="72" t="str">
        <f>VLOOKUP(A7638,'Componentes APUs'!$N$1:$Q$30,2,0)</f>
        <v>Volqueta</v>
      </c>
      <c r="C7638" s="73"/>
      <c r="D7638" s="70" t="str">
        <f>VLOOKUP(A7638,'Componentes APUs'!$N$1:$Q$30,3,0)</f>
        <v>U</v>
      </c>
      <c r="E7638" s="50">
        <v>0</v>
      </c>
      <c r="F7638" s="51">
        <f>VLOOKUP(A7638,'Componentes APUs'!$N$1:$Q$30,4,0)</f>
        <v>14828184</v>
      </c>
      <c r="G7638" s="51">
        <f>IFERROR(ROUNDUP(F7638*(E7638/21)/E7584,0),"-")</f>
        <v>0</v>
      </c>
    </row>
    <row r="7639" spans="1:7" x14ac:dyDescent="0.25">
      <c r="A7639" s="69" t="s">
        <v>324</v>
      </c>
      <c r="B7639" s="72" t="str">
        <f>VLOOKUP(A7639,'Componentes APUs'!$N$1:$Q$30,2,0)</f>
        <v>Retroexcavadora</v>
      </c>
      <c r="C7639" s="73"/>
      <c r="D7639" s="70" t="str">
        <f>VLOOKUP(A7639,'Componentes APUs'!$N$1:$Q$30,3,0)</f>
        <v>U</v>
      </c>
      <c r="E7639" s="50">
        <v>0</v>
      </c>
      <c r="F7639" s="51">
        <f>VLOOKUP(A7639,'Componentes APUs'!$N$1:$Q$30,4,0)</f>
        <v>46030656</v>
      </c>
      <c r="G7639" s="51">
        <f>IFERROR(ROUNDUP(F7639*(E7639/21)/E7584,0),"-")</f>
        <v>0</v>
      </c>
    </row>
    <row r="7640" spans="1:7" x14ac:dyDescent="0.25">
      <c r="A7640" s="219" t="s">
        <v>99</v>
      </c>
      <c r="B7640" s="219"/>
      <c r="C7640" s="219"/>
      <c r="D7640" s="219"/>
      <c r="E7640" s="219"/>
      <c r="F7640" s="219"/>
      <c r="G7640" s="52">
        <f>SUM(G7635:G7639)</f>
        <v>13096</v>
      </c>
    </row>
    <row r="7641" spans="1:7" x14ac:dyDescent="0.25">
      <c r="A7641" s="56"/>
      <c r="B7641" s="57"/>
      <c r="C7641" s="57"/>
      <c r="D7641" s="57"/>
      <c r="E7641" s="57"/>
      <c r="F7641" s="57"/>
      <c r="G7641" s="58"/>
    </row>
    <row r="7642" spans="1:7" x14ac:dyDescent="0.25">
      <c r="A7642" s="219" t="s">
        <v>100</v>
      </c>
      <c r="B7642" s="219"/>
      <c r="C7642" s="219"/>
      <c r="D7642" s="219"/>
      <c r="E7642" s="219"/>
      <c r="F7642" s="219"/>
      <c r="G7642" s="52">
        <f>G7640+G7631+G7614+G7604+G7594</f>
        <v>133712</v>
      </c>
    </row>
    <row r="7643" spans="1:7" x14ac:dyDescent="0.25">
      <c r="A7643" s="59"/>
      <c r="B7643" s="60"/>
      <c r="C7643" s="60"/>
      <c r="D7643" s="60"/>
      <c r="E7643" s="57"/>
      <c r="F7643" s="57"/>
      <c r="G7643" s="58"/>
    </row>
    <row r="7644" spans="1:7" x14ac:dyDescent="0.25">
      <c r="A7644" s="64"/>
      <c r="D7644" s="55"/>
      <c r="E7644" s="49" t="s">
        <v>25</v>
      </c>
      <c r="F7644" s="54">
        <v>0.15</v>
      </c>
      <c r="G7644" s="51">
        <f>G7642*F7644</f>
        <v>20056.8</v>
      </c>
    </row>
    <row r="7645" spans="1:7" x14ac:dyDescent="0.25">
      <c r="A7645" s="64"/>
      <c r="D7645" s="55"/>
      <c r="E7645" s="49" t="s">
        <v>26</v>
      </c>
      <c r="F7645" s="54">
        <v>0.05</v>
      </c>
      <c r="G7645" s="51">
        <f>G7642*F7645</f>
        <v>6685.6</v>
      </c>
    </row>
    <row r="7646" spans="1:7" x14ac:dyDescent="0.25">
      <c r="A7646" s="61"/>
      <c r="B7646" s="65"/>
      <c r="C7646" s="65"/>
      <c r="D7646" s="62"/>
      <c r="E7646" s="49" t="s">
        <v>27</v>
      </c>
      <c r="F7646" s="54">
        <v>0.05</v>
      </c>
      <c r="G7646" s="51">
        <f>G7642*F7646</f>
        <v>6685.6</v>
      </c>
    </row>
    <row r="7647" spans="1:7" x14ac:dyDescent="0.25">
      <c r="A7647" s="61"/>
      <c r="B7647" s="62"/>
      <c r="C7647" s="62"/>
      <c r="D7647" s="62"/>
      <c r="E7647" s="62"/>
      <c r="F7647" s="62"/>
      <c r="G7647" s="63"/>
    </row>
    <row r="7648" spans="1:7" x14ac:dyDescent="0.25">
      <c r="A7648" s="219" t="s">
        <v>101</v>
      </c>
      <c r="B7648" s="219"/>
      <c r="C7648" s="219"/>
      <c r="D7648" s="219"/>
      <c r="E7648" s="219"/>
      <c r="F7648" s="219"/>
      <c r="G7648" s="52">
        <f>G7642+G7644+G7645+G7646</f>
        <v>167140</v>
      </c>
    </row>
    <row r="7649" spans="1:9" x14ac:dyDescent="0.25">
      <c r="A7649" s="59"/>
      <c r="B7649" s="60"/>
      <c r="C7649" s="60"/>
      <c r="D7649" s="60"/>
      <c r="E7649" s="57"/>
      <c r="F7649" s="57"/>
      <c r="G7649" s="58"/>
    </row>
    <row r="7650" spans="1:9" x14ac:dyDescent="0.25">
      <c r="A7650" s="64"/>
      <c r="D7650" s="55"/>
      <c r="E7650" s="49" t="s">
        <v>102</v>
      </c>
      <c r="F7650" s="49" t="s">
        <v>103</v>
      </c>
      <c r="G7650" s="51">
        <f>G7646*19%</f>
        <v>1270.2640000000001</v>
      </c>
    </row>
    <row r="7651" spans="1:9" x14ac:dyDescent="0.25">
      <c r="A7651" s="61"/>
      <c r="B7651" s="62"/>
      <c r="C7651" s="62"/>
      <c r="D7651" s="62"/>
      <c r="E7651" s="57"/>
      <c r="F7651" s="57"/>
      <c r="G7651" s="58"/>
    </row>
    <row r="7652" spans="1:9" x14ac:dyDescent="0.25">
      <c r="A7652" s="219" t="s">
        <v>104</v>
      </c>
      <c r="B7652" s="219"/>
      <c r="C7652" s="219"/>
      <c r="D7652" s="219"/>
      <c r="E7652" s="219"/>
      <c r="F7652" s="219"/>
      <c r="G7652" s="52">
        <f>G7650+G7648</f>
        <v>168410.264</v>
      </c>
    </row>
    <row r="7654" spans="1:9" x14ac:dyDescent="0.25">
      <c r="A7654" s="74" t="s">
        <v>29</v>
      </c>
      <c r="B7654" s="226" t="s">
        <v>30</v>
      </c>
      <c r="C7654" s="226"/>
      <c r="D7654" s="74" t="s">
        <v>31</v>
      </c>
      <c r="E7654" s="74" t="s">
        <v>32</v>
      </c>
      <c r="F7654" s="74" t="s">
        <v>189</v>
      </c>
      <c r="G7654" s="74" t="s">
        <v>33</v>
      </c>
      <c r="H7654" s="105"/>
    </row>
    <row r="7655" spans="1:9" ht="26.25" customHeight="1" x14ac:dyDescent="0.25">
      <c r="A7655" s="50" t="str">
        <f>Presupuesto!B142</f>
        <v>121_OC</v>
      </c>
      <c r="B7655" s="229" t="str">
        <f>Presupuesto!C142</f>
        <v>SUMINISTRO E INSTALACION DE ENCHAPE PARA PISO EN FORMATO 45.8X45.8SEGÚN MUESTRA Y DISEÑO</v>
      </c>
      <c r="C7655" s="230"/>
      <c r="D7655" s="50" t="s">
        <v>113</v>
      </c>
      <c r="E7655" s="107">
        <v>5</v>
      </c>
      <c r="F7655" s="50"/>
      <c r="G7655" s="51">
        <f>G7722</f>
        <v>159322.97150000001</v>
      </c>
      <c r="H7655" s="45"/>
    </row>
    <row r="7656" spans="1:9" x14ac:dyDescent="0.25">
      <c r="A7656" s="219" t="s">
        <v>34</v>
      </c>
      <c r="B7656" s="219"/>
      <c r="C7656" s="219"/>
      <c r="D7656" s="219"/>
      <c r="E7656" s="219"/>
      <c r="F7656" s="219"/>
      <c r="G7656" s="219"/>
    </row>
    <row r="7657" spans="1:9" x14ac:dyDescent="0.25">
      <c r="A7657" s="49" t="s">
        <v>35</v>
      </c>
      <c r="B7657" s="219" t="s">
        <v>36</v>
      </c>
      <c r="C7657" s="219"/>
      <c r="D7657" s="49" t="s">
        <v>37</v>
      </c>
      <c r="E7657" s="49" t="s">
        <v>38</v>
      </c>
      <c r="F7657" s="49" t="s">
        <v>39</v>
      </c>
      <c r="G7657" s="49" t="s">
        <v>40</v>
      </c>
    </row>
    <row r="7658" spans="1:9" x14ac:dyDescent="0.25">
      <c r="A7658" s="50" t="str">
        <f>Material!A637</f>
        <v>MA-636</v>
      </c>
      <c r="B7658" s="72" t="str">
        <f>IFERROR(VLOOKUP(A7658,Material!$A:$H,2,0),"-")</f>
        <v>PEGACOR GRIS</v>
      </c>
      <c r="C7658" s="76"/>
      <c r="D7658" s="50" t="str">
        <f>IFERROR(VLOOKUP(A7658,Material!$A:$H,4,0),"-")</f>
        <v>KG</v>
      </c>
      <c r="E7658" s="108">
        <v>4.2</v>
      </c>
      <c r="F7658" s="51">
        <f>IFERROR(VLOOKUP(A7658,Material!$A:$H,3,0),"-")</f>
        <v>2050.1</v>
      </c>
      <c r="G7658" s="51">
        <f t="shared" ref="G7658:G7663" si="109">IFERROR(ROUNDUP(F7658*E7658,0),"-")</f>
        <v>8611</v>
      </c>
      <c r="H7658" s="106"/>
    </row>
    <row r="7659" spans="1:9" x14ac:dyDescent="0.25">
      <c r="A7659" s="50" t="str">
        <f>Material!A282</f>
        <v>MA-281</v>
      </c>
      <c r="B7659" s="72" t="str">
        <f>IFERROR(VLOOKUP(A7659,Material!$A:$H,2,0),"-")</f>
        <v>AGUA</v>
      </c>
      <c r="C7659" s="76"/>
      <c r="D7659" s="50" t="str">
        <f>IFERROR(VLOOKUP(A7659,Material!$A:$H,4,0),"-")</f>
        <v>M3</v>
      </c>
      <c r="E7659" s="108">
        <v>16.8</v>
      </c>
      <c r="F7659" s="51">
        <f>IFERROR(VLOOKUP(A7659,Material!$A:$H,3,0),"-")</f>
        <v>94.9</v>
      </c>
      <c r="G7659" s="51">
        <f t="shared" si="109"/>
        <v>1595</v>
      </c>
      <c r="H7659" s="106"/>
    </row>
    <row r="7660" spans="1:9" x14ac:dyDescent="0.25">
      <c r="A7660" s="50" t="str">
        <f>Material!A638</f>
        <v>MA-637</v>
      </c>
      <c r="B7660" s="72" t="str">
        <f>IFERROR(VLOOKUP(A7660,Material!$A:$H,2,0),"-")</f>
        <v>ENCHAPE DE 30X60</v>
      </c>
      <c r="C7660" s="76"/>
      <c r="D7660" s="50" t="str">
        <f>IFERROR(VLOOKUP(A7660,Material!$A:$H,4,0),"-")</f>
        <v>M2</v>
      </c>
      <c r="E7660" s="107">
        <v>1.05</v>
      </c>
      <c r="F7660" s="51">
        <f>IFERROR(VLOOKUP(A7660,Material!$A:$H,3,0),"-")</f>
        <v>62400</v>
      </c>
      <c r="G7660" s="51">
        <f t="shared" si="109"/>
        <v>65520</v>
      </c>
      <c r="H7660" s="106"/>
    </row>
    <row r="7661" spans="1:9" x14ac:dyDescent="0.25">
      <c r="A7661" s="50" t="str">
        <f>Material!A639</f>
        <v>MA-638</v>
      </c>
      <c r="B7661" s="72" t="str">
        <f>IFERROR(VLOOKUP(A7661,Material!$A:$H,2,0),"-")</f>
        <v>CRUCETA PLÁSTICA</v>
      </c>
      <c r="C7661" s="76"/>
      <c r="D7661" s="50" t="str">
        <f>IFERROR(VLOOKUP(A7661,Material!$A:$H,4,0),"-")</f>
        <v>UN</v>
      </c>
      <c r="E7661" s="107">
        <v>9</v>
      </c>
      <c r="F7661" s="51">
        <f>IFERROR(VLOOKUP(A7661,Material!$A:$H,3,0),"-")</f>
        <v>48.1</v>
      </c>
      <c r="G7661" s="51">
        <f t="shared" si="109"/>
        <v>433</v>
      </c>
      <c r="H7661" s="106"/>
    </row>
    <row r="7662" spans="1:9" x14ac:dyDescent="0.25">
      <c r="A7662" s="50" t="str">
        <f>Material!A640</f>
        <v>MA-639</v>
      </c>
      <c r="B7662" s="72" t="str">
        <f>IFERROR(VLOOKUP(A7662,Material!$A:$H,2,0),"-")</f>
        <v>BLANCO DE ZINC</v>
      </c>
      <c r="C7662" s="76"/>
      <c r="D7662" s="50" t="str">
        <f>IFERROR(VLOOKUP(A7662,Material!$A:$H,4,0),"-")</f>
        <v>LB</v>
      </c>
      <c r="E7662" s="107">
        <v>0.1</v>
      </c>
      <c r="F7662" s="51">
        <f>IFERROR(VLOOKUP(A7662,Material!$A:$H,3,0),"-")</f>
        <v>5224.7</v>
      </c>
      <c r="G7662" s="51">
        <f t="shared" si="109"/>
        <v>523</v>
      </c>
      <c r="H7662" s="106"/>
    </row>
    <row r="7663" spans="1:9" x14ac:dyDescent="0.25">
      <c r="A7663" s="50" t="str">
        <f>Material!A641</f>
        <v>MA-640</v>
      </c>
      <c r="B7663" s="72" t="str">
        <f>IFERROR(VLOOKUP(A7663,Material!$A:$H,2,0),"-")</f>
        <v>ESTOPA DE LIMPIEZA (Hilaza de Algodón)</v>
      </c>
      <c r="C7663" s="76"/>
      <c r="D7663" s="50" t="str">
        <f>IFERROR(VLOOKUP(A7663,Material!$A:$H,4,0),"-")</f>
        <v>KG</v>
      </c>
      <c r="E7663" s="107">
        <v>0.05</v>
      </c>
      <c r="F7663" s="51">
        <f>IFERROR(VLOOKUP(A7663,Material!$A:$H,3,0),"-")</f>
        <v>12591.800000000001</v>
      </c>
      <c r="G7663" s="51">
        <f t="shared" si="109"/>
        <v>630</v>
      </c>
      <c r="H7663" s="106"/>
    </row>
    <row r="7664" spans="1:9" x14ac:dyDescent="0.25">
      <c r="A7664" s="219" t="s">
        <v>41</v>
      </c>
      <c r="B7664" s="219"/>
      <c r="C7664" s="219"/>
      <c r="D7664" s="219"/>
      <c r="E7664" s="219"/>
      <c r="F7664" s="219"/>
      <c r="G7664" s="52">
        <f>SUM(G7658:G7663)</f>
        <v>77312</v>
      </c>
      <c r="I7664" s="104"/>
    </row>
    <row r="7665" spans="1:9" x14ac:dyDescent="0.25">
      <c r="A7665" s="56"/>
      <c r="B7665" s="57"/>
      <c r="C7665" s="57"/>
      <c r="D7665" s="57"/>
      <c r="E7665" s="57"/>
      <c r="F7665" s="57"/>
      <c r="G7665" s="58"/>
    </row>
    <row r="7666" spans="1:9" x14ac:dyDescent="0.25">
      <c r="A7666" s="219" t="s">
        <v>42</v>
      </c>
      <c r="B7666" s="219"/>
      <c r="C7666" s="219"/>
      <c r="D7666" s="219"/>
      <c r="E7666" s="219"/>
      <c r="F7666" s="219"/>
      <c r="G7666" s="219"/>
    </row>
    <row r="7667" spans="1:9" x14ac:dyDescent="0.25">
      <c r="A7667" s="49" t="s">
        <v>35</v>
      </c>
      <c r="B7667" s="49" t="s">
        <v>36</v>
      </c>
      <c r="C7667" s="49" t="s">
        <v>38</v>
      </c>
      <c r="D7667" s="49" t="s">
        <v>43</v>
      </c>
      <c r="E7667" s="49" t="s">
        <v>44</v>
      </c>
      <c r="F7667" s="49" t="s">
        <v>45</v>
      </c>
      <c r="G7667" s="49" t="s">
        <v>40</v>
      </c>
    </row>
    <row r="7668" spans="1:9" x14ac:dyDescent="0.25">
      <c r="A7668" s="50" t="s">
        <v>319</v>
      </c>
      <c r="B7668" s="68" t="str">
        <f>VLOOKUP(A7668,'Componentes APUs'!$H$1:$L$25,2,0)</f>
        <v>Ingeniero Residente de Obra</v>
      </c>
      <c r="C7668" s="93">
        <v>0</v>
      </c>
      <c r="D7668" s="50">
        <f>VLOOKUP(A7668,'Componentes APUs'!$H$1:$L$25,3,0)</f>
        <v>4</v>
      </c>
      <c r="E7668" s="51">
        <f>VLOOKUP(A7668,'Componentes APUs'!$H$1:$L$25,4,0)</f>
        <v>271142.85714285716</v>
      </c>
      <c r="F7668" s="51">
        <f>VLOOKUP(A7668,'Componentes APUs'!$H$1:$L$25,5,0)</f>
        <v>162685.71428571429</v>
      </c>
      <c r="G7668" s="51">
        <f>ROUNDUP((E7668+F7668)*C7668/E7655,0)</f>
        <v>0</v>
      </c>
      <c r="H7668" s="66"/>
    </row>
    <row r="7669" spans="1:9" x14ac:dyDescent="0.25">
      <c r="A7669" s="50" t="s">
        <v>320</v>
      </c>
      <c r="B7669" s="68" t="str">
        <f>VLOOKUP(A7669,'Componentes APUs'!$H$1:$L$25,2,0)</f>
        <v>Tecnico Supervisor</v>
      </c>
      <c r="C7669" s="93">
        <v>0</v>
      </c>
      <c r="D7669" s="50">
        <f>VLOOKUP(A7669,'Componentes APUs'!$H$1:$L$25,3,0)</f>
        <v>2.2999999999999998</v>
      </c>
      <c r="E7669" s="51">
        <f>VLOOKUP(A7669,'Componentes APUs'!$H$1:$L$25,4,0)</f>
        <v>155907.14285714284</v>
      </c>
      <c r="F7669" s="51">
        <f>VLOOKUP(A7669,'Componentes APUs'!$H$1:$L$25,5,0)</f>
        <v>93544.285714285696</v>
      </c>
      <c r="G7669" s="51">
        <f>ROUNDUP((E7669+F7669)*C7669/E7655,0)</f>
        <v>0</v>
      </c>
    </row>
    <row r="7670" spans="1:9" x14ac:dyDescent="0.25">
      <c r="A7670" s="50" t="s">
        <v>54</v>
      </c>
      <c r="B7670" s="68" t="str">
        <f>VLOOKUP(A7670,'Componentes APUs'!$H$1:$L$25,2,0)</f>
        <v>Maestro de obra civil</v>
      </c>
      <c r="C7670" s="93">
        <v>0</v>
      </c>
      <c r="D7670" s="50">
        <f>VLOOKUP(A7670,'Componentes APUs'!$H$1:$L$25,3,0)</f>
        <v>2.5</v>
      </c>
      <c r="E7670" s="51">
        <f>VLOOKUP(A7670,'Componentes APUs'!$H$1:$L$25,4,0)</f>
        <v>169464.28571428571</v>
      </c>
      <c r="F7670" s="51">
        <f>VLOOKUP(A7670,'Componentes APUs'!$H$1:$L$25,5,0)</f>
        <v>101678.57142857142</v>
      </c>
      <c r="G7670" s="51">
        <f>ROUNDUP((E7670+F7670)*C7670/E7655,0)</f>
        <v>0</v>
      </c>
    </row>
    <row r="7671" spans="1:9" x14ac:dyDescent="0.25">
      <c r="A7671" s="50" t="s">
        <v>1110</v>
      </c>
      <c r="B7671" s="68" t="str">
        <f>VLOOKUP(A7671,'Componentes APUs'!$H$1:$L$25,2,0)</f>
        <v>Oficial de Obra Civil</v>
      </c>
      <c r="C7671" s="93">
        <v>0.25</v>
      </c>
      <c r="D7671" s="50">
        <f>VLOOKUP(A7671,'Componentes APUs'!$H$1:$L$25,3,0)</f>
        <v>1.5</v>
      </c>
      <c r="E7671" s="51">
        <f>VLOOKUP(A7671,'Componentes APUs'!$H$1:$L$25,4,0)</f>
        <v>115964.28571428571</v>
      </c>
      <c r="F7671" s="51">
        <f>VLOOKUP(A7671,'Componentes APUs'!$H$1:$L$25,5,0)</f>
        <v>69578.57142857142</v>
      </c>
      <c r="G7671" s="51">
        <f>ROUNDUP((E7671+F7671)*C7671/E7655,0)</f>
        <v>9278</v>
      </c>
    </row>
    <row r="7672" spans="1:9" x14ac:dyDescent="0.25">
      <c r="A7672" s="50" t="s">
        <v>50</v>
      </c>
      <c r="B7672" s="68" t="str">
        <f>VLOOKUP(A7672,'Componentes APUs'!$H$1:$L$25,2,0)</f>
        <v>Profesional en SST</v>
      </c>
      <c r="C7672" s="93">
        <v>0</v>
      </c>
      <c r="D7672" s="50">
        <f>VLOOKUP(A7672,'Componentes APUs'!$H$1:$L$25,3,0)</f>
        <v>2.5</v>
      </c>
      <c r="E7672" s="51">
        <f>VLOOKUP(A7672,'Componentes APUs'!$H$1:$L$25,4,0)</f>
        <v>169464.28571428571</v>
      </c>
      <c r="F7672" s="51">
        <f>VLOOKUP(A7672,'Componentes APUs'!$H$1:$L$25,5,0)</f>
        <v>101678.57142857142</v>
      </c>
      <c r="G7672" s="51">
        <f>ROUNDUP((E7672+F7672)*C7672/E7655,0)</f>
        <v>0</v>
      </c>
    </row>
    <row r="7673" spans="1:9" x14ac:dyDescent="0.25">
      <c r="A7673" s="50" t="s">
        <v>1109</v>
      </c>
      <c r="B7673" s="68" t="str">
        <f>VLOOKUP(A7673,'Componentes APUs'!$H$1:$L$25,2,0)</f>
        <v>Ayudante de Obra Civil</v>
      </c>
      <c r="C7673" s="93">
        <v>1</v>
      </c>
      <c r="D7673" s="50">
        <f>VLOOKUP(A7673,'Componentes APUs'!$H$1:$L$25,3,0)</f>
        <v>1</v>
      </c>
      <c r="E7673" s="51">
        <f>VLOOKUP(A7673,'Componentes APUs'!$H$1:$L$25,4,0)</f>
        <v>77309.523809523816</v>
      </c>
      <c r="F7673" s="51">
        <f>VLOOKUP(A7673,'Componentes APUs'!$H$1:$L$25,5,0)</f>
        <v>46385.71428571429</v>
      </c>
      <c r="G7673" s="51">
        <f>ROUNDUP((E7673+F7673)*C7673/E7655,0)</f>
        <v>24740</v>
      </c>
    </row>
    <row r="7674" spans="1:9" x14ac:dyDescent="0.25">
      <c r="A7674" s="219" t="s">
        <v>56</v>
      </c>
      <c r="B7674" s="219"/>
      <c r="C7674" s="219"/>
      <c r="D7674" s="219"/>
      <c r="E7674" s="219"/>
      <c r="F7674" s="219"/>
      <c r="G7674" s="52">
        <f>SUM(G7668:G7673)</f>
        <v>34018</v>
      </c>
    </row>
    <row r="7675" spans="1:9" x14ac:dyDescent="0.25">
      <c r="A7675" s="56"/>
      <c r="B7675" s="57"/>
      <c r="C7675" s="57"/>
      <c r="D7675" s="57"/>
      <c r="E7675" s="57"/>
      <c r="F7675" s="57"/>
      <c r="G7675" s="58"/>
    </row>
    <row r="7676" spans="1:9" x14ac:dyDescent="0.25">
      <c r="A7676" s="219" t="s">
        <v>57</v>
      </c>
      <c r="B7676" s="219"/>
      <c r="C7676" s="219"/>
      <c r="D7676" s="219"/>
      <c r="E7676" s="219"/>
      <c r="F7676" s="219"/>
      <c r="G7676" s="219"/>
    </row>
    <row r="7677" spans="1:9" x14ac:dyDescent="0.25">
      <c r="A7677" s="49" t="s">
        <v>35</v>
      </c>
      <c r="B7677" s="219" t="s">
        <v>36</v>
      </c>
      <c r="C7677" s="219"/>
      <c r="D7677" s="49" t="s">
        <v>37</v>
      </c>
      <c r="E7677" s="49" t="s">
        <v>38</v>
      </c>
      <c r="F7677" s="49" t="s">
        <v>39</v>
      </c>
      <c r="G7677" s="49" t="s">
        <v>40</v>
      </c>
    </row>
    <row r="7678" spans="1:9" x14ac:dyDescent="0.25">
      <c r="A7678" s="50" t="s">
        <v>326</v>
      </c>
      <c r="B7678" s="220" t="str">
        <f>VLOOKUP(A7678,'Componentes APUs'!$S$1:$V$10,2,0)</f>
        <v>Juego Llaves</v>
      </c>
      <c r="C7678" s="220"/>
      <c r="D7678" s="50" t="s">
        <v>18</v>
      </c>
      <c r="E7678" s="50">
        <v>0</v>
      </c>
      <c r="F7678" s="51">
        <f>VLOOKUP(A7678,'Componentes APUs'!$S$1:$V$10,4,0)</f>
        <v>9167</v>
      </c>
      <c r="G7678" s="51">
        <f>ROUNDUP(F7678*((E7678/21)/E7655),0)</f>
        <v>0</v>
      </c>
      <c r="I7678" s="91"/>
    </row>
    <row r="7679" spans="1:9" x14ac:dyDescent="0.25">
      <c r="A7679" s="50" t="s">
        <v>58</v>
      </c>
      <c r="B7679" s="220" t="str">
        <f>VLOOKUP(A7679,'Componentes APUs'!$S$1:$V$10,2,0)</f>
        <v>Manila de servicio</v>
      </c>
      <c r="C7679" s="220"/>
      <c r="D7679" s="50" t="s">
        <v>18</v>
      </c>
      <c r="E7679" s="50">
        <v>0</v>
      </c>
      <c r="F7679" s="51">
        <f>VLOOKUP(A7679,'Componentes APUs'!$S$1:$V$10,4,0)</f>
        <v>2333</v>
      </c>
      <c r="G7679" s="51">
        <f>ROUNDUP(F7679*((E7679/21)/E7655),0)</f>
        <v>0</v>
      </c>
    </row>
    <row r="7680" spans="1:9" x14ac:dyDescent="0.25">
      <c r="A7680" s="50" t="s">
        <v>327</v>
      </c>
      <c r="B7680" s="220" t="str">
        <f>VLOOKUP(A7680,'Componentes APUs'!$S$1:$V$10,2,0)</f>
        <v>Tula portaherramientas</v>
      </c>
      <c r="C7680" s="220"/>
      <c r="D7680" s="50" t="s">
        <v>18</v>
      </c>
      <c r="E7680" s="50">
        <v>0</v>
      </c>
      <c r="F7680" s="51">
        <f>VLOOKUP(A7680,'Componentes APUs'!$S$1:$V$10,4,0)</f>
        <v>1250</v>
      </c>
      <c r="G7680" s="51">
        <f>ROUNDUP(F7680*((E7680/21)/E7655),0)</f>
        <v>0</v>
      </c>
    </row>
    <row r="7681" spans="1:9" x14ac:dyDescent="0.25">
      <c r="A7681" s="50" t="s">
        <v>60</v>
      </c>
      <c r="B7681" s="220" t="str">
        <f>VLOOKUP(A7681,'Componentes APUs'!$S$1:$V$10,2,0)</f>
        <v>Agarradoras</v>
      </c>
      <c r="C7681" s="220"/>
      <c r="D7681" s="50" t="s">
        <v>18</v>
      </c>
      <c r="E7681" s="50">
        <v>0</v>
      </c>
      <c r="F7681" s="51">
        <f>VLOOKUP(A7681,'Componentes APUs'!$S$1:$V$10,4,0)</f>
        <v>125000</v>
      </c>
      <c r="G7681" s="51">
        <f>ROUNDUP(F7681*((E7681/21)/E7655),0)</f>
        <v>0</v>
      </c>
    </row>
    <row r="7682" spans="1:9" x14ac:dyDescent="0.25">
      <c r="A7682" s="50" t="s">
        <v>62</v>
      </c>
      <c r="B7682" s="220" t="str">
        <f>VLOOKUP(A7682,'Componentes APUs'!$S$1:$V$10,2,0)</f>
        <v>Templadoras</v>
      </c>
      <c r="C7682" s="220"/>
      <c r="D7682" s="50" t="s">
        <v>18</v>
      </c>
      <c r="E7682" s="50">
        <v>0</v>
      </c>
      <c r="F7682" s="51">
        <f>VLOOKUP(A7682,'Componentes APUs'!$S$1:$V$10,4,0)</f>
        <v>250000</v>
      </c>
      <c r="G7682" s="51">
        <f>ROUNDUP(F7682*((E7682/21)/E7655),0)</f>
        <v>0</v>
      </c>
    </row>
    <row r="7683" spans="1:9" x14ac:dyDescent="0.25">
      <c r="A7683" s="50" t="s">
        <v>328</v>
      </c>
      <c r="B7683" s="220" t="str">
        <f>VLOOKUP(A7683,'Componentes APUs'!$S$1:$V$10,2,0)</f>
        <v>Herramienta Menor</v>
      </c>
      <c r="C7683" s="220"/>
      <c r="D7683" s="50" t="s">
        <v>18</v>
      </c>
      <c r="E7683" s="50">
        <v>2</v>
      </c>
      <c r="F7683" s="51">
        <f>VLOOKUP(A7683,'Componentes APUs'!$S$1:$V$10,4,0)</f>
        <v>75758</v>
      </c>
      <c r="G7683" s="51">
        <f>ROUNDUP(F7683*((E7683/21)/E7655),0)</f>
        <v>1444</v>
      </c>
    </row>
    <row r="7684" spans="1:9" x14ac:dyDescent="0.25">
      <c r="A7684" s="219" t="s">
        <v>69</v>
      </c>
      <c r="B7684" s="219"/>
      <c r="C7684" s="219"/>
      <c r="D7684" s="219"/>
      <c r="E7684" s="219"/>
      <c r="F7684" s="219"/>
      <c r="G7684" s="52">
        <f>SUM(G7678:G7683)</f>
        <v>1444</v>
      </c>
    </row>
    <row r="7685" spans="1:9" x14ac:dyDescent="0.25">
      <c r="A7685" s="56"/>
      <c r="B7685" s="57"/>
      <c r="C7685" s="57"/>
      <c r="D7685" s="57"/>
      <c r="E7685" s="57"/>
      <c r="F7685" s="57"/>
      <c r="G7685" s="58"/>
    </row>
    <row r="7686" spans="1:9" x14ac:dyDescent="0.25">
      <c r="A7686" s="219" t="s">
        <v>70</v>
      </c>
      <c r="B7686" s="219"/>
      <c r="C7686" s="219"/>
      <c r="D7686" s="219"/>
      <c r="E7686" s="219"/>
      <c r="F7686" s="219"/>
      <c r="G7686" s="219"/>
    </row>
    <row r="7687" spans="1:9" x14ac:dyDescent="0.25">
      <c r="A7687" s="49" t="s">
        <v>35</v>
      </c>
      <c r="B7687" s="219" t="s">
        <v>36</v>
      </c>
      <c r="C7687" s="219"/>
      <c r="D7687" s="49" t="s">
        <v>37</v>
      </c>
      <c r="E7687" s="49" t="s">
        <v>38</v>
      </c>
      <c r="F7687" s="49" t="s">
        <v>39</v>
      </c>
      <c r="G7687" s="49" t="s">
        <v>40</v>
      </c>
    </row>
    <row r="7688" spans="1:9" x14ac:dyDescent="0.25">
      <c r="A7688" s="50" t="s">
        <v>71</v>
      </c>
      <c r="B7688" s="71" t="str">
        <f>VLOOKUP(A7688,'Componentes APUs'!$A$1:$D$14,2,0)</f>
        <v>Camisa indigo sin partes metalicas</v>
      </c>
      <c r="C7688" s="71"/>
      <c r="D7688" s="50" t="str">
        <f>VLOOKUP(A7688,'Componentes APUs'!$A$1:$D$14,3,0)</f>
        <v>U</v>
      </c>
      <c r="E7688" s="50">
        <f>SUM(C7668:C7673)</f>
        <v>1.25</v>
      </c>
      <c r="F7688" s="51">
        <f>VLOOKUP(A7688,'Componentes APUs'!$A$1:$D$14,4,0)</f>
        <v>8585.8585858585866</v>
      </c>
      <c r="G7688" s="51">
        <f>ROUNDUP(F7688*(E7688/21)/E7655,0)</f>
        <v>103</v>
      </c>
      <c r="I7688" s="91"/>
    </row>
    <row r="7689" spans="1:9" x14ac:dyDescent="0.25">
      <c r="A7689" s="69" t="s">
        <v>73</v>
      </c>
      <c r="B7689" s="72" t="str">
        <f>VLOOKUP(A7689,'Componentes APUs'!$A$1:$D$14,2,0)</f>
        <v>Bota de seguridad dielectrica</v>
      </c>
      <c r="C7689" s="73"/>
      <c r="D7689" s="70" t="str">
        <f>VLOOKUP(A7689,'Componentes APUs'!$A$1:$D$14,3,0)</f>
        <v>Par</v>
      </c>
      <c r="E7689" s="50">
        <f>SUM(C7668:C7673)</f>
        <v>1.25</v>
      </c>
      <c r="F7689" s="51">
        <f>VLOOKUP(A7689,'Componentes APUs'!$A$1:$D$14,4,0)</f>
        <v>7500</v>
      </c>
      <c r="G7689" s="51">
        <f>ROUNDUP(F7689*(E7689/21)/E7655,0)</f>
        <v>90</v>
      </c>
    </row>
    <row r="7690" spans="1:9" x14ac:dyDescent="0.25">
      <c r="A7690" s="50" t="s">
        <v>76</v>
      </c>
      <c r="B7690" s="72" t="str">
        <f>VLOOKUP(A7690,'Componentes APUs'!$A$1:$D$14,2,0)</f>
        <v>Casco dielectrico Tipo 1 Clase E con barbuquejo</v>
      </c>
      <c r="C7690" s="73"/>
      <c r="D7690" s="50" t="str">
        <f>VLOOKUP(A7690,'Componentes APUs'!$A$1:$D$14,3,0)</f>
        <v>U</v>
      </c>
      <c r="E7690" s="50">
        <f>C7668+C7669+C7671+C7672+C7673+IF(A7670&lt;&gt;"MO-3",C7670,0)</f>
        <v>1.25</v>
      </c>
      <c r="F7690" s="51">
        <f>VLOOKUP(A7690,'Componentes APUs'!$A$1:$D$14,4,0)</f>
        <v>10101.010101010101</v>
      </c>
      <c r="G7690" s="51">
        <f>ROUNDUP(F7690*(E7690/21)/E7655,0)</f>
        <v>121</v>
      </c>
    </row>
    <row r="7691" spans="1:9" x14ac:dyDescent="0.25">
      <c r="A7691" s="69" t="s">
        <v>77</v>
      </c>
      <c r="B7691" s="72" t="str">
        <f>VLOOKUP(A7691,'Componentes APUs'!$A$1:$D$14,2,0)</f>
        <v>Correa plastica y antiflama</v>
      </c>
      <c r="C7691" s="73"/>
      <c r="D7691" s="50" t="str">
        <f>VLOOKUP(A7691,'Componentes APUs'!$A$1:$D$14,3,0)</f>
        <v>U</v>
      </c>
      <c r="E7691" s="50">
        <f>SUM(C7668:C7673)</f>
        <v>1.25</v>
      </c>
      <c r="F7691" s="51">
        <f>VLOOKUP(A7691,'Componentes APUs'!$A$1:$D$14,4,0)</f>
        <v>3787.878787878788</v>
      </c>
      <c r="G7691" s="51">
        <f>ROUNDUP(F7691*(E7691/21)/E7655,0)</f>
        <v>46</v>
      </c>
    </row>
    <row r="7692" spans="1:9" x14ac:dyDescent="0.25">
      <c r="A7692" s="50" t="s">
        <v>79</v>
      </c>
      <c r="B7692" s="72" t="str">
        <f>VLOOKUP(A7692,'Componentes APUs'!$A$1:$D$14,2,0)</f>
        <v>Gafas protectoras filtro UV</v>
      </c>
      <c r="C7692" s="73"/>
      <c r="D7692" s="50" t="str">
        <f>VLOOKUP(A7692,'Componentes APUs'!$A$1:$D$14,3,0)</f>
        <v>U</v>
      </c>
      <c r="E7692" s="50">
        <f>SUM(C7668:C7673)</f>
        <v>1.25</v>
      </c>
      <c r="F7692" s="51">
        <f>VLOOKUP(A7692,'Componentes APUs'!$A$1:$D$14,4,0)</f>
        <v>2777.7777777777778</v>
      </c>
      <c r="G7692" s="51">
        <f>ROUNDUP(F7692*(E7692/21)/E7655,0)</f>
        <v>34</v>
      </c>
    </row>
    <row r="7693" spans="1:9" x14ac:dyDescent="0.25">
      <c r="A7693" s="69" t="s">
        <v>402</v>
      </c>
      <c r="B7693" s="72" t="str">
        <f>VLOOKUP(A7693,'Componentes APUs'!$A$1:$D$14,2,0)</f>
        <v>Bota de seguridad PVC dielectrica</v>
      </c>
      <c r="C7693" s="73"/>
      <c r="D7693" s="50" t="str">
        <f>VLOOKUP(A7693,'Componentes APUs'!$A$1:$D$14,3,0)</f>
        <v>Par</v>
      </c>
      <c r="E7693" s="50">
        <f>SUM(C7668:C7673)</f>
        <v>1.25</v>
      </c>
      <c r="F7693" s="51">
        <f>VLOOKUP(A7693,'Componentes APUs'!$A$1:$D$14,4,0)</f>
        <v>2916.6666666666665</v>
      </c>
      <c r="G7693" s="51">
        <f>ROUNDUP(F7693*(E7693/21)/E7655,0)</f>
        <v>35</v>
      </c>
    </row>
    <row r="7694" spans="1:9" x14ac:dyDescent="0.25">
      <c r="A7694" s="50" t="s">
        <v>403</v>
      </c>
      <c r="B7694" s="72" t="str">
        <f>VLOOKUP(A7694,'Componentes APUs'!$A$1:$D$14,2,0)</f>
        <v>Capuchon</v>
      </c>
      <c r="C7694" s="73"/>
      <c r="D7694" s="50" t="str">
        <f>VLOOKUP(A7694,'Componentes APUs'!$A$1:$D$14,3,0)</f>
        <v>U</v>
      </c>
      <c r="E7694" s="50">
        <f>SUM(C7668:C7673)</f>
        <v>1.25</v>
      </c>
      <c r="F7694" s="51">
        <f>VLOOKUP(A7694,'Componentes APUs'!$A$1:$D$14,4,0)</f>
        <v>2525.2525252525252</v>
      </c>
      <c r="G7694" s="51">
        <f>ROUNDUP(F7694*(E7694/21)/E7655,0)</f>
        <v>31</v>
      </c>
    </row>
    <row r="7695" spans="1:9" x14ac:dyDescent="0.25">
      <c r="A7695" s="69" t="s">
        <v>81</v>
      </c>
      <c r="B7695" s="72" t="str">
        <f>VLOOKUP(A7695,'Componentes APUs'!$A$1:$D$14,2,0)</f>
        <v>Guantes Protectores  - ingeniero reforzados</v>
      </c>
      <c r="C7695" s="73"/>
      <c r="D7695" s="50" t="str">
        <f>VLOOKUP(A7695,'Componentes APUs'!$A$1:$D$14,3,0)</f>
        <v>Par</v>
      </c>
      <c r="E7695" s="50">
        <f>C7670+C7671+C7673</f>
        <v>1.25</v>
      </c>
      <c r="F7695" s="51">
        <f>VLOOKUP(A7695,'Componentes APUs'!$A$1:$D$14,4,0)</f>
        <v>2525.2525252525252</v>
      </c>
      <c r="G7695" s="51">
        <f>ROUNDUP(F7695*(E7695/21)/E7655,0)</f>
        <v>31</v>
      </c>
    </row>
    <row r="7696" spans="1:9" x14ac:dyDescent="0.25">
      <c r="A7696" s="50" t="s">
        <v>83</v>
      </c>
      <c r="B7696" s="72" t="str">
        <f>VLOOKUP(A7696,'Componentes APUs'!$A$1:$D$14,2,0)</f>
        <v>Impermeable (pantalon camisa)</v>
      </c>
      <c r="C7696" s="73"/>
      <c r="D7696" s="50" t="str">
        <f>VLOOKUP(A7696,'Componentes APUs'!$A$1:$D$14,3,0)</f>
        <v>U</v>
      </c>
      <c r="E7696" s="50">
        <f>SUM(C7668:C7673)</f>
        <v>1.25</v>
      </c>
      <c r="F7696" s="51">
        <f>VLOOKUP(A7696,'Componentes APUs'!$A$1:$D$14,4,0)</f>
        <v>3750</v>
      </c>
      <c r="G7696" s="51">
        <f>ROUNDUP(F7696*(E7696/21)/E7655,0)</f>
        <v>45</v>
      </c>
    </row>
    <row r="7697" spans="1:7" x14ac:dyDescent="0.25">
      <c r="A7697" s="69" t="s">
        <v>85</v>
      </c>
      <c r="B7697" s="72" t="str">
        <f>VLOOKUP(A7697,'Componentes APUs'!$A$1:$D$14,2,0)</f>
        <v>Jean Dielectrico</v>
      </c>
      <c r="C7697" s="73"/>
      <c r="D7697" s="50" t="str">
        <f>VLOOKUP(A7697,'Componentes APUs'!$A$1:$D$14,3,0)</f>
        <v>U</v>
      </c>
      <c r="E7697" s="50">
        <f>SUM(C7668:C7673)</f>
        <v>1.25</v>
      </c>
      <c r="F7697" s="51">
        <f>VLOOKUP(A7697,'Componentes APUs'!$A$1:$D$14,4,0)</f>
        <v>7575.757575757576</v>
      </c>
      <c r="G7697" s="51">
        <f>ROUNDUP(F7697*(E7697/21)/E7655,0)</f>
        <v>91</v>
      </c>
    </row>
    <row r="7698" spans="1:7" x14ac:dyDescent="0.25">
      <c r="A7698" s="50" t="s">
        <v>87</v>
      </c>
      <c r="B7698" s="72" t="str">
        <f>VLOOKUP(A7698,'Componentes APUs'!$A$1:$D$14,2,0)</f>
        <v>Casco dielectrico Tipo 2 Clase E con barboquejo</v>
      </c>
      <c r="C7698" s="73"/>
      <c r="D7698" s="50" t="str">
        <f>VLOOKUP(A7698,'Componentes APUs'!$A$1:$D$14,3,0)</f>
        <v>U</v>
      </c>
      <c r="E7698" s="53">
        <f>IF(A7670="MO-3",C7670,0)</f>
        <v>0</v>
      </c>
      <c r="F7698" s="51">
        <f>VLOOKUP(A7698,'Componentes APUs'!$A$1:$D$14,4,0)</f>
        <v>7500</v>
      </c>
      <c r="G7698" s="51">
        <f>ROUNDUP(F7698*(E7698/21)/E7655,0)</f>
        <v>0</v>
      </c>
    </row>
    <row r="7699" spans="1:7" x14ac:dyDescent="0.25">
      <c r="A7699" s="69" t="s">
        <v>89</v>
      </c>
      <c r="B7699" s="72" t="str">
        <f>VLOOKUP(A7699,'Componentes APUs'!$A$1:$D$14,2,0)</f>
        <v>Kit de rescate para trabajo en alturas</v>
      </c>
      <c r="C7699" s="73"/>
      <c r="D7699" s="50" t="str">
        <f>VLOOKUP(A7699,'Componentes APUs'!$A$1:$D$14,3,0)</f>
        <v>U</v>
      </c>
      <c r="E7699" s="50">
        <f>IF(AND(A7670="MO-3",C7670=2),1,0)</f>
        <v>0</v>
      </c>
      <c r="F7699" s="51">
        <f>VLOOKUP(A7699,'Componentes APUs'!$A$1:$D$14,4,0)</f>
        <v>37500</v>
      </c>
      <c r="G7699" s="51">
        <f>ROUNDUP(F7699*(E7699/21)/E7655,0)</f>
        <v>0</v>
      </c>
    </row>
    <row r="7700" spans="1:7" x14ac:dyDescent="0.25">
      <c r="A7700" s="50" t="s">
        <v>91</v>
      </c>
      <c r="B7700" s="72" t="str">
        <f>VLOOKUP(A7700,'Componentes APUs'!$A$1:$D$14,2,0)</f>
        <v>Equipo completo para trabajo en alturas con pretales (Arnes dielectrico, 1 mosqueton de seguridad, tie off dielectrico, eslinga de posicionamiento, juego de pretales)</v>
      </c>
      <c r="C7700" s="73"/>
      <c r="D7700" s="50" t="str">
        <f>VLOOKUP(A7700,'Componentes APUs'!$A$1:$D$14,3,0)</f>
        <v>U</v>
      </c>
      <c r="E7700" s="50">
        <f>IF(A7670="MO-3",C7670,0)</f>
        <v>0</v>
      </c>
      <c r="F7700" s="51">
        <f>VLOOKUP(A7700,'Componentes APUs'!$A$1:$D$14,4,0)</f>
        <v>26041.666666666668</v>
      </c>
      <c r="G7700" s="51">
        <f>ROUNDUP(F7700*(E7700/21)/E7655,0)</f>
        <v>0</v>
      </c>
    </row>
    <row r="7701" spans="1:7" x14ac:dyDescent="0.25">
      <c r="A7701" s="219" t="s">
        <v>95</v>
      </c>
      <c r="B7701" s="219"/>
      <c r="C7701" s="219"/>
      <c r="D7701" s="219"/>
      <c r="E7701" s="219"/>
      <c r="F7701" s="219"/>
      <c r="G7701" s="52">
        <f>SUM(G7688:G7700)</f>
        <v>627</v>
      </c>
    </row>
    <row r="7702" spans="1:7" x14ac:dyDescent="0.25">
      <c r="A7702" s="56"/>
      <c r="B7702" s="57"/>
      <c r="C7702" s="57"/>
      <c r="D7702" s="57"/>
      <c r="E7702" s="57"/>
      <c r="F7702" s="57"/>
      <c r="G7702" s="58"/>
    </row>
    <row r="7703" spans="1:7" x14ac:dyDescent="0.25">
      <c r="A7703" s="219" t="s">
        <v>96</v>
      </c>
      <c r="B7703" s="219"/>
      <c r="C7703" s="219"/>
      <c r="D7703" s="219"/>
      <c r="E7703" s="219"/>
      <c r="F7703" s="219"/>
      <c r="G7703" s="219"/>
    </row>
    <row r="7704" spans="1:7" x14ac:dyDescent="0.25">
      <c r="A7704" s="49" t="s">
        <v>35</v>
      </c>
      <c r="B7704" s="225" t="s">
        <v>36</v>
      </c>
      <c r="C7704" s="225"/>
      <c r="D7704" s="49" t="s">
        <v>37</v>
      </c>
      <c r="E7704" s="49" t="s">
        <v>38</v>
      </c>
      <c r="F7704" s="49" t="s">
        <v>39</v>
      </c>
      <c r="G7704" s="49" t="s">
        <v>40</v>
      </c>
    </row>
    <row r="7705" spans="1:7" x14ac:dyDescent="0.25">
      <c r="A7705" s="69" t="s">
        <v>97</v>
      </c>
      <c r="B7705" s="72" t="str">
        <f>VLOOKUP(A7705,'Componentes APUs'!$N$1:$Q$30,2,0)</f>
        <v>Camioneta</v>
      </c>
      <c r="C7705" s="73"/>
      <c r="D7705" s="70" t="str">
        <f>VLOOKUP(A7705,'Componentes APUs'!$N$1:$Q$30,3,0)</f>
        <v>U</v>
      </c>
      <c r="E7705" s="50">
        <v>0.25</v>
      </c>
      <c r="F7705" s="51">
        <f>VLOOKUP(A7705,'Componentes APUs'!$N$1:$Q$30,4,0)</f>
        <v>5500000</v>
      </c>
      <c r="G7705" s="51">
        <f>IFERROR(ROUNDUP(F7705*(E7705/21)/E7655,0),"-")</f>
        <v>13096</v>
      </c>
    </row>
    <row r="7706" spans="1:7" x14ac:dyDescent="0.25">
      <c r="A7706" s="50" t="s">
        <v>321</v>
      </c>
      <c r="B7706" s="72" t="str">
        <f>VLOOKUP(A7706,'Componentes APUs'!$N$1:$Q$30,2,0)</f>
        <v>Grúa Hidráulica</v>
      </c>
      <c r="C7706" s="73"/>
      <c r="D7706" s="70" t="str">
        <f>VLOOKUP(A7706,'Componentes APUs'!$N$1:$Q$30,3,0)</f>
        <v>U</v>
      </c>
      <c r="E7706" s="50">
        <v>0</v>
      </c>
      <c r="F7706" s="51">
        <f>VLOOKUP(A7706,'Componentes APUs'!$N$1:$Q$30,4,0)</f>
        <v>21000000</v>
      </c>
      <c r="G7706" s="51">
        <f>IFERROR(ROUNDUP(F7706*(E7706/21)/E7655,0),"-")</f>
        <v>0</v>
      </c>
    </row>
    <row r="7707" spans="1:7" x14ac:dyDescent="0.25">
      <c r="A7707" s="69" t="s">
        <v>1379</v>
      </c>
      <c r="B7707" s="72" t="str">
        <f>VLOOKUP(A7707,'Componentes APUs'!$N$1:$Q$30,2,0)</f>
        <v>Dumper de descarga Frontal 2T</v>
      </c>
      <c r="C7707" s="73"/>
      <c r="D7707" s="70" t="str">
        <f>VLOOKUP(A7707,'Componentes APUs'!$N$1:$Q$30,3,0)</f>
        <v>U</v>
      </c>
      <c r="E7707" s="50">
        <v>0</v>
      </c>
      <c r="F7707" s="51">
        <f>VLOOKUP(A7707,'Componentes APUs'!$N$1:$Q$30,4,0)</f>
        <v>4438716.24</v>
      </c>
      <c r="G7707" s="51">
        <f>IFERROR(ROUNDUP(F7707*(E7707/21)/E7655,0),"-")</f>
        <v>0</v>
      </c>
    </row>
    <row r="7708" spans="1:7" x14ac:dyDescent="0.25">
      <c r="A7708" s="50" t="s">
        <v>323</v>
      </c>
      <c r="B7708" s="72" t="str">
        <f>VLOOKUP(A7708,'Componentes APUs'!$N$1:$Q$30,2,0)</f>
        <v>Volqueta</v>
      </c>
      <c r="C7708" s="73"/>
      <c r="D7708" s="70" t="str">
        <f>VLOOKUP(A7708,'Componentes APUs'!$N$1:$Q$30,3,0)</f>
        <v>U</v>
      </c>
      <c r="E7708" s="50">
        <v>0</v>
      </c>
      <c r="F7708" s="51">
        <f>VLOOKUP(A7708,'Componentes APUs'!$N$1:$Q$30,4,0)</f>
        <v>14828184</v>
      </c>
      <c r="G7708" s="51">
        <f>IFERROR(ROUNDUP(F7708*(E7708/21)/E7655,0),"-")</f>
        <v>0</v>
      </c>
    </row>
    <row r="7709" spans="1:7" x14ac:dyDescent="0.25">
      <c r="A7709" s="69" t="s">
        <v>324</v>
      </c>
      <c r="B7709" s="72" t="str">
        <f>VLOOKUP(A7709,'Componentes APUs'!$N$1:$Q$30,2,0)</f>
        <v>Retroexcavadora</v>
      </c>
      <c r="C7709" s="73"/>
      <c r="D7709" s="70" t="str">
        <f>VLOOKUP(A7709,'Componentes APUs'!$N$1:$Q$30,3,0)</f>
        <v>U</v>
      </c>
      <c r="E7709" s="50">
        <v>0</v>
      </c>
      <c r="F7709" s="51">
        <f>VLOOKUP(A7709,'Componentes APUs'!$N$1:$Q$30,4,0)</f>
        <v>46030656</v>
      </c>
      <c r="G7709" s="51">
        <f>IFERROR(ROUNDUP(F7709*(E7709/21)/E7655,0),"-")</f>
        <v>0</v>
      </c>
    </row>
    <row r="7710" spans="1:7" x14ac:dyDescent="0.25">
      <c r="A7710" s="219" t="s">
        <v>99</v>
      </c>
      <c r="B7710" s="219"/>
      <c r="C7710" s="219"/>
      <c r="D7710" s="219"/>
      <c r="E7710" s="219"/>
      <c r="F7710" s="219"/>
      <c r="G7710" s="52">
        <f>SUM(G7705:G7709)</f>
        <v>13096</v>
      </c>
    </row>
    <row r="7711" spans="1:7" x14ac:dyDescent="0.25">
      <c r="A7711" s="56"/>
      <c r="B7711" s="57"/>
      <c r="C7711" s="57"/>
      <c r="D7711" s="57"/>
      <c r="E7711" s="57"/>
      <c r="F7711" s="57"/>
      <c r="G7711" s="58"/>
    </row>
    <row r="7712" spans="1:7" x14ac:dyDescent="0.25">
      <c r="A7712" s="219" t="s">
        <v>100</v>
      </c>
      <c r="B7712" s="219"/>
      <c r="C7712" s="219"/>
      <c r="D7712" s="219"/>
      <c r="E7712" s="219"/>
      <c r="F7712" s="219"/>
      <c r="G7712" s="52">
        <f>G7710+G7701+G7684+G7674+G7664</f>
        <v>126497</v>
      </c>
    </row>
    <row r="7713" spans="1:13" x14ac:dyDescent="0.25">
      <c r="A7713" s="59"/>
      <c r="B7713" s="60"/>
      <c r="C7713" s="60"/>
      <c r="D7713" s="60"/>
      <c r="E7713" s="57"/>
      <c r="F7713" s="57"/>
      <c r="G7713" s="58"/>
    </row>
    <row r="7714" spans="1:13" x14ac:dyDescent="0.25">
      <c r="A7714" s="64"/>
      <c r="D7714" s="55"/>
      <c r="E7714" s="49" t="s">
        <v>25</v>
      </c>
      <c r="F7714" s="54">
        <v>0.15</v>
      </c>
      <c r="G7714" s="51">
        <f>G7712*F7714</f>
        <v>18974.55</v>
      </c>
    </row>
    <row r="7715" spans="1:13" x14ac:dyDescent="0.25">
      <c r="A7715" s="64"/>
      <c r="D7715" s="55"/>
      <c r="E7715" s="49" t="s">
        <v>26</v>
      </c>
      <c r="F7715" s="54">
        <v>0.05</v>
      </c>
      <c r="G7715" s="51">
        <f>G7712*F7715</f>
        <v>6324.85</v>
      </c>
    </row>
    <row r="7716" spans="1:13" x14ac:dyDescent="0.25">
      <c r="A7716" s="61"/>
      <c r="B7716" s="65"/>
      <c r="C7716" s="65"/>
      <c r="D7716" s="62"/>
      <c r="E7716" s="49" t="s">
        <v>27</v>
      </c>
      <c r="F7716" s="54">
        <v>0.05</v>
      </c>
      <c r="G7716" s="51">
        <f>G7712*F7716</f>
        <v>6324.85</v>
      </c>
    </row>
    <row r="7717" spans="1:13" x14ac:dyDescent="0.25">
      <c r="A7717" s="61"/>
      <c r="B7717" s="62"/>
      <c r="C7717" s="62"/>
      <c r="D7717" s="62"/>
      <c r="E7717" s="62"/>
      <c r="F7717" s="62"/>
      <c r="G7717" s="63"/>
    </row>
    <row r="7718" spans="1:13" x14ac:dyDescent="0.25">
      <c r="A7718" s="219" t="s">
        <v>101</v>
      </c>
      <c r="B7718" s="219"/>
      <c r="C7718" s="219"/>
      <c r="D7718" s="219"/>
      <c r="E7718" s="219"/>
      <c r="F7718" s="219"/>
      <c r="G7718" s="52">
        <f>G7712+G7714+G7715+G7716</f>
        <v>158121.25</v>
      </c>
    </row>
    <row r="7719" spans="1:13" x14ac:dyDescent="0.25">
      <c r="A7719" s="59"/>
      <c r="B7719" s="60"/>
      <c r="C7719" s="60"/>
      <c r="D7719" s="60"/>
      <c r="E7719" s="57"/>
      <c r="F7719" s="57"/>
      <c r="G7719" s="58"/>
    </row>
    <row r="7720" spans="1:13" x14ac:dyDescent="0.25">
      <c r="A7720" s="64"/>
      <c r="D7720" s="55"/>
      <c r="E7720" s="49" t="s">
        <v>102</v>
      </c>
      <c r="F7720" s="49" t="s">
        <v>103</v>
      </c>
      <c r="G7720" s="51">
        <f>G7716*19%</f>
        <v>1201.7215000000001</v>
      </c>
    </row>
    <row r="7721" spans="1:13" x14ac:dyDescent="0.25">
      <c r="A7721" s="61"/>
      <c r="B7721" s="62"/>
      <c r="C7721" s="62"/>
      <c r="D7721" s="62"/>
      <c r="E7721" s="57"/>
      <c r="F7721" s="57"/>
      <c r="G7721" s="58"/>
    </row>
    <row r="7722" spans="1:13" x14ac:dyDescent="0.25">
      <c r="A7722" s="219" t="s">
        <v>104</v>
      </c>
      <c r="B7722" s="219"/>
      <c r="C7722" s="219"/>
      <c r="D7722" s="219"/>
      <c r="E7722" s="219"/>
      <c r="F7722" s="219"/>
      <c r="G7722" s="52">
        <f>G7720+G7718</f>
        <v>159322.97150000001</v>
      </c>
    </row>
    <row r="7724" spans="1:13" x14ac:dyDescent="0.25">
      <c r="A7724" s="74" t="s">
        <v>29</v>
      </c>
      <c r="B7724" s="226" t="s">
        <v>30</v>
      </c>
      <c r="C7724" s="226"/>
      <c r="D7724" s="74" t="s">
        <v>31</v>
      </c>
      <c r="E7724" s="74" t="s">
        <v>32</v>
      </c>
      <c r="F7724" s="74" t="s">
        <v>189</v>
      </c>
      <c r="G7724" s="74" t="s">
        <v>33</v>
      </c>
      <c r="H7724" s="105"/>
    </row>
    <row r="7725" spans="1:13" x14ac:dyDescent="0.25">
      <c r="A7725" s="50" t="str">
        <f>Presupuesto!B146</f>
        <v>123_OC</v>
      </c>
      <c r="B7725" s="229" t="str">
        <f>Presupuesto!C146</f>
        <v>VIGA  DE CIMENTACION  (35 X 45 CM)</v>
      </c>
      <c r="C7725" s="230"/>
      <c r="D7725" s="50" t="s">
        <v>114</v>
      </c>
      <c r="E7725" s="53">
        <v>20</v>
      </c>
      <c r="F7725" s="50"/>
      <c r="G7725" s="51">
        <f>G7790</f>
        <v>282975.64350000006</v>
      </c>
      <c r="H7725" s="111"/>
    </row>
    <row r="7726" spans="1:13" x14ac:dyDescent="0.25">
      <c r="A7726" s="219" t="s">
        <v>34</v>
      </c>
      <c r="B7726" s="219"/>
      <c r="C7726" s="219"/>
      <c r="D7726" s="219"/>
      <c r="E7726" s="219"/>
      <c r="F7726" s="219"/>
      <c r="G7726" s="219"/>
    </row>
    <row r="7727" spans="1:13" x14ac:dyDescent="0.25">
      <c r="A7727" s="49" t="s">
        <v>35</v>
      </c>
      <c r="B7727" s="219" t="s">
        <v>36</v>
      </c>
      <c r="C7727" s="219"/>
      <c r="D7727" s="49" t="s">
        <v>37</v>
      </c>
      <c r="E7727" s="49" t="s">
        <v>38</v>
      </c>
      <c r="F7727" s="49" t="s">
        <v>39</v>
      </c>
      <c r="G7727" s="49" t="s">
        <v>40</v>
      </c>
      <c r="K7727" s="23"/>
      <c r="L7727" s="23"/>
    </row>
    <row r="7728" spans="1:13" x14ac:dyDescent="0.25">
      <c r="A7728" s="50" t="str">
        <f>Material!A218</f>
        <v>MA-217</v>
      </c>
      <c r="B7728" s="72" t="str">
        <f>IFERROR(VLOOKUP(A7728,Material!$A:$H,2,0),"-")</f>
        <v>FORMALETA EN MADERA CON TABLA DE 1"</v>
      </c>
      <c r="C7728" s="76"/>
      <c r="D7728" s="50" t="str">
        <f>IFERROR(VLOOKUP(A7728,Material!$A:$H,4,0),"-")</f>
        <v>M2</v>
      </c>
      <c r="E7728" s="107">
        <v>1.4999999999999999E-2</v>
      </c>
      <c r="F7728" s="51">
        <f>IFERROR(VLOOKUP(A7728,Material!$A:$H,3,0),"-")</f>
        <v>24691.116165303549</v>
      </c>
      <c r="G7728" s="51">
        <f t="shared" ref="G7728:G7731" si="110">IFERROR(ROUNDUP(F7728*E7728,0),"-")</f>
        <v>371</v>
      </c>
      <c r="H7728" s="112"/>
      <c r="I7728" s="110"/>
      <c r="J7728" s="113"/>
      <c r="K7728" s="114"/>
      <c r="L7728" s="115"/>
      <c r="M7728" s="115"/>
    </row>
    <row r="7729" spans="1:13" x14ac:dyDescent="0.25">
      <c r="A7729" s="50" t="str">
        <f>Material!A15</f>
        <v>MA-14</v>
      </c>
      <c r="B7729" s="72" t="str">
        <f>IFERROR(VLOOKUP(A7729,Material!$A:$H,2,0),"-")</f>
        <v>CONCRETO DE 3000 PSI</v>
      </c>
      <c r="C7729" s="76"/>
      <c r="D7729" s="50" t="str">
        <f>IFERROR(VLOOKUP(A7729,Material!$A:$H,4,0),"-")</f>
        <v>M3</v>
      </c>
      <c r="E7729" s="107">
        <v>0.16</v>
      </c>
      <c r="F7729" s="51">
        <f>IFERROR(VLOOKUP(A7729,Material!$A:$H,3,0),"-")</f>
        <v>620227.23330691375</v>
      </c>
      <c r="G7729" s="51">
        <f t="shared" si="110"/>
        <v>99237</v>
      </c>
      <c r="H7729" s="112"/>
      <c r="I7729" s="110"/>
      <c r="J7729" s="113"/>
      <c r="K7729" s="114"/>
      <c r="L7729" s="115"/>
      <c r="M7729" s="115"/>
    </row>
    <row r="7730" spans="1:13" x14ac:dyDescent="0.25">
      <c r="A7730" s="50" t="str">
        <f>Material!A587</f>
        <v>MA-586</v>
      </c>
      <c r="B7730" s="72" t="str">
        <f>IFERROR(VLOOKUP(A7730,Material!$A:$H,2,0),"-")</f>
        <v>ACERO Fy= 420 MPa</v>
      </c>
      <c r="C7730" s="76"/>
      <c r="D7730" s="50" t="str">
        <f>IFERROR(VLOOKUP(A7730,Material!$A:$H,4,0),"-")</f>
        <v>KG</v>
      </c>
      <c r="E7730" s="107">
        <v>10.94</v>
      </c>
      <c r="F7730" s="51">
        <f>IFERROR(VLOOKUP(A7730,Material!$A:$H,3,0),"-")</f>
        <v>6962.8</v>
      </c>
      <c r="G7730" s="51">
        <f t="shared" si="110"/>
        <v>76174</v>
      </c>
      <c r="H7730" s="112"/>
      <c r="I7730" s="110"/>
      <c r="J7730" s="113"/>
      <c r="K7730" s="114"/>
      <c r="L7730" s="115"/>
      <c r="M7730" s="115"/>
    </row>
    <row r="7731" spans="1:13" x14ac:dyDescent="0.25">
      <c r="A7731" s="50" t="str">
        <f>Material!A192</f>
        <v>MA-191</v>
      </c>
      <c r="B7731" s="72" t="str">
        <f>IFERROR(VLOOKUP(A7731,Material!$A:$H,2,0),"-")</f>
        <v>CONCRETO CICLOPEO DE 3000 PSI</v>
      </c>
      <c r="C7731" s="76"/>
      <c r="D7731" s="50" t="str">
        <f>IFERROR(VLOOKUP(A7731,Material!$A:$H,4,0),"-")</f>
        <v>M3</v>
      </c>
      <c r="E7731" s="107">
        <v>8.9999999999999993E-3</v>
      </c>
      <c r="F7731" s="51">
        <f>IFERROR(VLOOKUP(A7731,Material!$A:$H,3,0),"-")</f>
        <v>338000</v>
      </c>
      <c r="G7731" s="51">
        <f t="shared" si="110"/>
        <v>3042</v>
      </c>
      <c r="H7731" s="112"/>
      <c r="I7731" s="110"/>
      <c r="J7731" s="113"/>
      <c r="K7731" s="114"/>
      <c r="L7731" s="115"/>
      <c r="M7731" s="115"/>
    </row>
    <row r="7732" spans="1:13" x14ac:dyDescent="0.25">
      <c r="A7732" s="219" t="s">
        <v>41</v>
      </c>
      <c r="B7732" s="219"/>
      <c r="C7732" s="219"/>
      <c r="D7732" s="219"/>
      <c r="E7732" s="219"/>
      <c r="F7732" s="219"/>
      <c r="G7732" s="52">
        <f>SUM(G7728:G7731)</f>
        <v>178824</v>
      </c>
      <c r="I7732" s="104"/>
    </row>
    <row r="7733" spans="1:13" x14ac:dyDescent="0.25">
      <c r="A7733" s="56"/>
      <c r="B7733" s="57"/>
      <c r="C7733" s="57"/>
      <c r="D7733" s="57"/>
      <c r="E7733" s="57"/>
      <c r="F7733" s="57"/>
      <c r="G7733" s="58"/>
    </row>
    <row r="7734" spans="1:13" x14ac:dyDescent="0.25">
      <c r="A7734" s="219" t="s">
        <v>42</v>
      </c>
      <c r="B7734" s="219"/>
      <c r="C7734" s="219"/>
      <c r="D7734" s="219"/>
      <c r="E7734" s="219"/>
      <c r="F7734" s="219"/>
      <c r="G7734" s="219"/>
    </row>
    <row r="7735" spans="1:13" x14ac:dyDescent="0.25">
      <c r="A7735" s="49" t="s">
        <v>35</v>
      </c>
      <c r="B7735" s="49" t="s">
        <v>36</v>
      </c>
      <c r="C7735" s="49" t="s">
        <v>38</v>
      </c>
      <c r="D7735" s="49" t="s">
        <v>43</v>
      </c>
      <c r="E7735" s="49" t="s">
        <v>44</v>
      </c>
      <c r="F7735" s="49" t="s">
        <v>45</v>
      </c>
      <c r="G7735" s="49" t="s">
        <v>40</v>
      </c>
    </row>
    <row r="7736" spans="1:13" x14ac:dyDescent="0.25">
      <c r="A7736" s="50" t="s">
        <v>319</v>
      </c>
      <c r="B7736" s="68" t="str">
        <f>VLOOKUP(A7736,'Componentes APUs'!$H$1:$L$25,2,0)</f>
        <v>Ingeniero Residente de Obra</v>
      </c>
      <c r="C7736" s="93">
        <v>0.25</v>
      </c>
      <c r="D7736" s="50">
        <f>VLOOKUP(A7736,'Componentes APUs'!$H$1:$L$25,3,0)</f>
        <v>4</v>
      </c>
      <c r="E7736" s="51">
        <f>VLOOKUP(A7736,'Componentes APUs'!$H$1:$L$25,4,0)</f>
        <v>271142.85714285716</v>
      </c>
      <c r="F7736" s="51">
        <f>VLOOKUP(A7736,'Componentes APUs'!$H$1:$L$25,5,0)</f>
        <v>162685.71428571429</v>
      </c>
      <c r="G7736" s="51">
        <f>ROUNDUP((E7736+F7736)*C7736/E7725,0)</f>
        <v>5423</v>
      </c>
      <c r="H7736" s="66"/>
    </row>
    <row r="7737" spans="1:13" x14ac:dyDescent="0.25">
      <c r="A7737" s="50" t="s">
        <v>320</v>
      </c>
      <c r="B7737" s="68" t="str">
        <f>VLOOKUP(A7737,'Componentes APUs'!$H$1:$L$25,2,0)</f>
        <v>Tecnico Supervisor</v>
      </c>
      <c r="C7737" s="93">
        <v>0</v>
      </c>
      <c r="D7737" s="50">
        <f>VLOOKUP(A7737,'Componentes APUs'!$H$1:$L$25,3,0)</f>
        <v>2.2999999999999998</v>
      </c>
      <c r="E7737" s="51">
        <f>VLOOKUP(A7737,'Componentes APUs'!$H$1:$L$25,4,0)</f>
        <v>155907.14285714284</v>
      </c>
      <c r="F7737" s="51">
        <f>VLOOKUP(A7737,'Componentes APUs'!$H$1:$L$25,5,0)</f>
        <v>93544.285714285696</v>
      </c>
      <c r="G7737" s="51">
        <f>ROUNDUP((E7737+F7737)*C7737/E7725,0)</f>
        <v>0</v>
      </c>
    </row>
    <row r="7738" spans="1:13" x14ac:dyDescent="0.25">
      <c r="A7738" s="50" t="s">
        <v>54</v>
      </c>
      <c r="B7738" s="68" t="str">
        <f>VLOOKUP(A7738,'Componentes APUs'!$H$1:$L$25,2,0)</f>
        <v>Maestro de obra civil</v>
      </c>
      <c r="C7738" s="93">
        <v>0</v>
      </c>
      <c r="D7738" s="50">
        <f>VLOOKUP(A7738,'Componentes APUs'!$H$1:$L$25,3,0)</f>
        <v>2.5</v>
      </c>
      <c r="E7738" s="51">
        <f>VLOOKUP(A7738,'Componentes APUs'!$H$1:$L$25,4,0)</f>
        <v>169464.28571428571</v>
      </c>
      <c r="F7738" s="51">
        <f>VLOOKUP(A7738,'Componentes APUs'!$H$1:$L$25,5,0)</f>
        <v>101678.57142857142</v>
      </c>
      <c r="G7738" s="51">
        <f>ROUNDUP((E7738+F7738)*C7738/E7725,0)</f>
        <v>0</v>
      </c>
    </row>
    <row r="7739" spans="1:13" x14ac:dyDescent="0.25">
      <c r="A7739" s="50" t="s">
        <v>1110</v>
      </c>
      <c r="B7739" s="68" t="str">
        <f>VLOOKUP(A7739,'Componentes APUs'!$H$1:$L$25,2,0)</f>
        <v>Oficial de Obra Civil</v>
      </c>
      <c r="C7739" s="93">
        <v>1</v>
      </c>
      <c r="D7739" s="50">
        <f>VLOOKUP(A7739,'Componentes APUs'!$H$1:$L$25,3,0)</f>
        <v>1.5</v>
      </c>
      <c r="E7739" s="51">
        <f>VLOOKUP(A7739,'Componentes APUs'!$H$1:$L$25,4,0)</f>
        <v>115964.28571428571</v>
      </c>
      <c r="F7739" s="51">
        <f>VLOOKUP(A7739,'Componentes APUs'!$H$1:$L$25,5,0)</f>
        <v>69578.57142857142</v>
      </c>
      <c r="G7739" s="51">
        <f>ROUNDUP((E7739+F7739)*C7739/E7725,0)</f>
        <v>9278</v>
      </c>
    </row>
    <row r="7740" spans="1:13" x14ac:dyDescent="0.25">
      <c r="A7740" s="50" t="s">
        <v>50</v>
      </c>
      <c r="B7740" s="68" t="str">
        <f>VLOOKUP(A7740,'Componentes APUs'!$H$1:$L$25,2,0)</f>
        <v>Profesional en SST</v>
      </c>
      <c r="C7740" s="93">
        <v>0.25</v>
      </c>
      <c r="D7740" s="50">
        <f>VLOOKUP(A7740,'Componentes APUs'!$H$1:$L$25,3,0)</f>
        <v>2.5</v>
      </c>
      <c r="E7740" s="51">
        <f>VLOOKUP(A7740,'Componentes APUs'!$H$1:$L$25,4,0)</f>
        <v>169464.28571428571</v>
      </c>
      <c r="F7740" s="51">
        <f>VLOOKUP(A7740,'Componentes APUs'!$H$1:$L$25,5,0)</f>
        <v>101678.57142857142</v>
      </c>
      <c r="G7740" s="51">
        <f>ROUNDUP((E7740+F7740)*C7740/E7725,0)</f>
        <v>3390</v>
      </c>
    </row>
    <row r="7741" spans="1:13" x14ac:dyDescent="0.25">
      <c r="A7741" s="50" t="s">
        <v>1109</v>
      </c>
      <c r="B7741" s="68" t="str">
        <f>VLOOKUP(A7741,'Componentes APUs'!$H$1:$L$25,2,0)</f>
        <v>Ayudante de Obra Civil</v>
      </c>
      <c r="C7741" s="93">
        <v>2</v>
      </c>
      <c r="D7741" s="50">
        <f>VLOOKUP(A7741,'Componentes APUs'!$H$1:$L$25,3,0)</f>
        <v>1</v>
      </c>
      <c r="E7741" s="51">
        <f>VLOOKUP(A7741,'Componentes APUs'!$H$1:$L$25,4,0)</f>
        <v>77309.523809523816</v>
      </c>
      <c r="F7741" s="51">
        <f>VLOOKUP(A7741,'Componentes APUs'!$H$1:$L$25,5,0)</f>
        <v>46385.71428571429</v>
      </c>
      <c r="G7741" s="51">
        <f>ROUNDUP((E7741+F7741)*C7741/E7725,0)</f>
        <v>12370</v>
      </c>
    </row>
    <row r="7742" spans="1:13" x14ac:dyDescent="0.25">
      <c r="A7742" s="219" t="s">
        <v>56</v>
      </c>
      <c r="B7742" s="219"/>
      <c r="C7742" s="219"/>
      <c r="D7742" s="219"/>
      <c r="E7742" s="219"/>
      <c r="F7742" s="219"/>
      <c r="G7742" s="52">
        <f>SUM(G7736:G7741)</f>
        <v>30461</v>
      </c>
    </row>
    <row r="7743" spans="1:13" x14ac:dyDescent="0.25">
      <c r="A7743" s="56"/>
      <c r="B7743" s="57"/>
      <c r="C7743" s="57"/>
      <c r="D7743" s="57"/>
      <c r="E7743" s="57"/>
      <c r="F7743" s="57"/>
      <c r="G7743" s="58"/>
    </row>
    <row r="7744" spans="1:13" x14ac:dyDescent="0.25">
      <c r="A7744" s="219" t="s">
        <v>57</v>
      </c>
      <c r="B7744" s="219"/>
      <c r="C7744" s="219"/>
      <c r="D7744" s="219"/>
      <c r="E7744" s="219"/>
      <c r="F7744" s="219"/>
      <c r="G7744" s="219"/>
    </row>
    <row r="7745" spans="1:9" x14ac:dyDescent="0.25">
      <c r="A7745" s="49" t="s">
        <v>35</v>
      </c>
      <c r="B7745" s="219" t="s">
        <v>36</v>
      </c>
      <c r="C7745" s="219"/>
      <c r="D7745" s="49" t="s">
        <v>37</v>
      </c>
      <c r="E7745" s="49" t="s">
        <v>38</v>
      </c>
      <c r="F7745" s="49" t="s">
        <v>39</v>
      </c>
      <c r="G7745" s="49" t="s">
        <v>40</v>
      </c>
    </row>
    <row r="7746" spans="1:9" x14ac:dyDescent="0.25">
      <c r="A7746" s="50" t="s">
        <v>326</v>
      </c>
      <c r="B7746" s="220" t="str">
        <f>VLOOKUP(A7746,'Componentes APUs'!$S$1:$V$10,2,0)</f>
        <v>Juego Llaves</v>
      </c>
      <c r="C7746" s="220"/>
      <c r="D7746" s="50" t="s">
        <v>18</v>
      </c>
      <c r="E7746" s="50">
        <v>0</v>
      </c>
      <c r="F7746" s="51">
        <f>VLOOKUP(A7746,'Componentes APUs'!$S$1:$V$10,4,0)</f>
        <v>9167</v>
      </c>
      <c r="G7746" s="51">
        <f>ROUNDUP(F7746*((E7746/21)/E7725),0)</f>
        <v>0</v>
      </c>
      <c r="I7746" s="91"/>
    </row>
    <row r="7747" spans="1:9" x14ac:dyDescent="0.25">
      <c r="A7747" s="50" t="s">
        <v>58</v>
      </c>
      <c r="B7747" s="220" t="str">
        <f>VLOOKUP(A7747,'Componentes APUs'!$S$1:$V$10,2,0)</f>
        <v>Manila de servicio</v>
      </c>
      <c r="C7747" s="220"/>
      <c r="D7747" s="50" t="s">
        <v>18</v>
      </c>
      <c r="E7747" s="50">
        <v>0</v>
      </c>
      <c r="F7747" s="51">
        <f>VLOOKUP(A7747,'Componentes APUs'!$S$1:$V$10,4,0)</f>
        <v>2333</v>
      </c>
      <c r="G7747" s="51">
        <f>ROUNDUP(F7747*((E7747/21)/E7725),0)</f>
        <v>0</v>
      </c>
    </row>
    <row r="7748" spans="1:9" x14ac:dyDescent="0.25">
      <c r="A7748" s="50" t="s">
        <v>327</v>
      </c>
      <c r="B7748" s="220" t="str">
        <f>VLOOKUP(A7748,'Componentes APUs'!$S$1:$V$10,2,0)</f>
        <v>Tula portaherramientas</v>
      </c>
      <c r="C7748" s="220"/>
      <c r="D7748" s="50" t="s">
        <v>18</v>
      </c>
      <c r="E7748" s="50">
        <v>0</v>
      </c>
      <c r="F7748" s="51">
        <f>VLOOKUP(A7748,'Componentes APUs'!$S$1:$V$10,4,0)</f>
        <v>1250</v>
      </c>
      <c r="G7748" s="51">
        <f>ROUNDUP(F7748*((E7748/21)/E7725),0)</f>
        <v>0</v>
      </c>
    </row>
    <row r="7749" spans="1:9" x14ac:dyDescent="0.25">
      <c r="A7749" s="50" t="s">
        <v>60</v>
      </c>
      <c r="B7749" s="220" t="str">
        <f>VLOOKUP(A7749,'Componentes APUs'!$S$1:$V$10,2,0)</f>
        <v>Agarradoras</v>
      </c>
      <c r="C7749" s="220"/>
      <c r="D7749" s="50" t="s">
        <v>18</v>
      </c>
      <c r="E7749" s="50">
        <v>0</v>
      </c>
      <c r="F7749" s="51">
        <f>VLOOKUP(A7749,'Componentes APUs'!$S$1:$V$10,4,0)</f>
        <v>125000</v>
      </c>
      <c r="G7749" s="51">
        <f>ROUNDUP(F7749*((E7749/21)/E7725),0)</f>
        <v>0</v>
      </c>
    </row>
    <row r="7750" spans="1:9" x14ac:dyDescent="0.25">
      <c r="A7750" s="50" t="s">
        <v>62</v>
      </c>
      <c r="B7750" s="220" t="str">
        <f>VLOOKUP(A7750,'Componentes APUs'!$S$1:$V$10,2,0)</f>
        <v>Templadoras</v>
      </c>
      <c r="C7750" s="220"/>
      <c r="D7750" s="50" t="s">
        <v>18</v>
      </c>
      <c r="E7750" s="50">
        <v>0</v>
      </c>
      <c r="F7750" s="51">
        <f>VLOOKUP(A7750,'Componentes APUs'!$S$1:$V$10,4,0)</f>
        <v>250000</v>
      </c>
      <c r="G7750" s="51">
        <f>ROUNDUP(F7750*((E7750/21)/E7725),0)</f>
        <v>0</v>
      </c>
    </row>
    <row r="7751" spans="1:9" x14ac:dyDescent="0.25">
      <c r="A7751" s="50" t="s">
        <v>328</v>
      </c>
      <c r="B7751" s="220" t="str">
        <f>VLOOKUP(A7751,'Componentes APUs'!$S$1:$V$10,2,0)</f>
        <v>Herramienta Menor</v>
      </c>
      <c r="C7751" s="220"/>
      <c r="D7751" s="50" t="s">
        <v>18</v>
      </c>
      <c r="E7751" s="50">
        <v>3</v>
      </c>
      <c r="F7751" s="51">
        <f>VLOOKUP(A7751,'Componentes APUs'!$S$1:$V$10,4,0)</f>
        <v>75758</v>
      </c>
      <c r="G7751" s="51">
        <f>ROUNDUP(F7751*((E7751/21)/E7725),0)</f>
        <v>542</v>
      </c>
    </row>
    <row r="7752" spans="1:9" x14ac:dyDescent="0.25">
      <c r="A7752" s="219" t="s">
        <v>69</v>
      </c>
      <c r="B7752" s="219"/>
      <c r="C7752" s="219"/>
      <c r="D7752" s="219"/>
      <c r="E7752" s="219"/>
      <c r="F7752" s="219"/>
      <c r="G7752" s="52">
        <f>SUM(G7746:G7751)</f>
        <v>542</v>
      </c>
    </row>
    <row r="7753" spans="1:9" x14ac:dyDescent="0.25">
      <c r="A7753" s="56"/>
      <c r="B7753" s="57"/>
      <c r="C7753" s="57"/>
      <c r="D7753" s="57"/>
      <c r="E7753" s="57"/>
      <c r="F7753" s="57"/>
      <c r="G7753" s="58"/>
    </row>
    <row r="7754" spans="1:9" x14ac:dyDescent="0.25">
      <c r="A7754" s="219" t="s">
        <v>70</v>
      </c>
      <c r="B7754" s="219"/>
      <c r="C7754" s="219"/>
      <c r="D7754" s="219"/>
      <c r="E7754" s="219"/>
      <c r="F7754" s="219"/>
      <c r="G7754" s="219"/>
    </row>
    <row r="7755" spans="1:9" x14ac:dyDescent="0.25">
      <c r="A7755" s="49" t="s">
        <v>35</v>
      </c>
      <c r="B7755" s="219" t="s">
        <v>36</v>
      </c>
      <c r="C7755" s="219"/>
      <c r="D7755" s="49" t="s">
        <v>37</v>
      </c>
      <c r="E7755" s="49" t="s">
        <v>38</v>
      </c>
      <c r="F7755" s="49" t="s">
        <v>39</v>
      </c>
      <c r="G7755" s="49" t="s">
        <v>40</v>
      </c>
    </row>
    <row r="7756" spans="1:9" x14ac:dyDescent="0.25">
      <c r="A7756" s="50" t="s">
        <v>71</v>
      </c>
      <c r="B7756" s="71" t="str">
        <f>VLOOKUP(A7756,'Componentes APUs'!$A$1:$D$14,2,0)</f>
        <v>Camisa indigo sin partes metalicas</v>
      </c>
      <c r="C7756" s="71"/>
      <c r="D7756" s="50" t="str">
        <f>VLOOKUP(A7756,'Componentes APUs'!$A$1:$D$14,3,0)</f>
        <v>U</v>
      </c>
      <c r="E7756" s="50">
        <f>SUM(C7736:C7741)</f>
        <v>3.5</v>
      </c>
      <c r="F7756" s="51">
        <f>VLOOKUP(A7756,'Componentes APUs'!$A$1:$D$14,4,0)</f>
        <v>8585.8585858585866</v>
      </c>
      <c r="G7756" s="51">
        <f>ROUNDUP(F7756*(E7756/21)/E7725,0)</f>
        <v>72</v>
      </c>
      <c r="I7756" s="91"/>
    </row>
    <row r="7757" spans="1:9" x14ac:dyDescent="0.25">
      <c r="A7757" s="69" t="s">
        <v>73</v>
      </c>
      <c r="B7757" s="72" t="str">
        <f>VLOOKUP(A7757,'Componentes APUs'!$A$1:$D$14,2,0)</f>
        <v>Bota de seguridad dielectrica</v>
      </c>
      <c r="C7757" s="73"/>
      <c r="D7757" s="70" t="str">
        <f>VLOOKUP(A7757,'Componentes APUs'!$A$1:$D$14,3,0)</f>
        <v>Par</v>
      </c>
      <c r="E7757" s="50">
        <f>SUM(C7736:C7741)</f>
        <v>3.5</v>
      </c>
      <c r="F7757" s="51">
        <f>VLOOKUP(A7757,'Componentes APUs'!$A$1:$D$14,4,0)</f>
        <v>7500</v>
      </c>
      <c r="G7757" s="51">
        <f>ROUNDUP(F7757*(E7757/21)/E7725,0)</f>
        <v>63</v>
      </c>
    </row>
    <row r="7758" spans="1:9" x14ac:dyDescent="0.25">
      <c r="A7758" s="50" t="s">
        <v>76</v>
      </c>
      <c r="B7758" s="72" t="str">
        <f>VLOOKUP(A7758,'Componentes APUs'!$A$1:$D$14,2,0)</f>
        <v>Casco dielectrico Tipo 1 Clase E con barbuquejo</v>
      </c>
      <c r="C7758" s="73"/>
      <c r="D7758" s="50" t="str">
        <f>VLOOKUP(A7758,'Componentes APUs'!$A$1:$D$14,3,0)</f>
        <v>U</v>
      </c>
      <c r="E7758" s="50">
        <f>C7736+C7737+C7739+C7740+C7741+IF(A7738&lt;&gt;"MO-3",C7738,0)</f>
        <v>3.5</v>
      </c>
      <c r="F7758" s="51">
        <f>VLOOKUP(A7758,'Componentes APUs'!$A$1:$D$14,4,0)</f>
        <v>10101.010101010101</v>
      </c>
      <c r="G7758" s="51">
        <f>ROUNDUP(F7758*(E7758/21)/E7725,0)</f>
        <v>85</v>
      </c>
    </row>
    <row r="7759" spans="1:9" x14ac:dyDescent="0.25">
      <c r="A7759" s="69" t="s">
        <v>77</v>
      </c>
      <c r="B7759" s="72" t="str">
        <f>VLOOKUP(A7759,'Componentes APUs'!$A$1:$D$14,2,0)</f>
        <v>Correa plastica y antiflama</v>
      </c>
      <c r="C7759" s="73"/>
      <c r="D7759" s="50" t="str">
        <f>VLOOKUP(A7759,'Componentes APUs'!$A$1:$D$14,3,0)</f>
        <v>U</v>
      </c>
      <c r="E7759" s="50">
        <f>SUM(C7736:C7741)</f>
        <v>3.5</v>
      </c>
      <c r="F7759" s="51">
        <f>VLOOKUP(A7759,'Componentes APUs'!$A$1:$D$14,4,0)</f>
        <v>3787.878787878788</v>
      </c>
      <c r="G7759" s="51">
        <f>ROUNDUP(F7759*(E7759/21)/E7725,0)</f>
        <v>32</v>
      </c>
    </row>
    <row r="7760" spans="1:9" x14ac:dyDescent="0.25">
      <c r="A7760" s="50" t="s">
        <v>79</v>
      </c>
      <c r="B7760" s="72" t="str">
        <f>VLOOKUP(A7760,'Componentes APUs'!$A$1:$D$14,2,0)</f>
        <v>Gafas protectoras filtro UV</v>
      </c>
      <c r="C7760" s="73"/>
      <c r="D7760" s="50" t="str">
        <f>VLOOKUP(A7760,'Componentes APUs'!$A$1:$D$14,3,0)</f>
        <v>U</v>
      </c>
      <c r="E7760" s="50">
        <f>SUM(C7736:C7741)</f>
        <v>3.5</v>
      </c>
      <c r="F7760" s="51">
        <f>VLOOKUP(A7760,'Componentes APUs'!$A$1:$D$14,4,0)</f>
        <v>2777.7777777777778</v>
      </c>
      <c r="G7760" s="51">
        <f>ROUNDUP(F7760*(E7760/21)/E7725,0)</f>
        <v>24</v>
      </c>
    </row>
    <row r="7761" spans="1:7" x14ac:dyDescent="0.25">
      <c r="A7761" s="69" t="s">
        <v>402</v>
      </c>
      <c r="B7761" s="72" t="str">
        <f>VLOOKUP(A7761,'Componentes APUs'!$A$1:$D$14,2,0)</f>
        <v>Bota de seguridad PVC dielectrica</v>
      </c>
      <c r="C7761" s="73"/>
      <c r="D7761" s="50" t="str">
        <f>VLOOKUP(A7761,'Componentes APUs'!$A$1:$D$14,3,0)</f>
        <v>Par</v>
      </c>
      <c r="E7761" s="50">
        <f>SUM(C7736:C7741)</f>
        <v>3.5</v>
      </c>
      <c r="F7761" s="51">
        <f>VLOOKUP(A7761,'Componentes APUs'!$A$1:$D$14,4,0)</f>
        <v>2916.6666666666665</v>
      </c>
      <c r="G7761" s="51">
        <f>ROUNDUP(F7761*(E7761/21)/E7725,0)</f>
        <v>25</v>
      </c>
    </row>
    <row r="7762" spans="1:7" x14ac:dyDescent="0.25">
      <c r="A7762" s="50" t="s">
        <v>403</v>
      </c>
      <c r="B7762" s="72" t="str">
        <f>VLOOKUP(A7762,'Componentes APUs'!$A$1:$D$14,2,0)</f>
        <v>Capuchon</v>
      </c>
      <c r="C7762" s="73"/>
      <c r="D7762" s="50" t="str">
        <f>VLOOKUP(A7762,'Componentes APUs'!$A$1:$D$14,3,0)</f>
        <v>U</v>
      </c>
      <c r="E7762" s="50">
        <f>SUM(C7736:C7741)</f>
        <v>3.5</v>
      </c>
      <c r="F7762" s="51">
        <f>VLOOKUP(A7762,'Componentes APUs'!$A$1:$D$14,4,0)</f>
        <v>2525.2525252525252</v>
      </c>
      <c r="G7762" s="51">
        <f>ROUNDUP(F7762*(E7762/21)/E7725,0)</f>
        <v>22</v>
      </c>
    </row>
    <row r="7763" spans="1:7" x14ac:dyDescent="0.25">
      <c r="A7763" s="69" t="s">
        <v>81</v>
      </c>
      <c r="B7763" s="72" t="str">
        <f>VLOOKUP(A7763,'Componentes APUs'!$A$1:$D$14,2,0)</f>
        <v>Guantes Protectores  - ingeniero reforzados</v>
      </c>
      <c r="C7763" s="73"/>
      <c r="D7763" s="50" t="str">
        <f>VLOOKUP(A7763,'Componentes APUs'!$A$1:$D$14,3,0)</f>
        <v>Par</v>
      </c>
      <c r="E7763" s="50">
        <f>C7738+C7739+C7741</f>
        <v>3</v>
      </c>
      <c r="F7763" s="51">
        <f>VLOOKUP(A7763,'Componentes APUs'!$A$1:$D$14,4,0)</f>
        <v>2525.2525252525252</v>
      </c>
      <c r="G7763" s="51">
        <f>ROUNDUP(F7763*(E7763/21)/E7725,0)</f>
        <v>19</v>
      </c>
    </row>
    <row r="7764" spans="1:7" x14ac:dyDescent="0.25">
      <c r="A7764" s="50" t="s">
        <v>83</v>
      </c>
      <c r="B7764" s="72" t="str">
        <f>VLOOKUP(A7764,'Componentes APUs'!$A$1:$D$14,2,0)</f>
        <v>Impermeable (pantalon camisa)</v>
      </c>
      <c r="C7764" s="73"/>
      <c r="D7764" s="50" t="str">
        <f>VLOOKUP(A7764,'Componentes APUs'!$A$1:$D$14,3,0)</f>
        <v>U</v>
      </c>
      <c r="E7764" s="50">
        <f>SUM(C7736:C7741)</f>
        <v>3.5</v>
      </c>
      <c r="F7764" s="51">
        <f>VLOOKUP(A7764,'Componentes APUs'!$A$1:$D$14,4,0)</f>
        <v>3750</v>
      </c>
      <c r="G7764" s="51">
        <f>ROUNDUP(F7764*(E7764/21)/E7725,0)</f>
        <v>32</v>
      </c>
    </row>
    <row r="7765" spans="1:7" x14ac:dyDescent="0.25">
      <c r="A7765" s="69" t="s">
        <v>85</v>
      </c>
      <c r="B7765" s="72" t="str">
        <f>VLOOKUP(A7765,'Componentes APUs'!$A$1:$D$14,2,0)</f>
        <v>Jean Dielectrico</v>
      </c>
      <c r="C7765" s="73"/>
      <c r="D7765" s="50" t="str">
        <f>VLOOKUP(A7765,'Componentes APUs'!$A$1:$D$14,3,0)</f>
        <v>U</v>
      </c>
      <c r="E7765" s="50">
        <f>SUM(C7736:C7741)</f>
        <v>3.5</v>
      </c>
      <c r="F7765" s="51">
        <f>VLOOKUP(A7765,'Componentes APUs'!$A$1:$D$14,4,0)</f>
        <v>7575.757575757576</v>
      </c>
      <c r="G7765" s="51">
        <f>ROUNDUP(F7765*(E7765/21)/E7725,0)</f>
        <v>64</v>
      </c>
    </row>
    <row r="7766" spans="1:7" x14ac:dyDescent="0.25">
      <c r="A7766" s="50" t="s">
        <v>87</v>
      </c>
      <c r="B7766" s="72" t="str">
        <f>VLOOKUP(A7766,'Componentes APUs'!$A$1:$D$14,2,0)</f>
        <v>Casco dielectrico Tipo 2 Clase E con barboquejo</v>
      </c>
      <c r="C7766" s="73"/>
      <c r="D7766" s="50" t="str">
        <f>VLOOKUP(A7766,'Componentes APUs'!$A$1:$D$14,3,0)</f>
        <v>U</v>
      </c>
      <c r="E7766" s="53">
        <f>IF(A7738="MO-3",C7738,0)</f>
        <v>0</v>
      </c>
      <c r="F7766" s="51">
        <f>VLOOKUP(A7766,'Componentes APUs'!$A$1:$D$14,4,0)</f>
        <v>7500</v>
      </c>
      <c r="G7766" s="51">
        <f>ROUNDUP(F7766*(E7766/21)/E7725,0)</f>
        <v>0</v>
      </c>
    </row>
    <row r="7767" spans="1:7" x14ac:dyDescent="0.25">
      <c r="A7767" s="69" t="s">
        <v>89</v>
      </c>
      <c r="B7767" s="72" t="str">
        <f>VLOOKUP(A7767,'Componentes APUs'!$A$1:$D$14,2,0)</f>
        <v>Kit de rescate para trabajo en alturas</v>
      </c>
      <c r="C7767" s="73"/>
      <c r="D7767" s="50" t="str">
        <f>VLOOKUP(A7767,'Componentes APUs'!$A$1:$D$14,3,0)</f>
        <v>U</v>
      </c>
      <c r="E7767" s="50">
        <f>IF(AND(A7738="MO-3",C7738=2),1,0)</f>
        <v>0</v>
      </c>
      <c r="F7767" s="51">
        <f>VLOOKUP(A7767,'Componentes APUs'!$A$1:$D$14,4,0)</f>
        <v>37500</v>
      </c>
      <c r="G7767" s="51">
        <f>ROUNDUP(F7767*(E7767/21)/E7725,0)</f>
        <v>0</v>
      </c>
    </row>
    <row r="7768" spans="1:7" x14ac:dyDescent="0.25">
      <c r="A7768" s="50" t="s">
        <v>91</v>
      </c>
      <c r="B7768" s="72" t="str">
        <f>VLOOKUP(A7768,'Componentes APUs'!$A$1:$D$14,2,0)</f>
        <v>Equipo completo para trabajo en alturas con pretales (Arnes dielectrico, 1 mosqueton de seguridad, tie off dielectrico, eslinga de posicionamiento, juego de pretales)</v>
      </c>
      <c r="C7768" s="73"/>
      <c r="D7768" s="50" t="str">
        <f>VLOOKUP(A7768,'Componentes APUs'!$A$1:$D$14,3,0)</f>
        <v>U</v>
      </c>
      <c r="E7768" s="50">
        <f>IF(A7738="MO-3",C7738,0)</f>
        <v>0</v>
      </c>
      <c r="F7768" s="51">
        <f>VLOOKUP(A7768,'Componentes APUs'!$A$1:$D$14,4,0)</f>
        <v>26041.666666666668</v>
      </c>
      <c r="G7768" s="51">
        <f>ROUNDUP(F7768*(E7768/21)/E7725,0)</f>
        <v>0</v>
      </c>
    </row>
    <row r="7769" spans="1:7" x14ac:dyDescent="0.25">
      <c r="A7769" s="219" t="s">
        <v>95</v>
      </c>
      <c r="B7769" s="219"/>
      <c r="C7769" s="219"/>
      <c r="D7769" s="219"/>
      <c r="E7769" s="219"/>
      <c r="F7769" s="219"/>
      <c r="G7769" s="52">
        <f>SUM(G7756:G7768)</f>
        <v>438</v>
      </c>
    </row>
    <row r="7770" spans="1:7" x14ac:dyDescent="0.25">
      <c r="A7770" s="56"/>
      <c r="B7770" s="57"/>
      <c r="C7770" s="57"/>
      <c r="D7770" s="57"/>
      <c r="E7770" s="57"/>
      <c r="F7770" s="57"/>
      <c r="G7770" s="58"/>
    </row>
    <row r="7771" spans="1:7" x14ac:dyDescent="0.25">
      <c r="A7771" s="219" t="s">
        <v>96</v>
      </c>
      <c r="B7771" s="219"/>
      <c r="C7771" s="219"/>
      <c r="D7771" s="219"/>
      <c r="E7771" s="219"/>
      <c r="F7771" s="219"/>
      <c r="G7771" s="219"/>
    </row>
    <row r="7772" spans="1:7" x14ac:dyDescent="0.25">
      <c r="A7772" s="49" t="s">
        <v>35</v>
      </c>
      <c r="B7772" s="225" t="s">
        <v>36</v>
      </c>
      <c r="C7772" s="225"/>
      <c r="D7772" s="49" t="s">
        <v>37</v>
      </c>
      <c r="E7772" s="49" t="s">
        <v>38</v>
      </c>
      <c r="F7772" s="49" t="s">
        <v>39</v>
      </c>
      <c r="G7772" s="49" t="s">
        <v>40</v>
      </c>
    </row>
    <row r="7773" spans="1:7" x14ac:dyDescent="0.25">
      <c r="A7773" s="69" t="s">
        <v>97</v>
      </c>
      <c r="B7773" s="72" t="str">
        <f>VLOOKUP(A7773,'Componentes APUs'!$N$1:$Q$30,2,0)</f>
        <v>Camioneta</v>
      </c>
      <c r="C7773" s="73"/>
      <c r="D7773" s="70" t="str">
        <f>VLOOKUP(A7773,'Componentes APUs'!$N$1:$Q$30,3,0)</f>
        <v>U</v>
      </c>
      <c r="E7773" s="50">
        <v>1</v>
      </c>
      <c r="F7773" s="51">
        <f>VLOOKUP(A7773,'Componentes APUs'!$N$1:$Q$30,4,0)</f>
        <v>5500000</v>
      </c>
      <c r="G7773" s="51">
        <f>IFERROR(ROUNDUP(F7773*(E7773/21)/E7725,0),"-")</f>
        <v>13096</v>
      </c>
    </row>
    <row r="7774" spans="1:7" x14ac:dyDescent="0.25">
      <c r="A7774" s="50" t="s">
        <v>1473</v>
      </c>
      <c r="B7774" s="72" t="str">
        <f>VLOOKUP(A7774,'Componentes APUs'!$N$1:$Q$30,2,0)</f>
        <v>Concretera</v>
      </c>
      <c r="C7774" s="73"/>
      <c r="D7774" s="70" t="str">
        <f>VLOOKUP(A7774,'Componentes APUs'!$N$1:$Q$30,3,0)</f>
        <v>U</v>
      </c>
      <c r="E7774" s="50">
        <v>1</v>
      </c>
      <c r="F7774" s="51">
        <f>VLOOKUP(A7774,'Componentes APUs'!$N$1:$Q$30,4,0)</f>
        <v>550704</v>
      </c>
      <c r="G7774" s="51">
        <f>IFERROR(ROUNDUP(F7774*(E7774/21)/E7725,0),"-")</f>
        <v>1312</v>
      </c>
    </row>
    <row r="7775" spans="1:7" x14ac:dyDescent="0.25">
      <c r="A7775" s="69" t="s">
        <v>1379</v>
      </c>
      <c r="B7775" s="72" t="str">
        <f>VLOOKUP(A7775,'Componentes APUs'!$N$1:$Q$30,2,0)</f>
        <v>Dumper de descarga Frontal 2T</v>
      </c>
      <c r="C7775" s="73"/>
      <c r="D7775" s="70" t="str">
        <f>VLOOKUP(A7775,'Componentes APUs'!$N$1:$Q$30,3,0)</f>
        <v>U</v>
      </c>
      <c r="E7775" s="50">
        <v>0</v>
      </c>
      <c r="F7775" s="51">
        <f>VLOOKUP(A7775,'Componentes APUs'!$N$1:$Q$30,4,0)</f>
        <v>4438716.24</v>
      </c>
      <c r="G7775" s="51">
        <f>IFERROR(ROUNDUP(F7775*(E7775/21)/E7725,0),"-")</f>
        <v>0</v>
      </c>
    </row>
    <row r="7776" spans="1:7" x14ac:dyDescent="0.25">
      <c r="A7776" s="50" t="s">
        <v>323</v>
      </c>
      <c r="B7776" s="72" t="str">
        <f>VLOOKUP(A7776,'Componentes APUs'!$N$1:$Q$30,2,0)</f>
        <v>Volqueta</v>
      </c>
      <c r="C7776" s="73"/>
      <c r="D7776" s="70" t="str">
        <f>VLOOKUP(A7776,'Componentes APUs'!$N$1:$Q$30,3,0)</f>
        <v>U</v>
      </c>
      <c r="E7776" s="50">
        <v>0</v>
      </c>
      <c r="F7776" s="51">
        <f>VLOOKUP(A7776,'Componentes APUs'!$N$1:$Q$30,4,0)</f>
        <v>14828184</v>
      </c>
      <c r="G7776" s="51">
        <f>IFERROR(ROUNDUP(F7776*(E7776/21)/E7725,0),"-")</f>
        <v>0</v>
      </c>
    </row>
    <row r="7777" spans="1:8" x14ac:dyDescent="0.25">
      <c r="A7777" s="69" t="s">
        <v>324</v>
      </c>
      <c r="B7777" s="72" t="str">
        <f>VLOOKUP(A7777,'Componentes APUs'!$N$1:$Q$30,2,0)</f>
        <v>Retroexcavadora</v>
      </c>
      <c r="C7777" s="73"/>
      <c r="D7777" s="70" t="str">
        <f>VLOOKUP(A7777,'Componentes APUs'!$N$1:$Q$30,3,0)</f>
        <v>U</v>
      </c>
      <c r="E7777" s="50">
        <v>0</v>
      </c>
      <c r="F7777" s="51">
        <f>VLOOKUP(A7777,'Componentes APUs'!$N$1:$Q$30,4,0)</f>
        <v>46030656</v>
      </c>
      <c r="G7777" s="51">
        <f>IFERROR(ROUNDUP(F7777*(E7777/21)/E7725,0),"-")</f>
        <v>0</v>
      </c>
    </row>
    <row r="7778" spans="1:8" x14ac:dyDescent="0.25">
      <c r="A7778" s="219" t="s">
        <v>99</v>
      </c>
      <c r="B7778" s="219"/>
      <c r="C7778" s="219"/>
      <c r="D7778" s="219"/>
      <c r="E7778" s="219"/>
      <c r="F7778" s="219"/>
      <c r="G7778" s="52">
        <f>SUM(G7773:G7777)</f>
        <v>14408</v>
      </c>
    </row>
    <row r="7779" spans="1:8" x14ac:dyDescent="0.25">
      <c r="A7779" s="56"/>
      <c r="B7779" s="57"/>
      <c r="C7779" s="57"/>
      <c r="D7779" s="57"/>
      <c r="E7779" s="57"/>
      <c r="F7779" s="57"/>
      <c r="G7779" s="58"/>
    </row>
    <row r="7780" spans="1:8" x14ac:dyDescent="0.25">
      <c r="A7780" s="219" t="s">
        <v>100</v>
      </c>
      <c r="B7780" s="219"/>
      <c r="C7780" s="219"/>
      <c r="D7780" s="219"/>
      <c r="E7780" s="219"/>
      <c r="F7780" s="219"/>
      <c r="G7780" s="52">
        <f>G7778+G7769+G7752+G7742+G7732</f>
        <v>224673</v>
      </c>
    </row>
    <row r="7781" spans="1:8" x14ac:dyDescent="0.25">
      <c r="A7781" s="59"/>
      <c r="B7781" s="60"/>
      <c r="C7781" s="60"/>
      <c r="D7781" s="60"/>
      <c r="E7781" s="57"/>
      <c r="F7781" s="57"/>
      <c r="G7781" s="58"/>
    </row>
    <row r="7782" spans="1:8" x14ac:dyDescent="0.25">
      <c r="A7782" s="64"/>
      <c r="D7782" s="55"/>
      <c r="E7782" s="49" t="s">
        <v>25</v>
      </c>
      <c r="F7782" s="54">
        <v>0.15</v>
      </c>
      <c r="G7782" s="51">
        <f>G7780*F7782</f>
        <v>33700.949999999997</v>
      </c>
    </row>
    <row r="7783" spans="1:8" x14ac:dyDescent="0.25">
      <c r="A7783" s="64"/>
      <c r="D7783" s="55"/>
      <c r="E7783" s="49" t="s">
        <v>26</v>
      </c>
      <c r="F7783" s="54">
        <v>0.05</v>
      </c>
      <c r="G7783" s="51">
        <f>G7780*F7783</f>
        <v>11233.650000000001</v>
      </c>
    </row>
    <row r="7784" spans="1:8" x14ac:dyDescent="0.25">
      <c r="A7784" s="61"/>
      <c r="B7784" s="65"/>
      <c r="C7784" s="65"/>
      <c r="D7784" s="62"/>
      <c r="E7784" s="49" t="s">
        <v>27</v>
      </c>
      <c r="F7784" s="54">
        <v>0.05</v>
      </c>
      <c r="G7784" s="51">
        <f>G7780*F7784</f>
        <v>11233.650000000001</v>
      </c>
    </row>
    <row r="7785" spans="1:8" x14ac:dyDescent="0.25">
      <c r="A7785" s="61"/>
      <c r="B7785" s="62"/>
      <c r="C7785" s="62"/>
      <c r="D7785" s="62"/>
      <c r="E7785" s="62"/>
      <c r="F7785" s="62"/>
      <c r="G7785" s="63"/>
    </row>
    <row r="7786" spans="1:8" x14ac:dyDescent="0.25">
      <c r="A7786" s="219" t="s">
        <v>101</v>
      </c>
      <c r="B7786" s="219"/>
      <c r="C7786" s="219"/>
      <c r="D7786" s="219"/>
      <c r="E7786" s="219"/>
      <c r="F7786" s="219"/>
      <c r="G7786" s="52">
        <f>G7780+G7782+G7783+G7784</f>
        <v>280841.25000000006</v>
      </c>
    </row>
    <row r="7787" spans="1:8" x14ac:dyDescent="0.25">
      <c r="A7787" s="59"/>
      <c r="B7787" s="60"/>
      <c r="C7787" s="60"/>
      <c r="D7787" s="60"/>
      <c r="E7787" s="57"/>
      <c r="F7787" s="57"/>
      <c r="G7787" s="58"/>
    </row>
    <row r="7788" spans="1:8" x14ac:dyDescent="0.25">
      <c r="A7788" s="64"/>
      <c r="D7788" s="55"/>
      <c r="E7788" s="49" t="s">
        <v>102</v>
      </c>
      <c r="F7788" s="49" t="s">
        <v>103</v>
      </c>
      <c r="G7788" s="51">
        <f>G7784*19%</f>
        <v>2134.3935000000001</v>
      </c>
    </row>
    <row r="7789" spans="1:8" x14ac:dyDescent="0.25">
      <c r="A7789" s="61"/>
      <c r="B7789" s="62"/>
      <c r="C7789" s="62"/>
      <c r="D7789" s="62"/>
      <c r="E7789" s="57"/>
      <c r="F7789" s="57"/>
      <c r="G7789" s="58"/>
    </row>
    <row r="7790" spans="1:8" x14ac:dyDescent="0.25">
      <c r="A7790" s="219" t="s">
        <v>104</v>
      </c>
      <c r="B7790" s="219"/>
      <c r="C7790" s="219"/>
      <c r="D7790" s="219"/>
      <c r="E7790" s="219"/>
      <c r="F7790" s="219"/>
      <c r="G7790" s="52">
        <f>G7788+G7786</f>
        <v>282975.64350000006</v>
      </c>
    </row>
    <row r="7792" spans="1:8" x14ac:dyDescent="0.25">
      <c r="A7792" s="74" t="s">
        <v>29</v>
      </c>
      <c r="B7792" s="226" t="s">
        <v>30</v>
      </c>
      <c r="C7792" s="226"/>
      <c r="D7792" s="74" t="s">
        <v>31</v>
      </c>
      <c r="E7792" s="74" t="s">
        <v>32</v>
      </c>
      <c r="F7792" s="74" t="s">
        <v>189</v>
      </c>
      <c r="G7792" s="74" t="s">
        <v>33</v>
      </c>
      <c r="H7792" s="105"/>
    </row>
    <row r="7793" spans="1:13" x14ac:dyDescent="0.25">
      <c r="A7793" s="50" t="str">
        <f>Presupuesto!B147</f>
        <v>124_OC</v>
      </c>
      <c r="B7793" s="229" t="str">
        <f>Presupuesto!C147</f>
        <v>VIGA DE AMARRE 20 X 25 CM</v>
      </c>
      <c r="C7793" s="230"/>
      <c r="D7793" s="50" t="s">
        <v>114</v>
      </c>
      <c r="E7793" s="107">
        <v>20</v>
      </c>
      <c r="F7793" s="50"/>
      <c r="G7793" s="51">
        <f>G7858</f>
        <v>161956.58600000001</v>
      </c>
      <c r="H7793" s="111"/>
    </row>
    <row r="7794" spans="1:13" x14ac:dyDescent="0.25">
      <c r="A7794" s="219" t="s">
        <v>34</v>
      </c>
      <c r="B7794" s="219"/>
      <c r="C7794" s="219"/>
      <c r="D7794" s="219"/>
      <c r="E7794" s="219"/>
      <c r="F7794" s="219"/>
      <c r="G7794" s="219"/>
    </row>
    <row r="7795" spans="1:13" x14ac:dyDescent="0.25">
      <c r="A7795" s="49" t="s">
        <v>35</v>
      </c>
      <c r="B7795" s="219" t="s">
        <v>36</v>
      </c>
      <c r="C7795" s="219"/>
      <c r="D7795" s="49" t="s">
        <v>37</v>
      </c>
      <c r="E7795" s="49" t="s">
        <v>38</v>
      </c>
      <c r="F7795" s="49" t="s">
        <v>39</v>
      </c>
      <c r="G7795" s="49" t="s">
        <v>40</v>
      </c>
      <c r="K7795" s="23"/>
      <c r="L7795" s="23"/>
    </row>
    <row r="7796" spans="1:13" x14ac:dyDescent="0.25">
      <c r="A7796" s="50" t="str">
        <f>Material!A218</f>
        <v>MA-217</v>
      </c>
      <c r="B7796" s="72" t="str">
        <f>IFERROR(VLOOKUP(A7796,Material!$A:$H,2,0),"-")</f>
        <v>FORMALETA EN MADERA CON TABLA DE 1"</v>
      </c>
      <c r="C7796" s="76"/>
      <c r="D7796" s="50" t="str">
        <f>IFERROR(VLOOKUP(A7796,Material!$A:$H,4,0),"-")</f>
        <v>M2</v>
      </c>
      <c r="E7796" s="107">
        <v>5.4000000000000003E-3</v>
      </c>
      <c r="F7796" s="51">
        <f>IFERROR(VLOOKUP(A7796,Material!$A:$H,3,0),"-")</f>
        <v>24691.116165303549</v>
      </c>
      <c r="G7796" s="51">
        <f t="shared" ref="G7796:G7798" si="111">IFERROR(ROUNDUP(F7796*E7796,0),"-")</f>
        <v>134</v>
      </c>
      <c r="H7796" s="112"/>
      <c r="I7796" s="110"/>
      <c r="J7796" s="113"/>
      <c r="K7796" s="114"/>
      <c r="L7796" s="115"/>
      <c r="M7796" s="115"/>
    </row>
    <row r="7797" spans="1:13" x14ac:dyDescent="0.25">
      <c r="A7797" s="50" t="str">
        <f>Material!A15</f>
        <v>MA-14</v>
      </c>
      <c r="B7797" s="72" t="str">
        <f>IFERROR(VLOOKUP(A7797,Material!$A:$H,2,0),"-")</f>
        <v>CONCRETO DE 3000 PSI</v>
      </c>
      <c r="C7797" s="76"/>
      <c r="D7797" s="50" t="str">
        <f>IFERROR(VLOOKUP(A7797,Material!$A:$H,4,0),"-")</f>
        <v>M3</v>
      </c>
      <c r="E7797" s="107">
        <f>0.0625</f>
        <v>6.25E-2</v>
      </c>
      <c r="F7797" s="51">
        <f>IFERROR(VLOOKUP(A7797,Material!$A:$H,3,0),"-")</f>
        <v>620227.23330691375</v>
      </c>
      <c r="G7797" s="51">
        <f t="shared" si="111"/>
        <v>38765</v>
      </c>
      <c r="H7797" s="112"/>
      <c r="I7797" s="110"/>
      <c r="J7797" s="113"/>
      <c r="K7797" s="114"/>
      <c r="L7797" s="115"/>
      <c r="M7797" s="115"/>
    </row>
    <row r="7798" spans="1:13" x14ac:dyDescent="0.25">
      <c r="A7798" s="50" t="str">
        <f>Material!A587</f>
        <v>MA-586</v>
      </c>
      <c r="B7798" s="72" t="str">
        <f>IFERROR(VLOOKUP(A7798,Material!$A:$H,2,0),"-")</f>
        <v>ACERO Fy= 420 MPa</v>
      </c>
      <c r="C7798" s="76"/>
      <c r="D7798" s="50" t="str">
        <f>IFERROR(VLOOKUP(A7798,Material!$A:$H,4,0),"-")</f>
        <v>KG</v>
      </c>
      <c r="E7798" s="107">
        <v>6.6</v>
      </c>
      <c r="F7798" s="51">
        <f>IFERROR(VLOOKUP(A7798,Material!$A:$H,3,0),"-")</f>
        <v>6962.8</v>
      </c>
      <c r="G7798" s="51">
        <f t="shared" si="111"/>
        <v>45955</v>
      </c>
      <c r="H7798" s="112"/>
      <c r="I7798" s="110"/>
      <c r="J7798" s="113"/>
      <c r="K7798" s="114"/>
      <c r="L7798" s="115"/>
      <c r="M7798" s="115"/>
    </row>
    <row r="7799" spans="1:13" x14ac:dyDescent="0.25">
      <c r="A7799" s="50"/>
      <c r="B7799" s="72"/>
      <c r="C7799" s="76"/>
      <c r="D7799" s="50"/>
      <c r="E7799" s="107"/>
      <c r="F7799" s="51"/>
      <c r="G7799" s="51"/>
      <c r="H7799" s="112"/>
      <c r="I7799" s="110"/>
      <c r="J7799" s="113"/>
      <c r="K7799" s="114"/>
      <c r="L7799" s="115"/>
      <c r="M7799" s="115"/>
    </row>
    <row r="7800" spans="1:13" x14ac:dyDescent="0.25">
      <c r="A7800" s="219" t="s">
        <v>41</v>
      </c>
      <c r="B7800" s="219"/>
      <c r="C7800" s="219"/>
      <c r="D7800" s="219"/>
      <c r="E7800" s="219"/>
      <c r="F7800" s="219"/>
      <c r="G7800" s="52">
        <f>SUM(G7796:G7799)</f>
        <v>84854</v>
      </c>
      <c r="I7800" s="104"/>
    </row>
    <row r="7801" spans="1:13" x14ac:dyDescent="0.25">
      <c r="A7801" s="56"/>
      <c r="B7801" s="57"/>
      <c r="C7801" s="57"/>
      <c r="D7801" s="57"/>
      <c r="E7801" s="57"/>
      <c r="F7801" s="57"/>
      <c r="G7801" s="58"/>
    </row>
    <row r="7802" spans="1:13" x14ac:dyDescent="0.25">
      <c r="A7802" s="219" t="s">
        <v>42</v>
      </c>
      <c r="B7802" s="219"/>
      <c r="C7802" s="219"/>
      <c r="D7802" s="219"/>
      <c r="E7802" s="219"/>
      <c r="F7802" s="219"/>
      <c r="G7802" s="219"/>
    </row>
    <row r="7803" spans="1:13" x14ac:dyDescent="0.25">
      <c r="A7803" s="49" t="s">
        <v>35</v>
      </c>
      <c r="B7803" s="49" t="s">
        <v>36</v>
      </c>
      <c r="C7803" s="49" t="s">
        <v>38</v>
      </c>
      <c r="D7803" s="49" t="s">
        <v>43</v>
      </c>
      <c r="E7803" s="49" t="s">
        <v>44</v>
      </c>
      <c r="F7803" s="49" t="s">
        <v>45</v>
      </c>
      <c r="G7803" s="49" t="s">
        <v>40</v>
      </c>
    </row>
    <row r="7804" spans="1:13" x14ac:dyDescent="0.25">
      <c r="A7804" s="50" t="s">
        <v>319</v>
      </c>
      <c r="B7804" s="68" t="str">
        <f>VLOOKUP(A7804,'Componentes APUs'!$H$1:$L$25,2,0)</f>
        <v>Ingeniero Residente de Obra</v>
      </c>
      <c r="C7804" s="93">
        <v>0.25</v>
      </c>
      <c r="D7804" s="50">
        <f>VLOOKUP(A7804,'Componentes APUs'!$H$1:$L$25,3,0)</f>
        <v>4</v>
      </c>
      <c r="E7804" s="51">
        <f>VLOOKUP(A7804,'Componentes APUs'!$H$1:$L$25,4,0)</f>
        <v>271142.85714285716</v>
      </c>
      <c r="F7804" s="51">
        <f>VLOOKUP(A7804,'Componentes APUs'!$H$1:$L$25,5,0)</f>
        <v>162685.71428571429</v>
      </c>
      <c r="G7804" s="51">
        <f>ROUNDUP((E7804+F7804)*C7804/E7793,0)</f>
        <v>5423</v>
      </c>
      <c r="H7804" s="66"/>
    </row>
    <row r="7805" spans="1:13" x14ac:dyDescent="0.25">
      <c r="A7805" s="50" t="s">
        <v>320</v>
      </c>
      <c r="B7805" s="68" t="str">
        <f>VLOOKUP(A7805,'Componentes APUs'!$H$1:$L$25,2,0)</f>
        <v>Tecnico Supervisor</v>
      </c>
      <c r="C7805" s="93">
        <v>0</v>
      </c>
      <c r="D7805" s="50">
        <f>VLOOKUP(A7805,'Componentes APUs'!$H$1:$L$25,3,0)</f>
        <v>2.2999999999999998</v>
      </c>
      <c r="E7805" s="51">
        <f>VLOOKUP(A7805,'Componentes APUs'!$H$1:$L$25,4,0)</f>
        <v>155907.14285714284</v>
      </c>
      <c r="F7805" s="51">
        <f>VLOOKUP(A7805,'Componentes APUs'!$H$1:$L$25,5,0)</f>
        <v>93544.285714285696</v>
      </c>
      <c r="G7805" s="51">
        <f>ROUNDUP((E7805+F7805)*C7805/E7793,0)</f>
        <v>0</v>
      </c>
    </row>
    <row r="7806" spans="1:13" x14ac:dyDescent="0.25">
      <c r="A7806" s="50" t="s">
        <v>54</v>
      </c>
      <c r="B7806" s="68" t="str">
        <f>VLOOKUP(A7806,'Componentes APUs'!$H$1:$L$25,2,0)</f>
        <v>Maestro de obra civil</v>
      </c>
      <c r="C7806" s="93">
        <v>0</v>
      </c>
      <c r="D7806" s="50">
        <f>VLOOKUP(A7806,'Componentes APUs'!$H$1:$L$25,3,0)</f>
        <v>2.5</v>
      </c>
      <c r="E7806" s="51">
        <f>VLOOKUP(A7806,'Componentes APUs'!$H$1:$L$25,4,0)</f>
        <v>169464.28571428571</v>
      </c>
      <c r="F7806" s="51">
        <f>VLOOKUP(A7806,'Componentes APUs'!$H$1:$L$25,5,0)</f>
        <v>101678.57142857142</v>
      </c>
      <c r="G7806" s="51">
        <f>ROUNDUP((E7806+F7806)*C7806/E7793,0)</f>
        <v>0</v>
      </c>
    </row>
    <row r="7807" spans="1:13" x14ac:dyDescent="0.25">
      <c r="A7807" s="50" t="s">
        <v>1110</v>
      </c>
      <c r="B7807" s="68" t="str">
        <f>VLOOKUP(A7807,'Componentes APUs'!$H$1:$L$25,2,0)</f>
        <v>Oficial de Obra Civil</v>
      </c>
      <c r="C7807" s="93">
        <v>1</v>
      </c>
      <c r="D7807" s="50">
        <f>VLOOKUP(A7807,'Componentes APUs'!$H$1:$L$25,3,0)</f>
        <v>1.5</v>
      </c>
      <c r="E7807" s="51">
        <f>VLOOKUP(A7807,'Componentes APUs'!$H$1:$L$25,4,0)</f>
        <v>115964.28571428571</v>
      </c>
      <c r="F7807" s="51">
        <f>VLOOKUP(A7807,'Componentes APUs'!$H$1:$L$25,5,0)</f>
        <v>69578.57142857142</v>
      </c>
      <c r="G7807" s="51">
        <f>ROUNDUP((E7807+F7807)*C7807/E7793,0)</f>
        <v>9278</v>
      </c>
    </row>
    <row r="7808" spans="1:13" x14ac:dyDescent="0.25">
      <c r="A7808" s="50" t="s">
        <v>50</v>
      </c>
      <c r="B7808" s="68" t="str">
        <f>VLOOKUP(A7808,'Componentes APUs'!$H$1:$L$25,2,0)</f>
        <v>Profesional en SST</v>
      </c>
      <c r="C7808" s="93">
        <v>0.25</v>
      </c>
      <c r="D7808" s="50">
        <f>VLOOKUP(A7808,'Componentes APUs'!$H$1:$L$25,3,0)</f>
        <v>2.5</v>
      </c>
      <c r="E7808" s="51">
        <f>VLOOKUP(A7808,'Componentes APUs'!$H$1:$L$25,4,0)</f>
        <v>169464.28571428571</v>
      </c>
      <c r="F7808" s="51">
        <f>VLOOKUP(A7808,'Componentes APUs'!$H$1:$L$25,5,0)</f>
        <v>101678.57142857142</v>
      </c>
      <c r="G7808" s="51">
        <f>ROUNDUP((E7808+F7808)*C7808/E7793,0)</f>
        <v>3390</v>
      </c>
    </row>
    <row r="7809" spans="1:9" x14ac:dyDescent="0.25">
      <c r="A7809" s="50" t="s">
        <v>1109</v>
      </c>
      <c r="B7809" s="68" t="str">
        <f>VLOOKUP(A7809,'Componentes APUs'!$H$1:$L$25,2,0)</f>
        <v>Ayudante de Obra Civil</v>
      </c>
      <c r="C7809" s="93">
        <v>4</v>
      </c>
      <c r="D7809" s="50">
        <f>VLOOKUP(A7809,'Componentes APUs'!$H$1:$L$25,3,0)</f>
        <v>1</v>
      </c>
      <c r="E7809" s="51">
        <f>VLOOKUP(A7809,'Componentes APUs'!$H$1:$L$25,4,0)</f>
        <v>77309.523809523816</v>
      </c>
      <c r="F7809" s="51">
        <f>VLOOKUP(A7809,'Componentes APUs'!$H$1:$L$25,5,0)</f>
        <v>46385.71428571429</v>
      </c>
      <c r="G7809" s="51">
        <f>ROUNDUP((E7809+F7809)*C7809/E7793,0)</f>
        <v>24740</v>
      </c>
    </row>
    <row r="7810" spans="1:9" x14ac:dyDescent="0.25">
      <c r="A7810" s="219" t="s">
        <v>56</v>
      </c>
      <c r="B7810" s="219"/>
      <c r="C7810" s="219"/>
      <c r="D7810" s="219"/>
      <c r="E7810" s="219"/>
      <c r="F7810" s="219"/>
      <c r="G7810" s="52">
        <f>SUM(G7804:G7809)</f>
        <v>42831</v>
      </c>
    </row>
    <row r="7811" spans="1:9" x14ac:dyDescent="0.25">
      <c r="A7811" s="56"/>
      <c r="B7811" s="57"/>
      <c r="C7811" s="57"/>
      <c r="D7811" s="57"/>
      <c r="E7811" s="57"/>
      <c r="F7811" s="57"/>
      <c r="G7811" s="58"/>
    </row>
    <row r="7812" spans="1:9" x14ac:dyDescent="0.25">
      <c r="A7812" s="219" t="s">
        <v>57</v>
      </c>
      <c r="B7812" s="219"/>
      <c r="C7812" s="219"/>
      <c r="D7812" s="219"/>
      <c r="E7812" s="219"/>
      <c r="F7812" s="219"/>
      <c r="G7812" s="219"/>
    </row>
    <row r="7813" spans="1:9" x14ac:dyDescent="0.25">
      <c r="A7813" s="49" t="s">
        <v>35</v>
      </c>
      <c r="B7813" s="219" t="s">
        <v>36</v>
      </c>
      <c r="C7813" s="219"/>
      <c r="D7813" s="49" t="s">
        <v>37</v>
      </c>
      <c r="E7813" s="49" t="s">
        <v>38</v>
      </c>
      <c r="F7813" s="49" t="s">
        <v>39</v>
      </c>
      <c r="G7813" s="49" t="s">
        <v>40</v>
      </c>
    </row>
    <row r="7814" spans="1:9" x14ac:dyDescent="0.25">
      <c r="A7814" s="50" t="s">
        <v>326</v>
      </c>
      <c r="B7814" s="220" t="str">
        <f>VLOOKUP(A7814,'Componentes APUs'!$S$1:$V$10,2,0)</f>
        <v>Juego Llaves</v>
      </c>
      <c r="C7814" s="220"/>
      <c r="D7814" s="50" t="s">
        <v>18</v>
      </c>
      <c r="E7814" s="50">
        <v>0</v>
      </c>
      <c r="F7814" s="51">
        <f>VLOOKUP(A7814,'Componentes APUs'!$S$1:$V$10,4,0)</f>
        <v>9167</v>
      </c>
      <c r="G7814" s="51">
        <f>ROUNDUP(F7814*((E7814/21)/E7793),0)</f>
        <v>0</v>
      </c>
      <c r="I7814" s="91"/>
    </row>
    <row r="7815" spans="1:9" x14ac:dyDescent="0.25">
      <c r="A7815" s="50" t="s">
        <v>58</v>
      </c>
      <c r="B7815" s="220" t="str">
        <f>VLOOKUP(A7815,'Componentes APUs'!$S$1:$V$10,2,0)</f>
        <v>Manila de servicio</v>
      </c>
      <c r="C7815" s="220"/>
      <c r="D7815" s="50" t="s">
        <v>18</v>
      </c>
      <c r="E7815" s="50">
        <v>0</v>
      </c>
      <c r="F7815" s="51">
        <f>VLOOKUP(A7815,'Componentes APUs'!$S$1:$V$10,4,0)</f>
        <v>2333</v>
      </c>
      <c r="G7815" s="51">
        <f>ROUNDUP(F7815*((E7815/21)/E7793),0)</f>
        <v>0</v>
      </c>
    </row>
    <row r="7816" spans="1:9" x14ac:dyDescent="0.25">
      <c r="A7816" s="50" t="s">
        <v>327</v>
      </c>
      <c r="B7816" s="220" t="str">
        <f>VLOOKUP(A7816,'Componentes APUs'!$S$1:$V$10,2,0)</f>
        <v>Tula portaherramientas</v>
      </c>
      <c r="C7816" s="220"/>
      <c r="D7816" s="50" t="s">
        <v>18</v>
      </c>
      <c r="E7816" s="50">
        <v>0</v>
      </c>
      <c r="F7816" s="51">
        <f>VLOOKUP(A7816,'Componentes APUs'!$S$1:$V$10,4,0)</f>
        <v>1250</v>
      </c>
      <c r="G7816" s="51">
        <f>ROUNDUP(F7816*((E7816/21)/E7793),0)</f>
        <v>0</v>
      </c>
    </row>
    <row r="7817" spans="1:9" x14ac:dyDescent="0.25">
      <c r="A7817" s="50" t="s">
        <v>60</v>
      </c>
      <c r="B7817" s="220" t="str">
        <f>VLOOKUP(A7817,'Componentes APUs'!$S$1:$V$10,2,0)</f>
        <v>Agarradoras</v>
      </c>
      <c r="C7817" s="220"/>
      <c r="D7817" s="50" t="s">
        <v>18</v>
      </c>
      <c r="E7817" s="50">
        <v>0</v>
      </c>
      <c r="F7817" s="51">
        <f>VLOOKUP(A7817,'Componentes APUs'!$S$1:$V$10,4,0)</f>
        <v>125000</v>
      </c>
      <c r="G7817" s="51">
        <f>ROUNDUP(F7817*((E7817/21)/E7793),0)</f>
        <v>0</v>
      </c>
    </row>
    <row r="7818" spans="1:9" x14ac:dyDescent="0.25">
      <c r="A7818" s="50" t="s">
        <v>62</v>
      </c>
      <c r="B7818" s="220" t="str">
        <f>VLOOKUP(A7818,'Componentes APUs'!$S$1:$V$10,2,0)</f>
        <v>Templadoras</v>
      </c>
      <c r="C7818" s="220"/>
      <c r="D7818" s="50" t="s">
        <v>18</v>
      </c>
      <c r="E7818" s="50">
        <v>0</v>
      </c>
      <c r="F7818" s="51">
        <f>VLOOKUP(A7818,'Componentes APUs'!$S$1:$V$10,4,0)</f>
        <v>250000</v>
      </c>
      <c r="G7818" s="51">
        <f>ROUNDUP(F7818*((E7818/21)/E7793),0)</f>
        <v>0</v>
      </c>
    </row>
    <row r="7819" spans="1:9" x14ac:dyDescent="0.25">
      <c r="A7819" s="50" t="s">
        <v>328</v>
      </c>
      <c r="B7819" s="220" t="str">
        <f>VLOOKUP(A7819,'Componentes APUs'!$S$1:$V$10,2,0)</f>
        <v>Herramienta Menor</v>
      </c>
      <c r="C7819" s="220"/>
      <c r="D7819" s="50" t="s">
        <v>18</v>
      </c>
      <c r="E7819" s="50">
        <v>1.2</v>
      </c>
      <c r="F7819" s="51">
        <f>VLOOKUP(A7819,'Componentes APUs'!$S$1:$V$10,4,0)</f>
        <v>75758</v>
      </c>
      <c r="G7819" s="51">
        <f>ROUNDUP(F7819*((E7819/21)/E7793),0)</f>
        <v>217</v>
      </c>
    </row>
    <row r="7820" spans="1:9" x14ac:dyDescent="0.25">
      <c r="A7820" s="219" t="s">
        <v>69</v>
      </c>
      <c r="B7820" s="219"/>
      <c r="C7820" s="219"/>
      <c r="D7820" s="219"/>
      <c r="E7820" s="219"/>
      <c r="F7820" s="219"/>
      <c r="G7820" s="52">
        <f>SUM(G7814:G7819)</f>
        <v>217</v>
      </c>
    </row>
    <row r="7821" spans="1:9" x14ac:dyDescent="0.25">
      <c r="A7821" s="56"/>
      <c r="B7821" s="57"/>
      <c r="C7821" s="57"/>
      <c r="D7821" s="57"/>
      <c r="E7821" s="57"/>
      <c r="F7821" s="57"/>
      <c r="G7821" s="58"/>
    </row>
    <row r="7822" spans="1:9" x14ac:dyDescent="0.25">
      <c r="A7822" s="219" t="s">
        <v>70</v>
      </c>
      <c r="B7822" s="219"/>
      <c r="C7822" s="219"/>
      <c r="D7822" s="219"/>
      <c r="E7822" s="219"/>
      <c r="F7822" s="219"/>
      <c r="G7822" s="219"/>
    </row>
    <row r="7823" spans="1:9" x14ac:dyDescent="0.25">
      <c r="A7823" s="49" t="s">
        <v>35</v>
      </c>
      <c r="B7823" s="219" t="s">
        <v>36</v>
      </c>
      <c r="C7823" s="219"/>
      <c r="D7823" s="49" t="s">
        <v>37</v>
      </c>
      <c r="E7823" s="49" t="s">
        <v>38</v>
      </c>
      <c r="F7823" s="49" t="s">
        <v>39</v>
      </c>
      <c r="G7823" s="49" t="s">
        <v>40</v>
      </c>
    </row>
    <row r="7824" spans="1:9" x14ac:dyDescent="0.25">
      <c r="A7824" s="50" t="s">
        <v>71</v>
      </c>
      <c r="B7824" s="71" t="str">
        <f>VLOOKUP(A7824,'Componentes APUs'!$A$1:$D$14,2,0)</f>
        <v>Camisa indigo sin partes metalicas</v>
      </c>
      <c r="C7824" s="71"/>
      <c r="D7824" s="50" t="str">
        <f>VLOOKUP(A7824,'Componentes APUs'!$A$1:$D$14,3,0)</f>
        <v>U</v>
      </c>
      <c r="E7824" s="50">
        <f>SUM(C7804:C7809)</f>
        <v>5.5</v>
      </c>
      <c r="F7824" s="51">
        <f>VLOOKUP(A7824,'Componentes APUs'!$A$1:$D$14,4,0)</f>
        <v>8585.8585858585866</v>
      </c>
      <c r="G7824" s="51">
        <f>ROUNDUP(F7824*(E7824/21)/E7793,0)</f>
        <v>113</v>
      </c>
      <c r="I7824" s="91"/>
    </row>
    <row r="7825" spans="1:7" x14ac:dyDescent="0.25">
      <c r="A7825" s="69" t="s">
        <v>73</v>
      </c>
      <c r="B7825" s="72" t="str">
        <f>VLOOKUP(A7825,'Componentes APUs'!$A$1:$D$14,2,0)</f>
        <v>Bota de seguridad dielectrica</v>
      </c>
      <c r="C7825" s="73"/>
      <c r="D7825" s="70" t="str">
        <f>VLOOKUP(A7825,'Componentes APUs'!$A$1:$D$14,3,0)</f>
        <v>Par</v>
      </c>
      <c r="E7825" s="50">
        <f>SUM(C7804:C7809)</f>
        <v>5.5</v>
      </c>
      <c r="F7825" s="51">
        <f>VLOOKUP(A7825,'Componentes APUs'!$A$1:$D$14,4,0)</f>
        <v>7500</v>
      </c>
      <c r="G7825" s="51">
        <f>ROUNDUP(F7825*(E7825/21)/E7793,0)</f>
        <v>99</v>
      </c>
    </row>
    <row r="7826" spans="1:7" x14ac:dyDescent="0.25">
      <c r="A7826" s="50" t="s">
        <v>76</v>
      </c>
      <c r="B7826" s="72" t="str">
        <f>VLOOKUP(A7826,'Componentes APUs'!$A$1:$D$14,2,0)</f>
        <v>Casco dielectrico Tipo 1 Clase E con barbuquejo</v>
      </c>
      <c r="C7826" s="73"/>
      <c r="D7826" s="50" t="str">
        <f>VLOOKUP(A7826,'Componentes APUs'!$A$1:$D$14,3,0)</f>
        <v>U</v>
      </c>
      <c r="E7826" s="50">
        <f>C7804+C7805+C7807+C7808+C7809+IF(A7806&lt;&gt;"MO-3",C7806,0)</f>
        <v>5.5</v>
      </c>
      <c r="F7826" s="51">
        <f>VLOOKUP(A7826,'Componentes APUs'!$A$1:$D$14,4,0)</f>
        <v>10101.010101010101</v>
      </c>
      <c r="G7826" s="51">
        <f>ROUNDUP(F7826*(E7826/21)/E7793,0)</f>
        <v>133</v>
      </c>
    </row>
    <row r="7827" spans="1:7" x14ac:dyDescent="0.25">
      <c r="A7827" s="69" t="s">
        <v>77</v>
      </c>
      <c r="B7827" s="72" t="str">
        <f>VLOOKUP(A7827,'Componentes APUs'!$A$1:$D$14,2,0)</f>
        <v>Correa plastica y antiflama</v>
      </c>
      <c r="C7827" s="73"/>
      <c r="D7827" s="50" t="str">
        <f>VLOOKUP(A7827,'Componentes APUs'!$A$1:$D$14,3,0)</f>
        <v>U</v>
      </c>
      <c r="E7827" s="50">
        <f>SUM(C7804:C7809)</f>
        <v>5.5</v>
      </c>
      <c r="F7827" s="51">
        <f>VLOOKUP(A7827,'Componentes APUs'!$A$1:$D$14,4,0)</f>
        <v>3787.878787878788</v>
      </c>
      <c r="G7827" s="51">
        <f>ROUNDUP(F7827*(E7827/21)/E7793,0)</f>
        <v>50</v>
      </c>
    </row>
    <row r="7828" spans="1:7" x14ac:dyDescent="0.25">
      <c r="A7828" s="50" t="s">
        <v>79</v>
      </c>
      <c r="B7828" s="72" t="str">
        <f>VLOOKUP(A7828,'Componentes APUs'!$A$1:$D$14,2,0)</f>
        <v>Gafas protectoras filtro UV</v>
      </c>
      <c r="C7828" s="73"/>
      <c r="D7828" s="50" t="str">
        <f>VLOOKUP(A7828,'Componentes APUs'!$A$1:$D$14,3,0)</f>
        <v>U</v>
      </c>
      <c r="E7828" s="50">
        <f>SUM(C7804:C7809)</f>
        <v>5.5</v>
      </c>
      <c r="F7828" s="51">
        <f>VLOOKUP(A7828,'Componentes APUs'!$A$1:$D$14,4,0)</f>
        <v>2777.7777777777778</v>
      </c>
      <c r="G7828" s="51">
        <f>ROUNDUP(F7828*(E7828/21)/E7793,0)</f>
        <v>37</v>
      </c>
    </row>
    <row r="7829" spans="1:7" x14ac:dyDescent="0.25">
      <c r="A7829" s="69" t="s">
        <v>402</v>
      </c>
      <c r="B7829" s="72" t="str">
        <f>VLOOKUP(A7829,'Componentes APUs'!$A$1:$D$14,2,0)</f>
        <v>Bota de seguridad PVC dielectrica</v>
      </c>
      <c r="C7829" s="73"/>
      <c r="D7829" s="50" t="str">
        <f>VLOOKUP(A7829,'Componentes APUs'!$A$1:$D$14,3,0)</f>
        <v>Par</v>
      </c>
      <c r="E7829" s="50">
        <f>SUM(C7804:C7809)</f>
        <v>5.5</v>
      </c>
      <c r="F7829" s="51">
        <f>VLOOKUP(A7829,'Componentes APUs'!$A$1:$D$14,4,0)</f>
        <v>2916.6666666666665</v>
      </c>
      <c r="G7829" s="51">
        <f>ROUNDUP(F7829*(E7829/21)/E7793,0)</f>
        <v>39</v>
      </c>
    </row>
    <row r="7830" spans="1:7" x14ac:dyDescent="0.25">
      <c r="A7830" s="50" t="s">
        <v>403</v>
      </c>
      <c r="B7830" s="72" t="str">
        <f>VLOOKUP(A7830,'Componentes APUs'!$A$1:$D$14,2,0)</f>
        <v>Capuchon</v>
      </c>
      <c r="C7830" s="73"/>
      <c r="D7830" s="50" t="str">
        <f>VLOOKUP(A7830,'Componentes APUs'!$A$1:$D$14,3,0)</f>
        <v>U</v>
      </c>
      <c r="E7830" s="50">
        <f>SUM(C7804:C7809)</f>
        <v>5.5</v>
      </c>
      <c r="F7830" s="51">
        <f>VLOOKUP(A7830,'Componentes APUs'!$A$1:$D$14,4,0)</f>
        <v>2525.2525252525252</v>
      </c>
      <c r="G7830" s="51">
        <f>ROUNDUP(F7830*(E7830/21)/E7793,0)</f>
        <v>34</v>
      </c>
    </row>
    <row r="7831" spans="1:7" x14ac:dyDescent="0.25">
      <c r="A7831" s="69" t="s">
        <v>81</v>
      </c>
      <c r="B7831" s="72" t="str">
        <f>VLOOKUP(A7831,'Componentes APUs'!$A$1:$D$14,2,0)</f>
        <v>Guantes Protectores  - ingeniero reforzados</v>
      </c>
      <c r="C7831" s="73"/>
      <c r="D7831" s="50" t="str">
        <f>VLOOKUP(A7831,'Componentes APUs'!$A$1:$D$14,3,0)</f>
        <v>Par</v>
      </c>
      <c r="E7831" s="50">
        <f>C7806+C7807+C7809</f>
        <v>5</v>
      </c>
      <c r="F7831" s="51">
        <f>VLOOKUP(A7831,'Componentes APUs'!$A$1:$D$14,4,0)</f>
        <v>2525.2525252525252</v>
      </c>
      <c r="G7831" s="51">
        <f>ROUNDUP(F7831*(E7831/21)/E7793,0)</f>
        <v>31</v>
      </c>
    </row>
    <row r="7832" spans="1:7" x14ac:dyDescent="0.25">
      <c r="A7832" s="50" t="s">
        <v>83</v>
      </c>
      <c r="B7832" s="72" t="str">
        <f>VLOOKUP(A7832,'Componentes APUs'!$A$1:$D$14,2,0)</f>
        <v>Impermeable (pantalon camisa)</v>
      </c>
      <c r="C7832" s="73"/>
      <c r="D7832" s="50" t="str">
        <f>VLOOKUP(A7832,'Componentes APUs'!$A$1:$D$14,3,0)</f>
        <v>U</v>
      </c>
      <c r="E7832" s="50">
        <f>SUM(C7804:C7809)</f>
        <v>5.5</v>
      </c>
      <c r="F7832" s="51">
        <f>VLOOKUP(A7832,'Componentes APUs'!$A$1:$D$14,4,0)</f>
        <v>3750</v>
      </c>
      <c r="G7832" s="51">
        <f>ROUNDUP(F7832*(E7832/21)/E7793,0)</f>
        <v>50</v>
      </c>
    </row>
    <row r="7833" spans="1:7" x14ac:dyDescent="0.25">
      <c r="A7833" s="69" t="s">
        <v>85</v>
      </c>
      <c r="B7833" s="72" t="str">
        <f>VLOOKUP(A7833,'Componentes APUs'!$A$1:$D$14,2,0)</f>
        <v>Jean Dielectrico</v>
      </c>
      <c r="C7833" s="73"/>
      <c r="D7833" s="50" t="str">
        <f>VLOOKUP(A7833,'Componentes APUs'!$A$1:$D$14,3,0)</f>
        <v>U</v>
      </c>
      <c r="E7833" s="50">
        <f>SUM(C7804:C7809)</f>
        <v>5.5</v>
      </c>
      <c r="F7833" s="51">
        <f>VLOOKUP(A7833,'Componentes APUs'!$A$1:$D$14,4,0)</f>
        <v>7575.757575757576</v>
      </c>
      <c r="G7833" s="51">
        <f>ROUNDUP(F7833*(E7833/21)/E7793,0)</f>
        <v>100</v>
      </c>
    </row>
    <row r="7834" spans="1:7" x14ac:dyDescent="0.25">
      <c r="A7834" s="50" t="s">
        <v>87</v>
      </c>
      <c r="B7834" s="72" t="str">
        <f>VLOOKUP(A7834,'Componentes APUs'!$A$1:$D$14,2,0)</f>
        <v>Casco dielectrico Tipo 2 Clase E con barboquejo</v>
      </c>
      <c r="C7834" s="73"/>
      <c r="D7834" s="50" t="str">
        <f>VLOOKUP(A7834,'Componentes APUs'!$A$1:$D$14,3,0)</f>
        <v>U</v>
      </c>
      <c r="E7834" s="53">
        <f>IF(A7806="MO-3",C7806,0)</f>
        <v>0</v>
      </c>
      <c r="F7834" s="51">
        <f>VLOOKUP(A7834,'Componentes APUs'!$A$1:$D$14,4,0)</f>
        <v>7500</v>
      </c>
      <c r="G7834" s="51">
        <f>ROUNDUP(F7834*(E7834/21)/E7793,0)</f>
        <v>0</v>
      </c>
    </row>
    <row r="7835" spans="1:7" x14ac:dyDescent="0.25">
      <c r="A7835" s="69" t="s">
        <v>89</v>
      </c>
      <c r="B7835" s="72" t="str">
        <f>VLOOKUP(A7835,'Componentes APUs'!$A$1:$D$14,2,0)</f>
        <v>Kit de rescate para trabajo en alturas</v>
      </c>
      <c r="C7835" s="73"/>
      <c r="D7835" s="50" t="str">
        <f>VLOOKUP(A7835,'Componentes APUs'!$A$1:$D$14,3,0)</f>
        <v>U</v>
      </c>
      <c r="E7835" s="50">
        <f>IF(AND(A7806="MO-3",C7806=2),1,0)</f>
        <v>0</v>
      </c>
      <c r="F7835" s="51">
        <f>VLOOKUP(A7835,'Componentes APUs'!$A$1:$D$14,4,0)</f>
        <v>37500</v>
      </c>
      <c r="G7835" s="51">
        <f>ROUNDUP(F7835*(E7835/21)/E7793,0)</f>
        <v>0</v>
      </c>
    </row>
    <row r="7836" spans="1:7" x14ac:dyDescent="0.25">
      <c r="A7836" s="50" t="s">
        <v>91</v>
      </c>
      <c r="B7836" s="72" t="str">
        <f>VLOOKUP(A7836,'Componentes APUs'!$A$1:$D$14,2,0)</f>
        <v>Equipo completo para trabajo en alturas con pretales (Arnes dielectrico, 1 mosqueton de seguridad, tie off dielectrico, eslinga de posicionamiento, juego de pretales)</v>
      </c>
      <c r="C7836" s="73"/>
      <c r="D7836" s="50" t="str">
        <f>VLOOKUP(A7836,'Componentes APUs'!$A$1:$D$14,3,0)</f>
        <v>U</v>
      </c>
      <c r="E7836" s="50">
        <f>IF(A7806="MO-3",C7806,0)</f>
        <v>0</v>
      </c>
      <c r="F7836" s="51">
        <f>VLOOKUP(A7836,'Componentes APUs'!$A$1:$D$14,4,0)</f>
        <v>26041.666666666668</v>
      </c>
      <c r="G7836" s="51">
        <f>ROUNDUP(F7836*(E7836/21)/E7793,0)</f>
        <v>0</v>
      </c>
    </row>
    <row r="7837" spans="1:7" x14ac:dyDescent="0.25">
      <c r="A7837" s="219" t="s">
        <v>95</v>
      </c>
      <c r="B7837" s="219"/>
      <c r="C7837" s="219"/>
      <c r="D7837" s="219"/>
      <c r="E7837" s="219"/>
      <c r="F7837" s="219"/>
      <c r="G7837" s="52">
        <f>SUM(G7824:G7836)</f>
        <v>686</v>
      </c>
    </row>
    <row r="7838" spans="1:7" x14ac:dyDescent="0.25">
      <c r="A7838" s="56"/>
      <c r="B7838" s="57"/>
      <c r="C7838" s="57"/>
      <c r="D7838" s="57"/>
      <c r="E7838" s="57"/>
      <c r="F7838" s="57"/>
      <c r="G7838" s="58"/>
    </row>
    <row r="7839" spans="1:7" x14ac:dyDescent="0.25">
      <c r="A7839" s="219" t="s">
        <v>96</v>
      </c>
      <c r="B7839" s="219"/>
      <c r="C7839" s="219"/>
      <c r="D7839" s="219"/>
      <c r="E7839" s="219"/>
      <c r="F7839" s="219"/>
      <c r="G7839" s="219"/>
    </row>
    <row r="7840" spans="1:7" x14ac:dyDescent="0.25">
      <c r="A7840" s="49" t="s">
        <v>35</v>
      </c>
      <c r="B7840" s="225" t="s">
        <v>36</v>
      </c>
      <c r="C7840" s="225"/>
      <c r="D7840" s="49" t="s">
        <v>37</v>
      </c>
      <c r="E7840" s="49" t="s">
        <v>38</v>
      </c>
      <c r="F7840" s="49" t="s">
        <v>39</v>
      </c>
      <c r="G7840" s="49" t="s">
        <v>40</v>
      </c>
    </row>
    <row r="7841" spans="1:7" x14ac:dyDescent="0.25">
      <c r="A7841" s="69" t="s">
        <v>97</v>
      </c>
      <c r="B7841" s="72" t="str">
        <f>VLOOKUP(A7841,'Componentes APUs'!$N$1:$Q$30,2,0)</f>
        <v>Camioneta</v>
      </c>
      <c r="C7841" s="73"/>
      <c r="D7841" s="70" t="str">
        <f>VLOOKUP(A7841,'Componentes APUs'!$N$1:$Q$30,3,0)</f>
        <v>U</v>
      </c>
      <c r="E7841" s="50">
        <v>0</v>
      </c>
      <c r="F7841" s="51">
        <f>VLOOKUP(A7841,'Componentes APUs'!$N$1:$Q$30,4,0)</f>
        <v>5500000</v>
      </c>
      <c r="G7841" s="51">
        <f>IFERROR(ROUNDUP(F7841*(E7841/21)/E7793,0),"-")</f>
        <v>0</v>
      </c>
    </row>
    <row r="7842" spans="1:7" x14ac:dyDescent="0.25">
      <c r="A7842" s="50" t="s">
        <v>1473</v>
      </c>
      <c r="B7842" s="72" t="str">
        <f>VLOOKUP(A7842,'Componentes APUs'!$N$1:$Q$30,2,0)</f>
        <v>Concretera</v>
      </c>
      <c r="C7842" s="73"/>
      <c r="D7842" s="70" t="str">
        <f>VLOOKUP(A7842,'Componentes APUs'!$N$1:$Q$30,3,0)</f>
        <v>U</v>
      </c>
      <c r="E7842" s="50">
        <v>0</v>
      </c>
      <c r="F7842" s="51">
        <f>VLOOKUP(A7842,'Componentes APUs'!$N$1:$Q$30,4,0)</f>
        <v>550704</v>
      </c>
      <c r="G7842" s="51">
        <f>IFERROR(ROUNDUP(F7842*(E7842/21)/E7793,0),"-")</f>
        <v>0</v>
      </c>
    </row>
    <row r="7843" spans="1:7" x14ac:dyDescent="0.25">
      <c r="A7843" s="69" t="s">
        <v>1379</v>
      </c>
      <c r="B7843" s="72" t="str">
        <f>VLOOKUP(A7843,'Componentes APUs'!$N$1:$Q$30,2,0)</f>
        <v>Dumper de descarga Frontal 2T</v>
      </c>
      <c r="C7843" s="73"/>
      <c r="D7843" s="70" t="str">
        <f>VLOOKUP(A7843,'Componentes APUs'!$N$1:$Q$30,3,0)</f>
        <v>U</v>
      </c>
      <c r="E7843" s="50">
        <v>0</v>
      </c>
      <c r="F7843" s="51">
        <f>VLOOKUP(A7843,'Componentes APUs'!$N$1:$Q$30,4,0)</f>
        <v>4438716.24</v>
      </c>
      <c r="G7843" s="51">
        <f>IFERROR(ROUNDUP(F7843*(E7843/21)/E7793,0),"-")</f>
        <v>0</v>
      </c>
    </row>
    <row r="7844" spans="1:7" x14ac:dyDescent="0.25">
      <c r="A7844" s="50" t="s">
        <v>323</v>
      </c>
      <c r="B7844" s="72" t="str">
        <f>VLOOKUP(A7844,'Componentes APUs'!$N$1:$Q$30,2,0)</f>
        <v>Volqueta</v>
      </c>
      <c r="C7844" s="73"/>
      <c r="D7844" s="70" t="str">
        <f>VLOOKUP(A7844,'Componentes APUs'!$N$1:$Q$30,3,0)</f>
        <v>U</v>
      </c>
      <c r="E7844" s="50">
        <v>0</v>
      </c>
      <c r="F7844" s="51">
        <f>VLOOKUP(A7844,'Componentes APUs'!$N$1:$Q$30,4,0)</f>
        <v>14828184</v>
      </c>
      <c r="G7844" s="51">
        <f>IFERROR(ROUNDUP(F7844*(E7844/21)/E7793,0),"-")</f>
        <v>0</v>
      </c>
    </row>
    <row r="7845" spans="1:7" x14ac:dyDescent="0.25">
      <c r="A7845" s="69" t="s">
        <v>324</v>
      </c>
      <c r="B7845" s="72" t="str">
        <f>VLOOKUP(A7845,'Componentes APUs'!$N$1:$Q$30,2,0)</f>
        <v>Retroexcavadora</v>
      </c>
      <c r="C7845" s="73"/>
      <c r="D7845" s="70" t="str">
        <f>VLOOKUP(A7845,'Componentes APUs'!$N$1:$Q$30,3,0)</f>
        <v>U</v>
      </c>
      <c r="E7845" s="50">
        <v>0</v>
      </c>
      <c r="F7845" s="51">
        <f>VLOOKUP(A7845,'Componentes APUs'!$N$1:$Q$30,4,0)</f>
        <v>46030656</v>
      </c>
      <c r="G7845" s="51">
        <f>IFERROR(ROUNDUP(F7845*(E7845/21)/E7793,0),"-")</f>
        <v>0</v>
      </c>
    </row>
    <row r="7846" spans="1:7" x14ac:dyDescent="0.25">
      <c r="A7846" s="219" t="s">
        <v>99</v>
      </c>
      <c r="B7846" s="219"/>
      <c r="C7846" s="219"/>
      <c r="D7846" s="219"/>
      <c r="E7846" s="219"/>
      <c r="F7846" s="219"/>
      <c r="G7846" s="52">
        <f>SUM(G7841:G7845)</f>
        <v>0</v>
      </c>
    </row>
    <row r="7847" spans="1:7" x14ac:dyDescent="0.25">
      <c r="A7847" s="56"/>
      <c r="B7847" s="57"/>
      <c r="C7847" s="57"/>
      <c r="D7847" s="57"/>
      <c r="E7847" s="57"/>
      <c r="F7847" s="57"/>
      <c r="G7847" s="58"/>
    </row>
    <row r="7848" spans="1:7" x14ac:dyDescent="0.25">
      <c r="A7848" s="219" t="s">
        <v>100</v>
      </c>
      <c r="B7848" s="219"/>
      <c r="C7848" s="219"/>
      <c r="D7848" s="219"/>
      <c r="E7848" s="219"/>
      <c r="F7848" s="219"/>
      <c r="G7848" s="52">
        <f>G7846+G7837+G7820+G7810+G7800</f>
        <v>128588</v>
      </c>
    </row>
    <row r="7849" spans="1:7" x14ac:dyDescent="0.25">
      <c r="A7849" s="59"/>
      <c r="B7849" s="60"/>
      <c r="C7849" s="60"/>
      <c r="D7849" s="60"/>
      <c r="E7849" s="57"/>
      <c r="F7849" s="57"/>
      <c r="G7849" s="58"/>
    </row>
    <row r="7850" spans="1:7" x14ac:dyDescent="0.25">
      <c r="A7850" s="64"/>
      <c r="D7850" s="55"/>
      <c r="E7850" s="49" t="s">
        <v>25</v>
      </c>
      <c r="F7850" s="54">
        <v>0.15</v>
      </c>
      <c r="G7850" s="51">
        <f>G7848*F7850</f>
        <v>19288.2</v>
      </c>
    </row>
    <row r="7851" spans="1:7" x14ac:dyDescent="0.25">
      <c r="A7851" s="64"/>
      <c r="D7851" s="55"/>
      <c r="E7851" s="49" t="s">
        <v>26</v>
      </c>
      <c r="F7851" s="54">
        <v>0.05</v>
      </c>
      <c r="G7851" s="51">
        <f>G7848*F7851</f>
        <v>6429.4000000000005</v>
      </c>
    </row>
    <row r="7852" spans="1:7" x14ac:dyDescent="0.25">
      <c r="A7852" s="61"/>
      <c r="B7852" s="65"/>
      <c r="C7852" s="65"/>
      <c r="D7852" s="62"/>
      <c r="E7852" s="49" t="s">
        <v>27</v>
      </c>
      <c r="F7852" s="54">
        <v>0.05</v>
      </c>
      <c r="G7852" s="51">
        <f>G7848*F7852</f>
        <v>6429.4000000000005</v>
      </c>
    </row>
    <row r="7853" spans="1:7" x14ac:dyDescent="0.25">
      <c r="A7853" s="61"/>
      <c r="B7853" s="62"/>
      <c r="C7853" s="62"/>
      <c r="D7853" s="62"/>
      <c r="E7853" s="62"/>
      <c r="F7853" s="62"/>
      <c r="G7853" s="63"/>
    </row>
    <row r="7854" spans="1:7" x14ac:dyDescent="0.25">
      <c r="A7854" s="219" t="s">
        <v>101</v>
      </c>
      <c r="B7854" s="219"/>
      <c r="C7854" s="219"/>
      <c r="D7854" s="219"/>
      <c r="E7854" s="219"/>
      <c r="F7854" s="219"/>
      <c r="G7854" s="52">
        <f>G7848+G7850+G7851+G7852</f>
        <v>160735</v>
      </c>
    </row>
    <row r="7855" spans="1:7" x14ac:dyDescent="0.25">
      <c r="A7855" s="59"/>
      <c r="B7855" s="60"/>
      <c r="C7855" s="60"/>
      <c r="D7855" s="60"/>
      <c r="E7855" s="57"/>
      <c r="F7855" s="57"/>
      <c r="G7855" s="58"/>
    </row>
    <row r="7856" spans="1:7" x14ac:dyDescent="0.25">
      <c r="A7856" s="64"/>
      <c r="D7856" s="55"/>
      <c r="E7856" s="49" t="s">
        <v>102</v>
      </c>
      <c r="F7856" s="49" t="s">
        <v>103</v>
      </c>
      <c r="G7856" s="51">
        <f>G7852*19%</f>
        <v>1221.586</v>
      </c>
    </row>
    <row r="7857" spans="1:14" x14ac:dyDescent="0.25">
      <c r="A7857" s="61"/>
      <c r="B7857" s="62"/>
      <c r="C7857" s="62"/>
      <c r="D7857" s="62"/>
      <c r="E7857" s="57"/>
      <c r="F7857" s="57"/>
      <c r="G7857" s="58"/>
    </row>
    <row r="7858" spans="1:14" x14ac:dyDescent="0.25">
      <c r="A7858" s="219" t="s">
        <v>104</v>
      </c>
      <c r="B7858" s="219"/>
      <c r="C7858" s="219"/>
      <c r="D7858" s="219"/>
      <c r="E7858" s="219"/>
      <c r="F7858" s="219"/>
      <c r="G7858" s="52">
        <f>G7856+G7854</f>
        <v>161956.58600000001</v>
      </c>
    </row>
    <row r="7860" spans="1:14" x14ac:dyDescent="0.25">
      <c r="A7860" s="74" t="s">
        <v>29</v>
      </c>
      <c r="B7860" s="226" t="s">
        <v>30</v>
      </c>
      <c r="C7860" s="226"/>
      <c r="D7860" s="74" t="s">
        <v>31</v>
      </c>
      <c r="E7860" s="74" t="s">
        <v>32</v>
      </c>
      <c r="F7860" s="74" t="s">
        <v>189</v>
      </c>
      <c r="G7860" s="74" t="s">
        <v>33</v>
      </c>
      <c r="H7860" s="105"/>
    </row>
    <row r="7861" spans="1:14" x14ac:dyDescent="0.25">
      <c r="A7861" s="50" t="str">
        <f>Presupuesto!B148</f>
        <v>125_OC</v>
      </c>
      <c r="B7861" s="229" t="str">
        <f>Presupuesto!C148</f>
        <v>COLUMNAS 25X20 CM</v>
      </c>
      <c r="C7861" s="230"/>
      <c r="D7861" s="50" t="s">
        <v>16</v>
      </c>
      <c r="E7861" s="53">
        <v>45</v>
      </c>
      <c r="F7861" s="50"/>
      <c r="G7861" s="51">
        <f>G7925</f>
        <v>206318.69500000001</v>
      </c>
      <c r="H7861" s="111"/>
    </row>
    <row r="7862" spans="1:14" x14ac:dyDescent="0.25">
      <c r="A7862" s="219" t="s">
        <v>34</v>
      </c>
      <c r="B7862" s="219"/>
      <c r="C7862" s="219"/>
      <c r="D7862" s="219"/>
      <c r="E7862" s="219"/>
      <c r="F7862" s="219"/>
      <c r="G7862" s="219"/>
    </row>
    <row r="7863" spans="1:14" ht="30.75" customHeight="1" x14ac:dyDescent="0.25">
      <c r="A7863" s="49" t="s">
        <v>35</v>
      </c>
      <c r="B7863" s="219" t="s">
        <v>36</v>
      </c>
      <c r="C7863" s="219"/>
      <c r="D7863" s="49" t="s">
        <v>37</v>
      </c>
      <c r="E7863" s="49" t="s">
        <v>38</v>
      </c>
      <c r="F7863" s="49" t="s">
        <v>39</v>
      </c>
      <c r="G7863" s="49" t="s">
        <v>40</v>
      </c>
      <c r="K7863" s="23"/>
      <c r="L7863" s="23"/>
    </row>
    <row r="7864" spans="1:14" x14ac:dyDescent="0.25">
      <c r="A7864" s="50" t="str">
        <f>Material!A218</f>
        <v>MA-217</v>
      </c>
      <c r="B7864" s="72" t="str">
        <f>IFERROR(VLOOKUP(A7864,Material!$A:$H,2,0),"-")</f>
        <v>FORMALETA EN MADERA CON TABLA DE 1"</v>
      </c>
      <c r="C7864" s="76"/>
      <c r="D7864" s="50" t="str">
        <f>IFERROR(VLOOKUP(A7864,Material!$A:$H,4,0),"-")</f>
        <v>M2</v>
      </c>
      <c r="E7864" s="189">
        <v>0.33</v>
      </c>
      <c r="F7864" s="51">
        <f>IFERROR(VLOOKUP(A7864,Material!$A:$H,3,0),"-")</f>
        <v>24691.116165303549</v>
      </c>
      <c r="G7864" s="51">
        <f t="shared" ref="G7864:G7866" si="112">IFERROR(ROUNDUP(F7864*E7864,0),"-")</f>
        <v>8149</v>
      </c>
      <c r="H7864" s="112"/>
      <c r="I7864" s="119"/>
      <c r="J7864" s="119"/>
      <c r="K7864" s="119"/>
      <c r="L7864" s="119"/>
      <c r="M7864" s="117"/>
      <c r="N7864" s="117"/>
    </row>
    <row r="7865" spans="1:14" x14ac:dyDescent="0.25">
      <c r="A7865" s="50" t="str">
        <f>Material!A15</f>
        <v>MA-14</v>
      </c>
      <c r="B7865" s="72" t="str">
        <f>IFERROR(VLOOKUP(A7865,Material!$A:$H,2,0),"-")</f>
        <v>CONCRETO DE 3000 PSI</v>
      </c>
      <c r="C7865" s="76"/>
      <c r="D7865" s="50" t="str">
        <f>IFERROR(VLOOKUP(A7865,Material!$A:$H,4,0),"-")</f>
        <v>M3</v>
      </c>
      <c r="E7865" s="189">
        <v>6.25E-2</v>
      </c>
      <c r="F7865" s="51">
        <f>IFERROR(VLOOKUP(A7865,Material!$A:$H,3,0),"-")</f>
        <v>620227.23330691375</v>
      </c>
      <c r="G7865" s="51">
        <f t="shared" si="112"/>
        <v>38765</v>
      </c>
      <c r="H7865" s="112"/>
      <c r="I7865" s="119"/>
      <c r="J7865" s="119"/>
      <c r="K7865" s="119"/>
      <c r="L7865" s="119"/>
      <c r="M7865" s="117"/>
      <c r="N7865" s="117"/>
    </row>
    <row r="7866" spans="1:14" x14ac:dyDescent="0.25">
      <c r="A7866" s="50" t="str">
        <f>Material!A587</f>
        <v>MA-586</v>
      </c>
      <c r="B7866" s="72" t="str">
        <f>IFERROR(VLOOKUP(A7866,Material!$A:$H,2,0),"-")</f>
        <v>ACERO Fy= 420 MPa</v>
      </c>
      <c r="C7866" s="76"/>
      <c r="D7866" s="50" t="str">
        <f>IFERROR(VLOOKUP(A7866,Material!$A:$H,4,0),"-")</f>
        <v>KG</v>
      </c>
      <c r="E7866" s="189">
        <v>12.35</v>
      </c>
      <c r="F7866" s="51">
        <f>IFERROR(VLOOKUP(A7866,Material!$A:$H,3,0),"-")</f>
        <v>6962.8</v>
      </c>
      <c r="G7866" s="51">
        <f t="shared" si="112"/>
        <v>85991</v>
      </c>
      <c r="H7866" s="112"/>
      <c r="I7866" s="116"/>
      <c r="J7866" s="118"/>
      <c r="K7866" s="241"/>
      <c r="L7866" s="241"/>
      <c r="M7866" s="118"/>
      <c r="N7866" s="118"/>
    </row>
    <row r="7867" spans="1:14" x14ac:dyDescent="0.25">
      <c r="A7867" s="219" t="s">
        <v>41</v>
      </c>
      <c r="B7867" s="219"/>
      <c r="C7867" s="219"/>
      <c r="D7867" s="219"/>
      <c r="E7867" s="219"/>
      <c r="F7867" s="219"/>
      <c r="G7867" s="52">
        <f>SUM(G7864:G7866)</f>
        <v>132905</v>
      </c>
      <c r="I7867" s="112"/>
      <c r="J7867" s="110"/>
      <c r="K7867" s="113"/>
      <c r="L7867" s="114"/>
      <c r="M7867" s="115"/>
      <c r="N7867" s="115"/>
    </row>
    <row r="7868" spans="1:14" x14ac:dyDescent="0.25">
      <c r="A7868" s="56"/>
      <c r="B7868" s="57"/>
      <c r="C7868" s="57"/>
      <c r="D7868" s="57"/>
      <c r="E7868" s="57"/>
      <c r="F7868" s="57"/>
      <c r="G7868" s="58"/>
      <c r="I7868" s="245"/>
      <c r="J7868" s="245"/>
      <c r="K7868" s="245"/>
      <c r="L7868" s="246"/>
      <c r="M7868" s="117"/>
      <c r="N7868" s="117"/>
    </row>
    <row r="7869" spans="1:14" x14ac:dyDescent="0.25">
      <c r="A7869" s="219" t="s">
        <v>42</v>
      </c>
      <c r="B7869" s="219"/>
      <c r="C7869" s="219"/>
      <c r="D7869" s="219"/>
      <c r="E7869" s="219"/>
      <c r="F7869" s="219"/>
      <c r="G7869" s="219"/>
      <c r="I7869" s="245"/>
      <c r="J7869" s="245"/>
      <c r="K7869" s="245"/>
      <c r="L7869" s="246"/>
      <c r="M7869" s="117"/>
      <c r="N7869" s="117"/>
    </row>
    <row r="7870" spans="1:14" x14ac:dyDescent="0.25">
      <c r="A7870" s="49" t="s">
        <v>35</v>
      </c>
      <c r="B7870" s="49" t="s">
        <v>36</v>
      </c>
      <c r="C7870" s="49" t="s">
        <v>38</v>
      </c>
      <c r="D7870" s="49" t="s">
        <v>43</v>
      </c>
      <c r="E7870" s="49" t="s">
        <v>44</v>
      </c>
      <c r="F7870" s="49" t="s">
        <v>45</v>
      </c>
      <c r="G7870" s="49" t="s">
        <v>40</v>
      </c>
      <c r="I7870" s="116"/>
      <c r="J7870" s="118"/>
      <c r="K7870" s="241"/>
      <c r="L7870" s="241"/>
      <c r="M7870" s="118"/>
      <c r="N7870" s="118"/>
    </row>
    <row r="7871" spans="1:14" x14ac:dyDescent="0.25">
      <c r="A7871" s="50" t="s">
        <v>319</v>
      </c>
      <c r="B7871" s="68" t="str">
        <f>VLOOKUP(A7871,'Componentes APUs'!$H$1:$L$25,2,0)</f>
        <v>Ingeniero Residente de Obra</v>
      </c>
      <c r="C7871" s="93">
        <v>0.25</v>
      </c>
      <c r="D7871" s="50">
        <f>VLOOKUP(A7871,'Componentes APUs'!$H$1:$L$25,3,0)</f>
        <v>4</v>
      </c>
      <c r="E7871" s="51">
        <f>VLOOKUP(A7871,'Componentes APUs'!$H$1:$L$25,4,0)</f>
        <v>271142.85714285716</v>
      </c>
      <c r="F7871" s="51">
        <f>VLOOKUP(A7871,'Componentes APUs'!$H$1:$L$25,5,0)</f>
        <v>162685.71428571429</v>
      </c>
      <c r="G7871" s="51">
        <f>ROUNDUP((E7871+F7871)*C7871/E7861,0)</f>
        <v>2411</v>
      </c>
      <c r="H7871" s="66"/>
      <c r="I7871" s="112"/>
      <c r="J7871" s="110"/>
      <c r="K7871" s="113"/>
      <c r="L7871" s="114"/>
      <c r="M7871" s="115"/>
      <c r="N7871" s="115"/>
    </row>
    <row r="7872" spans="1:14" x14ac:dyDescent="0.25">
      <c r="A7872" s="50" t="s">
        <v>320</v>
      </c>
      <c r="B7872" s="68" t="str">
        <f>VLOOKUP(A7872,'Componentes APUs'!$H$1:$L$25,2,0)</f>
        <v>Tecnico Supervisor</v>
      </c>
      <c r="C7872" s="93">
        <v>0</v>
      </c>
      <c r="D7872" s="50">
        <f>VLOOKUP(A7872,'Componentes APUs'!$H$1:$L$25,3,0)</f>
        <v>2.2999999999999998</v>
      </c>
      <c r="E7872" s="51">
        <f>VLOOKUP(A7872,'Componentes APUs'!$H$1:$L$25,4,0)</f>
        <v>155907.14285714284</v>
      </c>
      <c r="F7872" s="51">
        <f>VLOOKUP(A7872,'Componentes APUs'!$H$1:$L$25,5,0)</f>
        <v>93544.285714285696</v>
      </c>
      <c r="G7872" s="51">
        <f>ROUNDUP((E7872+F7872)*C7872/E7861,0)</f>
        <v>0</v>
      </c>
      <c r="I7872" s="112"/>
      <c r="J7872" s="110"/>
      <c r="K7872" s="113"/>
      <c r="L7872" s="114"/>
      <c r="M7872" s="115"/>
      <c r="N7872" s="115"/>
    </row>
    <row r="7873" spans="1:14" x14ac:dyDescent="0.25">
      <c r="A7873" s="50" t="s">
        <v>54</v>
      </c>
      <c r="B7873" s="68" t="str">
        <f>VLOOKUP(A7873,'Componentes APUs'!$H$1:$L$25,2,0)</f>
        <v>Maestro de obra civil</v>
      </c>
      <c r="C7873" s="93">
        <v>0</v>
      </c>
      <c r="D7873" s="50">
        <f>VLOOKUP(A7873,'Componentes APUs'!$H$1:$L$25,3,0)</f>
        <v>2.5</v>
      </c>
      <c r="E7873" s="51">
        <f>VLOOKUP(A7873,'Componentes APUs'!$H$1:$L$25,4,0)</f>
        <v>169464.28571428571</v>
      </c>
      <c r="F7873" s="51">
        <f>VLOOKUP(A7873,'Componentes APUs'!$H$1:$L$25,5,0)</f>
        <v>101678.57142857142</v>
      </c>
      <c r="G7873" s="51">
        <f>ROUNDUP((E7873+F7873)*C7873/E7861,0)</f>
        <v>0</v>
      </c>
      <c r="I7873" s="112"/>
      <c r="J7873" s="110"/>
      <c r="K7873" s="113"/>
      <c r="L7873" s="114"/>
      <c r="M7873" s="115"/>
      <c r="N7873" s="115"/>
    </row>
    <row r="7874" spans="1:14" x14ac:dyDescent="0.25">
      <c r="A7874" s="50" t="s">
        <v>1110</v>
      </c>
      <c r="B7874" s="68" t="str">
        <f>VLOOKUP(A7874,'Componentes APUs'!$H$1:$L$25,2,0)</f>
        <v>Oficial de Obra Civil</v>
      </c>
      <c r="C7874" s="93">
        <v>3</v>
      </c>
      <c r="D7874" s="50">
        <f>VLOOKUP(A7874,'Componentes APUs'!$H$1:$L$25,3,0)</f>
        <v>1.5</v>
      </c>
      <c r="E7874" s="51">
        <f>VLOOKUP(A7874,'Componentes APUs'!$H$1:$L$25,4,0)</f>
        <v>115964.28571428571</v>
      </c>
      <c r="F7874" s="51">
        <f>VLOOKUP(A7874,'Componentes APUs'!$H$1:$L$25,5,0)</f>
        <v>69578.57142857142</v>
      </c>
      <c r="G7874" s="51">
        <f>ROUNDUP((E7874+F7874)*C7874/E7861,0)</f>
        <v>12370</v>
      </c>
      <c r="I7874" s="112"/>
      <c r="J7874" s="110"/>
      <c r="K7874" s="113"/>
      <c r="L7874" s="114"/>
      <c r="M7874" s="115"/>
      <c r="N7874" s="115"/>
    </row>
    <row r="7875" spans="1:14" x14ac:dyDescent="0.25">
      <c r="A7875" s="50" t="s">
        <v>50</v>
      </c>
      <c r="B7875" s="68" t="str">
        <f>VLOOKUP(A7875,'Componentes APUs'!$H$1:$L$25,2,0)</f>
        <v>Profesional en SST</v>
      </c>
      <c r="C7875" s="93">
        <v>0.25</v>
      </c>
      <c r="D7875" s="50">
        <f>VLOOKUP(A7875,'Componentes APUs'!$H$1:$L$25,3,0)</f>
        <v>2.5</v>
      </c>
      <c r="E7875" s="51">
        <f>VLOOKUP(A7875,'Componentes APUs'!$H$1:$L$25,4,0)</f>
        <v>169464.28571428571</v>
      </c>
      <c r="F7875" s="51">
        <f>VLOOKUP(A7875,'Componentes APUs'!$H$1:$L$25,5,0)</f>
        <v>101678.57142857142</v>
      </c>
      <c r="G7875" s="51">
        <f>ROUNDUP((E7875+F7875)*C7875/E7861,0)</f>
        <v>1507</v>
      </c>
      <c r="I7875" s="112"/>
      <c r="J7875" s="110"/>
      <c r="K7875" s="113"/>
      <c r="L7875" s="114"/>
      <c r="M7875" s="115"/>
      <c r="N7875" s="115"/>
    </row>
    <row r="7876" spans="1:14" x14ac:dyDescent="0.25">
      <c r="A7876" s="50" t="s">
        <v>1109</v>
      </c>
      <c r="B7876" s="68" t="str">
        <f>VLOOKUP(A7876,'Componentes APUs'!$H$1:$L$25,2,0)</f>
        <v>Ayudante de Obra Civil</v>
      </c>
      <c r="C7876" s="93">
        <v>5</v>
      </c>
      <c r="D7876" s="50">
        <f>VLOOKUP(A7876,'Componentes APUs'!$H$1:$L$25,3,0)</f>
        <v>1</v>
      </c>
      <c r="E7876" s="51">
        <f>VLOOKUP(A7876,'Componentes APUs'!$H$1:$L$25,4,0)</f>
        <v>77309.523809523816</v>
      </c>
      <c r="F7876" s="51">
        <f>VLOOKUP(A7876,'Componentes APUs'!$H$1:$L$25,5,0)</f>
        <v>46385.71428571429</v>
      </c>
      <c r="G7876" s="51">
        <f>ROUNDUP((E7876+F7876)*C7876/E7861,0)</f>
        <v>13744</v>
      </c>
      <c r="I7876" s="112"/>
      <c r="J7876" s="110"/>
      <c r="K7876" s="113"/>
      <c r="L7876" s="114"/>
      <c r="M7876" s="115"/>
      <c r="N7876" s="115"/>
    </row>
    <row r="7877" spans="1:14" x14ac:dyDescent="0.25">
      <c r="A7877" s="219" t="s">
        <v>56</v>
      </c>
      <c r="B7877" s="219"/>
      <c r="C7877" s="219"/>
      <c r="D7877" s="219"/>
      <c r="E7877" s="219"/>
      <c r="F7877" s="219"/>
      <c r="G7877" s="52">
        <f>SUM(G7871:G7876)</f>
        <v>30032</v>
      </c>
      <c r="I7877" s="112"/>
      <c r="J7877" s="110"/>
      <c r="K7877" s="113"/>
      <c r="L7877" s="114"/>
      <c r="M7877" s="115"/>
      <c r="N7877" s="115"/>
    </row>
    <row r="7878" spans="1:14" x14ac:dyDescent="0.25">
      <c r="A7878" s="56"/>
      <c r="B7878" s="57"/>
      <c r="C7878" s="57"/>
      <c r="D7878" s="57"/>
      <c r="E7878" s="57"/>
      <c r="F7878" s="57"/>
      <c r="G7878" s="58"/>
    </row>
    <row r="7879" spans="1:14" x14ac:dyDescent="0.25">
      <c r="A7879" s="219" t="s">
        <v>57</v>
      </c>
      <c r="B7879" s="219"/>
      <c r="C7879" s="219"/>
      <c r="D7879" s="219"/>
      <c r="E7879" s="219"/>
      <c r="F7879" s="219"/>
      <c r="G7879" s="219"/>
    </row>
    <row r="7880" spans="1:14" x14ac:dyDescent="0.25">
      <c r="A7880" s="49" t="s">
        <v>35</v>
      </c>
      <c r="B7880" s="219" t="s">
        <v>36</v>
      </c>
      <c r="C7880" s="219"/>
      <c r="D7880" s="49" t="s">
        <v>37</v>
      </c>
      <c r="E7880" s="49" t="s">
        <v>38</v>
      </c>
      <c r="F7880" s="49" t="s">
        <v>39</v>
      </c>
      <c r="G7880" s="49" t="s">
        <v>40</v>
      </c>
    </row>
    <row r="7881" spans="1:14" x14ac:dyDescent="0.25">
      <c r="A7881" s="50" t="s">
        <v>326</v>
      </c>
      <c r="B7881" s="220" t="str">
        <f>VLOOKUP(A7881,'Componentes APUs'!$S$1:$V$10,2,0)</f>
        <v>Juego Llaves</v>
      </c>
      <c r="C7881" s="220"/>
      <c r="D7881" s="50" t="s">
        <v>18</v>
      </c>
      <c r="E7881" s="50">
        <v>0</v>
      </c>
      <c r="F7881" s="51">
        <f>VLOOKUP(A7881,'Componentes APUs'!$S$1:$V$10,4,0)</f>
        <v>9167</v>
      </c>
      <c r="G7881" s="51">
        <f>ROUNDUP(F7881*((E7881/21)/E7861),0)</f>
        <v>0</v>
      </c>
      <c r="I7881" s="91"/>
    </row>
    <row r="7882" spans="1:14" x14ac:dyDescent="0.25">
      <c r="A7882" s="50" t="s">
        <v>58</v>
      </c>
      <c r="B7882" s="220" t="str">
        <f>VLOOKUP(A7882,'Componentes APUs'!$S$1:$V$10,2,0)</f>
        <v>Manila de servicio</v>
      </c>
      <c r="C7882" s="220"/>
      <c r="D7882" s="50" t="s">
        <v>18</v>
      </c>
      <c r="E7882" s="50">
        <v>0</v>
      </c>
      <c r="F7882" s="51">
        <f>VLOOKUP(A7882,'Componentes APUs'!$S$1:$V$10,4,0)</f>
        <v>2333</v>
      </c>
      <c r="G7882" s="51">
        <f>ROUNDUP(F7882*((E7882/21)/E7861),0)</f>
        <v>0</v>
      </c>
    </row>
    <row r="7883" spans="1:14" x14ac:dyDescent="0.25">
      <c r="A7883" s="50" t="s">
        <v>327</v>
      </c>
      <c r="B7883" s="220" t="str">
        <f>VLOOKUP(A7883,'Componentes APUs'!$S$1:$V$10,2,0)</f>
        <v>Tula portaherramientas</v>
      </c>
      <c r="C7883" s="220"/>
      <c r="D7883" s="50" t="s">
        <v>18</v>
      </c>
      <c r="E7883" s="50">
        <v>0</v>
      </c>
      <c r="F7883" s="51">
        <f>VLOOKUP(A7883,'Componentes APUs'!$S$1:$V$10,4,0)</f>
        <v>1250</v>
      </c>
      <c r="G7883" s="51">
        <f>ROUNDUP(F7883*((E7883/21)/E7861),0)</f>
        <v>0</v>
      </c>
    </row>
    <row r="7884" spans="1:14" x14ac:dyDescent="0.25">
      <c r="A7884" s="50" t="s">
        <v>60</v>
      </c>
      <c r="B7884" s="220" t="str">
        <f>VLOOKUP(A7884,'Componentes APUs'!$S$1:$V$10,2,0)</f>
        <v>Agarradoras</v>
      </c>
      <c r="C7884" s="220"/>
      <c r="D7884" s="50" t="s">
        <v>18</v>
      </c>
      <c r="E7884" s="50">
        <v>0</v>
      </c>
      <c r="F7884" s="51">
        <f>VLOOKUP(A7884,'Componentes APUs'!$S$1:$V$10,4,0)</f>
        <v>125000</v>
      </c>
      <c r="G7884" s="51">
        <f>ROUNDUP(F7884*((E7884/21)/E7861),0)</f>
        <v>0</v>
      </c>
    </row>
    <row r="7885" spans="1:14" x14ac:dyDescent="0.25">
      <c r="A7885" s="50" t="s">
        <v>62</v>
      </c>
      <c r="B7885" s="220" t="str">
        <f>VLOOKUP(A7885,'Componentes APUs'!$S$1:$V$10,2,0)</f>
        <v>Templadoras</v>
      </c>
      <c r="C7885" s="220"/>
      <c r="D7885" s="50" t="s">
        <v>18</v>
      </c>
      <c r="E7885" s="50">
        <v>0</v>
      </c>
      <c r="F7885" s="51">
        <f>VLOOKUP(A7885,'Componentes APUs'!$S$1:$V$10,4,0)</f>
        <v>250000</v>
      </c>
      <c r="G7885" s="51">
        <f>ROUNDUP(F7885*((E7885/21)/E7861),0)</f>
        <v>0</v>
      </c>
    </row>
    <row r="7886" spans="1:14" x14ac:dyDescent="0.25">
      <c r="A7886" s="50" t="s">
        <v>328</v>
      </c>
      <c r="B7886" s="220" t="str">
        <f>VLOOKUP(A7886,'Componentes APUs'!$S$1:$V$10,2,0)</f>
        <v>Herramienta Menor</v>
      </c>
      <c r="C7886" s="220"/>
      <c r="D7886" s="50" t="s">
        <v>18</v>
      </c>
      <c r="E7886" s="50">
        <v>5</v>
      </c>
      <c r="F7886" s="51">
        <f>VLOOKUP(A7886,'Componentes APUs'!$S$1:$V$10,4,0)</f>
        <v>75758</v>
      </c>
      <c r="G7886" s="51">
        <f>ROUNDUP(F7886*((E7886/21)/E7861),0)</f>
        <v>401</v>
      </c>
    </row>
    <row r="7887" spans="1:14" x14ac:dyDescent="0.25">
      <c r="A7887" s="219" t="s">
        <v>69</v>
      </c>
      <c r="B7887" s="219"/>
      <c r="C7887" s="219"/>
      <c r="D7887" s="219"/>
      <c r="E7887" s="219"/>
      <c r="F7887" s="219"/>
      <c r="G7887" s="52">
        <f>SUM(G7881:G7886)</f>
        <v>401</v>
      </c>
    </row>
    <row r="7888" spans="1:14" x14ac:dyDescent="0.25">
      <c r="A7888" s="56"/>
      <c r="B7888" s="57"/>
      <c r="C7888" s="57"/>
      <c r="D7888" s="57"/>
      <c r="E7888" s="57"/>
      <c r="F7888" s="57"/>
      <c r="G7888" s="58"/>
    </row>
    <row r="7889" spans="1:9" x14ac:dyDescent="0.25">
      <c r="A7889" s="219" t="s">
        <v>70</v>
      </c>
      <c r="B7889" s="219"/>
      <c r="C7889" s="219"/>
      <c r="D7889" s="219"/>
      <c r="E7889" s="219"/>
      <c r="F7889" s="219"/>
      <c r="G7889" s="219"/>
    </row>
    <row r="7890" spans="1:9" x14ac:dyDescent="0.25">
      <c r="A7890" s="49" t="s">
        <v>35</v>
      </c>
      <c r="B7890" s="219" t="s">
        <v>36</v>
      </c>
      <c r="C7890" s="219"/>
      <c r="D7890" s="49" t="s">
        <v>37</v>
      </c>
      <c r="E7890" s="49" t="s">
        <v>38</v>
      </c>
      <c r="F7890" s="49" t="s">
        <v>39</v>
      </c>
      <c r="G7890" s="49" t="s">
        <v>40</v>
      </c>
    </row>
    <row r="7891" spans="1:9" x14ac:dyDescent="0.25">
      <c r="A7891" s="50" t="s">
        <v>71</v>
      </c>
      <c r="B7891" s="71" t="str">
        <f>VLOOKUP(A7891,'Componentes APUs'!$A$1:$D$14,2,0)</f>
        <v>Camisa indigo sin partes metalicas</v>
      </c>
      <c r="C7891" s="71"/>
      <c r="D7891" s="50" t="str">
        <f>VLOOKUP(A7891,'Componentes APUs'!$A$1:$D$14,3,0)</f>
        <v>U</v>
      </c>
      <c r="E7891" s="50">
        <f>SUM(C7871:C7876)</f>
        <v>8.5</v>
      </c>
      <c r="F7891" s="51">
        <f>VLOOKUP(A7891,'Componentes APUs'!$A$1:$D$14,4,0)</f>
        <v>8585.8585858585866</v>
      </c>
      <c r="G7891" s="51">
        <f>ROUNDUP(F7891*(E7891/21)/E7861,0)</f>
        <v>78</v>
      </c>
      <c r="I7891" s="91"/>
    </row>
    <row r="7892" spans="1:9" x14ac:dyDescent="0.25">
      <c r="A7892" s="69" t="s">
        <v>73</v>
      </c>
      <c r="B7892" s="72" t="str">
        <f>VLOOKUP(A7892,'Componentes APUs'!$A$1:$D$14,2,0)</f>
        <v>Bota de seguridad dielectrica</v>
      </c>
      <c r="C7892" s="73"/>
      <c r="D7892" s="70" t="str">
        <f>VLOOKUP(A7892,'Componentes APUs'!$A$1:$D$14,3,0)</f>
        <v>Par</v>
      </c>
      <c r="E7892" s="50">
        <f>SUM(C7871:C7876)</f>
        <v>8.5</v>
      </c>
      <c r="F7892" s="51">
        <f>VLOOKUP(A7892,'Componentes APUs'!$A$1:$D$14,4,0)</f>
        <v>7500</v>
      </c>
      <c r="G7892" s="51">
        <f>ROUNDUP(F7892*(E7892/21)/E7861,0)</f>
        <v>68</v>
      </c>
    </row>
    <row r="7893" spans="1:9" x14ac:dyDescent="0.25">
      <c r="A7893" s="50" t="s">
        <v>76</v>
      </c>
      <c r="B7893" s="72" t="str">
        <f>VLOOKUP(A7893,'Componentes APUs'!$A$1:$D$14,2,0)</f>
        <v>Casco dielectrico Tipo 1 Clase E con barbuquejo</v>
      </c>
      <c r="C7893" s="73"/>
      <c r="D7893" s="50" t="str">
        <f>VLOOKUP(A7893,'Componentes APUs'!$A$1:$D$14,3,0)</f>
        <v>U</v>
      </c>
      <c r="E7893" s="50">
        <f>C7871+C7872+C7874+C7875+C7876+IF(A7873&lt;&gt;"MO-3",C7873,0)</f>
        <v>8.5</v>
      </c>
      <c r="F7893" s="51">
        <f>VLOOKUP(A7893,'Componentes APUs'!$A$1:$D$14,4,0)</f>
        <v>10101.010101010101</v>
      </c>
      <c r="G7893" s="51">
        <f>ROUNDUP(F7893*(E7893/21)/E7861,0)</f>
        <v>91</v>
      </c>
    </row>
    <row r="7894" spans="1:9" x14ac:dyDescent="0.25">
      <c r="A7894" s="69" t="s">
        <v>77</v>
      </c>
      <c r="B7894" s="72" t="str">
        <f>VLOOKUP(A7894,'Componentes APUs'!$A$1:$D$14,2,0)</f>
        <v>Correa plastica y antiflama</v>
      </c>
      <c r="C7894" s="73"/>
      <c r="D7894" s="50" t="str">
        <f>VLOOKUP(A7894,'Componentes APUs'!$A$1:$D$14,3,0)</f>
        <v>U</v>
      </c>
      <c r="E7894" s="50">
        <f>SUM(C7871:C7876)</f>
        <v>8.5</v>
      </c>
      <c r="F7894" s="51">
        <f>VLOOKUP(A7894,'Componentes APUs'!$A$1:$D$14,4,0)</f>
        <v>3787.878787878788</v>
      </c>
      <c r="G7894" s="51">
        <f>ROUNDUP(F7894*(E7894/21)/E7861,0)</f>
        <v>35</v>
      </c>
    </row>
    <row r="7895" spans="1:9" x14ac:dyDescent="0.25">
      <c r="A7895" s="50" t="s">
        <v>79</v>
      </c>
      <c r="B7895" s="72" t="str">
        <f>VLOOKUP(A7895,'Componentes APUs'!$A$1:$D$14,2,0)</f>
        <v>Gafas protectoras filtro UV</v>
      </c>
      <c r="C7895" s="73"/>
      <c r="D7895" s="50" t="str">
        <f>VLOOKUP(A7895,'Componentes APUs'!$A$1:$D$14,3,0)</f>
        <v>U</v>
      </c>
      <c r="E7895" s="50">
        <f>SUM(C7871:C7876)</f>
        <v>8.5</v>
      </c>
      <c r="F7895" s="51">
        <f>VLOOKUP(A7895,'Componentes APUs'!$A$1:$D$14,4,0)</f>
        <v>2777.7777777777778</v>
      </c>
      <c r="G7895" s="51">
        <f>ROUNDUP(F7895*(E7895/21)/E7861,0)</f>
        <v>25</v>
      </c>
    </row>
    <row r="7896" spans="1:9" x14ac:dyDescent="0.25">
      <c r="A7896" s="69" t="s">
        <v>402</v>
      </c>
      <c r="B7896" s="72" t="str">
        <f>VLOOKUP(A7896,'Componentes APUs'!$A$1:$D$14,2,0)</f>
        <v>Bota de seguridad PVC dielectrica</v>
      </c>
      <c r="C7896" s="73"/>
      <c r="D7896" s="50" t="str">
        <f>VLOOKUP(A7896,'Componentes APUs'!$A$1:$D$14,3,0)</f>
        <v>Par</v>
      </c>
      <c r="E7896" s="50">
        <f>SUM(C7871:C7876)</f>
        <v>8.5</v>
      </c>
      <c r="F7896" s="51">
        <f>VLOOKUP(A7896,'Componentes APUs'!$A$1:$D$14,4,0)</f>
        <v>2916.6666666666665</v>
      </c>
      <c r="G7896" s="51">
        <f>ROUNDUP(F7896*(E7896/21)/E7861,0)</f>
        <v>27</v>
      </c>
    </row>
    <row r="7897" spans="1:9" x14ac:dyDescent="0.25">
      <c r="A7897" s="50" t="s">
        <v>403</v>
      </c>
      <c r="B7897" s="72" t="str">
        <f>VLOOKUP(A7897,'Componentes APUs'!$A$1:$D$14,2,0)</f>
        <v>Capuchon</v>
      </c>
      <c r="C7897" s="73"/>
      <c r="D7897" s="50" t="str">
        <f>VLOOKUP(A7897,'Componentes APUs'!$A$1:$D$14,3,0)</f>
        <v>U</v>
      </c>
      <c r="E7897" s="50">
        <f>SUM(C7871:C7876)</f>
        <v>8.5</v>
      </c>
      <c r="F7897" s="51">
        <f>VLOOKUP(A7897,'Componentes APUs'!$A$1:$D$14,4,0)</f>
        <v>2525.2525252525252</v>
      </c>
      <c r="G7897" s="51">
        <f>ROUNDUP(F7897*(E7897/21)/E7861,0)</f>
        <v>23</v>
      </c>
    </row>
    <row r="7898" spans="1:9" x14ac:dyDescent="0.25">
      <c r="A7898" s="69" t="s">
        <v>81</v>
      </c>
      <c r="B7898" s="72" t="str">
        <f>VLOOKUP(A7898,'Componentes APUs'!$A$1:$D$14,2,0)</f>
        <v>Guantes Protectores  - ingeniero reforzados</v>
      </c>
      <c r="C7898" s="73"/>
      <c r="D7898" s="50" t="str">
        <f>VLOOKUP(A7898,'Componentes APUs'!$A$1:$D$14,3,0)</f>
        <v>Par</v>
      </c>
      <c r="E7898" s="50">
        <f>C7873+C7874+C7876</f>
        <v>8</v>
      </c>
      <c r="F7898" s="51">
        <f>VLOOKUP(A7898,'Componentes APUs'!$A$1:$D$14,4,0)</f>
        <v>2525.2525252525252</v>
      </c>
      <c r="G7898" s="51">
        <f>ROUNDUP(F7898*(E7898/21)/E7861,0)</f>
        <v>22</v>
      </c>
    </row>
    <row r="7899" spans="1:9" x14ac:dyDescent="0.25">
      <c r="A7899" s="50" t="s">
        <v>83</v>
      </c>
      <c r="B7899" s="72" t="str">
        <f>VLOOKUP(A7899,'Componentes APUs'!$A$1:$D$14,2,0)</f>
        <v>Impermeable (pantalon camisa)</v>
      </c>
      <c r="C7899" s="73"/>
      <c r="D7899" s="50" t="str">
        <f>VLOOKUP(A7899,'Componentes APUs'!$A$1:$D$14,3,0)</f>
        <v>U</v>
      </c>
      <c r="E7899" s="50">
        <f>SUM(C7871:C7876)</f>
        <v>8.5</v>
      </c>
      <c r="F7899" s="51">
        <f>VLOOKUP(A7899,'Componentes APUs'!$A$1:$D$14,4,0)</f>
        <v>3750</v>
      </c>
      <c r="G7899" s="51">
        <f>ROUNDUP(F7899*(E7899/21)/E7861,0)</f>
        <v>34</v>
      </c>
    </row>
    <row r="7900" spans="1:9" x14ac:dyDescent="0.25">
      <c r="A7900" s="69" t="s">
        <v>85</v>
      </c>
      <c r="B7900" s="72" t="str">
        <f>VLOOKUP(A7900,'Componentes APUs'!$A$1:$D$14,2,0)</f>
        <v>Jean Dielectrico</v>
      </c>
      <c r="C7900" s="73"/>
      <c r="D7900" s="50" t="str">
        <f>VLOOKUP(A7900,'Componentes APUs'!$A$1:$D$14,3,0)</f>
        <v>U</v>
      </c>
      <c r="E7900" s="50">
        <f>SUM(C7871:C7876)</f>
        <v>8.5</v>
      </c>
      <c r="F7900" s="51">
        <f>VLOOKUP(A7900,'Componentes APUs'!$A$1:$D$14,4,0)</f>
        <v>7575.757575757576</v>
      </c>
      <c r="G7900" s="51">
        <f>ROUNDUP(F7900*(E7900/21)/E7861,0)</f>
        <v>69</v>
      </c>
    </row>
    <row r="7901" spans="1:9" x14ac:dyDescent="0.25">
      <c r="A7901" s="50" t="s">
        <v>87</v>
      </c>
      <c r="B7901" s="72" t="str">
        <f>VLOOKUP(A7901,'Componentes APUs'!$A$1:$D$14,2,0)</f>
        <v>Casco dielectrico Tipo 2 Clase E con barboquejo</v>
      </c>
      <c r="C7901" s="73"/>
      <c r="D7901" s="50" t="str">
        <f>VLOOKUP(A7901,'Componentes APUs'!$A$1:$D$14,3,0)</f>
        <v>U</v>
      </c>
      <c r="E7901" s="53">
        <f>IF(A7873="MO-3",C7873,0)</f>
        <v>0</v>
      </c>
      <c r="F7901" s="51">
        <f>VLOOKUP(A7901,'Componentes APUs'!$A$1:$D$14,4,0)</f>
        <v>7500</v>
      </c>
      <c r="G7901" s="51">
        <f>ROUNDUP(F7901*(E7901/21)/E7861,0)</f>
        <v>0</v>
      </c>
    </row>
    <row r="7902" spans="1:9" x14ac:dyDescent="0.25">
      <c r="A7902" s="69" t="s">
        <v>89</v>
      </c>
      <c r="B7902" s="72" t="str">
        <f>VLOOKUP(A7902,'Componentes APUs'!$A$1:$D$14,2,0)</f>
        <v>Kit de rescate para trabajo en alturas</v>
      </c>
      <c r="C7902" s="73"/>
      <c r="D7902" s="50" t="str">
        <f>VLOOKUP(A7902,'Componentes APUs'!$A$1:$D$14,3,0)</f>
        <v>U</v>
      </c>
      <c r="E7902" s="50">
        <f>IF(AND(A7873="MO-3",C7873=2),1,0)</f>
        <v>0</v>
      </c>
      <c r="F7902" s="51">
        <f>VLOOKUP(A7902,'Componentes APUs'!$A$1:$D$14,4,0)</f>
        <v>37500</v>
      </c>
      <c r="G7902" s="51">
        <f>ROUNDUP(F7902*(E7902/21)/E7861,0)</f>
        <v>0</v>
      </c>
    </row>
    <row r="7903" spans="1:9" x14ac:dyDescent="0.25">
      <c r="A7903" s="50" t="s">
        <v>91</v>
      </c>
      <c r="B7903" s="72" t="str">
        <f>VLOOKUP(A7903,'Componentes APUs'!$A$1:$D$14,2,0)</f>
        <v>Equipo completo para trabajo en alturas con pretales (Arnes dielectrico, 1 mosqueton de seguridad, tie off dielectrico, eslinga de posicionamiento, juego de pretales)</v>
      </c>
      <c r="C7903" s="73"/>
      <c r="D7903" s="50" t="str">
        <f>VLOOKUP(A7903,'Componentes APUs'!$A$1:$D$14,3,0)</f>
        <v>U</v>
      </c>
      <c r="E7903" s="50">
        <f>IF(A7873="MO-3",C7873,0)</f>
        <v>0</v>
      </c>
      <c r="F7903" s="51">
        <f>VLOOKUP(A7903,'Componentes APUs'!$A$1:$D$14,4,0)</f>
        <v>26041.666666666668</v>
      </c>
      <c r="G7903" s="51">
        <f>ROUNDUP(F7903*(E7903/21)/E7861,0)</f>
        <v>0</v>
      </c>
    </row>
    <row r="7904" spans="1:9" x14ac:dyDescent="0.25">
      <c r="A7904" s="219" t="s">
        <v>95</v>
      </c>
      <c r="B7904" s="219"/>
      <c r="C7904" s="219"/>
      <c r="D7904" s="219"/>
      <c r="E7904" s="219"/>
      <c r="F7904" s="219"/>
      <c r="G7904" s="52">
        <f>SUM(G7891:G7903)</f>
        <v>472</v>
      </c>
    </row>
    <row r="7905" spans="1:7" x14ac:dyDescent="0.25">
      <c r="A7905" s="56"/>
      <c r="B7905" s="57"/>
      <c r="C7905" s="57"/>
      <c r="D7905" s="57"/>
      <c r="E7905" s="57"/>
      <c r="F7905" s="57"/>
      <c r="G7905" s="58"/>
    </row>
    <row r="7906" spans="1:7" x14ac:dyDescent="0.25">
      <c r="A7906" s="219" t="s">
        <v>96</v>
      </c>
      <c r="B7906" s="219"/>
      <c r="C7906" s="219"/>
      <c r="D7906" s="219"/>
      <c r="E7906" s="219"/>
      <c r="F7906" s="219"/>
      <c r="G7906" s="219"/>
    </row>
    <row r="7907" spans="1:7" x14ac:dyDescent="0.25">
      <c r="A7907" s="49" t="s">
        <v>35</v>
      </c>
      <c r="B7907" s="225" t="s">
        <v>36</v>
      </c>
      <c r="C7907" s="225"/>
      <c r="D7907" s="49" t="s">
        <v>37</v>
      </c>
      <c r="E7907" s="49" t="s">
        <v>38</v>
      </c>
      <c r="F7907" s="49" t="s">
        <v>39</v>
      </c>
      <c r="G7907" s="49" t="s">
        <v>40</v>
      </c>
    </row>
    <row r="7908" spans="1:7" x14ac:dyDescent="0.25">
      <c r="A7908" s="69" t="s">
        <v>97</v>
      </c>
      <c r="B7908" s="72" t="str">
        <f>VLOOKUP(A7908,'Componentes APUs'!$N$1:$Q$30,2,0)</f>
        <v>Camioneta</v>
      </c>
      <c r="C7908" s="73"/>
      <c r="D7908" s="70" t="str">
        <f>VLOOKUP(A7908,'Componentes APUs'!$N$1:$Q$30,3,0)</f>
        <v>U</v>
      </c>
      <c r="E7908" s="50">
        <v>0</v>
      </c>
      <c r="F7908" s="51">
        <f>VLOOKUP(A7908,'Componentes APUs'!$N$1:$Q$30,4,0)</f>
        <v>5500000</v>
      </c>
      <c r="G7908" s="51">
        <f>IFERROR(ROUNDUP(F7908*(E7908/21)/E7861,0),"-")</f>
        <v>0</v>
      </c>
    </row>
    <row r="7909" spans="1:7" x14ac:dyDescent="0.25">
      <c r="A7909" s="50" t="s">
        <v>1473</v>
      </c>
      <c r="B7909" s="72" t="str">
        <f>VLOOKUP(A7909,'Componentes APUs'!$N$1:$Q$30,2,0)</f>
        <v>Concretera</v>
      </c>
      <c r="C7909" s="73"/>
      <c r="D7909" s="70" t="str">
        <f>VLOOKUP(A7909,'Componentes APUs'!$N$1:$Q$30,3,0)</f>
        <v>U</v>
      </c>
      <c r="E7909" s="50">
        <v>0</v>
      </c>
      <c r="F7909" s="51">
        <f>VLOOKUP(A7909,'Componentes APUs'!$N$1:$Q$30,4,0)</f>
        <v>550704</v>
      </c>
      <c r="G7909" s="51">
        <f>IFERROR(ROUNDUP(F7909*(E7909/21)/E7861,0),"-")</f>
        <v>0</v>
      </c>
    </row>
    <row r="7910" spans="1:7" x14ac:dyDescent="0.25">
      <c r="A7910" s="69" t="s">
        <v>1379</v>
      </c>
      <c r="B7910" s="72" t="str">
        <f>VLOOKUP(A7910,'Componentes APUs'!$N$1:$Q$30,2,0)</f>
        <v>Dumper de descarga Frontal 2T</v>
      </c>
      <c r="C7910" s="73"/>
      <c r="D7910" s="70" t="str">
        <f>VLOOKUP(A7910,'Componentes APUs'!$N$1:$Q$30,3,0)</f>
        <v>U</v>
      </c>
      <c r="E7910" s="50">
        <v>0</v>
      </c>
      <c r="F7910" s="51">
        <f>VLOOKUP(A7910,'Componentes APUs'!$N$1:$Q$30,4,0)</f>
        <v>4438716.24</v>
      </c>
      <c r="G7910" s="51">
        <f>IFERROR(ROUNDUP(F7910*(E7910/21)/E7861,0),"-")</f>
        <v>0</v>
      </c>
    </row>
    <row r="7911" spans="1:7" x14ac:dyDescent="0.25">
      <c r="A7911" s="50" t="s">
        <v>323</v>
      </c>
      <c r="B7911" s="72" t="str">
        <f>VLOOKUP(A7911,'Componentes APUs'!$N$1:$Q$30,2,0)</f>
        <v>Volqueta</v>
      </c>
      <c r="C7911" s="73"/>
      <c r="D7911" s="70" t="str">
        <f>VLOOKUP(A7911,'Componentes APUs'!$N$1:$Q$30,3,0)</f>
        <v>U</v>
      </c>
      <c r="E7911" s="50">
        <v>0</v>
      </c>
      <c r="F7911" s="51">
        <f>VLOOKUP(A7911,'Componentes APUs'!$N$1:$Q$30,4,0)</f>
        <v>14828184</v>
      </c>
      <c r="G7911" s="51">
        <f>IFERROR(ROUNDUP(F7911*(E7911/21)/E7861,0),"-")</f>
        <v>0</v>
      </c>
    </row>
    <row r="7912" spans="1:7" x14ac:dyDescent="0.25">
      <c r="A7912" s="69" t="s">
        <v>324</v>
      </c>
      <c r="B7912" s="72" t="str">
        <f>VLOOKUP(A7912,'Componentes APUs'!$N$1:$Q$30,2,0)</f>
        <v>Retroexcavadora</v>
      </c>
      <c r="C7912" s="73"/>
      <c r="D7912" s="70" t="str">
        <f>VLOOKUP(A7912,'Componentes APUs'!$N$1:$Q$30,3,0)</f>
        <v>U</v>
      </c>
      <c r="E7912" s="50">
        <v>0</v>
      </c>
      <c r="F7912" s="51">
        <f>VLOOKUP(A7912,'Componentes APUs'!$N$1:$Q$30,4,0)</f>
        <v>46030656</v>
      </c>
      <c r="G7912" s="51">
        <f>IFERROR(ROUNDUP(F7912*(E7912/21)/E7861,0),"-")</f>
        <v>0</v>
      </c>
    </row>
    <row r="7913" spans="1:7" x14ac:dyDescent="0.25">
      <c r="A7913" s="219" t="s">
        <v>99</v>
      </c>
      <c r="B7913" s="219"/>
      <c r="C7913" s="219"/>
      <c r="D7913" s="219"/>
      <c r="E7913" s="219"/>
      <c r="F7913" s="219"/>
      <c r="G7913" s="52">
        <f>SUM(G7908:G7912)</f>
        <v>0</v>
      </c>
    </row>
    <row r="7914" spans="1:7" x14ac:dyDescent="0.25">
      <c r="A7914" s="56"/>
      <c r="B7914" s="57"/>
      <c r="C7914" s="57"/>
      <c r="D7914" s="57"/>
      <c r="E7914" s="57"/>
      <c r="F7914" s="57"/>
      <c r="G7914" s="58"/>
    </row>
    <row r="7915" spans="1:7" x14ac:dyDescent="0.25">
      <c r="A7915" s="219" t="s">
        <v>100</v>
      </c>
      <c r="B7915" s="219"/>
      <c r="C7915" s="219"/>
      <c r="D7915" s="219"/>
      <c r="E7915" s="219"/>
      <c r="F7915" s="219"/>
      <c r="G7915" s="52">
        <f>G7913+G7904+G7887+G7877+G7867</f>
        <v>163810</v>
      </c>
    </row>
    <row r="7916" spans="1:7" x14ac:dyDescent="0.25">
      <c r="A7916" s="59"/>
      <c r="B7916" s="60"/>
      <c r="C7916" s="60"/>
      <c r="D7916" s="60"/>
      <c r="E7916" s="57"/>
      <c r="F7916" s="57"/>
      <c r="G7916" s="58"/>
    </row>
    <row r="7917" spans="1:7" x14ac:dyDescent="0.25">
      <c r="A7917" s="64"/>
      <c r="D7917" s="55"/>
      <c r="E7917" s="49" t="s">
        <v>25</v>
      </c>
      <c r="F7917" s="54">
        <v>0.15</v>
      </c>
      <c r="G7917" s="51">
        <f>G7915*F7917</f>
        <v>24571.5</v>
      </c>
    </row>
    <row r="7918" spans="1:7" x14ac:dyDescent="0.25">
      <c r="A7918" s="64"/>
      <c r="D7918" s="55"/>
      <c r="E7918" s="49" t="s">
        <v>26</v>
      </c>
      <c r="F7918" s="54">
        <v>0.05</v>
      </c>
      <c r="G7918" s="51">
        <f>G7915*F7918</f>
        <v>8190.5</v>
      </c>
    </row>
    <row r="7919" spans="1:7" x14ac:dyDescent="0.25">
      <c r="A7919" s="61"/>
      <c r="B7919" s="65"/>
      <c r="C7919" s="65"/>
      <c r="D7919" s="62"/>
      <c r="E7919" s="49" t="s">
        <v>27</v>
      </c>
      <c r="F7919" s="54">
        <v>0.05</v>
      </c>
      <c r="G7919" s="51">
        <f>G7915*F7919</f>
        <v>8190.5</v>
      </c>
    </row>
    <row r="7920" spans="1:7" x14ac:dyDescent="0.25">
      <c r="A7920" s="61"/>
      <c r="B7920" s="62"/>
      <c r="C7920" s="62"/>
      <c r="D7920" s="62"/>
      <c r="E7920" s="62"/>
      <c r="F7920" s="62"/>
      <c r="G7920" s="63"/>
    </row>
    <row r="7921" spans="1:13" x14ac:dyDescent="0.25">
      <c r="A7921" s="219" t="s">
        <v>101</v>
      </c>
      <c r="B7921" s="219"/>
      <c r="C7921" s="219"/>
      <c r="D7921" s="219"/>
      <c r="E7921" s="219"/>
      <c r="F7921" s="219"/>
      <c r="G7921" s="52">
        <f>G7915+G7917+G7918+G7919</f>
        <v>204762.5</v>
      </c>
    </row>
    <row r="7922" spans="1:13" x14ac:dyDescent="0.25">
      <c r="A7922" s="59"/>
      <c r="B7922" s="60"/>
      <c r="C7922" s="60"/>
      <c r="D7922" s="60"/>
      <c r="E7922" s="57"/>
      <c r="F7922" s="57"/>
      <c r="G7922" s="58"/>
    </row>
    <row r="7923" spans="1:13" x14ac:dyDescent="0.25">
      <c r="A7923" s="64"/>
      <c r="D7923" s="55"/>
      <c r="E7923" s="49" t="s">
        <v>102</v>
      </c>
      <c r="F7923" s="49" t="s">
        <v>103</v>
      </c>
      <c r="G7923" s="51">
        <f>G7919*19%</f>
        <v>1556.1949999999999</v>
      </c>
    </row>
    <row r="7924" spans="1:13" x14ac:dyDescent="0.25">
      <c r="A7924" s="61"/>
      <c r="B7924" s="62"/>
      <c r="C7924" s="62"/>
      <c r="D7924" s="62"/>
      <c r="E7924" s="57"/>
      <c r="F7924" s="57"/>
      <c r="G7924" s="58"/>
    </row>
    <row r="7925" spans="1:13" x14ac:dyDescent="0.25">
      <c r="A7925" s="219" t="s">
        <v>104</v>
      </c>
      <c r="B7925" s="219"/>
      <c r="C7925" s="219"/>
      <c r="D7925" s="219"/>
      <c r="E7925" s="219"/>
      <c r="F7925" s="219"/>
      <c r="G7925" s="52">
        <f>G7923+G7921</f>
        <v>206318.69500000001</v>
      </c>
    </row>
    <row r="7927" spans="1:13" x14ac:dyDescent="0.25">
      <c r="A7927" s="74" t="s">
        <v>29</v>
      </c>
      <c r="B7927" s="226" t="s">
        <v>30</v>
      </c>
      <c r="C7927" s="226"/>
      <c r="D7927" s="74" t="s">
        <v>31</v>
      </c>
      <c r="E7927" s="74" t="s">
        <v>32</v>
      </c>
      <c r="F7927" s="74" t="s">
        <v>189</v>
      </c>
      <c r="G7927" s="74" t="s">
        <v>33</v>
      </c>
      <c r="H7927" s="105"/>
    </row>
    <row r="7928" spans="1:13" ht="27" customHeight="1" x14ac:dyDescent="0.25">
      <c r="A7928" s="50" t="str">
        <f>Presupuesto!B149</f>
        <v>126_OC</v>
      </c>
      <c r="B7928" s="229" t="str">
        <f>Presupuesto!C149</f>
        <v>TUBO GALVANIZADO DE 70 CM,  Ø1 1/2" CON CODO A 45° INCLUYE TAPÓN DE ALUMINIO.</v>
      </c>
      <c r="C7928" s="230"/>
      <c r="D7928" s="50" t="s">
        <v>108</v>
      </c>
      <c r="E7928" s="107">
        <v>25</v>
      </c>
      <c r="F7928" s="50"/>
      <c r="G7928" s="51">
        <f>G7992</f>
        <v>57729.182500000003</v>
      </c>
      <c r="H7928" s="111"/>
    </row>
    <row r="7929" spans="1:13" x14ac:dyDescent="0.25">
      <c r="A7929" s="219" t="s">
        <v>34</v>
      </c>
      <c r="B7929" s="219"/>
      <c r="C7929" s="219"/>
      <c r="D7929" s="219"/>
      <c r="E7929" s="219"/>
      <c r="F7929" s="219"/>
      <c r="G7929" s="219"/>
    </row>
    <row r="7930" spans="1:13" ht="30.75" customHeight="1" x14ac:dyDescent="0.25">
      <c r="A7930" s="49" t="s">
        <v>35</v>
      </c>
      <c r="B7930" s="219" t="s">
        <v>36</v>
      </c>
      <c r="C7930" s="219"/>
      <c r="D7930" s="49" t="s">
        <v>37</v>
      </c>
      <c r="E7930" s="49" t="s">
        <v>38</v>
      </c>
      <c r="F7930" s="49" t="s">
        <v>39</v>
      </c>
      <c r="G7930" s="49" t="s">
        <v>40</v>
      </c>
      <c r="K7930" s="23"/>
      <c r="L7930" s="23"/>
    </row>
    <row r="7931" spans="1:13" x14ac:dyDescent="0.25">
      <c r="A7931" s="50" t="str">
        <f>Material!A590</f>
        <v>MA-589</v>
      </c>
      <c r="B7931" s="72" t="str">
        <f>IFERROR(VLOOKUP(A7931,Material!$A:$H,2,0),"-")</f>
        <v>TUBO PARA CERRAMIENTO</v>
      </c>
      <c r="C7931" s="76"/>
      <c r="D7931" s="50" t="str">
        <f>IFERROR(VLOOKUP(A7931,Material!$A:$H,4,0),"-")</f>
        <v>ML</v>
      </c>
      <c r="E7931" s="107">
        <v>1</v>
      </c>
      <c r="F7931" s="51">
        <f>IFERROR(VLOOKUP(A7931,Material!$A:$H,3,0),"-")</f>
        <v>20778.333333333336</v>
      </c>
      <c r="G7931" s="51">
        <f t="shared" ref="G7931:G7933" si="113">IFERROR(ROUNDUP(F7931*E7931,0),"-")</f>
        <v>20779</v>
      </c>
      <c r="H7931" s="112"/>
      <c r="I7931" s="110"/>
      <c r="J7931" s="113"/>
      <c r="K7931" s="114"/>
      <c r="L7931" s="115"/>
      <c r="M7931" s="115"/>
    </row>
    <row r="7932" spans="1:13" x14ac:dyDescent="0.25">
      <c r="A7932" s="50"/>
      <c r="B7932" s="72" t="str">
        <f>IFERROR(VLOOKUP(A7932,Material!$A:$H,2,0),"-")</f>
        <v>-</v>
      </c>
      <c r="C7932" s="76"/>
      <c r="D7932" s="50" t="str">
        <f>IFERROR(VLOOKUP(A7932,Material!$A:$H,4,0),"-")</f>
        <v>-</v>
      </c>
      <c r="E7932" s="109"/>
      <c r="F7932" s="51" t="str">
        <f>IFERROR(VLOOKUP(A7932,Material!$A:$H,3,0),"-")</f>
        <v>-</v>
      </c>
      <c r="G7932" s="51" t="str">
        <f t="shared" si="113"/>
        <v>-</v>
      </c>
      <c r="H7932" s="112"/>
      <c r="I7932" s="110"/>
      <c r="J7932" s="113"/>
      <c r="K7932" s="114"/>
      <c r="L7932" s="115"/>
      <c r="M7932" s="115"/>
    </row>
    <row r="7933" spans="1:13" x14ac:dyDescent="0.25">
      <c r="A7933" s="50"/>
      <c r="B7933" s="72" t="str">
        <f>IFERROR(VLOOKUP(A7933,Material!$A:$H,2,0),"-")</f>
        <v>-</v>
      </c>
      <c r="C7933" s="76"/>
      <c r="D7933" s="50" t="str">
        <f>IFERROR(VLOOKUP(A7933,Material!$A:$H,4,0),"-")</f>
        <v>-</v>
      </c>
      <c r="E7933" s="107"/>
      <c r="F7933" s="51" t="str">
        <f>IFERROR(VLOOKUP(A7933,Material!$A:$H,3,0),"-")</f>
        <v>-</v>
      </c>
      <c r="G7933" s="51" t="str">
        <f t="shared" si="113"/>
        <v>-</v>
      </c>
      <c r="H7933" s="112"/>
      <c r="I7933" s="110"/>
      <c r="J7933" s="113"/>
      <c r="K7933" s="114"/>
      <c r="L7933" s="115"/>
      <c r="M7933" s="115"/>
    </row>
    <row r="7934" spans="1:13" x14ac:dyDescent="0.25">
      <c r="A7934" s="219" t="s">
        <v>41</v>
      </c>
      <c r="B7934" s="219"/>
      <c r="C7934" s="219"/>
      <c r="D7934" s="219"/>
      <c r="E7934" s="219"/>
      <c r="F7934" s="219"/>
      <c r="G7934" s="52">
        <f>SUM(G7931:G7933)</f>
        <v>20779</v>
      </c>
      <c r="I7934" s="104"/>
    </row>
    <row r="7935" spans="1:13" x14ac:dyDescent="0.25">
      <c r="A7935" s="56"/>
      <c r="B7935" s="57"/>
      <c r="C7935" s="57"/>
      <c r="D7935" s="57"/>
      <c r="E7935" s="57"/>
      <c r="F7935" s="57"/>
      <c r="G7935" s="58"/>
    </row>
    <row r="7936" spans="1:13" x14ac:dyDescent="0.25">
      <c r="A7936" s="219" t="s">
        <v>42</v>
      </c>
      <c r="B7936" s="219"/>
      <c r="C7936" s="219"/>
      <c r="D7936" s="219"/>
      <c r="E7936" s="219"/>
      <c r="F7936" s="219"/>
      <c r="G7936" s="219"/>
    </row>
    <row r="7937" spans="1:9" x14ac:dyDescent="0.25">
      <c r="A7937" s="49" t="s">
        <v>35</v>
      </c>
      <c r="B7937" s="49" t="s">
        <v>36</v>
      </c>
      <c r="C7937" s="49" t="s">
        <v>38</v>
      </c>
      <c r="D7937" s="49" t="s">
        <v>43</v>
      </c>
      <c r="E7937" s="49" t="s">
        <v>44</v>
      </c>
      <c r="F7937" s="49" t="s">
        <v>45</v>
      </c>
      <c r="G7937" s="49" t="s">
        <v>40</v>
      </c>
    </row>
    <row r="7938" spans="1:9" x14ac:dyDescent="0.25">
      <c r="A7938" s="50" t="s">
        <v>319</v>
      </c>
      <c r="B7938" s="68" t="str">
        <f>VLOOKUP(A7938,'Componentes APUs'!$H$1:$L$25,2,0)</f>
        <v>Ingeniero Residente de Obra</v>
      </c>
      <c r="C7938" s="93">
        <v>0.25</v>
      </c>
      <c r="D7938" s="50">
        <f>VLOOKUP(A7938,'Componentes APUs'!$H$1:$L$25,3,0)</f>
        <v>4</v>
      </c>
      <c r="E7938" s="51">
        <f>VLOOKUP(A7938,'Componentes APUs'!$H$1:$L$25,4,0)</f>
        <v>271142.85714285716</v>
      </c>
      <c r="F7938" s="51">
        <f>VLOOKUP(A7938,'Componentes APUs'!$H$1:$L$25,5,0)</f>
        <v>162685.71428571429</v>
      </c>
      <c r="G7938" s="51">
        <f>ROUNDUP((E7938+F7938)*C7938/E7928,0)</f>
        <v>4339</v>
      </c>
      <c r="H7938" s="66"/>
    </row>
    <row r="7939" spans="1:9" x14ac:dyDescent="0.25">
      <c r="A7939" s="50" t="s">
        <v>320</v>
      </c>
      <c r="B7939" s="68" t="str">
        <f>VLOOKUP(A7939,'Componentes APUs'!$H$1:$L$25,2,0)</f>
        <v>Tecnico Supervisor</v>
      </c>
      <c r="C7939" s="93">
        <v>0</v>
      </c>
      <c r="D7939" s="50">
        <f>VLOOKUP(A7939,'Componentes APUs'!$H$1:$L$25,3,0)</f>
        <v>2.2999999999999998</v>
      </c>
      <c r="E7939" s="51">
        <f>VLOOKUP(A7939,'Componentes APUs'!$H$1:$L$25,4,0)</f>
        <v>155907.14285714284</v>
      </c>
      <c r="F7939" s="51">
        <f>VLOOKUP(A7939,'Componentes APUs'!$H$1:$L$25,5,0)</f>
        <v>93544.285714285696</v>
      </c>
      <c r="G7939" s="51">
        <f>ROUNDUP((E7939+F7939)*C7939/E7928,0)</f>
        <v>0</v>
      </c>
    </row>
    <row r="7940" spans="1:9" x14ac:dyDescent="0.25">
      <c r="A7940" s="50" t="s">
        <v>54</v>
      </c>
      <c r="B7940" s="68" t="str">
        <f>VLOOKUP(A7940,'Componentes APUs'!$H$1:$L$25,2,0)</f>
        <v>Maestro de obra civil</v>
      </c>
      <c r="C7940" s="93">
        <v>0</v>
      </c>
      <c r="D7940" s="50">
        <f>VLOOKUP(A7940,'Componentes APUs'!$H$1:$L$25,3,0)</f>
        <v>2.5</v>
      </c>
      <c r="E7940" s="51">
        <f>VLOOKUP(A7940,'Componentes APUs'!$H$1:$L$25,4,0)</f>
        <v>169464.28571428571</v>
      </c>
      <c r="F7940" s="51">
        <f>VLOOKUP(A7940,'Componentes APUs'!$H$1:$L$25,5,0)</f>
        <v>101678.57142857142</v>
      </c>
      <c r="G7940" s="51">
        <f>ROUNDUP((E7940+F7940)*C7940/E7928,0)</f>
        <v>0</v>
      </c>
    </row>
    <row r="7941" spans="1:9" x14ac:dyDescent="0.25">
      <c r="A7941" s="50" t="s">
        <v>1110</v>
      </c>
      <c r="B7941" s="68" t="str">
        <f>VLOOKUP(A7941,'Componentes APUs'!$H$1:$L$25,2,0)</f>
        <v>Oficial de Obra Civil</v>
      </c>
      <c r="C7941" s="93">
        <v>1</v>
      </c>
      <c r="D7941" s="50">
        <f>VLOOKUP(A7941,'Componentes APUs'!$H$1:$L$25,3,0)</f>
        <v>1.5</v>
      </c>
      <c r="E7941" s="51">
        <f>VLOOKUP(A7941,'Componentes APUs'!$H$1:$L$25,4,0)</f>
        <v>115964.28571428571</v>
      </c>
      <c r="F7941" s="51">
        <f>VLOOKUP(A7941,'Componentes APUs'!$H$1:$L$25,5,0)</f>
        <v>69578.57142857142</v>
      </c>
      <c r="G7941" s="51">
        <f>ROUNDUP((E7941+F7941)*C7941/E7928,0)</f>
        <v>7422</v>
      </c>
    </row>
    <row r="7942" spans="1:9" x14ac:dyDescent="0.25">
      <c r="A7942" s="50" t="s">
        <v>50</v>
      </c>
      <c r="B7942" s="68" t="str">
        <f>VLOOKUP(A7942,'Componentes APUs'!$H$1:$L$25,2,0)</f>
        <v>Profesional en SST</v>
      </c>
      <c r="C7942" s="93">
        <v>0.25</v>
      </c>
      <c r="D7942" s="50">
        <f>VLOOKUP(A7942,'Componentes APUs'!$H$1:$L$25,3,0)</f>
        <v>2.5</v>
      </c>
      <c r="E7942" s="51">
        <f>VLOOKUP(A7942,'Componentes APUs'!$H$1:$L$25,4,0)</f>
        <v>169464.28571428571</v>
      </c>
      <c r="F7942" s="51">
        <f>VLOOKUP(A7942,'Componentes APUs'!$H$1:$L$25,5,0)</f>
        <v>101678.57142857142</v>
      </c>
      <c r="G7942" s="51">
        <f>ROUNDUP((E7942+F7942)*C7942/E7928,0)</f>
        <v>2712</v>
      </c>
    </row>
    <row r="7943" spans="1:9" x14ac:dyDescent="0.25">
      <c r="A7943" s="50" t="s">
        <v>1109</v>
      </c>
      <c r="B7943" s="68" t="str">
        <f>VLOOKUP(A7943,'Componentes APUs'!$H$1:$L$25,2,0)</f>
        <v>Ayudante de Obra Civil</v>
      </c>
      <c r="C7943" s="93">
        <v>1</v>
      </c>
      <c r="D7943" s="50">
        <f>VLOOKUP(A7943,'Componentes APUs'!$H$1:$L$25,3,0)</f>
        <v>1</v>
      </c>
      <c r="E7943" s="51">
        <f>VLOOKUP(A7943,'Componentes APUs'!$H$1:$L$25,4,0)</f>
        <v>77309.523809523816</v>
      </c>
      <c r="F7943" s="51">
        <f>VLOOKUP(A7943,'Componentes APUs'!$H$1:$L$25,5,0)</f>
        <v>46385.71428571429</v>
      </c>
      <c r="G7943" s="51">
        <f>ROUNDUP((E7943+F7943)*C7943/E7928,0)</f>
        <v>4948</v>
      </c>
    </row>
    <row r="7944" spans="1:9" x14ac:dyDescent="0.25">
      <c r="A7944" s="219" t="s">
        <v>56</v>
      </c>
      <c r="B7944" s="219"/>
      <c r="C7944" s="219"/>
      <c r="D7944" s="219"/>
      <c r="E7944" s="219"/>
      <c r="F7944" s="219"/>
      <c r="G7944" s="52">
        <f>SUM(G7938:G7943)</f>
        <v>19421</v>
      </c>
    </row>
    <row r="7945" spans="1:9" x14ac:dyDescent="0.25">
      <c r="A7945" s="56"/>
      <c r="B7945" s="57"/>
      <c r="C7945" s="57"/>
      <c r="D7945" s="57"/>
      <c r="E7945" s="57"/>
      <c r="F7945" s="57"/>
      <c r="G7945" s="58"/>
    </row>
    <row r="7946" spans="1:9" x14ac:dyDescent="0.25">
      <c r="A7946" s="219" t="s">
        <v>57</v>
      </c>
      <c r="B7946" s="219"/>
      <c r="C7946" s="219"/>
      <c r="D7946" s="219"/>
      <c r="E7946" s="219"/>
      <c r="F7946" s="219"/>
      <c r="G7946" s="219"/>
    </row>
    <row r="7947" spans="1:9" x14ac:dyDescent="0.25">
      <c r="A7947" s="49" t="s">
        <v>35</v>
      </c>
      <c r="B7947" s="219" t="s">
        <v>36</v>
      </c>
      <c r="C7947" s="219"/>
      <c r="D7947" s="49" t="s">
        <v>37</v>
      </c>
      <c r="E7947" s="49" t="s">
        <v>38</v>
      </c>
      <c r="F7947" s="49" t="s">
        <v>39</v>
      </c>
      <c r="G7947" s="49" t="s">
        <v>40</v>
      </c>
    </row>
    <row r="7948" spans="1:9" x14ac:dyDescent="0.25">
      <c r="A7948" s="50" t="s">
        <v>326</v>
      </c>
      <c r="B7948" s="220" t="str">
        <f>VLOOKUP(A7948,'Componentes APUs'!$S$1:$V$10,2,0)</f>
        <v>Juego Llaves</v>
      </c>
      <c r="C7948" s="220"/>
      <c r="D7948" s="50" t="s">
        <v>18</v>
      </c>
      <c r="E7948" s="50">
        <v>0</v>
      </c>
      <c r="F7948" s="51">
        <f>VLOOKUP(A7948,'Componentes APUs'!$S$1:$V$10,4,0)</f>
        <v>9167</v>
      </c>
      <c r="G7948" s="51">
        <f>ROUNDUP(F7948*((E7948/21)/E7928),0)</f>
        <v>0</v>
      </c>
      <c r="I7948" s="91"/>
    </row>
    <row r="7949" spans="1:9" x14ac:dyDescent="0.25">
      <c r="A7949" s="50" t="s">
        <v>58</v>
      </c>
      <c r="B7949" s="220" t="str">
        <f>VLOOKUP(A7949,'Componentes APUs'!$S$1:$V$10,2,0)</f>
        <v>Manila de servicio</v>
      </c>
      <c r="C7949" s="220"/>
      <c r="D7949" s="50" t="s">
        <v>18</v>
      </c>
      <c r="E7949" s="50">
        <v>0</v>
      </c>
      <c r="F7949" s="51">
        <f>VLOOKUP(A7949,'Componentes APUs'!$S$1:$V$10,4,0)</f>
        <v>2333</v>
      </c>
      <c r="G7949" s="51">
        <f>ROUNDUP(F7949*((E7949/21)/E7928),0)</f>
        <v>0</v>
      </c>
    </row>
    <row r="7950" spans="1:9" x14ac:dyDescent="0.25">
      <c r="A7950" s="50" t="s">
        <v>327</v>
      </c>
      <c r="B7950" s="220" t="str">
        <f>VLOOKUP(A7950,'Componentes APUs'!$S$1:$V$10,2,0)</f>
        <v>Tula portaherramientas</v>
      </c>
      <c r="C7950" s="220"/>
      <c r="D7950" s="50" t="s">
        <v>18</v>
      </c>
      <c r="E7950" s="50">
        <v>0</v>
      </c>
      <c r="F7950" s="51">
        <f>VLOOKUP(A7950,'Componentes APUs'!$S$1:$V$10,4,0)</f>
        <v>1250</v>
      </c>
      <c r="G7950" s="51">
        <f>ROUNDUP(F7950*((E7950/21)/E7928),0)</f>
        <v>0</v>
      </c>
    </row>
    <row r="7951" spans="1:9" x14ac:dyDescent="0.25">
      <c r="A7951" s="50" t="s">
        <v>60</v>
      </c>
      <c r="B7951" s="220" t="str">
        <f>VLOOKUP(A7951,'Componentes APUs'!$S$1:$V$10,2,0)</f>
        <v>Agarradoras</v>
      </c>
      <c r="C7951" s="220"/>
      <c r="D7951" s="50" t="s">
        <v>18</v>
      </c>
      <c r="E7951" s="50">
        <v>0</v>
      </c>
      <c r="F7951" s="51">
        <f>VLOOKUP(A7951,'Componentes APUs'!$S$1:$V$10,4,0)</f>
        <v>125000</v>
      </c>
      <c r="G7951" s="51">
        <f>ROUNDUP(F7951*((E7951/21)/E7928),0)</f>
        <v>0</v>
      </c>
    </row>
    <row r="7952" spans="1:9" x14ac:dyDescent="0.25">
      <c r="A7952" s="50" t="s">
        <v>62</v>
      </c>
      <c r="B7952" s="220" t="str">
        <f>VLOOKUP(A7952,'Componentes APUs'!$S$1:$V$10,2,0)</f>
        <v>Templadoras</v>
      </c>
      <c r="C7952" s="220"/>
      <c r="D7952" s="50" t="s">
        <v>18</v>
      </c>
      <c r="E7952" s="50">
        <v>0</v>
      </c>
      <c r="F7952" s="51">
        <f>VLOOKUP(A7952,'Componentes APUs'!$S$1:$V$10,4,0)</f>
        <v>250000</v>
      </c>
      <c r="G7952" s="51">
        <f>ROUNDUP(F7952*((E7952/21)/E7928),0)</f>
        <v>0</v>
      </c>
    </row>
    <row r="7953" spans="1:9" x14ac:dyDescent="0.25">
      <c r="A7953" s="50" t="s">
        <v>328</v>
      </c>
      <c r="B7953" s="220" t="str">
        <f>VLOOKUP(A7953,'Componentes APUs'!$S$1:$V$10,2,0)</f>
        <v>Herramienta Menor</v>
      </c>
      <c r="C7953" s="220"/>
      <c r="D7953" s="50" t="s">
        <v>18</v>
      </c>
      <c r="E7953" s="50">
        <v>1</v>
      </c>
      <c r="F7953" s="51">
        <f>VLOOKUP(A7953,'Componentes APUs'!$S$1:$V$10,4,0)</f>
        <v>75758</v>
      </c>
      <c r="G7953" s="51">
        <f>ROUNDUP(F7953*((E7953/21)/E7928),0)</f>
        <v>145</v>
      </c>
    </row>
    <row r="7954" spans="1:9" x14ac:dyDescent="0.25">
      <c r="A7954" s="219" t="s">
        <v>69</v>
      </c>
      <c r="B7954" s="219"/>
      <c r="C7954" s="219"/>
      <c r="D7954" s="219"/>
      <c r="E7954" s="219"/>
      <c r="F7954" s="219"/>
      <c r="G7954" s="52">
        <f>SUM(G7948:G7953)</f>
        <v>145</v>
      </c>
    </row>
    <row r="7955" spans="1:9" x14ac:dyDescent="0.25">
      <c r="A7955" s="56"/>
      <c r="B7955" s="57"/>
      <c r="C7955" s="57"/>
      <c r="D7955" s="57"/>
      <c r="E7955" s="57"/>
      <c r="F7955" s="57"/>
      <c r="G7955" s="58"/>
    </row>
    <row r="7956" spans="1:9" x14ac:dyDescent="0.25">
      <c r="A7956" s="219" t="s">
        <v>70</v>
      </c>
      <c r="B7956" s="219"/>
      <c r="C7956" s="219"/>
      <c r="D7956" s="219"/>
      <c r="E7956" s="219"/>
      <c r="F7956" s="219"/>
      <c r="G7956" s="219"/>
    </row>
    <row r="7957" spans="1:9" x14ac:dyDescent="0.25">
      <c r="A7957" s="49" t="s">
        <v>35</v>
      </c>
      <c r="B7957" s="219" t="s">
        <v>36</v>
      </c>
      <c r="C7957" s="219"/>
      <c r="D7957" s="49" t="s">
        <v>37</v>
      </c>
      <c r="E7957" s="49" t="s">
        <v>38</v>
      </c>
      <c r="F7957" s="49" t="s">
        <v>39</v>
      </c>
      <c r="G7957" s="49" t="s">
        <v>40</v>
      </c>
    </row>
    <row r="7958" spans="1:9" x14ac:dyDescent="0.25">
      <c r="A7958" s="50" t="s">
        <v>71</v>
      </c>
      <c r="B7958" s="71" t="str">
        <f>VLOOKUP(A7958,'Componentes APUs'!$A$1:$D$14,2,0)</f>
        <v>Camisa indigo sin partes metalicas</v>
      </c>
      <c r="C7958" s="71"/>
      <c r="D7958" s="50" t="str">
        <f>VLOOKUP(A7958,'Componentes APUs'!$A$1:$D$14,3,0)</f>
        <v>U</v>
      </c>
      <c r="E7958" s="50">
        <f>SUM(C7938:C7943)</f>
        <v>2.5</v>
      </c>
      <c r="F7958" s="51">
        <f>VLOOKUP(A7958,'Componentes APUs'!$A$1:$D$14,4,0)</f>
        <v>8585.8585858585866</v>
      </c>
      <c r="G7958" s="51">
        <f>ROUNDUP(F7958*(E7958/21)/E7928,0)</f>
        <v>41</v>
      </c>
      <c r="I7958" s="91"/>
    </row>
    <row r="7959" spans="1:9" x14ac:dyDescent="0.25">
      <c r="A7959" s="69" t="s">
        <v>73</v>
      </c>
      <c r="B7959" s="72" t="str">
        <f>VLOOKUP(A7959,'Componentes APUs'!$A$1:$D$14,2,0)</f>
        <v>Bota de seguridad dielectrica</v>
      </c>
      <c r="C7959" s="73"/>
      <c r="D7959" s="70" t="str">
        <f>VLOOKUP(A7959,'Componentes APUs'!$A$1:$D$14,3,0)</f>
        <v>Par</v>
      </c>
      <c r="E7959" s="50">
        <f>SUM(C7938:C7943)</f>
        <v>2.5</v>
      </c>
      <c r="F7959" s="51">
        <f>VLOOKUP(A7959,'Componentes APUs'!$A$1:$D$14,4,0)</f>
        <v>7500</v>
      </c>
      <c r="G7959" s="51">
        <f>ROUNDUP(F7959*(E7959/21)/E7928,0)</f>
        <v>36</v>
      </c>
    </row>
    <row r="7960" spans="1:9" x14ac:dyDescent="0.25">
      <c r="A7960" s="50" t="s">
        <v>76</v>
      </c>
      <c r="B7960" s="72" t="str">
        <f>VLOOKUP(A7960,'Componentes APUs'!$A$1:$D$14,2,0)</f>
        <v>Casco dielectrico Tipo 1 Clase E con barbuquejo</v>
      </c>
      <c r="C7960" s="73"/>
      <c r="D7960" s="50" t="str">
        <f>VLOOKUP(A7960,'Componentes APUs'!$A$1:$D$14,3,0)</f>
        <v>U</v>
      </c>
      <c r="E7960" s="50">
        <f>C7938+C7939+C7941+C7942+C7943+IF(A7940&lt;&gt;"MO-3",C7940,0)</f>
        <v>2.5</v>
      </c>
      <c r="F7960" s="51">
        <f>VLOOKUP(A7960,'Componentes APUs'!$A$1:$D$14,4,0)</f>
        <v>10101.010101010101</v>
      </c>
      <c r="G7960" s="51">
        <f>ROUNDUP(F7960*(E7960/21)/E7928,0)</f>
        <v>49</v>
      </c>
    </row>
    <row r="7961" spans="1:9" x14ac:dyDescent="0.25">
      <c r="A7961" s="69" t="s">
        <v>77</v>
      </c>
      <c r="B7961" s="72" t="str">
        <f>VLOOKUP(A7961,'Componentes APUs'!$A$1:$D$14,2,0)</f>
        <v>Correa plastica y antiflama</v>
      </c>
      <c r="C7961" s="73"/>
      <c r="D7961" s="50" t="str">
        <f>VLOOKUP(A7961,'Componentes APUs'!$A$1:$D$14,3,0)</f>
        <v>U</v>
      </c>
      <c r="E7961" s="50">
        <f>SUM(C7938:C7943)</f>
        <v>2.5</v>
      </c>
      <c r="F7961" s="51">
        <f>VLOOKUP(A7961,'Componentes APUs'!$A$1:$D$14,4,0)</f>
        <v>3787.878787878788</v>
      </c>
      <c r="G7961" s="51">
        <f>ROUNDUP(F7961*(E7961/21)/E7928,0)</f>
        <v>19</v>
      </c>
    </row>
    <row r="7962" spans="1:9" x14ac:dyDescent="0.25">
      <c r="A7962" s="50" t="s">
        <v>79</v>
      </c>
      <c r="B7962" s="72" t="str">
        <f>VLOOKUP(A7962,'Componentes APUs'!$A$1:$D$14,2,0)</f>
        <v>Gafas protectoras filtro UV</v>
      </c>
      <c r="C7962" s="73"/>
      <c r="D7962" s="50" t="str">
        <f>VLOOKUP(A7962,'Componentes APUs'!$A$1:$D$14,3,0)</f>
        <v>U</v>
      </c>
      <c r="E7962" s="50">
        <f>SUM(C7938:C7943)</f>
        <v>2.5</v>
      </c>
      <c r="F7962" s="51">
        <f>VLOOKUP(A7962,'Componentes APUs'!$A$1:$D$14,4,0)</f>
        <v>2777.7777777777778</v>
      </c>
      <c r="G7962" s="51">
        <f>ROUNDUP(F7962*(E7962/21)/E7928,0)</f>
        <v>14</v>
      </c>
    </row>
    <row r="7963" spans="1:9" x14ac:dyDescent="0.25">
      <c r="A7963" s="69" t="s">
        <v>402</v>
      </c>
      <c r="B7963" s="72" t="str">
        <f>VLOOKUP(A7963,'Componentes APUs'!$A$1:$D$14,2,0)</f>
        <v>Bota de seguridad PVC dielectrica</v>
      </c>
      <c r="C7963" s="73"/>
      <c r="D7963" s="50" t="str">
        <f>VLOOKUP(A7963,'Componentes APUs'!$A$1:$D$14,3,0)</f>
        <v>Par</v>
      </c>
      <c r="E7963" s="50">
        <f>SUM(C7938:C7943)</f>
        <v>2.5</v>
      </c>
      <c r="F7963" s="51">
        <f>VLOOKUP(A7963,'Componentes APUs'!$A$1:$D$14,4,0)</f>
        <v>2916.6666666666665</v>
      </c>
      <c r="G7963" s="51">
        <f>ROUNDUP(F7963*(E7963/21)/E7928,0)</f>
        <v>14</v>
      </c>
    </row>
    <row r="7964" spans="1:9" x14ac:dyDescent="0.25">
      <c r="A7964" s="50" t="s">
        <v>403</v>
      </c>
      <c r="B7964" s="72" t="str">
        <f>VLOOKUP(A7964,'Componentes APUs'!$A$1:$D$14,2,0)</f>
        <v>Capuchon</v>
      </c>
      <c r="C7964" s="73"/>
      <c r="D7964" s="50" t="str">
        <f>VLOOKUP(A7964,'Componentes APUs'!$A$1:$D$14,3,0)</f>
        <v>U</v>
      </c>
      <c r="E7964" s="50">
        <f>SUM(C7938:C7943)</f>
        <v>2.5</v>
      </c>
      <c r="F7964" s="51">
        <f>VLOOKUP(A7964,'Componentes APUs'!$A$1:$D$14,4,0)</f>
        <v>2525.2525252525252</v>
      </c>
      <c r="G7964" s="51">
        <f>ROUNDUP(F7964*(E7964/21)/E7928,0)</f>
        <v>13</v>
      </c>
    </row>
    <row r="7965" spans="1:9" x14ac:dyDescent="0.25">
      <c r="A7965" s="69" t="s">
        <v>81</v>
      </c>
      <c r="B7965" s="72" t="str">
        <f>VLOOKUP(A7965,'Componentes APUs'!$A$1:$D$14,2,0)</f>
        <v>Guantes Protectores  - ingeniero reforzados</v>
      </c>
      <c r="C7965" s="73"/>
      <c r="D7965" s="50" t="str">
        <f>VLOOKUP(A7965,'Componentes APUs'!$A$1:$D$14,3,0)</f>
        <v>Par</v>
      </c>
      <c r="E7965" s="50">
        <f>C7940+C7941+C7943</f>
        <v>2</v>
      </c>
      <c r="F7965" s="51">
        <f>VLOOKUP(A7965,'Componentes APUs'!$A$1:$D$14,4,0)</f>
        <v>2525.2525252525252</v>
      </c>
      <c r="G7965" s="51">
        <f>ROUNDUP(F7965*(E7965/21)/E7928,0)</f>
        <v>10</v>
      </c>
    </row>
    <row r="7966" spans="1:9" x14ac:dyDescent="0.25">
      <c r="A7966" s="50" t="s">
        <v>83</v>
      </c>
      <c r="B7966" s="72" t="str">
        <f>VLOOKUP(A7966,'Componentes APUs'!$A$1:$D$14,2,0)</f>
        <v>Impermeable (pantalon camisa)</v>
      </c>
      <c r="C7966" s="73"/>
      <c r="D7966" s="50" t="str">
        <f>VLOOKUP(A7966,'Componentes APUs'!$A$1:$D$14,3,0)</f>
        <v>U</v>
      </c>
      <c r="E7966" s="50">
        <f>SUM(C7938:C7943)</f>
        <v>2.5</v>
      </c>
      <c r="F7966" s="51">
        <f>VLOOKUP(A7966,'Componentes APUs'!$A$1:$D$14,4,0)</f>
        <v>3750</v>
      </c>
      <c r="G7966" s="51">
        <f>ROUNDUP(F7966*(E7966/21)/E7928,0)</f>
        <v>18</v>
      </c>
    </row>
    <row r="7967" spans="1:9" x14ac:dyDescent="0.25">
      <c r="A7967" s="69" t="s">
        <v>85</v>
      </c>
      <c r="B7967" s="72" t="str">
        <f>VLOOKUP(A7967,'Componentes APUs'!$A$1:$D$14,2,0)</f>
        <v>Jean Dielectrico</v>
      </c>
      <c r="C7967" s="73"/>
      <c r="D7967" s="50" t="str">
        <f>VLOOKUP(A7967,'Componentes APUs'!$A$1:$D$14,3,0)</f>
        <v>U</v>
      </c>
      <c r="E7967" s="50">
        <f>SUM(C7938:C7943)</f>
        <v>2.5</v>
      </c>
      <c r="F7967" s="51">
        <f>VLOOKUP(A7967,'Componentes APUs'!$A$1:$D$14,4,0)</f>
        <v>7575.757575757576</v>
      </c>
      <c r="G7967" s="51">
        <f>ROUNDUP(F7967*(E7967/21)/E7928,0)</f>
        <v>37</v>
      </c>
    </row>
    <row r="7968" spans="1:9" x14ac:dyDescent="0.25">
      <c r="A7968" s="50" t="s">
        <v>87</v>
      </c>
      <c r="B7968" s="72" t="str">
        <f>VLOOKUP(A7968,'Componentes APUs'!$A$1:$D$14,2,0)</f>
        <v>Casco dielectrico Tipo 2 Clase E con barboquejo</v>
      </c>
      <c r="C7968" s="73"/>
      <c r="D7968" s="50" t="str">
        <f>VLOOKUP(A7968,'Componentes APUs'!$A$1:$D$14,3,0)</f>
        <v>U</v>
      </c>
      <c r="E7968" s="53">
        <f>IF(A7940="MO-3",C7940,0)</f>
        <v>0</v>
      </c>
      <c r="F7968" s="51">
        <f>VLOOKUP(A7968,'Componentes APUs'!$A$1:$D$14,4,0)</f>
        <v>7500</v>
      </c>
      <c r="G7968" s="51">
        <f>ROUNDUP(F7968*(E7968/21)/E7928,0)</f>
        <v>0</v>
      </c>
    </row>
    <row r="7969" spans="1:7" x14ac:dyDescent="0.25">
      <c r="A7969" s="69" t="s">
        <v>89</v>
      </c>
      <c r="B7969" s="72" t="str">
        <f>VLOOKUP(A7969,'Componentes APUs'!$A$1:$D$14,2,0)</f>
        <v>Kit de rescate para trabajo en alturas</v>
      </c>
      <c r="C7969" s="73"/>
      <c r="D7969" s="50" t="str">
        <f>VLOOKUP(A7969,'Componentes APUs'!$A$1:$D$14,3,0)</f>
        <v>U</v>
      </c>
      <c r="E7969" s="50">
        <f>IF(AND(A7940="MO-3",C7940=2),1,0)</f>
        <v>0</v>
      </c>
      <c r="F7969" s="51">
        <f>VLOOKUP(A7969,'Componentes APUs'!$A$1:$D$14,4,0)</f>
        <v>37500</v>
      </c>
      <c r="G7969" s="51">
        <f>ROUNDUP(F7969*(E7969/21)/E7928,0)</f>
        <v>0</v>
      </c>
    </row>
    <row r="7970" spans="1:7" x14ac:dyDescent="0.25">
      <c r="A7970" s="50" t="s">
        <v>91</v>
      </c>
      <c r="B7970" s="72" t="str">
        <f>VLOOKUP(A7970,'Componentes APUs'!$A$1:$D$14,2,0)</f>
        <v>Equipo completo para trabajo en alturas con pretales (Arnes dielectrico, 1 mosqueton de seguridad, tie off dielectrico, eslinga de posicionamiento, juego de pretales)</v>
      </c>
      <c r="C7970" s="73"/>
      <c r="D7970" s="50" t="str">
        <f>VLOOKUP(A7970,'Componentes APUs'!$A$1:$D$14,3,0)</f>
        <v>U</v>
      </c>
      <c r="E7970" s="50">
        <f>IF(A7940="MO-3",C7940,0)</f>
        <v>0</v>
      </c>
      <c r="F7970" s="51">
        <f>VLOOKUP(A7970,'Componentes APUs'!$A$1:$D$14,4,0)</f>
        <v>26041.666666666668</v>
      </c>
      <c r="G7970" s="51">
        <f>ROUNDUP(F7970*(E7970/21)/E7928,0)</f>
        <v>0</v>
      </c>
    </row>
    <row r="7971" spans="1:7" x14ac:dyDescent="0.25">
      <c r="A7971" s="219" t="s">
        <v>95</v>
      </c>
      <c r="B7971" s="219"/>
      <c r="C7971" s="219"/>
      <c r="D7971" s="219"/>
      <c r="E7971" s="219"/>
      <c r="F7971" s="219"/>
      <c r="G7971" s="52">
        <f>SUM(G7958:G7970)</f>
        <v>251</v>
      </c>
    </row>
    <row r="7972" spans="1:7" x14ac:dyDescent="0.25">
      <c r="A7972" s="56"/>
      <c r="B7972" s="57"/>
      <c r="C7972" s="57"/>
      <c r="D7972" s="57"/>
      <c r="E7972" s="57"/>
      <c r="F7972" s="57"/>
      <c r="G7972" s="58"/>
    </row>
    <row r="7973" spans="1:7" x14ac:dyDescent="0.25">
      <c r="A7973" s="219" t="s">
        <v>96</v>
      </c>
      <c r="B7973" s="219"/>
      <c r="C7973" s="219"/>
      <c r="D7973" s="219"/>
      <c r="E7973" s="219"/>
      <c r="F7973" s="219"/>
      <c r="G7973" s="219"/>
    </row>
    <row r="7974" spans="1:7" x14ac:dyDescent="0.25">
      <c r="A7974" s="49" t="s">
        <v>35</v>
      </c>
      <c r="B7974" s="225" t="s">
        <v>36</v>
      </c>
      <c r="C7974" s="225"/>
      <c r="D7974" s="49" t="s">
        <v>37</v>
      </c>
      <c r="E7974" s="49" t="s">
        <v>38</v>
      </c>
      <c r="F7974" s="49" t="s">
        <v>39</v>
      </c>
      <c r="G7974" s="49" t="s">
        <v>40</v>
      </c>
    </row>
    <row r="7975" spans="1:7" x14ac:dyDescent="0.25">
      <c r="A7975" s="69" t="s">
        <v>97</v>
      </c>
      <c r="B7975" s="72" t="str">
        <f>VLOOKUP(A7975,'Componentes APUs'!$N$1:$Q$30,2,0)</f>
        <v>Camioneta</v>
      </c>
      <c r="C7975" s="73"/>
      <c r="D7975" s="70" t="str">
        <f>VLOOKUP(A7975,'Componentes APUs'!$N$1:$Q$30,3,0)</f>
        <v>U</v>
      </c>
      <c r="E7975" s="50">
        <v>0.5</v>
      </c>
      <c r="F7975" s="51">
        <f>VLOOKUP(A7975,'Componentes APUs'!$N$1:$Q$30,4,0)</f>
        <v>5500000</v>
      </c>
      <c r="G7975" s="51">
        <f>IFERROR(ROUNDUP(F7975*(E7975/21)/E7928,0),"-")</f>
        <v>5239</v>
      </c>
    </row>
    <row r="7976" spans="1:7" x14ac:dyDescent="0.25">
      <c r="A7976" s="50" t="s">
        <v>1473</v>
      </c>
      <c r="B7976" s="72" t="str">
        <f>VLOOKUP(A7976,'Componentes APUs'!$N$1:$Q$30,2,0)</f>
        <v>Concretera</v>
      </c>
      <c r="C7976" s="73"/>
      <c r="D7976" s="70" t="str">
        <f>VLOOKUP(A7976,'Componentes APUs'!$N$1:$Q$30,3,0)</f>
        <v>U</v>
      </c>
      <c r="E7976" s="50">
        <v>0</v>
      </c>
      <c r="F7976" s="51">
        <f>VLOOKUP(A7976,'Componentes APUs'!$N$1:$Q$30,4,0)</f>
        <v>550704</v>
      </c>
      <c r="G7976" s="51">
        <f>IFERROR(ROUNDUP(F7976*(E7976/21)/E7928,0),"-")</f>
        <v>0</v>
      </c>
    </row>
    <row r="7977" spans="1:7" x14ac:dyDescent="0.25">
      <c r="A7977" s="69" t="s">
        <v>1379</v>
      </c>
      <c r="B7977" s="72" t="str">
        <f>VLOOKUP(A7977,'Componentes APUs'!$N$1:$Q$30,2,0)</f>
        <v>Dumper de descarga Frontal 2T</v>
      </c>
      <c r="C7977" s="73"/>
      <c r="D7977" s="70" t="str">
        <f>VLOOKUP(A7977,'Componentes APUs'!$N$1:$Q$30,3,0)</f>
        <v>U</v>
      </c>
      <c r="E7977" s="50">
        <v>0</v>
      </c>
      <c r="F7977" s="51">
        <f>VLOOKUP(A7977,'Componentes APUs'!$N$1:$Q$30,4,0)</f>
        <v>4438716.24</v>
      </c>
      <c r="G7977" s="51">
        <f>IFERROR(ROUNDUP(F7977*(E7977/21)/E7928,0),"-")</f>
        <v>0</v>
      </c>
    </row>
    <row r="7978" spans="1:7" x14ac:dyDescent="0.25">
      <c r="A7978" s="50" t="s">
        <v>323</v>
      </c>
      <c r="B7978" s="72" t="str">
        <f>VLOOKUP(A7978,'Componentes APUs'!$N$1:$Q$30,2,0)</f>
        <v>Volqueta</v>
      </c>
      <c r="C7978" s="73"/>
      <c r="D7978" s="70" t="str">
        <f>VLOOKUP(A7978,'Componentes APUs'!$N$1:$Q$30,3,0)</f>
        <v>U</v>
      </c>
      <c r="E7978" s="50">
        <v>0</v>
      </c>
      <c r="F7978" s="51">
        <f>VLOOKUP(A7978,'Componentes APUs'!$N$1:$Q$30,4,0)</f>
        <v>14828184</v>
      </c>
      <c r="G7978" s="51">
        <f>IFERROR(ROUNDUP(F7978*(E7978/21)/E7928,0),"-")</f>
        <v>0</v>
      </c>
    </row>
    <row r="7979" spans="1:7" x14ac:dyDescent="0.25">
      <c r="A7979" s="69" t="s">
        <v>324</v>
      </c>
      <c r="B7979" s="72" t="str">
        <f>VLOOKUP(A7979,'Componentes APUs'!$N$1:$Q$30,2,0)</f>
        <v>Retroexcavadora</v>
      </c>
      <c r="C7979" s="73"/>
      <c r="D7979" s="70" t="str">
        <f>VLOOKUP(A7979,'Componentes APUs'!$N$1:$Q$30,3,0)</f>
        <v>U</v>
      </c>
      <c r="E7979" s="50">
        <v>0</v>
      </c>
      <c r="F7979" s="51">
        <f>VLOOKUP(A7979,'Componentes APUs'!$N$1:$Q$30,4,0)</f>
        <v>46030656</v>
      </c>
      <c r="G7979" s="51">
        <f>IFERROR(ROUNDUP(F7979*(E7979/21)/E7928,0),"-")</f>
        <v>0</v>
      </c>
    </row>
    <row r="7980" spans="1:7" x14ac:dyDescent="0.25">
      <c r="A7980" s="219" t="s">
        <v>99</v>
      </c>
      <c r="B7980" s="219"/>
      <c r="C7980" s="219"/>
      <c r="D7980" s="219"/>
      <c r="E7980" s="219"/>
      <c r="F7980" s="219"/>
      <c r="G7980" s="52">
        <f>SUM(G7975:G7979)</f>
        <v>5239</v>
      </c>
    </row>
    <row r="7981" spans="1:7" x14ac:dyDescent="0.25">
      <c r="A7981" s="56"/>
      <c r="B7981" s="57"/>
      <c r="C7981" s="57"/>
      <c r="D7981" s="57"/>
      <c r="E7981" s="57"/>
      <c r="F7981" s="57"/>
      <c r="G7981" s="58"/>
    </row>
    <row r="7982" spans="1:7" x14ac:dyDescent="0.25">
      <c r="A7982" s="219" t="s">
        <v>100</v>
      </c>
      <c r="B7982" s="219"/>
      <c r="C7982" s="219"/>
      <c r="D7982" s="219"/>
      <c r="E7982" s="219"/>
      <c r="F7982" s="219"/>
      <c r="G7982" s="52">
        <f>G7980+G7971+G7954+G7944+G7934</f>
        <v>45835</v>
      </c>
    </row>
    <row r="7983" spans="1:7" x14ac:dyDescent="0.25">
      <c r="A7983" s="59"/>
      <c r="B7983" s="60"/>
      <c r="C7983" s="60"/>
      <c r="D7983" s="60"/>
      <c r="E7983" s="57"/>
      <c r="F7983" s="57"/>
      <c r="G7983" s="58"/>
    </row>
    <row r="7984" spans="1:7" x14ac:dyDescent="0.25">
      <c r="A7984" s="64"/>
      <c r="D7984" s="55"/>
      <c r="E7984" s="49" t="s">
        <v>25</v>
      </c>
      <c r="F7984" s="54">
        <v>0.15</v>
      </c>
      <c r="G7984" s="51">
        <f>G7982*F7984</f>
        <v>6875.25</v>
      </c>
    </row>
    <row r="7985" spans="1:13" x14ac:dyDescent="0.25">
      <c r="A7985" s="64"/>
      <c r="D7985" s="55"/>
      <c r="E7985" s="49" t="s">
        <v>26</v>
      </c>
      <c r="F7985" s="54">
        <v>0.05</v>
      </c>
      <c r="G7985" s="51">
        <f>G7982*F7985</f>
        <v>2291.75</v>
      </c>
    </row>
    <row r="7986" spans="1:13" x14ac:dyDescent="0.25">
      <c r="A7986" s="61"/>
      <c r="B7986" s="65"/>
      <c r="C7986" s="65"/>
      <c r="D7986" s="62"/>
      <c r="E7986" s="49" t="s">
        <v>27</v>
      </c>
      <c r="F7986" s="54">
        <v>0.05</v>
      </c>
      <c r="G7986" s="51">
        <f>G7982*F7986</f>
        <v>2291.75</v>
      </c>
    </row>
    <row r="7987" spans="1:13" x14ac:dyDescent="0.25">
      <c r="A7987" s="61"/>
      <c r="B7987" s="62"/>
      <c r="C7987" s="62"/>
      <c r="D7987" s="62"/>
      <c r="E7987" s="62"/>
      <c r="F7987" s="62"/>
      <c r="G7987" s="63"/>
    </row>
    <row r="7988" spans="1:13" x14ac:dyDescent="0.25">
      <c r="A7988" s="219" t="s">
        <v>101</v>
      </c>
      <c r="B7988" s="219"/>
      <c r="C7988" s="219"/>
      <c r="D7988" s="219"/>
      <c r="E7988" s="219"/>
      <c r="F7988" s="219"/>
      <c r="G7988" s="52">
        <f>G7982+G7984+G7985+G7986</f>
        <v>57293.75</v>
      </c>
    </row>
    <row r="7989" spans="1:13" x14ac:dyDescent="0.25">
      <c r="A7989" s="59"/>
      <c r="B7989" s="60"/>
      <c r="C7989" s="60"/>
      <c r="D7989" s="60"/>
      <c r="E7989" s="57"/>
      <c r="F7989" s="57"/>
      <c r="G7989" s="58"/>
    </row>
    <row r="7990" spans="1:13" x14ac:dyDescent="0.25">
      <c r="A7990" s="64"/>
      <c r="D7990" s="55"/>
      <c r="E7990" s="49" t="s">
        <v>102</v>
      </c>
      <c r="F7990" s="49" t="s">
        <v>103</v>
      </c>
      <c r="G7990" s="51">
        <f>G7986*19%</f>
        <v>435.4325</v>
      </c>
    </row>
    <row r="7991" spans="1:13" x14ac:dyDescent="0.25">
      <c r="A7991" s="61"/>
      <c r="B7991" s="62"/>
      <c r="C7991" s="62"/>
      <c r="D7991" s="62"/>
      <c r="E7991" s="57"/>
      <c r="F7991" s="57"/>
      <c r="G7991" s="58"/>
    </row>
    <row r="7992" spans="1:13" x14ac:dyDescent="0.25">
      <c r="A7992" s="219" t="s">
        <v>104</v>
      </c>
      <c r="B7992" s="219"/>
      <c r="C7992" s="219"/>
      <c r="D7992" s="219"/>
      <c r="E7992" s="219"/>
      <c r="F7992" s="219"/>
      <c r="G7992" s="52">
        <f>G7990+G7988</f>
        <v>57729.182500000003</v>
      </c>
    </row>
    <row r="7994" spans="1:13" x14ac:dyDescent="0.25">
      <c r="A7994" s="74" t="s">
        <v>29</v>
      </c>
      <c r="B7994" s="226" t="s">
        <v>30</v>
      </c>
      <c r="C7994" s="226"/>
      <c r="D7994" s="74" t="s">
        <v>31</v>
      </c>
      <c r="E7994" s="74" t="s">
        <v>32</v>
      </c>
      <c r="F7994" s="74" t="s">
        <v>189</v>
      </c>
      <c r="G7994" s="74" t="s">
        <v>33</v>
      </c>
      <c r="H7994" s="105"/>
    </row>
    <row r="7995" spans="1:13" x14ac:dyDescent="0.25">
      <c r="A7995" s="50" t="str">
        <f>Presupuesto!B150</f>
        <v>127_OC</v>
      </c>
      <c r="B7995" s="229" t="str">
        <f>Presupuesto!C150</f>
        <v>VIGA  DE CIMENTACION 25 X 25 CM</v>
      </c>
      <c r="C7995" s="230"/>
      <c r="D7995" s="50" t="s">
        <v>114</v>
      </c>
      <c r="E7995" s="107">
        <v>20</v>
      </c>
      <c r="F7995" s="50"/>
      <c r="G7995" s="51">
        <f>G8060</f>
        <v>161956.58600000001</v>
      </c>
      <c r="H7995" s="111"/>
    </row>
    <row r="7996" spans="1:13" x14ac:dyDescent="0.25">
      <c r="A7996" s="219" t="s">
        <v>34</v>
      </c>
      <c r="B7996" s="219"/>
      <c r="C7996" s="219"/>
      <c r="D7996" s="219"/>
      <c r="E7996" s="219"/>
      <c r="F7996" s="219"/>
      <c r="G7996" s="219"/>
    </row>
    <row r="7997" spans="1:13" x14ac:dyDescent="0.25">
      <c r="A7997" s="49" t="s">
        <v>35</v>
      </c>
      <c r="B7997" s="219" t="s">
        <v>36</v>
      </c>
      <c r="C7997" s="219"/>
      <c r="D7997" s="49" t="s">
        <v>37</v>
      </c>
      <c r="E7997" s="49" t="s">
        <v>38</v>
      </c>
      <c r="F7997" s="49" t="s">
        <v>39</v>
      </c>
      <c r="G7997" s="49" t="s">
        <v>40</v>
      </c>
      <c r="K7997" s="23"/>
      <c r="L7997" s="23"/>
    </row>
    <row r="7998" spans="1:13" x14ac:dyDescent="0.25">
      <c r="A7998" s="50" t="str">
        <f>Material!A218</f>
        <v>MA-217</v>
      </c>
      <c r="B7998" s="72" t="str">
        <f>IFERROR(VLOOKUP(A7998,Material!$A:$H,2,0),"-")</f>
        <v>FORMALETA EN MADERA CON TABLA DE 1"</v>
      </c>
      <c r="C7998" s="76"/>
      <c r="D7998" s="50" t="str">
        <f>IFERROR(VLOOKUP(A7998,Material!$A:$H,4,0),"-")</f>
        <v>M2</v>
      </c>
      <c r="E7998" s="107">
        <v>5.4000000000000003E-3</v>
      </c>
      <c r="F7998" s="51">
        <f>IFERROR(VLOOKUP(A7998,Material!$A:$H,3,0),"-")</f>
        <v>24691.116165303549</v>
      </c>
      <c r="G7998" s="51">
        <f t="shared" ref="G7998:G8000" si="114">IFERROR(ROUNDUP(F7998*E7998,0),"-")</f>
        <v>134</v>
      </c>
      <c r="H7998" s="112"/>
      <c r="I7998" s="110"/>
      <c r="J7998" s="113"/>
      <c r="K7998" s="114"/>
      <c r="L7998" s="115"/>
      <c r="M7998" s="115"/>
    </row>
    <row r="7999" spans="1:13" x14ac:dyDescent="0.25">
      <c r="A7999" s="50" t="str">
        <f>Material!A15</f>
        <v>MA-14</v>
      </c>
      <c r="B7999" s="72" t="str">
        <f>IFERROR(VLOOKUP(A7999,Material!$A:$H,2,0),"-")</f>
        <v>CONCRETO DE 3000 PSI</v>
      </c>
      <c r="C7999" s="76"/>
      <c r="D7999" s="50" t="str">
        <f>IFERROR(VLOOKUP(A7999,Material!$A:$H,4,0),"-")</f>
        <v>M3</v>
      </c>
      <c r="E7999" s="107">
        <f>0.0625</f>
        <v>6.25E-2</v>
      </c>
      <c r="F7999" s="51">
        <f>IFERROR(VLOOKUP(A7999,Material!$A:$H,3,0),"-")</f>
        <v>620227.23330691375</v>
      </c>
      <c r="G7999" s="51">
        <f t="shared" si="114"/>
        <v>38765</v>
      </c>
      <c r="H7999" s="112"/>
      <c r="I7999" s="110"/>
      <c r="J7999" s="113"/>
      <c r="K7999" s="114"/>
      <c r="L7999" s="115"/>
      <c r="M7999" s="115"/>
    </row>
    <row r="8000" spans="1:13" x14ac:dyDescent="0.25">
      <c r="A8000" s="50" t="str">
        <f>Material!A587</f>
        <v>MA-586</v>
      </c>
      <c r="B8000" s="72" t="str">
        <f>IFERROR(VLOOKUP(A8000,Material!$A:$H,2,0),"-")</f>
        <v>ACERO Fy= 420 MPa</v>
      </c>
      <c r="C8000" s="76"/>
      <c r="D8000" s="50" t="str">
        <f>IFERROR(VLOOKUP(A8000,Material!$A:$H,4,0),"-")</f>
        <v>KG</v>
      </c>
      <c r="E8000" s="107">
        <v>6.6</v>
      </c>
      <c r="F8000" s="51">
        <f>IFERROR(VLOOKUP(A8000,Material!$A:$H,3,0),"-")</f>
        <v>6962.8</v>
      </c>
      <c r="G8000" s="51">
        <f t="shared" si="114"/>
        <v>45955</v>
      </c>
      <c r="H8000" s="112"/>
      <c r="I8000" s="110"/>
      <c r="J8000" s="113"/>
      <c r="K8000" s="114"/>
      <c r="L8000" s="115"/>
      <c r="M8000" s="115"/>
    </row>
    <row r="8001" spans="1:13" x14ac:dyDescent="0.25">
      <c r="A8001" s="50"/>
      <c r="B8001" s="72"/>
      <c r="C8001" s="76"/>
      <c r="D8001" s="50"/>
      <c r="E8001" s="107"/>
      <c r="F8001" s="51"/>
      <c r="G8001" s="51"/>
      <c r="H8001" s="112"/>
      <c r="I8001" s="110"/>
      <c r="J8001" s="113"/>
      <c r="K8001" s="114"/>
      <c r="L8001" s="115"/>
      <c r="M8001" s="115"/>
    </row>
    <row r="8002" spans="1:13" x14ac:dyDescent="0.25">
      <c r="A8002" s="219" t="s">
        <v>41</v>
      </c>
      <c r="B8002" s="219"/>
      <c r="C8002" s="219"/>
      <c r="D8002" s="219"/>
      <c r="E8002" s="219"/>
      <c r="F8002" s="219"/>
      <c r="G8002" s="52">
        <f>SUM(G7998:G8001)</f>
        <v>84854</v>
      </c>
      <c r="I8002" s="104"/>
    </row>
    <row r="8003" spans="1:13" x14ac:dyDescent="0.25">
      <c r="A8003" s="56"/>
      <c r="B8003" s="57"/>
      <c r="C8003" s="57"/>
      <c r="D8003" s="57"/>
      <c r="E8003" s="57"/>
      <c r="F8003" s="57"/>
      <c r="G8003" s="58"/>
    </row>
    <row r="8004" spans="1:13" x14ac:dyDescent="0.25">
      <c r="A8004" s="219" t="s">
        <v>42</v>
      </c>
      <c r="B8004" s="219"/>
      <c r="C8004" s="219"/>
      <c r="D8004" s="219"/>
      <c r="E8004" s="219"/>
      <c r="F8004" s="219"/>
      <c r="G8004" s="219"/>
    </row>
    <row r="8005" spans="1:13" x14ac:dyDescent="0.25">
      <c r="A8005" s="49" t="s">
        <v>35</v>
      </c>
      <c r="B8005" s="49" t="s">
        <v>36</v>
      </c>
      <c r="C8005" s="49" t="s">
        <v>38</v>
      </c>
      <c r="D8005" s="49" t="s">
        <v>43</v>
      </c>
      <c r="E8005" s="49" t="s">
        <v>44</v>
      </c>
      <c r="F8005" s="49" t="s">
        <v>45</v>
      </c>
      <c r="G8005" s="49" t="s">
        <v>40</v>
      </c>
    </row>
    <row r="8006" spans="1:13" x14ac:dyDescent="0.25">
      <c r="A8006" s="50" t="s">
        <v>319</v>
      </c>
      <c r="B8006" s="68" t="str">
        <f>VLOOKUP(A8006,'Componentes APUs'!$H$1:$L$25,2,0)</f>
        <v>Ingeniero Residente de Obra</v>
      </c>
      <c r="C8006" s="93">
        <v>0.25</v>
      </c>
      <c r="D8006" s="50">
        <f>VLOOKUP(A8006,'Componentes APUs'!$H$1:$L$25,3,0)</f>
        <v>4</v>
      </c>
      <c r="E8006" s="51">
        <f>VLOOKUP(A8006,'Componentes APUs'!$H$1:$L$25,4,0)</f>
        <v>271142.85714285716</v>
      </c>
      <c r="F8006" s="51">
        <f>VLOOKUP(A8006,'Componentes APUs'!$H$1:$L$25,5,0)</f>
        <v>162685.71428571429</v>
      </c>
      <c r="G8006" s="51">
        <f>ROUNDUP((E8006+F8006)*C8006/E7995,0)</f>
        <v>5423</v>
      </c>
      <c r="H8006" s="66"/>
    </row>
    <row r="8007" spans="1:13" x14ac:dyDescent="0.25">
      <c r="A8007" s="50" t="s">
        <v>320</v>
      </c>
      <c r="B8007" s="68" t="str">
        <f>VLOOKUP(A8007,'Componentes APUs'!$H$1:$L$25,2,0)</f>
        <v>Tecnico Supervisor</v>
      </c>
      <c r="C8007" s="93">
        <v>0</v>
      </c>
      <c r="D8007" s="50">
        <f>VLOOKUP(A8007,'Componentes APUs'!$H$1:$L$25,3,0)</f>
        <v>2.2999999999999998</v>
      </c>
      <c r="E8007" s="51">
        <f>VLOOKUP(A8007,'Componentes APUs'!$H$1:$L$25,4,0)</f>
        <v>155907.14285714284</v>
      </c>
      <c r="F8007" s="51">
        <f>VLOOKUP(A8007,'Componentes APUs'!$H$1:$L$25,5,0)</f>
        <v>93544.285714285696</v>
      </c>
      <c r="G8007" s="51">
        <f>ROUNDUP((E8007+F8007)*C8007/E7995,0)</f>
        <v>0</v>
      </c>
    </row>
    <row r="8008" spans="1:13" x14ac:dyDescent="0.25">
      <c r="A8008" s="50" t="s">
        <v>54</v>
      </c>
      <c r="B8008" s="68" t="str">
        <f>VLOOKUP(A8008,'Componentes APUs'!$H$1:$L$25,2,0)</f>
        <v>Maestro de obra civil</v>
      </c>
      <c r="C8008" s="93">
        <v>0</v>
      </c>
      <c r="D8008" s="50">
        <f>VLOOKUP(A8008,'Componentes APUs'!$H$1:$L$25,3,0)</f>
        <v>2.5</v>
      </c>
      <c r="E8008" s="51">
        <f>VLOOKUP(A8008,'Componentes APUs'!$H$1:$L$25,4,0)</f>
        <v>169464.28571428571</v>
      </c>
      <c r="F8008" s="51">
        <f>VLOOKUP(A8008,'Componentes APUs'!$H$1:$L$25,5,0)</f>
        <v>101678.57142857142</v>
      </c>
      <c r="G8008" s="51">
        <f>ROUNDUP((E8008+F8008)*C8008/E7995,0)</f>
        <v>0</v>
      </c>
    </row>
    <row r="8009" spans="1:13" x14ac:dyDescent="0.25">
      <c r="A8009" s="50" t="s">
        <v>1110</v>
      </c>
      <c r="B8009" s="68" t="str">
        <f>VLOOKUP(A8009,'Componentes APUs'!$H$1:$L$25,2,0)</f>
        <v>Oficial de Obra Civil</v>
      </c>
      <c r="C8009" s="93">
        <v>1</v>
      </c>
      <c r="D8009" s="50">
        <f>VLOOKUP(A8009,'Componentes APUs'!$H$1:$L$25,3,0)</f>
        <v>1.5</v>
      </c>
      <c r="E8009" s="51">
        <f>VLOOKUP(A8009,'Componentes APUs'!$H$1:$L$25,4,0)</f>
        <v>115964.28571428571</v>
      </c>
      <c r="F8009" s="51">
        <f>VLOOKUP(A8009,'Componentes APUs'!$H$1:$L$25,5,0)</f>
        <v>69578.57142857142</v>
      </c>
      <c r="G8009" s="51">
        <f>ROUNDUP((E8009+F8009)*C8009/E7995,0)</f>
        <v>9278</v>
      </c>
    </row>
    <row r="8010" spans="1:13" x14ac:dyDescent="0.25">
      <c r="A8010" s="50" t="s">
        <v>50</v>
      </c>
      <c r="B8010" s="68" t="str">
        <f>VLOOKUP(A8010,'Componentes APUs'!$H$1:$L$25,2,0)</f>
        <v>Profesional en SST</v>
      </c>
      <c r="C8010" s="93">
        <v>0.25</v>
      </c>
      <c r="D8010" s="50">
        <f>VLOOKUP(A8010,'Componentes APUs'!$H$1:$L$25,3,0)</f>
        <v>2.5</v>
      </c>
      <c r="E8010" s="51">
        <f>VLOOKUP(A8010,'Componentes APUs'!$H$1:$L$25,4,0)</f>
        <v>169464.28571428571</v>
      </c>
      <c r="F8010" s="51">
        <f>VLOOKUP(A8010,'Componentes APUs'!$H$1:$L$25,5,0)</f>
        <v>101678.57142857142</v>
      </c>
      <c r="G8010" s="51">
        <f>ROUNDUP((E8010+F8010)*C8010/E7995,0)</f>
        <v>3390</v>
      </c>
    </row>
    <row r="8011" spans="1:13" x14ac:dyDescent="0.25">
      <c r="A8011" s="50" t="s">
        <v>1109</v>
      </c>
      <c r="B8011" s="68" t="str">
        <f>VLOOKUP(A8011,'Componentes APUs'!$H$1:$L$25,2,0)</f>
        <v>Ayudante de Obra Civil</v>
      </c>
      <c r="C8011" s="93">
        <v>4</v>
      </c>
      <c r="D8011" s="50">
        <f>VLOOKUP(A8011,'Componentes APUs'!$H$1:$L$25,3,0)</f>
        <v>1</v>
      </c>
      <c r="E8011" s="51">
        <f>VLOOKUP(A8011,'Componentes APUs'!$H$1:$L$25,4,0)</f>
        <v>77309.523809523816</v>
      </c>
      <c r="F8011" s="51">
        <f>VLOOKUP(A8011,'Componentes APUs'!$H$1:$L$25,5,0)</f>
        <v>46385.71428571429</v>
      </c>
      <c r="G8011" s="51">
        <f>ROUNDUP((E8011+F8011)*C8011/E7995,0)</f>
        <v>24740</v>
      </c>
    </row>
    <row r="8012" spans="1:13" x14ac:dyDescent="0.25">
      <c r="A8012" s="219" t="s">
        <v>56</v>
      </c>
      <c r="B8012" s="219"/>
      <c r="C8012" s="219"/>
      <c r="D8012" s="219"/>
      <c r="E8012" s="219"/>
      <c r="F8012" s="219"/>
      <c r="G8012" s="52">
        <f>SUM(G8006:G8011)</f>
        <v>42831</v>
      </c>
    </row>
    <row r="8013" spans="1:13" x14ac:dyDescent="0.25">
      <c r="A8013" s="56"/>
      <c r="B8013" s="57"/>
      <c r="C8013" s="57"/>
      <c r="D8013" s="57"/>
      <c r="E8013" s="57"/>
      <c r="F8013" s="57"/>
      <c r="G8013" s="58"/>
    </row>
    <row r="8014" spans="1:13" x14ac:dyDescent="0.25">
      <c r="A8014" s="219" t="s">
        <v>57</v>
      </c>
      <c r="B8014" s="219"/>
      <c r="C8014" s="219"/>
      <c r="D8014" s="219"/>
      <c r="E8014" s="219"/>
      <c r="F8014" s="219"/>
      <c r="G8014" s="219"/>
    </row>
    <row r="8015" spans="1:13" x14ac:dyDescent="0.25">
      <c r="A8015" s="49" t="s">
        <v>35</v>
      </c>
      <c r="B8015" s="219" t="s">
        <v>36</v>
      </c>
      <c r="C8015" s="219"/>
      <c r="D8015" s="49" t="s">
        <v>37</v>
      </c>
      <c r="E8015" s="49" t="s">
        <v>38</v>
      </c>
      <c r="F8015" s="49" t="s">
        <v>39</v>
      </c>
      <c r="G8015" s="49" t="s">
        <v>40</v>
      </c>
    </row>
    <row r="8016" spans="1:13" x14ac:dyDescent="0.25">
      <c r="A8016" s="50" t="s">
        <v>326</v>
      </c>
      <c r="B8016" s="220" t="str">
        <f>VLOOKUP(A8016,'Componentes APUs'!$S$1:$V$10,2,0)</f>
        <v>Juego Llaves</v>
      </c>
      <c r="C8016" s="220"/>
      <c r="D8016" s="50" t="s">
        <v>18</v>
      </c>
      <c r="E8016" s="50">
        <v>0</v>
      </c>
      <c r="F8016" s="51">
        <f>VLOOKUP(A8016,'Componentes APUs'!$S$1:$V$10,4,0)</f>
        <v>9167</v>
      </c>
      <c r="G8016" s="51">
        <f>ROUNDUP(F8016*((E8016/21)/E7995),0)</f>
        <v>0</v>
      </c>
      <c r="I8016" s="91"/>
    </row>
    <row r="8017" spans="1:9" x14ac:dyDescent="0.25">
      <c r="A8017" s="50" t="s">
        <v>58</v>
      </c>
      <c r="B8017" s="220" t="str">
        <f>VLOOKUP(A8017,'Componentes APUs'!$S$1:$V$10,2,0)</f>
        <v>Manila de servicio</v>
      </c>
      <c r="C8017" s="220"/>
      <c r="D8017" s="50" t="s">
        <v>18</v>
      </c>
      <c r="E8017" s="50">
        <v>0</v>
      </c>
      <c r="F8017" s="51">
        <f>VLOOKUP(A8017,'Componentes APUs'!$S$1:$V$10,4,0)</f>
        <v>2333</v>
      </c>
      <c r="G8017" s="51">
        <f>ROUNDUP(F8017*((E8017/21)/E7995),0)</f>
        <v>0</v>
      </c>
    </row>
    <row r="8018" spans="1:9" x14ac:dyDescent="0.25">
      <c r="A8018" s="50" t="s">
        <v>327</v>
      </c>
      <c r="B8018" s="220" t="str">
        <f>VLOOKUP(A8018,'Componentes APUs'!$S$1:$V$10,2,0)</f>
        <v>Tula portaherramientas</v>
      </c>
      <c r="C8018" s="220"/>
      <c r="D8018" s="50" t="s">
        <v>18</v>
      </c>
      <c r="E8018" s="50">
        <v>0</v>
      </c>
      <c r="F8018" s="51">
        <f>VLOOKUP(A8018,'Componentes APUs'!$S$1:$V$10,4,0)</f>
        <v>1250</v>
      </c>
      <c r="G8018" s="51">
        <f>ROUNDUP(F8018*((E8018/21)/E7995),0)</f>
        <v>0</v>
      </c>
    </row>
    <row r="8019" spans="1:9" x14ac:dyDescent="0.25">
      <c r="A8019" s="50" t="s">
        <v>60</v>
      </c>
      <c r="B8019" s="220" t="str">
        <f>VLOOKUP(A8019,'Componentes APUs'!$S$1:$V$10,2,0)</f>
        <v>Agarradoras</v>
      </c>
      <c r="C8019" s="220"/>
      <c r="D8019" s="50" t="s">
        <v>18</v>
      </c>
      <c r="E8019" s="50">
        <v>0</v>
      </c>
      <c r="F8019" s="51">
        <f>VLOOKUP(A8019,'Componentes APUs'!$S$1:$V$10,4,0)</f>
        <v>125000</v>
      </c>
      <c r="G8019" s="51">
        <f>ROUNDUP(F8019*((E8019/21)/E7995),0)</f>
        <v>0</v>
      </c>
    </row>
    <row r="8020" spans="1:9" x14ac:dyDescent="0.25">
      <c r="A8020" s="50" t="s">
        <v>62</v>
      </c>
      <c r="B8020" s="220" t="str">
        <f>VLOOKUP(A8020,'Componentes APUs'!$S$1:$V$10,2,0)</f>
        <v>Templadoras</v>
      </c>
      <c r="C8020" s="220"/>
      <c r="D8020" s="50" t="s">
        <v>18</v>
      </c>
      <c r="E8020" s="50">
        <v>0</v>
      </c>
      <c r="F8020" s="51">
        <f>VLOOKUP(A8020,'Componentes APUs'!$S$1:$V$10,4,0)</f>
        <v>250000</v>
      </c>
      <c r="G8020" s="51">
        <f>ROUNDUP(F8020*((E8020/21)/E7995),0)</f>
        <v>0</v>
      </c>
    </row>
    <row r="8021" spans="1:9" x14ac:dyDescent="0.25">
      <c r="A8021" s="50" t="s">
        <v>328</v>
      </c>
      <c r="B8021" s="220" t="str">
        <f>VLOOKUP(A8021,'Componentes APUs'!$S$1:$V$10,2,0)</f>
        <v>Herramienta Menor</v>
      </c>
      <c r="C8021" s="220"/>
      <c r="D8021" s="50" t="s">
        <v>18</v>
      </c>
      <c r="E8021" s="50">
        <v>1.2</v>
      </c>
      <c r="F8021" s="51">
        <f>VLOOKUP(A8021,'Componentes APUs'!$S$1:$V$10,4,0)</f>
        <v>75758</v>
      </c>
      <c r="G8021" s="51">
        <f>ROUNDUP(F8021*((E8021/21)/E7995),0)</f>
        <v>217</v>
      </c>
    </row>
    <row r="8022" spans="1:9" x14ac:dyDescent="0.25">
      <c r="A8022" s="219" t="s">
        <v>69</v>
      </c>
      <c r="B8022" s="219"/>
      <c r="C8022" s="219"/>
      <c r="D8022" s="219"/>
      <c r="E8022" s="219"/>
      <c r="F8022" s="219"/>
      <c r="G8022" s="52">
        <f>SUM(G8016:G8021)</f>
        <v>217</v>
      </c>
    </row>
    <row r="8023" spans="1:9" x14ac:dyDescent="0.25">
      <c r="A8023" s="56"/>
      <c r="B8023" s="57"/>
      <c r="C8023" s="57"/>
      <c r="D8023" s="57"/>
      <c r="E8023" s="57"/>
      <c r="F8023" s="57"/>
      <c r="G8023" s="58"/>
    </row>
    <row r="8024" spans="1:9" x14ac:dyDescent="0.25">
      <c r="A8024" s="219" t="s">
        <v>70</v>
      </c>
      <c r="B8024" s="219"/>
      <c r="C8024" s="219"/>
      <c r="D8024" s="219"/>
      <c r="E8024" s="219"/>
      <c r="F8024" s="219"/>
      <c r="G8024" s="219"/>
    </row>
    <row r="8025" spans="1:9" x14ac:dyDescent="0.25">
      <c r="A8025" s="49" t="s">
        <v>35</v>
      </c>
      <c r="B8025" s="219" t="s">
        <v>36</v>
      </c>
      <c r="C8025" s="219"/>
      <c r="D8025" s="49" t="s">
        <v>37</v>
      </c>
      <c r="E8025" s="49" t="s">
        <v>38</v>
      </c>
      <c r="F8025" s="49" t="s">
        <v>39</v>
      </c>
      <c r="G8025" s="49" t="s">
        <v>40</v>
      </c>
    </row>
    <row r="8026" spans="1:9" x14ac:dyDescent="0.25">
      <c r="A8026" s="50" t="s">
        <v>71</v>
      </c>
      <c r="B8026" s="71" t="str">
        <f>VLOOKUP(A8026,'Componentes APUs'!$A$1:$D$14,2,0)</f>
        <v>Camisa indigo sin partes metalicas</v>
      </c>
      <c r="C8026" s="71"/>
      <c r="D8026" s="50" t="str">
        <f>VLOOKUP(A8026,'Componentes APUs'!$A$1:$D$14,3,0)</f>
        <v>U</v>
      </c>
      <c r="E8026" s="50">
        <f>SUM(C8006:C8011)</f>
        <v>5.5</v>
      </c>
      <c r="F8026" s="51">
        <f>VLOOKUP(A8026,'Componentes APUs'!$A$1:$D$14,4,0)</f>
        <v>8585.8585858585866</v>
      </c>
      <c r="G8026" s="51">
        <f>ROUNDUP(F8026*(E8026/21)/E7995,0)</f>
        <v>113</v>
      </c>
      <c r="I8026" s="91"/>
    </row>
    <row r="8027" spans="1:9" x14ac:dyDescent="0.25">
      <c r="A8027" s="69" t="s">
        <v>73</v>
      </c>
      <c r="B8027" s="72" t="str">
        <f>VLOOKUP(A8027,'Componentes APUs'!$A$1:$D$14,2,0)</f>
        <v>Bota de seguridad dielectrica</v>
      </c>
      <c r="C8027" s="73"/>
      <c r="D8027" s="70" t="str">
        <f>VLOOKUP(A8027,'Componentes APUs'!$A$1:$D$14,3,0)</f>
        <v>Par</v>
      </c>
      <c r="E8027" s="50">
        <f>SUM(C8006:C8011)</f>
        <v>5.5</v>
      </c>
      <c r="F8027" s="51">
        <f>VLOOKUP(A8027,'Componentes APUs'!$A$1:$D$14,4,0)</f>
        <v>7500</v>
      </c>
      <c r="G8027" s="51">
        <f>ROUNDUP(F8027*(E8027/21)/E7995,0)</f>
        <v>99</v>
      </c>
    </row>
    <row r="8028" spans="1:9" x14ac:dyDescent="0.25">
      <c r="A8028" s="50" t="s">
        <v>76</v>
      </c>
      <c r="B8028" s="72" t="str">
        <f>VLOOKUP(A8028,'Componentes APUs'!$A$1:$D$14,2,0)</f>
        <v>Casco dielectrico Tipo 1 Clase E con barbuquejo</v>
      </c>
      <c r="C8028" s="73"/>
      <c r="D8028" s="50" t="str">
        <f>VLOOKUP(A8028,'Componentes APUs'!$A$1:$D$14,3,0)</f>
        <v>U</v>
      </c>
      <c r="E8028" s="50">
        <f>C8006+C8007+C8009+C8010+C8011+IF(A8008&lt;&gt;"MO-3",C8008,0)</f>
        <v>5.5</v>
      </c>
      <c r="F8028" s="51">
        <f>VLOOKUP(A8028,'Componentes APUs'!$A$1:$D$14,4,0)</f>
        <v>10101.010101010101</v>
      </c>
      <c r="G8028" s="51">
        <f>ROUNDUP(F8028*(E8028/21)/E7995,0)</f>
        <v>133</v>
      </c>
    </row>
    <row r="8029" spans="1:9" x14ac:dyDescent="0.25">
      <c r="A8029" s="69" t="s">
        <v>77</v>
      </c>
      <c r="B8029" s="72" t="str">
        <f>VLOOKUP(A8029,'Componentes APUs'!$A$1:$D$14,2,0)</f>
        <v>Correa plastica y antiflama</v>
      </c>
      <c r="C8029" s="73"/>
      <c r="D8029" s="50" t="str">
        <f>VLOOKUP(A8029,'Componentes APUs'!$A$1:$D$14,3,0)</f>
        <v>U</v>
      </c>
      <c r="E8029" s="50">
        <f>SUM(C8006:C8011)</f>
        <v>5.5</v>
      </c>
      <c r="F8029" s="51">
        <f>VLOOKUP(A8029,'Componentes APUs'!$A$1:$D$14,4,0)</f>
        <v>3787.878787878788</v>
      </c>
      <c r="G8029" s="51">
        <f>ROUNDUP(F8029*(E8029/21)/E7995,0)</f>
        <v>50</v>
      </c>
    </row>
    <row r="8030" spans="1:9" x14ac:dyDescent="0.25">
      <c r="A8030" s="50" t="s">
        <v>79</v>
      </c>
      <c r="B8030" s="72" t="str">
        <f>VLOOKUP(A8030,'Componentes APUs'!$A$1:$D$14,2,0)</f>
        <v>Gafas protectoras filtro UV</v>
      </c>
      <c r="C8030" s="73"/>
      <c r="D8030" s="50" t="str">
        <f>VLOOKUP(A8030,'Componentes APUs'!$A$1:$D$14,3,0)</f>
        <v>U</v>
      </c>
      <c r="E8030" s="50">
        <f>SUM(C8006:C8011)</f>
        <v>5.5</v>
      </c>
      <c r="F8030" s="51">
        <f>VLOOKUP(A8030,'Componentes APUs'!$A$1:$D$14,4,0)</f>
        <v>2777.7777777777778</v>
      </c>
      <c r="G8030" s="51">
        <f>ROUNDUP(F8030*(E8030/21)/E7995,0)</f>
        <v>37</v>
      </c>
    </row>
    <row r="8031" spans="1:9" x14ac:dyDescent="0.25">
      <c r="A8031" s="69" t="s">
        <v>402</v>
      </c>
      <c r="B8031" s="72" t="str">
        <f>VLOOKUP(A8031,'Componentes APUs'!$A$1:$D$14,2,0)</f>
        <v>Bota de seguridad PVC dielectrica</v>
      </c>
      <c r="C8031" s="73"/>
      <c r="D8031" s="50" t="str">
        <f>VLOOKUP(A8031,'Componentes APUs'!$A$1:$D$14,3,0)</f>
        <v>Par</v>
      </c>
      <c r="E8031" s="50">
        <f>SUM(C8006:C8011)</f>
        <v>5.5</v>
      </c>
      <c r="F8031" s="51">
        <f>VLOOKUP(A8031,'Componentes APUs'!$A$1:$D$14,4,0)</f>
        <v>2916.6666666666665</v>
      </c>
      <c r="G8031" s="51">
        <f>ROUNDUP(F8031*(E8031/21)/E7995,0)</f>
        <v>39</v>
      </c>
    </row>
    <row r="8032" spans="1:9" x14ac:dyDescent="0.25">
      <c r="A8032" s="50" t="s">
        <v>403</v>
      </c>
      <c r="B8032" s="72" t="str">
        <f>VLOOKUP(A8032,'Componentes APUs'!$A$1:$D$14,2,0)</f>
        <v>Capuchon</v>
      </c>
      <c r="C8032" s="73"/>
      <c r="D8032" s="50" t="str">
        <f>VLOOKUP(A8032,'Componentes APUs'!$A$1:$D$14,3,0)</f>
        <v>U</v>
      </c>
      <c r="E8032" s="50">
        <f>SUM(C8006:C8011)</f>
        <v>5.5</v>
      </c>
      <c r="F8032" s="51">
        <f>VLOOKUP(A8032,'Componentes APUs'!$A$1:$D$14,4,0)</f>
        <v>2525.2525252525252</v>
      </c>
      <c r="G8032" s="51">
        <f>ROUNDUP(F8032*(E8032/21)/E7995,0)</f>
        <v>34</v>
      </c>
    </row>
    <row r="8033" spans="1:7" x14ac:dyDescent="0.25">
      <c r="A8033" s="69" t="s">
        <v>81</v>
      </c>
      <c r="B8033" s="72" t="str">
        <f>VLOOKUP(A8033,'Componentes APUs'!$A$1:$D$14,2,0)</f>
        <v>Guantes Protectores  - ingeniero reforzados</v>
      </c>
      <c r="C8033" s="73"/>
      <c r="D8033" s="50" t="str">
        <f>VLOOKUP(A8033,'Componentes APUs'!$A$1:$D$14,3,0)</f>
        <v>Par</v>
      </c>
      <c r="E8033" s="50">
        <f>C8008+C8009+C8011</f>
        <v>5</v>
      </c>
      <c r="F8033" s="51">
        <f>VLOOKUP(A8033,'Componentes APUs'!$A$1:$D$14,4,0)</f>
        <v>2525.2525252525252</v>
      </c>
      <c r="G8033" s="51">
        <f>ROUNDUP(F8033*(E8033/21)/E7995,0)</f>
        <v>31</v>
      </c>
    </row>
    <row r="8034" spans="1:7" x14ac:dyDescent="0.25">
      <c r="A8034" s="50" t="s">
        <v>83</v>
      </c>
      <c r="B8034" s="72" t="str">
        <f>VLOOKUP(A8034,'Componentes APUs'!$A$1:$D$14,2,0)</f>
        <v>Impermeable (pantalon camisa)</v>
      </c>
      <c r="C8034" s="73"/>
      <c r="D8034" s="50" t="str">
        <f>VLOOKUP(A8034,'Componentes APUs'!$A$1:$D$14,3,0)</f>
        <v>U</v>
      </c>
      <c r="E8034" s="50">
        <f>SUM(C8006:C8011)</f>
        <v>5.5</v>
      </c>
      <c r="F8034" s="51">
        <f>VLOOKUP(A8034,'Componentes APUs'!$A$1:$D$14,4,0)</f>
        <v>3750</v>
      </c>
      <c r="G8034" s="51">
        <f>ROUNDUP(F8034*(E8034/21)/E7995,0)</f>
        <v>50</v>
      </c>
    </row>
    <row r="8035" spans="1:7" x14ac:dyDescent="0.25">
      <c r="A8035" s="69" t="s">
        <v>85</v>
      </c>
      <c r="B8035" s="72" t="str">
        <f>VLOOKUP(A8035,'Componentes APUs'!$A$1:$D$14,2,0)</f>
        <v>Jean Dielectrico</v>
      </c>
      <c r="C8035" s="73"/>
      <c r="D8035" s="50" t="str">
        <f>VLOOKUP(A8035,'Componentes APUs'!$A$1:$D$14,3,0)</f>
        <v>U</v>
      </c>
      <c r="E8035" s="50">
        <f>SUM(C8006:C8011)</f>
        <v>5.5</v>
      </c>
      <c r="F8035" s="51">
        <f>VLOOKUP(A8035,'Componentes APUs'!$A$1:$D$14,4,0)</f>
        <v>7575.757575757576</v>
      </c>
      <c r="G8035" s="51">
        <f>ROUNDUP(F8035*(E8035/21)/E7995,0)</f>
        <v>100</v>
      </c>
    </row>
    <row r="8036" spans="1:7" x14ac:dyDescent="0.25">
      <c r="A8036" s="50" t="s">
        <v>87</v>
      </c>
      <c r="B8036" s="72" t="str">
        <f>VLOOKUP(A8036,'Componentes APUs'!$A$1:$D$14,2,0)</f>
        <v>Casco dielectrico Tipo 2 Clase E con barboquejo</v>
      </c>
      <c r="C8036" s="73"/>
      <c r="D8036" s="50" t="str">
        <f>VLOOKUP(A8036,'Componentes APUs'!$A$1:$D$14,3,0)</f>
        <v>U</v>
      </c>
      <c r="E8036" s="53">
        <f>IF(A8008="MO-3",C8008,0)</f>
        <v>0</v>
      </c>
      <c r="F8036" s="51">
        <f>VLOOKUP(A8036,'Componentes APUs'!$A$1:$D$14,4,0)</f>
        <v>7500</v>
      </c>
      <c r="G8036" s="51">
        <f>ROUNDUP(F8036*(E8036/21)/E7995,0)</f>
        <v>0</v>
      </c>
    </row>
    <row r="8037" spans="1:7" x14ac:dyDescent="0.25">
      <c r="A8037" s="69" t="s">
        <v>89</v>
      </c>
      <c r="B8037" s="72" t="str">
        <f>VLOOKUP(A8037,'Componentes APUs'!$A$1:$D$14,2,0)</f>
        <v>Kit de rescate para trabajo en alturas</v>
      </c>
      <c r="C8037" s="73"/>
      <c r="D8037" s="50" t="str">
        <f>VLOOKUP(A8037,'Componentes APUs'!$A$1:$D$14,3,0)</f>
        <v>U</v>
      </c>
      <c r="E8037" s="50">
        <f>IF(AND(A8008="MO-3",C8008=2),1,0)</f>
        <v>0</v>
      </c>
      <c r="F8037" s="51">
        <f>VLOOKUP(A8037,'Componentes APUs'!$A$1:$D$14,4,0)</f>
        <v>37500</v>
      </c>
      <c r="G8037" s="51">
        <f>ROUNDUP(F8037*(E8037/21)/E7995,0)</f>
        <v>0</v>
      </c>
    </row>
    <row r="8038" spans="1:7" x14ac:dyDescent="0.25">
      <c r="A8038" s="50" t="s">
        <v>91</v>
      </c>
      <c r="B8038" s="72" t="str">
        <f>VLOOKUP(A8038,'Componentes APUs'!$A$1:$D$14,2,0)</f>
        <v>Equipo completo para trabajo en alturas con pretales (Arnes dielectrico, 1 mosqueton de seguridad, tie off dielectrico, eslinga de posicionamiento, juego de pretales)</v>
      </c>
      <c r="C8038" s="73"/>
      <c r="D8038" s="50" t="str">
        <f>VLOOKUP(A8038,'Componentes APUs'!$A$1:$D$14,3,0)</f>
        <v>U</v>
      </c>
      <c r="E8038" s="50">
        <f>IF(A8008="MO-3",C8008,0)</f>
        <v>0</v>
      </c>
      <c r="F8038" s="51">
        <f>VLOOKUP(A8038,'Componentes APUs'!$A$1:$D$14,4,0)</f>
        <v>26041.666666666668</v>
      </c>
      <c r="G8038" s="51">
        <f>ROUNDUP(F8038*(E8038/21)/E7995,0)</f>
        <v>0</v>
      </c>
    </row>
    <row r="8039" spans="1:7" x14ac:dyDescent="0.25">
      <c r="A8039" s="219" t="s">
        <v>95</v>
      </c>
      <c r="B8039" s="219"/>
      <c r="C8039" s="219"/>
      <c r="D8039" s="219"/>
      <c r="E8039" s="219"/>
      <c r="F8039" s="219"/>
      <c r="G8039" s="52">
        <f>SUM(G8026:G8038)</f>
        <v>686</v>
      </c>
    </row>
    <row r="8040" spans="1:7" x14ac:dyDescent="0.25">
      <c r="A8040" s="56"/>
      <c r="B8040" s="57"/>
      <c r="C8040" s="57"/>
      <c r="D8040" s="57"/>
      <c r="E8040" s="57"/>
      <c r="F8040" s="57"/>
      <c r="G8040" s="58"/>
    </row>
    <row r="8041" spans="1:7" x14ac:dyDescent="0.25">
      <c r="A8041" s="219" t="s">
        <v>96</v>
      </c>
      <c r="B8041" s="219"/>
      <c r="C8041" s="219"/>
      <c r="D8041" s="219"/>
      <c r="E8041" s="219"/>
      <c r="F8041" s="219"/>
      <c r="G8041" s="219"/>
    </row>
    <row r="8042" spans="1:7" x14ac:dyDescent="0.25">
      <c r="A8042" s="49" t="s">
        <v>35</v>
      </c>
      <c r="B8042" s="225" t="s">
        <v>36</v>
      </c>
      <c r="C8042" s="225"/>
      <c r="D8042" s="49" t="s">
        <v>37</v>
      </c>
      <c r="E8042" s="49" t="s">
        <v>38</v>
      </c>
      <c r="F8042" s="49" t="s">
        <v>39</v>
      </c>
      <c r="G8042" s="49" t="s">
        <v>40</v>
      </c>
    </row>
    <row r="8043" spans="1:7" x14ac:dyDescent="0.25">
      <c r="A8043" s="69" t="s">
        <v>97</v>
      </c>
      <c r="B8043" s="72" t="str">
        <f>VLOOKUP(A8043,'Componentes APUs'!$N$1:$Q$30,2,0)</f>
        <v>Camioneta</v>
      </c>
      <c r="C8043" s="73"/>
      <c r="D8043" s="70" t="str">
        <f>VLOOKUP(A8043,'Componentes APUs'!$N$1:$Q$30,3,0)</f>
        <v>U</v>
      </c>
      <c r="E8043" s="50">
        <v>0</v>
      </c>
      <c r="F8043" s="51">
        <f>VLOOKUP(A8043,'Componentes APUs'!$N$1:$Q$30,4,0)</f>
        <v>5500000</v>
      </c>
      <c r="G8043" s="51">
        <f>IFERROR(ROUNDUP(F8043*(E8043/21)/E7995,0),"-")</f>
        <v>0</v>
      </c>
    </row>
    <row r="8044" spans="1:7" x14ac:dyDescent="0.25">
      <c r="A8044" s="50" t="s">
        <v>1473</v>
      </c>
      <c r="B8044" s="72" t="str">
        <f>VLOOKUP(A8044,'Componentes APUs'!$N$1:$Q$30,2,0)</f>
        <v>Concretera</v>
      </c>
      <c r="C8044" s="73"/>
      <c r="D8044" s="70" t="str">
        <f>VLOOKUP(A8044,'Componentes APUs'!$N$1:$Q$30,3,0)</f>
        <v>U</v>
      </c>
      <c r="E8044" s="50">
        <v>0</v>
      </c>
      <c r="F8044" s="51">
        <f>VLOOKUP(A8044,'Componentes APUs'!$N$1:$Q$30,4,0)</f>
        <v>550704</v>
      </c>
      <c r="G8044" s="51">
        <f>IFERROR(ROUNDUP(F8044*(E8044/21)/E7995,0),"-")</f>
        <v>0</v>
      </c>
    </row>
    <row r="8045" spans="1:7" x14ac:dyDescent="0.25">
      <c r="A8045" s="69" t="s">
        <v>1379</v>
      </c>
      <c r="B8045" s="72" t="str">
        <f>VLOOKUP(A8045,'Componentes APUs'!$N$1:$Q$30,2,0)</f>
        <v>Dumper de descarga Frontal 2T</v>
      </c>
      <c r="C8045" s="73"/>
      <c r="D8045" s="70" t="str">
        <f>VLOOKUP(A8045,'Componentes APUs'!$N$1:$Q$30,3,0)</f>
        <v>U</v>
      </c>
      <c r="E8045" s="50">
        <v>0</v>
      </c>
      <c r="F8045" s="51">
        <f>VLOOKUP(A8045,'Componentes APUs'!$N$1:$Q$30,4,0)</f>
        <v>4438716.24</v>
      </c>
      <c r="G8045" s="51">
        <f>IFERROR(ROUNDUP(F8045*(E8045/21)/E7995,0),"-")</f>
        <v>0</v>
      </c>
    </row>
    <row r="8046" spans="1:7" x14ac:dyDescent="0.25">
      <c r="A8046" s="50" t="s">
        <v>323</v>
      </c>
      <c r="B8046" s="72" t="str">
        <f>VLOOKUP(A8046,'Componentes APUs'!$N$1:$Q$30,2,0)</f>
        <v>Volqueta</v>
      </c>
      <c r="C8046" s="73"/>
      <c r="D8046" s="70" t="str">
        <f>VLOOKUP(A8046,'Componentes APUs'!$N$1:$Q$30,3,0)</f>
        <v>U</v>
      </c>
      <c r="E8046" s="50">
        <v>0</v>
      </c>
      <c r="F8046" s="51">
        <f>VLOOKUP(A8046,'Componentes APUs'!$N$1:$Q$30,4,0)</f>
        <v>14828184</v>
      </c>
      <c r="G8046" s="51">
        <f>IFERROR(ROUNDUP(F8046*(E8046/21)/E7995,0),"-")</f>
        <v>0</v>
      </c>
    </row>
    <row r="8047" spans="1:7" x14ac:dyDescent="0.25">
      <c r="A8047" s="69" t="s">
        <v>324</v>
      </c>
      <c r="B8047" s="72" t="str">
        <f>VLOOKUP(A8047,'Componentes APUs'!$N$1:$Q$30,2,0)</f>
        <v>Retroexcavadora</v>
      </c>
      <c r="C8047" s="73"/>
      <c r="D8047" s="70" t="str">
        <f>VLOOKUP(A8047,'Componentes APUs'!$N$1:$Q$30,3,0)</f>
        <v>U</v>
      </c>
      <c r="E8047" s="50">
        <v>0</v>
      </c>
      <c r="F8047" s="51">
        <f>VLOOKUP(A8047,'Componentes APUs'!$N$1:$Q$30,4,0)</f>
        <v>46030656</v>
      </c>
      <c r="G8047" s="51">
        <f>IFERROR(ROUNDUP(F8047*(E8047/21)/E7995,0),"-")</f>
        <v>0</v>
      </c>
    </row>
    <row r="8048" spans="1:7" x14ac:dyDescent="0.25">
      <c r="A8048" s="219" t="s">
        <v>99</v>
      </c>
      <c r="B8048" s="219"/>
      <c r="C8048" s="219"/>
      <c r="D8048" s="219"/>
      <c r="E8048" s="219"/>
      <c r="F8048" s="219"/>
      <c r="G8048" s="52">
        <f>SUM(G8043:G8047)</f>
        <v>0</v>
      </c>
    </row>
    <row r="8049" spans="1:8" x14ac:dyDescent="0.25">
      <c r="A8049" s="56"/>
      <c r="B8049" s="57"/>
      <c r="C8049" s="57"/>
      <c r="D8049" s="57"/>
      <c r="E8049" s="57"/>
      <c r="F8049" s="57"/>
      <c r="G8049" s="58"/>
    </row>
    <row r="8050" spans="1:8" x14ac:dyDescent="0.25">
      <c r="A8050" s="219" t="s">
        <v>100</v>
      </c>
      <c r="B8050" s="219"/>
      <c r="C8050" s="219"/>
      <c r="D8050" s="219"/>
      <c r="E8050" s="219"/>
      <c r="F8050" s="219"/>
      <c r="G8050" s="52">
        <f>G8048+G8039+G8022+G8012+G8002</f>
        <v>128588</v>
      </c>
    </row>
    <row r="8051" spans="1:8" x14ac:dyDescent="0.25">
      <c r="A8051" s="59"/>
      <c r="B8051" s="60"/>
      <c r="C8051" s="60"/>
      <c r="D8051" s="60"/>
      <c r="E8051" s="57"/>
      <c r="F8051" s="57"/>
      <c r="G8051" s="58"/>
    </row>
    <row r="8052" spans="1:8" x14ac:dyDescent="0.25">
      <c r="A8052" s="64"/>
      <c r="D8052" s="55"/>
      <c r="E8052" s="49" t="s">
        <v>25</v>
      </c>
      <c r="F8052" s="54">
        <v>0.15</v>
      </c>
      <c r="G8052" s="51">
        <f>G8050*F8052</f>
        <v>19288.2</v>
      </c>
    </row>
    <row r="8053" spans="1:8" x14ac:dyDescent="0.25">
      <c r="A8053" s="64"/>
      <c r="D8053" s="55"/>
      <c r="E8053" s="49" t="s">
        <v>26</v>
      </c>
      <c r="F8053" s="54">
        <v>0.05</v>
      </c>
      <c r="G8053" s="51">
        <f>G8050*F8053</f>
        <v>6429.4000000000005</v>
      </c>
    </row>
    <row r="8054" spans="1:8" x14ac:dyDescent="0.25">
      <c r="A8054" s="61"/>
      <c r="B8054" s="65"/>
      <c r="C8054" s="65"/>
      <c r="D8054" s="62"/>
      <c r="E8054" s="49" t="s">
        <v>27</v>
      </c>
      <c r="F8054" s="54">
        <v>0.05</v>
      </c>
      <c r="G8054" s="51">
        <f>G8050*F8054</f>
        <v>6429.4000000000005</v>
      </c>
    </row>
    <row r="8055" spans="1:8" x14ac:dyDescent="0.25">
      <c r="A8055" s="61"/>
      <c r="B8055" s="62"/>
      <c r="C8055" s="62"/>
      <c r="D8055" s="62"/>
      <c r="E8055" s="62"/>
      <c r="F8055" s="62"/>
      <c r="G8055" s="63"/>
    </row>
    <row r="8056" spans="1:8" x14ac:dyDescent="0.25">
      <c r="A8056" s="219" t="s">
        <v>101</v>
      </c>
      <c r="B8056" s="219"/>
      <c r="C8056" s="219"/>
      <c r="D8056" s="219"/>
      <c r="E8056" s="219"/>
      <c r="F8056" s="219"/>
      <c r="G8056" s="52">
        <f>G8050+G8052+G8053+G8054</f>
        <v>160735</v>
      </c>
    </row>
    <row r="8057" spans="1:8" x14ac:dyDescent="0.25">
      <c r="A8057" s="59"/>
      <c r="B8057" s="60"/>
      <c r="C8057" s="60"/>
      <c r="D8057" s="60"/>
      <c r="E8057" s="57"/>
      <c r="F8057" s="57"/>
      <c r="G8057" s="58"/>
    </row>
    <row r="8058" spans="1:8" x14ac:dyDescent="0.25">
      <c r="A8058" s="64"/>
      <c r="D8058" s="55"/>
      <c r="E8058" s="49" t="s">
        <v>102</v>
      </c>
      <c r="F8058" s="49" t="s">
        <v>103</v>
      </c>
      <c r="G8058" s="51">
        <f>G8054*19%</f>
        <v>1221.586</v>
      </c>
    </row>
    <row r="8059" spans="1:8" x14ac:dyDescent="0.25">
      <c r="A8059" s="61"/>
      <c r="B8059" s="62"/>
      <c r="C8059" s="62"/>
      <c r="D8059" s="62"/>
      <c r="E8059" s="57"/>
      <c r="F8059" s="57"/>
      <c r="G8059" s="58"/>
    </row>
    <row r="8060" spans="1:8" x14ac:dyDescent="0.25">
      <c r="A8060" s="219" t="s">
        <v>104</v>
      </c>
      <c r="B8060" s="219"/>
      <c r="C8060" s="219"/>
      <c r="D8060" s="219"/>
      <c r="E8060" s="219"/>
      <c r="F8060" s="219"/>
      <c r="G8060" s="52">
        <f>G8058+G8056</f>
        <v>161956.58600000001</v>
      </c>
    </row>
    <row r="8062" spans="1:8" x14ac:dyDescent="0.25">
      <c r="A8062" s="74" t="s">
        <v>29</v>
      </c>
      <c r="B8062" s="226" t="s">
        <v>30</v>
      </c>
      <c r="C8062" s="226"/>
      <c r="D8062" s="74" t="s">
        <v>31</v>
      </c>
      <c r="E8062" s="74" t="s">
        <v>32</v>
      </c>
      <c r="F8062" s="74" t="s">
        <v>189</v>
      </c>
      <c r="G8062" s="74" t="s">
        <v>33</v>
      </c>
      <c r="H8062" s="105"/>
    </row>
    <row r="8063" spans="1:8" ht="33" customHeight="1" x14ac:dyDescent="0.25">
      <c r="A8063" s="50" t="str">
        <f>Presupuesto!B151</f>
        <v>128_OC</v>
      </c>
      <c r="B8063" s="229" t="str">
        <f>Presupuesto!C151</f>
        <v>COLUMNAS 12X20 CM</v>
      </c>
      <c r="C8063" s="230"/>
      <c r="D8063" s="50" t="s">
        <v>16</v>
      </c>
      <c r="E8063" s="53">
        <v>80</v>
      </c>
      <c r="F8063" s="50"/>
      <c r="G8063" s="51">
        <f>G8130</f>
        <v>96160.305999999982</v>
      </c>
      <c r="H8063" s="111"/>
    </row>
    <row r="8064" spans="1:8" x14ac:dyDescent="0.25">
      <c r="A8064" s="219" t="s">
        <v>34</v>
      </c>
      <c r="B8064" s="219"/>
      <c r="C8064" s="219"/>
      <c r="D8064" s="219"/>
      <c r="E8064" s="219"/>
      <c r="F8064" s="219"/>
      <c r="G8064" s="219"/>
    </row>
    <row r="8065" spans="1:14" ht="30.75" customHeight="1" x14ac:dyDescent="0.25">
      <c r="A8065" s="49" t="s">
        <v>35</v>
      </c>
      <c r="B8065" s="219" t="s">
        <v>36</v>
      </c>
      <c r="C8065" s="219"/>
      <c r="D8065" s="49" t="s">
        <v>37</v>
      </c>
      <c r="E8065" s="49" t="s">
        <v>38</v>
      </c>
      <c r="F8065" s="49" t="s">
        <v>39</v>
      </c>
      <c r="G8065" s="49" t="s">
        <v>40</v>
      </c>
      <c r="K8065" s="23"/>
      <c r="L8065" s="23"/>
    </row>
    <row r="8066" spans="1:14" x14ac:dyDescent="0.25">
      <c r="A8066" s="50" t="str">
        <f>Material!A218</f>
        <v>MA-217</v>
      </c>
      <c r="B8066" s="72" t="str">
        <f>IFERROR(VLOOKUP(A8066,Material!$A:$H,2,0),"-")</f>
        <v>FORMALETA EN MADERA CON TABLA DE 1"</v>
      </c>
      <c r="C8066" s="76"/>
      <c r="D8066" s="50" t="str">
        <f>IFERROR(VLOOKUP(A8066,Material!$A:$H,4,0),"-")</f>
        <v>M2</v>
      </c>
      <c r="E8066" s="107">
        <v>4.8000000000000001E-2</v>
      </c>
      <c r="F8066" s="51">
        <f>IFERROR(VLOOKUP(A8066,Material!$A:$H,3,0),"-")</f>
        <v>24691.116165303549</v>
      </c>
      <c r="G8066" s="51">
        <f t="shared" ref="G8066:G8068" si="115">IFERROR(ROUNDUP(F8066*E8066,0),"-")</f>
        <v>1186</v>
      </c>
      <c r="H8066" s="112"/>
      <c r="I8066" s="119"/>
      <c r="J8066" s="119"/>
      <c r="K8066" s="119"/>
      <c r="L8066" s="119"/>
      <c r="M8066" s="117"/>
      <c r="N8066" s="117"/>
    </row>
    <row r="8067" spans="1:14" x14ac:dyDescent="0.25">
      <c r="A8067" s="50" t="str">
        <f>Material!A15</f>
        <v>MA-14</v>
      </c>
      <c r="B8067" s="72" t="str">
        <f>IFERROR(VLOOKUP(A8067,Material!$A:$H,2,0),"-")</f>
        <v>CONCRETO DE 3000 PSI</v>
      </c>
      <c r="C8067" s="76"/>
      <c r="D8067" s="50" t="str">
        <f>IFERROR(VLOOKUP(A8067,Material!$A:$H,4,0),"-")</f>
        <v>M3</v>
      </c>
      <c r="E8067" s="107">
        <v>3.1E-2</v>
      </c>
      <c r="F8067" s="51">
        <f>IFERROR(VLOOKUP(A8067,Material!$A:$H,3,0),"-")</f>
        <v>620227.23330691375</v>
      </c>
      <c r="G8067" s="51">
        <f t="shared" si="115"/>
        <v>19228</v>
      </c>
      <c r="H8067" s="112"/>
      <c r="I8067" s="119"/>
      <c r="J8067" s="119"/>
      <c r="K8067" s="119"/>
      <c r="L8067" s="119"/>
      <c r="M8067" s="117"/>
      <c r="N8067" s="117"/>
    </row>
    <row r="8068" spans="1:14" x14ac:dyDescent="0.25">
      <c r="A8068" s="50" t="str">
        <f>Material!A587</f>
        <v>MA-586</v>
      </c>
      <c r="B8068" s="72" t="str">
        <f>IFERROR(VLOOKUP(A8068,Material!$A:$H,2,0),"-")</f>
        <v>ACERO Fy= 420 MPa</v>
      </c>
      <c r="C8068" s="76"/>
      <c r="D8068" s="50" t="str">
        <f>IFERROR(VLOOKUP(A8068,Material!$A:$H,4,0),"-")</f>
        <v>KG</v>
      </c>
      <c r="E8068" s="107">
        <v>4.0999999999999996</v>
      </c>
      <c r="F8068" s="51">
        <f>IFERROR(VLOOKUP(A8068,Material!$A:$H,3,0),"-")</f>
        <v>6962.8</v>
      </c>
      <c r="G8068" s="51">
        <f t="shared" si="115"/>
        <v>28548</v>
      </c>
      <c r="H8068" s="112"/>
      <c r="I8068" s="116"/>
      <c r="J8068" s="118"/>
      <c r="K8068" s="241"/>
      <c r="L8068" s="241"/>
      <c r="M8068" s="118"/>
      <c r="N8068" s="118"/>
    </row>
    <row r="8069" spans="1:14" x14ac:dyDescent="0.25">
      <c r="A8069" s="50" t="str">
        <f>Material!A588</f>
        <v>MA-587</v>
      </c>
      <c r="B8069" s="72" t="str">
        <f>IFERROR(VLOOKUP(A8069,Material!$A:$H,2,0),"-")</f>
        <v>ACERO Fy= 240 MPa</v>
      </c>
      <c r="C8069" s="76"/>
      <c r="D8069" s="50" t="str">
        <f>IFERROR(VLOOKUP(A8069,Material!$A:$H,4,0),"-")</f>
        <v>kG</v>
      </c>
      <c r="E8069" s="107">
        <v>1.17</v>
      </c>
      <c r="F8069" s="51">
        <f>IFERROR(VLOOKUP(A8069,Material!$A:$H,3,0),"-")</f>
        <v>7341.1</v>
      </c>
      <c r="G8069" s="51">
        <f t="shared" ref="G8069" si="116">IFERROR(ROUNDUP(F8069*E8069,0),"-")</f>
        <v>8590</v>
      </c>
      <c r="H8069" s="112"/>
      <c r="I8069" s="116"/>
      <c r="J8069" s="118"/>
      <c r="K8069" s="152"/>
      <c r="L8069" s="152"/>
      <c r="M8069" s="118"/>
      <c r="N8069" s="118"/>
    </row>
    <row r="8070" spans="1:14" x14ac:dyDescent="0.25">
      <c r="A8070" s="50" t="str">
        <f>Material!A458</f>
        <v>MA-457</v>
      </c>
      <c r="B8070" s="72" t="str">
        <f>IFERROR(VLOOKUP(A8070,Material!$A:$H,2,0),"-")</f>
        <v>ALAMBRE NEGRO CALIBRE 18</v>
      </c>
      <c r="C8070" s="76"/>
      <c r="D8070" s="50" t="str">
        <f>IFERROR(VLOOKUP(A8070,Material!$A:$H,4,0),"-")</f>
        <v>KG</v>
      </c>
      <c r="E8070" s="107">
        <v>0.14000000000000001</v>
      </c>
      <c r="F8070" s="51">
        <f>IFERROR(VLOOKUP(A8070,Material!$A:$H,3,0),"-")</f>
        <v>8083.4000000000005</v>
      </c>
      <c r="G8070" s="51">
        <f t="shared" ref="G8070" si="117">IFERROR(ROUNDUP(F8070*E8070,0),"-")</f>
        <v>1132</v>
      </c>
      <c r="H8070" s="112"/>
      <c r="I8070" s="116"/>
      <c r="J8070" s="118"/>
      <c r="K8070" s="152"/>
      <c r="L8070" s="152"/>
      <c r="M8070" s="118"/>
      <c r="N8070" s="118"/>
    </row>
    <row r="8071" spans="1:14" x14ac:dyDescent="0.25">
      <c r="A8071" s="50" t="str">
        <f>Material!A589</f>
        <v>MA-588</v>
      </c>
      <c r="B8071" s="72" t="str">
        <f>IFERROR(VLOOKUP(A8071,Material!$A:$H,2,0),"-")</f>
        <v>SEPAROL N (Desformaleteante para fácil desencofre de concreto)</v>
      </c>
      <c r="C8071" s="76"/>
      <c r="D8071" s="50" t="str">
        <f>IFERROR(VLOOKUP(A8071,Material!$A:$H,4,0),"-")</f>
        <v>KG</v>
      </c>
      <c r="E8071" s="107">
        <v>0.01</v>
      </c>
      <c r="F8071" s="51">
        <f>IFERROR(VLOOKUP(A8071,Material!$A:$H,3,0),"-")</f>
        <v>18657.600000000002</v>
      </c>
      <c r="G8071" s="51">
        <f t="shared" ref="G8071" si="118">IFERROR(ROUNDUP(F8071*E8071,0),"-")</f>
        <v>187</v>
      </c>
      <c r="H8071" s="112"/>
      <c r="I8071" s="116"/>
      <c r="J8071" s="118"/>
      <c r="K8071" s="152"/>
      <c r="L8071" s="152"/>
      <c r="M8071" s="118"/>
      <c r="N8071" s="118"/>
    </row>
    <row r="8072" spans="1:14" x14ac:dyDescent="0.25">
      <c r="A8072" s="219" t="s">
        <v>41</v>
      </c>
      <c r="B8072" s="219"/>
      <c r="C8072" s="219"/>
      <c r="D8072" s="219"/>
      <c r="E8072" s="219"/>
      <c r="F8072" s="219"/>
      <c r="G8072" s="52">
        <f>SUM(G8066:G8071)</f>
        <v>58871</v>
      </c>
      <c r="I8072" s="112"/>
      <c r="J8072" s="110"/>
      <c r="K8072" s="113"/>
      <c r="L8072" s="114"/>
      <c r="M8072" s="115"/>
      <c r="N8072" s="115"/>
    </row>
    <row r="8073" spans="1:14" x14ac:dyDescent="0.25">
      <c r="A8073" s="56"/>
      <c r="B8073" s="57"/>
      <c r="C8073" s="57"/>
      <c r="D8073" s="57"/>
      <c r="E8073" s="57"/>
      <c r="F8073" s="57"/>
      <c r="G8073" s="58"/>
      <c r="I8073" s="245"/>
      <c r="J8073" s="245"/>
      <c r="K8073" s="245"/>
      <c r="L8073" s="246"/>
      <c r="M8073" s="117"/>
      <c r="N8073" s="117"/>
    </row>
    <row r="8074" spans="1:14" x14ac:dyDescent="0.25">
      <c r="A8074" s="219" t="s">
        <v>42</v>
      </c>
      <c r="B8074" s="219"/>
      <c r="C8074" s="219"/>
      <c r="D8074" s="219"/>
      <c r="E8074" s="219"/>
      <c r="F8074" s="219"/>
      <c r="G8074" s="219"/>
      <c r="I8074" s="245"/>
      <c r="J8074" s="245"/>
      <c r="K8074" s="245"/>
      <c r="L8074" s="246"/>
      <c r="M8074" s="117"/>
      <c r="N8074" s="117"/>
    </row>
    <row r="8075" spans="1:14" x14ac:dyDescent="0.25">
      <c r="A8075" s="49" t="s">
        <v>35</v>
      </c>
      <c r="B8075" s="49" t="s">
        <v>36</v>
      </c>
      <c r="C8075" s="49" t="s">
        <v>38</v>
      </c>
      <c r="D8075" s="49" t="s">
        <v>43</v>
      </c>
      <c r="E8075" s="49" t="s">
        <v>44</v>
      </c>
      <c r="F8075" s="49" t="s">
        <v>45</v>
      </c>
      <c r="G8075" s="49" t="s">
        <v>40</v>
      </c>
      <c r="I8075" s="116"/>
      <c r="J8075" s="118"/>
      <c r="K8075" s="241"/>
      <c r="L8075" s="241"/>
      <c r="M8075" s="118"/>
      <c r="N8075" s="118"/>
    </row>
    <row r="8076" spans="1:14" x14ac:dyDescent="0.25">
      <c r="A8076" s="50" t="s">
        <v>319</v>
      </c>
      <c r="B8076" s="68" t="str">
        <f>VLOOKUP(A8076,'Componentes APUs'!$H$1:$L$25,2,0)</f>
        <v>Ingeniero Residente de Obra</v>
      </c>
      <c r="C8076" s="93">
        <v>0.25</v>
      </c>
      <c r="D8076" s="50">
        <f>VLOOKUP(A8076,'Componentes APUs'!$H$1:$L$25,3,0)</f>
        <v>4</v>
      </c>
      <c r="E8076" s="51">
        <f>VLOOKUP(A8076,'Componentes APUs'!$H$1:$L$25,4,0)</f>
        <v>271142.85714285716</v>
      </c>
      <c r="F8076" s="51">
        <f>VLOOKUP(A8076,'Componentes APUs'!$H$1:$L$25,5,0)</f>
        <v>162685.71428571429</v>
      </c>
      <c r="G8076" s="51">
        <f>ROUNDUP((E8076+F8076)*C8076/E8063,0)</f>
        <v>1356</v>
      </c>
      <c r="H8076" s="66"/>
      <c r="I8076" s="112"/>
      <c r="J8076" s="110"/>
      <c r="K8076" s="113"/>
      <c r="L8076" s="114"/>
      <c r="M8076" s="115"/>
      <c r="N8076" s="115"/>
    </row>
    <row r="8077" spans="1:14" x14ac:dyDescent="0.25">
      <c r="A8077" s="50" t="s">
        <v>320</v>
      </c>
      <c r="B8077" s="68" t="str">
        <f>VLOOKUP(A8077,'Componentes APUs'!$H$1:$L$25,2,0)</f>
        <v>Tecnico Supervisor</v>
      </c>
      <c r="C8077" s="93">
        <v>0</v>
      </c>
      <c r="D8077" s="50">
        <f>VLOOKUP(A8077,'Componentes APUs'!$H$1:$L$25,3,0)</f>
        <v>2.2999999999999998</v>
      </c>
      <c r="E8077" s="51">
        <f>VLOOKUP(A8077,'Componentes APUs'!$H$1:$L$25,4,0)</f>
        <v>155907.14285714284</v>
      </c>
      <c r="F8077" s="51">
        <f>VLOOKUP(A8077,'Componentes APUs'!$H$1:$L$25,5,0)</f>
        <v>93544.285714285696</v>
      </c>
      <c r="G8077" s="51">
        <f>ROUNDUP((E8077+F8077)*C8077/E8063,0)</f>
        <v>0</v>
      </c>
      <c r="I8077" s="112"/>
      <c r="J8077" s="110"/>
      <c r="K8077" s="113"/>
      <c r="L8077" s="114"/>
      <c r="M8077" s="115"/>
      <c r="N8077" s="115"/>
    </row>
    <row r="8078" spans="1:14" x14ac:dyDescent="0.25">
      <c r="A8078" s="50" t="s">
        <v>54</v>
      </c>
      <c r="B8078" s="68" t="str">
        <f>VLOOKUP(A8078,'Componentes APUs'!$H$1:$L$25,2,0)</f>
        <v>Maestro de obra civil</v>
      </c>
      <c r="C8078" s="93">
        <v>0</v>
      </c>
      <c r="D8078" s="50">
        <f>VLOOKUP(A8078,'Componentes APUs'!$H$1:$L$25,3,0)</f>
        <v>2.5</v>
      </c>
      <c r="E8078" s="51">
        <f>VLOOKUP(A8078,'Componentes APUs'!$H$1:$L$25,4,0)</f>
        <v>169464.28571428571</v>
      </c>
      <c r="F8078" s="51">
        <f>VLOOKUP(A8078,'Componentes APUs'!$H$1:$L$25,5,0)</f>
        <v>101678.57142857142</v>
      </c>
      <c r="G8078" s="51">
        <f>ROUNDUP((E8078+F8078)*C8078/E8063,0)</f>
        <v>0</v>
      </c>
      <c r="I8078" s="112"/>
      <c r="J8078" s="110"/>
      <c r="K8078" s="113"/>
      <c r="L8078" s="114"/>
      <c r="M8078" s="115"/>
      <c r="N8078" s="115"/>
    </row>
    <row r="8079" spans="1:14" x14ac:dyDescent="0.25">
      <c r="A8079" s="50" t="s">
        <v>1110</v>
      </c>
      <c r="B8079" s="68" t="str">
        <f>VLOOKUP(A8079,'Componentes APUs'!$H$1:$L$25,2,0)</f>
        <v>Oficial de Obra Civil</v>
      </c>
      <c r="C8079" s="93">
        <v>3</v>
      </c>
      <c r="D8079" s="50">
        <f>VLOOKUP(A8079,'Componentes APUs'!$H$1:$L$25,3,0)</f>
        <v>1.5</v>
      </c>
      <c r="E8079" s="51">
        <f>VLOOKUP(A8079,'Componentes APUs'!$H$1:$L$25,4,0)</f>
        <v>115964.28571428571</v>
      </c>
      <c r="F8079" s="51">
        <f>VLOOKUP(A8079,'Componentes APUs'!$H$1:$L$25,5,0)</f>
        <v>69578.57142857142</v>
      </c>
      <c r="G8079" s="51">
        <f>ROUNDUP((E8079+F8079)*C8079/E8063,0)</f>
        <v>6958</v>
      </c>
      <c r="I8079" s="112"/>
      <c r="J8079" s="110"/>
      <c r="K8079" s="113"/>
      <c r="L8079" s="114"/>
      <c r="M8079" s="115"/>
      <c r="N8079" s="115"/>
    </row>
    <row r="8080" spans="1:14" x14ac:dyDescent="0.25">
      <c r="A8080" s="50" t="s">
        <v>50</v>
      </c>
      <c r="B8080" s="68" t="str">
        <f>VLOOKUP(A8080,'Componentes APUs'!$H$1:$L$25,2,0)</f>
        <v>Profesional en SST</v>
      </c>
      <c r="C8080" s="93">
        <v>0.25</v>
      </c>
      <c r="D8080" s="50">
        <f>VLOOKUP(A8080,'Componentes APUs'!$H$1:$L$25,3,0)</f>
        <v>2.5</v>
      </c>
      <c r="E8080" s="51">
        <f>VLOOKUP(A8080,'Componentes APUs'!$H$1:$L$25,4,0)</f>
        <v>169464.28571428571</v>
      </c>
      <c r="F8080" s="51">
        <f>VLOOKUP(A8080,'Componentes APUs'!$H$1:$L$25,5,0)</f>
        <v>101678.57142857142</v>
      </c>
      <c r="G8080" s="51">
        <f>ROUNDUP((E8080+F8080)*C8080/E8063,0)</f>
        <v>848</v>
      </c>
      <c r="I8080" s="112"/>
      <c r="J8080" s="110"/>
      <c r="K8080" s="113"/>
      <c r="L8080" s="114"/>
      <c r="M8080" s="115"/>
      <c r="N8080" s="115"/>
    </row>
    <row r="8081" spans="1:14" x14ac:dyDescent="0.25">
      <c r="A8081" s="50" t="s">
        <v>1109</v>
      </c>
      <c r="B8081" s="68" t="str">
        <f>VLOOKUP(A8081,'Componentes APUs'!$H$1:$L$25,2,0)</f>
        <v>Ayudante de Obra Civil</v>
      </c>
      <c r="C8081" s="93">
        <v>5</v>
      </c>
      <c r="D8081" s="50">
        <f>VLOOKUP(A8081,'Componentes APUs'!$H$1:$L$25,3,0)</f>
        <v>1</v>
      </c>
      <c r="E8081" s="51">
        <f>VLOOKUP(A8081,'Componentes APUs'!$H$1:$L$25,4,0)</f>
        <v>77309.523809523816</v>
      </c>
      <c r="F8081" s="51">
        <f>VLOOKUP(A8081,'Componentes APUs'!$H$1:$L$25,5,0)</f>
        <v>46385.71428571429</v>
      </c>
      <c r="G8081" s="51">
        <f>ROUNDUP((E8081+F8081)*C8081/E8063,0)</f>
        <v>7731</v>
      </c>
      <c r="I8081" s="112"/>
      <c r="J8081" s="110"/>
      <c r="K8081" s="113"/>
      <c r="L8081" s="114"/>
      <c r="M8081" s="115"/>
      <c r="N8081" s="115"/>
    </row>
    <row r="8082" spans="1:14" x14ac:dyDescent="0.25">
      <c r="A8082" s="219" t="s">
        <v>56</v>
      </c>
      <c r="B8082" s="219"/>
      <c r="C8082" s="219"/>
      <c r="D8082" s="219"/>
      <c r="E8082" s="219"/>
      <c r="F8082" s="219"/>
      <c r="G8082" s="52">
        <f>SUM(G8076:G8081)</f>
        <v>16893</v>
      </c>
      <c r="I8082" s="112"/>
      <c r="J8082" s="110"/>
      <c r="K8082" s="113"/>
      <c r="L8082" s="114"/>
      <c r="M8082" s="115"/>
      <c r="N8082" s="115"/>
    </row>
    <row r="8083" spans="1:14" x14ac:dyDescent="0.25">
      <c r="A8083" s="56"/>
      <c r="B8083" s="57"/>
      <c r="C8083" s="57"/>
      <c r="D8083" s="57"/>
      <c r="E8083" s="57"/>
      <c r="F8083" s="57"/>
      <c r="G8083" s="58"/>
    </row>
    <row r="8084" spans="1:14" x14ac:dyDescent="0.25">
      <c r="A8084" s="219" t="s">
        <v>57</v>
      </c>
      <c r="B8084" s="219"/>
      <c r="C8084" s="219"/>
      <c r="D8084" s="219"/>
      <c r="E8084" s="219"/>
      <c r="F8084" s="219"/>
      <c r="G8084" s="219"/>
    </row>
    <row r="8085" spans="1:14" x14ac:dyDescent="0.25">
      <c r="A8085" s="49" t="s">
        <v>35</v>
      </c>
      <c r="B8085" s="219" t="s">
        <v>36</v>
      </c>
      <c r="C8085" s="219"/>
      <c r="D8085" s="49" t="s">
        <v>37</v>
      </c>
      <c r="E8085" s="49" t="s">
        <v>38</v>
      </c>
      <c r="F8085" s="49" t="s">
        <v>39</v>
      </c>
      <c r="G8085" s="49" t="s">
        <v>40</v>
      </c>
    </row>
    <row r="8086" spans="1:14" x14ac:dyDescent="0.25">
      <c r="A8086" s="50" t="s">
        <v>326</v>
      </c>
      <c r="B8086" s="220" t="str">
        <f>VLOOKUP(A8086,'Componentes APUs'!$S$1:$V$10,2,0)</f>
        <v>Juego Llaves</v>
      </c>
      <c r="C8086" s="220"/>
      <c r="D8086" s="50" t="s">
        <v>18</v>
      </c>
      <c r="E8086" s="50">
        <v>0</v>
      </c>
      <c r="F8086" s="51">
        <f>VLOOKUP(A8086,'Componentes APUs'!$S$1:$V$10,4,0)</f>
        <v>9167</v>
      </c>
      <c r="G8086" s="51">
        <f>ROUNDUP(F8086*((E8086/21)/E8063),0)</f>
        <v>0</v>
      </c>
      <c r="I8086" s="91"/>
    </row>
    <row r="8087" spans="1:14" x14ac:dyDescent="0.25">
      <c r="A8087" s="50" t="s">
        <v>58</v>
      </c>
      <c r="B8087" s="220" t="str">
        <f>VLOOKUP(A8087,'Componentes APUs'!$S$1:$V$10,2,0)</f>
        <v>Manila de servicio</v>
      </c>
      <c r="C8087" s="220"/>
      <c r="D8087" s="50" t="s">
        <v>18</v>
      </c>
      <c r="E8087" s="50">
        <v>0</v>
      </c>
      <c r="F8087" s="51">
        <f>VLOOKUP(A8087,'Componentes APUs'!$S$1:$V$10,4,0)</f>
        <v>2333</v>
      </c>
      <c r="G8087" s="51">
        <f>ROUNDUP(F8087*((E8087/21)/E8063),0)</f>
        <v>0</v>
      </c>
    </row>
    <row r="8088" spans="1:14" x14ac:dyDescent="0.25">
      <c r="A8088" s="50" t="s">
        <v>327</v>
      </c>
      <c r="B8088" s="220" t="str">
        <f>VLOOKUP(A8088,'Componentes APUs'!$S$1:$V$10,2,0)</f>
        <v>Tula portaherramientas</v>
      </c>
      <c r="C8088" s="220"/>
      <c r="D8088" s="50" t="s">
        <v>18</v>
      </c>
      <c r="E8088" s="50">
        <v>0</v>
      </c>
      <c r="F8088" s="51">
        <f>VLOOKUP(A8088,'Componentes APUs'!$S$1:$V$10,4,0)</f>
        <v>1250</v>
      </c>
      <c r="G8088" s="51">
        <f>ROUNDUP(F8088*((E8088/21)/E8063),0)</f>
        <v>0</v>
      </c>
    </row>
    <row r="8089" spans="1:14" x14ac:dyDescent="0.25">
      <c r="A8089" s="50" t="s">
        <v>60</v>
      </c>
      <c r="B8089" s="220" t="str">
        <f>VLOOKUP(A8089,'Componentes APUs'!$S$1:$V$10,2,0)</f>
        <v>Agarradoras</v>
      </c>
      <c r="C8089" s="220"/>
      <c r="D8089" s="50" t="s">
        <v>18</v>
      </c>
      <c r="E8089" s="50">
        <v>0</v>
      </c>
      <c r="F8089" s="51">
        <f>VLOOKUP(A8089,'Componentes APUs'!$S$1:$V$10,4,0)</f>
        <v>125000</v>
      </c>
      <c r="G8089" s="51">
        <f>ROUNDUP(F8089*((E8089/21)/E8063),0)</f>
        <v>0</v>
      </c>
    </row>
    <row r="8090" spans="1:14" x14ac:dyDescent="0.25">
      <c r="A8090" s="50" t="s">
        <v>62</v>
      </c>
      <c r="B8090" s="220" t="str">
        <f>VLOOKUP(A8090,'Componentes APUs'!$S$1:$V$10,2,0)</f>
        <v>Templadoras</v>
      </c>
      <c r="C8090" s="220"/>
      <c r="D8090" s="50" t="s">
        <v>18</v>
      </c>
      <c r="E8090" s="50">
        <v>0</v>
      </c>
      <c r="F8090" s="51">
        <f>VLOOKUP(A8090,'Componentes APUs'!$S$1:$V$10,4,0)</f>
        <v>250000</v>
      </c>
      <c r="G8090" s="51">
        <f>ROUNDUP(F8090*((E8090/21)/E8063),0)</f>
        <v>0</v>
      </c>
    </row>
    <row r="8091" spans="1:14" x14ac:dyDescent="0.25">
      <c r="A8091" s="50" t="s">
        <v>328</v>
      </c>
      <c r="B8091" s="220" t="str">
        <f>VLOOKUP(A8091,'Componentes APUs'!$S$1:$V$10,2,0)</f>
        <v>Herramienta Menor</v>
      </c>
      <c r="C8091" s="220"/>
      <c r="D8091" s="50" t="s">
        <v>18</v>
      </c>
      <c r="E8091" s="50">
        <v>7</v>
      </c>
      <c r="F8091" s="51">
        <f>VLOOKUP(A8091,'Componentes APUs'!$S$1:$V$10,4,0)</f>
        <v>75758</v>
      </c>
      <c r="G8091" s="51">
        <f>ROUNDUP(F8091*((E8091/21)/E8063),0)</f>
        <v>316</v>
      </c>
    </row>
    <row r="8092" spans="1:14" x14ac:dyDescent="0.25">
      <c r="A8092" s="219" t="s">
        <v>69</v>
      </c>
      <c r="B8092" s="219"/>
      <c r="C8092" s="219"/>
      <c r="D8092" s="219"/>
      <c r="E8092" s="219"/>
      <c r="F8092" s="219"/>
      <c r="G8092" s="52">
        <f>SUM(G8086:G8091)</f>
        <v>316</v>
      </c>
    </row>
    <row r="8093" spans="1:14" x14ac:dyDescent="0.25">
      <c r="A8093" s="56"/>
      <c r="B8093" s="57"/>
      <c r="C8093" s="57"/>
      <c r="D8093" s="57"/>
      <c r="E8093" s="57"/>
      <c r="F8093" s="57"/>
      <c r="G8093" s="58"/>
    </row>
    <row r="8094" spans="1:14" x14ac:dyDescent="0.25">
      <c r="A8094" s="219" t="s">
        <v>70</v>
      </c>
      <c r="B8094" s="219"/>
      <c r="C8094" s="219"/>
      <c r="D8094" s="219"/>
      <c r="E8094" s="219"/>
      <c r="F8094" s="219"/>
      <c r="G8094" s="219"/>
    </row>
    <row r="8095" spans="1:14" x14ac:dyDescent="0.25">
      <c r="A8095" s="49" t="s">
        <v>35</v>
      </c>
      <c r="B8095" s="219" t="s">
        <v>36</v>
      </c>
      <c r="C8095" s="219"/>
      <c r="D8095" s="49" t="s">
        <v>37</v>
      </c>
      <c r="E8095" s="49" t="s">
        <v>38</v>
      </c>
      <c r="F8095" s="49" t="s">
        <v>39</v>
      </c>
      <c r="G8095" s="49" t="s">
        <v>40</v>
      </c>
    </row>
    <row r="8096" spans="1:14" x14ac:dyDescent="0.25">
      <c r="A8096" s="50" t="s">
        <v>71</v>
      </c>
      <c r="B8096" s="71" t="str">
        <f>VLOOKUP(A8096,'Componentes APUs'!$A$1:$D$14,2,0)</f>
        <v>Camisa indigo sin partes metalicas</v>
      </c>
      <c r="C8096" s="71"/>
      <c r="D8096" s="50" t="str">
        <f>VLOOKUP(A8096,'Componentes APUs'!$A$1:$D$14,3,0)</f>
        <v>U</v>
      </c>
      <c r="E8096" s="50">
        <f>SUM(C8076:C8081)</f>
        <v>8.5</v>
      </c>
      <c r="F8096" s="51">
        <f>VLOOKUP(A8096,'Componentes APUs'!$A$1:$D$14,4,0)</f>
        <v>8585.8585858585866</v>
      </c>
      <c r="G8096" s="51">
        <f>ROUNDUP(F8096*(E8096/21)/E8063,0)</f>
        <v>44</v>
      </c>
      <c r="I8096" s="91"/>
    </row>
    <row r="8097" spans="1:7" x14ac:dyDescent="0.25">
      <c r="A8097" s="69" t="s">
        <v>73</v>
      </c>
      <c r="B8097" s="72" t="str">
        <f>VLOOKUP(A8097,'Componentes APUs'!$A$1:$D$14,2,0)</f>
        <v>Bota de seguridad dielectrica</v>
      </c>
      <c r="C8097" s="73"/>
      <c r="D8097" s="70" t="str">
        <f>VLOOKUP(A8097,'Componentes APUs'!$A$1:$D$14,3,0)</f>
        <v>Par</v>
      </c>
      <c r="E8097" s="50">
        <f>SUM(C8076:C8081)</f>
        <v>8.5</v>
      </c>
      <c r="F8097" s="51">
        <f>VLOOKUP(A8097,'Componentes APUs'!$A$1:$D$14,4,0)</f>
        <v>7500</v>
      </c>
      <c r="G8097" s="51">
        <f>ROUNDUP(F8097*(E8097/21)/E8063,0)</f>
        <v>38</v>
      </c>
    </row>
    <row r="8098" spans="1:7" x14ac:dyDescent="0.25">
      <c r="A8098" s="50" t="s">
        <v>76</v>
      </c>
      <c r="B8098" s="72" t="str">
        <f>VLOOKUP(A8098,'Componentes APUs'!$A$1:$D$14,2,0)</f>
        <v>Casco dielectrico Tipo 1 Clase E con barbuquejo</v>
      </c>
      <c r="C8098" s="73"/>
      <c r="D8098" s="50" t="str">
        <f>VLOOKUP(A8098,'Componentes APUs'!$A$1:$D$14,3,0)</f>
        <v>U</v>
      </c>
      <c r="E8098" s="50">
        <f>C8076+C8077+C8079+C8080+C8081+IF(A8078&lt;&gt;"MO-3",C8078,0)</f>
        <v>8.5</v>
      </c>
      <c r="F8098" s="51">
        <f>VLOOKUP(A8098,'Componentes APUs'!$A$1:$D$14,4,0)</f>
        <v>10101.010101010101</v>
      </c>
      <c r="G8098" s="51">
        <f>ROUNDUP(F8098*(E8098/21)/E8063,0)</f>
        <v>52</v>
      </c>
    </row>
    <row r="8099" spans="1:7" x14ac:dyDescent="0.25">
      <c r="A8099" s="69" t="s">
        <v>77</v>
      </c>
      <c r="B8099" s="72" t="str">
        <f>VLOOKUP(A8099,'Componentes APUs'!$A$1:$D$14,2,0)</f>
        <v>Correa plastica y antiflama</v>
      </c>
      <c r="C8099" s="73"/>
      <c r="D8099" s="50" t="str">
        <f>VLOOKUP(A8099,'Componentes APUs'!$A$1:$D$14,3,0)</f>
        <v>U</v>
      </c>
      <c r="E8099" s="50">
        <f>SUM(C8076:C8081)</f>
        <v>8.5</v>
      </c>
      <c r="F8099" s="51">
        <f>VLOOKUP(A8099,'Componentes APUs'!$A$1:$D$14,4,0)</f>
        <v>3787.878787878788</v>
      </c>
      <c r="G8099" s="51">
        <f>ROUNDUP(F8099*(E8099/21)/E8063,0)</f>
        <v>20</v>
      </c>
    </row>
    <row r="8100" spans="1:7" x14ac:dyDescent="0.25">
      <c r="A8100" s="50" t="s">
        <v>79</v>
      </c>
      <c r="B8100" s="72" t="str">
        <f>VLOOKUP(A8100,'Componentes APUs'!$A$1:$D$14,2,0)</f>
        <v>Gafas protectoras filtro UV</v>
      </c>
      <c r="C8100" s="73"/>
      <c r="D8100" s="50" t="str">
        <f>VLOOKUP(A8100,'Componentes APUs'!$A$1:$D$14,3,0)</f>
        <v>U</v>
      </c>
      <c r="E8100" s="50">
        <f>SUM(C8076:C8081)</f>
        <v>8.5</v>
      </c>
      <c r="F8100" s="51">
        <f>VLOOKUP(A8100,'Componentes APUs'!$A$1:$D$14,4,0)</f>
        <v>2777.7777777777778</v>
      </c>
      <c r="G8100" s="51">
        <f>ROUNDUP(F8100*(E8100/21)/E8063,0)</f>
        <v>15</v>
      </c>
    </row>
    <row r="8101" spans="1:7" x14ac:dyDescent="0.25">
      <c r="A8101" s="69" t="s">
        <v>402</v>
      </c>
      <c r="B8101" s="72" t="str">
        <f>VLOOKUP(A8101,'Componentes APUs'!$A$1:$D$14,2,0)</f>
        <v>Bota de seguridad PVC dielectrica</v>
      </c>
      <c r="C8101" s="73"/>
      <c r="D8101" s="50" t="str">
        <f>VLOOKUP(A8101,'Componentes APUs'!$A$1:$D$14,3,0)</f>
        <v>Par</v>
      </c>
      <c r="E8101" s="50">
        <f>SUM(C8076:C8081)</f>
        <v>8.5</v>
      </c>
      <c r="F8101" s="51">
        <f>VLOOKUP(A8101,'Componentes APUs'!$A$1:$D$14,4,0)</f>
        <v>2916.6666666666665</v>
      </c>
      <c r="G8101" s="51">
        <f>ROUNDUP(F8101*(E8101/21)/E8063,0)</f>
        <v>15</v>
      </c>
    </row>
    <row r="8102" spans="1:7" x14ac:dyDescent="0.25">
      <c r="A8102" s="50" t="s">
        <v>403</v>
      </c>
      <c r="B8102" s="72" t="str">
        <f>VLOOKUP(A8102,'Componentes APUs'!$A$1:$D$14,2,0)</f>
        <v>Capuchon</v>
      </c>
      <c r="C8102" s="73"/>
      <c r="D8102" s="50" t="str">
        <f>VLOOKUP(A8102,'Componentes APUs'!$A$1:$D$14,3,0)</f>
        <v>U</v>
      </c>
      <c r="E8102" s="50">
        <f>SUM(C8076:C8081)</f>
        <v>8.5</v>
      </c>
      <c r="F8102" s="51">
        <f>VLOOKUP(A8102,'Componentes APUs'!$A$1:$D$14,4,0)</f>
        <v>2525.2525252525252</v>
      </c>
      <c r="G8102" s="51">
        <f>ROUNDUP(F8102*(E8102/21)/E8063,0)</f>
        <v>13</v>
      </c>
    </row>
    <row r="8103" spans="1:7" x14ac:dyDescent="0.25">
      <c r="A8103" s="69" t="s">
        <v>81</v>
      </c>
      <c r="B8103" s="72" t="str">
        <f>VLOOKUP(A8103,'Componentes APUs'!$A$1:$D$14,2,0)</f>
        <v>Guantes Protectores  - ingeniero reforzados</v>
      </c>
      <c r="C8103" s="73"/>
      <c r="D8103" s="50" t="str">
        <f>VLOOKUP(A8103,'Componentes APUs'!$A$1:$D$14,3,0)</f>
        <v>Par</v>
      </c>
      <c r="E8103" s="50">
        <f>C8078+C8079+C8081</f>
        <v>8</v>
      </c>
      <c r="F8103" s="51">
        <f>VLOOKUP(A8103,'Componentes APUs'!$A$1:$D$14,4,0)</f>
        <v>2525.2525252525252</v>
      </c>
      <c r="G8103" s="51">
        <f>ROUNDUP(F8103*(E8103/21)/E8063,0)</f>
        <v>13</v>
      </c>
    </row>
    <row r="8104" spans="1:7" x14ac:dyDescent="0.25">
      <c r="A8104" s="50" t="s">
        <v>83</v>
      </c>
      <c r="B8104" s="72" t="str">
        <f>VLOOKUP(A8104,'Componentes APUs'!$A$1:$D$14,2,0)</f>
        <v>Impermeable (pantalon camisa)</v>
      </c>
      <c r="C8104" s="73"/>
      <c r="D8104" s="50" t="str">
        <f>VLOOKUP(A8104,'Componentes APUs'!$A$1:$D$14,3,0)</f>
        <v>U</v>
      </c>
      <c r="E8104" s="50">
        <f>SUM(C8076:C8081)</f>
        <v>8.5</v>
      </c>
      <c r="F8104" s="51">
        <f>VLOOKUP(A8104,'Componentes APUs'!$A$1:$D$14,4,0)</f>
        <v>3750</v>
      </c>
      <c r="G8104" s="51">
        <f>ROUNDUP(F8104*(E8104/21)/E8063,0)</f>
        <v>19</v>
      </c>
    </row>
    <row r="8105" spans="1:7" x14ac:dyDescent="0.25">
      <c r="A8105" s="69" t="s">
        <v>85</v>
      </c>
      <c r="B8105" s="72" t="str">
        <f>VLOOKUP(A8105,'Componentes APUs'!$A$1:$D$14,2,0)</f>
        <v>Jean Dielectrico</v>
      </c>
      <c r="C8105" s="73"/>
      <c r="D8105" s="50" t="str">
        <f>VLOOKUP(A8105,'Componentes APUs'!$A$1:$D$14,3,0)</f>
        <v>U</v>
      </c>
      <c r="E8105" s="50">
        <f>SUM(C8076:C8081)</f>
        <v>8.5</v>
      </c>
      <c r="F8105" s="51">
        <f>VLOOKUP(A8105,'Componentes APUs'!$A$1:$D$14,4,0)</f>
        <v>7575.757575757576</v>
      </c>
      <c r="G8105" s="51">
        <f>ROUNDUP(F8105*(E8105/21)/E8063,0)</f>
        <v>39</v>
      </c>
    </row>
    <row r="8106" spans="1:7" x14ac:dyDescent="0.25">
      <c r="A8106" s="50" t="s">
        <v>87</v>
      </c>
      <c r="B8106" s="72" t="str">
        <f>VLOOKUP(A8106,'Componentes APUs'!$A$1:$D$14,2,0)</f>
        <v>Casco dielectrico Tipo 2 Clase E con barboquejo</v>
      </c>
      <c r="C8106" s="73"/>
      <c r="D8106" s="50" t="str">
        <f>VLOOKUP(A8106,'Componentes APUs'!$A$1:$D$14,3,0)</f>
        <v>U</v>
      </c>
      <c r="E8106" s="53">
        <f>IF(A8078="MO-3",C8078,0)</f>
        <v>0</v>
      </c>
      <c r="F8106" s="51">
        <f>VLOOKUP(A8106,'Componentes APUs'!$A$1:$D$14,4,0)</f>
        <v>7500</v>
      </c>
      <c r="G8106" s="51">
        <f>ROUNDUP(F8106*(E8106/21)/E8063,0)</f>
        <v>0</v>
      </c>
    </row>
    <row r="8107" spans="1:7" x14ac:dyDescent="0.25">
      <c r="A8107" s="69" t="s">
        <v>89</v>
      </c>
      <c r="B8107" s="72" t="str">
        <f>VLOOKUP(A8107,'Componentes APUs'!$A$1:$D$14,2,0)</f>
        <v>Kit de rescate para trabajo en alturas</v>
      </c>
      <c r="C8107" s="73"/>
      <c r="D8107" s="50" t="str">
        <f>VLOOKUP(A8107,'Componentes APUs'!$A$1:$D$14,3,0)</f>
        <v>U</v>
      </c>
      <c r="E8107" s="50">
        <f>IF(AND(A8078="MO-3",C8078=2),1,0)</f>
        <v>0</v>
      </c>
      <c r="F8107" s="51">
        <f>VLOOKUP(A8107,'Componentes APUs'!$A$1:$D$14,4,0)</f>
        <v>37500</v>
      </c>
      <c r="G8107" s="51">
        <f>ROUNDUP(F8107*(E8107/21)/E8063,0)</f>
        <v>0</v>
      </c>
    </row>
    <row r="8108" spans="1:7" x14ac:dyDescent="0.25">
      <c r="A8108" s="50" t="s">
        <v>91</v>
      </c>
      <c r="B8108" s="72" t="str">
        <f>VLOOKUP(A8108,'Componentes APUs'!$A$1:$D$14,2,0)</f>
        <v>Equipo completo para trabajo en alturas con pretales (Arnes dielectrico, 1 mosqueton de seguridad, tie off dielectrico, eslinga de posicionamiento, juego de pretales)</v>
      </c>
      <c r="C8108" s="73"/>
      <c r="D8108" s="50" t="str">
        <f>VLOOKUP(A8108,'Componentes APUs'!$A$1:$D$14,3,0)</f>
        <v>U</v>
      </c>
      <c r="E8108" s="50">
        <f>IF(A8078="MO-3",C8078,0)</f>
        <v>0</v>
      </c>
      <c r="F8108" s="51">
        <f>VLOOKUP(A8108,'Componentes APUs'!$A$1:$D$14,4,0)</f>
        <v>26041.666666666668</v>
      </c>
      <c r="G8108" s="51">
        <f>ROUNDUP(F8108*(E8108/21)/E8063,0)</f>
        <v>0</v>
      </c>
    </row>
    <row r="8109" spans="1:7" x14ac:dyDescent="0.25">
      <c r="A8109" s="219" t="s">
        <v>95</v>
      </c>
      <c r="B8109" s="219"/>
      <c r="C8109" s="219"/>
      <c r="D8109" s="219"/>
      <c r="E8109" s="219"/>
      <c r="F8109" s="219"/>
      <c r="G8109" s="52">
        <f>SUM(G8096:G8108)</f>
        <v>268</v>
      </c>
    </row>
    <row r="8110" spans="1:7" x14ac:dyDescent="0.25">
      <c r="A8110" s="56"/>
      <c r="B8110" s="57"/>
      <c r="C8110" s="57"/>
      <c r="D8110" s="57"/>
      <c r="E8110" s="57"/>
      <c r="F8110" s="57"/>
      <c r="G8110" s="58"/>
    </row>
    <row r="8111" spans="1:7" x14ac:dyDescent="0.25">
      <c r="A8111" s="219" t="s">
        <v>96</v>
      </c>
      <c r="B8111" s="219"/>
      <c r="C8111" s="219"/>
      <c r="D8111" s="219"/>
      <c r="E8111" s="219"/>
      <c r="F8111" s="219"/>
      <c r="G8111" s="219"/>
    </row>
    <row r="8112" spans="1:7" x14ac:dyDescent="0.25">
      <c r="A8112" s="49" t="s">
        <v>35</v>
      </c>
      <c r="B8112" s="225" t="s">
        <v>36</v>
      </c>
      <c r="C8112" s="225"/>
      <c r="D8112" s="49" t="s">
        <v>37</v>
      </c>
      <c r="E8112" s="49" t="s">
        <v>38</v>
      </c>
      <c r="F8112" s="49" t="s">
        <v>39</v>
      </c>
      <c r="G8112" s="49" t="s">
        <v>40</v>
      </c>
    </row>
    <row r="8113" spans="1:7" x14ac:dyDescent="0.25">
      <c r="A8113" s="69" t="s">
        <v>97</v>
      </c>
      <c r="B8113" s="72" t="str">
        <f>VLOOKUP(A8113,'Componentes APUs'!$N$1:$Q$30,2,0)</f>
        <v>Camioneta</v>
      </c>
      <c r="C8113" s="73"/>
      <c r="D8113" s="70" t="str">
        <f>VLOOKUP(A8113,'Componentes APUs'!$N$1:$Q$30,3,0)</f>
        <v>U</v>
      </c>
      <c r="E8113" s="50">
        <v>0</v>
      </c>
      <c r="F8113" s="51">
        <f>VLOOKUP(A8113,'Componentes APUs'!$N$1:$Q$30,4,0)</f>
        <v>5500000</v>
      </c>
      <c r="G8113" s="51">
        <f>IFERROR(ROUNDUP(F8113*(E8113/21)/E8063,0),"-")</f>
        <v>0</v>
      </c>
    </row>
    <row r="8114" spans="1:7" x14ac:dyDescent="0.25">
      <c r="A8114" s="50" t="s">
        <v>1473</v>
      </c>
      <c r="B8114" s="72" t="str">
        <f>VLOOKUP(A8114,'Componentes APUs'!$N$1:$Q$30,2,0)</f>
        <v>Concretera</v>
      </c>
      <c r="C8114" s="73"/>
      <c r="D8114" s="70" t="str">
        <f>VLOOKUP(A8114,'Componentes APUs'!$N$1:$Q$30,3,0)</f>
        <v>U</v>
      </c>
      <c r="E8114" s="50">
        <v>0</v>
      </c>
      <c r="F8114" s="51">
        <f>VLOOKUP(A8114,'Componentes APUs'!$N$1:$Q$30,4,0)</f>
        <v>550704</v>
      </c>
      <c r="G8114" s="51">
        <f>IFERROR(ROUNDUP(F8114*(E8114/21)/E8063,0),"-")</f>
        <v>0</v>
      </c>
    </row>
    <row r="8115" spans="1:7" x14ac:dyDescent="0.25">
      <c r="A8115" s="69" t="s">
        <v>1379</v>
      </c>
      <c r="B8115" s="72" t="str">
        <f>VLOOKUP(A8115,'Componentes APUs'!$N$1:$Q$30,2,0)</f>
        <v>Dumper de descarga Frontal 2T</v>
      </c>
      <c r="C8115" s="73"/>
      <c r="D8115" s="70" t="str">
        <f>VLOOKUP(A8115,'Componentes APUs'!$N$1:$Q$30,3,0)</f>
        <v>U</v>
      </c>
      <c r="E8115" s="50">
        <v>0</v>
      </c>
      <c r="F8115" s="51">
        <f>VLOOKUP(A8115,'Componentes APUs'!$N$1:$Q$30,4,0)</f>
        <v>4438716.24</v>
      </c>
      <c r="G8115" s="51">
        <f>IFERROR(ROUNDUP(F8115*(E8115/21)/E8063,0),"-")</f>
        <v>0</v>
      </c>
    </row>
    <row r="8116" spans="1:7" x14ac:dyDescent="0.25">
      <c r="A8116" s="50" t="s">
        <v>323</v>
      </c>
      <c r="B8116" s="72" t="str">
        <f>VLOOKUP(A8116,'Componentes APUs'!$N$1:$Q$30,2,0)</f>
        <v>Volqueta</v>
      </c>
      <c r="C8116" s="73"/>
      <c r="D8116" s="70" t="str">
        <f>VLOOKUP(A8116,'Componentes APUs'!$N$1:$Q$30,3,0)</f>
        <v>U</v>
      </c>
      <c r="E8116" s="50">
        <v>0</v>
      </c>
      <c r="F8116" s="51">
        <f>VLOOKUP(A8116,'Componentes APUs'!$N$1:$Q$30,4,0)</f>
        <v>14828184</v>
      </c>
      <c r="G8116" s="51">
        <f>IFERROR(ROUNDUP(F8116*(E8116/21)/E8063,0),"-")</f>
        <v>0</v>
      </c>
    </row>
    <row r="8117" spans="1:7" x14ac:dyDescent="0.25">
      <c r="A8117" s="69" t="s">
        <v>324</v>
      </c>
      <c r="B8117" s="72" t="str">
        <f>VLOOKUP(A8117,'Componentes APUs'!$N$1:$Q$30,2,0)</f>
        <v>Retroexcavadora</v>
      </c>
      <c r="C8117" s="73"/>
      <c r="D8117" s="70" t="str">
        <f>VLOOKUP(A8117,'Componentes APUs'!$N$1:$Q$30,3,0)</f>
        <v>U</v>
      </c>
      <c r="E8117" s="50">
        <v>0</v>
      </c>
      <c r="F8117" s="51">
        <f>VLOOKUP(A8117,'Componentes APUs'!$N$1:$Q$30,4,0)</f>
        <v>46030656</v>
      </c>
      <c r="G8117" s="51">
        <f>IFERROR(ROUNDUP(F8117*(E8117/21)/E8063,0),"-")</f>
        <v>0</v>
      </c>
    </row>
    <row r="8118" spans="1:7" x14ac:dyDescent="0.25">
      <c r="A8118" s="219" t="s">
        <v>99</v>
      </c>
      <c r="B8118" s="219"/>
      <c r="C8118" s="219"/>
      <c r="D8118" s="219"/>
      <c r="E8118" s="219"/>
      <c r="F8118" s="219"/>
      <c r="G8118" s="52">
        <f>SUM(G8113:G8117)</f>
        <v>0</v>
      </c>
    </row>
    <row r="8119" spans="1:7" x14ac:dyDescent="0.25">
      <c r="A8119" s="56"/>
      <c r="B8119" s="57"/>
      <c r="C8119" s="57"/>
      <c r="D8119" s="57"/>
      <c r="E8119" s="57"/>
      <c r="F8119" s="57"/>
      <c r="G8119" s="58"/>
    </row>
    <row r="8120" spans="1:7" x14ac:dyDescent="0.25">
      <c r="A8120" s="219" t="s">
        <v>100</v>
      </c>
      <c r="B8120" s="219"/>
      <c r="C8120" s="219"/>
      <c r="D8120" s="219"/>
      <c r="E8120" s="219"/>
      <c r="F8120" s="219"/>
      <c r="G8120" s="52">
        <f>G8118+G8109+G8092+G8082+G8072</f>
        <v>76348</v>
      </c>
    </row>
    <row r="8121" spans="1:7" x14ac:dyDescent="0.25">
      <c r="A8121" s="59"/>
      <c r="B8121" s="60"/>
      <c r="C8121" s="60"/>
      <c r="D8121" s="60"/>
      <c r="E8121" s="57"/>
      <c r="F8121" s="57"/>
      <c r="G8121" s="58"/>
    </row>
    <row r="8122" spans="1:7" x14ac:dyDescent="0.25">
      <c r="A8122" s="64"/>
      <c r="D8122" s="55"/>
      <c r="E8122" s="49" t="s">
        <v>25</v>
      </c>
      <c r="F8122" s="54">
        <v>0.15</v>
      </c>
      <c r="G8122" s="51">
        <f>G8120*F8122</f>
        <v>11452.199999999999</v>
      </c>
    </row>
    <row r="8123" spans="1:7" x14ac:dyDescent="0.25">
      <c r="A8123" s="64"/>
      <c r="D8123" s="55"/>
      <c r="E8123" s="49" t="s">
        <v>26</v>
      </c>
      <c r="F8123" s="54">
        <v>0.05</v>
      </c>
      <c r="G8123" s="51">
        <f>G8120*F8123</f>
        <v>3817.4</v>
      </c>
    </row>
    <row r="8124" spans="1:7" x14ac:dyDescent="0.25">
      <c r="A8124" s="61"/>
      <c r="B8124" s="65"/>
      <c r="C8124" s="65"/>
      <c r="D8124" s="62"/>
      <c r="E8124" s="49" t="s">
        <v>27</v>
      </c>
      <c r="F8124" s="54">
        <v>0.05</v>
      </c>
      <c r="G8124" s="51">
        <f>G8120*F8124</f>
        <v>3817.4</v>
      </c>
    </row>
    <row r="8125" spans="1:7" x14ac:dyDescent="0.25">
      <c r="A8125" s="61"/>
      <c r="B8125" s="62"/>
      <c r="C8125" s="62"/>
      <c r="D8125" s="62"/>
      <c r="E8125" s="62"/>
      <c r="F8125" s="62"/>
      <c r="G8125" s="63"/>
    </row>
    <row r="8126" spans="1:7" x14ac:dyDescent="0.25">
      <c r="A8126" s="219" t="s">
        <v>101</v>
      </c>
      <c r="B8126" s="219"/>
      <c r="C8126" s="219"/>
      <c r="D8126" s="219"/>
      <c r="E8126" s="219"/>
      <c r="F8126" s="219"/>
      <c r="G8126" s="52">
        <f>G8120+G8122+G8123+G8124</f>
        <v>95434.999999999985</v>
      </c>
    </row>
    <row r="8127" spans="1:7" x14ac:dyDescent="0.25">
      <c r="A8127" s="59"/>
      <c r="B8127" s="60"/>
      <c r="C8127" s="60"/>
      <c r="D8127" s="60"/>
      <c r="E8127" s="57"/>
      <c r="F8127" s="57"/>
      <c r="G8127" s="58"/>
    </row>
    <row r="8128" spans="1:7" x14ac:dyDescent="0.25">
      <c r="A8128" s="64"/>
      <c r="D8128" s="55"/>
      <c r="E8128" s="49" t="s">
        <v>102</v>
      </c>
      <c r="F8128" s="49" t="s">
        <v>103</v>
      </c>
      <c r="G8128" s="51">
        <f>G8124*19%</f>
        <v>725.30600000000004</v>
      </c>
    </row>
    <row r="8129" spans="1:14" x14ac:dyDescent="0.25">
      <c r="A8129" s="61"/>
      <c r="B8129" s="62"/>
      <c r="C8129" s="62"/>
      <c r="D8129" s="62"/>
      <c r="E8129" s="57"/>
      <c r="F8129" s="57"/>
      <c r="G8129" s="58"/>
    </row>
    <row r="8130" spans="1:14" x14ac:dyDescent="0.25">
      <c r="A8130" s="219" t="s">
        <v>104</v>
      </c>
      <c r="B8130" s="219"/>
      <c r="C8130" s="219"/>
      <c r="D8130" s="219"/>
      <c r="E8130" s="219"/>
      <c r="F8130" s="219"/>
      <c r="G8130" s="52">
        <f>G8128+G8126</f>
        <v>96160.305999999982</v>
      </c>
    </row>
    <row r="8132" spans="1:14" x14ac:dyDescent="0.25">
      <c r="A8132" s="74" t="s">
        <v>29</v>
      </c>
      <c r="B8132" s="226" t="s">
        <v>30</v>
      </c>
      <c r="C8132" s="226"/>
      <c r="D8132" s="74" t="s">
        <v>31</v>
      </c>
      <c r="E8132" s="74" t="s">
        <v>32</v>
      </c>
      <c r="F8132" s="74" t="s">
        <v>189</v>
      </c>
      <c r="G8132" s="74" t="s">
        <v>33</v>
      </c>
      <c r="H8132" s="105"/>
    </row>
    <row r="8133" spans="1:14" x14ac:dyDescent="0.25">
      <c r="A8133" s="50" t="str">
        <f>Presupuesto!B152</f>
        <v>129_OC</v>
      </c>
      <c r="B8133" s="229" t="str">
        <f>Presupuesto!C152</f>
        <v>VIGA DE AMARRE  15 X 12 CM</v>
      </c>
      <c r="C8133" s="230"/>
      <c r="D8133" s="50" t="s">
        <v>16</v>
      </c>
      <c r="E8133" s="53">
        <v>80</v>
      </c>
      <c r="F8133" s="50"/>
      <c r="G8133" s="51">
        <f>G8200</f>
        <v>96160.305999999982</v>
      </c>
      <c r="H8133" s="111"/>
    </row>
    <row r="8134" spans="1:14" x14ac:dyDescent="0.25">
      <c r="A8134" s="219" t="s">
        <v>34</v>
      </c>
      <c r="B8134" s="219"/>
      <c r="C8134" s="219"/>
      <c r="D8134" s="219"/>
      <c r="E8134" s="219"/>
      <c r="F8134" s="219"/>
      <c r="G8134" s="219"/>
    </row>
    <row r="8135" spans="1:14" ht="30.75" customHeight="1" x14ac:dyDescent="0.25">
      <c r="A8135" s="49" t="s">
        <v>35</v>
      </c>
      <c r="B8135" s="219" t="s">
        <v>36</v>
      </c>
      <c r="C8135" s="219"/>
      <c r="D8135" s="49" t="s">
        <v>37</v>
      </c>
      <c r="E8135" s="49" t="s">
        <v>38</v>
      </c>
      <c r="F8135" s="49" t="s">
        <v>39</v>
      </c>
      <c r="G8135" s="49" t="s">
        <v>40</v>
      </c>
      <c r="K8135" s="23"/>
      <c r="L8135" s="23"/>
    </row>
    <row r="8136" spans="1:14" x14ac:dyDescent="0.25">
      <c r="A8136" s="50" t="str">
        <f>Material!A218</f>
        <v>MA-217</v>
      </c>
      <c r="B8136" s="72" t="str">
        <f>IFERROR(VLOOKUP(A8136,Material!$A:$H,2,0),"-")</f>
        <v>FORMALETA EN MADERA CON TABLA DE 1"</v>
      </c>
      <c r="C8136" s="76"/>
      <c r="D8136" s="50" t="str">
        <f>IFERROR(VLOOKUP(A8136,Material!$A:$H,4,0),"-")</f>
        <v>M2</v>
      </c>
      <c r="E8136" s="107">
        <v>4.8000000000000001E-2</v>
      </c>
      <c r="F8136" s="51">
        <f>IFERROR(VLOOKUP(A8136,Material!$A:$H,3,0),"-")</f>
        <v>24691.116165303549</v>
      </c>
      <c r="G8136" s="51">
        <f t="shared" ref="G8136:G8141" si="119">IFERROR(ROUNDUP(F8136*E8136,0),"-")</f>
        <v>1186</v>
      </c>
      <c r="H8136" s="112"/>
      <c r="I8136" s="119"/>
      <c r="J8136" s="119"/>
      <c r="K8136" s="119"/>
      <c r="L8136" s="119"/>
      <c r="M8136" s="117"/>
      <c r="N8136" s="117"/>
    </row>
    <row r="8137" spans="1:14" x14ac:dyDescent="0.25">
      <c r="A8137" s="50" t="str">
        <f>Material!A15</f>
        <v>MA-14</v>
      </c>
      <c r="B8137" s="72" t="str">
        <f>IFERROR(VLOOKUP(A8137,Material!$A:$H,2,0),"-")</f>
        <v>CONCRETO DE 3000 PSI</v>
      </c>
      <c r="C8137" s="76"/>
      <c r="D8137" s="50" t="str">
        <f>IFERROR(VLOOKUP(A8137,Material!$A:$H,4,0),"-")</f>
        <v>M3</v>
      </c>
      <c r="E8137" s="107">
        <v>3.1E-2</v>
      </c>
      <c r="F8137" s="51">
        <f>IFERROR(VLOOKUP(A8137,Material!$A:$H,3,0),"-")</f>
        <v>620227.23330691375</v>
      </c>
      <c r="G8137" s="51">
        <f t="shared" si="119"/>
        <v>19228</v>
      </c>
      <c r="H8137" s="112"/>
      <c r="I8137" s="119"/>
      <c r="J8137" s="119"/>
      <c r="K8137" s="119"/>
      <c r="L8137" s="119"/>
      <c r="M8137" s="117"/>
      <c r="N8137" s="117"/>
    </row>
    <row r="8138" spans="1:14" x14ac:dyDescent="0.25">
      <c r="A8138" s="50" t="str">
        <f>Material!A587</f>
        <v>MA-586</v>
      </c>
      <c r="B8138" s="72" t="str">
        <f>IFERROR(VLOOKUP(A8138,Material!$A:$H,2,0),"-")</f>
        <v>ACERO Fy= 420 MPa</v>
      </c>
      <c r="C8138" s="76"/>
      <c r="D8138" s="50" t="str">
        <f>IFERROR(VLOOKUP(A8138,Material!$A:$H,4,0),"-")</f>
        <v>KG</v>
      </c>
      <c r="E8138" s="107">
        <v>4.0999999999999996</v>
      </c>
      <c r="F8138" s="51">
        <f>IFERROR(VLOOKUP(A8138,Material!$A:$H,3,0),"-")</f>
        <v>6962.8</v>
      </c>
      <c r="G8138" s="51">
        <f t="shared" si="119"/>
        <v>28548</v>
      </c>
      <c r="H8138" s="112"/>
      <c r="I8138" s="116"/>
      <c r="J8138" s="118"/>
      <c r="K8138" s="241"/>
      <c r="L8138" s="241"/>
      <c r="M8138" s="118"/>
      <c r="N8138" s="118"/>
    </row>
    <row r="8139" spans="1:14" x14ac:dyDescent="0.25">
      <c r="A8139" s="50" t="str">
        <f>Material!A588</f>
        <v>MA-587</v>
      </c>
      <c r="B8139" s="72" t="str">
        <f>IFERROR(VLOOKUP(A8139,Material!$A:$H,2,0),"-")</f>
        <v>ACERO Fy= 240 MPa</v>
      </c>
      <c r="C8139" s="76"/>
      <c r="D8139" s="50" t="str">
        <f>IFERROR(VLOOKUP(A8139,Material!$A:$H,4,0),"-")</f>
        <v>kG</v>
      </c>
      <c r="E8139" s="107">
        <v>1.17</v>
      </c>
      <c r="F8139" s="51">
        <f>IFERROR(VLOOKUP(A8139,Material!$A:$H,3,0),"-")</f>
        <v>7341.1</v>
      </c>
      <c r="G8139" s="51">
        <f t="shared" si="119"/>
        <v>8590</v>
      </c>
      <c r="H8139" s="112"/>
      <c r="I8139" s="116"/>
      <c r="J8139" s="118"/>
      <c r="K8139" s="152"/>
      <c r="L8139" s="152"/>
      <c r="M8139" s="118"/>
      <c r="N8139" s="118"/>
    </row>
    <row r="8140" spans="1:14" x14ac:dyDescent="0.25">
      <c r="A8140" s="50" t="str">
        <f>Material!A458</f>
        <v>MA-457</v>
      </c>
      <c r="B8140" s="72" t="str">
        <f>IFERROR(VLOOKUP(A8140,Material!$A:$H,2,0),"-")</f>
        <v>ALAMBRE NEGRO CALIBRE 18</v>
      </c>
      <c r="C8140" s="76"/>
      <c r="D8140" s="50" t="str">
        <f>IFERROR(VLOOKUP(A8140,Material!$A:$H,4,0),"-")</f>
        <v>KG</v>
      </c>
      <c r="E8140" s="107">
        <v>0.14000000000000001</v>
      </c>
      <c r="F8140" s="51">
        <f>IFERROR(VLOOKUP(A8140,Material!$A:$H,3,0),"-")</f>
        <v>8083.4000000000005</v>
      </c>
      <c r="G8140" s="51">
        <f t="shared" si="119"/>
        <v>1132</v>
      </c>
      <c r="H8140" s="112"/>
      <c r="I8140" s="116"/>
      <c r="J8140" s="118"/>
      <c r="K8140" s="152"/>
      <c r="L8140" s="152"/>
      <c r="M8140" s="118"/>
      <c r="N8140" s="118"/>
    </row>
    <row r="8141" spans="1:14" ht="24.75" customHeight="1" x14ac:dyDescent="0.25">
      <c r="A8141" s="50" t="str">
        <f>Material!A589</f>
        <v>MA-588</v>
      </c>
      <c r="B8141" s="232" t="str">
        <f>IFERROR(VLOOKUP(A8141,Material!$A:$H,2,0),"-")</f>
        <v>SEPAROL N (Desformaleteante para fácil desencofre de concreto)</v>
      </c>
      <c r="C8141" s="233"/>
      <c r="D8141" s="50" t="str">
        <f>IFERROR(VLOOKUP(A8141,Material!$A:$H,4,0),"-")</f>
        <v>KG</v>
      </c>
      <c r="E8141" s="107">
        <v>0.01</v>
      </c>
      <c r="F8141" s="51">
        <f>IFERROR(VLOOKUP(A8141,Material!$A:$H,3,0),"-")</f>
        <v>18657.600000000002</v>
      </c>
      <c r="G8141" s="51">
        <f t="shared" si="119"/>
        <v>187</v>
      </c>
      <c r="H8141" s="112"/>
      <c r="I8141" s="116"/>
      <c r="J8141" s="118"/>
      <c r="K8141" s="152"/>
      <c r="L8141" s="152"/>
      <c r="M8141" s="118"/>
      <c r="N8141" s="118"/>
    </row>
    <row r="8142" spans="1:14" x14ac:dyDescent="0.25">
      <c r="A8142" s="219" t="s">
        <v>41</v>
      </c>
      <c r="B8142" s="219"/>
      <c r="C8142" s="219"/>
      <c r="D8142" s="219"/>
      <c r="E8142" s="219"/>
      <c r="F8142" s="219"/>
      <c r="G8142" s="52">
        <f>SUM(G8136:G8141)</f>
        <v>58871</v>
      </c>
      <c r="I8142" s="112"/>
      <c r="J8142" s="110"/>
      <c r="K8142" s="113"/>
      <c r="L8142" s="114"/>
      <c r="M8142" s="115"/>
      <c r="N8142" s="115"/>
    </row>
    <row r="8143" spans="1:14" x14ac:dyDescent="0.25">
      <c r="A8143" s="56"/>
      <c r="B8143" s="57"/>
      <c r="C8143" s="57"/>
      <c r="D8143" s="57"/>
      <c r="E8143" s="57"/>
      <c r="F8143" s="57"/>
      <c r="G8143" s="58"/>
      <c r="I8143" s="245"/>
      <c r="J8143" s="245"/>
      <c r="K8143" s="245"/>
      <c r="L8143" s="246"/>
      <c r="M8143" s="117"/>
      <c r="N8143" s="117"/>
    </row>
    <row r="8144" spans="1:14" x14ac:dyDescent="0.25">
      <c r="A8144" s="219" t="s">
        <v>42</v>
      </c>
      <c r="B8144" s="219"/>
      <c r="C8144" s="219"/>
      <c r="D8144" s="219"/>
      <c r="E8144" s="219"/>
      <c r="F8144" s="219"/>
      <c r="G8144" s="219"/>
      <c r="I8144" s="245"/>
      <c r="J8144" s="245"/>
      <c r="K8144" s="245"/>
      <c r="L8144" s="246"/>
      <c r="M8144" s="117"/>
      <c r="N8144" s="117"/>
    </row>
    <row r="8145" spans="1:14" x14ac:dyDescent="0.25">
      <c r="A8145" s="49" t="s">
        <v>35</v>
      </c>
      <c r="B8145" s="49" t="s">
        <v>36</v>
      </c>
      <c r="C8145" s="49" t="s">
        <v>38</v>
      </c>
      <c r="D8145" s="49" t="s">
        <v>43</v>
      </c>
      <c r="E8145" s="49" t="s">
        <v>44</v>
      </c>
      <c r="F8145" s="49" t="s">
        <v>45</v>
      </c>
      <c r="G8145" s="49" t="s">
        <v>40</v>
      </c>
      <c r="I8145" s="116"/>
      <c r="J8145" s="118"/>
      <c r="K8145" s="241"/>
      <c r="L8145" s="241"/>
      <c r="M8145" s="118"/>
      <c r="N8145" s="118"/>
    </row>
    <row r="8146" spans="1:14" x14ac:dyDescent="0.25">
      <c r="A8146" s="50" t="s">
        <v>319</v>
      </c>
      <c r="B8146" s="68" t="str">
        <f>VLOOKUP(A8146,'Componentes APUs'!$H$1:$L$25,2,0)</f>
        <v>Ingeniero Residente de Obra</v>
      </c>
      <c r="C8146" s="93">
        <v>0.25</v>
      </c>
      <c r="D8146" s="50">
        <f>VLOOKUP(A8146,'Componentes APUs'!$H$1:$L$25,3,0)</f>
        <v>4</v>
      </c>
      <c r="E8146" s="51">
        <f>VLOOKUP(A8146,'Componentes APUs'!$H$1:$L$25,4,0)</f>
        <v>271142.85714285716</v>
      </c>
      <c r="F8146" s="51">
        <f>VLOOKUP(A8146,'Componentes APUs'!$H$1:$L$25,5,0)</f>
        <v>162685.71428571429</v>
      </c>
      <c r="G8146" s="51">
        <f>ROUNDUP((E8146+F8146)*C8146/E8133,0)</f>
        <v>1356</v>
      </c>
      <c r="H8146" s="66"/>
      <c r="I8146" s="112"/>
      <c r="J8146" s="110"/>
      <c r="K8146" s="113"/>
      <c r="L8146" s="114"/>
      <c r="M8146" s="115"/>
      <c r="N8146" s="115"/>
    </row>
    <row r="8147" spans="1:14" x14ac:dyDescent="0.25">
      <c r="A8147" s="50" t="s">
        <v>320</v>
      </c>
      <c r="B8147" s="68" t="str">
        <f>VLOOKUP(A8147,'Componentes APUs'!$H$1:$L$25,2,0)</f>
        <v>Tecnico Supervisor</v>
      </c>
      <c r="C8147" s="93">
        <v>0</v>
      </c>
      <c r="D8147" s="50">
        <f>VLOOKUP(A8147,'Componentes APUs'!$H$1:$L$25,3,0)</f>
        <v>2.2999999999999998</v>
      </c>
      <c r="E8147" s="51">
        <f>VLOOKUP(A8147,'Componentes APUs'!$H$1:$L$25,4,0)</f>
        <v>155907.14285714284</v>
      </c>
      <c r="F8147" s="51">
        <f>VLOOKUP(A8147,'Componentes APUs'!$H$1:$L$25,5,0)</f>
        <v>93544.285714285696</v>
      </c>
      <c r="G8147" s="51">
        <f>ROUNDUP((E8147+F8147)*C8147/E8133,0)</f>
        <v>0</v>
      </c>
      <c r="I8147" s="112"/>
      <c r="J8147" s="110"/>
      <c r="K8147" s="113"/>
      <c r="L8147" s="114"/>
      <c r="M8147" s="115"/>
      <c r="N8147" s="115"/>
    </row>
    <row r="8148" spans="1:14" x14ac:dyDescent="0.25">
      <c r="A8148" s="50" t="s">
        <v>54</v>
      </c>
      <c r="B8148" s="68" t="str">
        <f>VLOOKUP(A8148,'Componentes APUs'!$H$1:$L$25,2,0)</f>
        <v>Maestro de obra civil</v>
      </c>
      <c r="C8148" s="93">
        <v>0</v>
      </c>
      <c r="D8148" s="50">
        <f>VLOOKUP(A8148,'Componentes APUs'!$H$1:$L$25,3,0)</f>
        <v>2.5</v>
      </c>
      <c r="E8148" s="51">
        <f>VLOOKUP(A8148,'Componentes APUs'!$H$1:$L$25,4,0)</f>
        <v>169464.28571428571</v>
      </c>
      <c r="F8148" s="51">
        <f>VLOOKUP(A8148,'Componentes APUs'!$H$1:$L$25,5,0)</f>
        <v>101678.57142857142</v>
      </c>
      <c r="G8148" s="51">
        <f>ROUNDUP((E8148+F8148)*C8148/E8133,0)</f>
        <v>0</v>
      </c>
      <c r="I8148" s="112"/>
      <c r="J8148" s="110"/>
      <c r="K8148" s="113"/>
      <c r="L8148" s="114"/>
      <c r="M8148" s="115"/>
      <c r="N8148" s="115"/>
    </row>
    <row r="8149" spans="1:14" x14ac:dyDescent="0.25">
      <c r="A8149" s="50" t="s">
        <v>1110</v>
      </c>
      <c r="B8149" s="68" t="str">
        <f>VLOOKUP(A8149,'Componentes APUs'!$H$1:$L$25,2,0)</f>
        <v>Oficial de Obra Civil</v>
      </c>
      <c r="C8149" s="93">
        <v>3</v>
      </c>
      <c r="D8149" s="50">
        <f>VLOOKUP(A8149,'Componentes APUs'!$H$1:$L$25,3,0)</f>
        <v>1.5</v>
      </c>
      <c r="E8149" s="51">
        <f>VLOOKUP(A8149,'Componentes APUs'!$H$1:$L$25,4,0)</f>
        <v>115964.28571428571</v>
      </c>
      <c r="F8149" s="51">
        <f>VLOOKUP(A8149,'Componentes APUs'!$H$1:$L$25,5,0)</f>
        <v>69578.57142857142</v>
      </c>
      <c r="G8149" s="51">
        <f>ROUNDUP((E8149+F8149)*C8149/E8133,0)</f>
        <v>6958</v>
      </c>
      <c r="I8149" s="112"/>
      <c r="J8149" s="110"/>
      <c r="K8149" s="113"/>
      <c r="L8149" s="114"/>
      <c r="M8149" s="115"/>
      <c r="N8149" s="115"/>
    </row>
    <row r="8150" spans="1:14" x14ac:dyDescent="0.25">
      <c r="A8150" s="50" t="s">
        <v>50</v>
      </c>
      <c r="B8150" s="68" t="str">
        <f>VLOOKUP(A8150,'Componentes APUs'!$H$1:$L$25,2,0)</f>
        <v>Profesional en SST</v>
      </c>
      <c r="C8150" s="93">
        <v>0.25</v>
      </c>
      <c r="D8150" s="50">
        <f>VLOOKUP(A8150,'Componentes APUs'!$H$1:$L$25,3,0)</f>
        <v>2.5</v>
      </c>
      <c r="E8150" s="51">
        <f>VLOOKUP(A8150,'Componentes APUs'!$H$1:$L$25,4,0)</f>
        <v>169464.28571428571</v>
      </c>
      <c r="F8150" s="51">
        <f>VLOOKUP(A8150,'Componentes APUs'!$H$1:$L$25,5,0)</f>
        <v>101678.57142857142</v>
      </c>
      <c r="G8150" s="51">
        <f>ROUNDUP((E8150+F8150)*C8150/E8133,0)</f>
        <v>848</v>
      </c>
      <c r="I8150" s="112"/>
      <c r="J8150" s="110"/>
      <c r="K8150" s="113"/>
      <c r="L8150" s="114"/>
      <c r="M8150" s="115"/>
      <c r="N8150" s="115"/>
    </row>
    <row r="8151" spans="1:14" x14ac:dyDescent="0.25">
      <c r="A8151" s="50" t="s">
        <v>1109</v>
      </c>
      <c r="B8151" s="68" t="str">
        <f>VLOOKUP(A8151,'Componentes APUs'!$H$1:$L$25,2,0)</f>
        <v>Ayudante de Obra Civil</v>
      </c>
      <c r="C8151" s="93">
        <v>5</v>
      </c>
      <c r="D8151" s="50">
        <f>VLOOKUP(A8151,'Componentes APUs'!$H$1:$L$25,3,0)</f>
        <v>1</v>
      </c>
      <c r="E8151" s="51">
        <f>VLOOKUP(A8151,'Componentes APUs'!$H$1:$L$25,4,0)</f>
        <v>77309.523809523816</v>
      </c>
      <c r="F8151" s="51">
        <f>VLOOKUP(A8151,'Componentes APUs'!$H$1:$L$25,5,0)</f>
        <v>46385.71428571429</v>
      </c>
      <c r="G8151" s="51">
        <f>ROUNDUP((E8151+F8151)*C8151/E8133,0)</f>
        <v>7731</v>
      </c>
      <c r="I8151" s="112"/>
      <c r="J8151" s="110"/>
      <c r="K8151" s="113"/>
      <c r="L8151" s="114"/>
      <c r="M8151" s="115"/>
      <c r="N8151" s="115"/>
    </row>
    <row r="8152" spans="1:14" x14ac:dyDescent="0.25">
      <c r="A8152" s="219" t="s">
        <v>56</v>
      </c>
      <c r="B8152" s="219"/>
      <c r="C8152" s="219"/>
      <c r="D8152" s="219"/>
      <c r="E8152" s="219"/>
      <c r="F8152" s="219"/>
      <c r="G8152" s="52">
        <f>SUM(G8146:G8151)</f>
        <v>16893</v>
      </c>
      <c r="I8152" s="112"/>
      <c r="J8152" s="110"/>
      <c r="K8152" s="113"/>
      <c r="L8152" s="114"/>
      <c r="M8152" s="115"/>
      <c r="N8152" s="115"/>
    </row>
    <row r="8153" spans="1:14" x14ac:dyDescent="0.25">
      <c r="A8153" s="56"/>
      <c r="B8153" s="57"/>
      <c r="C8153" s="57"/>
      <c r="D8153" s="57"/>
      <c r="E8153" s="57"/>
      <c r="F8153" s="57"/>
      <c r="G8153" s="58"/>
    </row>
    <row r="8154" spans="1:14" x14ac:dyDescent="0.25">
      <c r="A8154" s="219" t="s">
        <v>57</v>
      </c>
      <c r="B8154" s="219"/>
      <c r="C8154" s="219"/>
      <c r="D8154" s="219"/>
      <c r="E8154" s="219"/>
      <c r="F8154" s="219"/>
      <c r="G8154" s="219"/>
    </row>
    <row r="8155" spans="1:14" x14ac:dyDescent="0.25">
      <c r="A8155" s="49" t="s">
        <v>35</v>
      </c>
      <c r="B8155" s="219" t="s">
        <v>36</v>
      </c>
      <c r="C8155" s="219"/>
      <c r="D8155" s="49" t="s">
        <v>37</v>
      </c>
      <c r="E8155" s="49" t="s">
        <v>38</v>
      </c>
      <c r="F8155" s="49" t="s">
        <v>39</v>
      </c>
      <c r="G8155" s="49" t="s">
        <v>40</v>
      </c>
    </row>
    <row r="8156" spans="1:14" x14ac:dyDescent="0.25">
      <c r="A8156" s="50" t="s">
        <v>326</v>
      </c>
      <c r="B8156" s="220" t="str">
        <f>VLOOKUP(A8156,'Componentes APUs'!$S$1:$V$10,2,0)</f>
        <v>Juego Llaves</v>
      </c>
      <c r="C8156" s="220"/>
      <c r="D8156" s="50" t="s">
        <v>18</v>
      </c>
      <c r="E8156" s="50">
        <v>0</v>
      </c>
      <c r="F8156" s="51">
        <f>VLOOKUP(A8156,'Componentes APUs'!$S$1:$V$10,4,0)</f>
        <v>9167</v>
      </c>
      <c r="G8156" s="51">
        <f>ROUNDUP(F8156*((E8156/21)/E8133),0)</f>
        <v>0</v>
      </c>
      <c r="I8156" s="91"/>
    </row>
    <row r="8157" spans="1:14" x14ac:dyDescent="0.25">
      <c r="A8157" s="50" t="s">
        <v>58</v>
      </c>
      <c r="B8157" s="220" t="str">
        <f>VLOOKUP(A8157,'Componentes APUs'!$S$1:$V$10,2,0)</f>
        <v>Manila de servicio</v>
      </c>
      <c r="C8157" s="220"/>
      <c r="D8157" s="50" t="s">
        <v>18</v>
      </c>
      <c r="E8157" s="50">
        <v>0</v>
      </c>
      <c r="F8157" s="51">
        <f>VLOOKUP(A8157,'Componentes APUs'!$S$1:$V$10,4,0)</f>
        <v>2333</v>
      </c>
      <c r="G8157" s="51">
        <f>ROUNDUP(F8157*((E8157/21)/E8133),0)</f>
        <v>0</v>
      </c>
    </row>
    <row r="8158" spans="1:14" x14ac:dyDescent="0.25">
      <c r="A8158" s="50" t="s">
        <v>327</v>
      </c>
      <c r="B8158" s="220" t="str">
        <f>VLOOKUP(A8158,'Componentes APUs'!$S$1:$V$10,2,0)</f>
        <v>Tula portaherramientas</v>
      </c>
      <c r="C8158" s="220"/>
      <c r="D8158" s="50" t="s">
        <v>18</v>
      </c>
      <c r="E8158" s="50">
        <v>0</v>
      </c>
      <c r="F8158" s="51">
        <f>VLOOKUP(A8158,'Componentes APUs'!$S$1:$V$10,4,0)</f>
        <v>1250</v>
      </c>
      <c r="G8158" s="51">
        <f>ROUNDUP(F8158*((E8158/21)/E8133),0)</f>
        <v>0</v>
      </c>
    </row>
    <row r="8159" spans="1:14" x14ac:dyDescent="0.25">
      <c r="A8159" s="50" t="s">
        <v>60</v>
      </c>
      <c r="B8159" s="220" t="str">
        <f>VLOOKUP(A8159,'Componentes APUs'!$S$1:$V$10,2,0)</f>
        <v>Agarradoras</v>
      </c>
      <c r="C8159" s="220"/>
      <c r="D8159" s="50" t="s">
        <v>18</v>
      </c>
      <c r="E8159" s="50">
        <v>0</v>
      </c>
      <c r="F8159" s="51">
        <f>VLOOKUP(A8159,'Componentes APUs'!$S$1:$V$10,4,0)</f>
        <v>125000</v>
      </c>
      <c r="G8159" s="51">
        <f>ROUNDUP(F8159*((E8159/21)/E8133),0)</f>
        <v>0</v>
      </c>
    </row>
    <row r="8160" spans="1:14" x14ac:dyDescent="0.25">
      <c r="A8160" s="50" t="s">
        <v>62</v>
      </c>
      <c r="B8160" s="220" t="str">
        <f>VLOOKUP(A8160,'Componentes APUs'!$S$1:$V$10,2,0)</f>
        <v>Templadoras</v>
      </c>
      <c r="C8160" s="220"/>
      <c r="D8160" s="50" t="s">
        <v>18</v>
      </c>
      <c r="E8160" s="50">
        <v>0</v>
      </c>
      <c r="F8160" s="51">
        <f>VLOOKUP(A8160,'Componentes APUs'!$S$1:$V$10,4,0)</f>
        <v>250000</v>
      </c>
      <c r="G8160" s="51">
        <f>ROUNDUP(F8160*((E8160/21)/E8133),0)</f>
        <v>0</v>
      </c>
    </row>
    <row r="8161" spans="1:9" x14ac:dyDescent="0.25">
      <c r="A8161" s="50" t="s">
        <v>328</v>
      </c>
      <c r="B8161" s="220" t="str">
        <f>VLOOKUP(A8161,'Componentes APUs'!$S$1:$V$10,2,0)</f>
        <v>Herramienta Menor</v>
      </c>
      <c r="C8161" s="220"/>
      <c r="D8161" s="50" t="s">
        <v>18</v>
      </c>
      <c r="E8161" s="50">
        <v>7</v>
      </c>
      <c r="F8161" s="51">
        <f>VLOOKUP(A8161,'Componentes APUs'!$S$1:$V$10,4,0)</f>
        <v>75758</v>
      </c>
      <c r="G8161" s="51">
        <f>ROUNDUP(F8161*((E8161/21)/E8133),0)</f>
        <v>316</v>
      </c>
    </row>
    <row r="8162" spans="1:9" x14ac:dyDescent="0.25">
      <c r="A8162" s="219" t="s">
        <v>69</v>
      </c>
      <c r="B8162" s="219"/>
      <c r="C8162" s="219"/>
      <c r="D8162" s="219"/>
      <c r="E8162" s="219"/>
      <c r="F8162" s="219"/>
      <c r="G8162" s="52">
        <f>SUM(G8156:G8161)</f>
        <v>316</v>
      </c>
    </row>
    <row r="8163" spans="1:9" x14ac:dyDescent="0.25">
      <c r="A8163" s="56"/>
      <c r="B8163" s="57"/>
      <c r="C8163" s="57"/>
      <c r="D8163" s="57"/>
      <c r="E8163" s="57"/>
      <c r="F8163" s="57"/>
      <c r="G8163" s="58"/>
    </row>
    <row r="8164" spans="1:9" x14ac:dyDescent="0.25">
      <c r="A8164" s="219" t="s">
        <v>70</v>
      </c>
      <c r="B8164" s="219"/>
      <c r="C8164" s="219"/>
      <c r="D8164" s="219"/>
      <c r="E8164" s="219"/>
      <c r="F8164" s="219"/>
      <c r="G8164" s="219"/>
    </row>
    <row r="8165" spans="1:9" x14ac:dyDescent="0.25">
      <c r="A8165" s="49" t="s">
        <v>35</v>
      </c>
      <c r="B8165" s="219" t="s">
        <v>36</v>
      </c>
      <c r="C8165" s="219"/>
      <c r="D8165" s="49" t="s">
        <v>37</v>
      </c>
      <c r="E8165" s="49" t="s">
        <v>38</v>
      </c>
      <c r="F8165" s="49" t="s">
        <v>39</v>
      </c>
      <c r="G8165" s="49" t="s">
        <v>40</v>
      </c>
    </row>
    <row r="8166" spans="1:9" x14ac:dyDescent="0.25">
      <c r="A8166" s="50" t="s">
        <v>71</v>
      </c>
      <c r="B8166" s="71" t="str">
        <f>VLOOKUP(A8166,'Componentes APUs'!$A$1:$D$14,2,0)</f>
        <v>Camisa indigo sin partes metalicas</v>
      </c>
      <c r="C8166" s="71"/>
      <c r="D8166" s="50" t="str">
        <f>VLOOKUP(A8166,'Componentes APUs'!$A$1:$D$14,3,0)</f>
        <v>U</v>
      </c>
      <c r="E8166" s="50">
        <f>SUM(C8146:C8151)</f>
        <v>8.5</v>
      </c>
      <c r="F8166" s="51">
        <f>VLOOKUP(A8166,'Componentes APUs'!$A$1:$D$14,4,0)</f>
        <v>8585.8585858585866</v>
      </c>
      <c r="G8166" s="51">
        <f>ROUNDUP(F8166*(E8166/21)/E8133,0)</f>
        <v>44</v>
      </c>
      <c r="I8166" s="91"/>
    </row>
    <row r="8167" spans="1:9" x14ac:dyDescent="0.25">
      <c r="A8167" s="69" t="s">
        <v>73</v>
      </c>
      <c r="B8167" s="72" t="str">
        <f>VLOOKUP(A8167,'Componentes APUs'!$A$1:$D$14,2,0)</f>
        <v>Bota de seguridad dielectrica</v>
      </c>
      <c r="C8167" s="73"/>
      <c r="D8167" s="70" t="str">
        <f>VLOOKUP(A8167,'Componentes APUs'!$A$1:$D$14,3,0)</f>
        <v>Par</v>
      </c>
      <c r="E8167" s="50">
        <f>SUM(C8146:C8151)</f>
        <v>8.5</v>
      </c>
      <c r="F8167" s="51">
        <f>VLOOKUP(A8167,'Componentes APUs'!$A$1:$D$14,4,0)</f>
        <v>7500</v>
      </c>
      <c r="G8167" s="51">
        <f>ROUNDUP(F8167*(E8167/21)/E8133,0)</f>
        <v>38</v>
      </c>
    </row>
    <row r="8168" spans="1:9" x14ac:dyDescent="0.25">
      <c r="A8168" s="50" t="s">
        <v>76</v>
      </c>
      <c r="B8168" s="72" t="str">
        <f>VLOOKUP(A8168,'Componentes APUs'!$A$1:$D$14,2,0)</f>
        <v>Casco dielectrico Tipo 1 Clase E con barbuquejo</v>
      </c>
      <c r="C8168" s="73"/>
      <c r="D8168" s="50" t="str">
        <f>VLOOKUP(A8168,'Componentes APUs'!$A$1:$D$14,3,0)</f>
        <v>U</v>
      </c>
      <c r="E8168" s="50">
        <f>C8146+C8147+C8149+C8150+C8151+IF(A8148&lt;&gt;"MO-3",C8148,0)</f>
        <v>8.5</v>
      </c>
      <c r="F8168" s="51">
        <f>VLOOKUP(A8168,'Componentes APUs'!$A$1:$D$14,4,0)</f>
        <v>10101.010101010101</v>
      </c>
      <c r="G8168" s="51">
        <f>ROUNDUP(F8168*(E8168/21)/E8133,0)</f>
        <v>52</v>
      </c>
    </row>
    <row r="8169" spans="1:9" x14ac:dyDescent="0.25">
      <c r="A8169" s="69" t="s">
        <v>77</v>
      </c>
      <c r="B8169" s="72" t="str">
        <f>VLOOKUP(A8169,'Componentes APUs'!$A$1:$D$14,2,0)</f>
        <v>Correa plastica y antiflama</v>
      </c>
      <c r="C8169" s="73"/>
      <c r="D8169" s="50" t="str">
        <f>VLOOKUP(A8169,'Componentes APUs'!$A$1:$D$14,3,0)</f>
        <v>U</v>
      </c>
      <c r="E8169" s="50">
        <f>SUM(C8146:C8151)</f>
        <v>8.5</v>
      </c>
      <c r="F8169" s="51">
        <f>VLOOKUP(A8169,'Componentes APUs'!$A$1:$D$14,4,0)</f>
        <v>3787.878787878788</v>
      </c>
      <c r="G8169" s="51">
        <f>ROUNDUP(F8169*(E8169/21)/E8133,0)</f>
        <v>20</v>
      </c>
    </row>
    <row r="8170" spans="1:9" x14ac:dyDescent="0.25">
      <c r="A8170" s="50" t="s">
        <v>79</v>
      </c>
      <c r="B8170" s="72" t="str">
        <f>VLOOKUP(A8170,'Componentes APUs'!$A$1:$D$14,2,0)</f>
        <v>Gafas protectoras filtro UV</v>
      </c>
      <c r="C8170" s="73"/>
      <c r="D8170" s="50" t="str">
        <f>VLOOKUP(A8170,'Componentes APUs'!$A$1:$D$14,3,0)</f>
        <v>U</v>
      </c>
      <c r="E8170" s="50">
        <f>SUM(C8146:C8151)</f>
        <v>8.5</v>
      </c>
      <c r="F8170" s="51">
        <f>VLOOKUP(A8170,'Componentes APUs'!$A$1:$D$14,4,0)</f>
        <v>2777.7777777777778</v>
      </c>
      <c r="G8170" s="51">
        <f>ROUNDUP(F8170*(E8170/21)/E8133,0)</f>
        <v>15</v>
      </c>
    </row>
    <row r="8171" spans="1:9" x14ac:dyDescent="0.25">
      <c r="A8171" s="69" t="s">
        <v>402</v>
      </c>
      <c r="B8171" s="72" t="str">
        <f>VLOOKUP(A8171,'Componentes APUs'!$A$1:$D$14,2,0)</f>
        <v>Bota de seguridad PVC dielectrica</v>
      </c>
      <c r="C8171" s="73"/>
      <c r="D8171" s="50" t="str">
        <f>VLOOKUP(A8171,'Componentes APUs'!$A$1:$D$14,3,0)</f>
        <v>Par</v>
      </c>
      <c r="E8171" s="50">
        <f>SUM(C8146:C8151)</f>
        <v>8.5</v>
      </c>
      <c r="F8171" s="51">
        <f>VLOOKUP(A8171,'Componentes APUs'!$A$1:$D$14,4,0)</f>
        <v>2916.6666666666665</v>
      </c>
      <c r="G8171" s="51">
        <f>ROUNDUP(F8171*(E8171/21)/E8133,0)</f>
        <v>15</v>
      </c>
    </row>
    <row r="8172" spans="1:9" x14ac:dyDescent="0.25">
      <c r="A8172" s="50" t="s">
        <v>403</v>
      </c>
      <c r="B8172" s="72" t="str">
        <f>VLOOKUP(A8172,'Componentes APUs'!$A$1:$D$14,2,0)</f>
        <v>Capuchon</v>
      </c>
      <c r="C8172" s="73"/>
      <c r="D8172" s="50" t="str">
        <f>VLOOKUP(A8172,'Componentes APUs'!$A$1:$D$14,3,0)</f>
        <v>U</v>
      </c>
      <c r="E8172" s="50">
        <f>SUM(C8146:C8151)</f>
        <v>8.5</v>
      </c>
      <c r="F8172" s="51">
        <f>VLOOKUP(A8172,'Componentes APUs'!$A$1:$D$14,4,0)</f>
        <v>2525.2525252525252</v>
      </c>
      <c r="G8172" s="51">
        <f>ROUNDUP(F8172*(E8172/21)/E8133,0)</f>
        <v>13</v>
      </c>
    </row>
    <row r="8173" spans="1:9" x14ac:dyDescent="0.25">
      <c r="A8173" s="69" t="s">
        <v>81</v>
      </c>
      <c r="B8173" s="72" t="str">
        <f>VLOOKUP(A8173,'Componentes APUs'!$A$1:$D$14,2,0)</f>
        <v>Guantes Protectores  - ingeniero reforzados</v>
      </c>
      <c r="C8173" s="73"/>
      <c r="D8173" s="50" t="str">
        <f>VLOOKUP(A8173,'Componentes APUs'!$A$1:$D$14,3,0)</f>
        <v>Par</v>
      </c>
      <c r="E8173" s="50">
        <f>C8148+C8149+C8151</f>
        <v>8</v>
      </c>
      <c r="F8173" s="51">
        <f>VLOOKUP(A8173,'Componentes APUs'!$A$1:$D$14,4,0)</f>
        <v>2525.2525252525252</v>
      </c>
      <c r="G8173" s="51">
        <f>ROUNDUP(F8173*(E8173/21)/E8133,0)</f>
        <v>13</v>
      </c>
    </row>
    <row r="8174" spans="1:9" x14ac:dyDescent="0.25">
      <c r="A8174" s="50" t="s">
        <v>83</v>
      </c>
      <c r="B8174" s="72" t="str">
        <f>VLOOKUP(A8174,'Componentes APUs'!$A$1:$D$14,2,0)</f>
        <v>Impermeable (pantalon camisa)</v>
      </c>
      <c r="C8174" s="73"/>
      <c r="D8174" s="50" t="str">
        <f>VLOOKUP(A8174,'Componentes APUs'!$A$1:$D$14,3,0)</f>
        <v>U</v>
      </c>
      <c r="E8174" s="50">
        <f>SUM(C8146:C8151)</f>
        <v>8.5</v>
      </c>
      <c r="F8174" s="51">
        <f>VLOOKUP(A8174,'Componentes APUs'!$A$1:$D$14,4,0)</f>
        <v>3750</v>
      </c>
      <c r="G8174" s="51">
        <f>ROUNDUP(F8174*(E8174/21)/E8133,0)</f>
        <v>19</v>
      </c>
    </row>
    <row r="8175" spans="1:9" x14ac:dyDescent="0.25">
      <c r="A8175" s="69" t="s">
        <v>85</v>
      </c>
      <c r="B8175" s="72" t="str">
        <f>VLOOKUP(A8175,'Componentes APUs'!$A$1:$D$14,2,0)</f>
        <v>Jean Dielectrico</v>
      </c>
      <c r="C8175" s="73"/>
      <c r="D8175" s="50" t="str">
        <f>VLOOKUP(A8175,'Componentes APUs'!$A$1:$D$14,3,0)</f>
        <v>U</v>
      </c>
      <c r="E8175" s="50">
        <f>SUM(C8146:C8151)</f>
        <v>8.5</v>
      </c>
      <c r="F8175" s="51">
        <f>VLOOKUP(A8175,'Componentes APUs'!$A$1:$D$14,4,0)</f>
        <v>7575.757575757576</v>
      </c>
      <c r="G8175" s="51">
        <f>ROUNDUP(F8175*(E8175/21)/E8133,0)</f>
        <v>39</v>
      </c>
    </row>
    <row r="8176" spans="1:9" x14ac:dyDescent="0.25">
      <c r="A8176" s="50" t="s">
        <v>87</v>
      </c>
      <c r="B8176" s="72" t="str">
        <f>VLOOKUP(A8176,'Componentes APUs'!$A$1:$D$14,2,0)</f>
        <v>Casco dielectrico Tipo 2 Clase E con barboquejo</v>
      </c>
      <c r="C8176" s="73"/>
      <c r="D8176" s="50" t="str">
        <f>VLOOKUP(A8176,'Componentes APUs'!$A$1:$D$14,3,0)</f>
        <v>U</v>
      </c>
      <c r="E8176" s="53">
        <f>IF(A8148="MO-3",C8148,0)</f>
        <v>0</v>
      </c>
      <c r="F8176" s="51">
        <f>VLOOKUP(A8176,'Componentes APUs'!$A$1:$D$14,4,0)</f>
        <v>7500</v>
      </c>
      <c r="G8176" s="51">
        <f>ROUNDUP(F8176*(E8176/21)/E8133,0)</f>
        <v>0</v>
      </c>
    </row>
    <row r="8177" spans="1:7" x14ac:dyDescent="0.25">
      <c r="A8177" s="69" t="s">
        <v>89</v>
      </c>
      <c r="B8177" s="72" t="str">
        <f>VLOOKUP(A8177,'Componentes APUs'!$A$1:$D$14,2,0)</f>
        <v>Kit de rescate para trabajo en alturas</v>
      </c>
      <c r="C8177" s="73"/>
      <c r="D8177" s="50" t="str">
        <f>VLOOKUP(A8177,'Componentes APUs'!$A$1:$D$14,3,0)</f>
        <v>U</v>
      </c>
      <c r="E8177" s="50">
        <f>IF(AND(A8148="MO-3",C8148=2),1,0)</f>
        <v>0</v>
      </c>
      <c r="F8177" s="51">
        <f>VLOOKUP(A8177,'Componentes APUs'!$A$1:$D$14,4,0)</f>
        <v>37500</v>
      </c>
      <c r="G8177" s="51">
        <f>ROUNDUP(F8177*(E8177/21)/E8133,0)</f>
        <v>0</v>
      </c>
    </row>
    <row r="8178" spans="1:7" x14ac:dyDescent="0.25">
      <c r="A8178" s="50" t="s">
        <v>91</v>
      </c>
      <c r="B8178" s="72" t="str">
        <f>VLOOKUP(A8178,'Componentes APUs'!$A$1:$D$14,2,0)</f>
        <v>Equipo completo para trabajo en alturas con pretales (Arnes dielectrico, 1 mosqueton de seguridad, tie off dielectrico, eslinga de posicionamiento, juego de pretales)</v>
      </c>
      <c r="C8178" s="73"/>
      <c r="D8178" s="50" t="str">
        <f>VLOOKUP(A8178,'Componentes APUs'!$A$1:$D$14,3,0)</f>
        <v>U</v>
      </c>
      <c r="E8178" s="50">
        <f>IF(A8148="MO-3",C8148,0)</f>
        <v>0</v>
      </c>
      <c r="F8178" s="51">
        <f>VLOOKUP(A8178,'Componentes APUs'!$A$1:$D$14,4,0)</f>
        <v>26041.666666666668</v>
      </c>
      <c r="G8178" s="51">
        <f>ROUNDUP(F8178*(E8178/21)/E8133,0)</f>
        <v>0</v>
      </c>
    </row>
    <row r="8179" spans="1:7" x14ac:dyDescent="0.25">
      <c r="A8179" s="219" t="s">
        <v>95</v>
      </c>
      <c r="B8179" s="219"/>
      <c r="C8179" s="219"/>
      <c r="D8179" s="219"/>
      <c r="E8179" s="219"/>
      <c r="F8179" s="219"/>
      <c r="G8179" s="52">
        <f>SUM(G8166:G8178)</f>
        <v>268</v>
      </c>
    </row>
    <row r="8180" spans="1:7" x14ac:dyDescent="0.25">
      <c r="A8180" s="56"/>
      <c r="B8180" s="57"/>
      <c r="C8180" s="57"/>
      <c r="D8180" s="57"/>
      <c r="E8180" s="57"/>
      <c r="F8180" s="57"/>
      <c r="G8180" s="58"/>
    </row>
    <row r="8181" spans="1:7" x14ac:dyDescent="0.25">
      <c r="A8181" s="219" t="s">
        <v>96</v>
      </c>
      <c r="B8181" s="219"/>
      <c r="C8181" s="219"/>
      <c r="D8181" s="219"/>
      <c r="E8181" s="219"/>
      <c r="F8181" s="219"/>
      <c r="G8181" s="219"/>
    </row>
    <row r="8182" spans="1:7" x14ac:dyDescent="0.25">
      <c r="A8182" s="49" t="s">
        <v>35</v>
      </c>
      <c r="B8182" s="225" t="s">
        <v>36</v>
      </c>
      <c r="C8182" s="225"/>
      <c r="D8182" s="49" t="s">
        <v>37</v>
      </c>
      <c r="E8182" s="49" t="s">
        <v>38</v>
      </c>
      <c r="F8182" s="49" t="s">
        <v>39</v>
      </c>
      <c r="G8182" s="49" t="s">
        <v>40</v>
      </c>
    </row>
    <row r="8183" spans="1:7" x14ac:dyDescent="0.25">
      <c r="A8183" s="69" t="s">
        <v>97</v>
      </c>
      <c r="B8183" s="72" t="str">
        <f>VLOOKUP(A8183,'Componentes APUs'!$N$1:$Q$30,2,0)</f>
        <v>Camioneta</v>
      </c>
      <c r="C8183" s="73"/>
      <c r="D8183" s="70" t="str">
        <f>VLOOKUP(A8183,'Componentes APUs'!$N$1:$Q$30,3,0)</f>
        <v>U</v>
      </c>
      <c r="E8183" s="50">
        <v>0</v>
      </c>
      <c r="F8183" s="51">
        <f>VLOOKUP(A8183,'Componentes APUs'!$N$1:$Q$30,4,0)</f>
        <v>5500000</v>
      </c>
      <c r="G8183" s="51">
        <f>IFERROR(ROUNDUP(F8183*(E8183/21)/E8133,0),"-")</f>
        <v>0</v>
      </c>
    </row>
    <row r="8184" spans="1:7" x14ac:dyDescent="0.25">
      <c r="A8184" s="50" t="s">
        <v>1473</v>
      </c>
      <c r="B8184" s="72" t="str">
        <f>VLOOKUP(A8184,'Componentes APUs'!$N$1:$Q$30,2,0)</f>
        <v>Concretera</v>
      </c>
      <c r="C8184" s="73"/>
      <c r="D8184" s="70" t="str">
        <f>VLOOKUP(A8184,'Componentes APUs'!$N$1:$Q$30,3,0)</f>
        <v>U</v>
      </c>
      <c r="E8184" s="50">
        <v>0</v>
      </c>
      <c r="F8184" s="51">
        <f>VLOOKUP(A8184,'Componentes APUs'!$N$1:$Q$30,4,0)</f>
        <v>550704</v>
      </c>
      <c r="G8184" s="51">
        <f>IFERROR(ROUNDUP(F8184*(E8184/21)/E8133,0),"-")</f>
        <v>0</v>
      </c>
    </row>
    <row r="8185" spans="1:7" x14ac:dyDescent="0.25">
      <c r="A8185" s="69" t="s">
        <v>1379</v>
      </c>
      <c r="B8185" s="72" t="str">
        <f>VLOOKUP(A8185,'Componentes APUs'!$N$1:$Q$30,2,0)</f>
        <v>Dumper de descarga Frontal 2T</v>
      </c>
      <c r="C8185" s="73"/>
      <c r="D8185" s="70" t="str">
        <f>VLOOKUP(A8185,'Componentes APUs'!$N$1:$Q$30,3,0)</f>
        <v>U</v>
      </c>
      <c r="E8185" s="50">
        <v>0</v>
      </c>
      <c r="F8185" s="51">
        <f>VLOOKUP(A8185,'Componentes APUs'!$N$1:$Q$30,4,0)</f>
        <v>4438716.24</v>
      </c>
      <c r="G8185" s="51">
        <f>IFERROR(ROUNDUP(F8185*(E8185/21)/E8133,0),"-")</f>
        <v>0</v>
      </c>
    </row>
    <row r="8186" spans="1:7" x14ac:dyDescent="0.25">
      <c r="A8186" s="50" t="s">
        <v>323</v>
      </c>
      <c r="B8186" s="72" t="str">
        <f>VLOOKUP(A8186,'Componentes APUs'!$N$1:$Q$30,2,0)</f>
        <v>Volqueta</v>
      </c>
      <c r="C8186" s="73"/>
      <c r="D8186" s="70" t="str">
        <f>VLOOKUP(A8186,'Componentes APUs'!$N$1:$Q$30,3,0)</f>
        <v>U</v>
      </c>
      <c r="E8186" s="50">
        <v>0</v>
      </c>
      <c r="F8186" s="51">
        <f>VLOOKUP(A8186,'Componentes APUs'!$N$1:$Q$30,4,0)</f>
        <v>14828184</v>
      </c>
      <c r="G8186" s="51">
        <f>IFERROR(ROUNDUP(F8186*(E8186/21)/E8133,0),"-")</f>
        <v>0</v>
      </c>
    </row>
    <row r="8187" spans="1:7" x14ac:dyDescent="0.25">
      <c r="A8187" s="69" t="s">
        <v>324</v>
      </c>
      <c r="B8187" s="72" t="str">
        <f>VLOOKUP(A8187,'Componentes APUs'!$N$1:$Q$30,2,0)</f>
        <v>Retroexcavadora</v>
      </c>
      <c r="C8187" s="73"/>
      <c r="D8187" s="70" t="str">
        <f>VLOOKUP(A8187,'Componentes APUs'!$N$1:$Q$30,3,0)</f>
        <v>U</v>
      </c>
      <c r="E8187" s="50">
        <v>0</v>
      </c>
      <c r="F8187" s="51">
        <f>VLOOKUP(A8187,'Componentes APUs'!$N$1:$Q$30,4,0)</f>
        <v>46030656</v>
      </c>
      <c r="G8187" s="51">
        <f>IFERROR(ROUNDUP(F8187*(E8187/21)/E8133,0),"-")</f>
        <v>0</v>
      </c>
    </row>
    <row r="8188" spans="1:7" x14ac:dyDescent="0.25">
      <c r="A8188" s="219" t="s">
        <v>99</v>
      </c>
      <c r="B8188" s="219"/>
      <c r="C8188" s="219"/>
      <c r="D8188" s="219"/>
      <c r="E8188" s="219"/>
      <c r="F8188" s="219"/>
      <c r="G8188" s="52">
        <f>SUM(G8183:G8187)</f>
        <v>0</v>
      </c>
    </row>
    <row r="8189" spans="1:7" x14ac:dyDescent="0.25">
      <c r="A8189" s="56"/>
      <c r="B8189" s="57"/>
      <c r="C8189" s="57"/>
      <c r="D8189" s="57"/>
      <c r="E8189" s="57"/>
      <c r="F8189" s="57"/>
      <c r="G8189" s="58"/>
    </row>
    <row r="8190" spans="1:7" x14ac:dyDescent="0.25">
      <c r="A8190" s="219" t="s">
        <v>100</v>
      </c>
      <c r="B8190" s="219"/>
      <c r="C8190" s="219"/>
      <c r="D8190" s="219"/>
      <c r="E8190" s="219"/>
      <c r="F8190" s="219"/>
      <c r="G8190" s="52">
        <f>G8188+G8179+G8162+G8152+G8142</f>
        <v>76348</v>
      </c>
    </row>
    <row r="8191" spans="1:7" x14ac:dyDescent="0.25">
      <c r="A8191" s="59"/>
      <c r="B8191" s="60"/>
      <c r="C8191" s="60"/>
      <c r="D8191" s="60"/>
      <c r="E8191" s="57"/>
      <c r="F8191" s="57"/>
      <c r="G8191" s="58"/>
    </row>
    <row r="8192" spans="1:7" x14ac:dyDescent="0.25">
      <c r="A8192" s="64"/>
      <c r="D8192" s="55"/>
      <c r="E8192" s="49" t="s">
        <v>25</v>
      </c>
      <c r="F8192" s="54">
        <v>0.15</v>
      </c>
      <c r="G8192" s="51">
        <f>G8190*F8192</f>
        <v>11452.199999999999</v>
      </c>
    </row>
    <row r="8193" spans="1:13" x14ac:dyDescent="0.25">
      <c r="A8193" s="64"/>
      <c r="D8193" s="55"/>
      <c r="E8193" s="49" t="s">
        <v>26</v>
      </c>
      <c r="F8193" s="54">
        <v>0.05</v>
      </c>
      <c r="G8193" s="51">
        <f>G8190*F8193</f>
        <v>3817.4</v>
      </c>
    </row>
    <row r="8194" spans="1:13" x14ac:dyDescent="0.25">
      <c r="A8194" s="61"/>
      <c r="B8194" s="65"/>
      <c r="C8194" s="65"/>
      <c r="D8194" s="62"/>
      <c r="E8194" s="49" t="s">
        <v>27</v>
      </c>
      <c r="F8194" s="54">
        <v>0.05</v>
      </c>
      <c r="G8194" s="51">
        <f>G8190*F8194</f>
        <v>3817.4</v>
      </c>
    </row>
    <row r="8195" spans="1:13" x14ac:dyDescent="0.25">
      <c r="A8195" s="61"/>
      <c r="B8195" s="62"/>
      <c r="C8195" s="62"/>
      <c r="D8195" s="62"/>
      <c r="E8195" s="62"/>
      <c r="F8195" s="62"/>
      <c r="G8195" s="63"/>
    </row>
    <row r="8196" spans="1:13" x14ac:dyDescent="0.25">
      <c r="A8196" s="219" t="s">
        <v>101</v>
      </c>
      <c r="B8196" s="219"/>
      <c r="C8196" s="219"/>
      <c r="D8196" s="219"/>
      <c r="E8196" s="219"/>
      <c r="F8196" s="219"/>
      <c r="G8196" s="52">
        <f>G8190+G8192+G8193+G8194</f>
        <v>95434.999999999985</v>
      </c>
    </row>
    <row r="8197" spans="1:13" x14ac:dyDescent="0.25">
      <c r="A8197" s="59"/>
      <c r="B8197" s="60"/>
      <c r="C8197" s="60"/>
      <c r="D8197" s="60"/>
      <c r="E8197" s="57"/>
      <c r="F8197" s="57"/>
      <c r="G8197" s="58"/>
    </row>
    <row r="8198" spans="1:13" x14ac:dyDescent="0.25">
      <c r="A8198" s="64"/>
      <c r="D8198" s="55"/>
      <c r="E8198" s="49" t="s">
        <v>102</v>
      </c>
      <c r="F8198" s="49" t="s">
        <v>103</v>
      </c>
      <c r="G8198" s="51">
        <f>G8194*19%</f>
        <v>725.30600000000004</v>
      </c>
    </row>
    <row r="8199" spans="1:13" x14ac:dyDescent="0.25">
      <c r="A8199" s="61"/>
      <c r="B8199" s="62"/>
      <c r="C8199" s="62"/>
      <c r="D8199" s="62"/>
      <c r="E8199" s="57"/>
      <c r="F8199" s="57"/>
      <c r="G8199" s="58"/>
    </row>
    <row r="8200" spans="1:13" x14ac:dyDescent="0.25">
      <c r="A8200" s="219" t="s">
        <v>104</v>
      </c>
      <c r="B8200" s="219"/>
      <c r="C8200" s="219"/>
      <c r="D8200" s="219"/>
      <c r="E8200" s="219"/>
      <c r="F8200" s="219"/>
      <c r="G8200" s="52">
        <f>G8198+G8196</f>
        <v>96160.305999999982</v>
      </c>
    </row>
    <row r="8202" spans="1:13" x14ac:dyDescent="0.25">
      <c r="A8202" s="74" t="s">
        <v>29</v>
      </c>
      <c r="B8202" s="226" t="s">
        <v>30</v>
      </c>
      <c r="C8202" s="226"/>
      <c r="D8202" s="74" t="s">
        <v>31</v>
      </c>
      <c r="E8202" s="74" t="s">
        <v>32</v>
      </c>
      <c r="F8202" s="74" t="s">
        <v>189</v>
      </c>
      <c r="G8202" s="74" t="s">
        <v>33</v>
      </c>
      <c r="H8202" s="105"/>
    </row>
    <row r="8203" spans="1:13" ht="27" customHeight="1" x14ac:dyDescent="0.25">
      <c r="A8203" s="50" t="str">
        <f>Presupuesto!B153</f>
        <v>130_OC</v>
      </c>
      <c r="B8203" s="229" t="str">
        <f>Presupuesto!C153</f>
        <v>TUBO GALVANIZADO DE 3 METROS,  Ø1 1/2" CON CODO A 45° INCLUYE TAPÓN DE ALUMINIO.</v>
      </c>
      <c r="C8203" s="230"/>
      <c r="D8203" s="50" t="s">
        <v>108</v>
      </c>
      <c r="E8203" s="107">
        <v>25</v>
      </c>
      <c r="F8203" s="50"/>
      <c r="G8203" s="51">
        <f>G8267</f>
        <v>110068.9645</v>
      </c>
      <c r="H8203" s="111"/>
    </row>
    <row r="8204" spans="1:13" x14ac:dyDescent="0.25">
      <c r="A8204" s="219" t="s">
        <v>34</v>
      </c>
      <c r="B8204" s="219"/>
      <c r="C8204" s="219"/>
      <c r="D8204" s="219"/>
      <c r="E8204" s="219"/>
      <c r="F8204" s="219"/>
      <c r="G8204" s="219"/>
    </row>
    <row r="8205" spans="1:13" ht="30.75" customHeight="1" x14ac:dyDescent="0.25">
      <c r="A8205" s="49" t="s">
        <v>35</v>
      </c>
      <c r="B8205" s="219" t="s">
        <v>36</v>
      </c>
      <c r="C8205" s="219"/>
      <c r="D8205" s="49" t="s">
        <v>37</v>
      </c>
      <c r="E8205" s="49" t="s">
        <v>38</v>
      </c>
      <c r="F8205" s="49" t="s">
        <v>39</v>
      </c>
      <c r="G8205" s="49" t="s">
        <v>40</v>
      </c>
      <c r="K8205" s="23"/>
      <c r="L8205" s="23"/>
    </row>
    <row r="8206" spans="1:13" x14ac:dyDescent="0.25">
      <c r="A8206" s="50" t="str">
        <f>Material!A590</f>
        <v>MA-589</v>
      </c>
      <c r="B8206" s="72" t="str">
        <f>IFERROR(VLOOKUP(A8206,Material!$A:$H,2,0),"-")</f>
        <v>TUBO PARA CERRAMIENTO</v>
      </c>
      <c r="C8206" s="76"/>
      <c r="D8206" s="50" t="str">
        <f>IFERROR(VLOOKUP(A8206,Material!$A:$H,4,0),"-")</f>
        <v>ML</v>
      </c>
      <c r="E8206" s="107">
        <v>3</v>
      </c>
      <c r="F8206" s="51">
        <f>IFERROR(VLOOKUP(A8206,Material!$A:$H,3,0),"-")</f>
        <v>20778.333333333336</v>
      </c>
      <c r="G8206" s="51">
        <f t="shared" ref="G8206:G8208" si="120">IFERROR(ROUNDUP(F8206*E8206,0),"-")</f>
        <v>62335</v>
      </c>
      <c r="H8206" s="112"/>
      <c r="I8206" s="110"/>
      <c r="J8206" s="113"/>
      <c r="K8206" s="114"/>
      <c r="L8206" s="115"/>
      <c r="M8206" s="115"/>
    </row>
    <row r="8207" spans="1:13" x14ac:dyDescent="0.25">
      <c r="A8207" s="50"/>
      <c r="B8207" s="72" t="str">
        <f>IFERROR(VLOOKUP(A8207,Material!$A:$H,2,0),"-")</f>
        <v>-</v>
      </c>
      <c r="C8207" s="76"/>
      <c r="D8207" s="50" t="str">
        <f>IFERROR(VLOOKUP(A8207,Material!$A:$H,4,0),"-")</f>
        <v>-</v>
      </c>
      <c r="E8207" s="109"/>
      <c r="F8207" s="51" t="str">
        <f>IFERROR(VLOOKUP(A8207,Material!$A:$H,3,0),"-")</f>
        <v>-</v>
      </c>
      <c r="G8207" s="51" t="str">
        <f t="shared" si="120"/>
        <v>-</v>
      </c>
      <c r="H8207" s="112"/>
      <c r="I8207" s="110"/>
      <c r="J8207" s="113"/>
      <c r="K8207" s="114"/>
      <c r="L8207" s="115"/>
      <c r="M8207" s="115"/>
    </row>
    <row r="8208" spans="1:13" x14ac:dyDescent="0.25">
      <c r="A8208" s="50"/>
      <c r="B8208" s="72" t="str">
        <f>IFERROR(VLOOKUP(A8208,Material!$A:$H,2,0),"-")</f>
        <v>-</v>
      </c>
      <c r="C8208" s="76"/>
      <c r="D8208" s="50" t="str">
        <f>IFERROR(VLOOKUP(A8208,Material!$A:$H,4,0),"-")</f>
        <v>-</v>
      </c>
      <c r="E8208" s="107"/>
      <c r="F8208" s="51" t="str">
        <f>IFERROR(VLOOKUP(A8208,Material!$A:$H,3,0),"-")</f>
        <v>-</v>
      </c>
      <c r="G8208" s="51" t="str">
        <f t="shared" si="120"/>
        <v>-</v>
      </c>
      <c r="H8208" s="112"/>
      <c r="I8208" s="110"/>
      <c r="J8208" s="113"/>
      <c r="K8208" s="114"/>
      <c r="L8208" s="115"/>
      <c r="M8208" s="115"/>
    </row>
    <row r="8209" spans="1:9" x14ac:dyDescent="0.25">
      <c r="A8209" s="219" t="s">
        <v>41</v>
      </c>
      <c r="B8209" s="219"/>
      <c r="C8209" s="219"/>
      <c r="D8209" s="219"/>
      <c r="E8209" s="219"/>
      <c r="F8209" s="219"/>
      <c r="G8209" s="52">
        <f>SUM(G8206:G8208)</f>
        <v>62335</v>
      </c>
      <c r="I8209" s="104"/>
    </row>
    <row r="8210" spans="1:9" x14ac:dyDescent="0.25">
      <c r="A8210" s="56"/>
      <c r="B8210" s="57"/>
      <c r="C8210" s="57"/>
      <c r="D8210" s="57"/>
      <c r="E8210" s="57"/>
      <c r="F8210" s="57"/>
      <c r="G8210" s="58"/>
    </row>
    <row r="8211" spans="1:9" x14ac:dyDescent="0.25">
      <c r="A8211" s="219" t="s">
        <v>42</v>
      </c>
      <c r="B8211" s="219"/>
      <c r="C8211" s="219"/>
      <c r="D8211" s="219"/>
      <c r="E8211" s="219"/>
      <c r="F8211" s="219"/>
      <c r="G8211" s="219"/>
    </row>
    <row r="8212" spans="1:9" x14ac:dyDescent="0.25">
      <c r="A8212" s="49" t="s">
        <v>35</v>
      </c>
      <c r="B8212" s="49" t="s">
        <v>36</v>
      </c>
      <c r="C8212" s="49" t="s">
        <v>38</v>
      </c>
      <c r="D8212" s="49" t="s">
        <v>43</v>
      </c>
      <c r="E8212" s="49" t="s">
        <v>44</v>
      </c>
      <c r="F8212" s="49" t="s">
        <v>45</v>
      </c>
      <c r="G8212" s="49" t="s">
        <v>40</v>
      </c>
    </row>
    <row r="8213" spans="1:9" x14ac:dyDescent="0.25">
      <c r="A8213" s="50" t="s">
        <v>319</v>
      </c>
      <c r="B8213" s="68" t="str">
        <f>VLOOKUP(A8213,'Componentes APUs'!$H$1:$L$25,2,0)</f>
        <v>Ingeniero Residente de Obra</v>
      </c>
      <c r="C8213" s="93">
        <v>0.25</v>
      </c>
      <c r="D8213" s="50">
        <f>VLOOKUP(A8213,'Componentes APUs'!$H$1:$L$25,3,0)</f>
        <v>4</v>
      </c>
      <c r="E8213" s="51">
        <f>VLOOKUP(A8213,'Componentes APUs'!$H$1:$L$25,4,0)</f>
        <v>271142.85714285716</v>
      </c>
      <c r="F8213" s="51">
        <f>VLOOKUP(A8213,'Componentes APUs'!$H$1:$L$25,5,0)</f>
        <v>162685.71428571429</v>
      </c>
      <c r="G8213" s="51">
        <f>ROUNDUP((E8213+F8213)*C8213/E8203,0)</f>
        <v>4339</v>
      </c>
      <c r="H8213" s="66"/>
    </row>
    <row r="8214" spans="1:9" x14ac:dyDescent="0.25">
      <c r="A8214" s="50" t="s">
        <v>320</v>
      </c>
      <c r="B8214" s="68" t="str">
        <f>VLOOKUP(A8214,'Componentes APUs'!$H$1:$L$25,2,0)</f>
        <v>Tecnico Supervisor</v>
      </c>
      <c r="C8214" s="93">
        <v>0</v>
      </c>
      <c r="D8214" s="50">
        <f>VLOOKUP(A8214,'Componentes APUs'!$H$1:$L$25,3,0)</f>
        <v>2.2999999999999998</v>
      </c>
      <c r="E8214" s="51">
        <f>VLOOKUP(A8214,'Componentes APUs'!$H$1:$L$25,4,0)</f>
        <v>155907.14285714284</v>
      </c>
      <c r="F8214" s="51">
        <f>VLOOKUP(A8214,'Componentes APUs'!$H$1:$L$25,5,0)</f>
        <v>93544.285714285696</v>
      </c>
      <c r="G8214" s="51">
        <f>ROUNDUP((E8214+F8214)*C8214/E8203,0)</f>
        <v>0</v>
      </c>
    </row>
    <row r="8215" spans="1:9" x14ac:dyDescent="0.25">
      <c r="A8215" s="50" t="s">
        <v>54</v>
      </c>
      <c r="B8215" s="68" t="str">
        <f>VLOOKUP(A8215,'Componentes APUs'!$H$1:$L$25,2,0)</f>
        <v>Maestro de obra civil</v>
      </c>
      <c r="C8215" s="93">
        <v>0</v>
      </c>
      <c r="D8215" s="50">
        <f>VLOOKUP(A8215,'Componentes APUs'!$H$1:$L$25,3,0)</f>
        <v>2.5</v>
      </c>
      <c r="E8215" s="51">
        <f>VLOOKUP(A8215,'Componentes APUs'!$H$1:$L$25,4,0)</f>
        <v>169464.28571428571</v>
      </c>
      <c r="F8215" s="51">
        <f>VLOOKUP(A8215,'Componentes APUs'!$H$1:$L$25,5,0)</f>
        <v>101678.57142857142</v>
      </c>
      <c r="G8215" s="51">
        <f>ROUNDUP((E8215+F8215)*C8215/E8203,0)</f>
        <v>0</v>
      </c>
    </row>
    <row r="8216" spans="1:9" x14ac:dyDescent="0.25">
      <c r="A8216" s="50" t="s">
        <v>1110</v>
      </c>
      <c r="B8216" s="68" t="str">
        <f>VLOOKUP(A8216,'Componentes APUs'!$H$1:$L$25,2,0)</f>
        <v>Oficial de Obra Civil</v>
      </c>
      <c r="C8216" s="93">
        <v>1</v>
      </c>
      <c r="D8216" s="50">
        <f>VLOOKUP(A8216,'Componentes APUs'!$H$1:$L$25,3,0)</f>
        <v>1.5</v>
      </c>
      <c r="E8216" s="51">
        <f>VLOOKUP(A8216,'Componentes APUs'!$H$1:$L$25,4,0)</f>
        <v>115964.28571428571</v>
      </c>
      <c r="F8216" s="51">
        <f>VLOOKUP(A8216,'Componentes APUs'!$H$1:$L$25,5,0)</f>
        <v>69578.57142857142</v>
      </c>
      <c r="G8216" s="51">
        <f>ROUNDUP((E8216+F8216)*C8216/E8203,0)</f>
        <v>7422</v>
      </c>
    </row>
    <row r="8217" spans="1:9" x14ac:dyDescent="0.25">
      <c r="A8217" s="50" t="s">
        <v>50</v>
      </c>
      <c r="B8217" s="68" t="str">
        <f>VLOOKUP(A8217,'Componentes APUs'!$H$1:$L$25,2,0)</f>
        <v>Profesional en SST</v>
      </c>
      <c r="C8217" s="93">
        <v>0.25</v>
      </c>
      <c r="D8217" s="50">
        <f>VLOOKUP(A8217,'Componentes APUs'!$H$1:$L$25,3,0)</f>
        <v>2.5</v>
      </c>
      <c r="E8217" s="51">
        <f>VLOOKUP(A8217,'Componentes APUs'!$H$1:$L$25,4,0)</f>
        <v>169464.28571428571</v>
      </c>
      <c r="F8217" s="51">
        <f>VLOOKUP(A8217,'Componentes APUs'!$H$1:$L$25,5,0)</f>
        <v>101678.57142857142</v>
      </c>
      <c r="G8217" s="51">
        <f>ROUNDUP((E8217+F8217)*C8217/E8203,0)</f>
        <v>2712</v>
      </c>
    </row>
    <row r="8218" spans="1:9" x14ac:dyDescent="0.25">
      <c r="A8218" s="50" t="s">
        <v>1109</v>
      </c>
      <c r="B8218" s="68" t="str">
        <f>VLOOKUP(A8218,'Componentes APUs'!$H$1:$L$25,2,0)</f>
        <v>Ayudante de Obra Civil</v>
      </c>
      <c r="C8218" s="93">
        <v>1</v>
      </c>
      <c r="D8218" s="50">
        <f>VLOOKUP(A8218,'Componentes APUs'!$H$1:$L$25,3,0)</f>
        <v>1</v>
      </c>
      <c r="E8218" s="51">
        <f>VLOOKUP(A8218,'Componentes APUs'!$H$1:$L$25,4,0)</f>
        <v>77309.523809523816</v>
      </c>
      <c r="F8218" s="51">
        <f>VLOOKUP(A8218,'Componentes APUs'!$H$1:$L$25,5,0)</f>
        <v>46385.71428571429</v>
      </c>
      <c r="G8218" s="51">
        <f>ROUNDUP((E8218+F8218)*C8218/E8203,0)</f>
        <v>4948</v>
      </c>
    </row>
    <row r="8219" spans="1:9" x14ac:dyDescent="0.25">
      <c r="A8219" s="219" t="s">
        <v>56</v>
      </c>
      <c r="B8219" s="219"/>
      <c r="C8219" s="219"/>
      <c r="D8219" s="219"/>
      <c r="E8219" s="219"/>
      <c r="F8219" s="219"/>
      <c r="G8219" s="52">
        <f>SUM(G8213:G8218)</f>
        <v>19421</v>
      </c>
    </row>
    <row r="8220" spans="1:9" x14ac:dyDescent="0.25">
      <c r="A8220" s="56"/>
      <c r="B8220" s="57"/>
      <c r="C8220" s="57"/>
      <c r="D8220" s="57"/>
      <c r="E8220" s="57"/>
      <c r="F8220" s="57"/>
      <c r="G8220" s="58"/>
    </row>
    <row r="8221" spans="1:9" x14ac:dyDescent="0.25">
      <c r="A8221" s="219" t="s">
        <v>57</v>
      </c>
      <c r="B8221" s="219"/>
      <c r="C8221" s="219"/>
      <c r="D8221" s="219"/>
      <c r="E8221" s="219"/>
      <c r="F8221" s="219"/>
      <c r="G8221" s="219"/>
    </row>
    <row r="8222" spans="1:9" x14ac:dyDescent="0.25">
      <c r="A8222" s="49" t="s">
        <v>35</v>
      </c>
      <c r="B8222" s="219" t="s">
        <v>36</v>
      </c>
      <c r="C8222" s="219"/>
      <c r="D8222" s="49" t="s">
        <v>37</v>
      </c>
      <c r="E8222" s="49" t="s">
        <v>38</v>
      </c>
      <c r="F8222" s="49" t="s">
        <v>39</v>
      </c>
      <c r="G8222" s="49" t="s">
        <v>40</v>
      </c>
    </row>
    <row r="8223" spans="1:9" x14ac:dyDescent="0.25">
      <c r="A8223" s="50" t="s">
        <v>326</v>
      </c>
      <c r="B8223" s="220" t="str">
        <f>VLOOKUP(A8223,'Componentes APUs'!$S$1:$V$10,2,0)</f>
        <v>Juego Llaves</v>
      </c>
      <c r="C8223" s="220"/>
      <c r="D8223" s="50" t="s">
        <v>18</v>
      </c>
      <c r="E8223" s="50">
        <v>0</v>
      </c>
      <c r="F8223" s="51">
        <f>VLOOKUP(A8223,'Componentes APUs'!$S$1:$V$10,4,0)</f>
        <v>9167</v>
      </c>
      <c r="G8223" s="51">
        <f>ROUNDUP(F8223*((E8223/21)/E8203),0)</f>
        <v>0</v>
      </c>
      <c r="I8223" s="91"/>
    </row>
    <row r="8224" spans="1:9" x14ac:dyDescent="0.25">
      <c r="A8224" s="50" t="s">
        <v>58</v>
      </c>
      <c r="B8224" s="220" t="str">
        <f>VLOOKUP(A8224,'Componentes APUs'!$S$1:$V$10,2,0)</f>
        <v>Manila de servicio</v>
      </c>
      <c r="C8224" s="220"/>
      <c r="D8224" s="50" t="s">
        <v>18</v>
      </c>
      <c r="E8224" s="50">
        <v>0</v>
      </c>
      <c r="F8224" s="51">
        <f>VLOOKUP(A8224,'Componentes APUs'!$S$1:$V$10,4,0)</f>
        <v>2333</v>
      </c>
      <c r="G8224" s="51">
        <f>ROUNDUP(F8224*((E8224/21)/E8203),0)</f>
        <v>0</v>
      </c>
    </row>
    <row r="8225" spans="1:9" x14ac:dyDescent="0.25">
      <c r="A8225" s="50" t="s">
        <v>327</v>
      </c>
      <c r="B8225" s="220" t="str">
        <f>VLOOKUP(A8225,'Componentes APUs'!$S$1:$V$10,2,0)</f>
        <v>Tula portaherramientas</v>
      </c>
      <c r="C8225" s="220"/>
      <c r="D8225" s="50" t="s">
        <v>18</v>
      </c>
      <c r="E8225" s="50">
        <v>0</v>
      </c>
      <c r="F8225" s="51">
        <f>VLOOKUP(A8225,'Componentes APUs'!$S$1:$V$10,4,0)</f>
        <v>1250</v>
      </c>
      <c r="G8225" s="51">
        <f>ROUNDUP(F8225*((E8225/21)/E8203),0)</f>
        <v>0</v>
      </c>
    </row>
    <row r="8226" spans="1:9" x14ac:dyDescent="0.25">
      <c r="A8226" s="50" t="s">
        <v>60</v>
      </c>
      <c r="B8226" s="220" t="str">
        <f>VLOOKUP(A8226,'Componentes APUs'!$S$1:$V$10,2,0)</f>
        <v>Agarradoras</v>
      </c>
      <c r="C8226" s="220"/>
      <c r="D8226" s="50" t="s">
        <v>18</v>
      </c>
      <c r="E8226" s="50">
        <v>0</v>
      </c>
      <c r="F8226" s="51">
        <f>VLOOKUP(A8226,'Componentes APUs'!$S$1:$V$10,4,0)</f>
        <v>125000</v>
      </c>
      <c r="G8226" s="51">
        <f>ROUNDUP(F8226*((E8226/21)/E8203),0)</f>
        <v>0</v>
      </c>
    </row>
    <row r="8227" spans="1:9" x14ac:dyDescent="0.25">
      <c r="A8227" s="50" t="s">
        <v>62</v>
      </c>
      <c r="B8227" s="220" t="str">
        <f>VLOOKUP(A8227,'Componentes APUs'!$S$1:$V$10,2,0)</f>
        <v>Templadoras</v>
      </c>
      <c r="C8227" s="220"/>
      <c r="D8227" s="50" t="s">
        <v>18</v>
      </c>
      <c r="E8227" s="50">
        <v>0</v>
      </c>
      <c r="F8227" s="51">
        <f>VLOOKUP(A8227,'Componentes APUs'!$S$1:$V$10,4,0)</f>
        <v>250000</v>
      </c>
      <c r="G8227" s="51">
        <f>ROUNDUP(F8227*((E8227/21)/E8203),0)</f>
        <v>0</v>
      </c>
    </row>
    <row r="8228" spans="1:9" x14ac:dyDescent="0.25">
      <c r="A8228" s="50" t="s">
        <v>328</v>
      </c>
      <c r="B8228" s="220" t="str">
        <f>VLOOKUP(A8228,'Componentes APUs'!$S$1:$V$10,2,0)</f>
        <v>Herramienta Menor</v>
      </c>
      <c r="C8228" s="220"/>
      <c r="D8228" s="50" t="s">
        <v>18</v>
      </c>
      <c r="E8228" s="50">
        <v>1</v>
      </c>
      <c r="F8228" s="51">
        <f>VLOOKUP(A8228,'Componentes APUs'!$S$1:$V$10,4,0)</f>
        <v>75758</v>
      </c>
      <c r="G8228" s="51">
        <f>ROUNDUP(F8228*((E8228/21)/E8203),0)</f>
        <v>145</v>
      </c>
    </row>
    <row r="8229" spans="1:9" x14ac:dyDescent="0.25">
      <c r="A8229" s="219" t="s">
        <v>69</v>
      </c>
      <c r="B8229" s="219"/>
      <c r="C8229" s="219"/>
      <c r="D8229" s="219"/>
      <c r="E8229" s="219"/>
      <c r="F8229" s="219"/>
      <c r="G8229" s="52">
        <f>SUM(G8223:G8228)</f>
        <v>145</v>
      </c>
    </row>
    <row r="8230" spans="1:9" x14ac:dyDescent="0.25">
      <c r="A8230" s="56"/>
      <c r="B8230" s="57"/>
      <c r="C8230" s="57"/>
      <c r="D8230" s="57"/>
      <c r="E8230" s="57"/>
      <c r="F8230" s="57"/>
      <c r="G8230" s="58"/>
    </row>
    <row r="8231" spans="1:9" x14ac:dyDescent="0.25">
      <c r="A8231" s="219" t="s">
        <v>70</v>
      </c>
      <c r="B8231" s="219"/>
      <c r="C8231" s="219"/>
      <c r="D8231" s="219"/>
      <c r="E8231" s="219"/>
      <c r="F8231" s="219"/>
      <c r="G8231" s="219"/>
    </row>
    <row r="8232" spans="1:9" x14ac:dyDescent="0.25">
      <c r="A8232" s="49" t="s">
        <v>35</v>
      </c>
      <c r="B8232" s="219" t="s">
        <v>36</v>
      </c>
      <c r="C8232" s="219"/>
      <c r="D8232" s="49" t="s">
        <v>37</v>
      </c>
      <c r="E8232" s="49" t="s">
        <v>38</v>
      </c>
      <c r="F8232" s="49" t="s">
        <v>39</v>
      </c>
      <c r="G8232" s="49" t="s">
        <v>40</v>
      </c>
    </row>
    <row r="8233" spans="1:9" x14ac:dyDescent="0.25">
      <c r="A8233" s="50" t="s">
        <v>71</v>
      </c>
      <c r="B8233" s="71" t="str">
        <f>VLOOKUP(A8233,'Componentes APUs'!$A$1:$D$14,2,0)</f>
        <v>Camisa indigo sin partes metalicas</v>
      </c>
      <c r="C8233" s="71"/>
      <c r="D8233" s="50" t="str">
        <f>VLOOKUP(A8233,'Componentes APUs'!$A$1:$D$14,3,0)</f>
        <v>U</v>
      </c>
      <c r="E8233" s="50">
        <f>SUM(C8213:C8218)</f>
        <v>2.5</v>
      </c>
      <c r="F8233" s="51">
        <f>VLOOKUP(A8233,'Componentes APUs'!$A$1:$D$14,4,0)</f>
        <v>8585.8585858585866</v>
      </c>
      <c r="G8233" s="51">
        <f>ROUNDUP(F8233*(E8233/21)/E8203,0)</f>
        <v>41</v>
      </c>
      <c r="I8233" s="91"/>
    </row>
    <row r="8234" spans="1:9" x14ac:dyDescent="0.25">
      <c r="A8234" s="69" t="s">
        <v>73</v>
      </c>
      <c r="B8234" s="72" t="str">
        <f>VLOOKUP(A8234,'Componentes APUs'!$A$1:$D$14,2,0)</f>
        <v>Bota de seguridad dielectrica</v>
      </c>
      <c r="C8234" s="73"/>
      <c r="D8234" s="70" t="str">
        <f>VLOOKUP(A8234,'Componentes APUs'!$A$1:$D$14,3,0)</f>
        <v>Par</v>
      </c>
      <c r="E8234" s="50">
        <f>SUM(C8213:C8218)</f>
        <v>2.5</v>
      </c>
      <c r="F8234" s="51">
        <f>VLOOKUP(A8234,'Componentes APUs'!$A$1:$D$14,4,0)</f>
        <v>7500</v>
      </c>
      <c r="G8234" s="51">
        <f>ROUNDUP(F8234*(E8234/21)/E8203,0)</f>
        <v>36</v>
      </c>
    </row>
    <row r="8235" spans="1:9" x14ac:dyDescent="0.25">
      <c r="A8235" s="50" t="s">
        <v>76</v>
      </c>
      <c r="B8235" s="72" t="str">
        <f>VLOOKUP(A8235,'Componentes APUs'!$A$1:$D$14,2,0)</f>
        <v>Casco dielectrico Tipo 1 Clase E con barbuquejo</v>
      </c>
      <c r="C8235" s="73"/>
      <c r="D8235" s="50" t="str">
        <f>VLOOKUP(A8235,'Componentes APUs'!$A$1:$D$14,3,0)</f>
        <v>U</v>
      </c>
      <c r="E8235" s="50">
        <f>C8213+C8214+C8216+C8217+C8218+IF(A8215&lt;&gt;"MO-3",C8215,0)</f>
        <v>2.5</v>
      </c>
      <c r="F8235" s="51">
        <f>VLOOKUP(A8235,'Componentes APUs'!$A$1:$D$14,4,0)</f>
        <v>10101.010101010101</v>
      </c>
      <c r="G8235" s="51">
        <f>ROUNDUP(F8235*(E8235/21)/E8203,0)</f>
        <v>49</v>
      </c>
    </row>
    <row r="8236" spans="1:9" x14ac:dyDescent="0.25">
      <c r="A8236" s="69" t="s">
        <v>77</v>
      </c>
      <c r="B8236" s="72" t="str">
        <f>VLOOKUP(A8236,'Componentes APUs'!$A$1:$D$14,2,0)</f>
        <v>Correa plastica y antiflama</v>
      </c>
      <c r="C8236" s="73"/>
      <c r="D8236" s="50" t="str">
        <f>VLOOKUP(A8236,'Componentes APUs'!$A$1:$D$14,3,0)</f>
        <v>U</v>
      </c>
      <c r="E8236" s="50">
        <f>SUM(C8213:C8218)</f>
        <v>2.5</v>
      </c>
      <c r="F8236" s="51">
        <f>VLOOKUP(A8236,'Componentes APUs'!$A$1:$D$14,4,0)</f>
        <v>3787.878787878788</v>
      </c>
      <c r="G8236" s="51">
        <f>ROUNDUP(F8236*(E8236/21)/E8203,0)</f>
        <v>19</v>
      </c>
    </row>
    <row r="8237" spans="1:9" x14ac:dyDescent="0.25">
      <c r="A8237" s="50" t="s">
        <v>79</v>
      </c>
      <c r="B8237" s="72" t="str">
        <f>VLOOKUP(A8237,'Componentes APUs'!$A$1:$D$14,2,0)</f>
        <v>Gafas protectoras filtro UV</v>
      </c>
      <c r="C8237" s="73"/>
      <c r="D8237" s="50" t="str">
        <f>VLOOKUP(A8237,'Componentes APUs'!$A$1:$D$14,3,0)</f>
        <v>U</v>
      </c>
      <c r="E8237" s="50">
        <f>SUM(C8213:C8218)</f>
        <v>2.5</v>
      </c>
      <c r="F8237" s="51">
        <f>VLOOKUP(A8237,'Componentes APUs'!$A$1:$D$14,4,0)</f>
        <v>2777.7777777777778</v>
      </c>
      <c r="G8237" s="51">
        <f>ROUNDUP(F8237*(E8237/21)/E8203,0)</f>
        <v>14</v>
      </c>
    </row>
    <row r="8238" spans="1:9" x14ac:dyDescent="0.25">
      <c r="A8238" s="69" t="s">
        <v>402</v>
      </c>
      <c r="B8238" s="72" t="str">
        <f>VLOOKUP(A8238,'Componentes APUs'!$A$1:$D$14,2,0)</f>
        <v>Bota de seguridad PVC dielectrica</v>
      </c>
      <c r="C8238" s="73"/>
      <c r="D8238" s="50" t="str">
        <f>VLOOKUP(A8238,'Componentes APUs'!$A$1:$D$14,3,0)</f>
        <v>Par</v>
      </c>
      <c r="E8238" s="50">
        <f>SUM(C8213:C8218)</f>
        <v>2.5</v>
      </c>
      <c r="F8238" s="51">
        <f>VLOOKUP(A8238,'Componentes APUs'!$A$1:$D$14,4,0)</f>
        <v>2916.6666666666665</v>
      </c>
      <c r="G8238" s="51">
        <f>ROUNDUP(F8238*(E8238/21)/E8203,0)</f>
        <v>14</v>
      </c>
    </row>
    <row r="8239" spans="1:9" x14ac:dyDescent="0.25">
      <c r="A8239" s="50" t="s">
        <v>403</v>
      </c>
      <c r="B8239" s="72" t="str">
        <f>VLOOKUP(A8239,'Componentes APUs'!$A$1:$D$14,2,0)</f>
        <v>Capuchon</v>
      </c>
      <c r="C8239" s="73"/>
      <c r="D8239" s="50" t="str">
        <f>VLOOKUP(A8239,'Componentes APUs'!$A$1:$D$14,3,0)</f>
        <v>U</v>
      </c>
      <c r="E8239" s="50">
        <f>SUM(C8213:C8218)</f>
        <v>2.5</v>
      </c>
      <c r="F8239" s="51">
        <f>VLOOKUP(A8239,'Componentes APUs'!$A$1:$D$14,4,0)</f>
        <v>2525.2525252525252</v>
      </c>
      <c r="G8239" s="51">
        <f>ROUNDUP(F8239*(E8239/21)/E8203,0)</f>
        <v>13</v>
      </c>
    </row>
    <row r="8240" spans="1:9" x14ac:dyDescent="0.25">
      <c r="A8240" s="69" t="s">
        <v>81</v>
      </c>
      <c r="B8240" s="72" t="str">
        <f>VLOOKUP(A8240,'Componentes APUs'!$A$1:$D$14,2,0)</f>
        <v>Guantes Protectores  - ingeniero reforzados</v>
      </c>
      <c r="C8240" s="73"/>
      <c r="D8240" s="50" t="str">
        <f>VLOOKUP(A8240,'Componentes APUs'!$A$1:$D$14,3,0)</f>
        <v>Par</v>
      </c>
      <c r="E8240" s="50">
        <f>C8215+C8216+C8218</f>
        <v>2</v>
      </c>
      <c r="F8240" s="51">
        <f>VLOOKUP(A8240,'Componentes APUs'!$A$1:$D$14,4,0)</f>
        <v>2525.2525252525252</v>
      </c>
      <c r="G8240" s="51">
        <f>ROUNDUP(F8240*(E8240/21)/E8203,0)</f>
        <v>10</v>
      </c>
    </row>
    <row r="8241" spans="1:7" x14ac:dyDescent="0.25">
      <c r="A8241" s="50" t="s">
        <v>83</v>
      </c>
      <c r="B8241" s="72" t="str">
        <f>VLOOKUP(A8241,'Componentes APUs'!$A$1:$D$14,2,0)</f>
        <v>Impermeable (pantalon camisa)</v>
      </c>
      <c r="C8241" s="73"/>
      <c r="D8241" s="50" t="str">
        <f>VLOOKUP(A8241,'Componentes APUs'!$A$1:$D$14,3,0)</f>
        <v>U</v>
      </c>
      <c r="E8241" s="50">
        <f>SUM(C8213:C8218)</f>
        <v>2.5</v>
      </c>
      <c r="F8241" s="51">
        <f>VLOOKUP(A8241,'Componentes APUs'!$A$1:$D$14,4,0)</f>
        <v>3750</v>
      </c>
      <c r="G8241" s="51">
        <f>ROUNDUP(F8241*(E8241/21)/E8203,0)</f>
        <v>18</v>
      </c>
    </row>
    <row r="8242" spans="1:7" x14ac:dyDescent="0.25">
      <c r="A8242" s="69" t="s">
        <v>85</v>
      </c>
      <c r="B8242" s="72" t="str">
        <f>VLOOKUP(A8242,'Componentes APUs'!$A$1:$D$14,2,0)</f>
        <v>Jean Dielectrico</v>
      </c>
      <c r="C8242" s="73"/>
      <c r="D8242" s="50" t="str">
        <f>VLOOKUP(A8242,'Componentes APUs'!$A$1:$D$14,3,0)</f>
        <v>U</v>
      </c>
      <c r="E8242" s="50">
        <f>SUM(C8213:C8218)</f>
        <v>2.5</v>
      </c>
      <c r="F8242" s="51">
        <f>VLOOKUP(A8242,'Componentes APUs'!$A$1:$D$14,4,0)</f>
        <v>7575.757575757576</v>
      </c>
      <c r="G8242" s="51">
        <f>ROUNDUP(F8242*(E8242/21)/E8203,0)</f>
        <v>37</v>
      </c>
    </row>
    <row r="8243" spans="1:7" x14ac:dyDescent="0.25">
      <c r="A8243" s="50" t="s">
        <v>87</v>
      </c>
      <c r="B8243" s="72" t="str">
        <f>VLOOKUP(A8243,'Componentes APUs'!$A$1:$D$14,2,0)</f>
        <v>Casco dielectrico Tipo 2 Clase E con barboquejo</v>
      </c>
      <c r="C8243" s="73"/>
      <c r="D8243" s="50" t="str">
        <f>VLOOKUP(A8243,'Componentes APUs'!$A$1:$D$14,3,0)</f>
        <v>U</v>
      </c>
      <c r="E8243" s="53">
        <f>IF(A8215="MO-3",C8215,0)</f>
        <v>0</v>
      </c>
      <c r="F8243" s="51">
        <f>VLOOKUP(A8243,'Componentes APUs'!$A$1:$D$14,4,0)</f>
        <v>7500</v>
      </c>
      <c r="G8243" s="51">
        <f>ROUNDUP(F8243*(E8243/21)/E8203,0)</f>
        <v>0</v>
      </c>
    </row>
    <row r="8244" spans="1:7" x14ac:dyDescent="0.25">
      <c r="A8244" s="69" t="s">
        <v>89</v>
      </c>
      <c r="B8244" s="72" t="str">
        <f>VLOOKUP(A8244,'Componentes APUs'!$A$1:$D$14,2,0)</f>
        <v>Kit de rescate para trabajo en alturas</v>
      </c>
      <c r="C8244" s="73"/>
      <c r="D8244" s="50" t="str">
        <f>VLOOKUP(A8244,'Componentes APUs'!$A$1:$D$14,3,0)</f>
        <v>U</v>
      </c>
      <c r="E8244" s="50">
        <f>IF(AND(A8215="MO-3",C8215=2),1,0)</f>
        <v>0</v>
      </c>
      <c r="F8244" s="51">
        <f>VLOOKUP(A8244,'Componentes APUs'!$A$1:$D$14,4,0)</f>
        <v>37500</v>
      </c>
      <c r="G8244" s="51">
        <f>ROUNDUP(F8244*(E8244/21)/E8203,0)</f>
        <v>0</v>
      </c>
    </row>
    <row r="8245" spans="1:7" x14ac:dyDescent="0.25">
      <c r="A8245" s="50" t="s">
        <v>91</v>
      </c>
      <c r="B8245" s="72" t="str">
        <f>VLOOKUP(A8245,'Componentes APUs'!$A$1:$D$14,2,0)</f>
        <v>Equipo completo para trabajo en alturas con pretales (Arnes dielectrico, 1 mosqueton de seguridad, tie off dielectrico, eslinga de posicionamiento, juego de pretales)</v>
      </c>
      <c r="C8245" s="73"/>
      <c r="D8245" s="50" t="str">
        <f>VLOOKUP(A8245,'Componentes APUs'!$A$1:$D$14,3,0)</f>
        <v>U</v>
      </c>
      <c r="E8245" s="50">
        <f>IF(A8215="MO-3",C8215,0)</f>
        <v>0</v>
      </c>
      <c r="F8245" s="51">
        <f>VLOOKUP(A8245,'Componentes APUs'!$A$1:$D$14,4,0)</f>
        <v>26041.666666666668</v>
      </c>
      <c r="G8245" s="51">
        <f>ROUNDUP(F8245*(E8245/21)/E8203,0)</f>
        <v>0</v>
      </c>
    </row>
    <row r="8246" spans="1:7" x14ac:dyDescent="0.25">
      <c r="A8246" s="219" t="s">
        <v>95</v>
      </c>
      <c r="B8246" s="219"/>
      <c r="C8246" s="219"/>
      <c r="D8246" s="219"/>
      <c r="E8246" s="219"/>
      <c r="F8246" s="219"/>
      <c r="G8246" s="52">
        <f>SUM(G8233:G8245)</f>
        <v>251</v>
      </c>
    </row>
    <row r="8247" spans="1:7" x14ac:dyDescent="0.25">
      <c r="A8247" s="56"/>
      <c r="B8247" s="57"/>
      <c r="C8247" s="57"/>
      <c r="D8247" s="57"/>
      <c r="E8247" s="57"/>
      <c r="F8247" s="57"/>
      <c r="G8247" s="58"/>
    </row>
    <row r="8248" spans="1:7" x14ac:dyDescent="0.25">
      <c r="A8248" s="219" t="s">
        <v>96</v>
      </c>
      <c r="B8248" s="219"/>
      <c r="C8248" s="219"/>
      <c r="D8248" s="219"/>
      <c r="E8248" s="219"/>
      <c r="F8248" s="219"/>
      <c r="G8248" s="219"/>
    </row>
    <row r="8249" spans="1:7" x14ac:dyDescent="0.25">
      <c r="A8249" s="49" t="s">
        <v>35</v>
      </c>
      <c r="B8249" s="225" t="s">
        <v>36</v>
      </c>
      <c r="C8249" s="225"/>
      <c r="D8249" s="49" t="s">
        <v>37</v>
      </c>
      <c r="E8249" s="49" t="s">
        <v>38</v>
      </c>
      <c r="F8249" s="49" t="s">
        <v>39</v>
      </c>
      <c r="G8249" s="49" t="s">
        <v>40</v>
      </c>
    </row>
    <row r="8250" spans="1:7" x14ac:dyDescent="0.25">
      <c r="A8250" s="69" t="s">
        <v>97</v>
      </c>
      <c r="B8250" s="72" t="str">
        <f>VLOOKUP(A8250,'Componentes APUs'!$N$1:$Q$30,2,0)</f>
        <v>Camioneta</v>
      </c>
      <c r="C8250" s="73"/>
      <c r="D8250" s="70" t="str">
        <f>VLOOKUP(A8250,'Componentes APUs'!$N$1:$Q$30,3,0)</f>
        <v>U</v>
      </c>
      <c r="E8250" s="50">
        <v>0.5</v>
      </c>
      <c r="F8250" s="51">
        <f>VLOOKUP(A8250,'Componentes APUs'!$N$1:$Q$30,4,0)</f>
        <v>5500000</v>
      </c>
      <c r="G8250" s="51">
        <f>IFERROR(ROUNDUP(F8250*(E8250/21)/E8203,0),"-")</f>
        <v>5239</v>
      </c>
    </row>
    <row r="8251" spans="1:7" x14ac:dyDescent="0.25">
      <c r="A8251" s="50" t="s">
        <v>1473</v>
      </c>
      <c r="B8251" s="72" t="str">
        <f>VLOOKUP(A8251,'Componentes APUs'!$N$1:$Q$30,2,0)</f>
        <v>Concretera</v>
      </c>
      <c r="C8251" s="73"/>
      <c r="D8251" s="70" t="str">
        <f>VLOOKUP(A8251,'Componentes APUs'!$N$1:$Q$30,3,0)</f>
        <v>U</v>
      </c>
      <c r="E8251" s="50">
        <v>0</v>
      </c>
      <c r="F8251" s="51">
        <f>VLOOKUP(A8251,'Componentes APUs'!$N$1:$Q$30,4,0)</f>
        <v>550704</v>
      </c>
      <c r="G8251" s="51">
        <f>IFERROR(ROUNDUP(F8251*(E8251/21)/E8203,0),"-")</f>
        <v>0</v>
      </c>
    </row>
    <row r="8252" spans="1:7" x14ac:dyDescent="0.25">
      <c r="A8252" s="69" t="s">
        <v>1379</v>
      </c>
      <c r="B8252" s="72" t="str">
        <f>VLOOKUP(A8252,'Componentes APUs'!$N$1:$Q$30,2,0)</f>
        <v>Dumper de descarga Frontal 2T</v>
      </c>
      <c r="C8252" s="73"/>
      <c r="D8252" s="70" t="str">
        <f>VLOOKUP(A8252,'Componentes APUs'!$N$1:$Q$30,3,0)</f>
        <v>U</v>
      </c>
      <c r="E8252" s="50">
        <v>0</v>
      </c>
      <c r="F8252" s="51">
        <f>VLOOKUP(A8252,'Componentes APUs'!$N$1:$Q$30,4,0)</f>
        <v>4438716.24</v>
      </c>
      <c r="G8252" s="51">
        <f>IFERROR(ROUNDUP(F8252*(E8252/21)/E8203,0),"-")</f>
        <v>0</v>
      </c>
    </row>
    <row r="8253" spans="1:7" x14ac:dyDescent="0.25">
      <c r="A8253" s="50" t="s">
        <v>323</v>
      </c>
      <c r="B8253" s="72" t="str">
        <f>VLOOKUP(A8253,'Componentes APUs'!$N$1:$Q$30,2,0)</f>
        <v>Volqueta</v>
      </c>
      <c r="C8253" s="73"/>
      <c r="D8253" s="70" t="str">
        <f>VLOOKUP(A8253,'Componentes APUs'!$N$1:$Q$30,3,0)</f>
        <v>U</v>
      </c>
      <c r="E8253" s="50">
        <v>0</v>
      </c>
      <c r="F8253" s="51">
        <f>VLOOKUP(A8253,'Componentes APUs'!$N$1:$Q$30,4,0)</f>
        <v>14828184</v>
      </c>
      <c r="G8253" s="51">
        <f>IFERROR(ROUNDUP(F8253*(E8253/21)/E8203,0),"-")</f>
        <v>0</v>
      </c>
    </row>
    <row r="8254" spans="1:7" x14ac:dyDescent="0.25">
      <c r="A8254" s="69" t="s">
        <v>324</v>
      </c>
      <c r="B8254" s="72" t="str">
        <f>VLOOKUP(A8254,'Componentes APUs'!$N$1:$Q$30,2,0)</f>
        <v>Retroexcavadora</v>
      </c>
      <c r="C8254" s="73"/>
      <c r="D8254" s="70" t="str">
        <f>VLOOKUP(A8254,'Componentes APUs'!$N$1:$Q$30,3,0)</f>
        <v>U</v>
      </c>
      <c r="E8254" s="50">
        <v>0</v>
      </c>
      <c r="F8254" s="51">
        <f>VLOOKUP(A8254,'Componentes APUs'!$N$1:$Q$30,4,0)</f>
        <v>46030656</v>
      </c>
      <c r="G8254" s="51">
        <f>IFERROR(ROUNDUP(F8254*(E8254/21)/E8203,0),"-")</f>
        <v>0</v>
      </c>
    </row>
    <row r="8255" spans="1:7" x14ac:dyDescent="0.25">
      <c r="A8255" s="219" t="s">
        <v>99</v>
      </c>
      <c r="B8255" s="219"/>
      <c r="C8255" s="219"/>
      <c r="D8255" s="219"/>
      <c r="E8255" s="219"/>
      <c r="F8255" s="219"/>
      <c r="G8255" s="52">
        <f>SUM(G8250:G8254)</f>
        <v>5239</v>
      </c>
    </row>
    <row r="8256" spans="1:7" x14ac:dyDescent="0.25">
      <c r="A8256" s="56"/>
      <c r="B8256" s="57"/>
      <c r="C8256" s="57"/>
      <c r="D8256" s="57"/>
      <c r="E8256" s="57"/>
      <c r="F8256" s="57"/>
      <c r="G8256" s="58"/>
    </row>
    <row r="8257" spans="1:12" x14ac:dyDescent="0.25">
      <c r="A8257" s="219" t="s">
        <v>100</v>
      </c>
      <c r="B8257" s="219"/>
      <c r="C8257" s="219"/>
      <c r="D8257" s="219"/>
      <c r="E8257" s="219"/>
      <c r="F8257" s="219"/>
      <c r="G8257" s="52">
        <f>G8255+G8246+G8229+G8219+G8209</f>
        <v>87391</v>
      </c>
    </row>
    <row r="8258" spans="1:12" x14ac:dyDescent="0.25">
      <c r="A8258" s="59"/>
      <c r="B8258" s="60"/>
      <c r="C8258" s="60"/>
      <c r="D8258" s="60"/>
      <c r="E8258" s="57"/>
      <c r="F8258" s="57"/>
      <c r="G8258" s="58"/>
    </row>
    <row r="8259" spans="1:12" x14ac:dyDescent="0.25">
      <c r="A8259" s="64"/>
      <c r="D8259" s="55"/>
      <c r="E8259" s="49" t="s">
        <v>25</v>
      </c>
      <c r="F8259" s="54">
        <v>0.15</v>
      </c>
      <c r="G8259" s="51">
        <f>G8257*F8259</f>
        <v>13108.65</v>
      </c>
    </row>
    <row r="8260" spans="1:12" x14ac:dyDescent="0.25">
      <c r="A8260" s="64"/>
      <c r="D8260" s="55"/>
      <c r="E8260" s="49" t="s">
        <v>26</v>
      </c>
      <c r="F8260" s="54">
        <v>0.05</v>
      </c>
      <c r="G8260" s="51">
        <f>G8257*F8260</f>
        <v>4369.55</v>
      </c>
    </row>
    <row r="8261" spans="1:12" x14ac:dyDescent="0.25">
      <c r="A8261" s="61"/>
      <c r="B8261" s="65"/>
      <c r="C8261" s="65"/>
      <c r="D8261" s="62"/>
      <c r="E8261" s="49" t="s">
        <v>27</v>
      </c>
      <c r="F8261" s="54">
        <v>0.05</v>
      </c>
      <c r="G8261" s="51">
        <f>G8257*F8261</f>
        <v>4369.55</v>
      </c>
    </row>
    <row r="8262" spans="1:12" x14ac:dyDescent="0.25">
      <c r="A8262" s="61"/>
      <c r="B8262" s="62"/>
      <c r="C8262" s="62"/>
      <c r="D8262" s="62"/>
      <c r="E8262" s="62"/>
      <c r="F8262" s="62"/>
      <c r="G8262" s="63"/>
    </row>
    <row r="8263" spans="1:12" x14ac:dyDescent="0.25">
      <c r="A8263" s="219" t="s">
        <v>101</v>
      </c>
      <c r="B8263" s="219"/>
      <c r="C8263" s="219"/>
      <c r="D8263" s="219"/>
      <c r="E8263" s="219"/>
      <c r="F8263" s="219"/>
      <c r="G8263" s="52">
        <f>G8257+G8259+G8260+G8261</f>
        <v>109238.75</v>
      </c>
    </row>
    <row r="8264" spans="1:12" x14ac:dyDescent="0.25">
      <c r="A8264" s="59"/>
      <c r="B8264" s="60"/>
      <c r="C8264" s="60"/>
      <c r="D8264" s="60"/>
      <c r="E8264" s="57"/>
      <c r="F8264" s="57"/>
      <c r="G8264" s="58"/>
    </row>
    <row r="8265" spans="1:12" x14ac:dyDescent="0.25">
      <c r="A8265" s="64"/>
      <c r="D8265" s="55"/>
      <c r="E8265" s="49" t="s">
        <v>102</v>
      </c>
      <c r="F8265" s="49" t="s">
        <v>103</v>
      </c>
      <c r="G8265" s="51">
        <f>G8261*19%</f>
        <v>830.21450000000004</v>
      </c>
    </row>
    <row r="8266" spans="1:12" x14ac:dyDescent="0.25">
      <c r="A8266" s="61"/>
      <c r="B8266" s="62"/>
      <c r="C8266" s="62"/>
      <c r="D8266" s="62"/>
      <c r="E8266" s="57"/>
      <c r="F8266" s="57"/>
      <c r="G8266" s="58"/>
    </row>
    <row r="8267" spans="1:12" x14ac:dyDescent="0.25">
      <c r="A8267" s="219" t="s">
        <v>104</v>
      </c>
      <c r="B8267" s="219"/>
      <c r="C8267" s="219"/>
      <c r="D8267" s="219"/>
      <c r="E8267" s="219"/>
      <c r="F8267" s="219"/>
      <c r="G8267" s="52">
        <f>G8265+G8263</f>
        <v>110068.9645</v>
      </c>
    </row>
    <row r="8269" spans="1:12" x14ac:dyDescent="0.25">
      <c r="A8269" s="74" t="s">
        <v>29</v>
      </c>
      <c r="B8269" s="226" t="s">
        <v>30</v>
      </c>
      <c r="C8269" s="226"/>
      <c r="D8269" s="74" t="s">
        <v>31</v>
      </c>
      <c r="E8269" s="74" t="s">
        <v>32</v>
      </c>
      <c r="F8269" s="74" t="s">
        <v>189</v>
      </c>
      <c r="G8269" s="74" t="s">
        <v>33</v>
      </c>
      <c r="H8269" s="105"/>
    </row>
    <row r="8270" spans="1:12" ht="30" customHeight="1" x14ac:dyDescent="0.25">
      <c r="A8270" s="50" t="str">
        <f>Presupuesto!B154</f>
        <v>131_OC</v>
      </c>
      <c r="B8270" s="229" t="str">
        <f>Presupuesto!C154</f>
        <v>CERRAMIENTO EN MALLA ESLABONADA DE 1,8 M EN ALAMBRE GALVANIZADO CALIBRE Nº 10.</v>
      </c>
      <c r="C8270" s="230"/>
      <c r="D8270" s="50" t="s">
        <v>16</v>
      </c>
      <c r="E8270" s="53">
        <v>40</v>
      </c>
      <c r="F8270" s="50"/>
      <c r="G8270" s="51">
        <f>G8333</f>
        <v>86180.028000000006</v>
      </c>
      <c r="H8270" s="111"/>
    </row>
    <row r="8271" spans="1:12" x14ac:dyDescent="0.25">
      <c r="A8271" s="219" t="s">
        <v>34</v>
      </c>
      <c r="B8271" s="219"/>
      <c r="C8271" s="219"/>
      <c r="D8271" s="219"/>
      <c r="E8271" s="219"/>
      <c r="F8271" s="219"/>
      <c r="G8271" s="219"/>
    </row>
    <row r="8272" spans="1:12" ht="30.75" customHeight="1" x14ac:dyDescent="0.25">
      <c r="A8272" s="49" t="s">
        <v>35</v>
      </c>
      <c r="B8272" s="219" t="s">
        <v>36</v>
      </c>
      <c r="C8272" s="219"/>
      <c r="D8272" s="49" t="s">
        <v>37</v>
      </c>
      <c r="E8272" s="49" t="s">
        <v>38</v>
      </c>
      <c r="F8272" s="49" t="s">
        <v>39</v>
      </c>
      <c r="G8272" s="49" t="s">
        <v>40</v>
      </c>
      <c r="K8272" s="23"/>
      <c r="L8272" s="23"/>
    </row>
    <row r="8273" spans="1:13" x14ac:dyDescent="0.25">
      <c r="A8273" s="50" t="str">
        <f>Material!A591</f>
        <v>MA-590</v>
      </c>
      <c r="B8273" s="146" t="str">
        <f>IFERROR(VLOOKUP(A8273,Material!$A:$H,2,0),"-")</f>
        <v>MALLA ESLABONADA nO. 12 GALV</v>
      </c>
      <c r="C8273" s="76"/>
      <c r="D8273" s="50" t="str">
        <f>IFERROR(VLOOKUP(A8273,Material!$A:$H,4,0),"-")</f>
        <v>M2</v>
      </c>
      <c r="E8273" s="107">
        <v>1</v>
      </c>
      <c r="F8273" s="51">
        <f>IFERROR(VLOOKUP(A8273,Material!$A:$H,3,0),"-")</f>
        <v>37050</v>
      </c>
      <c r="G8273" s="51">
        <f t="shared" ref="G8273:G8274" si="121">IFERROR(ROUNDUP(F8273*E8273,0),"-")</f>
        <v>37050</v>
      </c>
      <c r="H8273" s="112"/>
      <c r="I8273" s="110"/>
      <c r="J8273" s="113"/>
      <c r="K8273" s="114"/>
      <c r="L8273" s="115"/>
      <c r="M8273" s="115"/>
    </row>
    <row r="8274" spans="1:13" x14ac:dyDescent="0.25">
      <c r="A8274" s="50" t="str">
        <f>Material!A592</f>
        <v>MA-591</v>
      </c>
      <c r="B8274" s="146" t="str">
        <f>IFERROR(VLOOKUP(A8274,Material!$A:$H,2,0),"-")</f>
        <v>SOLDADURA ELÉCTRICA</v>
      </c>
      <c r="C8274" s="76"/>
      <c r="D8274" s="50" t="str">
        <f>IFERROR(VLOOKUP(A8274,Material!$A:$H,4,0),"-")</f>
        <v>KG</v>
      </c>
      <c r="E8274" s="107">
        <v>6.3E-2</v>
      </c>
      <c r="F8274" s="51">
        <f>IFERROR(VLOOKUP(A8274,Material!$A:$H,3,0),"-")</f>
        <v>34240.700000000004</v>
      </c>
      <c r="G8274" s="51">
        <f t="shared" si="121"/>
        <v>2158</v>
      </c>
      <c r="H8274" s="112"/>
      <c r="I8274" s="110"/>
      <c r="J8274" s="113"/>
      <c r="K8274" s="114"/>
      <c r="L8274" s="115"/>
      <c r="M8274" s="115"/>
    </row>
    <row r="8275" spans="1:13" x14ac:dyDescent="0.25">
      <c r="A8275" s="219" t="s">
        <v>41</v>
      </c>
      <c r="B8275" s="219"/>
      <c r="C8275" s="219"/>
      <c r="D8275" s="219"/>
      <c r="E8275" s="219"/>
      <c r="F8275" s="219"/>
      <c r="G8275" s="52">
        <f>SUM(G8273:G8274)</f>
        <v>39208</v>
      </c>
      <c r="I8275" s="104"/>
    </row>
    <row r="8276" spans="1:13" x14ac:dyDescent="0.25">
      <c r="A8276" s="56"/>
      <c r="B8276" s="57"/>
      <c r="C8276" s="57"/>
      <c r="D8276" s="57"/>
      <c r="E8276" s="57"/>
      <c r="F8276" s="57"/>
      <c r="G8276" s="58"/>
    </row>
    <row r="8277" spans="1:13" x14ac:dyDescent="0.25">
      <c r="A8277" s="219" t="s">
        <v>42</v>
      </c>
      <c r="B8277" s="219"/>
      <c r="C8277" s="219"/>
      <c r="D8277" s="219"/>
      <c r="E8277" s="219"/>
      <c r="F8277" s="219"/>
      <c r="G8277" s="219"/>
    </row>
    <row r="8278" spans="1:13" x14ac:dyDescent="0.25">
      <c r="A8278" s="49" t="s">
        <v>35</v>
      </c>
      <c r="B8278" s="49" t="s">
        <v>36</v>
      </c>
      <c r="C8278" s="49" t="s">
        <v>38</v>
      </c>
      <c r="D8278" s="49" t="s">
        <v>43</v>
      </c>
      <c r="E8278" s="49" t="s">
        <v>44</v>
      </c>
      <c r="F8278" s="49" t="s">
        <v>45</v>
      </c>
      <c r="G8278" s="49" t="s">
        <v>40</v>
      </c>
    </row>
    <row r="8279" spans="1:13" x14ac:dyDescent="0.25">
      <c r="A8279" s="50" t="s">
        <v>319</v>
      </c>
      <c r="B8279" s="68" t="str">
        <f>VLOOKUP(A8279,'Componentes APUs'!$H$1:$L$25,2,0)</f>
        <v>Ingeniero Residente de Obra</v>
      </c>
      <c r="C8279" s="93">
        <v>0.25</v>
      </c>
      <c r="D8279" s="50">
        <f>VLOOKUP(A8279,'Componentes APUs'!$H$1:$L$25,3,0)</f>
        <v>4</v>
      </c>
      <c r="E8279" s="51">
        <f>VLOOKUP(A8279,'Componentes APUs'!$H$1:$L$25,4,0)</f>
        <v>271142.85714285716</v>
      </c>
      <c r="F8279" s="51">
        <f>VLOOKUP(A8279,'Componentes APUs'!$H$1:$L$25,5,0)</f>
        <v>162685.71428571429</v>
      </c>
      <c r="G8279" s="51">
        <f>ROUNDUP((E8279+F8279)*C8279/E8270,0)</f>
        <v>2712</v>
      </c>
      <c r="H8279" s="66"/>
    </row>
    <row r="8280" spans="1:13" x14ac:dyDescent="0.25">
      <c r="A8280" s="50" t="s">
        <v>320</v>
      </c>
      <c r="B8280" s="68" t="str">
        <f>VLOOKUP(A8280,'Componentes APUs'!$H$1:$L$25,2,0)</f>
        <v>Tecnico Supervisor</v>
      </c>
      <c r="C8280" s="93">
        <v>0</v>
      </c>
      <c r="D8280" s="50">
        <f>VLOOKUP(A8280,'Componentes APUs'!$H$1:$L$25,3,0)</f>
        <v>2.2999999999999998</v>
      </c>
      <c r="E8280" s="51">
        <f>VLOOKUP(A8280,'Componentes APUs'!$H$1:$L$25,4,0)</f>
        <v>155907.14285714284</v>
      </c>
      <c r="F8280" s="51">
        <f>VLOOKUP(A8280,'Componentes APUs'!$H$1:$L$25,5,0)</f>
        <v>93544.285714285696</v>
      </c>
      <c r="G8280" s="51">
        <f>ROUNDUP((E8280+F8280)*C8280/E8270,0)</f>
        <v>0</v>
      </c>
    </row>
    <row r="8281" spans="1:13" x14ac:dyDescent="0.25">
      <c r="A8281" s="50" t="s">
        <v>54</v>
      </c>
      <c r="B8281" s="68" t="str">
        <f>VLOOKUP(A8281,'Componentes APUs'!$H$1:$L$25,2,0)</f>
        <v>Maestro de obra civil</v>
      </c>
      <c r="C8281" s="93">
        <v>0</v>
      </c>
      <c r="D8281" s="50">
        <f>VLOOKUP(A8281,'Componentes APUs'!$H$1:$L$25,3,0)</f>
        <v>2.5</v>
      </c>
      <c r="E8281" s="51">
        <f>VLOOKUP(A8281,'Componentes APUs'!$H$1:$L$25,4,0)</f>
        <v>169464.28571428571</v>
      </c>
      <c r="F8281" s="51">
        <f>VLOOKUP(A8281,'Componentes APUs'!$H$1:$L$25,5,0)</f>
        <v>101678.57142857142</v>
      </c>
      <c r="G8281" s="51">
        <f>ROUNDUP((E8281+F8281)*C8281/E8270,0)</f>
        <v>0</v>
      </c>
    </row>
    <row r="8282" spans="1:13" x14ac:dyDescent="0.25">
      <c r="A8282" s="50" t="s">
        <v>1110</v>
      </c>
      <c r="B8282" s="68" t="str">
        <f>VLOOKUP(A8282,'Componentes APUs'!$H$1:$L$25,2,0)</f>
        <v>Oficial de Obra Civil</v>
      </c>
      <c r="C8282" s="93">
        <v>1</v>
      </c>
      <c r="D8282" s="50">
        <f>VLOOKUP(A8282,'Componentes APUs'!$H$1:$L$25,3,0)</f>
        <v>1.5</v>
      </c>
      <c r="E8282" s="51">
        <f>VLOOKUP(A8282,'Componentes APUs'!$H$1:$L$25,4,0)</f>
        <v>115964.28571428571</v>
      </c>
      <c r="F8282" s="51">
        <f>VLOOKUP(A8282,'Componentes APUs'!$H$1:$L$25,5,0)</f>
        <v>69578.57142857142</v>
      </c>
      <c r="G8282" s="51">
        <f>ROUNDUP((E8282+F8282)*C8282/E8270,0)</f>
        <v>4639</v>
      </c>
    </row>
    <row r="8283" spans="1:13" x14ac:dyDescent="0.25">
      <c r="A8283" s="50" t="s">
        <v>50</v>
      </c>
      <c r="B8283" s="68" t="str">
        <f>VLOOKUP(A8283,'Componentes APUs'!$H$1:$L$25,2,0)</f>
        <v>Profesional en SST</v>
      </c>
      <c r="C8283" s="93">
        <v>0.25</v>
      </c>
      <c r="D8283" s="50">
        <f>VLOOKUP(A8283,'Componentes APUs'!$H$1:$L$25,3,0)</f>
        <v>2.5</v>
      </c>
      <c r="E8283" s="51">
        <f>VLOOKUP(A8283,'Componentes APUs'!$H$1:$L$25,4,0)</f>
        <v>169464.28571428571</v>
      </c>
      <c r="F8283" s="51">
        <f>VLOOKUP(A8283,'Componentes APUs'!$H$1:$L$25,5,0)</f>
        <v>101678.57142857142</v>
      </c>
      <c r="G8283" s="51">
        <f>ROUNDUP((E8283+F8283)*C8283/E8270,0)</f>
        <v>1695</v>
      </c>
    </row>
    <row r="8284" spans="1:13" x14ac:dyDescent="0.25">
      <c r="A8284" s="50" t="s">
        <v>1109</v>
      </c>
      <c r="B8284" s="68" t="str">
        <f>VLOOKUP(A8284,'Componentes APUs'!$H$1:$L$25,2,0)</f>
        <v>Ayudante de Obra Civil</v>
      </c>
      <c r="C8284" s="93">
        <v>2</v>
      </c>
      <c r="D8284" s="50">
        <f>VLOOKUP(A8284,'Componentes APUs'!$H$1:$L$25,3,0)</f>
        <v>1</v>
      </c>
      <c r="E8284" s="51">
        <f>VLOOKUP(A8284,'Componentes APUs'!$H$1:$L$25,4,0)</f>
        <v>77309.523809523816</v>
      </c>
      <c r="F8284" s="51">
        <f>VLOOKUP(A8284,'Componentes APUs'!$H$1:$L$25,5,0)</f>
        <v>46385.71428571429</v>
      </c>
      <c r="G8284" s="51">
        <f>ROUNDUP((E8284+F8284)*C8284/E8270,0)</f>
        <v>6185</v>
      </c>
    </row>
    <row r="8285" spans="1:13" x14ac:dyDescent="0.25">
      <c r="A8285" s="219" t="s">
        <v>56</v>
      </c>
      <c r="B8285" s="219"/>
      <c r="C8285" s="219"/>
      <c r="D8285" s="219"/>
      <c r="E8285" s="219"/>
      <c r="F8285" s="219"/>
      <c r="G8285" s="52">
        <f>SUM(G8279:G8284)</f>
        <v>15231</v>
      </c>
    </row>
    <row r="8286" spans="1:13" x14ac:dyDescent="0.25">
      <c r="A8286" s="56"/>
      <c r="B8286" s="57"/>
      <c r="C8286" s="57"/>
      <c r="D8286" s="57"/>
      <c r="E8286" s="57"/>
      <c r="F8286" s="57"/>
      <c r="G8286" s="58"/>
    </row>
    <row r="8287" spans="1:13" x14ac:dyDescent="0.25">
      <c r="A8287" s="219" t="s">
        <v>57</v>
      </c>
      <c r="B8287" s="219"/>
      <c r="C8287" s="219"/>
      <c r="D8287" s="219"/>
      <c r="E8287" s="219"/>
      <c r="F8287" s="219"/>
      <c r="G8287" s="219"/>
    </row>
    <row r="8288" spans="1:13" x14ac:dyDescent="0.25">
      <c r="A8288" s="49" t="s">
        <v>35</v>
      </c>
      <c r="B8288" s="219" t="s">
        <v>36</v>
      </c>
      <c r="C8288" s="219"/>
      <c r="D8288" s="49" t="s">
        <v>37</v>
      </c>
      <c r="E8288" s="49" t="s">
        <v>38</v>
      </c>
      <c r="F8288" s="49" t="s">
        <v>39</v>
      </c>
      <c r="G8288" s="49" t="s">
        <v>40</v>
      </c>
    </row>
    <row r="8289" spans="1:9" x14ac:dyDescent="0.25">
      <c r="A8289" s="50" t="s">
        <v>326</v>
      </c>
      <c r="B8289" s="220" t="str">
        <f>VLOOKUP(A8289,'Componentes APUs'!$S$1:$V$10,2,0)</f>
        <v>Juego Llaves</v>
      </c>
      <c r="C8289" s="220"/>
      <c r="D8289" s="50" t="s">
        <v>18</v>
      </c>
      <c r="E8289" s="50">
        <v>0</v>
      </c>
      <c r="F8289" s="51">
        <f>VLOOKUP(A8289,'Componentes APUs'!$S$1:$V$10,4,0)</f>
        <v>9167</v>
      </c>
      <c r="G8289" s="51">
        <f>ROUNDUP(F8289*((E8289/21)/E8270),0)</f>
        <v>0</v>
      </c>
      <c r="I8289" s="91"/>
    </row>
    <row r="8290" spans="1:9" x14ac:dyDescent="0.25">
      <c r="A8290" s="50" t="s">
        <v>58</v>
      </c>
      <c r="B8290" s="220" t="str">
        <f>VLOOKUP(A8290,'Componentes APUs'!$S$1:$V$10,2,0)</f>
        <v>Manila de servicio</v>
      </c>
      <c r="C8290" s="220"/>
      <c r="D8290" s="50" t="s">
        <v>18</v>
      </c>
      <c r="E8290" s="50">
        <v>0</v>
      </c>
      <c r="F8290" s="51">
        <f>VLOOKUP(A8290,'Componentes APUs'!$S$1:$V$10,4,0)</f>
        <v>2333</v>
      </c>
      <c r="G8290" s="51">
        <f>ROUNDUP(F8290*((E8290/21)/E8270),0)</f>
        <v>0</v>
      </c>
    </row>
    <row r="8291" spans="1:9" x14ac:dyDescent="0.25">
      <c r="A8291" s="50" t="s">
        <v>327</v>
      </c>
      <c r="B8291" s="220" t="str">
        <f>VLOOKUP(A8291,'Componentes APUs'!$S$1:$V$10,2,0)</f>
        <v>Tula portaherramientas</v>
      </c>
      <c r="C8291" s="220"/>
      <c r="D8291" s="50" t="s">
        <v>18</v>
      </c>
      <c r="E8291" s="50">
        <v>0</v>
      </c>
      <c r="F8291" s="51">
        <f>VLOOKUP(A8291,'Componentes APUs'!$S$1:$V$10,4,0)</f>
        <v>1250</v>
      </c>
      <c r="G8291" s="51">
        <f>ROUNDUP(F8291*((E8291/21)/E8270),0)</f>
        <v>0</v>
      </c>
    </row>
    <row r="8292" spans="1:9" x14ac:dyDescent="0.25">
      <c r="A8292" s="50" t="s">
        <v>60</v>
      </c>
      <c r="B8292" s="220" t="str">
        <f>VLOOKUP(A8292,'Componentes APUs'!$S$1:$V$10,2,0)</f>
        <v>Agarradoras</v>
      </c>
      <c r="C8292" s="220"/>
      <c r="D8292" s="50" t="s">
        <v>18</v>
      </c>
      <c r="E8292" s="50">
        <v>0</v>
      </c>
      <c r="F8292" s="51">
        <f>VLOOKUP(A8292,'Componentes APUs'!$S$1:$V$10,4,0)</f>
        <v>125000</v>
      </c>
      <c r="G8292" s="51">
        <f>ROUNDUP(F8292*((E8292/21)/E8270),0)</f>
        <v>0</v>
      </c>
    </row>
    <row r="8293" spans="1:9" x14ac:dyDescent="0.25">
      <c r="A8293" s="50" t="s">
        <v>62</v>
      </c>
      <c r="B8293" s="220" t="str">
        <f>VLOOKUP(A8293,'Componentes APUs'!$S$1:$V$10,2,0)</f>
        <v>Templadoras</v>
      </c>
      <c r="C8293" s="220"/>
      <c r="D8293" s="50" t="s">
        <v>18</v>
      </c>
      <c r="E8293" s="50">
        <v>0</v>
      </c>
      <c r="F8293" s="51">
        <f>VLOOKUP(A8293,'Componentes APUs'!$S$1:$V$10,4,0)</f>
        <v>250000</v>
      </c>
      <c r="G8293" s="51">
        <f>ROUNDUP(F8293*((E8293/21)/E8270),0)</f>
        <v>0</v>
      </c>
    </row>
    <row r="8294" spans="1:9" x14ac:dyDescent="0.25">
      <c r="A8294" s="50" t="s">
        <v>328</v>
      </c>
      <c r="B8294" s="220" t="str">
        <f>VLOOKUP(A8294,'Componentes APUs'!$S$1:$V$10,2,0)</f>
        <v>Herramienta Menor</v>
      </c>
      <c r="C8294" s="220"/>
      <c r="D8294" s="50" t="s">
        <v>18</v>
      </c>
      <c r="E8294" s="50">
        <v>80</v>
      </c>
      <c r="F8294" s="51">
        <f>VLOOKUP(A8294,'Componentes APUs'!$S$1:$V$10,4,0)</f>
        <v>75758</v>
      </c>
      <c r="G8294" s="51">
        <f>ROUNDUP(F8294*((E8294/21)/E8270),0)</f>
        <v>7216</v>
      </c>
    </row>
    <row r="8295" spans="1:9" x14ac:dyDescent="0.25">
      <c r="A8295" s="219" t="s">
        <v>69</v>
      </c>
      <c r="B8295" s="219"/>
      <c r="C8295" s="219"/>
      <c r="D8295" s="219"/>
      <c r="E8295" s="219"/>
      <c r="F8295" s="219"/>
      <c r="G8295" s="52">
        <f>SUM(G8289:G8294)</f>
        <v>7216</v>
      </c>
    </row>
    <row r="8296" spans="1:9" x14ac:dyDescent="0.25">
      <c r="A8296" s="56"/>
      <c r="B8296" s="57"/>
      <c r="C8296" s="57"/>
      <c r="D8296" s="57"/>
      <c r="E8296" s="57"/>
      <c r="F8296" s="57"/>
      <c r="G8296" s="58"/>
    </row>
    <row r="8297" spans="1:9" x14ac:dyDescent="0.25">
      <c r="A8297" s="219" t="s">
        <v>70</v>
      </c>
      <c r="B8297" s="219"/>
      <c r="C8297" s="219"/>
      <c r="D8297" s="219"/>
      <c r="E8297" s="219"/>
      <c r="F8297" s="219"/>
      <c r="G8297" s="219"/>
    </row>
    <row r="8298" spans="1:9" x14ac:dyDescent="0.25">
      <c r="A8298" s="49" t="s">
        <v>35</v>
      </c>
      <c r="B8298" s="219" t="s">
        <v>36</v>
      </c>
      <c r="C8298" s="219"/>
      <c r="D8298" s="49" t="s">
        <v>37</v>
      </c>
      <c r="E8298" s="49" t="s">
        <v>38</v>
      </c>
      <c r="F8298" s="49" t="s">
        <v>39</v>
      </c>
      <c r="G8298" s="49" t="s">
        <v>40</v>
      </c>
    </row>
    <row r="8299" spans="1:9" x14ac:dyDescent="0.25">
      <c r="A8299" s="50" t="s">
        <v>71</v>
      </c>
      <c r="B8299" s="71" t="str">
        <f>VLOOKUP(A8299,'Componentes APUs'!$A$1:$D$14,2,0)</f>
        <v>Camisa indigo sin partes metalicas</v>
      </c>
      <c r="C8299" s="71"/>
      <c r="D8299" s="50" t="str">
        <f>VLOOKUP(A8299,'Componentes APUs'!$A$1:$D$14,3,0)</f>
        <v>U</v>
      </c>
      <c r="E8299" s="50">
        <f>SUM(C8279:C8284)</f>
        <v>3.5</v>
      </c>
      <c r="F8299" s="51">
        <f>VLOOKUP(A8299,'Componentes APUs'!$A$1:$D$14,4,0)</f>
        <v>8585.8585858585866</v>
      </c>
      <c r="G8299" s="51">
        <f>ROUNDUP(F8299*(E8299/21)/E8270,0)</f>
        <v>36</v>
      </c>
      <c r="I8299" s="91"/>
    </row>
    <row r="8300" spans="1:9" x14ac:dyDescent="0.25">
      <c r="A8300" s="69" t="s">
        <v>73</v>
      </c>
      <c r="B8300" s="72" t="str">
        <f>VLOOKUP(A8300,'Componentes APUs'!$A$1:$D$14,2,0)</f>
        <v>Bota de seguridad dielectrica</v>
      </c>
      <c r="C8300" s="73"/>
      <c r="D8300" s="70" t="str">
        <f>VLOOKUP(A8300,'Componentes APUs'!$A$1:$D$14,3,0)</f>
        <v>Par</v>
      </c>
      <c r="E8300" s="50">
        <f>SUM(C8279:C8284)</f>
        <v>3.5</v>
      </c>
      <c r="F8300" s="51">
        <f>VLOOKUP(A8300,'Componentes APUs'!$A$1:$D$14,4,0)</f>
        <v>7500</v>
      </c>
      <c r="G8300" s="51">
        <f>ROUNDUP(F8300*(E8300/21)/E8270,0)</f>
        <v>32</v>
      </c>
    </row>
    <row r="8301" spans="1:9" x14ac:dyDescent="0.25">
      <c r="A8301" s="50" t="s">
        <v>76</v>
      </c>
      <c r="B8301" s="72" t="str">
        <f>VLOOKUP(A8301,'Componentes APUs'!$A$1:$D$14,2,0)</f>
        <v>Casco dielectrico Tipo 1 Clase E con barbuquejo</v>
      </c>
      <c r="C8301" s="73"/>
      <c r="D8301" s="50" t="str">
        <f>VLOOKUP(A8301,'Componentes APUs'!$A$1:$D$14,3,0)</f>
        <v>U</v>
      </c>
      <c r="E8301" s="50">
        <f>C8279+C8280+C8282+C8283+C8284+IF(A8281&lt;&gt;"MO-3",C8281,0)</f>
        <v>3.5</v>
      </c>
      <c r="F8301" s="51">
        <f>VLOOKUP(A8301,'Componentes APUs'!$A$1:$D$14,4,0)</f>
        <v>10101.010101010101</v>
      </c>
      <c r="G8301" s="51">
        <f>ROUNDUP(F8301*(E8301/21)/E8270,0)</f>
        <v>43</v>
      </c>
    </row>
    <row r="8302" spans="1:9" x14ac:dyDescent="0.25">
      <c r="A8302" s="69" t="s">
        <v>77</v>
      </c>
      <c r="B8302" s="72" t="str">
        <f>VLOOKUP(A8302,'Componentes APUs'!$A$1:$D$14,2,0)</f>
        <v>Correa plastica y antiflama</v>
      </c>
      <c r="C8302" s="73"/>
      <c r="D8302" s="50" t="str">
        <f>VLOOKUP(A8302,'Componentes APUs'!$A$1:$D$14,3,0)</f>
        <v>U</v>
      </c>
      <c r="E8302" s="50">
        <f>SUM(C8279:C8284)</f>
        <v>3.5</v>
      </c>
      <c r="F8302" s="51">
        <f>VLOOKUP(A8302,'Componentes APUs'!$A$1:$D$14,4,0)</f>
        <v>3787.878787878788</v>
      </c>
      <c r="G8302" s="51">
        <f>ROUNDUP(F8302*(E8302/21)/E8270,0)</f>
        <v>16</v>
      </c>
    </row>
    <row r="8303" spans="1:9" x14ac:dyDescent="0.25">
      <c r="A8303" s="50" t="s">
        <v>79</v>
      </c>
      <c r="B8303" s="72" t="str">
        <f>VLOOKUP(A8303,'Componentes APUs'!$A$1:$D$14,2,0)</f>
        <v>Gafas protectoras filtro UV</v>
      </c>
      <c r="C8303" s="73"/>
      <c r="D8303" s="50" t="str">
        <f>VLOOKUP(A8303,'Componentes APUs'!$A$1:$D$14,3,0)</f>
        <v>U</v>
      </c>
      <c r="E8303" s="50">
        <f>SUM(C8279:C8284)</f>
        <v>3.5</v>
      </c>
      <c r="F8303" s="51">
        <f>VLOOKUP(A8303,'Componentes APUs'!$A$1:$D$14,4,0)</f>
        <v>2777.7777777777778</v>
      </c>
      <c r="G8303" s="51">
        <f>ROUNDUP(F8303*(E8303/21)/E8270,0)</f>
        <v>12</v>
      </c>
    </row>
    <row r="8304" spans="1:9" x14ac:dyDescent="0.25">
      <c r="A8304" s="69" t="s">
        <v>402</v>
      </c>
      <c r="B8304" s="72" t="str">
        <f>VLOOKUP(A8304,'Componentes APUs'!$A$1:$D$14,2,0)</f>
        <v>Bota de seguridad PVC dielectrica</v>
      </c>
      <c r="C8304" s="73"/>
      <c r="D8304" s="50" t="str">
        <f>VLOOKUP(A8304,'Componentes APUs'!$A$1:$D$14,3,0)</f>
        <v>Par</v>
      </c>
      <c r="E8304" s="50">
        <f>SUM(C8279:C8284)</f>
        <v>3.5</v>
      </c>
      <c r="F8304" s="51">
        <f>VLOOKUP(A8304,'Componentes APUs'!$A$1:$D$14,4,0)</f>
        <v>2916.6666666666665</v>
      </c>
      <c r="G8304" s="51">
        <f>ROUNDUP(F8304*(E8304/21)/E8270,0)</f>
        <v>13</v>
      </c>
    </row>
    <row r="8305" spans="1:7" x14ac:dyDescent="0.25">
      <c r="A8305" s="50" t="s">
        <v>403</v>
      </c>
      <c r="B8305" s="72" t="str">
        <f>VLOOKUP(A8305,'Componentes APUs'!$A$1:$D$14,2,0)</f>
        <v>Capuchon</v>
      </c>
      <c r="C8305" s="73"/>
      <c r="D8305" s="50" t="str">
        <f>VLOOKUP(A8305,'Componentes APUs'!$A$1:$D$14,3,0)</f>
        <v>U</v>
      </c>
      <c r="E8305" s="50">
        <f>SUM(C8279:C8284)</f>
        <v>3.5</v>
      </c>
      <c r="F8305" s="51">
        <f>VLOOKUP(A8305,'Componentes APUs'!$A$1:$D$14,4,0)</f>
        <v>2525.2525252525252</v>
      </c>
      <c r="G8305" s="51">
        <f>ROUNDUP(F8305*(E8305/21)/E8270,0)</f>
        <v>11</v>
      </c>
    </row>
    <row r="8306" spans="1:7" x14ac:dyDescent="0.25">
      <c r="A8306" s="69" t="s">
        <v>81</v>
      </c>
      <c r="B8306" s="72" t="str">
        <f>VLOOKUP(A8306,'Componentes APUs'!$A$1:$D$14,2,0)</f>
        <v>Guantes Protectores  - ingeniero reforzados</v>
      </c>
      <c r="C8306" s="73"/>
      <c r="D8306" s="50" t="str">
        <f>VLOOKUP(A8306,'Componentes APUs'!$A$1:$D$14,3,0)</f>
        <v>Par</v>
      </c>
      <c r="E8306" s="50">
        <f>C8281+C8282+C8284</f>
        <v>3</v>
      </c>
      <c r="F8306" s="51">
        <f>VLOOKUP(A8306,'Componentes APUs'!$A$1:$D$14,4,0)</f>
        <v>2525.2525252525252</v>
      </c>
      <c r="G8306" s="51">
        <f>ROUNDUP(F8306*(E8306/21)/E8270,0)</f>
        <v>10</v>
      </c>
    </row>
    <row r="8307" spans="1:7" x14ac:dyDescent="0.25">
      <c r="A8307" s="50" t="s">
        <v>83</v>
      </c>
      <c r="B8307" s="72" t="str">
        <f>VLOOKUP(A8307,'Componentes APUs'!$A$1:$D$14,2,0)</f>
        <v>Impermeable (pantalon camisa)</v>
      </c>
      <c r="C8307" s="73"/>
      <c r="D8307" s="50" t="str">
        <f>VLOOKUP(A8307,'Componentes APUs'!$A$1:$D$14,3,0)</f>
        <v>U</v>
      </c>
      <c r="E8307" s="50">
        <f>SUM(C8279:C8284)</f>
        <v>3.5</v>
      </c>
      <c r="F8307" s="51">
        <f>VLOOKUP(A8307,'Componentes APUs'!$A$1:$D$14,4,0)</f>
        <v>3750</v>
      </c>
      <c r="G8307" s="51">
        <f>ROUNDUP(F8307*(E8307/21)/E8270,0)</f>
        <v>16</v>
      </c>
    </row>
    <row r="8308" spans="1:7" x14ac:dyDescent="0.25">
      <c r="A8308" s="69" t="s">
        <v>85</v>
      </c>
      <c r="B8308" s="72" t="str">
        <f>VLOOKUP(A8308,'Componentes APUs'!$A$1:$D$14,2,0)</f>
        <v>Jean Dielectrico</v>
      </c>
      <c r="C8308" s="73"/>
      <c r="D8308" s="50" t="str">
        <f>VLOOKUP(A8308,'Componentes APUs'!$A$1:$D$14,3,0)</f>
        <v>U</v>
      </c>
      <c r="E8308" s="50">
        <f>SUM(C8279:C8284)</f>
        <v>3.5</v>
      </c>
      <c r="F8308" s="51">
        <f>VLOOKUP(A8308,'Componentes APUs'!$A$1:$D$14,4,0)</f>
        <v>7575.757575757576</v>
      </c>
      <c r="G8308" s="51">
        <f>ROUNDUP(F8308*(E8308/21)/E8270,0)</f>
        <v>32</v>
      </c>
    </row>
    <row r="8309" spans="1:7" x14ac:dyDescent="0.25">
      <c r="A8309" s="50" t="s">
        <v>87</v>
      </c>
      <c r="B8309" s="72" t="str">
        <f>VLOOKUP(A8309,'Componentes APUs'!$A$1:$D$14,2,0)</f>
        <v>Casco dielectrico Tipo 2 Clase E con barboquejo</v>
      </c>
      <c r="C8309" s="73"/>
      <c r="D8309" s="50" t="str">
        <f>VLOOKUP(A8309,'Componentes APUs'!$A$1:$D$14,3,0)</f>
        <v>U</v>
      </c>
      <c r="E8309" s="53">
        <f>IF(A8281="MO-3",C8281,0)</f>
        <v>0</v>
      </c>
      <c r="F8309" s="51">
        <f>VLOOKUP(A8309,'Componentes APUs'!$A$1:$D$14,4,0)</f>
        <v>7500</v>
      </c>
      <c r="G8309" s="51">
        <f>ROUNDUP(F8309*(E8309/21)/E8270,0)</f>
        <v>0</v>
      </c>
    </row>
    <row r="8310" spans="1:7" x14ac:dyDescent="0.25">
      <c r="A8310" s="69" t="s">
        <v>89</v>
      </c>
      <c r="B8310" s="72" t="str">
        <f>VLOOKUP(A8310,'Componentes APUs'!$A$1:$D$14,2,0)</f>
        <v>Kit de rescate para trabajo en alturas</v>
      </c>
      <c r="C8310" s="73"/>
      <c r="D8310" s="50" t="str">
        <f>VLOOKUP(A8310,'Componentes APUs'!$A$1:$D$14,3,0)</f>
        <v>U</v>
      </c>
      <c r="E8310" s="50">
        <f>IF(AND(A8281="MO-3",C8281=2),1,0)</f>
        <v>0</v>
      </c>
      <c r="F8310" s="51">
        <f>VLOOKUP(A8310,'Componentes APUs'!$A$1:$D$14,4,0)</f>
        <v>37500</v>
      </c>
      <c r="G8310" s="51">
        <f>ROUNDUP(F8310*(E8310/21)/E8270,0)</f>
        <v>0</v>
      </c>
    </row>
    <row r="8311" spans="1:7" x14ac:dyDescent="0.25">
      <c r="A8311" s="50" t="s">
        <v>91</v>
      </c>
      <c r="B8311" s="72" t="str">
        <f>VLOOKUP(A8311,'Componentes APUs'!$A$1:$D$14,2,0)</f>
        <v>Equipo completo para trabajo en alturas con pretales (Arnes dielectrico, 1 mosqueton de seguridad, tie off dielectrico, eslinga de posicionamiento, juego de pretales)</v>
      </c>
      <c r="C8311" s="73"/>
      <c r="D8311" s="50" t="str">
        <f>VLOOKUP(A8311,'Componentes APUs'!$A$1:$D$14,3,0)</f>
        <v>U</v>
      </c>
      <c r="E8311" s="50">
        <f>IF(A8281="MO-3",C8281,0)</f>
        <v>0</v>
      </c>
      <c r="F8311" s="51">
        <f>VLOOKUP(A8311,'Componentes APUs'!$A$1:$D$14,4,0)</f>
        <v>26041.666666666668</v>
      </c>
      <c r="G8311" s="51">
        <f>ROUNDUP(F8311*(E8311/21)/E8270,0)</f>
        <v>0</v>
      </c>
    </row>
    <row r="8312" spans="1:7" x14ac:dyDescent="0.25">
      <c r="A8312" s="219" t="s">
        <v>95</v>
      </c>
      <c r="B8312" s="219"/>
      <c r="C8312" s="219"/>
      <c r="D8312" s="219"/>
      <c r="E8312" s="219"/>
      <c r="F8312" s="219"/>
      <c r="G8312" s="52">
        <f>SUM(G8299:G8311)</f>
        <v>221</v>
      </c>
    </row>
    <row r="8313" spans="1:7" x14ac:dyDescent="0.25">
      <c r="A8313" s="56"/>
      <c r="B8313" s="57"/>
      <c r="C8313" s="57"/>
      <c r="D8313" s="57"/>
      <c r="E8313" s="57"/>
      <c r="F8313" s="57"/>
      <c r="G8313" s="58"/>
    </row>
    <row r="8314" spans="1:7" x14ac:dyDescent="0.25">
      <c r="A8314" s="219" t="s">
        <v>96</v>
      </c>
      <c r="B8314" s="219"/>
      <c r="C8314" s="219"/>
      <c r="D8314" s="219"/>
      <c r="E8314" s="219"/>
      <c r="F8314" s="219"/>
      <c r="G8314" s="219"/>
    </row>
    <row r="8315" spans="1:7" x14ac:dyDescent="0.25">
      <c r="A8315" s="49" t="s">
        <v>35</v>
      </c>
      <c r="B8315" s="225" t="s">
        <v>36</v>
      </c>
      <c r="C8315" s="225"/>
      <c r="D8315" s="49" t="s">
        <v>37</v>
      </c>
      <c r="E8315" s="49" t="s">
        <v>38</v>
      </c>
      <c r="F8315" s="49" t="s">
        <v>39</v>
      </c>
      <c r="G8315" s="49" t="s">
        <v>40</v>
      </c>
    </row>
    <row r="8316" spans="1:7" x14ac:dyDescent="0.25">
      <c r="A8316" s="69" t="s">
        <v>97</v>
      </c>
      <c r="B8316" s="72" t="str">
        <f>VLOOKUP(A8316,'Componentes APUs'!$N$1:$Q$30,2,0)</f>
        <v>Camioneta</v>
      </c>
      <c r="C8316" s="73"/>
      <c r="D8316" s="70" t="str">
        <f>VLOOKUP(A8316,'Componentes APUs'!$N$1:$Q$30,3,0)</f>
        <v>U</v>
      </c>
      <c r="E8316" s="50">
        <v>1</v>
      </c>
      <c r="F8316" s="51">
        <f>VLOOKUP(A8316,'Componentes APUs'!$N$1:$Q$30,4,0)</f>
        <v>5500000</v>
      </c>
      <c r="G8316" s="51">
        <f>IFERROR(ROUNDUP(F8316*(E8316/21)/E8270,0),"-")</f>
        <v>6548</v>
      </c>
    </row>
    <row r="8317" spans="1:7" x14ac:dyDescent="0.25">
      <c r="A8317" s="50" t="s">
        <v>1473</v>
      </c>
      <c r="B8317" s="72" t="str">
        <f>VLOOKUP(A8317,'Componentes APUs'!$N$1:$Q$30,2,0)</f>
        <v>Concretera</v>
      </c>
      <c r="C8317" s="73"/>
      <c r="D8317" s="70" t="str">
        <f>VLOOKUP(A8317,'Componentes APUs'!$N$1:$Q$30,3,0)</f>
        <v>U</v>
      </c>
      <c r="E8317" s="50">
        <v>0</v>
      </c>
      <c r="F8317" s="51">
        <f>VLOOKUP(A8317,'Componentes APUs'!$N$1:$Q$30,4,0)</f>
        <v>550704</v>
      </c>
      <c r="G8317" s="51">
        <f>IFERROR(ROUNDUP(F8317*(E8317/21)/E8270,0),"-")</f>
        <v>0</v>
      </c>
    </row>
    <row r="8318" spans="1:7" x14ac:dyDescent="0.25">
      <c r="A8318" s="69" t="s">
        <v>1379</v>
      </c>
      <c r="B8318" s="72" t="str">
        <f>VLOOKUP(A8318,'Componentes APUs'!$N$1:$Q$30,2,0)</f>
        <v>Dumper de descarga Frontal 2T</v>
      </c>
      <c r="C8318" s="73"/>
      <c r="D8318" s="70" t="str">
        <f>VLOOKUP(A8318,'Componentes APUs'!$N$1:$Q$30,3,0)</f>
        <v>U</v>
      </c>
      <c r="E8318" s="50">
        <v>0</v>
      </c>
      <c r="F8318" s="51">
        <f>VLOOKUP(A8318,'Componentes APUs'!$N$1:$Q$30,4,0)</f>
        <v>4438716.24</v>
      </c>
      <c r="G8318" s="51">
        <f>IFERROR(ROUNDUP(F8318*(E8318/21)/E8270,0),"-")</f>
        <v>0</v>
      </c>
    </row>
    <row r="8319" spans="1:7" x14ac:dyDescent="0.25">
      <c r="A8319" s="50" t="s">
        <v>323</v>
      </c>
      <c r="B8319" s="72" t="str">
        <f>VLOOKUP(A8319,'Componentes APUs'!$N$1:$Q$30,2,0)</f>
        <v>Volqueta</v>
      </c>
      <c r="C8319" s="73"/>
      <c r="D8319" s="70" t="str">
        <f>VLOOKUP(A8319,'Componentes APUs'!$N$1:$Q$30,3,0)</f>
        <v>U</v>
      </c>
      <c r="E8319" s="50">
        <v>0</v>
      </c>
      <c r="F8319" s="51">
        <f>VLOOKUP(A8319,'Componentes APUs'!$N$1:$Q$30,4,0)</f>
        <v>14828184</v>
      </c>
      <c r="G8319" s="51">
        <f>IFERROR(ROUNDUP(F8319*(E8319/21)/E8270,0),"-")</f>
        <v>0</v>
      </c>
    </row>
    <row r="8320" spans="1:7" x14ac:dyDescent="0.25">
      <c r="A8320" s="69" t="s">
        <v>324</v>
      </c>
      <c r="B8320" s="72" t="str">
        <f>VLOOKUP(A8320,'Componentes APUs'!$N$1:$Q$30,2,0)</f>
        <v>Retroexcavadora</v>
      </c>
      <c r="C8320" s="73"/>
      <c r="D8320" s="70" t="str">
        <f>VLOOKUP(A8320,'Componentes APUs'!$N$1:$Q$30,3,0)</f>
        <v>U</v>
      </c>
      <c r="E8320" s="50">
        <v>0</v>
      </c>
      <c r="F8320" s="51">
        <f>VLOOKUP(A8320,'Componentes APUs'!$N$1:$Q$30,4,0)</f>
        <v>46030656</v>
      </c>
      <c r="G8320" s="51">
        <f>IFERROR(ROUNDUP(F8320*(E8320/21)/E8270,0),"-")</f>
        <v>0</v>
      </c>
    </row>
    <row r="8321" spans="1:8" x14ac:dyDescent="0.25">
      <c r="A8321" s="219" t="s">
        <v>99</v>
      </c>
      <c r="B8321" s="219"/>
      <c r="C8321" s="219"/>
      <c r="D8321" s="219"/>
      <c r="E8321" s="219"/>
      <c r="F8321" s="219"/>
      <c r="G8321" s="52">
        <f>SUM(G8316:G8320)</f>
        <v>6548</v>
      </c>
    </row>
    <row r="8322" spans="1:8" x14ac:dyDescent="0.25">
      <c r="A8322" s="56"/>
      <c r="B8322" s="57"/>
      <c r="C8322" s="57"/>
      <c r="D8322" s="57"/>
      <c r="E8322" s="57"/>
      <c r="F8322" s="57"/>
      <c r="G8322" s="58"/>
    </row>
    <row r="8323" spans="1:8" x14ac:dyDescent="0.25">
      <c r="A8323" s="219" t="s">
        <v>100</v>
      </c>
      <c r="B8323" s="219"/>
      <c r="C8323" s="219"/>
      <c r="D8323" s="219"/>
      <c r="E8323" s="219"/>
      <c r="F8323" s="219"/>
      <c r="G8323" s="52">
        <f>G8321+G8312+G8295+G8285+G8275</f>
        <v>68424</v>
      </c>
    </row>
    <row r="8324" spans="1:8" x14ac:dyDescent="0.25">
      <c r="A8324" s="59"/>
      <c r="B8324" s="60"/>
      <c r="C8324" s="60"/>
      <c r="D8324" s="60"/>
      <c r="E8324" s="57"/>
      <c r="F8324" s="57"/>
      <c r="G8324" s="58"/>
    </row>
    <row r="8325" spans="1:8" x14ac:dyDescent="0.25">
      <c r="A8325" s="64"/>
      <c r="D8325" s="55"/>
      <c r="E8325" s="49" t="s">
        <v>25</v>
      </c>
      <c r="F8325" s="54">
        <v>0.15</v>
      </c>
      <c r="G8325" s="51">
        <f>G8323*F8325</f>
        <v>10263.6</v>
      </c>
    </row>
    <row r="8326" spans="1:8" x14ac:dyDescent="0.25">
      <c r="A8326" s="64"/>
      <c r="D8326" s="55"/>
      <c r="E8326" s="49" t="s">
        <v>26</v>
      </c>
      <c r="F8326" s="54">
        <v>0.05</v>
      </c>
      <c r="G8326" s="51">
        <f>G8323*F8326</f>
        <v>3421.2000000000003</v>
      </c>
    </row>
    <row r="8327" spans="1:8" x14ac:dyDescent="0.25">
      <c r="A8327" s="61"/>
      <c r="B8327" s="65"/>
      <c r="C8327" s="65"/>
      <c r="D8327" s="62"/>
      <c r="E8327" s="49" t="s">
        <v>27</v>
      </c>
      <c r="F8327" s="54">
        <v>0.05</v>
      </c>
      <c r="G8327" s="51">
        <f>G8323*F8327</f>
        <v>3421.2000000000003</v>
      </c>
    </row>
    <row r="8328" spans="1:8" x14ac:dyDescent="0.25">
      <c r="A8328" s="61"/>
      <c r="B8328" s="62"/>
      <c r="C8328" s="62"/>
      <c r="D8328" s="62"/>
      <c r="E8328" s="62"/>
      <c r="F8328" s="62"/>
      <c r="G8328" s="63"/>
    </row>
    <row r="8329" spans="1:8" x14ac:dyDescent="0.25">
      <c r="A8329" s="219" t="s">
        <v>101</v>
      </c>
      <c r="B8329" s="219"/>
      <c r="C8329" s="219"/>
      <c r="D8329" s="219"/>
      <c r="E8329" s="219"/>
      <c r="F8329" s="219"/>
      <c r="G8329" s="52">
        <f>G8323+G8325+G8326+G8327</f>
        <v>85530</v>
      </c>
    </row>
    <row r="8330" spans="1:8" x14ac:dyDescent="0.25">
      <c r="A8330" s="59"/>
      <c r="B8330" s="60"/>
      <c r="C8330" s="60"/>
      <c r="D8330" s="60"/>
      <c r="E8330" s="57"/>
      <c r="F8330" s="57"/>
      <c r="G8330" s="58"/>
    </row>
    <row r="8331" spans="1:8" x14ac:dyDescent="0.25">
      <c r="A8331" s="64"/>
      <c r="D8331" s="55"/>
      <c r="E8331" s="49" t="s">
        <v>102</v>
      </c>
      <c r="F8331" s="49" t="s">
        <v>103</v>
      </c>
      <c r="G8331" s="51">
        <f>G8327*19%</f>
        <v>650.02800000000002</v>
      </c>
    </row>
    <row r="8332" spans="1:8" x14ac:dyDescent="0.25">
      <c r="A8332" s="61"/>
      <c r="B8332" s="62"/>
      <c r="C8332" s="62"/>
      <c r="D8332" s="62"/>
      <c r="E8332" s="57"/>
      <c r="F8332" s="57"/>
      <c r="G8332" s="58"/>
    </row>
    <row r="8333" spans="1:8" x14ac:dyDescent="0.25">
      <c r="A8333" s="219" t="s">
        <v>104</v>
      </c>
      <c r="B8333" s="219"/>
      <c r="C8333" s="219"/>
      <c r="D8333" s="219"/>
      <c r="E8333" s="219"/>
      <c r="F8333" s="219"/>
      <c r="G8333" s="52">
        <f>G8331+G8329</f>
        <v>86180.028000000006</v>
      </c>
    </row>
    <row r="8335" spans="1:8" x14ac:dyDescent="0.25">
      <c r="A8335" s="74" t="s">
        <v>29</v>
      </c>
      <c r="B8335" s="226" t="s">
        <v>30</v>
      </c>
      <c r="C8335" s="226"/>
      <c r="D8335" s="74" t="s">
        <v>31</v>
      </c>
      <c r="E8335" s="74" t="s">
        <v>32</v>
      </c>
      <c r="F8335" s="74" t="s">
        <v>189</v>
      </c>
      <c r="G8335" s="74" t="s">
        <v>33</v>
      </c>
      <c r="H8335" s="105"/>
    </row>
    <row r="8336" spans="1:8" x14ac:dyDescent="0.25">
      <c r="A8336" s="50" t="str">
        <f>Presupuesto!B155</f>
        <v>132_OC</v>
      </c>
      <c r="B8336" s="229" t="str">
        <f>Presupuesto!C155</f>
        <v xml:space="preserve">CONCRETO CICLÓPEO 3000 PSI </v>
      </c>
      <c r="C8336" s="230"/>
      <c r="D8336" s="50" t="s">
        <v>114</v>
      </c>
      <c r="E8336" s="107">
        <v>7</v>
      </c>
      <c r="F8336" s="50"/>
      <c r="G8336" s="51">
        <f>G8398</f>
        <v>590671.49349999998</v>
      </c>
      <c r="H8336" s="111"/>
    </row>
    <row r="8337" spans="1:13" x14ac:dyDescent="0.25">
      <c r="A8337" s="219" t="s">
        <v>34</v>
      </c>
      <c r="B8337" s="219"/>
      <c r="C8337" s="219"/>
      <c r="D8337" s="219"/>
      <c r="E8337" s="219"/>
      <c r="F8337" s="219"/>
      <c r="G8337" s="219"/>
    </row>
    <row r="8338" spans="1:13" x14ac:dyDescent="0.25">
      <c r="A8338" s="49" t="s">
        <v>35</v>
      </c>
      <c r="B8338" s="219" t="s">
        <v>36</v>
      </c>
      <c r="C8338" s="219"/>
      <c r="D8338" s="49" t="s">
        <v>37</v>
      </c>
      <c r="E8338" s="49" t="s">
        <v>38</v>
      </c>
      <c r="F8338" s="49" t="s">
        <v>39</v>
      </c>
      <c r="G8338" s="49" t="s">
        <v>40</v>
      </c>
      <c r="K8338" s="23"/>
      <c r="L8338" s="23"/>
    </row>
    <row r="8339" spans="1:13" x14ac:dyDescent="0.25">
      <c r="A8339" s="50" t="str">
        <f>Material!A192</f>
        <v>MA-191</v>
      </c>
      <c r="B8339" s="72" t="str">
        <f>IFERROR(VLOOKUP(A8339,Material!$A:$H,2,0),"-")</f>
        <v>CONCRETO CICLOPEO DE 3000 PSI</v>
      </c>
      <c r="C8339" s="76"/>
      <c r="D8339" s="50" t="str">
        <f>IFERROR(VLOOKUP(A8339,Material!$A:$H,4,0),"-")</f>
        <v>M3</v>
      </c>
      <c r="E8339" s="107">
        <v>1</v>
      </c>
      <c r="F8339" s="51">
        <f>IFERROR(VLOOKUP(A8339,Material!$A:$H,3,0),"-")</f>
        <v>338000</v>
      </c>
      <c r="G8339" s="51">
        <f t="shared" ref="G8339" si="122">IFERROR(ROUNDUP(F8339*E8339,0),"-")</f>
        <v>338000</v>
      </c>
      <c r="H8339" s="112"/>
      <c r="I8339" s="110"/>
      <c r="J8339" s="113"/>
      <c r="K8339" s="114"/>
      <c r="L8339" s="115"/>
      <c r="M8339" s="115"/>
    </row>
    <row r="8340" spans="1:13" x14ac:dyDescent="0.25">
      <c r="A8340" s="219" t="s">
        <v>41</v>
      </c>
      <c r="B8340" s="219"/>
      <c r="C8340" s="219"/>
      <c r="D8340" s="219"/>
      <c r="E8340" s="219"/>
      <c r="F8340" s="219"/>
      <c r="G8340" s="52">
        <f>SUM(G8339:G8339)</f>
        <v>338000</v>
      </c>
      <c r="I8340" s="104"/>
    </row>
    <row r="8341" spans="1:13" x14ac:dyDescent="0.25">
      <c r="A8341" s="56"/>
      <c r="B8341" s="57"/>
      <c r="C8341" s="57"/>
      <c r="D8341" s="57"/>
      <c r="E8341" s="57"/>
      <c r="F8341" s="57"/>
      <c r="G8341" s="58"/>
    </row>
    <row r="8342" spans="1:13" x14ac:dyDescent="0.25">
      <c r="A8342" s="219" t="s">
        <v>42</v>
      </c>
      <c r="B8342" s="219"/>
      <c r="C8342" s="219"/>
      <c r="D8342" s="219"/>
      <c r="E8342" s="219"/>
      <c r="F8342" s="219"/>
      <c r="G8342" s="219"/>
    </row>
    <row r="8343" spans="1:13" x14ac:dyDescent="0.25">
      <c r="A8343" s="49" t="s">
        <v>35</v>
      </c>
      <c r="B8343" s="49" t="s">
        <v>36</v>
      </c>
      <c r="C8343" s="49" t="s">
        <v>38</v>
      </c>
      <c r="D8343" s="49" t="s">
        <v>43</v>
      </c>
      <c r="E8343" s="49" t="s">
        <v>44</v>
      </c>
      <c r="F8343" s="49" t="s">
        <v>45</v>
      </c>
      <c r="G8343" s="49" t="s">
        <v>40</v>
      </c>
    </row>
    <row r="8344" spans="1:13" x14ac:dyDescent="0.25">
      <c r="A8344" s="50" t="s">
        <v>319</v>
      </c>
      <c r="B8344" s="68" t="str">
        <f>VLOOKUP(A8344,'Componentes APUs'!$H$1:$L$25,2,0)</f>
        <v>Ingeniero Residente de Obra</v>
      </c>
      <c r="C8344" s="93">
        <v>0.25</v>
      </c>
      <c r="D8344" s="50">
        <f>VLOOKUP(A8344,'Componentes APUs'!$H$1:$L$25,3,0)</f>
        <v>4</v>
      </c>
      <c r="E8344" s="51">
        <f>VLOOKUP(A8344,'Componentes APUs'!$H$1:$L$25,4,0)</f>
        <v>271142.85714285716</v>
      </c>
      <c r="F8344" s="51">
        <f>VLOOKUP(A8344,'Componentes APUs'!$H$1:$L$25,5,0)</f>
        <v>162685.71428571429</v>
      </c>
      <c r="G8344" s="51">
        <f>ROUNDUP((E8344+F8344)*C8344/E8336,0)</f>
        <v>15494</v>
      </c>
      <c r="H8344" s="66"/>
    </row>
    <row r="8345" spans="1:13" x14ac:dyDescent="0.25">
      <c r="A8345" s="50" t="s">
        <v>320</v>
      </c>
      <c r="B8345" s="68" t="str">
        <f>VLOOKUP(A8345,'Componentes APUs'!$H$1:$L$25,2,0)</f>
        <v>Tecnico Supervisor</v>
      </c>
      <c r="C8345" s="93">
        <v>0</v>
      </c>
      <c r="D8345" s="50">
        <f>VLOOKUP(A8345,'Componentes APUs'!$H$1:$L$25,3,0)</f>
        <v>2.2999999999999998</v>
      </c>
      <c r="E8345" s="51">
        <f>VLOOKUP(A8345,'Componentes APUs'!$H$1:$L$25,4,0)</f>
        <v>155907.14285714284</v>
      </c>
      <c r="F8345" s="51">
        <f>VLOOKUP(A8345,'Componentes APUs'!$H$1:$L$25,5,0)</f>
        <v>93544.285714285696</v>
      </c>
      <c r="G8345" s="51">
        <f>ROUNDUP((E8345+F8345)*C8345/E8336,0)</f>
        <v>0</v>
      </c>
    </row>
    <row r="8346" spans="1:13" x14ac:dyDescent="0.25">
      <c r="A8346" s="50" t="s">
        <v>54</v>
      </c>
      <c r="B8346" s="68" t="str">
        <f>VLOOKUP(A8346,'Componentes APUs'!$H$1:$L$25,2,0)</f>
        <v>Maestro de obra civil</v>
      </c>
      <c r="C8346" s="93">
        <v>0</v>
      </c>
      <c r="D8346" s="50">
        <f>VLOOKUP(A8346,'Componentes APUs'!$H$1:$L$25,3,0)</f>
        <v>2.5</v>
      </c>
      <c r="E8346" s="51">
        <f>VLOOKUP(A8346,'Componentes APUs'!$H$1:$L$25,4,0)</f>
        <v>169464.28571428571</v>
      </c>
      <c r="F8346" s="51">
        <f>VLOOKUP(A8346,'Componentes APUs'!$H$1:$L$25,5,0)</f>
        <v>101678.57142857142</v>
      </c>
      <c r="G8346" s="51">
        <f>ROUNDUP((E8346+F8346)*C8346/E8336,0)</f>
        <v>0</v>
      </c>
    </row>
    <row r="8347" spans="1:13" x14ac:dyDescent="0.25">
      <c r="A8347" s="50" t="s">
        <v>1110</v>
      </c>
      <c r="B8347" s="68" t="str">
        <f>VLOOKUP(A8347,'Componentes APUs'!$H$1:$L$25,2,0)</f>
        <v>Oficial de Obra Civil</v>
      </c>
      <c r="C8347" s="93">
        <v>1</v>
      </c>
      <c r="D8347" s="50">
        <f>VLOOKUP(A8347,'Componentes APUs'!$H$1:$L$25,3,0)</f>
        <v>1.5</v>
      </c>
      <c r="E8347" s="51">
        <f>VLOOKUP(A8347,'Componentes APUs'!$H$1:$L$25,4,0)</f>
        <v>115964.28571428571</v>
      </c>
      <c r="F8347" s="51">
        <f>VLOOKUP(A8347,'Componentes APUs'!$H$1:$L$25,5,0)</f>
        <v>69578.57142857142</v>
      </c>
      <c r="G8347" s="51">
        <f>ROUNDUP((E8347+F8347)*C8347/E8336,0)</f>
        <v>26507</v>
      </c>
    </row>
    <row r="8348" spans="1:13" x14ac:dyDescent="0.25">
      <c r="A8348" s="50" t="s">
        <v>50</v>
      </c>
      <c r="B8348" s="68" t="str">
        <f>VLOOKUP(A8348,'Componentes APUs'!$H$1:$L$25,2,0)</f>
        <v>Profesional en SST</v>
      </c>
      <c r="C8348" s="93">
        <v>0.25</v>
      </c>
      <c r="D8348" s="50">
        <f>VLOOKUP(A8348,'Componentes APUs'!$H$1:$L$25,3,0)</f>
        <v>2.5</v>
      </c>
      <c r="E8348" s="51">
        <f>VLOOKUP(A8348,'Componentes APUs'!$H$1:$L$25,4,0)</f>
        <v>169464.28571428571</v>
      </c>
      <c r="F8348" s="51">
        <f>VLOOKUP(A8348,'Componentes APUs'!$H$1:$L$25,5,0)</f>
        <v>101678.57142857142</v>
      </c>
      <c r="G8348" s="51">
        <f>ROUNDUP((E8348+F8348)*C8348/E8336,0)</f>
        <v>9684</v>
      </c>
    </row>
    <row r="8349" spans="1:13" x14ac:dyDescent="0.25">
      <c r="A8349" s="50" t="s">
        <v>1109</v>
      </c>
      <c r="B8349" s="68" t="str">
        <f>VLOOKUP(A8349,'Componentes APUs'!$H$1:$L$25,2,0)</f>
        <v>Ayudante de Obra Civil</v>
      </c>
      <c r="C8349" s="93">
        <v>2</v>
      </c>
      <c r="D8349" s="50">
        <f>VLOOKUP(A8349,'Componentes APUs'!$H$1:$L$25,3,0)</f>
        <v>1</v>
      </c>
      <c r="E8349" s="51">
        <f>VLOOKUP(A8349,'Componentes APUs'!$H$1:$L$25,4,0)</f>
        <v>77309.523809523816</v>
      </c>
      <c r="F8349" s="51">
        <f>VLOOKUP(A8349,'Componentes APUs'!$H$1:$L$25,5,0)</f>
        <v>46385.71428571429</v>
      </c>
      <c r="G8349" s="51">
        <f>ROUNDUP((E8349+F8349)*C8349/E8336,0)</f>
        <v>35342</v>
      </c>
    </row>
    <row r="8350" spans="1:13" x14ac:dyDescent="0.25">
      <c r="A8350" s="219" t="s">
        <v>56</v>
      </c>
      <c r="B8350" s="219"/>
      <c r="C8350" s="219"/>
      <c r="D8350" s="219"/>
      <c r="E8350" s="219"/>
      <c r="F8350" s="219"/>
      <c r="G8350" s="52">
        <f>SUM(G8344:G8349)</f>
        <v>87027</v>
      </c>
    </row>
    <row r="8351" spans="1:13" x14ac:dyDescent="0.25">
      <c r="A8351" s="56"/>
      <c r="B8351" s="57"/>
      <c r="C8351" s="57"/>
      <c r="D8351" s="57"/>
      <c r="E8351" s="57"/>
      <c r="F8351" s="57"/>
      <c r="G8351" s="58"/>
    </row>
    <row r="8352" spans="1:13" x14ac:dyDescent="0.25">
      <c r="A8352" s="219" t="s">
        <v>57</v>
      </c>
      <c r="B8352" s="219"/>
      <c r="C8352" s="219"/>
      <c r="D8352" s="219"/>
      <c r="E8352" s="219"/>
      <c r="F8352" s="219"/>
      <c r="G8352" s="219"/>
    </row>
    <row r="8353" spans="1:9" x14ac:dyDescent="0.25">
      <c r="A8353" s="49" t="s">
        <v>35</v>
      </c>
      <c r="B8353" s="219" t="s">
        <v>36</v>
      </c>
      <c r="C8353" s="219"/>
      <c r="D8353" s="49" t="s">
        <v>37</v>
      </c>
      <c r="E8353" s="49" t="s">
        <v>38</v>
      </c>
      <c r="F8353" s="49" t="s">
        <v>39</v>
      </c>
      <c r="G8353" s="49" t="s">
        <v>40</v>
      </c>
    </row>
    <row r="8354" spans="1:9" x14ac:dyDescent="0.25">
      <c r="A8354" s="50" t="s">
        <v>326</v>
      </c>
      <c r="B8354" s="220" t="str">
        <f>VLOOKUP(A8354,'Componentes APUs'!$S$1:$V$10,2,0)</f>
        <v>Juego Llaves</v>
      </c>
      <c r="C8354" s="220"/>
      <c r="D8354" s="50" t="s">
        <v>18</v>
      </c>
      <c r="E8354" s="50">
        <v>0</v>
      </c>
      <c r="F8354" s="51">
        <f>VLOOKUP(A8354,'Componentes APUs'!$S$1:$V$10,4,0)</f>
        <v>9167</v>
      </c>
      <c r="G8354" s="51">
        <f>ROUNDUP(F8354*((E8354/21)/E8336),0)</f>
        <v>0</v>
      </c>
      <c r="I8354" s="91"/>
    </row>
    <row r="8355" spans="1:9" x14ac:dyDescent="0.25">
      <c r="A8355" s="50" t="s">
        <v>58</v>
      </c>
      <c r="B8355" s="220" t="str">
        <f>VLOOKUP(A8355,'Componentes APUs'!$S$1:$V$10,2,0)</f>
        <v>Manila de servicio</v>
      </c>
      <c r="C8355" s="220"/>
      <c r="D8355" s="50" t="s">
        <v>18</v>
      </c>
      <c r="E8355" s="50">
        <v>0</v>
      </c>
      <c r="F8355" s="51">
        <f>VLOOKUP(A8355,'Componentes APUs'!$S$1:$V$10,4,0)</f>
        <v>2333</v>
      </c>
      <c r="G8355" s="51">
        <f>ROUNDUP(F8355*((E8355/21)/E8336),0)</f>
        <v>0</v>
      </c>
    </row>
    <row r="8356" spans="1:9" x14ac:dyDescent="0.25">
      <c r="A8356" s="50" t="s">
        <v>327</v>
      </c>
      <c r="B8356" s="220" t="str">
        <f>VLOOKUP(A8356,'Componentes APUs'!$S$1:$V$10,2,0)</f>
        <v>Tula portaherramientas</v>
      </c>
      <c r="C8356" s="220"/>
      <c r="D8356" s="50" t="s">
        <v>18</v>
      </c>
      <c r="E8356" s="50">
        <v>0</v>
      </c>
      <c r="F8356" s="51">
        <f>VLOOKUP(A8356,'Componentes APUs'!$S$1:$V$10,4,0)</f>
        <v>1250</v>
      </c>
      <c r="G8356" s="51">
        <f>ROUNDUP(F8356*((E8356/21)/E8336),0)</f>
        <v>0</v>
      </c>
    </row>
    <row r="8357" spans="1:9" x14ac:dyDescent="0.25">
      <c r="A8357" s="50" t="s">
        <v>60</v>
      </c>
      <c r="B8357" s="220" t="str">
        <f>VLOOKUP(A8357,'Componentes APUs'!$S$1:$V$10,2,0)</f>
        <v>Agarradoras</v>
      </c>
      <c r="C8357" s="220"/>
      <c r="D8357" s="50" t="s">
        <v>18</v>
      </c>
      <c r="E8357" s="50">
        <v>0</v>
      </c>
      <c r="F8357" s="51">
        <f>VLOOKUP(A8357,'Componentes APUs'!$S$1:$V$10,4,0)</f>
        <v>125000</v>
      </c>
      <c r="G8357" s="51">
        <f>ROUNDUP(F8357*((E8357/21)/E8336),0)</f>
        <v>0</v>
      </c>
    </row>
    <row r="8358" spans="1:9" x14ac:dyDescent="0.25">
      <c r="A8358" s="50" t="s">
        <v>62</v>
      </c>
      <c r="B8358" s="220" t="str">
        <f>VLOOKUP(A8358,'Componentes APUs'!$S$1:$V$10,2,0)</f>
        <v>Templadoras</v>
      </c>
      <c r="C8358" s="220"/>
      <c r="D8358" s="50" t="s">
        <v>18</v>
      </c>
      <c r="E8358" s="50">
        <v>0</v>
      </c>
      <c r="F8358" s="51">
        <f>VLOOKUP(A8358,'Componentes APUs'!$S$1:$V$10,4,0)</f>
        <v>250000</v>
      </c>
      <c r="G8358" s="51">
        <f>ROUNDUP(F8358*((E8358/21)/E8336),0)</f>
        <v>0</v>
      </c>
    </row>
    <row r="8359" spans="1:9" x14ac:dyDescent="0.25">
      <c r="A8359" s="50" t="s">
        <v>328</v>
      </c>
      <c r="B8359" s="220" t="str">
        <f>VLOOKUP(A8359,'Componentes APUs'!$S$1:$V$10,2,0)</f>
        <v>Herramienta Menor</v>
      </c>
      <c r="C8359" s="220"/>
      <c r="D8359" s="50" t="s">
        <v>18</v>
      </c>
      <c r="E8359" s="50">
        <v>3</v>
      </c>
      <c r="F8359" s="51">
        <f>VLOOKUP(A8359,'Componentes APUs'!$S$1:$V$10,4,0)</f>
        <v>75758</v>
      </c>
      <c r="G8359" s="51">
        <f>ROUNDUP(F8359*((E8359/21)/E8336),0)</f>
        <v>1547</v>
      </c>
    </row>
    <row r="8360" spans="1:9" x14ac:dyDescent="0.25">
      <c r="A8360" s="219" t="s">
        <v>69</v>
      </c>
      <c r="B8360" s="219"/>
      <c r="C8360" s="219"/>
      <c r="D8360" s="219"/>
      <c r="E8360" s="219"/>
      <c r="F8360" s="219"/>
      <c r="G8360" s="52">
        <f>SUM(G8354:G8359)</f>
        <v>1547</v>
      </c>
    </row>
    <row r="8361" spans="1:9" x14ac:dyDescent="0.25">
      <c r="A8361" s="56"/>
      <c r="B8361" s="57"/>
      <c r="C8361" s="57"/>
      <c r="D8361" s="57"/>
      <c r="E8361" s="57"/>
      <c r="F8361" s="57"/>
      <c r="G8361" s="58"/>
    </row>
    <row r="8362" spans="1:9" x14ac:dyDescent="0.25">
      <c r="A8362" s="219" t="s">
        <v>70</v>
      </c>
      <c r="B8362" s="219"/>
      <c r="C8362" s="219"/>
      <c r="D8362" s="219"/>
      <c r="E8362" s="219"/>
      <c r="F8362" s="219"/>
      <c r="G8362" s="219"/>
    </row>
    <row r="8363" spans="1:9" x14ac:dyDescent="0.25">
      <c r="A8363" s="49" t="s">
        <v>35</v>
      </c>
      <c r="B8363" s="219" t="s">
        <v>36</v>
      </c>
      <c r="C8363" s="219"/>
      <c r="D8363" s="49" t="s">
        <v>37</v>
      </c>
      <c r="E8363" s="49" t="s">
        <v>38</v>
      </c>
      <c r="F8363" s="49" t="s">
        <v>39</v>
      </c>
      <c r="G8363" s="49" t="s">
        <v>40</v>
      </c>
    </row>
    <row r="8364" spans="1:9" x14ac:dyDescent="0.25">
      <c r="A8364" s="50" t="s">
        <v>71</v>
      </c>
      <c r="B8364" s="71" t="str">
        <f>VLOOKUP(A8364,'Componentes APUs'!$A$1:$D$14,2,0)</f>
        <v>Camisa indigo sin partes metalicas</v>
      </c>
      <c r="C8364" s="71"/>
      <c r="D8364" s="50" t="str">
        <f>VLOOKUP(A8364,'Componentes APUs'!$A$1:$D$14,3,0)</f>
        <v>U</v>
      </c>
      <c r="E8364" s="50">
        <f>SUM(C8344:C8349)</f>
        <v>3.5</v>
      </c>
      <c r="F8364" s="51">
        <f>VLOOKUP(A8364,'Componentes APUs'!$A$1:$D$14,4,0)</f>
        <v>8585.8585858585866</v>
      </c>
      <c r="G8364" s="51">
        <f>ROUNDUP(F8364*(E8364/21)/E8336,0)</f>
        <v>205</v>
      </c>
      <c r="I8364" s="91"/>
    </row>
    <row r="8365" spans="1:9" x14ac:dyDescent="0.25">
      <c r="A8365" s="69" t="s">
        <v>73</v>
      </c>
      <c r="B8365" s="72" t="str">
        <f>VLOOKUP(A8365,'Componentes APUs'!$A$1:$D$14,2,0)</f>
        <v>Bota de seguridad dielectrica</v>
      </c>
      <c r="C8365" s="73"/>
      <c r="D8365" s="70" t="str">
        <f>VLOOKUP(A8365,'Componentes APUs'!$A$1:$D$14,3,0)</f>
        <v>Par</v>
      </c>
      <c r="E8365" s="50">
        <f>SUM(C8344:C8349)</f>
        <v>3.5</v>
      </c>
      <c r="F8365" s="51">
        <f>VLOOKUP(A8365,'Componentes APUs'!$A$1:$D$14,4,0)</f>
        <v>7500</v>
      </c>
      <c r="G8365" s="51">
        <f>ROUNDUP(F8365*(E8365/21)/E8336,0)</f>
        <v>179</v>
      </c>
    </row>
    <row r="8366" spans="1:9" x14ac:dyDescent="0.25">
      <c r="A8366" s="50" t="s">
        <v>76</v>
      </c>
      <c r="B8366" s="72" t="str">
        <f>VLOOKUP(A8366,'Componentes APUs'!$A$1:$D$14,2,0)</f>
        <v>Casco dielectrico Tipo 1 Clase E con barbuquejo</v>
      </c>
      <c r="C8366" s="73"/>
      <c r="D8366" s="50" t="str">
        <f>VLOOKUP(A8366,'Componentes APUs'!$A$1:$D$14,3,0)</f>
        <v>U</v>
      </c>
      <c r="E8366" s="50">
        <f>C8344+C8345+C8347+C8348+C8349+IF(A8346&lt;&gt;"MO-3",C8346,0)</f>
        <v>3.5</v>
      </c>
      <c r="F8366" s="51">
        <f>VLOOKUP(A8366,'Componentes APUs'!$A$1:$D$14,4,0)</f>
        <v>10101.010101010101</v>
      </c>
      <c r="G8366" s="51">
        <f>ROUNDUP(F8366*(E8366/21)/E8336,0)</f>
        <v>241</v>
      </c>
    </row>
    <row r="8367" spans="1:9" x14ac:dyDescent="0.25">
      <c r="A8367" s="69" t="s">
        <v>77</v>
      </c>
      <c r="B8367" s="72" t="str">
        <f>VLOOKUP(A8367,'Componentes APUs'!$A$1:$D$14,2,0)</f>
        <v>Correa plastica y antiflama</v>
      </c>
      <c r="C8367" s="73"/>
      <c r="D8367" s="50" t="str">
        <f>VLOOKUP(A8367,'Componentes APUs'!$A$1:$D$14,3,0)</f>
        <v>U</v>
      </c>
      <c r="E8367" s="50">
        <f>SUM(C8344:C8349)</f>
        <v>3.5</v>
      </c>
      <c r="F8367" s="51">
        <f>VLOOKUP(A8367,'Componentes APUs'!$A$1:$D$14,4,0)</f>
        <v>3787.878787878788</v>
      </c>
      <c r="G8367" s="51">
        <f>ROUNDUP(F8367*(E8367/21)/E8336,0)</f>
        <v>91</v>
      </c>
    </row>
    <row r="8368" spans="1:9" x14ac:dyDescent="0.25">
      <c r="A8368" s="50" t="s">
        <v>79</v>
      </c>
      <c r="B8368" s="72" t="str">
        <f>VLOOKUP(A8368,'Componentes APUs'!$A$1:$D$14,2,0)</f>
        <v>Gafas protectoras filtro UV</v>
      </c>
      <c r="C8368" s="73"/>
      <c r="D8368" s="50" t="str">
        <f>VLOOKUP(A8368,'Componentes APUs'!$A$1:$D$14,3,0)</f>
        <v>U</v>
      </c>
      <c r="E8368" s="50">
        <f>SUM(C8344:C8349)</f>
        <v>3.5</v>
      </c>
      <c r="F8368" s="51">
        <f>VLOOKUP(A8368,'Componentes APUs'!$A$1:$D$14,4,0)</f>
        <v>2777.7777777777778</v>
      </c>
      <c r="G8368" s="51">
        <f>ROUNDUP(F8368*(E8368/21)/E8336,0)</f>
        <v>67</v>
      </c>
    </row>
    <row r="8369" spans="1:7" x14ac:dyDescent="0.25">
      <c r="A8369" s="69" t="s">
        <v>402</v>
      </c>
      <c r="B8369" s="72" t="str">
        <f>VLOOKUP(A8369,'Componentes APUs'!$A$1:$D$14,2,0)</f>
        <v>Bota de seguridad PVC dielectrica</v>
      </c>
      <c r="C8369" s="73"/>
      <c r="D8369" s="50" t="str">
        <f>VLOOKUP(A8369,'Componentes APUs'!$A$1:$D$14,3,0)</f>
        <v>Par</v>
      </c>
      <c r="E8369" s="50">
        <f>SUM(C8344:C8349)</f>
        <v>3.5</v>
      </c>
      <c r="F8369" s="51">
        <f>VLOOKUP(A8369,'Componentes APUs'!$A$1:$D$14,4,0)</f>
        <v>2916.6666666666665</v>
      </c>
      <c r="G8369" s="51">
        <f>ROUNDUP(F8369*(E8369/21)/E8336,0)</f>
        <v>70</v>
      </c>
    </row>
    <row r="8370" spans="1:7" x14ac:dyDescent="0.25">
      <c r="A8370" s="50" t="s">
        <v>403</v>
      </c>
      <c r="B8370" s="72" t="str">
        <f>VLOOKUP(A8370,'Componentes APUs'!$A$1:$D$14,2,0)</f>
        <v>Capuchon</v>
      </c>
      <c r="C8370" s="73"/>
      <c r="D8370" s="50" t="str">
        <f>VLOOKUP(A8370,'Componentes APUs'!$A$1:$D$14,3,0)</f>
        <v>U</v>
      </c>
      <c r="E8370" s="50">
        <f>SUM(C8344:C8349)</f>
        <v>3.5</v>
      </c>
      <c r="F8370" s="51">
        <f>VLOOKUP(A8370,'Componentes APUs'!$A$1:$D$14,4,0)</f>
        <v>2525.2525252525252</v>
      </c>
      <c r="G8370" s="51">
        <f>ROUNDUP(F8370*(E8370/21)/E8336,0)</f>
        <v>61</v>
      </c>
    </row>
    <row r="8371" spans="1:7" x14ac:dyDescent="0.25">
      <c r="A8371" s="69" t="s">
        <v>81</v>
      </c>
      <c r="B8371" s="72" t="str">
        <f>VLOOKUP(A8371,'Componentes APUs'!$A$1:$D$14,2,0)</f>
        <v>Guantes Protectores  - ingeniero reforzados</v>
      </c>
      <c r="C8371" s="73"/>
      <c r="D8371" s="50" t="str">
        <f>VLOOKUP(A8371,'Componentes APUs'!$A$1:$D$14,3,0)</f>
        <v>Par</v>
      </c>
      <c r="E8371" s="50">
        <f>C8346+C8347+C8349</f>
        <v>3</v>
      </c>
      <c r="F8371" s="51">
        <f>VLOOKUP(A8371,'Componentes APUs'!$A$1:$D$14,4,0)</f>
        <v>2525.2525252525252</v>
      </c>
      <c r="G8371" s="51">
        <f>ROUNDUP(F8371*(E8371/21)/E8336,0)</f>
        <v>52</v>
      </c>
    </row>
    <row r="8372" spans="1:7" x14ac:dyDescent="0.25">
      <c r="A8372" s="50" t="s">
        <v>83</v>
      </c>
      <c r="B8372" s="72" t="str">
        <f>VLOOKUP(A8372,'Componentes APUs'!$A$1:$D$14,2,0)</f>
        <v>Impermeable (pantalon camisa)</v>
      </c>
      <c r="C8372" s="73"/>
      <c r="D8372" s="50" t="str">
        <f>VLOOKUP(A8372,'Componentes APUs'!$A$1:$D$14,3,0)</f>
        <v>U</v>
      </c>
      <c r="E8372" s="50">
        <f>SUM(C8344:C8349)</f>
        <v>3.5</v>
      </c>
      <c r="F8372" s="51">
        <f>VLOOKUP(A8372,'Componentes APUs'!$A$1:$D$14,4,0)</f>
        <v>3750</v>
      </c>
      <c r="G8372" s="51">
        <f>ROUNDUP(F8372*(E8372/21)/E8336,0)</f>
        <v>90</v>
      </c>
    </row>
    <row r="8373" spans="1:7" x14ac:dyDescent="0.25">
      <c r="A8373" s="69" t="s">
        <v>85</v>
      </c>
      <c r="B8373" s="72" t="str">
        <f>VLOOKUP(A8373,'Componentes APUs'!$A$1:$D$14,2,0)</f>
        <v>Jean Dielectrico</v>
      </c>
      <c r="C8373" s="73"/>
      <c r="D8373" s="50" t="str">
        <f>VLOOKUP(A8373,'Componentes APUs'!$A$1:$D$14,3,0)</f>
        <v>U</v>
      </c>
      <c r="E8373" s="50">
        <f>SUM(C8344:C8349)</f>
        <v>3.5</v>
      </c>
      <c r="F8373" s="51">
        <f>VLOOKUP(A8373,'Componentes APUs'!$A$1:$D$14,4,0)</f>
        <v>7575.757575757576</v>
      </c>
      <c r="G8373" s="51">
        <f>ROUNDUP(F8373*(E8373/21)/E8336,0)</f>
        <v>181</v>
      </c>
    </row>
    <row r="8374" spans="1:7" x14ac:dyDescent="0.25">
      <c r="A8374" s="50" t="s">
        <v>87</v>
      </c>
      <c r="B8374" s="72" t="str">
        <f>VLOOKUP(A8374,'Componentes APUs'!$A$1:$D$14,2,0)</f>
        <v>Casco dielectrico Tipo 2 Clase E con barboquejo</v>
      </c>
      <c r="C8374" s="73"/>
      <c r="D8374" s="50" t="str">
        <f>VLOOKUP(A8374,'Componentes APUs'!$A$1:$D$14,3,0)</f>
        <v>U</v>
      </c>
      <c r="E8374" s="53">
        <f>IF(A8346="MO-3",C8346,0)</f>
        <v>0</v>
      </c>
      <c r="F8374" s="51">
        <f>VLOOKUP(A8374,'Componentes APUs'!$A$1:$D$14,4,0)</f>
        <v>7500</v>
      </c>
      <c r="G8374" s="51">
        <f>ROUNDUP(F8374*(E8374/21)/E8336,0)</f>
        <v>0</v>
      </c>
    </row>
    <row r="8375" spans="1:7" x14ac:dyDescent="0.25">
      <c r="A8375" s="69" t="s">
        <v>89</v>
      </c>
      <c r="B8375" s="72" t="str">
        <f>VLOOKUP(A8375,'Componentes APUs'!$A$1:$D$14,2,0)</f>
        <v>Kit de rescate para trabajo en alturas</v>
      </c>
      <c r="C8375" s="73"/>
      <c r="D8375" s="50" t="str">
        <f>VLOOKUP(A8375,'Componentes APUs'!$A$1:$D$14,3,0)</f>
        <v>U</v>
      </c>
      <c r="E8375" s="50">
        <f>IF(AND(A8346="MO-3",C8346=2),1,0)</f>
        <v>0</v>
      </c>
      <c r="F8375" s="51">
        <f>VLOOKUP(A8375,'Componentes APUs'!$A$1:$D$14,4,0)</f>
        <v>37500</v>
      </c>
      <c r="G8375" s="51">
        <f>ROUNDUP(F8375*(E8375/21)/E8336,0)</f>
        <v>0</v>
      </c>
    </row>
    <row r="8376" spans="1:7" x14ac:dyDescent="0.25">
      <c r="A8376" s="50" t="s">
        <v>91</v>
      </c>
      <c r="B8376" s="72" t="str">
        <f>VLOOKUP(A8376,'Componentes APUs'!$A$1:$D$14,2,0)</f>
        <v>Equipo completo para trabajo en alturas con pretales (Arnes dielectrico, 1 mosqueton de seguridad, tie off dielectrico, eslinga de posicionamiento, juego de pretales)</v>
      </c>
      <c r="C8376" s="73"/>
      <c r="D8376" s="50" t="str">
        <f>VLOOKUP(A8376,'Componentes APUs'!$A$1:$D$14,3,0)</f>
        <v>U</v>
      </c>
      <c r="E8376" s="50">
        <f>IF(A8346="MO-3",C8346,0)</f>
        <v>0</v>
      </c>
      <c r="F8376" s="51">
        <f>VLOOKUP(A8376,'Componentes APUs'!$A$1:$D$14,4,0)</f>
        <v>26041.666666666668</v>
      </c>
      <c r="G8376" s="51">
        <f>ROUNDUP(F8376*(E8376/21)/E8336,0)</f>
        <v>0</v>
      </c>
    </row>
    <row r="8377" spans="1:7" x14ac:dyDescent="0.25">
      <c r="A8377" s="219" t="s">
        <v>95</v>
      </c>
      <c r="B8377" s="219"/>
      <c r="C8377" s="219"/>
      <c r="D8377" s="219"/>
      <c r="E8377" s="219"/>
      <c r="F8377" s="219"/>
      <c r="G8377" s="52">
        <f>SUM(G8364:G8376)</f>
        <v>1237</v>
      </c>
    </row>
    <row r="8378" spans="1:7" x14ac:dyDescent="0.25">
      <c r="A8378" s="56"/>
      <c r="B8378" s="57"/>
      <c r="C8378" s="57"/>
      <c r="D8378" s="57"/>
      <c r="E8378" s="57"/>
      <c r="F8378" s="57"/>
      <c r="G8378" s="58"/>
    </row>
    <row r="8379" spans="1:7" x14ac:dyDescent="0.25">
      <c r="A8379" s="219" t="s">
        <v>96</v>
      </c>
      <c r="B8379" s="219"/>
      <c r="C8379" s="219"/>
      <c r="D8379" s="219"/>
      <c r="E8379" s="219"/>
      <c r="F8379" s="219"/>
      <c r="G8379" s="219"/>
    </row>
    <row r="8380" spans="1:7" x14ac:dyDescent="0.25">
      <c r="A8380" s="49" t="s">
        <v>35</v>
      </c>
      <c r="B8380" s="225" t="s">
        <v>36</v>
      </c>
      <c r="C8380" s="225"/>
      <c r="D8380" s="49" t="s">
        <v>37</v>
      </c>
      <c r="E8380" s="49" t="s">
        <v>38</v>
      </c>
      <c r="F8380" s="49" t="s">
        <v>39</v>
      </c>
      <c r="G8380" s="49" t="s">
        <v>40</v>
      </c>
    </row>
    <row r="8381" spans="1:7" x14ac:dyDescent="0.25">
      <c r="A8381" s="69" t="s">
        <v>97</v>
      </c>
      <c r="B8381" s="72" t="str">
        <f>VLOOKUP(A8381,'Componentes APUs'!$N$1:$Q$30,2,0)</f>
        <v>Camioneta</v>
      </c>
      <c r="C8381" s="73"/>
      <c r="D8381" s="70" t="str">
        <f>VLOOKUP(A8381,'Componentes APUs'!$N$1:$Q$30,3,0)</f>
        <v>U</v>
      </c>
      <c r="E8381" s="50">
        <v>1</v>
      </c>
      <c r="F8381" s="51">
        <f>VLOOKUP(A8381,'Componentes APUs'!$N$1:$Q$30,4,0)</f>
        <v>5500000</v>
      </c>
      <c r="G8381" s="51">
        <f>IFERROR(ROUNDUP(F8381*(E8381/21)/E8336,0),"-")</f>
        <v>37415</v>
      </c>
    </row>
    <row r="8382" spans="1:7" x14ac:dyDescent="0.25">
      <c r="A8382" s="50" t="s">
        <v>1473</v>
      </c>
      <c r="B8382" s="72" t="str">
        <f>VLOOKUP(A8382,'Componentes APUs'!$N$1:$Q$30,2,0)</f>
        <v>Concretera</v>
      </c>
      <c r="C8382" s="73"/>
      <c r="D8382" s="70" t="str">
        <f>VLOOKUP(A8382,'Componentes APUs'!$N$1:$Q$30,3,0)</f>
        <v>U</v>
      </c>
      <c r="E8382" s="50">
        <v>1</v>
      </c>
      <c r="F8382" s="51">
        <f>VLOOKUP(A8382,'Componentes APUs'!$N$1:$Q$30,4,0)</f>
        <v>550704</v>
      </c>
      <c r="G8382" s="51">
        <f>IFERROR(ROUNDUP(F8382*(E8382/21)/E8336,0),"-")</f>
        <v>3747</v>
      </c>
    </row>
    <row r="8383" spans="1:7" x14ac:dyDescent="0.25">
      <c r="A8383" s="69" t="s">
        <v>1379</v>
      </c>
      <c r="B8383" s="72" t="str">
        <f>VLOOKUP(A8383,'Componentes APUs'!$N$1:$Q$30,2,0)</f>
        <v>Dumper de descarga Frontal 2T</v>
      </c>
      <c r="C8383" s="73"/>
      <c r="D8383" s="70" t="str">
        <f>VLOOKUP(A8383,'Componentes APUs'!$N$1:$Q$30,3,0)</f>
        <v>U</v>
      </c>
      <c r="E8383" s="50">
        <v>0</v>
      </c>
      <c r="F8383" s="51">
        <f>VLOOKUP(A8383,'Componentes APUs'!$N$1:$Q$30,4,0)</f>
        <v>4438716.24</v>
      </c>
      <c r="G8383" s="51">
        <f>IFERROR(ROUNDUP(F8383*(E8383/21)/E8336,0),"-")</f>
        <v>0</v>
      </c>
    </row>
    <row r="8384" spans="1:7" x14ac:dyDescent="0.25">
      <c r="A8384" s="50" t="s">
        <v>323</v>
      </c>
      <c r="B8384" s="72" t="str">
        <f>VLOOKUP(A8384,'Componentes APUs'!$N$1:$Q$30,2,0)</f>
        <v>Volqueta</v>
      </c>
      <c r="C8384" s="73"/>
      <c r="D8384" s="70" t="str">
        <f>VLOOKUP(A8384,'Componentes APUs'!$N$1:$Q$30,3,0)</f>
        <v>U</v>
      </c>
      <c r="E8384" s="50">
        <v>0</v>
      </c>
      <c r="F8384" s="51">
        <f>VLOOKUP(A8384,'Componentes APUs'!$N$1:$Q$30,4,0)</f>
        <v>14828184</v>
      </c>
      <c r="G8384" s="51">
        <f>IFERROR(ROUNDUP(F8384*(E8384/21)/E8336,0),"-")</f>
        <v>0</v>
      </c>
    </row>
    <row r="8385" spans="1:8" x14ac:dyDescent="0.25">
      <c r="A8385" s="69" t="s">
        <v>324</v>
      </c>
      <c r="B8385" s="72" t="str">
        <f>VLOOKUP(A8385,'Componentes APUs'!$N$1:$Q$30,2,0)</f>
        <v>Retroexcavadora</v>
      </c>
      <c r="C8385" s="73"/>
      <c r="D8385" s="70" t="str">
        <f>VLOOKUP(A8385,'Componentes APUs'!$N$1:$Q$30,3,0)</f>
        <v>U</v>
      </c>
      <c r="E8385" s="50">
        <v>0</v>
      </c>
      <c r="F8385" s="51">
        <f>VLOOKUP(A8385,'Componentes APUs'!$N$1:$Q$30,4,0)</f>
        <v>46030656</v>
      </c>
      <c r="G8385" s="51">
        <f>IFERROR(ROUNDUP(F8385*(E8385/21)/E8336,0),"-")</f>
        <v>0</v>
      </c>
    </row>
    <row r="8386" spans="1:8" x14ac:dyDescent="0.25">
      <c r="A8386" s="219" t="s">
        <v>99</v>
      </c>
      <c r="B8386" s="219"/>
      <c r="C8386" s="219"/>
      <c r="D8386" s="219"/>
      <c r="E8386" s="219"/>
      <c r="F8386" s="219"/>
      <c r="G8386" s="52">
        <f>SUM(G8381:G8385)</f>
        <v>41162</v>
      </c>
    </row>
    <row r="8387" spans="1:8" x14ac:dyDescent="0.25">
      <c r="A8387" s="56"/>
      <c r="B8387" s="57"/>
      <c r="C8387" s="57"/>
      <c r="D8387" s="57"/>
      <c r="E8387" s="57"/>
      <c r="F8387" s="57"/>
      <c r="G8387" s="58"/>
    </row>
    <row r="8388" spans="1:8" x14ac:dyDescent="0.25">
      <c r="A8388" s="219" t="s">
        <v>100</v>
      </c>
      <c r="B8388" s="219"/>
      <c r="C8388" s="219"/>
      <c r="D8388" s="219"/>
      <c r="E8388" s="219"/>
      <c r="F8388" s="219"/>
      <c r="G8388" s="52">
        <f>G8386+G8377+G8360+G8350+G8340</f>
        <v>468973</v>
      </c>
    </row>
    <row r="8389" spans="1:8" x14ac:dyDescent="0.25">
      <c r="A8389" s="59"/>
      <c r="B8389" s="60"/>
      <c r="C8389" s="60"/>
      <c r="D8389" s="60"/>
      <c r="E8389" s="57"/>
      <c r="F8389" s="57"/>
      <c r="G8389" s="58"/>
    </row>
    <row r="8390" spans="1:8" x14ac:dyDescent="0.25">
      <c r="A8390" s="64"/>
      <c r="D8390" s="55"/>
      <c r="E8390" s="49" t="s">
        <v>25</v>
      </c>
      <c r="F8390" s="54">
        <v>0.15</v>
      </c>
      <c r="G8390" s="51">
        <f>G8388*F8390</f>
        <v>70345.95</v>
      </c>
    </row>
    <row r="8391" spans="1:8" x14ac:dyDescent="0.25">
      <c r="A8391" s="64"/>
      <c r="D8391" s="55"/>
      <c r="E8391" s="49" t="s">
        <v>26</v>
      </c>
      <c r="F8391" s="54">
        <v>0.05</v>
      </c>
      <c r="G8391" s="51">
        <f>G8388*F8391</f>
        <v>23448.65</v>
      </c>
    </row>
    <row r="8392" spans="1:8" x14ac:dyDescent="0.25">
      <c r="A8392" s="61"/>
      <c r="B8392" s="65"/>
      <c r="C8392" s="65"/>
      <c r="D8392" s="62"/>
      <c r="E8392" s="49" t="s">
        <v>27</v>
      </c>
      <c r="F8392" s="54">
        <v>0.05</v>
      </c>
      <c r="G8392" s="51">
        <f>G8388*F8392</f>
        <v>23448.65</v>
      </c>
    </row>
    <row r="8393" spans="1:8" x14ac:dyDescent="0.25">
      <c r="A8393" s="61"/>
      <c r="B8393" s="62"/>
      <c r="C8393" s="62"/>
      <c r="D8393" s="62"/>
      <c r="E8393" s="62"/>
      <c r="F8393" s="62"/>
      <c r="G8393" s="63"/>
    </row>
    <row r="8394" spans="1:8" x14ac:dyDescent="0.25">
      <c r="A8394" s="219" t="s">
        <v>101</v>
      </c>
      <c r="B8394" s="219"/>
      <c r="C8394" s="219"/>
      <c r="D8394" s="219"/>
      <c r="E8394" s="219"/>
      <c r="F8394" s="219"/>
      <c r="G8394" s="52">
        <f>G8388+G8390+G8391+G8392</f>
        <v>586216.25</v>
      </c>
    </row>
    <row r="8395" spans="1:8" x14ac:dyDescent="0.25">
      <c r="A8395" s="59"/>
      <c r="B8395" s="60"/>
      <c r="C8395" s="60"/>
      <c r="D8395" s="60"/>
      <c r="E8395" s="57"/>
      <c r="F8395" s="57"/>
      <c r="G8395" s="58"/>
    </row>
    <row r="8396" spans="1:8" x14ac:dyDescent="0.25">
      <c r="A8396" s="64"/>
      <c r="D8396" s="55"/>
      <c r="E8396" s="49" t="s">
        <v>102</v>
      </c>
      <c r="F8396" s="49" t="s">
        <v>103</v>
      </c>
      <c r="G8396" s="51">
        <f>G8392*19%</f>
        <v>4455.2435000000005</v>
      </c>
    </row>
    <row r="8397" spans="1:8" x14ac:dyDescent="0.25">
      <c r="A8397" s="61"/>
      <c r="B8397" s="62"/>
      <c r="C8397" s="62"/>
      <c r="D8397" s="62"/>
      <c r="E8397" s="57"/>
      <c r="F8397" s="57"/>
      <c r="G8397" s="58"/>
    </row>
    <row r="8398" spans="1:8" x14ac:dyDescent="0.25">
      <c r="A8398" s="219" t="s">
        <v>104</v>
      </c>
      <c r="B8398" s="219"/>
      <c r="C8398" s="219"/>
      <c r="D8398" s="219"/>
      <c r="E8398" s="219"/>
      <c r="F8398" s="219"/>
      <c r="G8398" s="52">
        <f>G8396+G8394</f>
        <v>590671.49349999998</v>
      </c>
    </row>
    <row r="8400" spans="1:8" x14ac:dyDescent="0.25">
      <c r="A8400" s="74" t="s">
        <v>29</v>
      </c>
      <c r="B8400" s="226" t="s">
        <v>30</v>
      </c>
      <c r="C8400" s="226"/>
      <c r="D8400" s="74" t="s">
        <v>31</v>
      </c>
      <c r="E8400" s="74" t="s">
        <v>32</v>
      </c>
      <c r="F8400" s="74" t="s">
        <v>189</v>
      </c>
      <c r="G8400" s="74" t="s">
        <v>33</v>
      </c>
      <c r="H8400" s="105"/>
    </row>
    <row r="8401" spans="1:14" x14ac:dyDescent="0.25">
      <c r="A8401" s="50" t="str">
        <f>Presupuesto!B157</f>
        <v>134_OC</v>
      </c>
      <c r="B8401" s="229" t="str">
        <f>Presupuesto!C157</f>
        <v>COLUMNAS 25X25 CM (SOPORTE PARA PUERTA)</v>
      </c>
      <c r="C8401" s="230"/>
      <c r="D8401" s="50" t="s">
        <v>16</v>
      </c>
      <c r="E8401" s="53">
        <v>45</v>
      </c>
      <c r="F8401" s="50"/>
      <c r="G8401" s="51">
        <f>G8465</f>
        <v>206318.69500000001</v>
      </c>
      <c r="H8401" s="111"/>
    </row>
    <row r="8402" spans="1:14" x14ac:dyDescent="0.25">
      <c r="A8402" s="219" t="s">
        <v>34</v>
      </c>
      <c r="B8402" s="219"/>
      <c r="C8402" s="219"/>
      <c r="D8402" s="219"/>
      <c r="E8402" s="219"/>
      <c r="F8402" s="219"/>
      <c r="G8402" s="219"/>
    </row>
    <row r="8403" spans="1:14" ht="30.75" customHeight="1" x14ac:dyDescent="0.25">
      <c r="A8403" s="49" t="s">
        <v>35</v>
      </c>
      <c r="B8403" s="219" t="s">
        <v>36</v>
      </c>
      <c r="C8403" s="219"/>
      <c r="D8403" s="49" t="s">
        <v>37</v>
      </c>
      <c r="E8403" s="49" t="s">
        <v>38</v>
      </c>
      <c r="F8403" s="49" t="s">
        <v>39</v>
      </c>
      <c r="G8403" s="49" t="s">
        <v>40</v>
      </c>
      <c r="K8403" s="23"/>
      <c r="L8403" s="23"/>
    </row>
    <row r="8404" spans="1:14" x14ac:dyDescent="0.25">
      <c r="A8404" s="50" t="str">
        <f>Material!A218</f>
        <v>MA-217</v>
      </c>
      <c r="B8404" s="72" t="str">
        <f>IFERROR(VLOOKUP(A8404,Material!$A:$H,2,0),"-")</f>
        <v>FORMALETA EN MADERA CON TABLA DE 1"</v>
      </c>
      <c r="C8404" s="76"/>
      <c r="D8404" s="50" t="str">
        <f>IFERROR(VLOOKUP(A8404,Material!$A:$H,4,0),"-")</f>
        <v>M2</v>
      </c>
      <c r="E8404" s="189">
        <v>0.33</v>
      </c>
      <c r="F8404" s="51">
        <f>IFERROR(VLOOKUP(A8404,Material!$A:$H,3,0),"-")</f>
        <v>24691.116165303549</v>
      </c>
      <c r="G8404" s="51">
        <f t="shared" ref="G8404:G8406" si="123">IFERROR(ROUNDUP(F8404*E8404,0),"-")</f>
        <v>8149</v>
      </c>
      <c r="H8404" s="112"/>
      <c r="I8404" s="119"/>
      <c r="J8404" s="119"/>
      <c r="K8404" s="119"/>
      <c r="L8404" s="119"/>
      <c r="M8404" s="117"/>
      <c r="N8404" s="117"/>
    </row>
    <row r="8405" spans="1:14" x14ac:dyDescent="0.25">
      <c r="A8405" s="50" t="str">
        <f>Material!A15</f>
        <v>MA-14</v>
      </c>
      <c r="B8405" s="72" t="str">
        <f>IFERROR(VLOOKUP(A8405,Material!$A:$H,2,0),"-")</f>
        <v>CONCRETO DE 3000 PSI</v>
      </c>
      <c r="C8405" s="76"/>
      <c r="D8405" s="50" t="str">
        <f>IFERROR(VLOOKUP(A8405,Material!$A:$H,4,0),"-")</f>
        <v>M3</v>
      </c>
      <c r="E8405" s="189">
        <v>6.25E-2</v>
      </c>
      <c r="F8405" s="51">
        <f>IFERROR(VLOOKUP(A8405,Material!$A:$H,3,0),"-")</f>
        <v>620227.23330691375</v>
      </c>
      <c r="G8405" s="51">
        <f t="shared" si="123"/>
        <v>38765</v>
      </c>
      <c r="H8405" s="112"/>
      <c r="I8405" s="119"/>
      <c r="J8405" s="119"/>
      <c r="K8405" s="119"/>
      <c r="L8405" s="119"/>
      <c r="M8405" s="117"/>
      <c r="N8405" s="117"/>
    </row>
    <row r="8406" spans="1:14" x14ac:dyDescent="0.25">
      <c r="A8406" s="50" t="str">
        <f>Material!A587</f>
        <v>MA-586</v>
      </c>
      <c r="B8406" s="72" t="str">
        <f>IFERROR(VLOOKUP(A8406,Material!$A:$H,2,0),"-")</f>
        <v>ACERO Fy= 420 MPa</v>
      </c>
      <c r="C8406" s="76"/>
      <c r="D8406" s="50" t="str">
        <f>IFERROR(VLOOKUP(A8406,Material!$A:$H,4,0),"-")</f>
        <v>KG</v>
      </c>
      <c r="E8406" s="189">
        <v>12.35</v>
      </c>
      <c r="F8406" s="51">
        <f>IFERROR(VLOOKUP(A8406,Material!$A:$H,3,0),"-")</f>
        <v>6962.8</v>
      </c>
      <c r="G8406" s="51">
        <f t="shared" si="123"/>
        <v>85991</v>
      </c>
      <c r="H8406" s="112"/>
      <c r="I8406" s="116"/>
      <c r="J8406" s="118"/>
      <c r="K8406" s="241"/>
      <c r="L8406" s="241"/>
      <c r="M8406" s="118"/>
      <c r="N8406" s="118"/>
    </row>
    <row r="8407" spans="1:14" x14ac:dyDescent="0.25">
      <c r="A8407" s="219" t="s">
        <v>41</v>
      </c>
      <c r="B8407" s="219"/>
      <c r="C8407" s="219"/>
      <c r="D8407" s="219"/>
      <c r="E8407" s="219"/>
      <c r="F8407" s="219"/>
      <c r="G8407" s="52">
        <f>SUM(G8404:G8406)</f>
        <v>132905</v>
      </c>
      <c r="I8407" s="112"/>
      <c r="J8407" s="110"/>
      <c r="K8407" s="113"/>
      <c r="L8407" s="114"/>
      <c r="M8407" s="115"/>
      <c r="N8407" s="115"/>
    </row>
    <row r="8408" spans="1:14" x14ac:dyDescent="0.25">
      <c r="A8408" s="56"/>
      <c r="B8408" s="57"/>
      <c r="C8408" s="57"/>
      <c r="D8408" s="57"/>
      <c r="E8408" s="57"/>
      <c r="F8408" s="57"/>
      <c r="G8408" s="58"/>
      <c r="I8408" s="245"/>
      <c r="J8408" s="245"/>
      <c r="K8408" s="245"/>
      <c r="L8408" s="246"/>
      <c r="M8408" s="117"/>
      <c r="N8408" s="117"/>
    </row>
    <row r="8409" spans="1:14" x14ac:dyDescent="0.25">
      <c r="A8409" s="219" t="s">
        <v>42</v>
      </c>
      <c r="B8409" s="219"/>
      <c r="C8409" s="219"/>
      <c r="D8409" s="219"/>
      <c r="E8409" s="219"/>
      <c r="F8409" s="219"/>
      <c r="G8409" s="219"/>
      <c r="I8409" s="245"/>
      <c r="J8409" s="245"/>
      <c r="K8409" s="245"/>
      <c r="L8409" s="246"/>
      <c r="M8409" s="117"/>
      <c r="N8409" s="117"/>
    </row>
    <row r="8410" spans="1:14" x14ac:dyDescent="0.25">
      <c r="A8410" s="49" t="s">
        <v>35</v>
      </c>
      <c r="B8410" s="49" t="s">
        <v>36</v>
      </c>
      <c r="C8410" s="49" t="s">
        <v>38</v>
      </c>
      <c r="D8410" s="49" t="s">
        <v>43</v>
      </c>
      <c r="E8410" s="49" t="s">
        <v>44</v>
      </c>
      <c r="F8410" s="49" t="s">
        <v>45</v>
      </c>
      <c r="G8410" s="49" t="s">
        <v>40</v>
      </c>
      <c r="I8410" s="116"/>
      <c r="J8410" s="118"/>
      <c r="K8410" s="241"/>
      <c r="L8410" s="241"/>
      <c r="M8410" s="118"/>
      <c r="N8410" s="118"/>
    </row>
    <row r="8411" spans="1:14" x14ac:dyDescent="0.25">
      <c r="A8411" s="50" t="s">
        <v>319</v>
      </c>
      <c r="B8411" s="68" t="str">
        <f>VLOOKUP(A8411,'Componentes APUs'!$H$1:$L$25,2,0)</f>
        <v>Ingeniero Residente de Obra</v>
      </c>
      <c r="C8411" s="93">
        <v>0.25</v>
      </c>
      <c r="D8411" s="50">
        <f>VLOOKUP(A8411,'Componentes APUs'!$H$1:$L$25,3,0)</f>
        <v>4</v>
      </c>
      <c r="E8411" s="51">
        <f>VLOOKUP(A8411,'Componentes APUs'!$H$1:$L$25,4,0)</f>
        <v>271142.85714285716</v>
      </c>
      <c r="F8411" s="51">
        <f>VLOOKUP(A8411,'Componentes APUs'!$H$1:$L$25,5,0)</f>
        <v>162685.71428571429</v>
      </c>
      <c r="G8411" s="51">
        <f>ROUNDUP((E8411+F8411)*C8411/E8401,0)</f>
        <v>2411</v>
      </c>
      <c r="H8411" s="66"/>
      <c r="I8411" s="112"/>
      <c r="J8411" s="110"/>
      <c r="K8411" s="113"/>
      <c r="L8411" s="114"/>
      <c r="M8411" s="115"/>
      <c r="N8411" s="115"/>
    </row>
    <row r="8412" spans="1:14" x14ac:dyDescent="0.25">
      <c r="A8412" s="50" t="s">
        <v>320</v>
      </c>
      <c r="B8412" s="68" t="str">
        <f>VLOOKUP(A8412,'Componentes APUs'!$H$1:$L$25,2,0)</f>
        <v>Tecnico Supervisor</v>
      </c>
      <c r="C8412" s="93">
        <v>0</v>
      </c>
      <c r="D8412" s="50">
        <f>VLOOKUP(A8412,'Componentes APUs'!$H$1:$L$25,3,0)</f>
        <v>2.2999999999999998</v>
      </c>
      <c r="E8412" s="51">
        <f>VLOOKUP(A8412,'Componentes APUs'!$H$1:$L$25,4,0)</f>
        <v>155907.14285714284</v>
      </c>
      <c r="F8412" s="51">
        <f>VLOOKUP(A8412,'Componentes APUs'!$H$1:$L$25,5,0)</f>
        <v>93544.285714285696</v>
      </c>
      <c r="G8412" s="51">
        <f>ROUNDUP((E8412+F8412)*C8412/E8401,0)</f>
        <v>0</v>
      </c>
      <c r="I8412" s="112"/>
      <c r="J8412" s="110"/>
      <c r="K8412" s="113"/>
      <c r="L8412" s="114"/>
      <c r="M8412" s="115"/>
      <c r="N8412" s="115"/>
    </row>
    <row r="8413" spans="1:14" x14ac:dyDescent="0.25">
      <c r="A8413" s="50" t="s">
        <v>54</v>
      </c>
      <c r="B8413" s="68" t="str">
        <f>VLOOKUP(A8413,'Componentes APUs'!$H$1:$L$25,2,0)</f>
        <v>Maestro de obra civil</v>
      </c>
      <c r="C8413" s="93">
        <v>0</v>
      </c>
      <c r="D8413" s="50">
        <f>VLOOKUP(A8413,'Componentes APUs'!$H$1:$L$25,3,0)</f>
        <v>2.5</v>
      </c>
      <c r="E8413" s="51">
        <f>VLOOKUP(A8413,'Componentes APUs'!$H$1:$L$25,4,0)</f>
        <v>169464.28571428571</v>
      </c>
      <c r="F8413" s="51">
        <f>VLOOKUP(A8413,'Componentes APUs'!$H$1:$L$25,5,0)</f>
        <v>101678.57142857142</v>
      </c>
      <c r="G8413" s="51">
        <f>ROUNDUP((E8413+F8413)*C8413/E8401,0)</f>
        <v>0</v>
      </c>
      <c r="I8413" s="112"/>
      <c r="J8413" s="110"/>
      <c r="K8413" s="113"/>
      <c r="L8413" s="114"/>
      <c r="M8413" s="115"/>
      <c r="N8413" s="115"/>
    </row>
    <row r="8414" spans="1:14" x14ac:dyDescent="0.25">
      <c r="A8414" s="50" t="s">
        <v>1110</v>
      </c>
      <c r="B8414" s="68" t="str">
        <f>VLOOKUP(A8414,'Componentes APUs'!$H$1:$L$25,2,0)</f>
        <v>Oficial de Obra Civil</v>
      </c>
      <c r="C8414" s="93">
        <v>3</v>
      </c>
      <c r="D8414" s="50">
        <f>VLOOKUP(A8414,'Componentes APUs'!$H$1:$L$25,3,0)</f>
        <v>1.5</v>
      </c>
      <c r="E8414" s="51">
        <f>VLOOKUP(A8414,'Componentes APUs'!$H$1:$L$25,4,0)</f>
        <v>115964.28571428571</v>
      </c>
      <c r="F8414" s="51">
        <f>VLOOKUP(A8414,'Componentes APUs'!$H$1:$L$25,5,0)</f>
        <v>69578.57142857142</v>
      </c>
      <c r="G8414" s="51">
        <f>ROUNDUP((E8414+F8414)*C8414/E8401,0)</f>
        <v>12370</v>
      </c>
      <c r="I8414" s="112"/>
      <c r="J8414" s="110"/>
      <c r="K8414" s="113"/>
      <c r="L8414" s="114"/>
      <c r="M8414" s="115"/>
      <c r="N8414" s="115"/>
    </row>
    <row r="8415" spans="1:14" x14ac:dyDescent="0.25">
      <c r="A8415" s="50" t="s">
        <v>50</v>
      </c>
      <c r="B8415" s="68" t="str">
        <f>VLOOKUP(A8415,'Componentes APUs'!$H$1:$L$25,2,0)</f>
        <v>Profesional en SST</v>
      </c>
      <c r="C8415" s="93">
        <v>0.25</v>
      </c>
      <c r="D8415" s="50">
        <f>VLOOKUP(A8415,'Componentes APUs'!$H$1:$L$25,3,0)</f>
        <v>2.5</v>
      </c>
      <c r="E8415" s="51">
        <f>VLOOKUP(A8415,'Componentes APUs'!$H$1:$L$25,4,0)</f>
        <v>169464.28571428571</v>
      </c>
      <c r="F8415" s="51">
        <f>VLOOKUP(A8415,'Componentes APUs'!$H$1:$L$25,5,0)</f>
        <v>101678.57142857142</v>
      </c>
      <c r="G8415" s="51">
        <f>ROUNDUP((E8415+F8415)*C8415/E8401,0)</f>
        <v>1507</v>
      </c>
      <c r="I8415" s="112"/>
      <c r="J8415" s="110"/>
      <c r="K8415" s="113"/>
      <c r="L8415" s="114"/>
      <c r="M8415" s="115"/>
      <c r="N8415" s="115"/>
    </row>
    <row r="8416" spans="1:14" x14ac:dyDescent="0.25">
      <c r="A8416" s="50" t="s">
        <v>1109</v>
      </c>
      <c r="B8416" s="68" t="str">
        <f>VLOOKUP(A8416,'Componentes APUs'!$H$1:$L$25,2,0)</f>
        <v>Ayudante de Obra Civil</v>
      </c>
      <c r="C8416" s="93">
        <v>5</v>
      </c>
      <c r="D8416" s="50">
        <f>VLOOKUP(A8416,'Componentes APUs'!$H$1:$L$25,3,0)</f>
        <v>1</v>
      </c>
      <c r="E8416" s="51">
        <f>VLOOKUP(A8416,'Componentes APUs'!$H$1:$L$25,4,0)</f>
        <v>77309.523809523816</v>
      </c>
      <c r="F8416" s="51">
        <f>VLOOKUP(A8416,'Componentes APUs'!$H$1:$L$25,5,0)</f>
        <v>46385.71428571429</v>
      </c>
      <c r="G8416" s="51">
        <f>ROUNDUP((E8416+F8416)*C8416/E8401,0)</f>
        <v>13744</v>
      </c>
      <c r="I8416" s="112"/>
      <c r="J8416" s="110"/>
      <c r="K8416" s="113"/>
      <c r="L8416" s="114"/>
      <c r="M8416" s="115"/>
      <c r="N8416" s="115"/>
    </row>
    <row r="8417" spans="1:14" x14ac:dyDescent="0.25">
      <c r="A8417" s="219" t="s">
        <v>56</v>
      </c>
      <c r="B8417" s="219"/>
      <c r="C8417" s="219"/>
      <c r="D8417" s="219"/>
      <c r="E8417" s="219"/>
      <c r="F8417" s="219"/>
      <c r="G8417" s="52">
        <f>SUM(G8411:G8416)</f>
        <v>30032</v>
      </c>
      <c r="I8417" s="112"/>
      <c r="J8417" s="110"/>
      <c r="K8417" s="113"/>
      <c r="L8417" s="114"/>
      <c r="M8417" s="115"/>
      <c r="N8417" s="115"/>
    </row>
    <row r="8418" spans="1:14" x14ac:dyDescent="0.25">
      <c r="A8418" s="56"/>
      <c r="B8418" s="57"/>
      <c r="C8418" s="57"/>
      <c r="D8418" s="57"/>
      <c r="E8418" s="57"/>
      <c r="F8418" s="57"/>
      <c r="G8418" s="58"/>
    </row>
    <row r="8419" spans="1:14" x14ac:dyDescent="0.25">
      <c r="A8419" s="219" t="s">
        <v>57</v>
      </c>
      <c r="B8419" s="219"/>
      <c r="C8419" s="219"/>
      <c r="D8419" s="219"/>
      <c r="E8419" s="219"/>
      <c r="F8419" s="219"/>
      <c r="G8419" s="219"/>
    </row>
    <row r="8420" spans="1:14" x14ac:dyDescent="0.25">
      <c r="A8420" s="49" t="s">
        <v>35</v>
      </c>
      <c r="B8420" s="219" t="s">
        <v>36</v>
      </c>
      <c r="C8420" s="219"/>
      <c r="D8420" s="49" t="s">
        <v>37</v>
      </c>
      <c r="E8420" s="49" t="s">
        <v>38</v>
      </c>
      <c r="F8420" s="49" t="s">
        <v>39</v>
      </c>
      <c r="G8420" s="49" t="s">
        <v>40</v>
      </c>
    </row>
    <row r="8421" spans="1:14" x14ac:dyDescent="0.25">
      <c r="A8421" s="50" t="s">
        <v>326</v>
      </c>
      <c r="B8421" s="220" t="str">
        <f>VLOOKUP(A8421,'Componentes APUs'!$S$1:$V$10,2,0)</f>
        <v>Juego Llaves</v>
      </c>
      <c r="C8421" s="220"/>
      <c r="D8421" s="50" t="s">
        <v>18</v>
      </c>
      <c r="E8421" s="50">
        <v>0</v>
      </c>
      <c r="F8421" s="51">
        <f>VLOOKUP(A8421,'Componentes APUs'!$S$1:$V$10,4,0)</f>
        <v>9167</v>
      </c>
      <c r="G8421" s="51">
        <f>ROUNDUP(F8421*((E8421/21)/E8401),0)</f>
        <v>0</v>
      </c>
      <c r="I8421" s="91"/>
    </row>
    <row r="8422" spans="1:14" x14ac:dyDescent="0.25">
      <c r="A8422" s="50" t="s">
        <v>58</v>
      </c>
      <c r="B8422" s="220" t="str">
        <f>VLOOKUP(A8422,'Componentes APUs'!$S$1:$V$10,2,0)</f>
        <v>Manila de servicio</v>
      </c>
      <c r="C8422" s="220"/>
      <c r="D8422" s="50" t="s">
        <v>18</v>
      </c>
      <c r="E8422" s="50">
        <v>0</v>
      </c>
      <c r="F8422" s="51">
        <f>VLOOKUP(A8422,'Componentes APUs'!$S$1:$V$10,4,0)</f>
        <v>2333</v>
      </c>
      <c r="G8422" s="51">
        <f>ROUNDUP(F8422*((E8422/21)/E8401),0)</f>
        <v>0</v>
      </c>
    </row>
    <row r="8423" spans="1:14" x14ac:dyDescent="0.25">
      <c r="A8423" s="50" t="s">
        <v>327</v>
      </c>
      <c r="B8423" s="220" t="str">
        <f>VLOOKUP(A8423,'Componentes APUs'!$S$1:$V$10,2,0)</f>
        <v>Tula portaherramientas</v>
      </c>
      <c r="C8423" s="220"/>
      <c r="D8423" s="50" t="s">
        <v>18</v>
      </c>
      <c r="E8423" s="50">
        <v>0</v>
      </c>
      <c r="F8423" s="51">
        <f>VLOOKUP(A8423,'Componentes APUs'!$S$1:$V$10,4,0)</f>
        <v>1250</v>
      </c>
      <c r="G8423" s="51">
        <f>ROUNDUP(F8423*((E8423/21)/E8401),0)</f>
        <v>0</v>
      </c>
    </row>
    <row r="8424" spans="1:14" x14ac:dyDescent="0.25">
      <c r="A8424" s="50" t="s">
        <v>60</v>
      </c>
      <c r="B8424" s="220" t="str">
        <f>VLOOKUP(A8424,'Componentes APUs'!$S$1:$V$10,2,0)</f>
        <v>Agarradoras</v>
      </c>
      <c r="C8424" s="220"/>
      <c r="D8424" s="50" t="s">
        <v>18</v>
      </c>
      <c r="E8424" s="50">
        <v>0</v>
      </c>
      <c r="F8424" s="51">
        <f>VLOOKUP(A8424,'Componentes APUs'!$S$1:$V$10,4,0)</f>
        <v>125000</v>
      </c>
      <c r="G8424" s="51">
        <f>ROUNDUP(F8424*((E8424/21)/E8401),0)</f>
        <v>0</v>
      </c>
    </row>
    <row r="8425" spans="1:14" x14ac:dyDescent="0.25">
      <c r="A8425" s="50" t="s">
        <v>62</v>
      </c>
      <c r="B8425" s="220" t="str">
        <f>VLOOKUP(A8425,'Componentes APUs'!$S$1:$V$10,2,0)</f>
        <v>Templadoras</v>
      </c>
      <c r="C8425" s="220"/>
      <c r="D8425" s="50" t="s">
        <v>18</v>
      </c>
      <c r="E8425" s="50">
        <v>0</v>
      </c>
      <c r="F8425" s="51">
        <f>VLOOKUP(A8425,'Componentes APUs'!$S$1:$V$10,4,0)</f>
        <v>250000</v>
      </c>
      <c r="G8425" s="51">
        <f>ROUNDUP(F8425*((E8425/21)/E8401),0)</f>
        <v>0</v>
      </c>
    </row>
    <row r="8426" spans="1:14" x14ac:dyDescent="0.25">
      <c r="A8426" s="50" t="s">
        <v>328</v>
      </c>
      <c r="B8426" s="220" t="str">
        <f>VLOOKUP(A8426,'Componentes APUs'!$S$1:$V$10,2,0)</f>
        <v>Herramienta Menor</v>
      </c>
      <c r="C8426" s="220"/>
      <c r="D8426" s="50" t="s">
        <v>18</v>
      </c>
      <c r="E8426" s="50">
        <v>5</v>
      </c>
      <c r="F8426" s="51">
        <f>VLOOKUP(A8426,'Componentes APUs'!$S$1:$V$10,4,0)</f>
        <v>75758</v>
      </c>
      <c r="G8426" s="51">
        <f>ROUNDUP(F8426*((E8426/21)/E8401),0)</f>
        <v>401</v>
      </c>
    </row>
    <row r="8427" spans="1:14" x14ac:dyDescent="0.25">
      <c r="A8427" s="219" t="s">
        <v>69</v>
      </c>
      <c r="B8427" s="219"/>
      <c r="C8427" s="219"/>
      <c r="D8427" s="219"/>
      <c r="E8427" s="219"/>
      <c r="F8427" s="219"/>
      <c r="G8427" s="52">
        <f>SUM(G8421:G8426)</f>
        <v>401</v>
      </c>
    </row>
    <row r="8428" spans="1:14" x14ac:dyDescent="0.25">
      <c r="A8428" s="56"/>
      <c r="B8428" s="57"/>
      <c r="C8428" s="57"/>
      <c r="D8428" s="57"/>
      <c r="E8428" s="57"/>
      <c r="F8428" s="57"/>
      <c r="G8428" s="58"/>
    </row>
    <row r="8429" spans="1:14" x14ac:dyDescent="0.25">
      <c r="A8429" s="219" t="s">
        <v>70</v>
      </c>
      <c r="B8429" s="219"/>
      <c r="C8429" s="219"/>
      <c r="D8429" s="219"/>
      <c r="E8429" s="219"/>
      <c r="F8429" s="219"/>
      <c r="G8429" s="219"/>
    </row>
    <row r="8430" spans="1:14" x14ac:dyDescent="0.25">
      <c r="A8430" s="49" t="s">
        <v>35</v>
      </c>
      <c r="B8430" s="219" t="s">
        <v>36</v>
      </c>
      <c r="C8430" s="219"/>
      <c r="D8430" s="49" t="s">
        <v>37</v>
      </c>
      <c r="E8430" s="49" t="s">
        <v>38</v>
      </c>
      <c r="F8430" s="49" t="s">
        <v>39</v>
      </c>
      <c r="G8430" s="49" t="s">
        <v>40</v>
      </c>
    </row>
    <row r="8431" spans="1:14" x14ac:dyDescent="0.25">
      <c r="A8431" s="50" t="s">
        <v>71</v>
      </c>
      <c r="B8431" s="71" t="str">
        <f>VLOOKUP(A8431,'Componentes APUs'!$A$1:$D$14,2,0)</f>
        <v>Camisa indigo sin partes metalicas</v>
      </c>
      <c r="C8431" s="71"/>
      <c r="D8431" s="50" t="str">
        <f>VLOOKUP(A8431,'Componentes APUs'!$A$1:$D$14,3,0)</f>
        <v>U</v>
      </c>
      <c r="E8431" s="50">
        <f>SUM(C8411:C8416)</f>
        <v>8.5</v>
      </c>
      <c r="F8431" s="51">
        <f>VLOOKUP(A8431,'Componentes APUs'!$A$1:$D$14,4,0)</f>
        <v>8585.8585858585866</v>
      </c>
      <c r="G8431" s="51">
        <f>ROUNDUP(F8431*(E8431/21)/E8401,0)</f>
        <v>78</v>
      </c>
      <c r="I8431" s="91"/>
    </row>
    <row r="8432" spans="1:14" x14ac:dyDescent="0.25">
      <c r="A8432" s="69" t="s">
        <v>73</v>
      </c>
      <c r="B8432" s="72" t="str">
        <f>VLOOKUP(A8432,'Componentes APUs'!$A$1:$D$14,2,0)</f>
        <v>Bota de seguridad dielectrica</v>
      </c>
      <c r="C8432" s="73"/>
      <c r="D8432" s="70" t="str">
        <f>VLOOKUP(A8432,'Componentes APUs'!$A$1:$D$14,3,0)</f>
        <v>Par</v>
      </c>
      <c r="E8432" s="50">
        <f>SUM(C8411:C8416)</f>
        <v>8.5</v>
      </c>
      <c r="F8432" s="51">
        <f>VLOOKUP(A8432,'Componentes APUs'!$A$1:$D$14,4,0)</f>
        <v>7500</v>
      </c>
      <c r="G8432" s="51">
        <f>ROUNDUP(F8432*(E8432/21)/E8401,0)</f>
        <v>68</v>
      </c>
    </row>
    <row r="8433" spans="1:7" x14ac:dyDescent="0.25">
      <c r="A8433" s="50" t="s">
        <v>76</v>
      </c>
      <c r="B8433" s="72" t="str">
        <f>VLOOKUP(A8433,'Componentes APUs'!$A$1:$D$14,2,0)</f>
        <v>Casco dielectrico Tipo 1 Clase E con barbuquejo</v>
      </c>
      <c r="C8433" s="73"/>
      <c r="D8433" s="50" t="str">
        <f>VLOOKUP(A8433,'Componentes APUs'!$A$1:$D$14,3,0)</f>
        <v>U</v>
      </c>
      <c r="E8433" s="50">
        <f>C8411+C8412+C8414+C8415+C8416+IF(A8413&lt;&gt;"MO-3",C8413,0)</f>
        <v>8.5</v>
      </c>
      <c r="F8433" s="51">
        <f>VLOOKUP(A8433,'Componentes APUs'!$A$1:$D$14,4,0)</f>
        <v>10101.010101010101</v>
      </c>
      <c r="G8433" s="51">
        <f>ROUNDUP(F8433*(E8433/21)/E8401,0)</f>
        <v>91</v>
      </c>
    </row>
    <row r="8434" spans="1:7" x14ac:dyDescent="0.25">
      <c r="A8434" s="69" t="s">
        <v>77</v>
      </c>
      <c r="B8434" s="72" t="str">
        <f>VLOOKUP(A8434,'Componentes APUs'!$A$1:$D$14,2,0)</f>
        <v>Correa plastica y antiflama</v>
      </c>
      <c r="C8434" s="73"/>
      <c r="D8434" s="50" t="str">
        <f>VLOOKUP(A8434,'Componentes APUs'!$A$1:$D$14,3,0)</f>
        <v>U</v>
      </c>
      <c r="E8434" s="50">
        <f>SUM(C8411:C8416)</f>
        <v>8.5</v>
      </c>
      <c r="F8434" s="51">
        <f>VLOOKUP(A8434,'Componentes APUs'!$A$1:$D$14,4,0)</f>
        <v>3787.878787878788</v>
      </c>
      <c r="G8434" s="51">
        <f>ROUNDUP(F8434*(E8434/21)/E8401,0)</f>
        <v>35</v>
      </c>
    </row>
    <row r="8435" spans="1:7" x14ac:dyDescent="0.25">
      <c r="A8435" s="50" t="s">
        <v>79</v>
      </c>
      <c r="B8435" s="72" t="str">
        <f>VLOOKUP(A8435,'Componentes APUs'!$A$1:$D$14,2,0)</f>
        <v>Gafas protectoras filtro UV</v>
      </c>
      <c r="C8435" s="73"/>
      <c r="D8435" s="50" t="str">
        <f>VLOOKUP(A8435,'Componentes APUs'!$A$1:$D$14,3,0)</f>
        <v>U</v>
      </c>
      <c r="E8435" s="50">
        <f>SUM(C8411:C8416)</f>
        <v>8.5</v>
      </c>
      <c r="F8435" s="51">
        <f>VLOOKUP(A8435,'Componentes APUs'!$A$1:$D$14,4,0)</f>
        <v>2777.7777777777778</v>
      </c>
      <c r="G8435" s="51">
        <f>ROUNDUP(F8435*(E8435/21)/E8401,0)</f>
        <v>25</v>
      </c>
    </row>
    <row r="8436" spans="1:7" x14ac:dyDescent="0.25">
      <c r="A8436" s="69" t="s">
        <v>402</v>
      </c>
      <c r="B8436" s="72" t="str">
        <f>VLOOKUP(A8436,'Componentes APUs'!$A$1:$D$14,2,0)</f>
        <v>Bota de seguridad PVC dielectrica</v>
      </c>
      <c r="C8436" s="73"/>
      <c r="D8436" s="50" t="str">
        <f>VLOOKUP(A8436,'Componentes APUs'!$A$1:$D$14,3,0)</f>
        <v>Par</v>
      </c>
      <c r="E8436" s="50">
        <f>SUM(C8411:C8416)</f>
        <v>8.5</v>
      </c>
      <c r="F8436" s="51">
        <f>VLOOKUP(A8436,'Componentes APUs'!$A$1:$D$14,4,0)</f>
        <v>2916.6666666666665</v>
      </c>
      <c r="G8436" s="51">
        <f>ROUNDUP(F8436*(E8436/21)/E8401,0)</f>
        <v>27</v>
      </c>
    </row>
    <row r="8437" spans="1:7" x14ac:dyDescent="0.25">
      <c r="A8437" s="50" t="s">
        <v>403</v>
      </c>
      <c r="B8437" s="72" t="str">
        <f>VLOOKUP(A8437,'Componentes APUs'!$A$1:$D$14,2,0)</f>
        <v>Capuchon</v>
      </c>
      <c r="C8437" s="73"/>
      <c r="D8437" s="50" t="str">
        <f>VLOOKUP(A8437,'Componentes APUs'!$A$1:$D$14,3,0)</f>
        <v>U</v>
      </c>
      <c r="E8437" s="50">
        <f>SUM(C8411:C8416)</f>
        <v>8.5</v>
      </c>
      <c r="F8437" s="51">
        <f>VLOOKUP(A8437,'Componentes APUs'!$A$1:$D$14,4,0)</f>
        <v>2525.2525252525252</v>
      </c>
      <c r="G8437" s="51">
        <f>ROUNDUP(F8437*(E8437/21)/E8401,0)</f>
        <v>23</v>
      </c>
    </row>
    <row r="8438" spans="1:7" x14ac:dyDescent="0.25">
      <c r="A8438" s="69" t="s">
        <v>81</v>
      </c>
      <c r="B8438" s="72" t="str">
        <f>VLOOKUP(A8438,'Componentes APUs'!$A$1:$D$14,2,0)</f>
        <v>Guantes Protectores  - ingeniero reforzados</v>
      </c>
      <c r="C8438" s="73"/>
      <c r="D8438" s="50" t="str">
        <f>VLOOKUP(A8438,'Componentes APUs'!$A$1:$D$14,3,0)</f>
        <v>Par</v>
      </c>
      <c r="E8438" s="50">
        <f>C8413+C8414+C8416</f>
        <v>8</v>
      </c>
      <c r="F8438" s="51">
        <f>VLOOKUP(A8438,'Componentes APUs'!$A$1:$D$14,4,0)</f>
        <v>2525.2525252525252</v>
      </c>
      <c r="G8438" s="51">
        <f>ROUNDUP(F8438*(E8438/21)/E8401,0)</f>
        <v>22</v>
      </c>
    </row>
    <row r="8439" spans="1:7" x14ac:dyDescent="0.25">
      <c r="A8439" s="50" t="s">
        <v>83</v>
      </c>
      <c r="B8439" s="72" t="str">
        <f>VLOOKUP(A8439,'Componentes APUs'!$A$1:$D$14,2,0)</f>
        <v>Impermeable (pantalon camisa)</v>
      </c>
      <c r="C8439" s="73"/>
      <c r="D8439" s="50" t="str">
        <f>VLOOKUP(A8439,'Componentes APUs'!$A$1:$D$14,3,0)</f>
        <v>U</v>
      </c>
      <c r="E8439" s="50">
        <f>SUM(C8411:C8416)</f>
        <v>8.5</v>
      </c>
      <c r="F8439" s="51">
        <f>VLOOKUP(A8439,'Componentes APUs'!$A$1:$D$14,4,0)</f>
        <v>3750</v>
      </c>
      <c r="G8439" s="51">
        <f>ROUNDUP(F8439*(E8439/21)/E8401,0)</f>
        <v>34</v>
      </c>
    </row>
    <row r="8440" spans="1:7" x14ac:dyDescent="0.25">
      <c r="A8440" s="69" t="s">
        <v>85</v>
      </c>
      <c r="B8440" s="72" t="str">
        <f>VLOOKUP(A8440,'Componentes APUs'!$A$1:$D$14,2,0)</f>
        <v>Jean Dielectrico</v>
      </c>
      <c r="C8440" s="73"/>
      <c r="D8440" s="50" t="str">
        <f>VLOOKUP(A8440,'Componentes APUs'!$A$1:$D$14,3,0)</f>
        <v>U</v>
      </c>
      <c r="E8440" s="50">
        <f>SUM(C8411:C8416)</f>
        <v>8.5</v>
      </c>
      <c r="F8440" s="51">
        <f>VLOOKUP(A8440,'Componentes APUs'!$A$1:$D$14,4,0)</f>
        <v>7575.757575757576</v>
      </c>
      <c r="G8440" s="51">
        <f>ROUNDUP(F8440*(E8440/21)/E8401,0)</f>
        <v>69</v>
      </c>
    </row>
    <row r="8441" spans="1:7" x14ac:dyDescent="0.25">
      <c r="A8441" s="50" t="s">
        <v>87</v>
      </c>
      <c r="B8441" s="72" t="str">
        <f>VLOOKUP(A8441,'Componentes APUs'!$A$1:$D$14,2,0)</f>
        <v>Casco dielectrico Tipo 2 Clase E con barboquejo</v>
      </c>
      <c r="C8441" s="73"/>
      <c r="D8441" s="50" t="str">
        <f>VLOOKUP(A8441,'Componentes APUs'!$A$1:$D$14,3,0)</f>
        <v>U</v>
      </c>
      <c r="E8441" s="53">
        <f>IF(A8413="MO-3",C8413,0)</f>
        <v>0</v>
      </c>
      <c r="F8441" s="51">
        <f>VLOOKUP(A8441,'Componentes APUs'!$A$1:$D$14,4,0)</f>
        <v>7500</v>
      </c>
      <c r="G8441" s="51">
        <f>ROUNDUP(F8441*(E8441/21)/E8401,0)</f>
        <v>0</v>
      </c>
    </row>
    <row r="8442" spans="1:7" x14ac:dyDescent="0.25">
      <c r="A8442" s="69" t="s">
        <v>89</v>
      </c>
      <c r="B8442" s="72" t="str">
        <f>VLOOKUP(A8442,'Componentes APUs'!$A$1:$D$14,2,0)</f>
        <v>Kit de rescate para trabajo en alturas</v>
      </c>
      <c r="C8442" s="73"/>
      <c r="D8442" s="50" t="str">
        <f>VLOOKUP(A8442,'Componentes APUs'!$A$1:$D$14,3,0)</f>
        <v>U</v>
      </c>
      <c r="E8442" s="50">
        <f>IF(AND(A8413="MO-3",C8413=2),1,0)</f>
        <v>0</v>
      </c>
      <c r="F8442" s="51">
        <f>VLOOKUP(A8442,'Componentes APUs'!$A$1:$D$14,4,0)</f>
        <v>37500</v>
      </c>
      <c r="G8442" s="51">
        <f>ROUNDUP(F8442*(E8442/21)/E8401,0)</f>
        <v>0</v>
      </c>
    </row>
    <row r="8443" spans="1:7" x14ac:dyDescent="0.25">
      <c r="A8443" s="50" t="s">
        <v>91</v>
      </c>
      <c r="B8443" s="72" t="str">
        <f>VLOOKUP(A8443,'Componentes APUs'!$A$1:$D$14,2,0)</f>
        <v>Equipo completo para trabajo en alturas con pretales (Arnes dielectrico, 1 mosqueton de seguridad, tie off dielectrico, eslinga de posicionamiento, juego de pretales)</v>
      </c>
      <c r="C8443" s="73"/>
      <c r="D8443" s="50" t="str">
        <f>VLOOKUP(A8443,'Componentes APUs'!$A$1:$D$14,3,0)</f>
        <v>U</v>
      </c>
      <c r="E8443" s="50">
        <f>IF(A8413="MO-3",C8413,0)</f>
        <v>0</v>
      </c>
      <c r="F8443" s="51">
        <f>VLOOKUP(A8443,'Componentes APUs'!$A$1:$D$14,4,0)</f>
        <v>26041.666666666668</v>
      </c>
      <c r="G8443" s="51">
        <f>ROUNDUP(F8443*(E8443/21)/E8401,0)</f>
        <v>0</v>
      </c>
    </row>
    <row r="8444" spans="1:7" x14ac:dyDescent="0.25">
      <c r="A8444" s="219" t="s">
        <v>95</v>
      </c>
      <c r="B8444" s="219"/>
      <c r="C8444" s="219"/>
      <c r="D8444" s="219"/>
      <c r="E8444" s="219"/>
      <c r="F8444" s="219"/>
      <c r="G8444" s="52">
        <f>SUM(G8431:G8443)</f>
        <v>472</v>
      </c>
    </row>
    <row r="8445" spans="1:7" x14ac:dyDescent="0.25">
      <c r="A8445" s="56"/>
      <c r="B8445" s="57"/>
      <c r="C8445" s="57"/>
      <c r="D8445" s="57"/>
      <c r="E8445" s="57"/>
      <c r="F8445" s="57"/>
      <c r="G8445" s="58"/>
    </row>
    <row r="8446" spans="1:7" x14ac:dyDescent="0.25">
      <c r="A8446" s="219" t="s">
        <v>96</v>
      </c>
      <c r="B8446" s="219"/>
      <c r="C8446" s="219"/>
      <c r="D8446" s="219"/>
      <c r="E8446" s="219"/>
      <c r="F8446" s="219"/>
      <c r="G8446" s="219"/>
    </row>
    <row r="8447" spans="1:7" x14ac:dyDescent="0.25">
      <c r="A8447" s="49" t="s">
        <v>35</v>
      </c>
      <c r="B8447" s="225" t="s">
        <v>36</v>
      </c>
      <c r="C8447" s="225"/>
      <c r="D8447" s="49" t="s">
        <v>37</v>
      </c>
      <c r="E8447" s="49" t="s">
        <v>38</v>
      </c>
      <c r="F8447" s="49" t="s">
        <v>39</v>
      </c>
      <c r="G8447" s="49" t="s">
        <v>40</v>
      </c>
    </row>
    <row r="8448" spans="1:7" x14ac:dyDescent="0.25">
      <c r="A8448" s="69" t="s">
        <v>97</v>
      </c>
      <c r="B8448" s="72" t="str">
        <f>VLOOKUP(A8448,'Componentes APUs'!$N$1:$Q$30,2,0)</f>
        <v>Camioneta</v>
      </c>
      <c r="C8448" s="73"/>
      <c r="D8448" s="70" t="str">
        <f>VLOOKUP(A8448,'Componentes APUs'!$N$1:$Q$30,3,0)</f>
        <v>U</v>
      </c>
      <c r="E8448" s="50">
        <v>0</v>
      </c>
      <c r="F8448" s="51">
        <f>VLOOKUP(A8448,'Componentes APUs'!$N$1:$Q$30,4,0)</f>
        <v>5500000</v>
      </c>
      <c r="G8448" s="51">
        <f>IFERROR(ROUNDUP(F8448*(E8448/21)/E8401,0),"-")</f>
        <v>0</v>
      </c>
    </row>
    <row r="8449" spans="1:7" x14ac:dyDescent="0.25">
      <c r="A8449" s="50" t="s">
        <v>1473</v>
      </c>
      <c r="B8449" s="72" t="str">
        <f>VLOOKUP(A8449,'Componentes APUs'!$N$1:$Q$30,2,0)</f>
        <v>Concretera</v>
      </c>
      <c r="C8449" s="73"/>
      <c r="D8449" s="70" t="str">
        <f>VLOOKUP(A8449,'Componentes APUs'!$N$1:$Q$30,3,0)</f>
        <v>U</v>
      </c>
      <c r="E8449" s="50">
        <v>0</v>
      </c>
      <c r="F8449" s="51">
        <f>VLOOKUP(A8449,'Componentes APUs'!$N$1:$Q$30,4,0)</f>
        <v>550704</v>
      </c>
      <c r="G8449" s="51">
        <f>IFERROR(ROUNDUP(F8449*(E8449/21)/E8401,0),"-")</f>
        <v>0</v>
      </c>
    </row>
    <row r="8450" spans="1:7" x14ac:dyDescent="0.25">
      <c r="A8450" s="69" t="s">
        <v>1379</v>
      </c>
      <c r="B8450" s="72" t="str">
        <f>VLOOKUP(A8450,'Componentes APUs'!$N$1:$Q$30,2,0)</f>
        <v>Dumper de descarga Frontal 2T</v>
      </c>
      <c r="C8450" s="73"/>
      <c r="D8450" s="70" t="str">
        <f>VLOOKUP(A8450,'Componentes APUs'!$N$1:$Q$30,3,0)</f>
        <v>U</v>
      </c>
      <c r="E8450" s="50">
        <v>0</v>
      </c>
      <c r="F8450" s="51">
        <f>VLOOKUP(A8450,'Componentes APUs'!$N$1:$Q$30,4,0)</f>
        <v>4438716.24</v>
      </c>
      <c r="G8450" s="51">
        <f>IFERROR(ROUNDUP(F8450*(E8450/21)/E8401,0),"-")</f>
        <v>0</v>
      </c>
    </row>
    <row r="8451" spans="1:7" x14ac:dyDescent="0.25">
      <c r="A8451" s="50" t="s">
        <v>323</v>
      </c>
      <c r="B8451" s="72" t="str">
        <f>VLOOKUP(A8451,'Componentes APUs'!$N$1:$Q$30,2,0)</f>
        <v>Volqueta</v>
      </c>
      <c r="C8451" s="73"/>
      <c r="D8451" s="70" t="str">
        <f>VLOOKUP(A8451,'Componentes APUs'!$N$1:$Q$30,3,0)</f>
        <v>U</v>
      </c>
      <c r="E8451" s="50">
        <v>0</v>
      </c>
      <c r="F8451" s="51">
        <f>VLOOKUP(A8451,'Componentes APUs'!$N$1:$Q$30,4,0)</f>
        <v>14828184</v>
      </c>
      <c r="G8451" s="51">
        <f>IFERROR(ROUNDUP(F8451*(E8451/21)/E8401,0),"-")</f>
        <v>0</v>
      </c>
    </row>
    <row r="8452" spans="1:7" x14ac:dyDescent="0.25">
      <c r="A8452" s="69" t="s">
        <v>324</v>
      </c>
      <c r="B8452" s="72" t="str">
        <f>VLOOKUP(A8452,'Componentes APUs'!$N$1:$Q$30,2,0)</f>
        <v>Retroexcavadora</v>
      </c>
      <c r="C8452" s="73"/>
      <c r="D8452" s="70" t="str">
        <f>VLOOKUP(A8452,'Componentes APUs'!$N$1:$Q$30,3,0)</f>
        <v>U</v>
      </c>
      <c r="E8452" s="50">
        <v>0</v>
      </c>
      <c r="F8452" s="51">
        <f>VLOOKUP(A8452,'Componentes APUs'!$N$1:$Q$30,4,0)</f>
        <v>46030656</v>
      </c>
      <c r="G8452" s="51">
        <f>IFERROR(ROUNDUP(F8452*(E8452/21)/E8401,0),"-")</f>
        <v>0</v>
      </c>
    </row>
    <row r="8453" spans="1:7" x14ac:dyDescent="0.25">
      <c r="A8453" s="219" t="s">
        <v>99</v>
      </c>
      <c r="B8453" s="219"/>
      <c r="C8453" s="219"/>
      <c r="D8453" s="219"/>
      <c r="E8453" s="219"/>
      <c r="F8453" s="219"/>
      <c r="G8453" s="52">
        <f>SUM(G8448:G8452)</f>
        <v>0</v>
      </c>
    </row>
    <row r="8454" spans="1:7" x14ac:dyDescent="0.25">
      <c r="A8454" s="56"/>
      <c r="B8454" s="57"/>
      <c r="C8454" s="57"/>
      <c r="D8454" s="57"/>
      <c r="E8454" s="57"/>
      <c r="F8454" s="57"/>
      <c r="G8454" s="58"/>
    </row>
    <row r="8455" spans="1:7" x14ac:dyDescent="0.25">
      <c r="A8455" s="219" t="s">
        <v>100</v>
      </c>
      <c r="B8455" s="219"/>
      <c r="C8455" s="219"/>
      <c r="D8455" s="219"/>
      <c r="E8455" s="219"/>
      <c r="F8455" s="219"/>
      <c r="G8455" s="52">
        <f>G8453+G8444+G8427+G8417+G8407</f>
        <v>163810</v>
      </c>
    </row>
    <row r="8456" spans="1:7" x14ac:dyDescent="0.25">
      <c r="A8456" s="59"/>
      <c r="B8456" s="60"/>
      <c r="C8456" s="60"/>
      <c r="D8456" s="60"/>
      <c r="E8456" s="57"/>
      <c r="F8456" s="57"/>
      <c r="G8456" s="58"/>
    </row>
    <row r="8457" spans="1:7" x14ac:dyDescent="0.25">
      <c r="A8457" s="64"/>
      <c r="D8457" s="55"/>
      <c r="E8457" s="49" t="s">
        <v>25</v>
      </c>
      <c r="F8457" s="54">
        <v>0.15</v>
      </c>
      <c r="G8457" s="51">
        <f>G8455*F8457</f>
        <v>24571.5</v>
      </c>
    </row>
    <row r="8458" spans="1:7" x14ac:dyDescent="0.25">
      <c r="A8458" s="64"/>
      <c r="D8458" s="55"/>
      <c r="E8458" s="49" t="s">
        <v>26</v>
      </c>
      <c r="F8458" s="54">
        <v>0.05</v>
      </c>
      <c r="G8458" s="51">
        <f>G8455*F8458</f>
        <v>8190.5</v>
      </c>
    </row>
    <row r="8459" spans="1:7" x14ac:dyDescent="0.25">
      <c r="A8459" s="61"/>
      <c r="B8459" s="65"/>
      <c r="C8459" s="65"/>
      <c r="D8459" s="62"/>
      <c r="E8459" s="49" t="s">
        <v>27</v>
      </c>
      <c r="F8459" s="54">
        <v>0.05</v>
      </c>
      <c r="G8459" s="51">
        <f>G8455*F8459</f>
        <v>8190.5</v>
      </c>
    </row>
    <row r="8460" spans="1:7" x14ac:dyDescent="0.25">
      <c r="A8460" s="61"/>
      <c r="B8460" s="62"/>
      <c r="C8460" s="62"/>
      <c r="D8460" s="62"/>
      <c r="E8460" s="62"/>
      <c r="F8460" s="62"/>
      <c r="G8460" s="63"/>
    </row>
    <row r="8461" spans="1:7" x14ac:dyDescent="0.25">
      <c r="A8461" s="219" t="s">
        <v>101</v>
      </c>
      <c r="B8461" s="219"/>
      <c r="C8461" s="219"/>
      <c r="D8461" s="219"/>
      <c r="E8461" s="219"/>
      <c r="F8461" s="219"/>
      <c r="G8461" s="52">
        <f>G8455+G8457+G8458+G8459</f>
        <v>204762.5</v>
      </c>
    </row>
    <row r="8462" spans="1:7" x14ac:dyDescent="0.25">
      <c r="A8462" s="59"/>
      <c r="B8462" s="60"/>
      <c r="C8462" s="60"/>
      <c r="D8462" s="60"/>
      <c r="E8462" s="57"/>
      <c r="F8462" s="57"/>
      <c r="G8462" s="58"/>
    </row>
    <row r="8463" spans="1:7" x14ac:dyDescent="0.25">
      <c r="A8463" s="64"/>
      <c r="D8463" s="55"/>
      <c r="E8463" s="49" t="s">
        <v>102</v>
      </c>
      <c r="F8463" s="49" t="s">
        <v>103</v>
      </c>
      <c r="G8463" s="51">
        <f>G8459*19%</f>
        <v>1556.1949999999999</v>
      </c>
    </row>
    <row r="8464" spans="1:7" x14ac:dyDescent="0.25">
      <c r="A8464" s="61"/>
      <c r="B8464" s="62"/>
      <c r="C8464" s="62"/>
      <c r="D8464" s="62"/>
      <c r="E8464" s="57"/>
      <c r="F8464" s="57"/>
      <c r="G8464" s="58"/>
    </row>
    <row r="8465" spans="1:13" x14ac:dyDescent="0.25">
      <c r="A8465" s="219" t="s">
        <v>104</v>
      </c>
      <c r="B8465" s="219"/>
      <c r="C8465" s="219"/>
      <c r="D8465" s="219"/>
      <c r="E8465" s="219"/>
      <c r="F8465" s="219"/>
      <c r="G8465" s="52">
        <f>G8463+G8461</f>
        <v>206318.69500000001</v>
      </c>
    </row>
    <row r="8467" spans="1:13" x14ac:dyDescent="0.25">
      <c r="A8467" s="74" t="s">
        <v>29</v>
      </c>
      <c r="B8467" s="226" t="s">
        <v>30</v>
      </c>
      <c r="C8467" s="226"/>
      <c r="D8467" s="74" t="s">
        <v>31</v>
      </c>
      <c r="E8467" s="74" t="s">
        <v>32</v>
      </c>
      <c r="F8467" s="74" t="s">
        <v>189</v>
      </c>
      <c r="G8467" s="74" t="s">
        <v>33</v>
      </c>
      <c r="H8467" s="105"/>
    </row>
    <row r="8468" spans="1:13" ht="60.75" customHeight="1" x14ac:dyDescent="0.25">
      <c r="A8468" s="50" t="str">
        <f>Presupuesto!B158</f>
        <v>135_OC</v>
      </c>
      <c r="B8468" s="229" t="str">
        <f>Presupuesto!C158</f>
        <v>PORTÓN 6.3 ML X 2,7 ALTO EN TUBO GALVANIZADO 4". REFUERZO EN DIAGONALES EN TUBO GALVANIZADO 4". MALLA ESLABONADA CALIBRE 10,5 HUECO 2", INCLUYE ACCESORIOS (BISAGRAS, PASADORES EN VARILLA, TAPON DE ALUMINIO)</v>
      </c>
      <c r="C8468" s="230"/>
      <c r="D8468" s="50" t="s">
        <v>8</v>
      </c>
      <c r="E8468" s="107">
        <v>0.4</v>
      </c>
      <c r="F8468" s="50"/>
      <c r="G8468" s="51">
        <f>G8534</f>
        <v>7042169.2989999987</v>
      </c>
      <c r="H8468" s="111"/>
    </row>
    <row r="8469" spans="1:13" x14ac:dyDescent="0.25">
      <c r="A8469" s="219" t="s">
        <v>34</v>
      </c>
      <c r="B8469" s="219"/>
      <c r="C8469" s="219"/>
      <c r="D8469" s="219"/>
      <c r="E8469" s="219"/>
      <c r="F8469" s="219"/>
      <c r="G8469" s="219"/>
    </row>
    <row r="8470" spans="1:13" ht="30.75" customHeight="1" x14ac:dyDescent="0.25">
      <c r="A8470" s="49" t="s">
        <v>35</v>
      </c>
      <c r="B8470" s="219" t="s">
        <v>36</v>
      </c>
      <c r="C8470" s="219"/>
      <c r="D8470" s="49" t="s">
        <v>37</v>
      </c>
      <c r="E8470" s="49" t="s">
        <v>38</v>
      </c>
      <c r="F8470" s="49" t="s">
        <v>39</v>
      </c>
      <c r="G8470" s="49" t="s">
        <v>40</v>
      </c>
      <c r="K8470" s="23"/>
      <c r="L8470" s="23"/>
    </row>
    <row r="8471" spans="1:13" ht="29.25" customHeight="1" x14ac:dyDescent="0.25">
      <c r="A8471" s="50" t="str">
        <f>Material!A344</f>
        <v>MA-343</v>
      </c>
      <c r="B8471" s="221" t="str">
        <f>IFERROR(VLOOKUP(A8471,Material!$A:$H,2,0),"-")</f>
        <v>PUERTA DE INTERIOR CONSTITUIDA POR MARCOS DE TUBO METÁLICO DE 40X20X1,5 MM Y 30X15X1,5 MM, Y BASTIDOR DE TUBO DE 40X40X1,5 MM CON PLETINA DE 40X4 MM PARA SUJECIÓN DE MALLA DE SIMPLE TORSIÓN.</v>
      </c>
      <c r="C8471" s="222"/>
      <c r="D8471" s="50" t="str">
        <f>IFERROR(VLOOKUP(A8471,Material!$A:$H,4,0),"-")</f>
        <v>UN</v>
      </c>
      <c r="E8471" s="107">
        <v>8.5</v>
      </c>
      <c r="F8471" s="51">
        <f>IFERROR(VLOOKUP(A8471,Material!$A:$H,3,0),"-")</f>
        <v>249471.30000000002</v>
      </c>
      <c r="G8471" s="51">
        <f t="shared" ref="G8471:G8476" si="124">IFERROR(ROUNDUP(F8471*E8471,0),"-")</f>
        <v>2120507</v>
      </c>
      <c r="H8471" s="112"/>
      <c r="I8471" s="110"/>
      <c r="J8471" s="113"/>
      <c r="K8471" s="114"/>
      <c r="L8471" s="115"/>
      <c r="M8471" s="115"/>
    </row>
    <row r="8472" spans="1:13" ht="26.25" customHeight="1" x14ac:dyDescent="0.25">
      <c r="A8472" s="50" t="str">
        <f>Material!A345</f>
        <v>MA-344</v>
      </c>
      <c r="B8472" s="221" t="str">
        <f>IFERROR(VLOOKUP(A8472,Material!$A:$H,2,0),"-")</f>
        <v>MALLA DE SIMPLE TORSIÓN, DE 8 MM DE PASO DE MALLA Y 1,1 MM DE DIÁMETRO, ACABADO GALVANIZADO</v>
      </c>
      <c r="C8472" s="222"/>
      <c r="D8472" s="50" t="str">
        <f>IFERROR(VLOOKUP(A8472,Material!$A:$H,4,0),"-")</f>
        <v>M2</v>
      </c>
      <c r="E8472" s="109">
        <v>10.206</v>
      </c>
      <c r="F8472" s="51">
        <f>IFERROR(VLOOKUP(A8472,Material!$A:$H,3,0),"-")</f>
        <v>4209.4000000000005</v>
      </c>
      <c r="G8472" s="51">
        <f t="shared" si="124"/>
        <v>42962</v>
      </c>
      <c r="H8472" s="112"/>
      <c r="I8472" s="110"/>
      <c r="J8472" s="113"/>
      <c r="K8472" s="114"/>
      <c r="L8472" s="115"/>
      <c r="M8472" s="115"/>
    </row>
    <row r="8473" spans="1:13" ht="26.25" customHeight="1" x14ac:dyDescent="0.25">
      <c r="A8473" s="50" t="str">
        <f>Material!A343</f>
        <v>MA-342</v>
      </c>
      <c r="B8473" s="221" t="str">
        <f>IFERROR(VLOOKUP(A8473,Material!$A:$H,2,0),"-")</f>
        <v>TUBO METALICO IMC CONDUIT GALVANIZADO DE 4 PULGADAS</v>
      </c>
      <c r="C8473" s="222"/>
      <c r="D8473" s="50" t="str">
        <f>IFERROR(VLOOKUP(A8473,Material!$A:$H,4,0),"-")</f>
        <v>ML</v>
      </c>
      <c r="E8473" s="107">
        <v>3.5</v>
      </c>
      <c r="F8473" s="51">
        <f>IFERROR(VLOOKUP(A8473,Material!$A:$H,3,0),"-")</f>
        <v>211553.33333333334</v>
      </c>
      <c r="G8473" s="51">
        <f t="shared" si="124"/>
        <v>740437</v>
      </c>
      <c r="H8473" s="112"/>
      <c r="I8473" s="110"/>
      <c r="J8473" s="113"/>
      <c r="K8473" s="114"/>
      <c r="L8473" s="115"/>
      <c r="M8473" s="115"/>
    </row>
    <row r="8474" spans="1:13" x14ac:dyDescent="0.25">
      <c r="A8474" s="50"/>
      <c r="B8474" s="72" t="str">
        <f>IFERROR(VLOOKUP(A8474,Material!$A:$H,2,0),"-")</f>
        <v>-</v>
      </c>
      <c r="C8474" s="76"/>
      <c r="D8474" s="50" t="str">
        <f>IFERROR(VLOOKUP(A8474,Material!$A:$H,4,0),"-")</f>
        <v>-</v>
      </c>
      <c r="E8474" s="107"/>
      <c r="F8474" s="51" t="str">
        <f>IFERROR(VLOOKUP(A8474,Material!$A:$H,3,0),"-")</f>
        <v>-</v>
      </c>
      <c r="G8474" s="51" t="str">
        <f t="shared" si="124"/>
        <v>-</v>
      </c>
      <c r="H8474" s="112"/>
      <c r="I8474" s="110"/>
      <c r="J8474" s="113"/>
      <c r="K8474" s="114"/>
      <c r="L8474" s="115"/>
      <c r="M8474" s="115"/>
    </row>
    <row r="8475" spans="1:13" x14ac:dyDescent="0.25">
      <c r="A8475" s="50"/>
      <c r="B8475" s="72" t="str">
        <f>IFERROR(VLOOKUP(A8475,Material!$A:$H,2,0),"-")</f>
        <v>-</v>
      </c>
      <c r="C8475" s="76"/>
      <c r="D8475" s="50" t="str">
        <f>IFERROR(VLOOKUP(A8475,Material!$A:$H,4,0),"-")</f>
        <v>-</v>
      </c>
      <c r="E8475" s="107"/>
      <c r="F8475" s="51" t="str">
        <f>IFERROR(VLOOKUP(A8475,Material!$A:$H,3,0),"-")</f>
        <v>-</v>
      </c>
      <c r="G8475" s="51" t="str">
        <f t="shared" si="124"/>
        <v>-</v>
      </c>
      <c r="H8475" s="112"/>
      <c r="I8475" s="110"/>
      <c r="J8475" s="113"/>
      <c r="K8475" s="114"/>
      <c r="L8475" s="115"/>
      <c r="M8475" s="115"/>
    </row>
    <row r="8476" spans="1:13" x14ac:dyDescent="0.25">
      <c r="A8476" s="50"/>
      <c r="B8476" s="72" t="str">
        <f>IFERROR(VLOOKUP(A8476,Material!$A:$H,2,0),"-")</f>
        <v>-</v>
      </c>
      <c r="C8476" s="76"/>
      <c r="D8476" s="50" t="str">
        <f>IFERROR(VLOOKUP(A8476,Material!$A:$H,4,0),"-")</f>
        <v>-</v>
      </c>
      <c r="E8476" s="107"/>
      <c r="F8476" s="51" t="str">
        <f>IFERROR(VLOOKUP(A8476,Material!$A:$H,3,0),"-")</f>
        <v>-</v>
      </c>
      <c r="G8476" s="51" t="str">
        <f t="shared" si="124"/>
        <v>-</v>
      </c>
      <c r="H8476" s="112"/>
      <c r="I8476" s="110"/>
      <c r="J8476" s="113"/>
      <c r="K8476" s="114"/>
      <c r="L8476" s="115"/>
      <c r="M8476" s="114"/>
    </row>
    <row r="8477" spans="1:13" x14ac:dyDescent="0.25">
      <c r="A8477" s="219" t="s">
        <v>41</v>
      </c>
      <c r="B8477" s="219"/>
      <c r="C8477" s="219"/>
      <c r="D8477" s="219"/>
      <c r="E8477" s="219"/>
      <c r="F8477" s="219"/>
      <c r="G8477" s="52">
        <f>SUM(G8471:G8476)</f>
        <v>2903906</v>
      </c>
      <c r="I8477" s="104"/>
    </row>
    <row r="8478" spans="1:13" x14ac:dyDescent="0.25">
      <c r="A8478" s="56"/>
      <c r="B8478" s="57"/>
      <c r="C8478" s="57"/>
      <c r="D8478" s="57"/>
      <c r="E8478" s="57"/>
      <c r="F8478" s="57"/>
      <c r="G8478" s="58"/>
    </row>
    <row r="8479" spans="1:13" x14ac:dyDescent="0.25">
      <c r="A8479" s="219" t="s">
        <v>42</v>
      </c>
      <c r="B8479" s="219"/>
      <c r="C8479" s="219"/>
      <c r="D8479" s="219"/>
      <c r="E8479" s="219"/>
      <c r="F8479" s="219"/>
      <c r="G8479" s="219"/>
    </row>
    <row r="8480" spans="1:13" x14ac:dyDescent="0.25">
      <c r="A8480" s="49" t="s">
        <v>35</v>
      </c>
      <c r="B8480" s="49" t="s">
        <v>36</v>
      </c>
      <c r="C8480" s="49" t="s">
        <v>38</v>
      </c>
      <c r="D8480" s="49" t="s">
        <v>43</v>
      </c>
      <c r="E8480" s="49" t="s">
        <v>44</v>
      </c>
      <c r="F8480" s="49" t="s">
        <v>45</v>
      </c>
      <c r="G8480" s="49" t="s">
        <v>40</v>
      </c>
    </row>
    <row r="8481" spans="1:9" x14ac:dyDescent="0.25">
      <c r="A8481" s="50" t="s">
        <v>319</v>
      </c>
      <c r="B8481" s="68" t="str">
        <f>VLOOKUP(A8481,'Componentes APUs'!$H$1:$L$25,2,0)</f>
        <v>Ingeniero Residente de Obra</v>
      </c>
      <c r="C8481" s="93">
        <v>0.25</v>
      </c>
      <c r="D8481" s="50">
        <f>VLOOKUP(A8481,'Componentes APUs'!$H$1:$L$25,3,0)</f>
        <v>4</v>
      </c>
      <c r="E8481" s="51">
        <f>VLOOKUP(A8481,'Componentes APUs'!$H$1:$L$25,4,0)</f>
        <v>271142.85714285716</v>
      </c>
      <c r="F8481" s="51">
        <f>VLOOKUP(A8481,'Componentes APUs'!$H$1:$L$25,5,0)</f>
        <v>162685.71428571429</v>
      </c>
      <c r="G8481" s="51">
        <f>ROUNDUP((E8481+F8481)*C8481/E8468,0)</f>
        <v>271143</v>
      </c>
      <c r="H8481" s="66"/>
    </row>
    <row r="8482" spans="1:9" x14ac:dyDescent="0.25">
      <c r="A8482" s="50" t="s">
        <v>320</v>
      </c>
      <c r="B8482" s="68" t="str">
        <f>VLOOKUP(A8482,'Componentes APUs'!$H$1:$L$25,2,0)</f>
        <v>Tecnico Supervisor</v>
      </c>
      <c r="C8482" s="93">
        <v>0</v>
      </c>
      <c r="D8482" s="50">
        <f>VLOOKUP(A8482,'Componentes APUs'!$H$1:$L$25,3,0)</f>
        <v>2.2999999999999998</v>
      </c>
      <c r="E8482" s="51">
        <f>VLOOKUP(A8482,'Componentes APUs'!$H$1:$L$25,4,0)</f>
        <v>155907.14285714284</v>
      </c>
      <c r="F8482" s="51">
        <f>VLOOKUP(A8482,'Componentes APUs'!$H$1:$L$25,5,0)</f>
        <v>93544.285714285696</v>
      </c>
      <c r="G8482" s="51">
        <f>ROUNDUP((E8482+F8482)*C8482/E8468,0)</f>
        <v>0</v>
      </c>
    </row>
    <row r="8483" spans="1:9" x14ac:dyDescent="0.25">
      <c r="A8483" s="50" t="s">
        <v>54</v>
      </c>
      <c r="B8483" s="68" t="str">
        <f>VLOOKUP(A8483,'Componentes APUs'!$H$1:$L$25,2,0)</f>
        <v>Maestro de obra civil</v>
      </c>
      <c r="C8483" s="93">
        <v>0</v>
      </c>
      <c r="D8483" s="50">
        <f>VLOOKUP(A8483,'Componentes APUs'!$H$1:$L$25,3,0)</f>
        <v>2.5</v>
      </c>
      <c r="E8483" s="51">
        <f>VLOOKUP(A8483,'Componentes APUs'!$H$1:$L$25,4,0)</f>
        <v>169464.28571428571</v>
      </c>
      <c r="F8483" s="51">
        <f>VLOOKUP(A8483,'Componentes APUs'!$H$1:$L$25,5,0)</f>
        <v>101678.57142857142</v>
      </c>
      <c r="G8483" s="51">
        <f>ROUNDUP((E8483+F8483)*C8483/E8468,0)</f>
        <v>0</v>
      </c>
    </row>
    <row r="8484" spans="1:9" x14ac:dyDescent="0.25">
      <c r="A8484" s="50" t="s">
        <v>1110</v>
      </c>
      <c r="B8484" s="68" t="str">
        <f>VLOOKUP(A8484,'Componentes APUs'!$H$1:$L$25,2,0)</f>
        <v>Oficial de Obra Civil</v>
      </c>
      <c r="C8484" s="93">
        <v>2</v>
      </c>
      <c r="D8484" s="50">
        <f>VLOOKUP(A8484,'Componentes APUs'!$H$1:$L$25,3,0)</f>
        <v>1.5</v>
      </c>
      <c r="E8484" s="51">
        <f>VLOOKUP(A8484,'Componentes APUs'!$H$1:$L$25,4,0)</f>
        <v>115964.28571428571</v>
      </c>
      <c r="F8484" s="51">
        <f>VLOOKUP(A8484,'Componentes APUs'!$H$1:$L$25,5,0)</f>
        <v>69578.57142857142</v>
      </c>
      <c r="G8484" s="51">
        <f>ROUNDUP((E8484+F8484)*C8484/E8468,0)</f>
        <v>927715</v>
      </c>
    </row>
    <row r="8485" spans="1:9" x14ac:dyDescent="0.25">
      <c r="A8485" s="50" t="s">
        <v>50</v>
      </c>
      <c r="B8485" s="68" t="str">
        <f>VLOOKUP(A8485,'Componentes APUs'!$H$1:$L$25,2,0)</f>
        <v>Profesional en SST</v>
      </c>
      <c r="C8485" s="93">
        <v>0.25</v>
      </c>
      <c r="D8485" s="50">
        <f>VLOOKUP(A8485,'Componentes APUs'!$H$1:$L$25,3,0)</f>
        <v>2.5</v>
      </c>
      <c r="E8485" s="51">
        <f>VLOOKUP(A8485,'Componentes APUs'!$H$1:$L$25,4,0)</f>
        <v>169464.28571428571</v>
      </c>
      <c r="F8485" s="51">
        <f>VLOOKUP(A8485,'Componentes APUs'!$H$1:$L$25,5,0)</f>
        <v>101678.57142857142</v>
      </c>
      <c r="G8485" s="51">
        <f>ROUNDUP((E8485+F8485)*C8485/E8468,0)</f>
        <v>169465</v>
      </c>
    </row>
    <row r="8486" spans="1:9" x14ac:dyDescent="0.25">
      <c r="A8486" s="50" t="s">
        <v>1109</v>
      </c>
      <c r="B8486" s="68" t="str">
        <f>VLOOKUP(A8486,'Componentes APUs'!$H$1:$L$25,2,0)</f>
        <v>Ayudante de Obra Civil</v>
      </c>
      <c r="C8486" s="93">
        <v>2</v>
      </c>
      <c r="D8486" s="50">
        <f>VLOOKUP(A8486,'Componentes APUs'!$H$1:$L$25,3,0)</f>
        <v>1</v>
      </c>
      <c r="E8486" s="51">
        <f>VLOOKUP(A8486,'Componentes APUs'!$H$1:$L$25,4,0)</f>
        <v>77309.523809523816</v>
      </c>
      <c r="F8486" s="51">
        <f>VLOOKUP(A8486,'Componentes APUs'!$H$1:$L$25,5,0)</f>
        <v>46385.71428571429</v>
      </c>
      <c r="G8486" s="51">
        <f>ROUNDUP((E8486+F8486)*C8486/E8468,0)</f>
        <v>618477</v>
      </c>
    </row>
    <row r="8487" spans="1:9" x14ac:dyDescent="0.25">
      <c r="A8487" s="219" t="s">
        <v>56</v>
      </c>
      <c r="B8487" s="219"/>
      <c r="C8487" s="219"/>
      <c r="D8487" s="219"/>
      <c r="E8487" s="219"/>
      <c r="F8487" s="219"/>
      <c r="G8487" s="52">
        <f>SUM(G8481:G8486)</f>
        <v>1986800</v>
      </c>
    </row>
    <row r="8488" spans="1:9" x14ac:dyDescent="0.25">
      <c r="A8488" s="56"/>
      <c r="B8488" s="57"/>
      <c r="C8488" s="57"/>
      <c r="D8488" s="57"/>
      <c r="E8488" s="57"/>
      <c r="F8488" s="57"/>
      <c r="G8488" s="58"/>
    </row>
    <row r="8489" spans="1:9" x14ac:dyDescent="0.25">
      <c r="A8489" s="219" t="s">
        <v>57</v>
      </c>
      <c r="B8489" s="219"/>
      <c r="C8489" s="219"/>
      <c r="D8489" s="219"/>
      <c r="E8489" s="219"/>
      <c r="F8489" s="219"/>
      <c r="G8489" s="219"/>
    </row>
    <row r="8490" spans="1:9" x14ac:dyDescent="0.25">
      <c r="A8490" s="49" t="s">
        <v>35</v>
      </c>
      <c r="B8490" s="219" t="s">
        <v>36</v>
      </c>
      <c r="C8490" s="219"/>
      <c r="D8490" s="49" t="s">
        <v>37</v>
      </c>
      <c r="E8490" s="49" t="s">
        <v>38</v>
      </c>
      <c r="F8490" s="49" t="s">
        <v>39</v>
      </c>
      <c r="G8490" s="49" t="s">
        <v>40</v>
      </c>
    </row>
    <row r="8491" spans="1:9" x14ac:dyDescent="0.25">
      <c r="A8491" s="50" t="s">
        <v>326</v>
      </c>
      <c r="B8491" s="220" t="str">
        <f>VLOOKUP(A8491,'Componentes APUs'!$S$1:$V$10,2,0)</f>
        <v>Juego Llaves</v>
      </c>
      <c r="C8491" s="220"/>
      <c r="D8491" s="50" t="s">
        <v>18</v>
      </c>
      <c r="E8491" s="50">
        <v>0</v>
      </c>
      <c r="F8491" s="51">
        <f>VLOOKUP(A8491,'Componentes APUs'!$S$1:$V$10,4,0)</f>
        <v>9167</v>
      </c>
      <c r="G8491" s="51">
        <f>ROUNDUP(F8491*((E8491/21)/E8468),0)</f>
        <v>0</v>
      </c>
      <c r="I8491" s="91"/>
    </row>
    <row r="8492" spans="1:9" x14ac:dyDescent="0.25">
      <c r="A8492" s="50" t="s">
        <v>58</v>
      </c>
      <c r="B8492" s="220" t="str">
        <f>VLOOKUP(A8492,'Componentes APUs'!$S$1:$V$10,2,0)</f>
        <v>Manila de servicio</v>
      </c>
      <c r="C8492" s="220"/>
      <c r="D8492" s="50" t="s">
        <v>18</v>
      </c>
      <c r="E8492" s="50">
        <v>0</v>
      </c>
      <c r="F8492" s="51">
        <f>VLOOKUP(A8492,'Componentes APUs'!$S$1:$V$10,4,0)</f>
        <v>2333</v>
      </c>
      <c r="G8492" s="51">
        <f>ROUNDUP(F8492*((E8492/21)/E8468),0)</f>
        <v>0</v>
      </c>
    </row>
    <row r="8493" spans="1:9" x14ac:dyDescent="0.25">
      <c r="A8493" s="50" t="s">
        <v>327</v>
      </c>
      <c r="B8493" s="220" t="str">
        <f>VLOOKUP(A8493,'Componentes APUs'!$S$1:$V$10,2,0)</f>
        <v>Tula portaherramientas</v>
      </c>
      <c r="C8493" s="220"/>
      <c r="D8493" s="50" t="s">
        <v>18</v>
      </c>
      <c r="E8493" s="50">
        <v>0</v>
      </c>
      <c r="F8493" s="51">
        <f>VLOOKUP(A8493,'Componentes APUs'!$S$1:$V$10,4,0)</f>
        <v>1250</v>
      </c>
      <c r="G8493" s="51">
        <f>ROUNDUP(F8493*((E8493/21)/E8468),0)</f>
        <v>0</v>
      </c>
    </row>
    <row r="8494" spans="1:9" x14ac:dyDescent="0.25">
      <c r="A8494" s="50" t="s">
        <v>60</v>
      </c>
      <c r="B8494" s="220" t="str">
        <f>VLOOKUP(A8494,'Componentes APUs'!$S$1:$V$10,2,0)</f>
        <v>Agarradoras</v>
      </c>
      <c r="C8494" s="220"/>
      <c r="D8494" s="50" t="s">
        <v>18</v>
      </c>
      <c r="E8494" s="50">
        <v>0</v>
      </c>
      <c r="F8494" s="51">
        <f>VLOOKUP(A8494,'Componentes APUs'!$S$1:$V$10,4,0)</f>
        <v>125000</v>
      </c>
      <c r="G8494" s="51">
        <f>ROUNDUP(F8494*((E8494/21)/E8468),0)</f>
        <v>0</v>
      </c>
    </row>
    <row r="8495" spans="1:9" x14ac:dyDescent="0.25">
      <c r="A8495" s="50" t="s">
        <v>62</v>
      </c>
      <c r="B8495" s="220" t="str">
        <f>VLOOKUP(A8495,'Componentes APUs'!$S$1:$V$10,2,0)</f>
        <v>Templadoras</v>
      </c>
      <c r="C8495" s="220"/>
      <c r="D8495" s="50" t="s">
        <v>18</v>
      </c>
      <c r="E8495" s="50">
        <v>0</v>
      </c>
      <c r="F8495" s="51">
        <f>VLOOKUP(A8495,'Componentes APUs'!$S$1:$V$10,4,0)</f>
        <v>250000</v>
      </c>
      <c r="G8495" s="51">
        <f>ROUNDUP(F8495*((E8495/21)/E8468),0)</f>
        <v>0</v>
      </c>
    </row>
    <row r="8496" spans="1:9" x14ac:dyDescent="0.25">
      <c r="A8496" s="50" t="s">
        <v>328</v>
      </c>
      <c r="B8496" s="220" t="str">
        <f>VLOOKUP(A8496,'Componentes APUs'!$S$1:$V$10,2,0)</f>
        <v>Herramienta Menor</v>
      </c>
      <c r="C8496" s="220"/>
      <c r="D8496" s="50" t="s">
        <v>18</v>
      </c>
      <c r="E8496" s="50">
        <v>2</v>
      </c>
      <c r="F8496" s="51">
        <f>VLOOKUP(A8496,'Componentes APUs'!$S$1:$V$10,4,0)</f>
        <v>75758</v>
      </c>
      <c r="G8496" s="51">
        <f>ROUNDUP(F8496*((E8496/21)/E8468),0)</f>
        <v>18038</v>
      </c>
    </row>
    <row r="8497" spans="1:9" x14ac:dyDescent="0.25">
      <c r="A8497" s="219" t="s">
        <v>69</v>
      </c>
      <c r="B8497" s="219"/>
      <c r="C8497" s="219"/>
      <c r="D8497" s="219"/>
      <c r="E8497" s="219"/>
      <c r="F8497" s="219"/>
      <c r="G8497" s="52">
        <f>SUM(G8491:G8496)</f>
        <v>18038</v>
      </c>
    </row>
    <row r="8498" spans="1:9" x14ac:dyDescent="0.25">
      <c r="A8498" s="56"/>
      <c r="B8498" s="57"/>
      <c r="C8498" s="57"/>
      <c r="D8498" s="57"/>
      <c r="E8498" s="57"/>
      <c r="F8498" s="57"/>
      <c r="G8498" s="58"/>
    </row>
    <row r="8499" spans="1:9" x14ac:dyDescent="0.25">
      <c r="A8499" s="219" t="s">
        <v>70</v>
      </c>
      <c r="B8499" s="219"/>
      <c r="C8499" s="219"/>
      <c r="D8499" s="219"/>
      <c r="E8499" s="219"/>
      <c r="F8499" s="219"/>
      <c r="G8499" s="219"/>
    </row>
    <row r="8500" spans="1:9" x14ac:dyDescent="0.25">
      <c r="A8500" s="49" t="s">
        <v>35</v>
      </c>
      <c r="B8500" s="219" t="s">
        <v>36</v>
      </c>
      <c r="C8500" s="219"/>
      <c r="D8500" s="49" t="s">
        <v>37</v>
      </c>
      <c r="E8500" s="49" t="s">
        <v>38</v>
      </c>
      <c r="F8500" s="49" t="s">
        <v>39</v>
      </c>
      <c r="G8500" s="49" t="s">
        <v>40</v>
      </c>
    </row>
    <row r="8501" spans="1:9" x14ac:dyDescent="0.25">
      <c r="A8501" s="50" t="s">
        <v>71</v>
      </c>
      <c r="B8501" s="71" t="str">
        <f>VLOOKUP(A8501,'Componentes APUs'!$A$1:$D$14,2,0)</f>
        <v>Camisa indigo sin partes metalicas</v>
      </c>
      <c r="C8501" s="71"/>
      <c r="D8501" s="50" t="str">
        <f>VLOOKUP(A8501,'Componentes APUs'!$A$1:$D$14,3,0)</f>
        <v>U</v>
      </c>
      <c r="E8501" s="50">
        <f>SUM(C8481:C8486)</f>
        <v>4.5</v>
      </c>
      <c r="F8501" s="51">
        <f>VLOOKUP(A8501,'Componentes APUs'!$A$1:$D$14,4,0)</f>
        <v>8585.8585858585866</v>
      </c>
      <c r="G8501" s="51">
        <f>ROUNDUP(F8501*(E8501/21)/E8468,0)</f>
        <v>4600</v>
      </c>
      <c r="I8501" s="91"/>
    </row>
    <row r="8502" spans="1:9" x14ac:dyDescent="0.25">
      <c r="A8502" s="69" t="s">
        <v>73</v>
      </c>
      <c r="B8502" s="72" t="str">
        <f>VLOOKUP(A8502,'Componentes APUs'!$A$1:$D$14,2,0)</f>
        <v>Bota de seguridad dielectrica</v>
      </c>
      <c r="C8502" s="73"/>
      <c r="D8502" s="70" t="str">
        <f>VLOOKUP(A8502,'Componentes APUs'!$A$1:$D$14,3,0)</f>
        <v>Par</v>
      </c>
      <c r="E8502" s="50">
        <f>SUM(C8481:C8486)</f>
        <v>4.5</v>
      </c>
      <c r="F8502" s="51">
        <f>VLOOKUP(A8502,'Componentes APUs'!$A$1:$D$14,4,0)</f>
        <v>7500</v>
      </c>
      <c r="G8502" s="51">
        <f>ROUNDUP(F8502*(E8502/21)/E8468,0)</f>
        <v>4018</v>
      </c>
    </row>
    <row r="8503" spans="1:9" x14ac:dyDescent="0.25">
      <c r="A8503" s="50" t="s">
        <v>76</v>
      </c>
      <c r="B8503" s="72" t="str">
        <f>VLOOKUP(A8503,'Componentes APUs'!$A$1:$D$14,2,0)</f>
        <v>Casco dielectrico Tipo 1 Clase E con barbuquejo</v>
      </c>
      <c r="C8503" s="73"/>
      <c r="D8503" s="50" t="str">
        <f>VLOOKUP(A8503,'Componentes APUs'!$A$1:$D$14,3,0)</f>
        <v>U</v>
      </c>
      <c r="E8503" s="50">
        <f>C8481+C8482+C8484+C8485+C8486+IF(A8483&lt;&gt;"MO-3",C8483,0)</f>
        <v>4.5</v>
      </c>
      <c r="F8503" s="51">
        <f>VLOOKUP(A8503,'Componentes APUs'!$A$1:$D$14,4,0)</f>
        <v>10101.010101010101</v>
      </c>
      <c r="G8503" s="51">
        <f>ROUNDUP(F8503*(E8503/21)/E8468,0)</f>
        <v>5412</v>
      </c>
    </row>
    <row r="8504" spans="1:9" x14ac:dyDescent="0.25">
      <c r="A8504" s="69" t="s">
        <v>77</v>
      </c>
      <c r="B8504" s="72" t="str">
        <f>VLOOKUP(A8504,'Componentes APUs'!$A$1:$D$14,2,0)</f>
        <v>Correa plastica y antiflama</v>
      </c>
      <c r="C8504" s="73"/>
      <c r="D8504" s="50" t="str">
        <f>VLOOKUP(A8504,'Componentes APUs'!$A$1:$D$14,3,0)</f>
        <v>U</v>
      </c>
      <c r="E8504" s="50">
        <f>SUM(C8481:C8486)</f>
        <v>4.5</v>
      </c>
      <c r="F8504" s="51">
        <f>VLOOKUP(A8504,'Componentes APUs'!$A$1:$D$14,4,0)</f>
        <v>3787.878787878788</v>
      </c>
      <c r="G8504" s="51">
        <f>ROUNDUP(F8504*(E8504/21)/E8468,0)</f>
        <v>2030</v>
      </c>
    </row>
    <row r="8505" spans="1:9" x14ac:dyDescent="0.25">
      <c r="A8505" s="50" t="s">
        <v>79</v>
      </c>
      <c r="B8505" s="72" t="str">
        <f>VLOOKUP(A8505,'Componentes APUs'!$A$1:$D$14,2,0)</f>
        <v>Gafas protectoras filtro UV</v>
      </c>
      <c r="C8505" s="73"/>
      <c r="D8505" s="50" t="str">
        <f>VLOOKUP(A8505,'Componentes APUs'!$A$1:$D$14,3,0)</f>
        <v>U</v>
      </c>
      <c r="E8505" s="50">
        <f>SUM(C8481:C8486)</f>
        <v>4.5</v>
      </c>
      <c r="F8505" s="51">
        <f>VLOOKUP(A8505,'Componentes APUs'!$A$1:$D$14,4,0)</f>
        <v>2777.7777777777778</v>
      </c>
      <c r="G8505" s="51">
        <f>ROUNDUP(F8505*(E8505/21)/E8468,0)</f>
        <v>1489</v>
      </c>
    </row>
    <row r="8506" spans="1:9" x14ac:dyDescent="0.25">
      <c r="A8506" s="69" t="s">
        <v>402</v>
      </c>
      <c r="B8506" s="72" t="str">
        <f>VLOOKUP(A8506,'Componentes APUs'!$A$1:$D$14,2,0)</f>
        <v>Bota de seguridad PVC dielectrica</v>
      </c>
      <c r="C8506" s="73"/>
      <c r="D8506" s="50" t="str">
        <f>VLOOKUP(A8506,'Componentes APUs'!$A$1:$D$14,3,0)</f>
        <v>Par</v>
      </c>
      <c r="E8506" s="50">
        <f>SUM(C8481:C8486)</f>
        <v>4.5</v>
      </c>
      <c r="F8506" s="51">
        <f>VLOOKUP(A8506,'Componentes APUs'!$A$1:$D$14,4,0)</f>
        <v>2916.6666666666665</v>
      </c>
      <c r="G8506" s="51">
        <f>ROUNDUP(F8506*(E8506/21)/E8468,0)</f>
        <v>1563</v>
      </c>
    </row>
    <row r="8507" spans="1:9" x14ac:dyDescent="0.25">
      <c r="A8507" s="50" t="s">
        <v>403</v>
      </c>
      <c r="B8507" s="72" t="str">
        <f>VLOOKUP(A8507,'Componentes APUs'!$A$1:$D$14,2,0)</f>
        <v>Capuchon</v>
      </c>
      <c r="C8507" s="73"/>
      <c r="D8507" s="50" t="str">
        <f>VLOOKUP(A8507,'Componentes APUs'!$A$1:$D$14,3,0)</f>
        <v>U</v>
      </c>
      <c r="E8507" s="50">
        <f>SUM(C8481:C8486)</f>
        <v>4.5</v>
      </c>
      <c r="F8507" s="51">
        <f>VLOOKUP(A8507,'Componentes APUs'!$A$1:$D$14,4,0)</f>
        <v>2525.2525252525252</v>
      </c>
      <c r="G8507" s="51">
        <f>ROUNDUP(F8507*(E8507/21)/E8468,0)</f>
        <v>1353</v>
      </c>
    </row>
    <row r="8508" spans="1:9" x14ac:dyDescent="0.25">
      <c r="A8508" s="69" t="s">
        <v>81</v>
      </c>
      <c r="B8508" s="72" t="str">
        <f>VLOOKUP(A8508,'Componentes APUs'!$A$1:$D$14,2,0)</f>
        <v>Guantes Protectores  - ingeniero reforzados</v>
      </c>
      <c r="C8508" s="73"/>
      <c r="D8508" s="50" t="str">
        <f>VLOOKUP(A8508,'Componentes APUs'!$A$1:$D$14,3,0)</f>
        <v>Par</v>
      </c>
      <c r="E8508" s="50">
        <f>C8483+C8484+C8486</f>
        <v>4</v>
      </c>
      <c r="F8508" s="51">
        <f>VLOOKUP(A8508,'Componentes APUs'!$A$1:$D$14,4,0)</f>
        <v>2525.2525252525252</v>
      </c>
      <c r="G8508" s="51">
        <f>ROUNDUP(F8508*(E8508/21)/E8468,0)</f>
        <v>1203</v>
      </c>
    </row>
    <row r="8509" spans="1:9" x14ac:dyDescent="0.25">
      <c r="A8509" s="50" t="s">
        <v>83</v>
      </c>
      <c r="B8509" s="72" t="str">
        <f>VLOOKUP(A8509,'Componentes APUs'!$A$1:$D$14,2,0)</f>
        <v>Impermeable (pantalon camisa)</v>
      </c>
      <c r="C8509" s="73"/>
      <c r="D8509" s="50" t="str">
        <f>VLOOKUP(A8509,'Componentes APUs'!$A$1:$D$14,3,0)</f>
        <v>U</v>
      </c>
      <c r="E8509" s="50">
        <f>SUM(C8481:C8486)</f>
        <v>4.5</v>
      </c>
      <c r="F8509" s="51">
        <f>VLOOKUP(A8509,'Componentes APUs'!$A$1:$D$14,4,0)</f>
        <v>3750</v>
      </c>
      <c r="G8509" s="51">
        <f>ROUNDUP(F8509*(E8509/21)/E8468,0)</f>
        <v>2009</v>
      </c>
    </row>
    <row r="8510" spans="1:9" x14ac:dyDescent="0.25">
      <c r="A8510" s="69" t="s">
        <v>85</v>
      </c>
      <c r="B8510" s="72" t="str">
        <f>VLOOKUP(A8510,'Componentes APUs'!$A$1:$D$14,2,0)</f>
        <v>Jean Dielectrico</v>
      </c>
      <c r="C8510" s="73"/>
      <c r="D8510" s="50" t="str">
        <f>VLOOKUP(A8510,'Componentes APUs'!$A$1:$D$14,3,0)</f>
        <v>U</v>
      </c>
      <c r="E8510" s="50">
        <f>SUM(C8481:C8486)</f>
        <v>4.5</v>
      </c>
      <c r="F8510" s="51">
        <f>VLOOKUP(A8510,'Componentes APUs'!$A$1:$D$14,4,0)</f>
        <v>7575.757575757576</v>
      </c>
      <c r="G8510" s="51">
        <f>ROUNDUP(F8510*(E8510/21)/E8468,0)</f>
        <v>4059</v>
      </c>
    </row>
    <row r="8511" spans="1:9" x14ac:dyDescent="0.25">
      <c r="A8511" s="50" t="s">
        <v>87</v>
      </c>
      <c r="B8511" s="72" t="str">
        <f>VLOOKUP(A8511,'Componentes APUs'!$A$1:$D$14,2,0)</f>
        <v>Casco dielectrico Tipo 2 Clase E con barboquejo</v>
      </c>
      <c r="C8511" s="73"/>
      <c r="D8511" s="50" t="str">
        <f>VLOOKUP(A8511,'Componentes APUs'!$A$1:$D$14,3,0)</f>
        <v>U</v>
      </c>
      <c r="E8511" s="53">
        <f>IF(A8483="MO-3",C8483,0)</f>
        <v>0</v>
      </c>
      <c r="F8511" s="51">
        <f>VLOOKUP(A8511,'Componentes APUs'!$A$1:$D$14,4,0)</f>
        <v>7500</v>
      </c>
      <c r="G8511" s="51">
        <f>ROUNDUP(F8511*(E8511/21)/E8468,0)</f>
        <v>0</v>
      </c>
    </row>
    <row r="8512" spans="1:9" x14ac:dyDescent="0.25">
      <c r="A8512" s="69" t="s">
        <v>89</v>
      </c>
      <c r="B8512" s="72" t="str">
        <f>VLOOKUP(A8512,'Componentes APUs'!$A$1:$D$14,2,0)</f>
        <v>Kit de rescate para trabajo en alturas</v>
      </c>
      <c r="C8512" s="73"/>
      <c r="D8512" s="50" t="str">
        <f>VLOOKUP(A8512,'Componentes APUs'!$A$1:$D$14,3,0)</f>
        <v>U</v>
      </c>
      <c r="E8512" s="50">
        <f>IF(AND(A8483="MO-3",C8483=2),1,0)</f>
        <v>0</v>
      </c>
      <c r="F8512" s="51">
        <f>VLOOKUP(A8512,'Componentes APUs'!$A$1:$D$14,4,0)</f>
        <v>37500</v>
      </c>
      <c r="G8512" s="51">
        <f>ROUNDUP(F8512*(E8512/21)/E8468,0)</f>
        <v>0</v>
      </c>
    </row>
    <row r="8513" spans="1:7" x14ac:dyDescent="0.25">
      <c r="A8513" s="219" t="s">
        <v>95</v>
      </c>
      <c r="B8513" s="219"/>
      <c r="C8513" s="219"/>
      <c r="D8513" s="219"/>
      <c r="E8513" s="219"/>
      <c r="F8513" s="219"/>
      <c r="G8513" s="52">
        <f>SUM(G8501:G8512)</f>
        <v>27736</v>
      </c>
    </row>
    <row r="8514" spans="1:7" x14ac:dyDescent="0.25">
      <c r="A8514" s="56"/>
      <c r="B8514" s="57"/>
      <c r="C8514" s="57"/>
      <c r="D8514" s="57"/>
      <c r="E8514" s="57"/>
      <c r="F8514" s="57"/>
      <c r="G8514" s="58"/>
    </row>
    <row r="8515" spans="1:7" x14ac:dyDescent="0.25">
      <c r="A8515" s="219" t="s">
        <v>96</v>
      </c>
      <c r="B8515" s="219"/>
      <c r="C8515" s="219"/>
      <c r="D8515" s="219"/>
      <c r="E8515" s="219"/>
      <c r="F8515" s="219"/>
      <c r="G8515" s="219"/>
    </row>
    <row r="8516" spans="1:7" x14ac:dyDescent="0.25">
      <c r="A8516" s="49" t="s">
        <v>35</v>
      </c>
      <c r="B8516" s="225" t="s">
        <v>36</v>
      </c>
      <c r="C8516" s="225"/>
      <c r="D8516" s="49" t="s">
        <v>37</v>
      </c>
      <c r="E8516" s="49" t="s">
        <v>38</v>
      </c>
      <c r="F8516" s="49" t="s">
        <v>39</v>
      </c>
      <c r="G8516" s="49" t="s">
        <v>40</v>
      </c>
    </row>
    <row r="8517" spans="1:7" x14ac:dyDescent="0.25">
      <c r="A8517" s="69" t="s">
        <v>97</v>
      </c>
      <c r="B8517" s="72" t="str">
        <f>VLOOKUP(A8517,'Componentes APUs'!$N$1:$Q$30,2,0)</f>
        <v>Camioneta</v>
      </c>
      <c r="C8517" s="73"/>
      <c r="D8517" s="70" t="str">
        <f>VLOOKUP(A8517,'Componentes APUs'!$N$1:$Q$30,3,0)</f>
        <v>U</v>
      </c>
      <c r="E8517" s="50">
        <v>1</v>
      </c>
      <c r="F8517" s="51">
        <f>VLOOKUP(A8517,'Componentes APUs'!$N$1:$Q$30,4,0)</f>
        <v>5500000</v>
      </c>
      <c r="G8517" s="51">
        <f>IFERROR(ROUNDUP(F8517*(E8517/21)/E8468,0),"-")</f>
        <v>654762</v>
      </c>
    </row>
    <row r="8518" spans="1:7" x14ac:dyDescent="0.25">
      <c r="A8518" s="50" t="s">
        <v>1473</v>
      </c>
      <c r="B8518" s="72" t="str">
        <f>VLOOKUP(A8518,'Componentes APUs'!$N$1:$Q$30,2,0)</f>
        <v>Concretera</v>
      </c>
      <c r="C8518" s="73"/>
      <c r="D8518" s="70" t="str">
        <f>VLOOKUP(A8518,'Componentes APUs'!$N$1:$Q$30,3,0)</f>
        <v>U</v>
      </c>
      <c r="E8518" s="50">
        <v>0</v>
      </c>
      <c r="F8518" s="51">
        <f>VLOOKUP(A8518,'Componentes APUs'!$N$1:$Q$30,4,0)</f>
        <v>550704</v>
      </c>
      <c r="G8518" s="51">
        <f>IFERROR(ROUNDUP(F8518*(E8518/21)/E8468,0),"-")</f>
        <v>0</v>
      </c>
    </row>
    <row r="8519" spans="1:7" x14ac:dyDescent="0.25">
      <c r="A8519" s="69" t="s">
        <v>1379</v>
      </c>
      <c r="B8519" s="72" t="str">
        <f>VLOOKUP(A8519,'Componentes APUs'!$N$1:$Q$30,2,0)</f>
        <v>Dumper de descarga Frontal 2T</v>
      </c>
      <c r="C8519" s="73"/>
      <c r="D8519" s="70" t="str">
        <f>VLOOKUP(A8519,'Componentes APUs'!$N$1:$Q$30,3,0)</f>
        <v>U</v>
      </c>
      <c r="E8519" s="50">
        <v>0</v>
      </c>
      <c r="F8519" s="51">
        <f>VLOOKUP(A8519,'Componentes APUs'!$N$1:$Q$30,4,0)</f>
        <v>4438716.24</v>
      </c>
      <c r="G8519" s="51">
        <f>IFERROR(ROUNDUP(F8519*(E8519/21)/E8468,0),"-")</f>
        <v>0</v>
      </c>
    </row>
    <row r="8520" spans="1:7" x14ac:dyDescent="0.25">
      <c r="A8520" s="50" t="s">
        <v>323</v>
      </c>
      <c r="B8520" s="72" t="str">
        <f>VLOOKUP(A8520,'Componentes APUs'!$N$1:$Q$30,2,0)</f>
        <v>Volqueta</v>
      </c>
      <c r="C8520" s="73"/>
      <c r="D8520" s="70" t="str">
        <f>VLOOKUP(A8520,'Componentes APUs'!$N$1:$Q$30,3,0)</f>
        <v>U</v>
      </c>
      <c r="E8520" s="50">
        <v>0</v>
      </c>
      <c r="F8520" s="51">
        <f>VLOOKUP(A8520,'Componentes APUs'!$N$1:$Q$30,4,0)</f>
        <v>14828184</v>
      </c>
      <c r="G8520" s="51">
        <f>IFERROR(ROUNDUP(F8520*(E8520/21)/E8468,0),"-")</f>
        <v>0</v>
      </c>
    </row>
    <row r="8521" spans="1:7" x14ac:dyDescent="0.25">
      <c r="A8521" s="69" t="s">
        <v>324</v>
      </c>
      <c r="B8521" s="72" t="str">
        <f>VLOOKUP(A8521,'Componentes APUs'!$N$1:$Q$30,2,0)</f>
        <v>Retroexcavadora</v>
      </c>
      <c r="C8521" s="73"/>
      <c r="D8521" s="70" t="str">
        <f>VLOOKUP(A8521,'Componentes APUs'!$N$1:$Q$30,3,0)</f>
        <v>U</v>
      </c>
      <c r="E8521" s="50">
        <v>0</v>
      </c>
      <c r="F8521" s="51">
        <f>VLOOKUP(A8521,'Componentes APUs'!$N$1:$Q$30,4,0)</f>
        <v>46030656</v>
      </c>
      <c r="G8521" s="51">
        <f>IFERROR(ROUNDUP(F8521*(E8521/21)/E8468,0),"-")</f>
        <v>0</v>
      </c>
    </row>
    <row r="8522" spans="1:7" x14ac:dyDescent="0.25">
      <c r="A8522" s="219" t="s">
        <v>99</v>
      </c>
      <c r="B8522" s="219"/>
      <c r="C8522" s="219"/>
      <c r="D8522" s="219"/>
      <c r="E8522" s="219"/>
      <c r="F8522" s="219"/>
      <c r="G8522" s="52">
        <f>SUM(G8517:G8521)</f>
        <v>654762</v>
      </c>
    </row>
    <row r="8523" spans="1:7" x14ac:dyDescent="0.25">
      <c r="A8523" s="56"/>
      <c r="B8523" s="57"/>
      <c r="C8523" s="57"/>
      <c r="D8523" s="57"/>
      <c r="E8523" s="57"/>
      <c r="F8523" s="57"/>
      <c r="G8523" s="58"/>
    </row>
    <row r="8524" spans="1:7" x14ac:dyDescent="0.25">
      <c r="A8524" s="219" t="s">
        <v>100</v>
      </c>
      <c r="B8524" s="219"/>
      <c r="C8524" s="219"/>
      <c r="D8524" s="219"/>
      <c r="E8524" s="219"/>
      <c r="F8524" s="219"/>
      <c r="G8524" s="52">
        <f>G8522+G8513+G8497+G8487+G8477</f>
        <v>5591242</v>
      </c>
    </row>
    <row r="8525" spans="1:7" x14ac:dyDescent="0.25">
      <c r="A8525" s="59"/>
      <c r="B8525" s="60"/>
      <c r="C8525" s="60"/>
      <c r="D8525" s="60"/>
      <c r="E8525" s="57"/>
      <c r="F8525" s="57"/>
      <c r="G8525" s="58"/>
    </row>
    <row r="8526" spans="1:7" x14ac:dyDescent="0.25">
      <c r="A8526" s="64"/>
      <c r="D8526" s="55"/>
      <c r="E8526" s="49" t="s">
        <v>25</v>
      </c>
      <c r="F8526" s="54">
        <v>0.15</v>
      </c>
      <c r="G8526" s="51">
        <f>G8524*F8526</f>
        <v>838686.29999999993</v>
      </c>
    </row>
    <row r="8527" spans="1:7" x14ac:dyDescent="0.25">
      <c r="A8527" s="64"/>
      <c r="D8527" s="55"/>
      <c r="E8527" s="49" t="s">
        <v>26</v>
      </c>
      <c r="F8527" s="54">
        <v>0.05</v>
      </c>
      <c r="G8527" s="51">
        <f>G8524*F8527</f>
        <v>279562.10000000003</v>
      </c>
    </row>
    <row r="8528" spans="1:7" x14ac:dyDescent="0.25">
      <c r="A8528" s="61"/>
      <c r="B8528" s="65"/>
      <c r="C8528" s="65"/>
      <c r="D8528" s="62"/>
      <c r="E8528" s="49" t="s">
        <v>27</v>
      </c>
      <c r="F8528" s="54">
        <v>0.05</v>
      </c>
      <c r="G8528" s="51">
        <f>G8524*F8528</f>
        <v>279562.10000000003</v>
      </c>
    </row>
    <row r="8529" spans="1:13" x14ac:dyDescent="0.25">
      <c r="A8529" s="61"/>
      <c r="B8529" s="62"/>
      <c r="C8529" s="62"/>
      <c r="D8529" s="62"/>
      <c r="E8529" s="62"/>
      <c r="F8529" s="62"/>
      <c r="G8529" s="63"/>
    </row>
    <row r="8530" spans="1:13" x14ac:dyDescent="0.25">
      <c r="A8530" s="219" t="s">
        <v>101</v>
      </c>
      <c r="B8530" s="219"/>
      <c r="C8530" s="219"/>
      <c r="D8530" s="219"/>
      <c r="E8530" s="219"/>
      <c r="F8530" s="219"/>
      <c r="G8530" s="52">
        <f>G8524+G8526+G8527+G8528</f>
        <v>6989052.4999999991</v>
      </c>
    </row>
    <row r="8531" spans="1:13" x14ac:dyDescent="0.25">
      <c r="A8531" s="59"/>
      <c r="B8531" s="60"/>
      <c r="C8531" s="60"/>
      <c r="D8531" s="60"/>
      <c r="E8531" s="57"/>
      <c r="F8531" s="57"/>
      <c r="G8531" s="58"/>
    </row>
    <row r="8532" spans="1:13" x14ac:dyDescent="0.25">
      <c r="A8532" s="64"/>
      <c r="D8532" s="55"/>
      <c r="E8532" s="49" t="s">
        <v>102</v>
      </c>
      <c r="F8532" s="49" t="s">
        <v>103</v>
      </c>
      <c r="G8532" s="51">
        <f>G8528*19%</f>
        <v>53116.799000000006</v>
      </c>
    </row>
    <row r="8533" spans="1:13" x14ac:dyDescent="0.25">
      <c r="A8533" s="61"/>
      <c r="B8533" s="62"/>
      <c r="C8533" s="62"/>
      <c r="D8533" s="62"/>
      <c r="E8533" s="57"/>
      <c r="F8533" s="57"/>
      <c r="G8533" s="58"/>
    </row>
    <row r="8534" spans="1:13" x14ac:dyDescent="0.25">
      <c r="A8534" s="219" t="s">
        <v>104</v>
      </c>
      <c r="B8534" s="219"/>
      <c r="C8534" s="219"/>
      <c r="D8534" s="219"/>
      <c r="E8534" s="219"/>
      <c r="F8534" s="219"/>
      <c r="G8534" s="52">
        <f>G8532+G8530</f>
        <v>7042169.2989999987</v>
      </c>
    </row>
    <row r="8536" spans="1:13" x14ac:dyDescent="0.25">
      <c r="A8536" s="74" t="s">
        <v>29</v>
      </c>
      <c r="B8536" s="226" t="s">
        <v>30</v>
      </c>
      <c r="C8536" s="226"/>
      <c r="D8536" s="74" t="s">
        <v>31</v>
      </c>
      <c r="E8536" s="74" t="s">
        <v>32</v>
      </c>
      <c r="F8536" s="74" t="s">
        <v>189</v>
      </c>
      <c r="G8536" s="74" t="s">
        <v>33</v>
      </c>
      <c r="H8536" s="105"/>
    </row>
    <row r="8537" spans="1:13" x14ac:dyDescent="0.25">
      <c r="A8537" s="50" t="str">
        <f>Presupuesto!B159</f>
        <v>136_OC</v>
      </c>
      <c r="B8537" s="229" t="e">
        <f>Presupuesto!C159</f>
        <v>#REF!</v>
      </c>
      <c r="C8537" s="230"/>
      <c r="D8537" s="50" t="s">
        <v>16</v>
      </c>
      <c r="E8537" s="53">
        <v>100</v>
      </c>
      <c r="F8537" s="50"/>
      <c r="G8537" s="51">
        <f>G8601</f>
        <v>36699.311000000002</v>
      </c>
      <c r="H8537" s="111"/>
    </row>
    <row r="8538" spans="1:13" x14ac:dyDescent="0.25">
      <c r="A8538" s="219" t="s">
        <v>34</v>
      </c>
      <c r="B8538" s="219"/>
      <c r="C8538" s="219"/>
      <c r="D8538" s="219"/>
      <c r="E8538" s="219"/>
      <c r="F8538" s="219"/>
      <c r="G8538" s="219"/>
    </row>
    <row r="8539" spans="1:13" ht="30.75" customHeight="1" x14ac:dyDescent="0.25">
      <c r="A8539" s="49" t="s">
        <v>35</v>
      </c>
      <c r="B8539" s="219" t="s">
        <v>36</v>
      </c>
      <c r="C8539" s="219"/>
      <c r="D8539" s="49" t="s">
        <v>37</v>
      </c>
      <c r="E8539" s="49" t="s">
        <v>38</v>
      </c>
      <c r="F8539" s="49" t="s">
        <v>39</v>
      </c>
      <c r="G8539" s="49" t="s">
        <v>40</v>
      </c>
      <c r="K8539" s="23"/>
      <c r="L8539" s="23"/>
    </row>
    <row r="8540" spans="1:13" x14ac:dyDescent="0.25">
      <c r="A8540" s="50" t="str">
        <f>Material!A346</f>
        <v>MA-345</v>
      </c>
      <c r="B8540" s="72" t="str">
        <f>IFERROR(VLOOKUP(A8540,Material!$A:$H,2,0),"-")</f>
        <v>CONCERTINA 45CM DIAMETRO MÁX</v>
      </c>
      <c r="C8540" s="76"/>
      <c r="D8540" s="50" t="str">
        <f>IFERROR(VLOOKUP(A8540,Material!$A:$H,4,0),"-")</f>
        <v>ML</v>
      </c>
      <c r="E8540" s="107">
        <v>1</v>
      </c>
      <c r="F8540" s="51">
        <f>IFERROR(VLOOKUP(A8540,Material!$A:$H,3,0),"-")</f>
        <v>20296.25</v>
      </c>
      <c r="G8540" s="51">
        <f>IFERROR(ROUNDUP(F8540*E8540,0),"-")</f>
        <v>20297</v>
      </c>
      <c r="H8540" s="112"/>
      <c r="I8540" s="110"/>
      <c r="J8540" s="113"/>
      <c r="K8540" s="114"/>
      <c r="L8540" s="115"/>
      <c r="M8540" s="115"/>
    </row>
    <row r="8541" spans="1:13" x14ac:dyDescent="0.25">
      <c r="A8541" s="50"/>
      <c r="B8541" s="72" t="str">
        <f>IFERROR(VLOOKUP(A8541,Material!$A:$H,2,0),"-")</f>
        <v>-</v>
      </c>
      <c r="C8541" s="76"/>
      <c r="D8541" s="50" t="str">
        <f>IFERROR(VLOOKUP(A8541,Material!$A:$H,4,0),"-")</f>
        <v>-</v>
      </c>
      <c r="E8541" s="107"/>
      <c r="F8541" s="51" t="str">
        <f>IFERROR(VLOOKUP(A8541,Material!$A:$H,3,0),"-")</f>
        <v>-</v>
      </c>
      <c r="G8541" s="51" t="str">
        <f>IFERROR(ROUNDUP(F8541*E8541,0),"-")</f>
        <v>-</v>
      </c>
      <c r="H8541" s="112"/>
      <c r="I8541" s="110"/>
      <c r="J8541" s="113"/>
      <c r="K8541" s="114"/>
      <c r="L8541" s="115"/>
      <c r="M8541" s="115"/>
    </row>
    <row r="8542" spans="1:13" x14ac:dyDescent="0.25">
      <c r="A8542" s="50"/>
      <c r="B8542" s="72" t="str">
        <f>IFERROR(VLOOKUP(A8542,Material!$A:$H,2,0),"-")</f>
        <v>-</v>
      </c>
      <c r="C8542" s="76"/>
      <c r="D8542" s="50" t="str">
        <f>IFERROR(VLOOKUP(A8542,Material!$A:$H,4,0),"-")</f>
        <v>-</v>
      </c>
      <c r="E8542" s="107"/>
      <c r="F8542" s="51" t="str">
        <f>IFERROR(VLOOKUP(A8542,Material!$A:$H,3,0),"-")</f>
        <v>-</v>
      </c>
      <c r="G8542" s="51" t="str">
        <f>IFERROR(ROUNDUP(F8542*E8542,0),"-")</f>
        <v>-</v>
      </c>
      <c r="H8542" s="112"/>
      <c r="I8542" s="110"/>
      <c r="J8542" s="113"/>
      <c r="K8542" s="114"/>
      <c r="L8542" s="115"/>
      <c r="M8542" s="115"/>
    </row>
    <row r="8543" spans="1:13" x14ac:dyDescent="0.25">
      <c r="A8543" s="219" t="s">
        <v>41</v>
      </c>
      <c r="B8543" s="219"/>
      <c r="C8543" s="219"/>
      <c r="D8543" s="219"/>
      <c r="E8543" s="219"/>
      <c r="F8543" s="219"/>
      <c r="G8543" s="52">
        <f>SUM(G8540:G8542)</f>
        <v>20297</v>
      </c>
      <c r="I8543" s="104"/>
    </row>
    <row r="8544" spans="1:13" x14ac:dyDescent="0.25">
      <c r="A8544" s="56"/>
      <c r="B8544" s="57"/>
      <c r="C8544" s="57"/>
      <c r="D8544" s="57"/>
      <c r="E8544" s="57"/>
      <c r="F8544" s="57"/>
      <c r="G8544" s="58"/>
    </row>
    <row r="8545" spans="1:9" x14ac:dyDescent="0.25">
      <c r="A8545" s="219" t="s">
        <v>42</v>
      </c>
      <c r="B8545" s="219"/>
      <c r="C8545" s="219"/>
      <c r="D8545" s="219"/>
      <c r="E8545" s="219"/>
      <c r="F8545" s="219"/>
      <c r="G8545" s="219"/>
    </row>
    <row r="8546" spans="1:9" x14ac:dyDescent="0.25">
      <c r="A8546" s="49" t="s">
        <v>35</v>
      </c>
      <c r="B8546" s="49" t="s">
        <v>36</v>
      </c>
      <c r="C8546" s="49" t="s">
        <v>38</v>
      </c>
      <c r="D8546" s="49" t="s">
        <v>43</v>
      </c>
      <c r="E8546" s="49" t="s">
        <v>44</v>
      </c>
      <c r="F8546" s="49" t="s">
        <v>45</v>
      </c>
      <c r="G8546" s="49" t="s">
        <v>40</v>
      </c>
    </row>
    <row r="8547" spans="1:9" x14ac:dyDescent="0.25">
      <c r="A8547" s="50" t="s">
        <v>319</v>
      </c>
      <c r="B8547" s="68" t="str">
        <f>VLOOKUP(A8547,'Componentes APUs'!$H$1:$L$25,2,0)</f>
        <v>Ingeniero Residente de Obra</v>
      </c>
      <c r="C8547" s="93">
        <v>0.25</v>
      </c>
      <c r="D8547" s="50">
        <f>VLOOKUP(A8547,'Componentes APUs'!$H$1:$L$25,3,0)</f>
        <v>4</v>
      </c>
      <c r="E8547" s="51">
        <f>VLOOKUP(A8547,'Componentes APUs'!$H$1:$L$25,4,0)</f>
        <v>271142.85714285716</v>
      </c>
      <c r="F8547" s="51">
        <f>VLOOKUP(A8547,'Componentes APUs'!$H$1:$L$25,5,0)</f>
        <v>162685.71428571429</v>
      </c>
      <c r="G8547" s="51">
        <f>ROUNDUP((E8547+F8547)*C8547/E8537,0)</f>
        <v>1085</v>
      </c>
      <c r="H8547" s="66"/>
    </row>
    <row r="8548" spans="1:9" x14ac:dyDescent="0.25">
      <c r="A8548" s="50" t="s">
        <v>320</v>
      </c>
      <c r="B8548" s="68" t="str">
        <f>VLOOKUP(A8548,'Componentes APUs'!$H$1:$L$25,2,0)</f>
        <v>Tecnico Supervisor</v>
      </c>
      <c r="C8548" s="93">
        <v>0</v>
      </c>
      <c r="D8548" s="50">
        <f>VLOOKUP(A8548,'Componentes APUs'!$H$1:$L$25,3,0)</f>
        <v>2.2999999999999998</v>
      </c>
      <c r="E8548" s="51">
        <f>VLOOKUP(A8548,'Componentes APUs'!$H$1:$L$25,4,0)</f>
        <v>155907.14285714284</v>
      </c>
      <c r="F8548" s="51">
        <f>VLOOKUP(A8548,'Componentes APUs'!$H$1:$L$25,5,0)</f>
        <v>93544.285714285696</v>
      </c>
      <c r="G8548" s="51">
        <f>ROUNDUP((E8548+F8548)*C8548/E8537,0)</f>
        <v>0</v>
      </c>
    </row>
    <row r="8549" spans="1:9" x14ac:dyDescent="0.25">
      <c r="A8549" s="50" t="s">
        <v>54</v>
      </c>
      <c r="B8549" s="68" t="str">
        <f>VLOOKUP(A8549,'Componentes APUs'!$H$1:$L$25,2,0)</f>
        <v>Maestro de obra civil</v>
      </c>
      <c r="C8549" s="93">
        <v>0</v>
      </c>
      <c r="D8549" s="50">
        <f>VLOOKUP(A8549,'Componentes APUs'!$H$1:$L$25,3,0)</f>
        <v>2.5</v>
      </c>
      <c r="E8549" s="51">
        <f>VLOOKUP(A8549,'Componentes APUs'!$H$1:$L$25,4,0)</f>
        <v>169464.28571428571</v>
      </c>
      <c r="F8549" s="51">
        <f>VLOOKUP(A8549,'Componentes APUs'!$H$1:$L$25,5,0)</f>
        <v>101678.57142857142</v>
      </c>
      <c r="G8549" s="51">
        <f>ROUNDUP((E8549+F8549)*C8549/E8537,0)</f>
        <v>0</v>
      </c>
    </row>
    <row r="8550" spans="1:9" x14ac:dyDescent="0.25">
      <c r="A8550" s="50" t="s">
        <v>1110</v>
      </c>
      <c r="B8550" s="68" t="str">
        <f>VLOOKUP(A8550,'Componentes APUs'!$H$1:$L$25,2,0)</f>
        <v>Oficial de Obra Civil</v>
      </c>
      <c r="C8550" s="93">
        <v>1</v>
      </c>
      <c r="D8550" s="50">
        <f>VLOOKUP(A8550,'Componentes APUs'!$H$1:$L$25,3,0)</f>
        <v>1.5</v>
      </c>
      <c r="E8550" s="51">
        <f>VLOOKUP(A8550,'Componentes APUs'!$H$1:$L$25,4,0)</f>
        <v>115964.28571428571</v>
      </c>
      <c r="F8550" s="51">
        <f>VLOOKUP(A8550,'Componentes APUs'!$H$1:$L$25,5,0)</f>
        <v>69578.57142857142</v>
      </c>
      <c r="G8550" s="51">
        <f>ROUNDUP((E8550+F8550)*C8550/E8537,0)</f>
        <v>1856</v>
      </c>
    </row>
    <row r="8551" spans="1:9" x14ac:dyDescent="0.25">
      <c r="A8551" s="50" t="s">
        <v>50</v>
      </c>
      <c r="B8551" s="68" t="str">
        <f>VLOOKUP(A8551,'Componentes APUs'!$H$1:$L$25,2,0)</f>
        <v>Profesional en SST</v>
      </c>
      <c r="C8551" s="93">
        <v>0.25</v>
      </c>
      <c r="D8551" s="50">
        <f>VLOOKUP(A8551,'Componentes APUs'!$H$1:$L$25,3,0)</f>
        <v>2.5</v>
      </c>
      <c r="E8551" s="51">
        <f>VLOOKUP(A8551,'Componentes APUs'!$H$1:$L$25,4,0)</f>
        <v>169464.28571428571</v>
      </c>
      <c r="F8551" s="51">
        <f>VLOOKUP(A8551,'Componentes APUs'!$H$1:$L$25,5,0)</f>
        <v>101678.57142857142</v>
      </c>
      <c r="G8551" s="51">
        <f>ROUNDUP((E8551+F8551)*C8551/E8537,0)</f>
        <v>678</v>
      </c>
    </row>
    <row r="8552" spans="1:9" x14ac:dyDescent="0.25">
      <c r="A8552" s="50" t="s">
        <v>1109</v>
      </c>
      <c r="B8552" s="68" t="str">
        <f>VLOOKUP(A8552,'Componentes APUs'!$H$1:$L$25,2,0)</f>
        <v>Ayudante de Obra Civil</v>
      </c>
      <c r="C8552" s="93">
        <v>2</v>
      </c>
      <c r="D8552" s="50">
        <f>VLOOKUP(A8552,'Componentes APUs'!$H$1:$L$25,3,0)</f>
        <v>1</v>
      </c>
      <c r="E8552" s="51">
        <f>VLOOKUP(A8552,'Componentes APUs'!$H$1:$L$25,4,0)</f>
        <v>77309.523809523816</v>
      </c>
      <c r="F8552" s="51">
        <f>VLOOKUP(A8552,'Componentes APUs'!$H$1:$L$25,5,0)</f>
        <v>46385.71428571429</v>
      </c>
      <c r="G8552" s="51">
        <f>ROUNDUP((E8552+F8552)*C8552/E8537,0)</f>
        <v>2474</v>
      </c>
    </row>
    <row r="8553" spans="1:9" x14ac:dyDescent="0.25">
      <c r="A8553" s="219" t="s">
        <v>56</v>
      </c>
      <c r="B8553" s="219"/>
      <c r="C8553" s="219"/>
      <c r="D8553" s="219"/>
      <c r="E8553" s="219"/>
      <c r="F8553" s="219"/>
      <c r="G8553" s="52">
        <f>SUM(G8547:G8552)</f>
        <v>6093</v>
      </c>
    </row>
    <row r="8554" spans="1:9" x14ac:dyDescent="0.25">
      <c r="A8554" s="56"/>
      <c r="B8554" s="57"/>
      <c r="C8554" s="57"/>
      <c r="D8554" s="57"/>
      <c r="E8554" s="57"/>
      <c r="F8554" s="57"/>
      <c r="G8554" s="58"/>
    </row>
    <row r="8555" spans="1:9" x14ac:dyDescent="0.25">
      <c r="A8555" s="219" t="s">
        <v>57</v>
      </c>
      <c r="B8555" s="219"/>
      <c r="C8555" s="219"/>
      <c r="D8555" s="219"/>
      <c r="E8555" s="219"/>
      <c r="F8555" s="219"/>
      <c r="G8555" s="219"/>
    </row>
    <row r="8556" spans="1:9" x14ac:dyDescent="0.25">
      <c r="A8556" s="49" t="s">
        <v>35</v>
      </c>
      <c r="B8556" s="219" t="s">
        <v>36</v>
      </c>
      <c r="C8556" s="219"/>
      <c r="D8556" s="49" t="s">
        <v>37</v>
      </c>
      <c r="E8556" s="49" t="s">
        <v>38</v>
      </c>
      <c r="F8556" s="49" t="s">
        <v>39</v>
      </c>
      <c r="G8556" s="49" t="s">
        <v>40</v>
      </c>
    </row>
    <row r="8557" spans="1:9" x14ac:dyDescent="0.25">
      <c r="A8557" s="50" t="s">
        <v>326</v>
      </c>
      <c r="B8557" s="220" t="str">
        <f>VLOOKUP(A8557,'Componentes APUs'!$S$1:$V$10,2,0)</f>
        <v>Juego Llaves</v>
      </c>
      <c r="C8557" s="220"/>
      <c r="D8557" s="50" t="s">
        <v>18</v>
      </c>
      <c r="E8557" s="50">
        <v>0</v>
      </c>
      <c r="F8557" s="51">
        <f>VLOOKUP(A8557,'Componentes APUs'!$S$1:$V$10,4,0)</f>
        <v>9167</v>
      </c>
      <c r="G8557" s="51">
        <f>ROUNDUP(F8557*((E8557/21)/E8537),0)</f>
        <v>0</v>
      </c>
      <c r="I8557" s="91"/>
    </row>
    <row r="8558" spans="1:9" x14ac:dyDescent="0.25">
      <c r="A8558" s="50" t="s">
        <v>58</v>
      </c>
      <c r="B8558" s="220" t="str">
        <f>VLOOKUP(A8558,'Componentes APUs'!$S$1:$V$10,2,0)</f>
        <v>Manila de servicio</v>
      </c>
      <c r="C8558" s="220"/>
      <c r="D8558" s="50" t="s">
        <v>18</v>
      </c>
      <c r="E8558" s="50">
        <v>0</v>
      </c>
      <c r="F8558" s="51">
        <f>VLOOKUP(A8558,'Componentes APUs'!$S$1:$V$10,4,0)</f>
        <v>2333</v>
      </c>
      <c r="G8558" s="51">
        <f>ROUNDUP(F8558*((E8558/21)/E8537),0)</f>
        <v>0</v>
      </c>
    </row>
    <row r="8559" spans="1:9" x14ac:dyDescent="0.25">
      <c r="A8559" s="50" t="s">
        <v>327</v>
      </c>
      <c r="B8559" s="220" t="str">
        <f>VLOOKUP(A8559,'Componentes APUs'!$S$1:$V$10,2,0)</f>
        <v>Tula portaherramientas</v>
      </c>
      <c r="C8559" s="220"/>
      <c r="D8559" s="50" t="s">
        <v>18</v>
      </c>
      <c r="E8559" s="50">
        <v>0</v>
      </c>
      <c r="F8559" s="51">
        <f>VLOOKUP(A8559,'Componentes APUs'!$S$1:$V$10,4,0)</f>
        <v>1250</v>
      </c>
      <c r="G8559" s="51">
        <f>ROUNDUP(F8559*((E8559/21)/E8537),0)</f>
        <v>0</v>
      </c>
    </row>
    <row r="8560" spans="1:9" x14ac:dyDescent="0.25">
      <c r="A8560" s="50" t="s">
        <v>60</v>
      </c>
      <c r="B8560" s="220" t="str">
        <f>VLOOKUP(A8560,'Componentes APUs'!$S$1:$V$10,2,0)</f>
        <v>Agarradoras</v>
      </c>
      <c r="C8560" s="220"/>
      <c r="D8560" s="50" t="s">
        <v>18</v>
      </c>
      <c r="E8560" s="50">
        <v>0</v>
      </c>
      <c r="F8560" s="51">
        <f>VLOOKUP(A8560,'Componentes APUs'!$S$1:$V$10,4,0)</f>
        <v>125000</v>
      </c>
      <c r="G8560" s="51">
        <f>ROUNDUP(F8560*((E8560/21)/E8537),0)</f>
        <v>0</v>
      </c>
    </row>
    <row r="8561" spans="1:9" x14ac:dyDescent="0.25">
      <c r="A8561" s="50" t="s">
        <v>62</v>
      </c>
      <c r="B8561" s="220" t="str">
        <f>VLOOKUP(A8561,'Componentes APUs'!$S$1:$V$10,2,0)</f>
        <v>Templadoras</v>
      </c>
      <c r="C8561" s="220"/>
      <c r="D8561" s="50" t="s">
        <v>18</v>
      </c>
      <c r="E8561" s="50">
        <v>0</v>
      </c>
      <c r="F8561" s="51">
        <f>VLOOKUP(A8561,'Componentes APUs'!$S$1:$V$10,4,0)</f>
        <v>250000</v>
      </c>
      <c r="G8561" s="51">
        <f>ROUNDUP(F8561*((E8561/21)/E8537),0)</f>
        <v>0</v>
      </c>
    </row>
    <row r="8562" spans="1:9" x14ac:dyDescent="0.25">
      <c r="A8562" s="50" t="s">
        <v>328</v>
      </c>
      <c r="B8562" s="220" t="str">
        <f>VLOOKUP(A8562,'Componentes APUs'!$S$1:$V$10,2,0)</f>
        <v>Herramienta Menor</v>
      </c>
      <c r="C8562" s="220"/>
      <c r="D8562" s="50" t="s">
        <v>18</v>
      </c>
      <c r="E8562" s="50">
        <v>1</v>
      </c>
      <c r="F8562" s="51">
        <f>VLOOKUP(A8562,'Componentes APUs'!$S$1:$V$10,4,0)</f>
        <v>75758</v>
      </c>
      <c r="G8562" s="51">
        <f>ROUNDUP(F8562*((E8562/21)/E8537),0)</f>
        <v>37</v>
      </c>
    </row>
    <row r="8563" spans="1:9" x14ac:dyDescent="0.25">
      <c r="A8563" s="219" t="s">
        <v>69</v>
      </c>
      <c r="B8563" s="219"/>
      <c r="C8563" s="219"/>
      <c r="D8563" s="219"/>
      <c r="E8563" s="219"/>
      <c r="F8563" s="219"/>
      <c r="G8563" s="52">
        <f>SUM(G8557:G8562)</f>
        <v>37</v>
      </c>
    </row>
    <row r="8564" spans="1:9" x14ac:dyDescent="0.25">
      <c r="A8564" s="56"/>
      <c r="B8564" s="57"/>
      <c r="C8564" s="57"/>
      <c r="D8564" s="57"/>
      <c r="E8564" s="57"/>
      <c r="F8564" s="57"/>
      <c r="G8564" s="58"/>
    </row>
    <row r="8565" spans="1:9" x14ac:dyDescent="0.25">
      <c r="A8565" s="219" t="s">
        <v>70</v>
      </c>
      <c r="B8565" s="219"/>
      <c r="C8565" s="219"/>
      <c r="D8565" s="219"/>
      <c r="E8565" s="219"/>
      <c r="F8565" s="219"/>
      <c r="G8565" s="219"/>
    </row>
    <row r="8566" spans="1:9" x14ac:dyDescent="0.25">
      <c r="A8566" s="49" t="s">
        <v>35</v>
      </c>
      <c r="B8566" s="219" t="s">
        <v>36</v>
      </c>
      <c r="C8566" s="219"/>
      <c r="D8566" s="49" t="s">
        <v>37</v>
      </c>
      <c r="E8566" s="49" t="s">
        <v>38</v>
      </c>
      <c r="F8566" s="49" t="s">
        <v>39</v>
      </c>
      <c r="G8566" s="49" t="s">
        <v>40</v>
      </c>
    </row>
    <row r="8567" spans="1:9" x14ac:dyDescent="0.25">
      <c r="A8567" s="50" t="s">
        <v>71</v>
      </c>
      <c r="B8567" s="71" t="str">
        <f>VLOOKUP(A8567,'Componentes APUs'!$A$1:$D$14,2,0)</f>
        <v>Camisa indigo sin partes metalicas</v>
      </c>
      <c r="C8567" s="71"/>
      <c r="D8567" s="50" t="str">
        <f>VLOOKUP(A8567,'Componentes APUs'!$A$1:$D$14,3,0)</f>
        <v>U</v>
      </c>
      <c r="E8567" s="50">
        <f>SUM(C8547:C8552)</f>
        <v>3.5</v>
      </c>
      <c r="F8567" s="51">
        <f>VLOOKUP(A8567,'Componentes APUs'!$A$1:$D$14,4,0)</f>
        <v>8585.8585858585866</v>
      </c>
      <c r="G8567" s="51">
        <f>ROUNDUP(F8567*(E8567/21)/E8537,0)</f>
        <v>15</v>
      </c>
      <c r="I8567" s="91"/>
    </row>
    <row r="8568" spans="1:9" x14ac:dyDescent="0.25">
      <c r="A8568" s="69" t="s">
        <v>73</v>
      </c>
      <c r="B8568" s="72" t="str">
        <f>VLOOKUP(A8568,'Componentes APUs'!$A$1:$D$14,2,0)</f>
        <v>Bota de seguridad dielectrica</v>
      </c>
      <c r="C8568" s="73"/>
      <c r="D8568" s="70" t="str">
        <f>VLOOKUP(A8568,'Componentes APUs'!$A$1:$D$14,3,0)</f>
        <v>Par</v>
      </c>
      <c r="E8568" s="50">
        <f>SUM(C8547:C8552)</f>
        <v>3.5</v>
      </c>
      <c r="F8568" s="51">
        <f>VLOOKUP(A8568,'Componentes APUs'!$A$1:$D$14,4,0)</f>
        <v>7500</v>
      </c>
      <c r="G8568" s="51">
        <f>ROUNDUP(F8568*(E8568/21)/E8537,0)</f>
        <v>13</v>
      </c>
    </row>
    <row r="8569" spans="1:9" x14ac:dyDescent="0.25">
      <c r="A8569" s="50" t="s">
        <v>76</v>
      </c>
      <c r="B8569" s="72" t="str">
        <f>VLOOKUP(A8569,'Componentes APUs'!$A$1:$D$14,2,0)</f>
        <v>Casco dielectrico Tipo 1 Clase E con barbuquejo</v>
      </c>
      <c r="C8569" s="73"/>
      <c r="D8569" s="50" t="str">
        <f>VLOOKUP(A8569,'Componentes APUs'!$A$1:$D$14,3,0)</f>
        <v>U</v>
      </c>
      <c r="E8569" s="50">
        <f>C8547+C8548+C8550+C8551+C8552+IF(A8549&lt;&gt;"MO-3",C8549,0)</f>
        <v>3.5</v>
      </c>
      <c r="F8569" s="51">
        <f>VLOOKUP(A8569,'Componentes APUs'!$A$1:$D$14,4,0)</f>
        <v>10101.010101010101</v>
      </c>
      <c r="G8569" s="51">
        <f>ROUNDUP(F8569*(E8569/21)/E8537,0)</f>
        <v>17</v>
      </c>
    </row>
    <row r="8570" spans="1:9" x14ac:dyDescent="0.25">
      <c r="A8570" s="69" t="s">
        <v>77</v>
      </c>
      <c r="B8570" s="72" t="str">
        <f>VLOOKUP(A8570,'Componentes APUs'!$A$1:$D$14,2,0)</f>
        <v>Correa plastica y antiflama</v>
      </c>
      <c r="C8570" s="73"/>
      <c r="D8570" s="50" t="str">
        <f>VLOOKUP(A8570,'Componentes APUs'!$A$1:$D$14,3,0)</f>
        <v>U</v>
      </c>
      <c r="E8570" s="50">
        <f>SUM(C8547:C8552)</f>
        <v>3.5</v>
      </c>
      <c r="F8570" s="51">
        <f>VLOOKUP(A8570,'Componentes APUs'!$A$1:$D$14,4,0)</f>
        <v>3787.878787878788</v>
      </c>
      <c r="G8570" s="51">
        <f>ROUNDUP(F8570*(E8570/21)/E8537,0)</f>
        <v>7</v>
      </c>
    </row>
    <row r="8571" spans="1:9" x14ac:dyDescent="0.25">
      <c r="A8571" s="50" t="s">
        <v>79</v>
      </c>
      <c r="B8571" s="72" t="str">
        <f>VLOOKUP(A8571,'Componentes APUs'!$A$1:$D$14,2,0)</f>
        <v>Gafas protectoras filtro UV</v>
      </c>
      <c r="C8571" s="73"/>
      <c r="D8571" s="50" t="str">
        <f>VLOOKUP(A8571,'Componentes APUs'!$A$1:$D$14,3,0)</f>
        <v>U</v>
      </c>
      <c r="E8571" s="50">
        <f>SUM(C8547:C8552)</f>
        <v>3.5</v>
      </c>
      <c r="F8571" s="51">
        <f>VLOOKUP(A8571,'Componentes APUs'!$A$1:$D$14,4,0)</f>
        <v>2777.7777777777778</v>
      </c>
      <c r="G8571" s="51">
        <f>ROUNDUP(F8571*(E8571/21)/E8537,0)</f>
        <v>5</v>
      </c>
    </row>
    <row r="8572" spans="1:9" x14ac:dyDescent="0.25">
      <c r="A8572" s="69" t="s">
        <v>402</v>
      </c>
      <c r="B8572" s="72" t="str">
        <f>VLOOKUP(A8572,'Componentes APUs'!$A$1:$D$14,2,0)</f>
        <v>Bota de seguridad PVC dielectrica</v>
      </c>
      <c r="C8572" s="73"/>
      <c r="D8572" s="50" t="str">
        <f>VLOOKUP(A8572,'Componentes APUs'!$A$1:$D$14,3,0)</f>
        <v>Par</v>
      </c>
      <c r="E8572" s="50">
        <f>SUM(C8547:C8552)</f>
        <v>3.5</v>
      </c>
      <c r="F8572" s="51">
        <f>VLOOKUP(A8572,'Componentes APUs'!$A$1:$D$14,4,0)</f>
        <v>2916.6666666666665</v>
      </c>
      <c r="G8572" s="51">
        <f>ROUNDUP(F8572*(E8572/21)/E8537,0)</f>
        <v>5</v>
      </c>
    </row>
    <row r="8573" spans="1:9" x14ac:dyDescent="0.25">
      <c r="A8573" s="50" t="s">
        <v>403</v>
      </c>
      <c r="B8573" s="72" t="str">
        <f>VLOOKUP(A8573,'Componentes APUs'!$A$1:$D$14,2,0)</f>
        <v>Capuchon</v>
      </c>
      <c r="C8573" s="73"/>
      <c r="D8573" s="50" t="str">
        <f>VLOOKUP(A8573,'Componentes APUs'!$A$1:$D$14,3,0)</f>
        <v>U</v>
      </c>
      <c r="E8573" s="50">
        <f>SUM(C8547:C8552)</f>
        <v>3.5</v>
      </c>
      <c r="F8573" s="51">
        <f>VLOOKUP(A8573,'Componentes APUs'!$A$1:$D$14,4,0)</f>
        <v>2525.2525252525252</v>
      </c>
      <c r="G8573" s="51">
        <f>ROUNDUP(F8573*(E8573/21)/E8537,0)</f>
        <v>5</v>
      </c>
    </row>
    <row r="8574" spans="1:9" x14ac:dyDescent="0.25">
      <c r="A8574" s="69" t="s">
        <v>81</v>
      </c>
      <c r="B8574" s="72" t="str">
        <f>VLOOKUP(A8574,'Componentes APUs'!$A$1:$D$14,2,0)</f>
        <v>Guantes Protectores  - ingeniero reforzados</v>
      </c>
      <c r="C8574" s="73"/>
      <c r="D8574" s="50" t="str">
        <f>VLOOKUP(A8574,'Componentes APUs'!$A$1:$D$14,3,0)</f>
        <v>Par</v>
      </c>
      <c r="E8574" s="50">
        <f>C8549+C8550+C8552</f>
        <v>3</v>
      </c>
      <c r="F8574" s="51">
        <f>VLOOKUP(A8574,'Componentes APUs'!$A$1:$D$14,4,0)</f>
        <v>2525.2525252525252</v>
      </c>
      <c r="G8574" s="51">
        <f>ROUNDUP(F8574*(E8574/21)/E8537,0)</f>
        <v>4</v>
      </c>
    </row>
    <row r="8575" spans="1:9" x14ac:dyDescent="0.25">
      <c r="A8575" s="50" t="s">
        <v>83</v>
      </c>
      <c r="B8575" s="72" t="str">
        <f>VLOOKUP(A8575,'Componentes APUs'!$A$1:$D$14,2,0)</f>
        <v>Impermeable (pantalon camisa)</v>
      </c>
      <c r="C8575" s="73"/>
      <c r="D8575" s="50" t="str">
        <f>VLOOKUP(A8575,'Componentes APUs'!$A$1:$D$14,3,0)</f>
        <v>U</v>
      </c>
      <c r="E8575" s="50">
        <f>SUM(C8547:C8552)</f>
        <v>3.5</v>
      </c>
      <c r="F8575" s="51">
        <f>VLOOKUP(A8575,'Componentes APUs'!$A$1:$D$14,4,0)</f>
        <v>3750</v>
      </c>
      <c r="G8575" s="51">
        <f>ROUNDUP(F8575*(E8575/21)/E8537,0)</f>
        <v>7</v>
      </c>
    </row>
    <row r="8576" spans="1:9" x14ac:dyDescent="0.25">
      <c r="A8576" s="69" t="s">
        <v>85</v>
      </c>
      <c r="B8576" s="72" t="str">
        <f>VLOOKUP(A8576,'Componentes APUs'!$A$1:$D$14,2,0)</f>
        <v>Jean Dielectrico</v>
      </c>
      <c r="C8576" s="73"/>
      <c r="D8576" s="50" t="str">
        <f>VLOOKUP(A8576,'Componentes APUs'!$A$1:$D$14,3,0)</f>
        <v>U</v>
      </c>
      <c r="E8576" s="50">
        <f>SUM(C8547:C8552)</f>
        <v>3.5</v>
      </c>
      <c r="F8576" s="51">
        <f>VLOOKUP(A8576,'Componentes APUs'!$A$1:$D$14,4,0)</f>
        <v>7575.757575757576</v>
      </c>
      <c r="G8576" s="51">
        <f>ROUNDUP(F8576*(E8576/21)/E8537,0)</f>
        <v>13</v>
      </c>
    </row>
    <row r="8577" spans="1:7" x14ac:dyDescent="0.25">
      <c r="A8577" s="50" t="s">
        <v>87</v>
      </c>
      <c r="B8577" s="72" t="str">
        <f>VLOOKUP(A8577,'Componentes APUs'!$A$1:$D$14,2,0)</f>
        <v>Casco dielectrico Tipo 2 Clase E con barboquejo</v>
      </c>
      <c r="C8577" s="73"/>
      <c r="D8577" s="50" t="str">
        <f>VLOOKUP(A8577,'Componentes APUs'!$A$1:$D$14,3,0)</f>
        <v>U</v>
      </c>
      <c r="E8577" s="53">
        <f>IF(A8549="MO-3",C8549,0)</f>
        <v>0</v>
      </c>
      <c r="F8577" s="51">
        <f>VLOOKUP(A8577,'Componentes APUs'!$A$1:$D$14,4,0)</f>
        <v>7500</v>
      </c>
      <c r="G8577" s="51">
        <f>ROUNDUP(F8577*(E8577/21)/E8537,0)</f>
        <v>0</v>
      </c>
    </row>
    <row r="8578" spans="1:7" x14ac:dyDescent="0.25">
      <c r="A8578" s="69" t="s">
        <v>89</v>
      </c>
      <c r="B8578" s="72" t="str">
        <f>VLOOKUP(A8578,'Componentes APUs'!$A$1:$D$14,2,0)</f>
        <v>Kit de rescate para trabajo en alturas</v>
      </c>
      <c r="C8578" s="73"/>
      <c r="D8578" s="50" t="str">
        <f>VLOOKUP(A8578,'Componentes APUs'!$A$1:$D$14,3,0)</f>
        <v>U</v>
      </c>
      <c r="E8578" s="50">
        <f>IF(AND(A8549="MO-3",C8549=2),1,0)</f>
        <v>0</v>
      </c>
      <c r="F8578" s="51">
        <f>VLOOKUP(A8578,'Componentes APUs'!$A$1:$D$14,4,0)</f>
        <v>37500</v>
      </c>
      <c r="G8578" s="51">
        <f>ROUNDUP(F8578*(E8578/21)/E8537,0)</f>
        <v>0</v>
      </c>
    </row>
    <row r="8579" spans="1:7" x14ac:dyDescent="0.25">
      <c r="A8579" s="50" t="s">
        <v>91</v>
      </c>
      <c r="B8579" s="72" t="str">
        <f>VLOOKUP(A8579,'Componentes APUs'!$A$1:$D$14,2,0)</f>
        <v>Equipo completo para trabajo en alturas con pretales (Arnes dielectrico, 1 mosqueton de seguridad, tie off dielectrico, eslinga de posicionamiento, juego de pretales)</v>
      </c>
      <c r="C8579" s="73"/>
      <c r="D8579" s="50" t="str">
        <f>VLOOKUP(A8579,'Componentes APUs'!$A$1:$D$14,3,0)</f>
        <v>U</v>
      </c>
      <c r="E8579" s="50">
        <f>IF(A8549="MO-3",C8549,0)</f>
        <v>0</v>
      </c>
      <c r="F8579" s="51">
        <f>VLOOKUP(A8579,'Componentes APUs'!$A$1:$D$14,4,0)</f>
        <v>26041.666666666668</v>
      </c>
      <c r="G8579" s="51">
        <f>ROUNDUP(F8579*(E8579/21)/E8537,0)</f>
        <v>0</v>
      </c>
    </row>
    <row r="8580" spans="1:7" x14ac:dyDescent="0.25">
      <c r="A8580" s="219" t="s">
        <v>95</v>
      </c>
      <c r="B8580" s="219"/>
      <c r="C8580" s="219"/>
      <c r="D8580" s="219"/>
      <c r="E8580" s="219"/>
      <c r="F8580" s="219"/>
      <c r="G8580" s="52">
        <f>SUM(G8567:G8579)</f>
        <v>91</v>
      </c>
    </row>
    <row r="8581" spans="1:7" x14ac:dyDescent="0.25">
      <c r="A8581" s="56"/>
      <c r="B8581" s="57"/>
      <c r="C8581" s="57"/>
      <c r="D8581" s="57"/>
      <c r="E8581" s="57"/>
      <c r="F8581" s="57"/>
      <c r="G8581" s="58"/>
    </row>
    <row r="8582" spans="1:7" x14ac:dyDescent="0.25">
      <c r="A8582" s="219" t="s">
        <v>96</v>
      </c>
      <c r="B8582" s="219"/>
      <c r="C8582" s="219"/>
      <c r="D8582" s="219"/>
      <c r="E8582" s="219"/>
      <c r="F8582" s="219"/>
      <c r="G8582" s="219"/>
    </row>
    <row r="8583" spans="1:7" x14ac:dyDescent="0.25">
      <c r="A8583" s="49" t="s">
        <v>35</v>
      </c>
      <c r="B8583" s="225" t="s">
        <v>36</v>
      </c>
      <c r="C8583" s="225"/>
      <c r="D8583" s="49" t="s">
        <v>37</v>
      </c>
      <c r="E8583" s="49" t="s">
        <v>38</v>
      </c>
      <c r="F8583" s="49" t="s">
        <v>39</v>
      </c>
      <c r="G8583" s="49" t="s">
        <v>40</v>
      </c>
    </row>
    <row r="8584" spans="1:7" x14ac:dyDescent="0.25">
      <c r="A8584" s="69" t="s">
        <v>97</v>
      </c>
      <c r="B8584" s="72" t="str">
        <f>VLOOKUP(A8584,'Componentes APUs'!$N$1:$Q$30,2,0)</f>
        <v>Camioneta</v>
      </c>
      <c r="C8584" s="73"/>
      <c r="D8584" s="70" t="str">
        <f>VLOOKUP(A8584,'Componentes APUs'!$N$1:$Q$30,3,0)</f>
        <v>U</v>
      </c>
      <c r="E8584" s="50">
        <v>1</v>
      </c>
      <c r="F8584" s="51">
        <f>VLOOKUP(A8584,'Componentes APUs'!$N$1:$Q$30,4,0)</f>
        <v>5500000</v>
      </c>
      <c r="G8584" s="51">
        <f>IFERROR(ROUNDUP(F8584*(E8584/21)/E8537,0),"-")</f>
        <v>2620</v>
      </c>
    </row>
    <row r="8585" spans="1:7" x14ac:dyDescent="0.25">
      <c r="A8585" s="50" t="s">
        <v>1473</v>
      </c>
      <c r="B8585" s="72" t="str">
        <f>VLOOKUP(A8585,'Componentes APUs'!$N$1:$Q$30,2,0)</f>
        <v>Concretera</v>
      </c>
      <c r="C8585" s="73"/>
      <c r="D8585" s="70" t="str">
        <f>VLOOKUP(A8585,'Componentes APUs'!$N$1:$Q$30,3,0)</f>
        <v>U</v>
      </c>
      <c r="E8585" s="50">
        <v>0</v>
      </c>
      <c r="F8585" s="51">
        <f>VLOOKUP(A8585,'Componentes APUs'!$N$1:$Q$30,4,0)</f>
        <v>550704</v>
      </c>
      <c r="G8585" s="51">
        <f>IFERROR(ROUNDUP(F8585*(E8585/21)/E8537,0),"-")</f>
        <v>0</v>
      </c>
    </row>
    <row r="8586" spans="1:7" x14ac:dyDescent="0.25">
      <c r="A8586" s="69" t="s">
        <v>1379</v>
      </c>
      <c r="B8586" s="72" t="str">
        <f>VLOOKUP(A8586,'Componentes APUs'!$N$1:$Q$30,2,0)</f>
        <v>Dumper de descarga Frontal 2T</v>
      </c>
      <c r="C8586" s="73"/>
      <c r="D8586" s="70" t="str">
        <f>VLOOKUP(A8586,'Componentes APUs'!$N$1:$Q$30,3,0)</f>
        <v>U</v>
      </c>
      <c r="E8586" s="50">
        <v>0</v>
      </c>
      <c r="F8586" s="51">
        <f>VLOOKUP(A8586,'Componentes APUs'!$N$1:$Q$30,4,0)</f>
        <v>4438716.24</v>
      </c>
      <c r="G8586" s="51">
        <f>IFERROR(ROUNDUP(F8586*(E8586/21)/E8537,0),"-")</f>
        <v>0</v>
      </c>
    </row>
    <row r="8587" spans="1:7" x14ac:dyDescent="0.25">
      <c r="A8587" s="50" t="s">
        <v>323</v>
      </c>
      <c r="B8587" s="72" t="str">
        <f>VLOOKUP(A8587,'Componentes APUs'!$N$1:$Q$30,2,0)</f>
        <v>Volqueta</v>
      </c>
      <c r="C8587" s="73"/>
      <c r="D8587" s="70" t="str">
        <f>VLOOKUP(A8587,'Componentes APUs'!$N$1:$Q$30,3,0)</f>
        <v>U</v>
      </c>
      <c r="E8587" s="50">
        <v>0</v>
      </c>
      <c r="F8587" s="51">
        <f>VLOOKUP(A8587,'Componentes APUs'!$N$1:$Q$30,4,0)</f>
        <v>14828184</v>
      </c>
      <c r="G8587" s="51">
        <f>IFERROR(ROUNDUP(F8587*(E8587/21)/E8537,0),"-")</f>
        <v>0</v>
      </c>
    </row>
    <row r="8588" spans="1:7" x14ac:dyDescent="0.25">
      <c r="A8588" s="69" t="s">
        <v>324</v>
      </c>
      <c r="B8588" s="72" t="str">
        <f>VLOOKUP(A8588,'Componentes APUs'!$N$1:$Q$30,2,0)</f>
        <v>Retroexcavadora</v>
      </c>
      <c r="C8588" s="73"/>
      <c r="D8588" s="70" t="str">
        <f>VLOOKUP(A8588,'Componentes APUs'!$N$1:$Q$30,3,0)</f>
        <v>U</v>
      </c>
      <c r="E8588" s="50">
        <v>0</v>
      </c>
      <c r="F8588" s="51">
        <f>VLOOKUP(A8588,'Componentes APUs'!$N$1:$Q$30,4,0)</f>
        <v>46030656</v>
      </c>
      <c r="G8588" s="51">
        <f>IFERROR(ROUNDUP(F8588*(E8588/21)/E8537,0),"-")</f>
        <v>0</v>
      </c>
    </row>
    <row r="8589" spans="1:7" x14ac:dyDescent="0.25">
      <c r="A8589" s="219" t="s">
        <v>99</v>
      </c>
      <c r="B8589" s="219"/>
      <c r="C8589" s="219"/>
      <c r="D8589" s="219"/>
      <c r="E8589" s="219"/>
      <c r="F8589" s="219"/>
      <c r="G8589" s="52">
        <f>SUM(G8584:G8588)</f>
        <v>2620</v>
      </c>
    </row>
    <row r="8590" spans="1:7" x14ac:dyDescent="0.25">
      <c r="A8590" s="56"/>
      <c r="B8590" s="57"/>
      <c r="C8590" s="57"/>
      <c r="D8590" s="57"/>
      <c r="E8590" s="57"/>
      <c r="F8590" s="57"/>
      <c r="G8590" s="58"/>
    </row>
    <row r="8591" spans="1:7" x14ac:dyDescent="0.25">
      <c r="A8591" s="219" t="s">
        <v>100</v>
      </c>
      <c r="B8591" s="219"/>
      <c r="C8591" s="219"/>
      <c r="D8591" s="219"/>
      <c r="E8591" s="219"/>
      <c r="F8591" s="219"/>
      <c r="G8591" s="52">
        <f>G8589+G8580+G8563+G8553+G8543</f>
        <v>29138</v>
      </c>
    </row>
    <row r="8592" spans="1:7" x14ac:dyDescent="0.25">
      <c r="A8592" s="59"/>
      <c r="B8592" s="60"/>
      <c r="C8592" s="60"/>
      <c r="D8592" s="60"/>
      <c r="E8592" s="57"/>
      <c r="F8592" s="57"/>
      <c r="G8592" s="58"/>
    </row>
    <row r="8593" spans="1:14" x14ac:dyDescent="0.25">
      <c r="A8593" s="64"/>
      <c r="D8593" s="55"/>
      <c r="E8593" s="49" t="s">
        <v>25</v>
      </c>
      <c r="F8593" s="54">
        <v>0.15</v>
      </c>
      <c r="G8593" s="51">
        <f>G8591*F8593</f>
        <v>4370.7</v>
      </c>
    </row>
    <row r="8594" spans="1:14" x14ac:dyDescent="0.25">
      <c r="A8594" s="64"/>
      <c r="D8594" s="55"/>
      <c r="E8594" s="49" t="s">
        <v>26</v>
      </c>
      <c r="F8594" s="54">
        <v>0.05</v>
      </c>
      <c r="G8594" s="51">
        <f>G8591*F8594</f>
        <v>1456.9</v>
      </c>
    </row>
    <row r="8595" spans="1:14" x14ac:dyDescent="0.25">
      <c r="A8595" s="61"/>
      <c r="B8595" s="65"/>
      <c r="C8595" s="65"/>
      <c r="D8595" s="62"/>
      <c r="E8595" s="49" t="s">
        <v>27</v>
      </c>
      <c r="F8595" s="54">
        <v>0.05</v>
      </c>
      <c r="G8595" s="51">
        <f>G8591*F8595</f>
        <v>1456.9</v>
      </c>
    </row>
    <row r="8596" spans="1:14" x14ac:dyDescent="0.25">
      <c r="A8596" s="61"/>
      <c r="B8596" s="62"/>
      <c r="C8596" s="62"/>
      <c r="D8596" s="62"/>
      <c r="E8596" s="62"/>
      <c r="F8596" s="62"/>
      <c r="G8596" s="63"/>
    </row>
    <row r="8597" spans="1:14" x14ac:dyDescent="0.25">
      <c r="A8597" s="219" t="s">
        <v>101</v>
      </c>
      <c r="B8597" s="219"/>
      <c r="C8597" s="219"/>
      <c r="D8597" s="219"/>
      <c r="E8597" s="219"/>
      <c r="F8597" s="219"/>
      <c r="G8597" s="52">
        <f>G8591+G8593+G8594+G8595</f>
        <v>36422.5</v>
      </c>
    </row>
    <row r="8598" spans="1:14" x14ac:dyDescent="0.25">
      <c r="A8598" s="59"/>
      <c r="B8598" s="60"/>
      <c r="C8598" s="60"/>
      <c r="D8598" s="60"/>
      <c r="E8598" s="57"/>
      <c r="F8598" s="57"/>
      <c r="G8598" s="58"/>
    </row>
    <row r="8599" spans="1:14" x14ac:dyDescent="0.25">
      <c r="A8599" s="64"/>
      <c r="D8599" s="55"/>
      <c r="E8599" s="49" t="s">
        <v>102</v>
      </c>
      <c r="F8599" s="49" t="s">
        <v>103</v>
      </c>
      <c r="G8599" s="51">
        <f>G8595*19%</f>
        <v>276.81100000000004</v>
      </c>
    </row>
    <row r="8600" spans="1:14" x14ac:dyDescent="0.25">
      <c r="A8600" s="61"/>
      <c r="B8600" s="62"/>
      <c r="C8600" s="62"/>
      <c r="D8600" s="62"/>
      <c r="E8600" s="57"/>
      <c r="F8600" s="57"/>
      <c r="G8600" s="58"/>
    </row>
    <row r="8601" spans="1:14" x14ac:dyDescent="0.25">
      <c r="A8601" s="219" t="s">
        <v>104</v>
      </c>
      <c r="B8601" s="219"/>
      <c r="C8601" s="219"/>
      <c r="D8601" s="219"/>
      <c r="E8601" s="219"/>
      <c r="F8601" s="219"/>
      <c r="G8601" s="52">
        <f>G8599+G8597</f>
        <v>36699.311000000002</v>
      </c>
    </row>
    <row r="8603" spans="1:14" x14ac:dyDescent="0.25">
      <c r="A8603" s="74" t="s">
        <v>29</v>
      </c>
      <c r="B8603" s="226" t="s">
        <v>30</v>
      </c>
      <c r="C8603" s="226"/>
      <c r="D8603" s="74" t="s">
        <v>31</v>
      </c>
      <c r="E8603" s="74" t="s">
        <v>32</v>
      </c>
      <c r="F8603" s="74" t="s">
        <v>189</v>
      </c>
      <c r="G8603" s="74" t="s">
        <v>33</v>
      </c>
      <c r="H8603" s="105"/>
    </row>
    <row r="8604" spans="1:14" ht="33" customHeight="1" x14ac:dyDescent="0.25">
      <c r="A8604" s="50" t="str">
        <f>Presupuesto!B160</f>
        <v>137_OC</v>
      </c>
      <c r="B8604" s="229" t="str">
        <f>Presupuesto!C160</f>
        <v>LEVANTE DE MURO EN BLOQUE VIBRADO DE 0.15 X 0.20 X 0.40 MTS, MORTERO DE PEGA 1:4</v>
      </c>
      <c r="C8604" s="230"/>
      <c r="D8604" s="50" t="s">
        <v>16</v>
      </c>
      <c r="E8604" s="53">
        <v>15</v>
      </c>
      <c r="F8604" s="50"/>
      <c r="G8604" s="51">
        <f>G8672</f>
        <v>168042.49</v>
      </c>
      <c r="H8604" s="111"/>
    </row>
    <row r="8605" spans="1:14" x14ac:dyDescent="0.25">
      <c r="A8605" s="219" t="s">
        <v>34</v>
      </c>
      <c r="B8605" s="219"/>
      <c r="C8605" s="219"/>
      <c r="D8605" s="219"/>
      <c r="E8605" s="219"/>
      <c r="F8605" s="219"/>
      <c r="G8605" s="219"/>
    </row>
    <row r="8606" spans="1:14" ht="30.75" customHeight="1" x14ac:dyDescent="0.25">
      <c r="A8606" s="49" t="s">
        <v>35</v>
      </c>
      <c r="B8606" s="219" t="s">
        <v>36</v>
      </c>
      <c r="C8606" s="219"/>
      <c r="D8606" s="49" t="s">
        <v>37</v>
      </c>
      <c r="E8606" s="49" t="s">
        <v>38</v>
      </c>
      <c r="F8606" s="49" t="s">
        <v>39</v>
      </c>
      <c r="G8606" s="49" t="s">
        <v>40</v>
      </c>
      <c r="K8606" s="23"/>
      <c r="L8606" s="23"/>
    </row>
    <row r="8607" spans="1:14" x14ac:dyDescent="0.25">
      <c r="A8607" s="50" t="str">
        <f>Material!A593</f>
        <v>MA-592</v>
      </c>
      <c r="B8607" s="72" t="str">
        <f>IFERROR(VLOOKUP(A8607,Material!$A:$H,2,0),"-")</f>
        <v>BLOQUE CEMENTO 15x20x40 cm</v>
      </c>
      <c r="C8607" s="76"/>
      <c r="D8607" s="50" t="str">
        <f>IFERROR(VLOOKUP(A8607,Material!$A:$H,4,0),"-")</f>
        <v>UN</v>
      </c>
      <c r="E8607" s="107">
        <v>12</v>
      </c>
      <c r="F8607" s="51">
        <f>IFERROR(VLOOKUP(A8607,Material!$A:$H,3,0),"-")</f>
        <v>5200</v>
      </c>
      <c r="G8607" s="51">
        <f t="shared" ref="G8607" si="125">IFERROR(ROUNDUP(F8607*E8607,0),"-")</f>
        <v>62400</v>
      </c>
      <c r="H8607" s="112"/>
      <c r="I8607" s="245"/>
      <c r="J8607" s="245"/>
      <c r="K8607" s="245"/>
      <c r="L8607" s="246"/>
      <c r="M8607" s="117"/>
      <c r="N8607" s="117"/>
    </row>
    <row r="8608" spans="1:14" x14ac:dyDescent="0.25">
      <c r="A8608" s="50" t="str">
        <f>Material!A594</f>
        <v>MA-593</v>
      </c>
      <c r="B8608" s="72" t="str">
        <f>IFERROR(VLOOKUP(A8608,Material!$A:$H,2,0),"-")</f>
        <v>BLOQUE CEMENTO ½ 15x20x20 cm</v>
      </c>
      <c r="C8608" s="76"/>
      <c r="D8608" s="50" t="str">
        <f>IFERROR(VLOOKUP(A8608,Material!$A:$H,4,0),"-")</f>
        <v>UN</v>
      </c>
      <c r="E8608" s="107">
        <v>2.5</v>
      </c>
      <c r="F8608" s="51">
        <f>IFERROR(VLOOKUP(A8608,Material!$A:$H,3,0),"-")</f>
        <v>3793.4</v>
      </c>
      <c r="G8608" s="51">
        <f t="shared" ref="G8608:G8613" si="126">IFERROR(ROUNDUP(F8608*E8608,0),"-")</f>
        <v>9484</v>
      </c>
      <c r="H8608" s="112"/>
      <c r="I8608" s="245"/>
      <c r="J8608" s="245"/>
      <c r="K8608" s="245"/>
      <c r="L8608" s="246"/>
      <c r="M8608" s="117"/>
      <c r="N8608" s="117"/>
    </row>
    <row r="8609" spans="1:14" x14ac:dyDescent="0.25">
      <c r="A8609" s="50" t="str">
        <f>Material!A595</f>
        <v>MA-594</v>
      </c>
      <c r="B8609" s="72" t="str">
        <f>IFERROR(VLOOKUP(A8609,Material!$A:$H,2,0),"-")</f>
        <v>MORTERO 1:3</v>
      </c>
      <c r="C8609" s="76"/>
      <c r="D8609" s="50" t="str">
        <f>IFERROR(VLOOKUP(A8609,Material!$A:$H,4,0),"-")</f>
        <v>M3</v>
      </c>
      <c r="E8609" s="107">
        <v>1.6500000000000001E-2</v>
      </c>
      <c r="F8609" s="51">
        <f>IFERROR(VLOOKUP(A8609,Material!$A:$H,3,0),"-")</f>
        <v>611297.70000000007</v>
      </c>
      <c r="G8609" s="51">
        <f t="shared" si="126"/>
        <v>10087</v>
      </c>
      <c r="H8609" s="112"/>
      <c r="I8609" s="116"/>
      <c r="J8609" s="118"/>
      <c r="K8609" s="241"/>
      <c r="L8609" s="241"/>
      <c r="M8609" s="118"/>
      <c r="N8609" s="118"/>
    </row>
    <row r="8610" spans="1:14" x14ac:dyDescent="0.25">
      <c r="A8610" s="50"/>
      <c r="B8610" s="72" t="str">
        <f>IFERROR(VLOOKUP(A8610,Material!$A:$H,2,0),"-")</f>
        <v>-</v>
      </c>
      <c r="C8610" s="76"/>
      <c r="D8610" s="50" t="str">
        <f>IFERROR(VLOOKUP(A8610,Material!$A:$H,4,0),"-")</f>
        <v>-</v>
      </c>
      <c r="E8610" s="107"/>
      <c r="F8610" s="51" t="str">
        <f>IFERROR(VLOOKUP(A8610,Material!$A:$H,3,0),"-")</f>
        <v>-</v>
      </c>
      <c r="G8610" s="51" t="str">
        <f t="shared" si="126"/>
        <v>-</v>
      </c>
      <c r="H8610" s="112"/>
      <c r="I8610" s="112"/>
      <c r="J8610" s="110"/>
      <c r="K8610" s="113"/>
      <c r="L8610" s="114"/>
      <c r="M8610" s="115"/>
      <c r="N8610" s="115"/>
    </row>
    <row r="8611" spans="1:14" x14ac:dyDescent="0.25">
      <c r="A8611" s="50"/>
      <c r="B8611" s="72" t="str">
        <f>IFERROR(VLOOKUP(A8611,Material!$A:$H,2,0),"-")</f>
        <v>-</v>
      </c>
      <c r="C8611" s="76"/>
      <c r="D8611" s="50" t="str">
        <f>IFERROR(VLOOKUP(A8611,Material!$A:$H,4,0),"-")</f>
        <v>-</v>
      </c>
      <c r="E8611" s="107"/>
      <c r="F8611" s="51" t="str">
        <f>IFERROR(VLOOKUP(A8611,Material!$A:$H,3,0),"-")</f>
        <v>-</v>
      </c>
      <c r="G8611" s="51" t="str">
        <f t="shared" si="126"/>
        <v>-</v>
      </c>
      <c r="H8611" s="112"/>
      <c r="I8611" s="112"/>
      <c r="J8611" s="110"/>
      <c r="K8611" s="113"/>
      <c r="L8611" s="114"/>
      <c r="M8611" s="115"/>
      <c r="N8611" s="115"/>
    </row>
    <row r="8612" spans="1:14" x14ac:dyDescent="0.25">
      <c r="A8612" s="50"/>
      <c r="B8612" s="72" t="str">
        <f>IFERROR(VLOOKUP(A8612,Material!$A:$H,2,0),"-")</f>
        <v>-</v>
      </c>
      <c r="C8612" s="76"/>
      <c r="D8612" s="50" t="str">
        <f>IFERROR(VLOOKUP(A8612,Material!$A:$H,4,0),"-")</f>
        <v>-</v>
      </c>
      <c r="E8612" s="107"/>
      <c r="F8612" s="51" t="str">
        <f>IFERROR(VLOOKUP(A8612,Material!$A:$H,3,0),"-")</f>
        <v>-</v>
      </c>
      <c r="G8612" s="51" t="str">
        <f t="shared" si="126"/>
        <v>-</v>
      </c>
      <c r="H8612" s="112"/>
      <c r="I8612" s="112"/>
      <c r="J8612" s="110"/>
      <c r="K8612" s="113"/>
      <c r="L8612" s="114"/>
      <c r="M8612" s="115"/>
      <c r="N8612" s="115"/>
    </row>
    <row r="8613" spans="1:14" x14ac:dyDescent="0.25">
      <c r="A8613" s="50"/>
      <c r="B8613" s="72" t="str">
        <f>IFERROR(VLOOKUP(A8613,Material!$A:$H,2,0),"-")</f>
        <v>-</v>
      </c>
      <c r="C8613" s="76"/>
      <c r="D8613" s="50" t="str">
        <f>IFERROR(VLOOKUP(A8613,Material!$A:$H,4,0),"-")</f>
        <v>-</v>
      </c>
      <c r="E8613" s="107"/>
      <c r="F8613" s="51" t="str">
        <f>IFERROR(VLOOKUP(A8613,Material!$A:$H,3,0),"-")</f>
        <v>-</v>
      </c>
      <c r="G8613" s="51" t="str">
        <f t="shared" si="126"/>
        <v>-</v>
      </c>
      <c r="H8613" s="112"/>
      <c r="I8613" s="112"/>
      <c r="J8613" s="110"/>
      <c r="K8613" s="113"/>
      <c r="L8613" s="114"/>
      <c r="M8613" s="115"/>
      <c r="N8613" s="115"/>
    </row>
    <row r="8614" spans="1:14" x14ac:dyDescent="0.25">
      <c r="A8614" s="219" t="s">
        <v>41</v>
      </c>
      <c r="B8614" s="219"/>
      <c r="C8614" s="219"/>
      <c r="D8614" s="219"/>
      <c r="E8614" s="219"/>
      <c r="F8614" s="219"/>
      <c r="G8614" s="52">
        <f>SUM(G8607:G8613)</f>
        <v>81971</v>
      </c>
      <c r="I8614" s="112"/>
      <c r="J8614" s="110"/>
      <c r="K8614" s="113"/>
      <c r="L8614" s="114"/>
      <c r="M8614" s="115"/>
      <c r="N8614" s="115"/>
    </row>
    <row r="8615" spans="1:14" x14ac:dyDescent="0.25">
      <c r="A8615" s="56"/>
      <c r="B8615" s="57"/>
      <c r="C8615" s="57"/>
      <c r="D8615" s="57"/>
      <c r="E8615" s="57"/>
      <c r="F8615" s="57"/>
      <c r="G8615" s="58"/>
      <c r="I8615" s="245"/>
      <c r="J8615" s="245"/>
      <c r="K8615" s="245"/>
      <c r="L8615" s="246"/>
      <c r="M8615" s="117"/>
      <c r="N8615" s="117"/>
    </row>
    <row r="8616" spans="1:14" x14ac:dyDescent="0.25">
      <c r="A8616" s="219" t="s">
        <v>42</v>
      </c>
      <c r="B8616" s="219"/>
      <c r="C8616" s="219"/>
      <c r="D8616" s="219"/>
      <c r="E8616" s="219"/>
      <c r="F8616" s="219"/>
      <c r="G8616" s="219"/>
      <c r="I8616" s="245"/>
      <c r="J8616" s="245"/>
      <c r="K8616" s="245"/>
      <c r="L8616" s="246"/>
      <c r="M8616" s="117"/>
      <c r="N8616" s="117"/>
    </row>
    <row r="8617" spans="1:14" x14ac:dyDescent="0.25">
      <c r="A8617" s="49" t="s">
        <v>35</v>
      </c>
      <c r="B8617" s="49" t="s">
        <v>36</v>
      </c>
      <c r="C8617" s="49" t="s">
        <v>38</v>
      </c>
      <c r="D8617" s="49" t="s">
        <v>43</v>
      </c>
      <c r="E8617" s="49" t="s">
        <v>44</v>
      </c>
      <c r="F8617" s="49" t="s">
        <v>45</v>
      </c>
      <c r="G8617" s="49" t="s">
        <v>40</v>
      </c>
      <c r="I8617" s="116"/>
      <c r="J8617" s="118"/>
      <c r="K8617" s="241"/>
      <c r="L8617" s="241"/>
      <c r="M8617" s="118"/>
      <c r="N8617" s="118"/>
    </row>
    <row r="8618" spans="1:14" x14ac:dyDescent="0.25">
      <c r="A8618" s="50" t="s">
        <v>319</v>
      </c>
      <c r="B8618" s="68" t="str">
        <f>VLOOKUP(A8618,'Componentes APUs'!$H$1:$L$25,2,0)</f>
        <v>Ingeniero Residente de Obra</v>
      </c>
      <c r="C8618" s="93">
        <v>0.25</v>
      </c>
      <c r="D8618" s="50">
        <f>VLOOKUP(A8618,'Componentes APUs'!$H$1:$L$25,3,0)</f>
        <v>4</v>
      </c>
      <c r="E8618" s="51">
        <f>VLOOKUP(A8618,'Componentes APUs'!$H$1:$L$25,4,0)</f>
        <v>271142.85714285716</v>
      </c>
      <c r="F8618" s="51">
        <f>VLOOKUP(A8618,'Componentes APUs'!$H$1:$L$25,5,0)</f>
        <v>162685.71428571429</v>
      </c>
      <c r="G8618" s="51">
        <f>ROUNDUP((E8618+F8618)*C8618/E8604,0)</f>
        <v>7231</v>
      </c>
      <c r="H8618" s="66"/>
      <c r="I8618" s="112"/>
      <c r="J8618" s="110"/>
      <c r="K8618" s="113"/>
      <c r="L8618" s="114"/>
      <c r="M8618" s="115"/>
      <c r="N8618" s="115"/>
    </row>
    <row r="8619" spans="1:14" x14ac:dyDescent="0.25">
      <c r="A8619" s="50" t="s">
        <v>320</v>
      </c>
      <c r="B8619" s="68" t="str">
        <f>VLOOKUP(A8619,'Componentes APUs'!$H$1:$L$25,2,0)</f>
        <v>Tecnico Supervisor</v>
      </c>
      <c r="C8619" s="93">
        <v>0</v>
      </c>
      <c r="D8619" s="50">
        <f>VLOOKUP(A8619,'Componentes APUs'!$H$1:$L$25,3,0)</f>
        <v>2.2999999999999998</v>
      </c>
      <c r="E8619" s="51">
        <f>VLOOKUP(A8619,'Componentes APUs'!$H$1:$L$25,4,0)</f>
        <v>155907.14285714284</v>
      </c>
      <c r="F8619" s="51">
        <f>VLOOKUP(A8619,'Componentes APUs'!$H$1:$L$25,5,0)</f>
        <v>93544.285714285696</v>
      </c>
      <c r="G8619" s="51">
        <f>ROUNDUP((E8619+F8619)*C8619/E8604,0)</f>
        <v>0</v>
      </c>
      <c r="I8619" s="112"/>
      <c r="J8619" s="110"/>
      <c r="K8619" s="113"/>
      <c r="L8619" s="114"/>
      <c r="M8619" s="115"/>
      <c r="N8619" s="115"/>
    </row>
    <row r="8620" spans="1:14" x14ac:dyDescent="0.25">
      <c r="A8620" s="50" t="s">
        <v>54</v>
      </c>
      <c r="B8620" s="68" t="str">
        <f>VLOOKUP(A8620,'Componentes APUs'!$H$1:$L$25,2,0)</f>
        <v>Maestro de obra civil</v>
      </c>
      <c r="C8620" s="93">
        <v>0</v>
      </c>
      <c r="D8620" s="50">
        <f>VLOOKUP(A8620,'Componentes APUs'!$H$1:$L$25,3,0)</f>
        <v>2.5</v>
      </c>
      <c r="E8620" s="51">
        <f>VLOOKUP(A8620,'Componentes APUs'!$H$1:$L$25,4,0)</f>
        <v>169464.28571428571</v>
      </c>
      <c r="F8620" s="51">
        <f>VLOOKUP(A8620,'Componentes APUs'!$H$1:$L$25,5,0)</f>
        <v>101678.57142857142</v>
      </c>
      <c r="G8620" s="51">
        <f>ROUNDUP((E8620+F8620)*C8620/E8604,0)</f>
        <v>0</v>
      </c>
      <c r="I8620" s="112"/>
      <c r="J8620" s="110"/>
      <c r="K8620" s="113"/>
      <c r="L8620" s="114"/>
      <c r="M8620" s="115"/>
      <c r="N8620" s="115"/>
    </row>
    <row r="8621" spans="1:14" x14ac:dyDescent="0.25">
      <c r="A8621" s="50" t="s">
        <v>1110</v>
      </c>
      <c r="B8621" s="68" t="str">
        <f>VLOOKUP(A8621,'Componentes APUs'!$H$1:$L$25,2,0)</f>
        <v>Oficial de Obra Civil</v>
      </c>
      <c r="C8621" s="93">
        <v>1</v>
      </c>
      <c r="D8621" s="50">
        <f>VLOOKUP(A8621,'Componentes APUs'!$H$1:$L$25,3,0)</f>
        <v>1.5</v>
      </c>
      <c r="E8621" s="51">
        <f>VLOOKUP(A8621,'Componentes APUs'!$H$1:$L$25,4,0)</f>
        <v>115964.28571428571</v>
      </c>
      <c r="F8621" s="51">
        <f>VLOOKUP(A8621,'Componentes APUs'!$H$1:$L$25,5,0)</f>
        <v>69578.57142857142</v>
      </c>
      <c r="G8621" s="51">
        <f>ROUNDUP((E8621+F8621)*C8621/E8604,0)</f>
        <v>12370</v>
      </c>
      <c r="I8621" s="112"/>
      <c r="J8621" s="110"/>
      <c r="K8621" s="113"/>
      <c r="L8621" s="114"/>
      <c r="M8621" s="115"/>
      <c r="N8621" s="115"/>
    </row>
    <row r="8622" spans="1:14" x14ac:dyDescent="0.25">
      <c r="A8622" s="50" t="s">
        <v>50</v>
      </c>
      <c r="B8622" s="68" t="str">
        <f>VLOOKUP(A8622,'Componentes APUs'!$H$1:$L$25,2,0)</f>
        <v>Profesional en SST</v>
      </c>
      <c r="C8622" s="93">
        <v>0.25</v>
      </c>
      <c r="D8622" s="50">
        <f>VLOOKUP(A8622,'Componentes APUs'!$H$1:$L$25,3,0)</f>
        <v>2.5</v>
      </c>
      <c r="E8622" s="51">
        <f>VLOOKUP(A8622,'Componentes APUs'!$H$1:$L$25,4,0)</f>
        <v>169464.28571428571</v>
      </c>
      <c r="F8622" s="51">
        <f>VLOOKUP(A8622,'Componentes APUs'!$H$1:$L$25,5,0)</f>
        <v>101678.57142857142</v>
      </c>
      <c r="G8622" s="51">
        <f>ROUNDUP((E8622+F8622)*C8622/E8604,0)</f>
        <v>4520</v>
      </c>
      <c r="I8622" s="112"/>
      <c r="J8622" s="110"/>
      <c r="K8622" s="113"/>
      <c r="L8622" s="114"/>
      <c r="M8622" s="115"/>
      <c r="N8622" s="115"/>
    </row>
    <row r="8623" spans="1:14" x14ac:dyDescent="0.25">
      <c r="A8623" s="50" t="s">
        <v>1109</v>
      </c>
      <c r="B8623" s="68" t="str">
        <f>VLOOKUP(A8623,'Componentes APUs'!$H$1:$L$25,2,0)</f>
        <v>Ayudante de Obra Civil</v>
      </c>
      <c r="C8623" s="93">
        <v>1</v>
      </c>
      <c r="D8623" s="50">
        <f>VLOOKUP(A8623,'Componentes APUs'!$H$1:$L$25,3,0)</f>
        <v>1</v>
      </c>
      <c r="E8623" s="51">
        <f>VLOOKUP(A8623,'Componentes APUs'!$H$1:$L$25,4,0)</f>
        <v>77309.523809523816</v>
      </c>
      <c r="F8623" s="51">
        <f>VLOOKUP(A8623,'Componentes APUs'!$H$1:$L$25,5,0)</f>
        <v>46385.71428571429</v>
      </c>
      <c r="G8623" s="51">
        <f>ROUNDUP((E8623+F8623)*C8623/E8604,0)</f>
        <v>8247</v>
      </c>
      <c r="I8623" s="112"/>
      <c r="J8623" s="110"/>
      <c r="K8623" s="113"/>
      <c r="L8623" s="114"/>
      <c r="M8623" s="115"/>
      <c r="N8623" s="115"/>
    </row>
    <row r="8624" spans="1:14" x14ac:dyDescent="0.25">
      <c r="A8624" s="219" t="s">
        <v>56</v>
      </c>
      <c r="B8624" s="219"/>
      <c r="C8624" s="219"/>
      <c r="D8624" s="219"/>
      <c r="E8624" s="219"/>
      <c r="F8624" s="219"/>
      <c r="G8624" s="52">
        <f>SUM(G8618:G8623)</f>
        <v>32368</v>
      </c>
      <c r="I8624" s="112"/>
      <c r="J8624" s="110"/>
      <c r="K8624" s="113"/>
      <c r="L8624" s="114"/>
      <c r="M8624" s="115"/>
      <c r="N8624" s="115"/>
    </row>
    <row r="8625" spans="1:9" x14ac:dyDescent="0.25">
      <c r="A8625" s="56"/>
      <c r="B8625" s="57"/>
      <c r="C8625" s="57"/>
      <c r="D8625" s="57"/>
      <c r="E8625" s="57"/>
      <c r="F8625" s="57"/>
      <c r="G8625" s="58"/>
    </row>
    <row r="8626" spans="1:9" x14ac:dyDescent="0.25">
      <c r="A8626" s="219" t="s">
        <v>57</v>
      </c>
      <c r="B8626" s="219"/>
      <c r="C8626" s="219"/>
      <c r="D8626" s="219"/>
      <c r="E8626" s="219"/>
      <c r="F8626" s="219"/>
      <c r="G8626" s="219"/>
    </row>
    <row r="8627" spans="1:9" x14ac:dyDescent="0.25">
      <c r="A8627" s="49" t="s">
        <v>35</v>
      </c>
      <c r="B8627" s="219" t="s">
        <v>36</v>
      </c>
      <c r="C8627" s="219"/>
      <c r="D8627" s="49" t="s">
        <v>37</v>
      </c>
      <c r="E8627" s="49" t="s">
        <v>38</v>
      </c>
      <c r="F8627" s="49" t="s">
        <v>39</v>
      </c>
      <c r="G8627" s="49" t="s">
        <v>40</v>
      </c>
    </row>
    <row r="8628" spans="1:9" x14ac:dyDescent="0.25">
      <c r="A8628" s="50" t="s">
        <v>326</v>
      </c>
      <c r="B8628" s="220" t="str">
        <f>VLOOKUP(A8628,'Componentes APUs'!$S$1:$V$10,2,0)</f>
        <v>Juego Llaves</v>
      </c>
      <c r="C8628" s="220"/>
      <c r="D8628" s="50" t="s">
        <v>18</v>
      </c>
      <c r="E8628" s="50">
        <v>0</v>
      </c>
      <c r="F8628" s="51">
        <f>VLOOKUP(A8628,'Componentes APUs'!$S$1:$V$10,4,0)</f>
        <v>9167</v>
      </c>
      <c r="G8628" s="51">
        <f>ROUNDUP(F8628*((E8628/21)/E8604),0)</f>
        <v>0</v>
      </c>
      <c r="I8628" s="91"/>
    </row>
    <row r="8629" spans="1:9" x14ac:dyDescent="0.25">
      <c r="A8629" s="50" t="s">
        <v>58</v>
      </c>
      <c r="B8629" s="220" t="str">
        <f>VLOOKUP(A8629,'Componentes APUs'!$S$1:$V$10,2,0)</f>
        <v>Manila de servicio</v>
      </c>
      <c r="C8629" s="220"/>
      <c r="D8629" s="50" t="s">
        <v>18</v>
      </c>
      <c r="E8629" s="50">
        <v>0</v>
      </c>
      <c r="F8629" s="51">
        <f>VLOOKUP(A8629,'Componentes APUs'!$S$1:$V$10,4,0)</f>
        <v>2333</v>
      </c>
      <c r="G8629" s="51">
        <f>ROUNDUP(F8629*((E8629/21)/E8604),0)</f>
        <v>0</v>
      </c>
    </row>
    <row r="8630" spans="1:9" x14ac:dyDescent="0.25">
      <c r="A8630" s="50" t="s">
        <v>327</v>
      </c>
      <c r="B8630" s="220" t="str">
        <f>VLOOKUP(A8630,'Componentes APUs'!$S$1:$V$10,2,0)</f>
        <v>Tula portaherramientas</v>
      </c>
      <c r="C8630" s="220"/>
      <c r="D8630" s="50" t="s">
        <v>18</v>
      </c>
      <c r="E8630" s="50">
        <v>0</v>
      </c>
      <c r="F8630" s="51">
        <f>VLOOKUP(A8630,'Componentes APUs'!$S$1:$V$10,4,0)</f>
        <v>1250</v>
      </c>
      <c r="G8630" s="51">
        <f>ROUNDUP(F8630*((E8630/21)/E8604),0)</f>
        <v>0</v>
      </c>
    </row>
    <row r="8631" spans="1:9" x14ac:dyDescent="0.25">
      <c r="A8631" s="50" t="s">
        <v>60</v>
      </c>
      <c r="B8631" s="220" t="str">
        <f>VLOOKUP(A8631,'Componentes APUs'!$S$1:$V$10,2,0)</f>
        <v>Agarradoras</v>
      </c>
      <c r="C8631" s="220"/>
      <c r="D8631" s="50" t="s">
        <v>18</v>
      </c>
      <c r="E8631" s="50">
        <v>0</v>
      </c>
      <c r="F8631" s="51">
        <f>VLOOKUP(A8631,'Componentes APUs'!$S$1:$V$10,4,0)</f>
        <v>125000</v>
      </c>
      <c r="G8631" s="51">
        <f>ROUNDUP(F8631*((E8631/21)/E8604),0)</f>
        <v>0</v>
      </c>
    </row>
    <row r="8632" spans="1:9" x14ac:dyDescent="0.25">
      <c r="A8632" s="50" t="s">
        <v>62</v>
      </c>
      <c r="B8632" s="220" t="str">
        <f>VLOOKUP(A8632,'Componentes APUs'!$S$1:$V$10,2,0)</f>
        <v>Templadoras</v>
      </c>
      <c r="C8632" s="220"/>
      <c r="D8632" s="50" t="s">
        <v>18</v>
      </c>
      <c r="E8632" s="50">
        <v>0</v>
      </c>
      <c r="F8632" s="51">
        <f>VLOOKUP(A8632,'Componentes APUs'!$S$1:$V$10,4,0)</f>
        <v>250000</v>
      </c>
      <c r="G8632" s="51">
        <f>ROUNDUP(F8632*((E8632/21)/E8604),0)</f>
        <v>0</v>
      </c>
    </row>
    <row r="8633" spans="1:9" x14ac:dyDescent="0.25">
      <c r="A8633" s="50" t="s">
        <v>328</v>
      </c>
      <c r="B8633" s="220" t="str">
        <f>VLOOKUP(A8633,'Componentes APUs'!$S$1:$V$10,2,0)</f>
        <v>Herramienta Menor</v>
      </c>
      <c r="C8633" s="220"/>
      <c r="D8633" s="50" t="s">
        <v>18</v>
      </c>
      <c r="E8633" s="50">
        <v>5</v>
      </c>
      <c r="F8633" s="51">
        <f>VLOOKUP(A8633,'Componentes APUs'!$S$1:$V$10,4,0)</f>
        <v>75758</v>
      </c>
      <c r="G8633" s="51">
        <f>ROUNDUP(F8633*((E8633/21)/E8604),0)</f>
        <v>1203</v>
      </c>
    </row>
    <row r="8634" spans="1:9" x14ac:dyDescent="0.25">
      <c r="A8634" s="219" t="s">
        <v>69</v>
      </c>
      <c r="B8634" s="219"/>
      <c r="C8634" s="219"/>
      <c r="D8634" s="219"/>
      <c r="E8634" s="219"/>
      <c r="F8634" s="219"/>
      <c r="G8634" s="52">
        <f>SUM(G8628:G8633)</f>
        <v>1203</v>
      </c>
    </row>
    <row r="8635" spans="1:9" x14ac:dyDescent="0.25">
      <c r="A8635" s="56"/>
      <c r="B8635" s="57"/>
      <c r="C8635" s="57"/>
      <c r="D8635" s="57"/>
      <c r="E8635" s="57"/>
      <c r="F8635" s="57"/>
      <c r="G8635" s="58"/>
    </row>
    <row r="8636" spans="1:9" x14ac:dyDescent="0.25">
      <c r="A8636" s="219" t="s">
        <v>70</v>
      </c>
      <c r="B8636" s="219"/>
      <c r="C8636" s="219"/>
      <c r="D8636" s="219"/>
      <c r="E8636" s="219"/>
      <c r="F8636" s="219"/>
      <c r="G8636" s="219"/>
    </row>
    <row r="8637" spans="1:9" x14ac:dyDescent="0.25">
      <c r="A8637" s="49" t="s">
        <v>35</v>
      </c>
      <c r="B8637" s="219" t="s">
        <v>36</v>
      </c>
      <c r="C8637" s="219"/>
      <c r="D8637" s="49" t="s">
        <v>37</v>
      </c>
      <c r="E8637" s="49" t="s">
        <v>38</v>
      </c>
      <c r="F8637" s="49" t="s">
        <v>39</v>
      </c>
      <c r="G8637" s="49" t="s">
        <v>40</v>
      </c>
    </row>
    <row r="8638" spans="1:9" x14ac:dyDescent="0.25">
      <c r="A8638" s="50" t="s">
        <v>71</v>
      </c>
      <c r="B8638" s="71" t="str">
        <f>VLOOKUP(A8638,'Componentes APUs'!$A$1:$D$14,2,0)</f>
        <v>Camisa indigo sin partes metalicas</v>
      </c>
      <c r="C8638" s="71"/>
      <c r="D8638" s="50" t="str">
        <f>VLOOKUP(A8638,'Componentes APUs'!$A$1:$D$14,3,0)</f>
        <v>U</v>
      </c>
      <c r="E8638" s="50">
        <f>SUM(C8618:C8623)</f>
        <v>2.5</v>
      </c>
      <c r="F8638" s="51">
        <f>VLOOKUP(A8638,'Componentes APUs'!$A$1:$D$14,4,0)</f>
        <v>8585.8585858585866</v>
      </c>
      <c r="G8638" s="51">
        <f>ROUNDUP(F8638*(E8638/21)/E8604,0)</f>
        <v>69</v>
      </c>
      <c r="I8638" s="91"/>
    </row>
    <row r="8639" spans="1:9" x14ac:dyDescent="0.25">
      <c r="A8639" s="69" t="s">
        <v>73</v>
      </c>
      <c r="B8639" s="72" t="str">
        <f>VLOOKUP(A8639,'Componentes APUs'!$A$1:$D$14,2,0)</f>
        <v>Bota de seguridad dielectrica</v>
      </c>
      <c r="C8639" s="73"/>
      <c r="D8639" s="70" t="str">
        <f>VLOOKUP(A8639,'Componentes APUs'!$A$1:$D$14,3,0)</f>
        <v>Par</v>
      </c>
      <c r="E8639" s="50">
        <f>SUM(C8618:C8623)</f>
        <v>2.5</v>
      </c>
      <c r="F8639" s="51">
        <f>VLOOKUP(A8639,'Componentes APUs'!$A$1:$D$14,4,0)</f>
        <v>7500</v>
      </c>
      <c r="G8639" s="51">
        <f>ROUNDUP(F8639*(E8639/21)/E8604,0)</f>
        <v>60</v>
      </c>
    </row>
    <row r="8640" spans="1:9" x14ac:dyDescent="0.25">
      <c r="A8640" s="50" t="s">
        <v>76</v>
      </c>
      <c r="B8640" s="72" t="str">
        <f>VLOOKUP(A8640,'Componentes APUs'!$A$1:$D$14,2,0)</f>
        <v>Casco dielectrico Tipo 1 Clase E con barbuquejo</v>
      </c>
      <c r="C8640" s="73"/>
      <c r="D8640" s="50" t="str">
        <f>VLOOKUP(A8640,'Componentes APUs'!$A$1:$D$14,3,0)</f>
        <v>U</v>
      </c>
      <c r="E8640" s="50">
        <f>C8618+C8619+C8621+C8622+C8623+IF(A8620&lt;&gt;"MO-3",C8620,0)</f>
        <v>2.5</v>
      </c>
      <c r="F8640" s="51">
        <f>VLOOKUP(A8640,'Componentes APUs'!$A$1:$D$14,4,0)</f>
        <v>10101.010101010101</v>
      </c>
      <c r="G8640" s="51">
        <f>ROUNDUP(F8640*(E8640/21)/E8604,0)</f>
        <v>81</v>
      </c>
    </row>
    <row r="8641" spans="1:7" x14ac:dyDescent="0.25">
      <c r="A8641" s="69" t="s">
        <v>77</v>
      </c>
      <c r="B8641" s="72" t="str">
        <f>VLOOKUP(A8641,'Componentes APUs'!$A$1:$D$14,2,0)</f>
        <v>Correa plastica y antiflama</v>
      </c>
      <c r="C8641" s="73"/>
      <c r="D8641" s="50" t="str">
        <f>VLOOKUP(A8641,'Componentes APUs'!$A$1:$D$14,3,0)</f>
        <v>U</v>
      </c>
      <c r="E8641" s="50">
        <f>SUM(C8618:C8623)</f>
        <v>2.5</v>
      </c>
      <c r="F8641" s="51">
        <f>VLOOKUP(A8641,'Componentes APUs'!$A$1:$D$14,4,0)</f>
        <v>3787.878787878788</v>
      </c>
      <c r="G8641" s="51">
        <f>ROUNDUP(F8641*(E8641/21)/E8604,0)</f>
        <v>31</v>
      </c>
    </row>
    <row r="8642" spans="1:7" x14ac:dyDescent="0.25">
      <c r="A8642" s="50" t="s">
        <v>79</v>
      </c>
      <c r="B8642" s="72" t="str">
        <f>VLOOKUP(A8642,'Componentes APUs'!$A$1:$D$14,2,0)</f>
        <v>Gafas protectoras filtro UV</v>
      </c>
      <c r="C8642" s="73"/>
      <c r="D8642" s="50" t="str">
        <f>VLOOKUP(A8642,'Componentes APUs'!$A$1:$D$14,3,0)</f>
        <v>U</v>
      </c>
      <c r="E8642" s="50">
        <f>SUM(C8618:C8623)</f>
        <v>2.5</v>
      </c>
      <c r="F8642" s="51">
        <f>VLOOKUP(A8642,'Componentes APUs'!$A$1:$D$14,4,0)</f>
        <v>2777.7777777777778</v>
      </c>
      <c r="G8642" s="51">
        <f>ROUNDUP(F8642*(E8642/21)/E8604,0)</f>
        <v>23</v>
      </c>
    </row>
    <row r="8643" spans="1:7" x14ac:dyDescent="0.25">
      <c r="A8643" s="69" t="s">
        <v>402</v>
      </c>
      <c r="B8643" s="72" t="str">
        <f>VLOOKUP(A8643,'Componentes APUs'!$A$1:$D$14,2,0)</f>
        <v>Bota de seguridad PVC dielectrica</v>
      </c>
      <c r="C8643" s="73"/>
      <c r="D8643" s="50" t="str">
        <f>VLOOKUP(A8643,'Componentes APUs'!$A$1:$D$14,3,0)</f>
        <v>Par</v>
      </c>
      <c r="E8643" s="50">
        <f>SUM(C8618:C8623)</f>
        <v>2.5</v>
      </c>
      <c r="F8643" s="51">
        <f>VLOOKUP(A8643,'Componentes APUs'!$A$1:$D$14,4,0)</f>
        <v>2916.6666666666665</v>
      </c>
      <c r="G8643" s="51">
        <f>ROUNDUP(F8643*(E8643/21)/E8604,0)</f>
        <v>24</v>
      </c>
    </row>
    <row r="8644" spans="1:7" x14ac:dyDescent="0.25">
      <c r="A8644" s="50" t="s">
        <v>403</v>
      </c>
      <c r="B8644" s="72" t="str">
        <f>VLOOKUP(A8644,'Componentes APUs'!$A$1:$D$14,2,0)</f>
        <v>Capuchon</v>
      </c>
      <c r="C8644" s="73"/>
      <c r="D8644" s="50" t="str">
        <f>VLOOKUP(A8644,'Componentes APUs'!$A$1:$D$14,3,0)</f>
        <v>U</v>
      </c>
      <c r="E8644" s="50">
        <f>SUM(C8618:C8623)</f>
        <v>2.5</v>
      </c>
      <c r="F8644" s="51">
        <f>VLOOKUP(A8644,'Componentes APUs'!$A$1:$D$14,4,0)</f>
        <v>2525.2525252525252</v>
      </c>
      <c r="G8644" s="51">
        <f>ROUNDUP(F8644*(E8644/21)/E8604,0)</f>
        <v>21</v>
      </c>
    </row>
    <row r="8645" spans="1:7" x14ac:dyDescent="0.25">
      <c r="A8645" s="69" t="s">
        <v>81</v>
      </c>
      <c r="B8645" s="72" t="str">
        <f>VLOOKUP(A8645,'Componentes APUs'!$A$1:$D$14,2,0)</f>
        <v>Guantes Protectores  - ingeniero reforzados</v>
      </c>
      <c r="C8645" s="73"/>
      <c r="D8645" s="50" t="str">
        <f>VLOOKUP(A8645,'Componentes APUs'!$A$1:$D$14,3,0)</f>
        <v>Par</v>
      </c>
      <c r="E8645" s="50">
        <f>C8620+C8621+C8623</f>
        <v>2</v>
      </c>
      <c r="F8645" s="51">
        <f>VLOOKUP(A8645,'Componentes APUs'!$A$1:$D$14,4,0)</f>
        <v>2525.2525252525252</v>
      </c>
      <c r="G8645" s="51">
        <f>ROUNDUP(F8645*(E8645/21)/E8604,0)</f>
        <v>17</v>
      </c>
    </row>
    <row r="8646" spans="1:7" x14ac:dyDescent="0.25">
      <c r="A8646" s="50" t="s">
        <v>83</v>
      </c>
      <c r="B8646" s="72" t="str">
        <f>VLOOKUP(A8646,'Componentes APUs'!$A$1:$D$14,2,0)</f>
        <v>Impermeable (pantalon camisa)</v>
      </c>
      <c r="C8646" s="73"/>
      <c r="D8646" s="50" t="str">
        <f>VLOOKUP(A8646,'Componentes APUs'!$A$1:$D$14,3,0)</f>
        <v>U</v>
      </c>
      <c r="E8646" s="50">
        <f>SUM(C8618:C8623)</f>
        <v>2.5</v>
      </c>
      <c r="F8646" s="51">
        <f>VLOOKUP(A8646,'Componentes APUs'!$A$1:$D$14,4,0)</f>
        <v>3750</v>
      </c>
      <c r="G8646" s="51">
        <f>ROUNDUP(F8646*(E8646/21)/E8604,0)</f>
        <v>30</v>
      </c>
    </row>
    <row r="8647" spans="1:7" x14ac:dyDescent="0.25">
      <c r="A8647" s="69" t="s">
        <v>85</v>
      </c>
      <c r="B8647" s="72" t="str">
        <f>VLOOKUP(A8647,'Componentes APUs'!$A$1:$D$14,2,0)</f>
        <v>Jean Dielectrico</v>
      </c>
      <c r="C8647" s="73"/>
      <c r="D8647" s="50" t="str">
        <f>VLOOKUP(A8647,'Componentes APUs'!$A$1:$D$14,3,0)</f>
        <v>U</v>
      </c>
      <c r="E8647" s="50">
        <f>SUM(C8618:C8623)</f>
        <v>2.5</v>
      </c>
      <c r="F8647" s="51">
        <f>VLOOKUP(A8647,'Componentes APUs'!$A$1:$D$14,4,0)</f>
        <v>7575.757575757576</v>
      </c>
      <c r="G8647" s="51">
        <f>ROUNDUP(F8647*(E8647/21)/E8604,0)</f>
        <v>61</v>
      </c>
    </row>
    <row r="8648" spans="1:7" x14ac:dyDescent="0.25">
      <c r="A8648" s="50" t="s">
        <v>87</v>
      </c>
      <c r="B8648" s="72" t="str">
        <f>VLOOKUP(A8648,'Componentes APUs'!$A$1:$D$14,2,0)</f>
        <v>Casco dielectrico Tipo 2 Clase E con barboquejo</v>
      </c>
      <c r="C8648" s="73"/>
      <c r="D8648" s="50" t="str">
        <f>VLOOKUP(A8648,'Componentes APUs'!$A$1:$D$14,3,0)</f>
        <v>U</v>
      </c>
      <c r="E8648" s="53">
        <f>IF(A8620="MO-3",C8620,0)</f>
        <v>0</v>
      </c>
      <c r="F8648" s="51">
        <f>VLOOKUP(A8648,'Componentes APUs'!$A$1:$D$14,4,0)</f>
        <v>7500</v>
      </c>
      <c r="G8648" s="51">
        <f>ROUNDUP(F8648*(E8648/21)/E8604,0)</f>
        <v>0</v>
      </c>
    </row>
    <row r="8649" spans="1:7" x14ac:dyDescent="0.25">
      <c r="A8649" s="69" t="s">
        <v>89</v>
      </c>
      <c r="B8649" s="72" t="str">
        <f>VLOOKUP(A8649,'Componentes APUs'!$A$1:$D$14,2,0)</f>
        <v>Kit de rescate para trabajo en alturas</v>
      </c>
      <c r="C8649" s="73"/>
      <c r="D8649" s="50" t="str">
        <f>VLOOKUP(A8649,'Componentes APUs'!$A$1:$D$14,3,0)</f>
        <v>U</v>
      </c>
      <c r="E8649" s="50">
        <f>IF(AND(A8620="MO-3",C8620=2),1,0)</f>
        <v>0</v>
      </c>
      <c r="F8649" s="51">
        <f>VLOOKUP(A8649,'Componentes APUs'!$A$1:$D$14,4,0)</f>
        <v>37500</v>
      </c>
      <c r="G8649" s="51">
        <f>ROUNDUP(F8649*(E8649/21)/E8604,0)</f>
        <v>0</v>
      </c>
    </row>
    <row r="8650" spans="1:7" x14ac:dyDescent="0.25">
      <c r="A8650" s="50" t="s">
        <v>91</v>
      </c>
      <c r="B8650" s="72" t="str">
        <f>VLOOKUP(A8650,'Componentes APUs'!$A$1:$D$14,2,0)</f>
        <v>Equipo completo para trabajo en alturas con pretales (Arnes dielectrico, 1 mosqueton de seguridad, tie off dielectrico, eslinga de posicionamiento, juego de pretales)</v>
      </c>
      <c r="C8650" s="73"/>
      <c r="D8650" s="50" t="str">
        <f>VLOOKUP(A8650,'Componentes APUs'!$A$1:$D$14,3,0)</f>
        <v>U</v>
      </c>
      <c r="E8650" s="50">
        <f>IF(A8620="MO-3",C8620,0)</f>
        <v>0</v>
      </c>
      <c r="F8650" s="51">
        <f>VLOOKUP(A8650,'Componentes APUs'!$A$1:$D$14,4,0)</f>
        <v>26041.666666666668</v>
      </c>
      <c r="G8650" s="51">
        <f>ROUNDUP(F8650*(E8650/21)/E8604,0)</f>
        <v>0</v>
      </c>
    </row>
    <row r="8651" spans="1:7" x14ac:dyDescent="0.25">
      <c r="A8651" s="219" t="s">
        <v>95</v>
      </c>
      <c r="B8651" s="219"/>
      <c r="C8651" s="219"/>
      <c r="D8651" s="219"/>
      <c r="E8651" s="219"/>
      <c r="F8651" s="219"/>
      <c r="G8651" s="52">
        <f>SUM(G8638:G8650)</f>
        <v>417</v>
      </c>
    </row>
    <row r="8652" spans="1:7" x14ac:dyDescent="0.25">
      <c r="A8652" s="56"/>
      <c r="B8652" s="57"/>
      <c r="C8652" s="57"/>
      <c r="D8652" s="57"/>
      <c r="E8652" s="57"/>
      <c r="F8652" s="57"/>
      <c r="G8652" s="58"/>
    </row>
    <row r="8653" spans="1:7" x14ac:dyDescent="0.25">
      <c r="A8653" s="219" t="s">
        <v>96</v>
      </c>
      <c r="B8653" s="219"/>
      <c r="C8653" s="219"/>
      <c r="D8653" s="219"/>
      <c r="E8653" s="219"/>
      <c r="F8653" s="219"/>
      <c r="G8653" s="219"/>
    </row>
    <row r="8654" spans="1:7" x14ac:dyDescent="0.25">
      <c r="A8654" s="49" t="s">
        <v>35</v>
      </c>
      <c r="B8654" s="225" t="s">
        <v>36</v>
      </c>
      <c r="C8654" s="225"/>
      <c r="D8654" s="49" t="s">
        <v>37</v>
      </c>
      <c r="E8654" s="49" t="s">
        <v>38</v>
      </c>
      <c r="F8654" s="49" t="s">
        <v>39</v>
      </c>
      <c r="G8654" s="49" t="s">
        <v>40</v>
      </c>
    </row>
    <row r="8655" spans="1:7" x14ac:dyDescent="0.25">
      <c r="A8655" s="69" t="s">
        <v>97</v>
      </c>
      <c r="B8655" s="72" t="str">
        <f>VLOOKUP(A8655,'Componentes APUs'!$N$1:$Q$30,2,0)</f>
        <v>Camioneta</v>
      </c>
      <c r="C8655" s="73"/>
      <c r="D8655" s="70" t="str">
        <f>VLOOKUP(A8655,'Componentes APUs'!$N$1:$Q$30,3,0)</f>
        <v>U</v>
      </c>
      <c r="E8655" s="50">
        <v>1</v>
      </c>
      <c r="F8655" s="51">
        <f>VLOOKUP(A8655,'Componentes APUs'!$N$1:$Q$30,4,0)</f>
        <v>5500000</v>
      </c>
      <c r="G8655" s="51">
        <f>IFERROR(ROUNDUP(F8655*(E8655/21)/E8604,0),"-")</f>
        <v>17461</v>
      </c>
    </row>
    <row r="8656" spans="1:7" x14ac:dyDescent="0.25">
      <c r="A8656" s="50" t="s">
        <v>1473</v>
      </c>
      <c r="B8656" s="72" t="str">
        <f>VLOOKUP(A8656,'Componentes APUs'!$N$1:$Q$30,2,0)</f>
        <v>Concretera</v>
      </c>
      <c r="C8656" s="73"/>
      <c r="D8656" s="70" t="str">
        <f>VLOOKUP(A8656,'Componentes APUs'!$N$1:$Q$30,3,0)</f>
        <v>U</v>
      </c>
      <c r="E8656" s="50">
        <v>0</v>
      </c>
      <c r="F8656" s="51">
        <f>VLOOKUP(A8656,'Componentes APUs'!$N$1:$Q$30,4,0)</f>
        <v>550704</v>
      </c>
      <c r="G8656" s="51">
        <f>IFERROR(ROUNDUP(F8656*(E8656/21)/E8604,0),"-")</f>
        <v>0</v>
      </c>
    </row>
    <row r="8657" spans="1:7" x14ac:dyDescent="0.25">
      <c r="A8657" s="69" t="s">
        <v>1379</v>
      </c>
      <c r="B8657" s="72" t="str">
        <f>VLOOKUP(A8657,'Componentes APUs'!$N$1:$Q$30,2,0)</f>
        <v>Dumper de descarga Frontal 2T</v>
      </c>
      <c r="C8657" s="73"/>
      <c r="D8657" s="70" t="str">
        <f>VLOOKUP(A8657,'Componentes APUs'!$N$1:$Q$30,3,0)</f>
        <v>U</v>
      </c>
      <c r="E8657" s="50">
        <v>0</v>
      </c>
      <c r="F8657" s="51">
        <f>VLOOKUP(A8657,'Componentes APUs'!$N$1:$Q$30,4,0)</f>
        <v>4438716.24</v>
      </c>
      <c r="G8657" s="51">
        <f>IFERROR(ROUNDUP(F8657*(E8657/21)/E8604,0),"-")</f>
        <v>0</v>
      </c>
    </row>
    <row r="8658" spans="1:7" x14ac:dyDescent="0.25">
      <c r="A8658" s="50" t="s">
        <v>323</v>
      </c>
      <c r="B8658" s="72" t="str">
        <f>VLOOKUP(A8658,'Componentes APUs'!$N$1:$Q$30,2,0)</f>
        <v>Volqueta</v>
      </c>
      <c r="C8658" s="73"/>
      <c r="D8658" s="70" t="str">
        <f>VLOOKUP(A8658,'Componentes APUs'!$N$1:$Q$30,3,0)</f>
        <v>U</v>
      </c>
      <c r="E8658" s="50">
        <v>0</v>
      </c>
      <c r="F8658" s="51">
        <f>VLOOKUP(A8658,'Componentes APUs'!$N$1:$Q$30,4,0)</f>
        <v>14828184</v>
      </c>
      <c r="G8658" s="51">
        <f>IFERROR(ROUNDUP(F8658*(E8658/21)/E8604,0),"-")</f>
        <v>0</v>
      </c>
    </row>
    <row r="8659" spans="1:7" x14ac:dyDescent="0.25">
      <c r="A8659" s="69" t="s">
        <v>324</v>
      </c>
      <c r="B8659" s="72" t="str">
        <f>VLOOKUP(A8659,'Componentes APUs'!$N$1:$Q$30,2,0)</f>
        <v>Retroexcavadora</v>
      </c>
      <c r="C8659" s="73"/>
      <c r="D8659" s="70" t="str">
        <f>VLOOKUP(A8659,'Componentes APUs'!$N$1:$Q$30,3,0)</f>
        <v>U</v>
      </c>
      <c r="E8659" s="50">
        <v>0</v>
      </c>
      <c r="F8659" s="51">
        <f>VLOOKUP(A8659,'Componentes APUs'!$N$1:$Q$30,4,0)</f>
        <v>46030656</v>
      </c>
      <c r="G8659" s="51">
        <f>IFERROR(ROUNDUP(F8659*(E8659/21)/E8604,0),"-")</f>
        <v>0</v>
      </c>
    </row>
    <row r="8660" spans="1:7" x14ac:dyDescent="0.25">
      <c r="A8660" s="219" t="s">
        <v>99</v>
      </c>
      <c r="B8660" s="219"/>
      <c r="C8660" s="219"/>
      <c r="D8660" s="219"/>
      <c r="E8660" s="219"/>
      <c r="F8660" s="219"/>
      <c r="G8660" s="52">
        <f>SUM(G8655:G8659)</f>
        <v>17461</v>
      </c>
    </row>
    <row r="8661" spans="1:7" x14ac:dyDescent="0.25">
      <c r="A8661" s="56"/>
      <c r="B8661" s="57"/>
      <c r="C8661" s="57"/>
      <c r="D8661" s="57"/>
      <c r="E8661" s="57"/>
      <c r="F8661" s="57"/>
      <c r="G8661" s="58"/>
    </row>
    <row r="8662" spans="1:7" x14ac:dyDescent="0.25">
      <c r="A8662" s="219" t="s">
        <v>100</v>
      </c>
      <c r="B8662" s="219"/>
      <c r="C8662" s="219"/>
      <c r="D8662" s="219"/>
      <c r="E8662" s="219"/>
      <c r="F8662" s="219"/>
      <c r="G8662" s="52">
        <f>G8660+G8651+G8634+G8624+G8614</f>
        <v>133420</v>
      </c>
    </row>
    <row r="8663" spans="1:7" x14ac:dyDescent="0.25">
      <c r="A8663" s="59"/>
      <c r="B8663" s="60"/>
      <c r="C8663" s="60"/>
      <c r="D8663" s="60"/>
      <c r="E8663" s="57"/>
      <c r="F8663" s="57"/>
      <c r="G8663" s="58"/>
    </row>
    <row r="8664" spans="1:7" x14ac:dyDescent="0.25">
      <c r="A8664" s="64"/>
      <c r="D8664" s="55"/>
      <c r="E8664" s="49" t="s">
        <v>25</v>
      </c>
      <c r="F8664" s="54">
        <v>0.15</v>
      </c>
      <c r="G8664" s="51">
        <f>G8662*F8664</f>
        <v>20013</v>
      </c>
    </row>
    <row r="8665" spans="1:7" x14ac:dyDescent="0.25">
      <c r="A8665" s="64"/>
      <c r="D8665" s="55"/>
      <c r="E8665" s="49" t="s">
        <v>26</v>
      </c>
      <c r="F8665" s="54">
        <v>0.05</v>
      </c>
      <c r="G8665" s="51">
        <f>G8662*F8665</f>
        <v>6671</v>
      </c>
    </row>
    <row r="8666" spans="1:7" x14ac:dyDescent="0.25">
      <c r="A8666" s="61"/>
      <c r="B8666" s="65"/>
      <c r="C8666" s="65"/>
      <c r="D8666" s="62"/>
      <c r="E8666" s="49" t="s">
        <v>27</v>
      </c>
      <c r="F8666" s="54">
        <v>0.05</v>
      </c>
      <c r="G8666" s="51">
        <f>G8662*F8666</f>
        <v>6671</v>
      </c>
    </row>
    <row r="8667" spans="1:7" x14ac:dyDescent="0.25">
      <c r="A8667" s="61"/>
      <c r="B8667" s="62"/>
      <c r="C8667" s="62"/>
      <c r="D8667" s="62"/>
      <c r="E8667" s="62"/>
      <c r="F8667" s="62"/>
      <c r="G8667" s="63"/>
    </row>
    <row r="8668" spans="1:7" x14ac:dyDescent="0.25">
      <c r="A8668" s="219" t="s">
        <v>101</v>
      </c>
      <c r="B8668" s="219"/>
      <c r="C8668" s="219"/>
      <c r="D8668" s="219"/>
      <c r="E8668" s="219"/>
      <c r="F8668" s="219"/>
      <c r="G8668" s="52">
        <f>G8662+G8664+G8665+G8666</f>
        <v>166775</v>
      </c>
    </row>
    <row r="8669" spans="1:7" x14ac:dyDescent="0.25">
      <c r="A8669" s="59"/>
      <c r="B8669" s="60"/>
      <c r="C8669" s="60"/>
      <c r="D8669" s="60"/>
      <c r="E8669" s="57"/>
      <c r="F8669" s="57"/>
      <c r="G8669" s="58"/>
    </row>
    <row r="8670" spans="1:7" x14ac:dyDescent="0.25">
      <c r="A8670" s="64"/>
      <c r="D8670" s="55"/>
      <c r="E8670" s="49" t="s">
        <v>102</v>
      </c>
      <c r="F8670" s="49" t="s">
        <v>103</v>
      </c>
      <c r="G8670" s="51">
        <f>G8666*19%</f>
        <v>1267.49</v>
      </c>
    </row>
    <row r="8671" spans="1:7" x14ac:dyDescent="0.25">
      <c r="A8671" s="61"/>
      <c r="B8671" s="62"/>
      <c r="C8671" s="62"/>
      <c r="D8671" s="62"/>
      <c r="E8671" s="57"/>
      <c r="F8671" s="57"/>
      <c r="G8671" s="58"/>
    </row>
    <row r="8672" spans="1:7" x14ac:dyDescent="0.25">
      <c r="A8672" s="219" t="s">
        <v>104</v>
      </c>
      <c r="B8672" s="219"/>
      <c r="C8672" s="219"/>
      <c r="D8672" s="219"/>
      <c r="E8672" s="219"/>
      <c r="F8672" s="219"/>
      <c r="G8672" s="52">
        <f>G8670+G8668</f>
        <v>168042.49</v>
      </c>
    </row>
    <row r="8674" spans="1:13" ht="30.75" customHeight="1" x14ac:dyDescent="0.25">
      <c r="A8674" s="74" t="s">
        <v>29</v>
      </c>
      <c r="B8674" s="226" t="s">
        <v>30</v>
      </c>
      <c r="C8674" s="226"/>
      <c r="D8674" s="74" t="s">
        <v>31</v>
      </c>
      <c r="E8674" s="74" t="s">
        <v>32</v>
      </c>
      <c r="F8674" s="74" t="s">
        <v>189</v>
      </c>
      <c r="G8674" s="74" t="s">
        <v>33</v>
      </c>
      <c r="H8674" s="105"/>
    </row>
    <row r="8675" spans="1:13" ht="39" customHeight="1" x14ac:dyDescent="0.25">
      <c r="A8675" s="50" t="str">
        <f>Presupuesto!B161</f>
        <v>138_OC</v>
      </c>
      <c r="B8675" s="229" t="str">
        <f>Presupuesto!C161</f>
        <v>CANAL PREFABRICADO RECTANGULAR PARA DRENAJE EN CONCRETO (60 ANCHO X40 ALTURA X100 LARGO CM ) CON TAPA RANURADA</v>
      </c>
      <c r="C8675" s="230"/>
      <c r="D8675" s="50" t="s">
        <v>108</v>
      </c>
      <c r="E8675" s="107">
        <v>20</v>
      </c>
      <c r="F8675" s="50"/>
      <c r="G8675" s="51">
        <f>G8739</f>
        <v>395292.81550000003</v>
      </c>
      <c r="H8675" s="111"/>
    </row>
    <row r="8676" spans="1:13" x14ac:dyDescent="0.25">
      <c r="A8676" s="219" t="s">
        <v>34</v>
      </c>
      <c r="B8676" s="219"/>
      <c r="C8676" s="219"/>
      <c r="D8676" s="219"/>
      <c r="E8676" s="219"/>
      <c r="F8676" s="219"/>
      <c r="G8676" s="219"/>
    </row>
    <row r="8677" spans="1:13" ht="30.75" customHeight="1" x14ac:dyDescent="0.25">
      <c r="A8677" s="49" t="s">
        <v>35</v>
      </c>
      <c r="B8677" s="219" t="s">
        <v>36</v>
      </c>
      <c r="C8677" s="219"/>
      <c r="D8677" s="49" t="s">
        <v>37</v>
      </c>
      <c r="E8677" s="49" t="s">
        <v>38</v>
      </c>
      <c r="F8677" s="49" t="s">
        <v>39</v>
      </c>
      <c r="G8677" s="49" t="s">
        <v>40</v>
      </c>
      <c r="K8677" s="23"/>
      <c r="L8677" s="23"/>
    </row>
    <row r="8678" spans="1:13" ht="38.25" customHeight="1" x14ac:dyDescent="0.25">
      <c r="A8678" s="50" t="str">
        <f>Material!A659</f>
        <v>MA-658</v>
      </c>
      <c r="B8678" s="221" t="str">
        <f>IFERROR(VLOOKUP(A8678,Material!$A:$H,2,0),"-")</f>
        <v>CANAL PREFABRICADO RECTANGULAR PARA DRENAJE EN CONCRETO (60 ANCHO X40 ALTURA X100 LARGO CM ) CON TAPA RANURADA</v>
      </c>
      <c r="C8678" s="222"/>
      <c r="D8678" s="50" t="str">
        <f>IFERROR(VLOOKUP(A8678,Material!$A:$H,4,0),"-")</f>
        <v>UN</v>
      </c>
      <c r="E8678" s="107">
        <v>1</v>
      </c>
      <c r="F8678" s="51">
        <f>IFERROR(VLOOKUP(A8678,Material!$A:$H,3,0),"-")</f>
        <v>271570</v>
      </c>
      <c r="G8678" s="51">
        <f t="shared" ref="G8678:G8680" si="127">IFERROR(ROUNDUP(F8678*E8678,0),"-")</f>
        <v>271570</v>
      </c>
      <c r="H8678" s="112"/>
      <c r="I8678" s="110"/>
      <c r="J8678" s="113"/>
      <c r="K8678" s="114"/>
      <c r="L8678" s="115"/>
      <c r="M8678" s="115"/>
    </row>
    <row r="8679" spans="1:13" ht="31.5" customHeight="1" x14ac:dyDescent="0.25">
      <c r="A8679" s="50" t="str">
        <f>Material!A18</f>
        <v>MA-17</v>
      </c>
      <c r="B8679" s="221" t="str">
        <f>IFERROR(VLOOKUP(A8679,Material!$A:$H,2,0),"-")</f>
        <v>EXCAVACIÓN EN MATERIAL COMÚN BAJO AGUA DE 0 - 2 M MANUAL</v>
      </c>
      <c r="C8679" s="222"/>
      <c r="D8679" s="50" t="str">
        <f>IFERROR(VLOOKUP(A8679,Material!$A:$H,4,0),"-")</f>
        <v>M3</v>
      </c>
      <c r="E8679" s="109">
        <f>0.6*0.4*1</f>
        <v>0.24</v>
      </c>
      <c r="F8679" s="51">
        <f>IFERROR(VLOOKUP(A8679,Material!$A:$H,3,0),"-")</f>
        <v>45663.8</v>
      </c>
      <c r="G8679" s="51">
        <f t="shared" si="127"/>
        <v>10960</v>
      </c>
      <c r="H8679" s="112"/>
      <c r="I8679" s="110"/>
      <c r="J8679" s="113"/>
      <c r="K8679" s="114"/>
      <c r="L8679" s="115"/>
      <c r="M8679" s="115"/>
    </row>
    <row r="8680" spans="1:13" x14ac:dyDescent="0.25">
      <c r="A8680" s="50"/>
      <c r="B8680" s="72" t="str">
        <f>IFERROR(VLOOKUP(A8680,Material!$A:$H,2,0),"-")</f>
        <v>-</v>
      </c>
      <c r="C8680" s="76"/>
      <c r="D8680" s="50" t="str">
        <f>IFERROR(VLOOKUP(A8680,Material!$A:$H,4,0),"-")</f>
        <v>-</v>
      </c>
      <c r="E8680" s="107"/>
      <c r="F8680" s="51" t="str">
        <f>IFERROR(VLOOKUP(A8680,Material!$A:$H,3,0),"-")</f>
        <v>-</v>
      </c>
      <c r="G8680" s="51" t="str">
        <f t="shared" si="127"/>
        <v>-</v>
      </c>
      <c r="H8680" s="112"/>
      <c r="I8680" s="110"/>
      <c r="J8680" s="113"/>
      <c r="K8680" s="114"/>
      <c r="L8680" s="115"/>
      <c r="M8680" s="115"/>
    </row>
    <row r="8681" spans="1:13" x14ac:dyDescent="0.25">
      <c r="A8681" s="219" t="s">
        <v>41</v>
      </c>
      <c r="B8681" s="219"/>
      <c r="C8681" s="219"/>
      <c r="D8681" s="219"/>
      <c r="E8681" s="219"/>
      <c r="F8681" s="219"/>
      <c r="G8681" s="52">
        <f>SUM(G8678:G8680)</f>
        <v>282530</v>
      </c>
      <c r="I8681" s="104"/>
    </row>
    <row r="8682" spans="1:13" x14ac:dyDescent="0.25">
      <c r="A8682" s="56"/>
      <c r="B8682" s="57"/>
      <c r="C8682" s="57"/>
      <c r="D8682" s="57"/>
      <c r="E8682" s="57"/>
      <c r="F8682" s="57"/>
      <c r="G8682" s="58"/>
    </row>
    <row r="8683" spans="1:13" x14ac:dyDescent="0.25">
      <c r="A8683" s="219" t="s">
        <v>42</v>
      </c>
      <c r="B8683" s="219"/>
      <c r="C8683" s="219"/>
      <c r="D8683" s="219"/>
      <c r="E8683" s="219"/>
      <c r="F8683" s="219"/>
      <c r="G8683" s="219"/>
    </row>
    <row r="8684" spans="1:13" x14ac:dyDescent="0.25">
      <c r="A8684" s="49" t="s">
        <v>35</v>
      </c>
      <c r="B8684" s="49" t="s">
        <v>36</v>
      </c>
      <c r="C8684" s="49" t="s">
        <v>38</v>
      </c>
      <c r="D8684" s="49" t="s">
        <v>43</v>
      </c>
      <c r="E8684" s="49" t="s">
        <v>44</v>
      </c>
      <c r="F8684" s="49" t="s">
        <v>45</v>
      </c>
      <c r="G8684" s="49" t="s">
        <v>40</v>
      </c>
    </row>
    <row r="8685" spans="1:13" x14ac:dyDescent="0.25">
      <c r="A8685" s="50" t="s">
        <v>319</v>
      </c>
      <c r="B8685" s="68" t="str">
        <f>VLOOKUP(A8685,'Componentes APUs'!$H$1:$L$25,2,0)</f>
        <v>Ingeniero Residente de Obra</v>
      </c>
      <c r="C8685" s="93">
        <v>0.25</v>
      </c>
      <c r="D8685" s="50">
        <f>VLOOKUP(A8685,'Componentes APUs'!$H$1:$L$25,3,0)</f>
        <v>4</v>
      </c>
      <c r="E8685" s="51">
        <f>VLOOKUP(A8685,'Componentes APUs'!$H$1:$L$25,4,0)</f>
        <v>271142.85714285716</v>
      </c>
      <c r="F8685" s="51">
        <f>VLOOKUP(A8685,'Componentes APUs'!$H$1:$L$25,5,0)</f>
        <v>162685.71428571429</v>
      </c>
      <c r="G8685" s="51">
        <f>ROUNDUP((E8685+F8685)*C8685/E8675,0)</f>
        <v>5423</v>
      </c>
      <c r="H8685" s="66"/>
    </row>
    <row r="8686" spans="1:13" x14ac:dyDescent="0.25">
      <c r="A8686" s="50" t="s">
        <v>320</v>
      </c>
      <c r="B8686" s="68" t="str">
        <f>VLOOKUP(A8686,'Componentes APUs'!$H$1:$L$25,2,0)</f>
        <v>Tecnico Supervisor</v>
      </c>
      <c r="C8686" s="93">
        <v>0</v>
      </c>
      <c r="D8686" s="50">
        <f>VLOOKUP(A8686,'Componentes APUs'!$H$1:$L$25,3,0)</f>
        <v>2.2999999999999998</v>
      </c>
      <c r="E8686" s="51">
        <f>VLOOKUP(A8686,'Componentes APUs'!$H$1:$L$25,4,0)</f>
        <v>155907.14285714284</v>
      </c>
      <c r="F8686" s="51">
        <f>VLOOKUP(A8686,'Componentes APUs'!$H$1:$L$25,5,0)</f>
        <v>93544.285714285696</v>
      </c>
      <c r="G8686" s="51">
        <f>ROUNDUP((E8686+F8686)*C8686/E8675,0)</f>
        <v>0</v>
      </c>
    </row>
    <row r="8687" spans="1:13" x14ac:dyDescent="0.25">
      <c r="A8687" s="50" t="s">
        <v>54</v>
      </c>
      <c r="B8687" s="68" t="str">
        <f>VLOOKUP(A8687,'Componentes APUs'!$H$1:$L$25,2,0)</f>
        <v>Maestro de obra civil</v>
      </c>
      <c r="C8687" s="93">
        <v>0</v>
      </c>
      <c r="D8687" s="50">
        <f>VLOOKUP(A8687,'Componentes APUs'!$H$1:$L$25,3,0)</f>
        <v>2.5</v>
      </c>
      <c r="E8687" s="51">
        <f>VLOOKUP(A8687,'Componentes APUs'!$H$1:$L$25,4,0)</f>
        <v>169464.28571428571</v>
      </c>
      <c r="F8687" s="51">
        <f>VLOOKUP(A8687,'Componentes APUs'!$H$1:$L$25,5,0)</f>
        <v>101678.57142857142</v>
      </c>
      <c r="G8687" s="51">
        <f>ROUNDUP((E8687+F8687)*C8687/E8675,0)</f>
        <v>0</v>
      </c>
    </row>
    <row r="8688" spans="1:13" x14ac:dyDescent="0.25">
      <c r="A8688" s="50" t="s">
        <v>1110</v>
      </c>
      <c r="B8688" s="68" t="str">
        <f>VLOOKUP(A8688,'Componentes APUs'!$H$1:$L$25,2,0)</f>
        <v>Oficial de Obra Civil</v>
      </c>
      <c r="C8688" s="93">
        <v>1</v>
      </c>
      <c r="D8688" s="50">
        <f>VLOOKUP(A8688,'Componentes APUs'!$H$1:$L$25,3,0)</f>
        <v>1.5</v>
      </c>
      <c r="E8688" s="51">
        <f>VLOOKUP(A8688,'Componentes APUs'!$H$1:$L$25,4,0)</f>
        <v>115964.28571428571</v>
      </c>
      <c r="F8688" s="51">
        <f>VLOOKUP(A8688,'Componentes APUs'!$H$1:$L$25,5,0)</f>
        <v>69578.57142857142</v>
      </c>
      <c r="G8688" s="51">
        <f>ROUNDUP((E8688+F8688)*C8688/E8675,0)</f>
        <v>9278</v>
      </c>
    </row>
    <row r="8689" spans="1:9" x14ac:dyDescent="0.25">
      <c r="A8689" s="50" t="s">
        <v>50</v>
      </c>
      <c r="B8689" s="68" t="str">
        <f>VLOOKUP(A8689,'Componentes APUs'!$H$1:$L$25,2,0)</f>
        <v>Profesional en SST</v>
      </c>
      <c r="C8689" s="93">
        <v>0.25</v>
      </c>
      <c r="D8689" s="50">
        <f>VLOOKUP(A8689,'Componentes APUs'!$H$1:$L$25,3,0)</f>
        <v>2.5</v>
      </c>
      <c r="E8689" s="51">
        <f>VLOOKUP(A8689,'Componentes APUs'!$H$1:$L$25,4,0)</f>
        <v>169464.28571428571</v>
      </c>
      <c r="F8689" s="51">
        <f>VLOOKUP(A8689,'Componentes APUs'!$H$1:$L$25,5,0)</f>
        <v>101678.57142857142</v>
      </c>
      <c r="G8689" s="51">
        <f>ROUNDUP((E8689+F8689)*C8689/E8675,0)</f>
        <v>3390</v>
      </c>
    </row>
    <row r="8690" spans="1:9" x14ac:dyDescent="0.25">
      <c r="A8690" s="50" t="s">
        <v>1109</v>
      </c>
      <c r="B8690" s="68" t="str">
        <f>VLOOKUP(A8690,'Componentes APUs'!$H$1:$L$25,2,0)</f>
        <v>Ayudante de Obra Civil</v>
      </c>
      <c r="C8690" s="93">
        <v>1</v>
      </c>
      <c r="D8690" s="50">
        <f>VLOOKUP(A8690,'Componentes APUs'!$H$1:$L$25,3,0)</f>
        <v>1</v>
      </c>
      <c r="E8690" s="51">
        <f>VLOOKUP(A8690,'Componentes APUs'!$H$1:$L$25,4,0)</f>
        <v>77309.523809523816</v>
      </c>
      <c r="F8690" s="51">
        <f>VLOOKUP(A8690,'Componentes APUs'!$H$1:$L$25,5,0)</f>
        <v>46385.71428571429</v>
      </c>
      <c r="G8690" s="51">
        <f>ROUNDUP((E8690+F8690)*C8690/E8675,0)</f>
        <v>6185</v>
      </c>
    </row>
    <row r="8691" spans="1:9" x14ac:dyDescent="0.25">
      <c r="A8691" s="219" t="s">
        <v>56</v>
      </c>
      <c r="B8691" s="219"/>
      <c r="C8691" s="219"/>
      <c r="D8691" s="219"/>
      <c r="E8691" s="219"/>
      <c r="F8691" s="219"/>
      <c r="G8691" s="52">
        <f>SUM(G8685:G8690)</f>
        <v>24276</v>
      </c>
    </row>
    <row r="8692" spans="1:9" x14ac:dyDescent="0.25">
      <c r="A8692" s="56"/>
      <c r="B8692" s="57"/>
      <c r="C8692" s="57"/>
      <c r="D8692" s="57"/>
      <c r="E8692" s="57"/>
      <c r="F8692" s="57"/>
      <c r="G8692" s="58"/>
    </row>
    <row r="8693" spans="1:9" x14ac:dyDescent="0.25">
      <c r="A8693" s="219" t="s">
        <v>57</v>
      </c>
      <c r="B8693" s="219"/>
      <c r="C8693" s="219"/>
      <c r="D8693" s="219"/>
      <c r="E8693" s="219"/>
      <c r="F8693" s="219"/>
      <c r="G8693" s="219"/>
    </row>
    <row r="8694" spans="1:9" x14ac:dyDescent="0.25">
      <c r="A8694" s="49" t="s">
        <v>35</v>
      </c>
      <c r="B8694" s="219" t="s">
        <v>36</v>
      </c>
      <c r="C8694" s="219"/>
      <c r="D8694" s="49" t="s">
        <v>37</v>
      </c>
      <c r="E8694" s="49" t="s">
        <v>38</v>
      </c>
      <c r="F8694" s="49" t="s">
        <v>39</v>
      </c>
      <c r="G8694" s="49" t="s">
        <v>40</v>
      </c>
    </row>
    <row r="8695" spans="1:9" x14ac:dyDescent="0.25">
      <c r="A8695" s="50" t="s">
        <v>326</v>
      </c>
      <c r="B8695" s="220" t="str">
        <f>VLOOKUP(A8695,'Componentes APUs'!$S$1:$V$10,2,0)</f>
        <v>Juego Llaves</v>
      </c>
      <c r="C8695" s="220"/>
      <c r="D8695" s="50" t="s">
        <v>18</v>
      </c>
      <c r="E8695" s="50">
        <v>0</v>
      </c>
      <c r="F8695" s="51">
        <f>VLOOKUP(A8695,'Componentes APUs'!$S$1:$V$10,4,0)</f>
        <v>9167</v>
      </c>
      <c r="G8695" s="51">
        <f>ROUNDUP(F8695*((E8695/21)/E8675),0)</f>
        <v>0</v>
      </c>
      <c r="I8695" s="91"/>
    </row>
    <row r="8696" spans="1:9" x14ac:dyDescent="0.25">
      <c r="A8696" s="50" t="s">
        <v>58</v>
      </c>
      <c r="B8696" s="220" t="str">
        <f>VLOOKUP(A8696,'Componentes APUs'!$S$1:$V$10,2,0)</f>
        <v>Manila de servicio</v>
      </c>
      <c r="C8696" s="220"/>
      <c r="D8696" s="50" t="s">
        <v>18</v>
      </c>
      <c r="E8696" s="50">
        <v>0</v>
      </c>
      <c r="F8696" s="51">
        <f>VLOOKUP(A8696,'Componentes APUs'!$S$1:$V$10,4,0)</f>
        <v>2333</v>
      </c>
      <c r="G8696" s="51">
        <f>ROUNDUP(F8696*((E8696/21)/E8675),0)</f>
        <v>0</v>
      </c>
    </row>
    <row r="8697" spans="1:9" x14ac:dyDescent="0.25">
      <c r="A8697" s="50" t="s">
        <v>327</v>
      </c>
      <c r="B8697" s="220" t="str">
        <f>VLOOKUP(A8697,'Componentes APUs'!$S$1:$V$10,2,0)</f>
        <v>Tula portaherramientas</v>
      </c>
      <c r="C8697" s="220"/>
      <c r="D8697" s="50" t="s">
        <v>18</v>
      </c>
      <c r="E8697" s="50">
        <v>0</v>
      </c>
      <c r="F8697" s="51">
        <f>VLOOKUP(A8697,'Componentes APUs'!$S$1:$V$10,4,0)</f>
        <v>1250</v>
      </c>
      <c r="G8697" s="51">
        <f>ROUNDUP(F8697*((E8697/21)/E8675),0)</f>
        <v>0</v>
      </c>
    </row>
    <row r="8698" spans="1:9" x14ac:dyDescent="0.25">
      <c r="A8698" s="50" t="s">
        <v>60</v>
      </c>
      <c r="B8698" s="220" t="str">
        <f>VLOOKUP(A8698,'Componentes APUs'!$S$1:$V$10,2,0)</f>
        <v>Agarradoras</v>
      </c>
      <c r="C8698" s="220"/>
      <c r="D8698" s="50" t="s">
        <v>18</v>
      </c>
      <c r="E8698" s="50">
        <v>0</v>
      </c>
      <c r="F8698" s="51">
        <f>VLOOKUP(A8698,'Componentes APUs'!$S$1:$V$10,4,0)</f>
        <v>125000</v>
      </c>
      <c r="G8698" s="51">
        <f>ROUNDUP(F8698*((E8698/21)/E8675),0)</f>
        <v>0</v>
      </c>
    </row>
    <row r="8699" spans="1:9" x14ac:dyDescent="0.25">
      <c r="A8699" s="50" t="s">
        <v>62</v>
      </c>
      <c r="B8699" s="220" t="str">
        <f>VLOOKUP(A8699,'Componentes APUs'!$S$1:$V$10,2,0)</f>
        <v>Templadoras</v>
      </c>
      <c r="C8699" s="220"/>
      <c r="D8699" s="50" t="s">
        <v>18</v>
      </c>
      <c r="E8699" s="50">
        <v>0</v>
      </c>
      <c r="F8699" s="51">
        <f>VLOOKUP(A8699,'Componentes APUs'!$S$1:$V$10,4,0)</f>
        <v>250000</v>
      </c>
      <c r="G8699" s="51">
        <f>ROUNDUP(F8699*((E8699/21)/E8675),0)</f>
        <v>0</v>
      </c>
    </row>
    <row r="8700" spans="1:9" x14ac:dyDescent="0.25">
      <c r="A8700" s="50" t="s">
        <v>328</v>
      </c>
      <c r="B8700" s="220" t="str">
        <f>VLOOKUP(A8700,'Componentes APUs'!$S$1:$V$10,2,0)</f>
        <v>Herramienta Menor</v>
      </c>
      <c r="C8700" s="220"/>
      <c r="D8700" s="50" t="s">
        <v>18</v>
      </c>
      <c r="E8700" s="50">
        <v>1</v>
      </c>
      <c r="F8700" s="51">
        <f>VLOOKUP(A8700,'Componentes APUs'!$S$1:$V$10,4,0)</f>
        <v>75758</v>
      </c>
      <c r="G8700" s="51">
        <f>ROUNDUP(F8700*((E8700/21)/E8675),0)</f>
        <v>181</v>
      </c>
    </row>
    <row r="8701" spans="1:9" x14ac:dyDescent="0.25">
      <c r="A8701" s="219" t="s">
        <v>69</v>
      </c>
      <c r="B8701" s="219"/>
      <c r="C8701" s="219"/>
      <c r="D8701" s="219"/>
      <c r="E8701" s="219"/>
      <c r="F8701" s="219"/>
      <c r="G8701" s="52">
        <f>SUM(G8695:G8700)</f>
        <v>181</v>
      </c>
    </row>
    <row r="8702" spans="1:9" x14ac:dyDescent="0.25">
      <c r="A8702" s="56"/>
      <c r="B8702" s="57"/>
      <c r="C8702" s="57"/>
      <c r="D8702" s="57"/>
      <c r="E8702" s="57"/>
      <c r="F8702" s="57"/>
      <c r="G8702" s="58"/>
    </row>
    <row r="8703" spans="1:9" x14ac:dyDescent="0.25">
      <c r="A8703" s="219" t="s">
        <v>70</v>
      </c>
      <c r="B8703" s="219"/>
      <c r="C8703" s="219"/>
      <c r="D8703" s="219"/>
      <c r="E8703" s="219"/>
      <c r="F8703" s="219"/>
      <c r="G8703" s="219"/>
    </row>
    <row r="8704" spans="1:9" x14ac:dyDescent="0.25">
      <c r="A8704" s="49" t="s">
        <v>35</v>
      </c>
      <c r="B8704" s="219" t="s">
        <v>36</v>
      </c>
      <c r="C8704" s="219"/>
      <c r="D8704" s="49" t="s">
        <v>37</v>
      </c>
      <c r="E8704" s="49" t="s">
        <v>38</v>
      </c>
      <c r="F8704" s="49" t="s">
        <v>39</v>
      </c>
      <c r="G8704" s="49" t="s">
        <v>40</v>
      </c>
    </row>
    <row r="8705" spans="1:9" x14ac:dyDescent="0.25">
      <c r="A8705" s="50" t="s">
        <v>71</v>
      </c>
      <c r="B8705" s="71" t="str">
        <f>VLOOKUP(A8705,'Componentes APUs'!$A$1:$D$14,2,0)</f>
        <v>Camisa indigo sin partes metalicas</v>
      </c>
      <c r="C8705" s="71"/>
      <c r="D8705" s="50" t="str">
        <f>VLOOKUP(A8705,'Componentes APUs'!$A$1:$D$14,3,0)</f>
        <v>U</v>
      </c>
      <c r="E8705" s="50">
        <f>SUM(C8685:C8690)</f>
        <v>2.5</v>
      </c>
      <c r="F8705" s="51">
        <f>VLOOKUP(A8705,'Componentes APUs'!$A$1:$D$14,4,0)</f>
        <v>8585.8585858585866</v>
      </c>
      <c r="G8705" s="51">
        <f>ROUNDUP(F8705*(E8705/21)/E8675,0)</f>
        <v>52</v>
      </c>
      <c r="I8705" s="91"/>
    </row>
    <row r="8706" spans="1:9" x14ac:dyDescent="0.25">
      <c r="A8706" s="69" t="s">
        <v>73</v>
      </c>
      <c r="B8706" s="72" t="str">
        <f>VLOOKUP(A8706,'Componentes APUs'!$A$1:$D$14,2,0)</f>
        <v>Bota de seguridad dielectrica</v>
      </c>
      <c r="C8706" s="73"/>
      <c r="D8706" s="70" t="str">
        <f>VLOOKUP(A8706,'Componentes APUs'!$A$1:$D$14,3,0)</f>
        <v>Par</v>
      </c>
      <c r="E8706" s="50">
        <f>SUM(C8685:C8690)</f>
        <v>2.5</v>
      </c>
      <c r="F8706" s="51">
        <f>VLOOKUP(A8706,'Componentes APUs'!$A$1:$D$14,4,0)</f>
        <v>7500</v>
      </c>
      <c r="G8706" s="51">
        <f>ROUNDUP(F8706*(E8706/21)/E8675,0)</f>
        <v>45</v>
      </c>
    </row>
    <row r="8707" spans="1:9" x14ac:dyDescent="0.25">
      <c r="A8707" s="50" t="s">
        <v>76</v>
      </c>
      <c r="B8707" s="72" t="str">
        <f>VLOOKUP(A8707,'Componentes APUs'!$A$1:$D$14,2,0)</f>
        <v>Casco dielectrico Tipo 1 Clase E con barbuquejo</v>
      </c>
      <c r="C8707" s="73"/>
      <c r="D8707" s="50" t="str">
        <f>VLOOKUP(A8707,'Componentes APUs'!$A$1:$D$14,3,0)</f>
        <v>U</v>
      </c>
      <c r="E8707" s="50">
        <f>C8685+C8686+C8688+C8689+C8690+IF(A8687&lt;&gt;"MO-3",C8687,0)</f>
        <v>2.5</v>
      </c>
      <c r="F8707" s="51">
        <f>VLOOKUP(A8707,'Componentes APUs'!$A$1:$D$14,4,0)</f>
        <v>10101.010101010101</v>
      </c>
      <c r="G8707" s="51">
        <f>ROUNDUP(F8707*(E8707/21)/E8675,0)</f>
        <v>61</v>
      </c>
    </row>
    <row r="8708" spans="1:9" x14ac:dyDescent="0.25">
      <c r="A8708" s="69" t="s">
        <v>77</v>
      </c>
      <c r="B8708" s="72" t="str">
        <f>VLOOKUP(A8708,'Componentes APUs'!$A$1:$D$14,2,0)</f>
        <v>Correa plastica y antiflama</v>
      </c>
      <c r="C8708" s="73"/>
      <c r="D8708" s="50" t="str">
        <f>VLOOKUP(A8708,'Componentes APUs'!$A$1:$D$14,3,0)</f>
        <v>U</v>
      </c>
      <c r="E8708" s="50">
        <f>SUM(C8685:C8690)</f>
        <v>2.5</v>
      </c>
      <c r="F8708" s="51">
        <f>VLOOKUP(A8708,'Componentes APUs'!$A$1:$D$14,4,0)</f>
        <v>3787.878787878788</v>
      </c>
      <c r="G8708" s="51">
        <f>ROUNDUP(F8708*(E8708/21)/E8675,0)</f>
        <v>23</v>
      </c>
    </row>
    <row r="8709" spans="1:9" x14ac:dyDescent="0.25">
      <c r="A8709" s="50" t="s">
        <v>79</v>
      </c>
      <c r="B8709" s="72" t="str">
        <f>VLOOKUP(A8709,'Componentes APUs'!$A$1:$D$14,2,0)</f>
        <v>Gafas protectoras filtro UV</v>
      </c>
      <c r="C8709" s="73"/>
      <c r="D8709" s="50" t="str">
        <f>VLOOKUP(A8709,'Componentes APUs'!$A$1:$D$14,3,0)</f>
        <v>U</v>
      </c>
      <c r="E8709" s="50">
        <f>SUM(C8685:C8690)</f>
        <v>2.5</v>
      </c>
      <c r="F8709" s="51">
        <f>VLOOKUP(A8709,'Componentes APUs'!$A$1:$D$14,4,0)</f>
        <v>2777.7777777777778</v>
      </c>
      <c r="G8709" s="51">
        <f>ROUNDUP(F8709*(E8709/21)/E8675,0)</f>
        <v>17</v>
      </c>
    </row>
    <row r="8710" spans="1:9" x14ac:dyDescent="0.25">
      <c r="A8710" s="69" t="s">
        <v>402</v>
      </c>
      <c r="B8710" s="72" t="str">
        <f>VLOOKUP(A8710,'Componentes APUs'!$A$1:$D$14,2,0)</f>
        <v>Bota de seguridad PVC dielectrica</v>
      </c>
      <c r="C8710" s="73"/>
      <c r="D8710" s="50" t="str">
        <f>VLOOKUP(A8710,'Componentes APUs'!$A$1:$D$14,3,0)</f>
        <v>Par</v>
      </c>
      <c r="E8710" s="50">
        <f>SUM(C8685:C8690)</f>
        <v>2.5</v>
      </c>
      <c r="F8710" s="51">
        <f>VLOOKUP(A8710,'Componentes APUs'!$A$1:$D$14,4,0)</f>
        <v>2916.6666666666665</v>
      </c>
      <c r="G8710" s="51">
        <f>ROUNDUP(F8710*(E8710/21)/E8675,0)</f>
        <v>18</v>
      </c>
    </row>
    <row r="8711" spans="1:9" x14ac:dyDescent="0.25">
      <c r="A8711" s="50" t="s">
        <v>403</v>
      </c>
      <c r="B8711" s="72" t="str">
        <f>VLOOKUP(A8711,'Componentes APUs'!$A$1:$D$14,2,0)</f>
        <v>Capuchon</v>
      </c>
      <c r="C8711" s="73"/>
      <c r="D8711" s="50" t="str">
        <f>VLOOKUP(A8711,'Componentes APUs'!$A$1:$D$14,3,0)</f>
        <v>U</v>
      </c>
      <c r="E8711" s="50">
        <f>SUM(C8685:C8690)</f>
        <v>2.5</v>
      </c>
      <c r="F8711" s="51">
        <f>VLOOKUP(A8711,'Componentes APUs'!$A$1:$D$14,4,0)</f>
        <v>2525.2525252525252</v>
      </c>
      <c r="G8711" s="51">
        <f>ROUNDUP(F8711*(E8711/21)/E8675,0)</f>
        <v>16</v>
      </c>
    </row>
    <row r="8712" spans="1:9" x14ac:dyDescent="0.25">
      <c r="A8712" s="69" t="s">
        <v>81</v>
      </c>
      <c r="B8712" s="72" t="str">
        <f>VLOOKUP(A8712,'Componentes APUs'!$A$1:$D$14,2,0)</f>
        <v>Guantes Protectores  - ingeniero reforzados</v>
      </c>
      <c r="C8712" s="73"/>
      <c r="D8712" s="50" t="str">
        <f>VLOOKUP(A8712,'Componentes APUs'!$A$1:$D$14,3,0)</f>
        <v>Par</v>
      </c>
      <c r="E8712" s="50">
        <f>C8687+C8688+C8690</f>
        <v>2</v>
      </c>
      <c r="F8712" s="51">
        <f>VLOOKUP(A8712,'Componentes APUs'!$A$1:$D$14,4,0)</f>
        <v>2525.2525252525252</v>
      </c>
      <c r="G8712" s="51">
        <f>ROUNDUP(F8712*(E8712/21)/E8675,0)</f>
        <v>13</v>
      </c>
    </row>
    <row r="8713" spans="1:9" x14ac:dyDescent="0.25">
      <c r="A8713" s="50" t="s">
        <v>83</v>
      </c>
      <c r="B8713" s="72" t="str">
        <f>VLOOKUP(A8713,'Componentes APUs'!$A$1:$D$14,2,0)</f>
        <v>Impermeable (pantalon camisa)</v>
      </c>
      <c r="C8713" s="73"/>
      <c r="D8713" s="50" t="str">
        <f>VLOOKUP(A8713,'Componentes APUs'!$A$1:$D$14,3,0)</f>
        <v>U</v>
      </c>
      <c r="E8713" s="50">
        <f>SUM(C8685:C8690)</f>
        <v>2.5</v>
      </c>
      <c r="F8713" s="51">
        <f>VLOOKUP(A8713,'Componentes APUs'!$A$1:$D$14,4,0)</f>
        <v>3750</v>
      </c>
      <c r="G8713" s="51">
        <f>ROUNDUP(F8713*(E8713/21)/E8675,0)</f>
        <v>23</v>
      </c>
    </row>
    <row r="8714" spans="1:9" x14ac:dyDescent="0.25">
      <c r="A8714" s="69" t="s">
        <v>85</v>
      </c>
      <c r="B8714" s="72" t="str">
        <f>VLOOKUP(A8714,'Componentes APUs'!$A$1:$D$14,2,0)</f>
        <v>Jean Dielectrico</v>
      </c>
      <c r="C8714" s="73"/>
      <c r="D8714" s="50" t="str">
        <f>VLOOKUP(A8714,'Componentes APUs'!$A$1:$D$14,3,0)</f>
        <v>U</v>
      </c>
      <c r="E8714" s="50">
        <f>SUM(C8685:C8690)</f>
        <v>2.5</v>
      </c>
      <c r="F8714" s="51">
        <f>VLOOKUP(A8714,'Componentes APUs'!$A$1:$D$14,4,0)</f>
        <v>7575.757575757576</v>
      </c>
      <c r="G8714" s="51">
        <f>ROUNDUP(F8714*(E8714/21)/E8675,0)</f>
        <v>46</v>
      </c>
    </row>
    <row r="8715" spans="1:9" x14ac:dyDescent="0.25">
      <c r="A8715" s="50" t="s">
        <v>87</v>
      </c>
      <c r="B8715" s="72" t="str">
        <f>VLOOKUP(A8715,'Componentes APUs'!$A$1:$D$14,2,0)</f>
        <v>Casco dielectrico Tipo 2 Clase E con barboquejo</v>
      </c>
      <c r="C8715" s="73"/>
      <c r="D8715" s="50" t="str">
        <f>VLOOKUP(A8715,'Componentes APUs'!$A$1:$D$14,3,0)</f>
        <v>U</v>
      </c>
      <c r="E8715" s="53">
        <f>IF(A8687="MO-3",C8687,0)</f>
        <v>0</v>
      </c>
      <c r="F8715" s="51">
        <f>VLOOKUP(A8715,'Componentes APUs'!$A$1:$D$14,4,0)</f>
        <v>7500</v>
      </c>
      <c r="G8715" s="51">
        <f>ROUNDUP(F8715*(E8715/21)/E8675,0)</f>
        <v>0</v>
      </c>
    </row>
    <row r="8716" spans="1:9" x14ac:dyDescent="0.25">
      <c r="A8716" s="69" t="s">
        <v>89</v>
      </c>
      <c r="B8716" s="72" t="str">
        <f>VLOOKUP(A8716,'Componentes APUs'!$A$1:$D$14,2,0)</f>
        <v>Kit de rescate para trabajo en alturas</v>
      </c>
      <c r="C8716" s="73"/>
      <c r="D8716" s="50" t="str">
        <f>VLOOKUP(A8716,'Componentes APUs'!$A$1:$D$14,3,0)</f>
        <v>U</v>
      </c>
      <c r="E8716" s="50">
        <f>IF(AND(A8687="MO-3",C8687=2),1,0)</f>
        <v>0</v>
      </c>
      <c r="F8716" s="51">
        <f>VLOOKUP(A8716,'Componentes APUs'!$A$1:$D$14,4,0)</f>
        <v>37500</v>
      </c>
      <c r="G8716" s="51">
        <f>ROUNDUP(F8716*(E8716/21)/E8675,0)</f>
        <v>0</v>
      </c>
    </row>
    <row r="8717" spans="1:9" x14ac:dyDescent="0.25">
      <c r="A8717" s="50" t="s">
        <v>91</v>
      </c>
      <c r="B8717" s="72" t="str">
        <f>VLOOKUP(A8717,'Componentes APUs'!$A$1:$D$14,2,0)</f>
        <v>Equipo completo para trabajo en alturas con pretales (Arnes dielectrico, 1 mosqueton de seguridad, tie off dielectrico, eslinga de posicionamiento, juego de pretales)</v>
      </c>
      <c r="C8717" s="73"/>
      <c r="D8717" s="50" t="str">
        <f>VLOOKUP(A8717,'Componentes APUs'!$A$1:$D$14,3,0)</f>
        <v>U</v>
      </c>
      <c r="E8717" s="50">
        <f>IF(A8687="MO-3",C8687,0)</f>
        <v>0</v>
      </c>
      <c r="F8717" s="51">
        <f>VLOOKUP(A8717,'Componentes APUs'!$A$1:$D$14,4,0)</f>
        <v>26041.666666666668</v>
      </c>
      <c r="G8717" s="51">
        <f>ROUNDUP(F8717*(E8717/21)/E8675,0)</f>
        <v>0</v>
      </c>
    </row>
    <row r="8718" spans="1:9" x14ac:dyDescent="0.25">
      <c r="A8718" s="219" t="s">
        <v>95</v>
      </c>
      <c r="B8718" s="219"/>
      <c r="C8718" s="219"/>
      <c r="D8718" s="219"/>
      <c r="E8718" s="219"/>
      <c r="F8718" s="219"/>
      <c r="G8718" s="52">
        <f>SUM(G8705:G8717)</f>
        <v>314</v>
      </c>
    </row>
    <row r="8719" spans="1:9" x14ac:dyDescent="0.25">
      <c r="A8719" s="56"/>
      <c r="B8719" s="57"/>
      <c r="C8719" s="57"/>
      <c r="D8719" s="57"/>
      <c r="E8719" s="57"/>
      <c r="F8719" s="57"/>
      <c r="G8719" s="58"/>
    </row>
    <row r="8720" spans="1:9" x14ac:dyDescent="0.25">
      <c r="A8720" s="219" t="s">
        <v>96</v>
      </c>
      <c r="B8720" s="219"/>
      <c r="C8720" s="219"/>
      <c r="D8720" s="219"/>
      <c r="E8720" s="219"/>
      <c r="F8720" s="219"/>
      <c r="G8720" s="219"/>
    </row>
    <row r="8721" spans="1:7" x14ac:dyDescent="0.25">
      <c r="A8721" s="49" t="s">
        <v>35</v>
      </c>
      <c r="B8721" s="225" t="s">
        <v>36</v>
      </c>
      <c r="C8721" s="225"/>
      <c r="D8721" s="49" t="s">
        <v>37</v>
      </c>
      <c r="E8721" s="49" t="s">
        <v>38</v>
      </c>
      <c r="F8721" s="49" t="s">
        <v>39</v>
      </c>
      <c r="G8721" s="49" t="s">
        <v>40</v>
      </c>
    </row>
    <row r="8722" spans="1:7" x14ac:dyDescent="0.25">
      <c r="A8722" s="69" t="s">
        <v>97</v>
      </c>
      <c r="B8722" s="72" t="str">
        <f>VLOOKUP(A8722,'Componentes APUs'!$N$1:$Q$30,2,0)</f>
        <v>Camioneta</v>
      </c>
      <c r="C8722" s="73"/>
      <c r="D8722" s="70" t="str">
        <f>VLOOKUP(A8722,'Componentes APUs'!$N$1:$Q$30,3,0)</f>
        <v>U</v>
      </c>
      <c r="E8722" s="50">
        <v>0.5</v>
      </c>
      <c r="F8722" s="51">
        <f>VLOOKUP(A8722,'Componentes APUs'!$N$1:$Q$30,4,0)</f>
        <v>5500000</v>
      </c>
      <c r="G8722" s="51">
        <f>IFERROR(ROUNDUP(F8722*(E8722/21)/E8675,0),"-")</f>
        <v>6548</v>
      </c>
    </row>
    <row r="8723" spans="1:7" x14ac:dyDescent="0.25">
      <c r="A8723" s="50" t="s">
        <v>1473</v>
      </c>
      <c r="B8723" s="72" t="str">
        <f>VLOOKUP(A8723,'Componentes APUs'!$N$1:$Q$30,2,0)</f>
        <v>Concretera</v>
      </c>
      <c r="C8723" s="73"/>
      <c r="D8723" s="70" t="str">
        <f>VLOOKUP(A8723,'Componentes APUs'!$N$1:$Q$30,3,0)</f>
        <v>U</v>
      </c>
      <c r="E8723" s="50">
        <v>0</v>
      </c>
      <c r="F8723" s="51">
        <f>VLOOKUP(A8723,'Componentes APUs'!$N$1:$Q$30,4,0)</f>
        <v>550704</v>
      </c>
      <c r="G8723" s="51">
        <f>IFERROR(ROUNDUP(F8723*(E8723/21)/E8675,0),"-")</f>
        <v>0</v>
      </c>
    </row>
    <row r="8724" spans="1:7" x14ac:dyDescent="0.25">
      <c r="A8724" s="69" t="s">
        <v>1379</v>
      </c>
      <c r="B8724" s="72" t="str">
        <f>VLOOKUP(A8724,'Componentes APUs'!$N$1:$Q$30,2,0)</f>
        <v>Dumper de descarga Frontal 2T</v>
      </c>
      <c r="C8724" s="73"/>
      <c r="D8724" s="70" t="str">
        <f>VLOOKUP(A8724,'Componentes APUs'!$N$1:$Q$30,3,0)</f>
        <v>U</v>
      </c>
      <c r="E8724" s="50">
        <v>0</v>
      </c>
      <c r="F8724" s="51">
        <f>VLOOKUP(A8724,'Componentes APUs'!$N$1:$Q$30,4,0)</f>
        <v>4438716.24</v>
      </c>
      <c r="G8724" s="51">
        <f>IFERROR(ROUNDUP(F8724*(E8724/21)/E8675,0),"-")</f>
        <v>0</v>
      </c>
    </row>
    <row r="8725" spans="1:7" x14ac:dyDescent="0.25">
      <c r="A8725" s="50" t="s">
        <v>323</v>
      </c>
      <c r="B8725" s="72" t="str">
        <f>VLOOKUP(A8725,'Componentes APUs'!$N$1:$Q$30,2,0)</f>
        <v>Volqueta</v>
      </c>
      <c r="C8725" s="73"/>
      <c r="D8725" s="70" t="str">
        <f>VLOOKUP(A8725,'Componentes APUs'!$N$1:$Q$30,3,0)</f>
        <v>U</v>
      </c>
      <c r="E8725" s="50">
        <v>0</v>
      </c>
      <c r="F8725" s="51">
        <f>VLOOKUP(A8725,'Componentes APUs'!$N$1:$Q$30,4,0)</f>
        <v>14828184</v>
      </c>
      <c r="G8725" s="51">
        <f>IFERROR(ROUNDUP(F8725*(E8725/21)/E8675,0),"-")</f>
        <v>0</v>
      </c>
    </row>
    <row r="8726" spans="1:7" x14ac:dyDescent="0.25">
      <c r="A8726" s="69" t="s">
        <v>324</v>
      </c>
      <c r="B8726" s="72" t="str">
        <f>VLOOKUP(A8726,'Componentes APUs'!$N$1:$Q$30,2,0)</f>
        <v>Retroexcavadora</v>
      </c>
      <c r="C8726" s="73"/>
      <c r="D8726" s="70" t="str">
        <f>VLOOKUP(A8726,'Componentes APUs'!$N$1:$Q$30,3,0)</f>
        <v>U</v>
      </c>
      <c r="E8726" s="50">
        <v>0</v>
      </c>
      <c r="F8726" s="51">
        <f>VLOOKUP(A8726,'Componentes APUs'!$N$1:$Q$30,4,0)</f>
        <v>46030656</v>
      </c>
      <c r="G8726" s="51">
        <f>IFERROR(ROUNDUP(F8726*(E8726/21)/E8675,0),"-")</f>
        <v>0</v>
      </c>
    </row>
    <row r="8727" spans="1:7" x14ac:dyDescent="0.25">
      <c r="A8727" s="219" t="s">
        <v>99</v>
      </c>
      <c r="B8727" s="219"/>
      <c r="C8727" s="219"/>
      <c r="D8727" s="219"/>
      <c r="E8727" s="219"/>
      <c r="F8727" s="219"/>
      <c r="G8727" s="52">
        <f>SUM(G8722:G8726)</f>
        <v>6548</v>
      </c>
    </row>
    <row r="8728" spans="1:7" x14ac:dyDescent="0.25">
      <c r="A8728" s="56"/>
      <c r="B8728" s="57"/>
      <c r="C8728" s="57"/>
      <c r="D8728" s="57"/>
      <c r="E8728" s="57"/>
      <c r="F8728" s="57"/>
      <c r="G8728" s="58"/>
    </row>
    <row r="8729" spans="1:7" x14ac:dyDescent="0.25">
      <c r="A8729" s="219" t="s">
        <v>100</v>
      </c>
      <c r="B8729" s="219"/>
      <c r="C8729" s="219"/>
      <c r="D8729" s="219"/>
      <c r="E8729" s="219"/>
      <c r="F8729" s="219"/>
      <c r="G8729" s="52">
        <f>G8727+G8718+G8701+G8691+G8681</f>
        <v>313849</v>
      </c>
    </row>
    <row r="8730" spans="1:7" x14ac:dyDescent="0.25">
      <c r="A8730" s="59"/>
      <c r="B8730" s="60"/>
      <c r="C8730" s="60"/>
      <c r="D8730" s="60"/>
      <c r="E8730" s="57"/>
      <c r="F8730" s="57"/>
      <c r="G8730" s="58"/>
    </row>
    <row r="8731" spans="1:7" x14ac:dyDescent="0.25">
      <c r="A8731" s="64"/>
      <c r="D8731" s="55"/>
      <c r="E8731" s="49" t="s">
        <v>25</v>
      </c>
      <c r="F8731" s="54">
        <v>0.15</v>
      </c>
      <c r="G8731" s="51">
        <f>G8729*F8731</f>
        <v>47077.35</v>
      </c>
    </row>
    <row r="8732" spans="1:7" x14ac:dyDescent="0.25">
      <c r="A8732" s="64"/>
      <c r="D8732" s="55"/>
      <c r="E8732" s="49" t="s">
        <v>26</v>
      </c>
      <c r="F8732" s="54">
        <v>0.05</v>
      </c>
      <c r="G8732" s="51">
        <f>G8729*F8732</f>
        <v>15692.45</v>
      </c>
    </row>
    <row r="8733" spans="1:7" x14ac:dyDescent="0.25">
      <c r="A8733" s="61"/>
      <c r="B8733" s="65"/>
      <c r="C8733" s="65"/>
      <c r="D8733" s="62"/>
      <c r="E8733" s="49" t="s">
        <v>27</v>
      </c>
      <c r="F8733" s="54">
        <v>0.05</v>
      </c>
      <c r="G8733" s="51">
        <f>G8729*F8733</f>
        <v>15692.45</v>
      </c>
    </row>
    <row r="8734" spans="1:7" x14ac:dyDescent="0.25">
      <c r="A8734" s="61"/>
      <c r="B8734" s="62"/>
      <c r="C8734" s="62"/>
      <c r="D8734" s="62"/>
      <c r="E8734" s="62"/>
      <c r="F8734" s="62"/>
      <c r="G8734" s="63"/>
    </row>
    <row r="8735" spans="1:7" x14ac:dyDescent="0.25">
      <c r="A8735" s="219" t="s">
        <v>101</v>
      </c>
      <c r="B8735" s="219"/>
      <c r="C8735" s="219"/>
      <c r="D8735" s="219"/>
      <c r="E8735" s="219"/>
      <c r="F8735" s="219"/>
      <c r="G8735" s="52">
        <f>G8729+G8731+G8732+G8733</f>
        <v>392311.25</v>
      </c>
    </row>
    <row r="8736" spans="1:7" x14ac:dyDescent="0.25">
      <c r="A8736" s="59"/>
      <c r="B8736" s="60"/>
      <c r="C8736" s="60"/>
      <c r="D8736" s="60"/>
      <c r="E8736" s="57"/>
      <c r="F8736" s="57"/>
      <c r="G8736" s="58"/>
    </row>
    <row r="8737" spans="1:13" x14ac:dyDescent="0.25">
      <c r="A8737" s="64"/>
      <c r="D8737" s="55"/>
      <c r="E8737" s="49" t="s">
        <v>102</v>
      </c>
      <c r="F8737" s="49" t="s">
        <v>103</v>
      </c>
      <c r="G8737" s="51">
        <f>G8733*19%</f>
        <v>2981.5655000000002</v>
      </c>
    </row>
    <row r="8738" spans="1:13" x14ac:dyDescent="0.25">
      <c r="A8738" s="61"/>
      <c r="B8738" s="62"/>
      <c r="C8738" s="62"/>
      <c r="D8738" s="62"/>
      <c r="E8738" s="57"/>
      <c r="F8738" s="57"/>
      <c r="G8738" s="58"/>
    </row>
    <row r="8739" spans="1:13" x14ac:dyDescent="0.25">
      <c r="A8739" s="219" t="s">
        <v>104</v>
      </c>
      <c r="B8739" s="219"/>
      <c r="C8739" s="219"/>
      <c r="D8739" s="219"/>
      <c r="E8739" s="219"/>
      <c r="F8739" s="219"/>
      <c r="G8739" s="52">
        <f>G8737+G8735</f>
        <v>395292.81550000003</v>
      </c>
    </row>
    <row r="8741" spans="1:13" x14ac:dyDescent="0.25">
      <c r="A8741" s="74" t="s">
        <v>29</v>
      </c>
      <c r="B8741" s="226" t="s">
        <v>30</v>
      </c>
      <c r="C8741" s="226"/>
      <c r="D8741" s="74" t="s">
        <v>31</v>
      </c>
      <c r="E8741" s="74" t="s">
        <v>32</v>
      </c>
      <c r="F8741" s="74" t="s">
        <v>189</v>
      </c>
      <c r="G8741" s="74" t="s">
        <v>33</v>
      </c>
      <c r="H8741" s="105"/>
    </row>
    <row r="8742" spans="1:13" ht="27" customHeight="1" x14ac:dyDescent="0.25">
      <c r="A8742" s="50" t="str">
        <f>Presupuesto!B164</f>
        <v>140_OC</v>
      </c>
      <c r="B8742" s="229" t="str">
        <f>Presupuesto!C164</f>
        <v>CUNETA PREFABRICADA EN CONCRETO (27 ANCHO X40 ALTURA X100 LARGO CM )</v>
      </c>
      <c r="C8742" s="230"/>
      <c r="D8742" s="50" t="s">
        <v>8</v>
      </c>
      <c r="E8742" s="107">
        <v>20</v>
      </c>
      <c r="F8742" s="50"/>
      <c r="G8742" s="51">
        <f>G8809</f>
        <v>232847.5435</v>
      </c>
      <c r="H8742" s="111"/>
    </row>
    <row r="8743" spans="1:13" x14ac:dyDescent="0.25">
      <c r="A8743" s="219" t="s">
        <v>34</v>
      </c>
      <c r="B8743" s="219"/>
      <c r="C8743" s="219"/>
      <c r="D8743" s="219"/>
      <c r="E8743" s="219"/>
      <c r="F8743" s="219"/>
      <c r="G8743" s="219"/>
    </row>
    <row r="8744" spans="1:13" ht="30.75" customHeight="1" x14ac:dyDescent="0.25">
      <c r="A8744" s="49" t="s">
        <v>35</v>
      </c>
      <c r="B8744" s="219" t="s">
        <v>36</v>
      </c>
      <c r="C8744" s="219"/>
      <c r="D8744" s="49" t="s">
        <v>37</v>
      </c>
      <c r="E8744" s="49" t="s">
        <v>38</v>
      </c>
      <c r="F8744" s="49" t="s">
        <v>39</v>
      </c>
      <c r="G8744" s="49" t="s">
        <v>40</v>
      </c>
      <c r="K8744" s="23"/>
      <c r="L8744" s="23"/>
    </row>
    <row r="8745" spans="1:13" x14ac:dyDescent="0.25">
      <c r="A8745" s="50" t="str">
        <f>Material!A358</f>
        <v>MA-357</v>
      </c>
      <c r="B8745" s="72" t="str">
        <f>IFERROR(VLOOKUP(A8745,Material!$A:$H,2,0),"-")</f>
        <v>CUNETA PREFABRICADA (46x100 CM)</v>
      </c>
      <c r="C8745" s="76"/>
      <c r="D8745" s="50" t="str">
        <f>IFERROR(VLOOKUP(A8745,Material!$A:$H,4,0),"-")</f>
        <v>UN</v>
      </c>
      <c r="E8745" s="107">
        <v>1</v>
      </c>
      <c r="F8745" s="51">
        <f>IFERROR(VLOOKUP(A8745,Material!$A:$H,3,0),"-")</f>
        <v>153553.4</v>
      </c>
      <c r="G8745" s="51">
        <f t="shared" ref="G8745:G8750" si="128">IFERROR(ROUNDUP(F8745*E8745,0),"-")</f>
        <v>153554</v>
      </c>
      <c r="H8745" s="112"/>
      <c r="I8745" s="110"/>
      <c r="J8745" s="113"/>
      <c r="K8745" s="114"/>
      <c r="L8745" s="115"/>
      <c r="M8745" s="115"/>
    </row>
    <row r="8746" spans="1:13" x14ac:dyDescent="0.25">
      <c r="A8746" s="50"/>
      <c r="B8746" s="72" t="str">
        <f>IFERROR(VLOOKUP(A8746,Material!$A:$H,2,0),"-")</f>
        <v>-</v>
      </c>
      <c r="C8746" s="76"/>
      <c r="D8746" s="50" t="str">
        <f>IFERROR(VLOOKUP(A8746,Material!$A:$H,4,0),"-")</f>
        <v>-</v>
      </c>
      <c r="E8746" s="109"/>
      <c r="F8746" s="51" t="str">
        <f>IFERROR(VLOOKUP(A8746,Material!$A:$H,3,0),"-")</f>
        <v>-</v>
      </c>
      <c r="G8746" s="51" t="str">
        <f t="shared" si="128"/>
        <v>-</v>
      </c>
      <c r="H8746" s="112"/>
      <c r="I8746" s="110"/>
      <c r="J8746" s="113"/>
      <c r="K8746" s="114"/>
      <c r="L8746" s="115"/>
      <c r="M8746" s="115"/>
    </row>
    <row r="8747" spans="1:13" x14ac:dyDescent="0.25">
      <c r="A8747" s="50"/>
      <c r="B8747" s="72" t="str">
        <f>IFERROR(VLOOKUP(A8747,Material!$A:$H,2,0),"-")</f>
        <v>-</v>
      </c>
      <c r="C8747" s="76"/>
      <c r="D8747" s="50" t="str">
        <f>IFERROR(VLOOKUP(A8747,Material!$A:$H,4,0),"-")</f>
        <v>-</v>
      </c>
      <c r="E8747" s="107"/>
      <c r="F8747" s="51" t="str">
        <f>IFERROR(VLOOKUP(A8747,Material!$A:$H,3,0),"-")</f>
        <v>-</v>
      </c>
      <c r="G8747" s="51" t="str">
        <f t="shared" si="128"/>
        <v>-</v>
      </c>
      <c r="H8747" s="112"/>
      <c r="I8747" s="110"/>
      <c r="J8747" s="113"/>
      <c r="K8747" s="114"/>
      <c r="L8747" s="115"/>
      <c r="M8747" s="115"/>
    </row>
    <row r="8748" spans="1:13" x14ac:dyDescent="0.25">
      <c r="A8748" s="50"/>
      <c r="B8748" s="72" t="str">
        <f>IFERROR(VLOOKUP(A8748,Material!$A:$H,2,0),"-")</f>
        <v>-</v>
      </c>
      <c r="C8748" s="76"/>
      <c r="D8748" s="50" t="str">
        <f>IFERROR(VLOOKUP(A8748,Material!$A:$H,4,0),"-")</f>
        <v>-</v>
      </c>
      <c r="E8748" s="107"/>
      <c r="F8748" s="51" t="str">
        <f>IFERROR(VLOOKUP(A8748,Material!$A:$H,3,0),"-")</f>
        <v>-</v>
      </c>
      <c r="G8748" s="51" t="str">
        <f t="shared" si="128"/>
        <v>-</v>
      </c>
      <c r="H8748" s="112"/>
      <c r="I8748" s="110"/>
      <c r="J8748" s="113"/>
      <c r="K8748" s="114"/>
      <c r="L8748" s="115"/>
      <c r="M8748" s="115"/>
    </row>
    <row r="8749" spans="1:13" x14ac:dyDescent="0.25">
      <c r="A8749" s="50"/>
      <c r="B8749" s="72" t="str">
        <f>IFERROR(VLOOKUP(A8749,Material!$A:$H,2,0),"-")</f>
        <v>-</v>
      </c>
      <c r="C8749" s="76"/>
      <c r="D8749" s="50" t="str">
        <f>IFERROR(VLOOKUP(A8749,Material!$A:$H,4,0),"-")</f>
        <v>-</v>
      </c>
      <c r="E8749" s="107"/>
      <c r="F8749" s="51" t="str">
        <f>IFERROR(VLOOKUP(A8749,Material!$A:$H,3,0),"-")</f>
        <v>-</v>
      </c>
      <c r="G8749" s="51" t="str">
        <f t="shared" si="128"/>
        <v>-</v>
      </c>
      <c r="H8749" s="112"/>
      <c r="I8749" s="110"/>
      <c r="J8749" s="113"/>
      <c r="K8749" s="114"/>
      <c r="L8749" s="115"/>
      <c r="M8749" s="115"/>
    </row>
    <row r="8750" spans="1:13" x14ac:dyDescent="0.25">
      <c r="A8750" s="50"/>
      <c r="B8750" s="72" t="str">
        <f>IFERROR(VLOOKUP(A8750,Material!$A:$H,2,0),"-")</f>
        <v>-</v>
      </c>
      <c r="C8750" s="76"/>
      <c r="D8750" s="50" t="str">
        <f>IFERROR(VLOOKUP(A8750,Material!$A:$H,4,0),"-")</f>
        <v>-</v>
      </c>
      <c r="E8750" s="107"/>
      <c r="F8750" s="51" t="str">
        <f>IFERROR(VLOOKUP(A8750,Material!$A:$H,3,0),"-")</f>
        <v>-</v>
      </c>
      <c r="G8750" s="51" t="str">
        <f t="shared" si="128"/>
        <v>-</v>
      </c>
      <c r="H8750" s="112"/>
      <c r="I8750" s="110"/>
      <c r="J8750" s="113"/>
      <c r="K8750" s="114"/>
      <c r="L8750" s="115"/>
      <c r="M8750" s="114"/>
    </row>
    <row r="8751" spans="1:13" x14ac:dyDescent="0.25">
      <c r="A8751" s="219" t="s">
        <v>41</v>
      </c>
      <c r="B8751" s="219"/>
      <c r="C8751" s="219"/>
      <c r="D8751" s="219"/>
      <c r="E8751" s="219"/>
      <c r="F8751" s="219"/>
      <c r="G8751" s="52">
        <f>SUM(G8745:G8750)</f>
        <v>153554</v>
      </c>
      <c r="I8751" s="104"/>
    </row>
    <row r="8752" spans="1:13" x14ac:dyDescent="0.25">
      <c r="A8752" s="56"/>
      <c r="B8752" s="57"/>
      <c r="C8752" s="57"/>
      <c r="D8752" s="57"/>
      <c r="E8752" s="57"/>
      <c r="F8752" s="57"/>
      <c r="G8752" s="58"/>
    </row>
    <row r="8753" spans="1:9" x14ac:dyDescent="0.25">
      <c r="A8753" s="219" t="s">
        <v>42</v>
      </c>
      <c r="B8753" s="219"/>
      <c r="C8753" s="219"/>
      <c r="D8753" s="219"/>
      <c r="E8753" s="219"/>
      <c r="F8753" s="219"/>
      <c r="G8753" s="219"/>
    </row>
    <row r="8754" spans="1:9" x14ac:dyDescent="0.25">
      <c r="A8754" s="49" t="s">
        <v>35</v>
      </c>
      <c r="B8754" s="49" t="s">
        <v>36</v>
      </c>
      <c r="C8754" s="49" t="s">
        <v>38</v>
      </c>
      <c r="D8754" s="49" t="s">
        <v>43</v>
      </c>
      <c r="E8754" s="49" t="s">
        <v>44</v>
      </c>
      <c r="F8754" s="49" t="s">
        <v>45</v>
      </c>
      <c r="G8754" s="49" t="s">
        <v>40</v>
      </c>
    </row>
    <row r="8755" spans="1:9" x14ac:dyDescent="0.25">
      <c r="A8755" s="50" t="s">
        <v>319</v>
      </c>
      <c r="B8755" s="68" t="str">
        <f>VLOOKUP(A8755,'Componentes APUs'!$H$1:$L$25,2,0)</f>
        <v>Ingeniero Residente de Obra</v>
      </c>
      <c r="C8755" s="93">
        <v>0.25</v>
      </c>
      <c r="D8755" s="50">
        <f>VLOOKUP(A8755,'Componentes APUs'!$H$1:$L$25,3,0)</f>
        <v>4</v>
      </c>
      <c r="E8755" s="51">
        <f>VLOOKUP(A8755,'Componentes APUs'!$H$1:$L$25,4,0)</f>
        <v>271142.85714285716</v>
      </c>
      <c r="F8755" s="51">
        <f>VLOOKUP(A8755,'Componentes APUs'!$H$1:$L$25,5,0)</f>
        <v>162685.71428571429</v>
      </c>
      <c r="G8755" s="51">
        <f>ROUNDUP((E8755+F8755)*C8755/E8742,0)</f>
        <v>5423</v>
      </c>
      <c r="H8755" s="66"/>
    </row>
    <row r="8756" spans="1:9" x14ac:dyDescent="0.25">
      <c r="A8756" s="50" t="s">
        <v>320</v>
      </c>
      <c r="B8756" s="68" t="str">
        <f>VLOOKUP(A8756,'Componentes APUs'!$H$1:$L$25,2,0)</f>
        <v>Tecnico Supervisor</v>
      </c>
      <c r="C8756" s="93">
        <v>0</v>
      </c>
      <c r="D8756" s="50">
        <f>VLOOKUP(A8756,'Componentes APUs'!$H$1:$L$25,3,0)</f>
        <v>2.2999999999999998</v>
      </c>
      <c r="E8756" s="51">
        <f>VLOOKUP(A8756,'Componentes APUs'!$H$1:$L$25,4,0)</f>
        <v>155907.14285714284</v>
      </c>
      <c r="F8756" s="51">
        <f>VLOOKUP(A8756,'Componentes APUs'!$H$1:$L$25,5,0)</f>
        <v>93544.285714285696</v>
      </c>
      <c r="G8756" s="51">
        <f>ROUNDUP((E8756+F8756)*C8756/E8742,0)</f>
        <v>0</v>
      </c>
    </row>
    <row r="8757" spans="1:9" x14ac:dyDescent="0.25">
      <c r="A8757" s="50" t="s">
        <v>54</v>
      </c>
      <c r="B8757" s="68" t="str">
        <f>VLOOKUP(A8757,'Componentes APUs'!$H$1:$L$25,2,0)</f>
        <v>Maestro de obra civil</v>
      </c>
      <c r="C8757" s="93">
        <v>0</v>
      </c>
      <c r="D8757" s="50">
        <f>VLOOKUP(A8757,'Componentes APUs'!$H$1:$L$25,3,0)</f>
        <v>2.5</v>
      </c>
      <c r="E8757" s="51">
        <f>VLOOKUP(A8757,'Componentes APUs'!$H$1:$L$25,4,0)</f>
        <v>169464.28571428571</v>
      </c>
      <c r="F8757" s="51">
        <f>VLOOKUP(A8757,'Componentes APUs'!$H$1:$L$25,5,0)</f>
        <v>101678.57142857142</v>
      </c>
      <c r="G8757" s="51">
        <f>ROUNDUP((E8757+F8757)*C8757/E8742,0)</f>
        <v>0</v>
      </c>
    </row>
    <row r="8758" spans="1:9" x14ac:dyDescent="0.25">
      <c r="A8758" s="50" t="s">
        <v>1110</v>
      </c>
      <c r="B8758" s="68" t="str">
        <f>VLOOKUP(A8758,'Componentes APUs'!$H$1:$L$25,2,0)</f>
        <v>Oficial de Obra Civil</v>
      </c>
      <c r="C8758" s="93">
        <v>1</v>
      </c>
      <c r="D8758" s="50">
        <f>VLOOKUP(A8758,'Componentes APUs'!$H$1:$L$25,3,0)</f>
        <v>1.5</v>
      </c>
      <c r="E8758" s="51">
        <f>VLOOKUP(A8758,'Componentes APUs'!$H$1:$L$25,4,0)</f>
        <v>115964.28571428571</v>
      </c>
      <c r="F8758" s="51">
        <f>VLOOKUP(A8758,'Componentes APUs'!$H$1:$L$25,5,0)</f>
        <v>69578.57142857142</v>
      </c>
      <c r="G8758" s="51">
        <f>ROUNDUP((E8758+F8758)*C8758/E8742,0)</f>
        <v>9278</v>
      </c>
    </row>
    <row r="8759" spans="1:9" x14ac:dyDescent="0.25">
      <c r="A8759" s="50" t="s">
        <v>50</v>
      </c>
      <c r="B8759" s="68" t="str">
        <f>VLOOKUP(A8759,'Componentes APUs'!$H$1:$L$25,2,0)</f>
        <v>Profesional en SST</v>
      </c>
      <c r="C8759" s="93">
        <v>0.25</v>
      </c>
      <c r="D8759" s="50">
        <f>VLOOKUP(A8759,'Componentes APUs'!$H$1:$L$25,3,0)</f>
        <v>2.5</v>
      </c>
      <c r="E8759" s="51">
        <f>VLOOKUP(A8759,'Componentes APUs'!$H$1:$L$25,4,0)</f>
        <v>169464.28571428571</v>
      </c>
      <c r="F8759" s="51">
        <f>VLOOKUP(A8759,'Componentes APUs'!$H$1:$L$25,5,0)</f>
        <v>101678.57142857142</v>
      </c>
      <c r="G8759" s="51">
        <f>ROUNDUP((E8759+F8759)*C8759/E8742,0)</f>
        <v>3390</v>
      </c>
    </row>
    <row r="8760" spans="1:9" x14ac:dyDescent="0.25">
      <c r="A8760" s="50" t="s">
        <v>1109</v>
      </c>
      <c r="B8760" s="68" t="str">
        <f>VLOOKUP(A8760,'Componentes APUs'!$H$1:$L$25,2,0)</f>
        <v>Ayudante de Obra Civil</v>
      </c>
      <c r="C8760" s="93">
        <v>1</v>
      </c>
      <c r="D8760" s="50">
        <f>VLOOKUP(A8760,'Componentes APUs'!$H$1:$L$25,3,0)</f>
        <v>1</v>
      </c>
      <c r="E8760" s="51">
        <f>VLOOKUP(A8760,'Componentes APUs'!$H$1:$L$25,4,0)</f>
        <v>77309.523809523816</v>
      </c>
      <c r="F8760" s="51">
        <f>VLOOKUP(A8760,'Componentes APUs'!$H$1:$L$25,5,0)</f>
        <v>46385.71428571429</v>
      </c>
      <c r="G8760" s="51">
        <f>ROUNDUP((E8760+F8760)*C8760/E8742,0)</f>
        <v>6185</v>
      </c>
    </row>
    <row r="8761" spans="1:9" x14ac:dyDescent="0.25">
      <c r="A8761" s="219" t="s">
        <v>56</v>
      </c>
      <c r="B8761" s="219"/>
      <c r="C8761" s="219"/>
      <c r="D8761" s="219"/>
      <c r="E8761" s="219"/>
      <c r="F8761" s="219"/>
      <c r="G8761" s="52">
        <f>SUM(G8755:G8760)</f>
        <v>24276</v>
      </c>
    </row>
    <row r="8762" spans="1:9" x14ac:dyDescent="0.25">
      <c r="A8762" s="56"/>
      <c r="B8762" s="57"/>
      <c r="C8762" s="57"/>
      <c r="D8762" s="57"/>
      <c r="E8762" s="57"/>
      <c r="F8762" s="57"/>
      <c r="G8762" s="58"/>
    </row>
    <row r="8763" spans="1:9" x14ac:dyDescent="0.25">
      <c r="A8763" s="219" t="s">
        <v>57</v>
      </c>
      <c r="B8763" s="219"/>
      <c r="C8763" s="219"/>
      <c r="D8763" s="219"/>
      <c r="E8763" s="219"/>
      <c r="F8763" s="219"/>
      <c r="G8763" s="219"/>
    </row>
    <row r="8764" spans="1:9" x14ac:dyDescent="0.25">
      <c r="A8764" s="49" t="s">
        <v>35</v>
      </c>
      <c r="B8764" s="219" t="s">
        <v>36</v>
      </c>
      <c r="C8764" s="219"/>
      <c r="D8764" s="49" t="s">
        <v>37</v>
      </c>
      <c r="E8764" s="49" t="s">
        <v>38</v>
      </c>
      <c r="F8764" s="49" t="s">
        <v>39</v>
      </c>
      <c r="G8764" s="49" t="s">
        <v>40</v>
      </c>
    </row>
    <row r="8765" spans="1:9" x14ac:dyDescent="0.25">
      <c r="A8765" s="50" t="s">
        <v>326</v>
      </c>
      <c r="B8765" s="220" t="str">
        <f>VLOOKUP(A8765,'Componentes APUs'!$S$1:$V$10,2,0)</f>
        <v>Juego Llaves</v>
      </c>
      <c r="C8765" s="220"/>
      <c r="D8765" s="50" t="s">
        <v>18</v>
      </c>
      <c r="E8765" s="50">
        <v>0</v>
      </c>
      <c r="F8765" s="51">
        <f>VLOOKUP(A8765,'Componentes APUs'!$S$1:$V$10,4,0)</f>
        <v>9167</v>
      </c>
      <c r="G8765" s="51">
        <f>ROUNDUP(F8765*((E8765/21)/E8742),0)</f>
        <v>0</v>
      </c>
      <c r="I8765" s="91"/>
    </row>
    <row r="8766" spans="1:9" x14ac:dyDescent="0.25">
      <c r="A8766" s="50" t="s">
        <v>58</v>
      </c>
      <c r="B8766" s="220" t="str">
        <f>VLOOKUP(A8766,'Componentes APUs'!$S$1:$V$10,2,0)</f>
        <v>Manila de servicio</v>
      </c>
      <c r="C8766" s="220"/>
      <c r="D8766" s="50" t="s">
        <v>18</v>
      </c>
      <c r="E8766" s="50">
        <v>0</v>
      </c>
      <c r="F8766" s="51">
        <f>VLOOKUP(A8766,'Componentes APUs'!$S$1:$V$10,4,0)</f>
        <v>2333</v>
      </c>
      <c r="G8766" s="51">
        <f>ROUNDUP(F8766*((E8766/21)/E8742),0)</f>
        <v>0</v>
      </c>
    </row>
    <row r="8767" spans="1:9" x14ac:dyDescent="0.25">
      <c r="A8767" s="50" t="s">
        <v>327</v>
      </c>
      <c r="B8767" s="220" t="str">
        <f>VLOOKUP(A8767,'Componentes APUs'!$S$1:$V$10,2,0)</f>
        <v>Tula portaherramientas</v>
      </c>
      <c r="C8767" s="220"/>
      <c r="D8767" s="50" t="s">
        <v>18</v>
      </c>
      <c r="E8767" s="50">
        <v>0</v>
      </c>
      <c r="F8767" s="51">
        <f>VLOOKUP(A8767,'Componentes APUs'!$S$1:$V$10,4,0)</f>
        <v>1250</v>
      </c>
      <c r="G8767" s="51">
        <f>ROUNDUP(F8767*((E8767/21)/E8742),0)</f>
        <v>0</v>
      </c>
    </row>
    <row r="8768" spans="1:9" x14ac:dyDescent="0.25">
      <c r="A8768" s="50" t="s">
        <v>60</v>
      </c>
      <c r="B8768" s="220" t="str">
        <f>VLOOKUP(A8768,'Componentes APUs'!$S$1:$V$10,2,0)</f>
        <v>Agarradoras</v>
      </c>
      <c r="C8768" s="220"/>
      <c r="D8768" s="50" t="s">
        <v>18</v>
      </c>
      <c r="E8768" s="50">
        <v>0</v>
      </c>
      <c r="F8768" s="51">
        <f>VLOOKUP(A8768,'Componentes APUs'!$S$1:$V$10,4,0)</f>
        <v>125000</v>
      </c>
      <c r="G8768" s="51">
        <f>ROUNDUP(F8768*((E8768/21)/E8742),0)</f>
        <v>0</v>
      </c>
    </row>
    <row r="8769" spans="1:9" x14ac:dyDescent="0.25">
      <c r="A8769" s="50" t="s">
        <v>62</v>
      </c>
      <c r="B8769" s="220" t="str">
        <f>VLOOKUP(A8769,'Componentes APUs'!$S$1:$V$10,2,0)</f>
        <v>Templadoras</v>
      </c>
      <c r="C8769" s="220"/>
      <c r="D8769" s="50" t="s">
        <v>18</v>
      </c>
      <c r="E8769" s="50">
        <v>0</v>
      </c>
      <c r="F8769" s="51">
        <f>VLOOKUP(A8769,'Componentes APUs'!$S$1:$V$10,4,0)</f>
        <v>250000</v>
      </c>
      <c r="G8769" s="51">
        <f>ROUNDUP(F8769*((E8769/21)/E8742),0)</f>
        <v>0</v>
      </c>
    </row>
    <row r="8770" spans="1:9" x14ac:dyDescent="0.25">
      <c r="A8770" s="50" t="s">
        <v>328</v>
      </c>
      <c r="B8770" s="220" t="str">
        <f>VLOOKUP(A8770,'Componentes APUs'!$S$1:$V$10,2,0)</f>
        <v>Herramienta Menor</v>
      </c>
      <c r="C8770" s="220"/>
      <c r="D8770" s="50" t="s">
        <v>18</v>
      </c>
      <c r="E8770" s="50">
        <v>1</v>
      </c>
      <c r="F8770" s="51">
        <f>VLOOKUP(A8770,'Componentes APUs'!$S$1:$V$10,4,0)</f>
        <v>75758</v>
      </c>
      <c r="G8770" s="51">
        <f>ROUNDUP(F8770*((E8770/21)/E8742),0)</f>
        <v>181</v>
      </c>
    </row>
    <row r="8771" spans="1:9" x14ac:dyDescent="0.25">
      <c r="A8771" s="219" t="s">
        <v>69</v>
      </c>
      <c r="B8771" s="219"/>
      <c r="C8771" s="219"/>
      <c r="D8771" s="219"/>
      <c r="E8771" s="219"/>
      <c r="F8771" s="219"/>
      <c r="G8771" s="52">
        <f>SUM(G8765:G8770)</f>
        <v>181</v>
      </c>
    </row>
    <row r="8772" spans="1:9" x14ac:dyDescent="0.25">
      <c r="A8772" s="56"/>
      <c r="B8772" s="57"/>
      <c r="C8772" s="57"/>
      <c r="D8772" s="57"/>
      <c r="E8772" s="57"/>
      <c r="F8772" s="57"/>
      <c r="G8772" s="58"/>
    </row>
    <row r="8773" spans="1:9" x14ac:dyDescent="0.25">
      <c r="A8773" s="219" t="s">
        <v>70</v>
      </c>
      <c r="B8773" s="219"/>
      <c r="C8773" s="219"/>
      <c r="D8773" s="219"/>
      <c r="E8773" s="219"/>
      <c r="F8773" s="219"/>
      <c r="G8773" s="219"/>
    </row>
    <row r="8774" spans="1:9" x14ac:dyDescent="0.25">
      <c r="A8774" s="49" t="s">
        <v>35</v>
      </c>
      <c r="B8774" s="219" t="s">
        <v>36</v>
      </c>
      <c r="C8774" s="219"/>
      <c r="D8774" s="49" t="s">
        <v>37</v>
      </c>
      <c r="E8774" s="49" t="s">
        <v>38</v>
      </c>
      <c r="F8774" s="49" t="s">
        <v>39</v>
      </c>
      <c r="G8774" s="49" t="s">
        <v>40</v>
      </c>
    </row>
    <row r="8775" spans="1:9" x14ac:dyDescent="0.25">
      <c r="A8775" s="50" t="s">
        <v>71</v>
      </c>
      <c r="B8775" s="71" t="str">
        <f>VLOOKUP(A8775,'Componentes APUs'!$A$1:$D$14,2,0)</f>
        <v>Camisa indigo sin partes metalicas</v>
      </c>
      <c r="C8775" s="71"/>
      <c r="D8775" s="50" t="str">
        <f>VLOOKUP(A8775,'Componentes APUs'!$A$1:$D$14,3,0)</f>
        <v>U</v>
      </c>
      <c r="E8775" s="50">
        <f>SUM(C8755:C8760)</f>
        <v>2.5</v>
      </c>
      <c r="F8775" s="51">
        <f>VLOOKUP(A8775,'Componentes APUs'!$A$1:$D$14,4,0)</f>
        <v>8585.8585858585866</v>
      </c>
      <c r="G8775" s="51">
        <f>ROUNDUP(F8775*(E8775/21)/E8742,0)</f>
        <v>52</v>
      </c>
      <c r="I8775" s="91"/>
    </row>
    <row r="8776" spans="1:9" x14ac:dyDescent="0.25">
      <c r="A8776" s="69" t="s">
        <v>73</v>
      </c>
      <c r="B8776" s="72" t="str">
        <f>VLOOKUP(A8776,'Componentes APUs'!$A$1:$D$14,2,0)</f>
        <v>Bota de seguridad dielectrica</v>
      </c>
      <c r="C8776" s="73"/>
      <c r="D8776" s="70" t="str">
        <f>VLOOKUP(A8776,'Componentes APUs'!$A$1:$D$14,3,0)</f>
        <v>Par</v>
      </c>
      <c r="E8776" s="50">
        <f>SUM(C8755:C8760)</f>
        <v>2.5</v>
      </c>
      <c r="F8776" s="51">
        <f>VLOOKUP(A8776,'Componentes APUs'!$A$1:$D$14,4,0)</f>
        <v>7500</v>
      </c>
      <c r="G8776" s="51">
        <f>ROUNDUP(F8776*(E8776/21)/E8742,0)</f>
        <v>45</v>
      </c>
    </row>
    <row r="8777" spans="1:9" x14ac:dyDescent="0.25">
      <c r="A8777" s="50" t="s">
        <v>76</v>
      </c>
      <c r="B8777" s="72" t="str">
        <f>VLOOKUP(A8777,'Componentes APUs'!$A$1:$D$14,2,0)</f>
        <v>Casco dielectrico Tipo 1 Clase E con barbuquejo</v>
      </c>
      <c r="C8777" s="73"/>
      <c r="D8777" s="50" t="str">
        <f>VLOOKUP(A8777,'Componentes APUs'!$A$1:$D$14,3,0)</f>
        <v>U</v>
      </c>
      <c r="E8777" s="50">
        <f>C8755+C8756+C8758+C8759+C8760+IF(A8757&lt;&gt;"MO-3",C8757,0)</f>
        <v>2.5</v>
      </c>
      <c r="F8777" s="51">
        <f>VLOOKUP(A8777,'Componentes APUs'!$A$1:$D$14,4,0)</f>
        <v>10101.010101010101</v>
      </c>
      <c r="G8777" s="51">
        <f>ROUNDUP(F8777*(E8777/21)/E8742,0)</f>
        <v>61</v>
      </c>
    </row>
    <row r="8778" spans="1:9" x14ac:dyDescent="0.25">
      <c r="A8778" s="69" t="s">
        <v>77</v>
      </c>
      <c r="B8778" s="72" t="str">
        <f>VLOOKUP(A8778,'Componentes APUs'!$A$1:$D$14,2,0)</f>
        <v>Correa plastica y antiflama</v>
      </c>
      <c r="C8778" s="73"/>
      <c r="D8778" s="50" t="str">
        <f>VLOOKUP(A8778,'Componentes APUs'!$A$1:$D$14,3,0)</f>
        <v>U</v>
      </c>
      <c r="E8778" s="50">
        <f>SUM(C8755:C8760)</f>
        <v>2.5</v>
      </c>
      <c r="F8778" s="51">
        <f>VLOOKUP(A8778,'Componentes APUs'!$A$1:$D$14,4,0)</f>
        <v>3787.878787878788</v>
      </c>
      <c r="G8778" s="51">
        <f>ROUNDUP(F8778*(E8778/21)/E8742,0)</f>
        <v>23</v>
      </c>
    </row>
    <row r="8779" spans="1:9" x14ac:dyDescent="0.25">
      <c r="A8779" s="50" t="s">
        <v>79</v>
      </c>
      <c r="B8779" s="72" t="str">
        <f>VLOOKUP(A8779,'Componentes APUs'!$A$1:$D$14,2,0)</f>
        <v>Gafas protectoras filtro UV</v>
      </c>
      <c r="C8779" s="73"/>
      <c r="D8779" s="50" t="str">
        <f>VLOOKUP(A8779,'Componentes APUs'!$A$1:$D$14,3,0)</f>
        <v>U</v>
      </c>
      <c r="E8779" s="50">
        <f>SUM(C8755:C8760)</f>
        <v>2.5</v>
      </c>
      <c r="F8779" s="51">
        <f>VLOOKUP(A8779,'Componentes APUs'!$A$1:$D$14,4,0)</f>
        <v>2777.7777777777778</v>
      </c>
      <c r="G8779" s="51">
        <f>ROUNDUP(F8779*(E8779/21)/E8742,0)</f>
        <v>17</v>
      </c>
    </row>
    <row r="8780" spans="1:9" x14ac:dyDescent="0.25">
      <c r="A8780" s="69" t="s">
        <v>402</v>
      </c>
      <c r="B8780" s="72" t="str">
        <f>VLOOKUP(A8780,'Componentes APUs'!$A$1:$D$14,2,0)</f>
        <v>Bota de seguridad PVC dielectrica</v>
      </c>
      <c r="C8780" s="73"/>
      <c r="D8780" s="50" t="str">
        <f>VLOOKUP(A8780,'Componentes APUs'!$A$1:$D$14,3,0)</f>
        <v>Par</v>
      </c>
      <c r="E8780" s="50">
        <f>SUM(C8755:C8760)</f>
        <v>2.5</v>
      </c>
      <c r="F8780" s="51">
        <f>VLOOKUP(A8780,'Componentes APUs'!$A$1:$D$14,4,0)</f>
        <v>2916.6666666666665</v>
      </c>
      <c r="G8780" s="51">
        <f>ROUNDUP(F8780*(E8780/21)/E8742,0)</f>
        <v>18</v>
      </c>
    </row>
    <row r="8781" spans="1:9" x14ac:dyDescent="0.25">
      <c r="A8781" s="50" t="s">
        <v>403</v>
      </c>
      <c r="B8781" s="72" t="str">
        <f>VLOOKUP(A8781,'Componentes APUs'!$A$1:$D$14,2,0)</f>
        <v>Capuchon</v>
      </c>
      <c r="C8781" s="73"/>
      <c r="D8781" s="50" t="str">
        <f>VLOOKUP(A8781,'Componentes APUs'!$A$1:$D$14,3,0)</f>
        <v>U</v>
      </c>
      <c r="E8781" s="50">
        <f>SUM(C8755:C8760)</f>
        <v>2.5</v>
      </c>
      <c r="F8781" s="51">
        <f>VLOOKUP(A8781,'Componentes APUs'!$A$1:$D$14,4,0)</f>
        <v>2525.2525252525252</v>
      </c>
      <c r="G8781" s="51">
        <f>ROUNDUP(F8781*(E8781/21)/E8742,0)</f>
        <v>16</v>
      </c>
    </row>
    <row r="8782" spans="1:9" x14ac:dyDescent="0.25">
      <c r="A8782" s="69" t="s">
        <v>81</v>
      </c>
      <c r="B8782" s="72" t="str">
        <f>VLOOKUP(A8782,'Componentes APUs'!$A$1:$D$14,2,0)</f>
        <v>Guantes Protectores  - ingeniero reforzados</v>
      </c>
      <c r="C8782" s="73"/>
      <c r="D8782" s="50" t="str">
        <f>VLOOKUP(A8782,'Componentes APUs'!$A$1:$D$14,3,0)</f>
        <v>Par</v>
      </c>
      <c r="E8782" s="50">
        <f>C8757+C8758+C8760</f>
        <v>2</v>
      </c>
      <c r="F8782" s="51">
        <f>VLOOKUP(A8782,'Componentes APUs'!$A$1:$D$14,4,0)</f>
        <v>2525.2525252525252</v>
      </c>
      <c r="G8782" s="51">
        <f>ROUNDUP(F8782*(E8782/21)/E8742,0)</f>
        <v>13</v>
      </c>
    </row>
    <row r="8783" spans="1:9" x14ac:dyDescent="0.25">
      <c r="A8783" s="50" t="s">
        <v>83</v>
      </c>
      <c r="B8783" s="72" t="str">
        <f>VLOOKUP(A8783,'Componentes APUs'!$A$1:$D$14,2,0)</f>
        <v>Impermeable (pantalon camisa)</v>
      </c>
      <c r="C8783" s="73"/>
      <c r="D8783" s="50" t="str">
        <f>VLOOKUP(A8783,'Componentes APUs'!$A$1:$D$14,3,0)</f>
        <v>U</v>
      </c>
      <c r="E8783" s="50">
        <f>SUM(C8755:C8760)</f>
        <v>2.5</v>
      </c>
      <c r="F8783" s="51">
        <f>VLOOKUP(A8783,'Componentes APUs'!$A$1:$D$14,4,0)</f>
        <v>3750</v>
      </c>
      <c r="G8783" s="51">
        <f>ROUNDUP(F8783*(E8783/21)/E8742,0)</f>
        <v>23</v>
      </c>
    </row>
    <row r="8784" spans="1:9" x14ac:dyDescent="0.25">
      <c r="A8784" s="69" t="s">
        <v>85</v>
      </c>
      <c r="B8784" s="72" t="str">
        <f>VLOOKUP(A8784,'Componentes APUs'!$A$1:$D$14,2,0)</f>
        <v>Jean Dielectrico</v>
      </c>
      <c r="C8784" s="73"/>
      <c r="D8784" s="50" t="str">
        <f>VLOOKUP(A8784,'Componentes APUs'!$A$1:$D$14,3,0)</f>
        <v>U</v>
      </c>
      <c r="E8784" s="50">
        <f>SUM(C8755:C8760)</f>
        <v>2.5</v>
      </c>
      <c r="F8784" s="51">
        <f>VLOOKUP(A8784,'Componentes APUs'!$A$1:$D$14,4,0)</f>
        <v>7575.757575757576</v>
      </c>
      <c r="G8784" s="51">
        <f>ROUNDUP(F8784*(E8784/21)/E8742,0)</f>
        <v>46</v>
      </c>
    </row>
    <row r="8785" spans="1:7" x14ac:dyDescent="0.25">
      <c r="A8785" s="50" t="s">
        <v>87</v>
      </c>
      <c r="B8785" s="72" t="str">
        <f>VLOOKUP(A8785,'Componentes APUs'!$A$1:$D$14,2,0)</f>
        <v>Casco dielectrico Tipo 2 Clase E con barboquejo</v>
      </c>
      <c r="C8785" s="73"/>
      <c r="D8785" s="50" t="str">
        <f>VLOOKUP(A8785,'Componentes APUs'!$A$1:$D$14,3,0)</f>
        <v>U</v>
      </c>
      <c r="E8785" s="53">
        <f>IF(A8757="MO-3",C8757,0)</f>
        <v>0</v>
      </c>
      <c r="F8785" s="51">
        <f>VLOOKUP(A8785,'Componentes APUs'!$A$1:$D$14,4,0)</f>
        <v>7500</v>
      </c>
      <c r="G8785" s="51">
        <f>ROUNDUP(F8785*(E8785/21)/E8742,0)</f>
        <v>0</v>
      </c>
    </row>
    <row r="8786" spans="1:7" x14ac:dyDescent="0.25">
      <c r="A8786" s="69" t="s">
        <v>89</v>
      </c>
      <c r="B8786" s="72" t="str">
        <f>VLOOKUP(A8786,'Componentes APUs'!$A$1:$D$14,2,0)</f>
        <v>Kit de rescate para trabajo en alturas</v>
      </c>
      <c r="C8786" s="73"/>
      <c r="D8786" s="50" t="str">
        <f>VLOOKUP(A8786,'Componentes APUs'!$A$1:$D$14,3,0)</f>
        <v>U</v>
      </c>
      <c r="E8786" s="50">
        <f>IF(AND(A8757="MO-3",C8757=2),1,0)</f>
        <v>0</v>
      </c>
      <c r="F8786" s="51">
        <f>VLOOKUP(A8786,'Componentes APUs'!$A$1:$D$14,4,0)</f>
        <v>37500</v>
      </c>
      <c r="G8786" s="51">
        <f>ROUNDUP(F8786*(E8786/21)/E8742,0)</f>
        <v>0</v>
      </c>
    </row>
    <row r="8787" spans="1:7" x14ac:dyDescent="0.25">
      <c r="A8787" s="50" t="s">
        <v>91</v>
      </c>
      <c r="B8787" s="72" t="str">
        <f>VLOOKUP(A8787,'Componentes APUs'!$A$1:$D$14,2,0)</f>
        <v>Equipo completo para trabajo en alturas con pretales (Arnes dielectrico, 1 mosqueton de seguridad, tie off dielectrico, eslinga de posicionamiento, juego de pretales)</v>
      </c>
      <c r="C8787" s="73"/>
      <c r="D8787" s="50" t="str">
        <f>VLOOKUP(A8787,'Componentes APUs'!$A$1:$D$14,3,0)</f>
        <v>U</v>
      </c>
      <c r="E8787" s="50">
        <f>IF(A8757="MO-3",C8757,0)</f>
        <v>0</v>
      </c>
      <c r="F8787" s="51">
        <f>VLOOKUP(A8787,'Componentes APUs'!$A$1:$D$14,4,0)</f>
        <v>26041.666666666668</v>
      </c>
      <c r="G8787" s="51">
        <f>ROUNDUP(F8787*(E8787/21)/E8742,0)</f>
        <v>0</v>
      </c>
    </row>
    <row r="8788" spans="1:7" x14ac:dyDescent="0.25">
      <c r="A8788" s="219" t="s">
        <v>95</v>
      </c>
      <c r="B8788" s="219"/>
      <c r="C8788" s="219"/>
      <c r="D8788" s="219"/>
      <c r="E8788" s="219"/>
      <c r="F8788" s="219"/>
      <c r="G8788" s="52">
        <f>SUM(G8775:G8787)</f>
        <v>314</v>
      </c>
    </row>
    <row r="8789" spans="1:7" x14ac:dyDescent="0.25">
      <c r="A8789" s="56"/>
      <c r="B8789" s="57"/>
      <c r="C8789" s="57"/>
      <c r="D8789" s="57"/>
      <c r="E8789" s="57"/>
      <c r="F8789" s="57"/>
      <c r="G8789" s="58"/>
    </row>
    <row r="8790" spans="1:7" x14ac:dyDescent="0.25">
      <c r="A8790" s="219" t="s">
        <v>96</v>
      </c>
      <c r="B8790" s="219"/>
      <c r="C8790" s="219"/>
      <c r="D8790" s="219"/>
      <c r="E8790" s="219"/>
      <c r="F8790" s="219"/>
      <c r="G8790" s="219"/>
    </row>
    <row r="8791" spans="1:7" x14ac:dyDescent="0.25">
      <c r="A8791" s="49" t="s">
        <v>35</v>
      </c>
      <c r="B8791" s="225" t="s">
        <v>36</v>
      </c>
      <c r="C8791" s="225"/>
      <c r="D8791" s="49" t="s">
        <v>37</v>
      </c>
      <c r="E8791" s="49" t="s">
        <v>38</v>
      </c>
      <c r="F8791" s="49" t="s">
        <v>39</v>
      </c>
      <c r="G8791" s="49" t="s">
        <v>40</v>
      </c>
    </row>
    <row r="8792" spans="1:7" x14ac:dyDescent="0.25">
      <c r="A8792" s="69" t="s">
        <v>97</v>
      </c>
      <c r="B8792" s="72" t="str">
        <f>VLOOKUP(A8792,'Componentes APUs'!$N$1:$Q$30,2,0)</f>
        <v>Camioneta</v>
      </c>
      <c r="C8792" s="73"/>
      <c r="D8792" s="70" t="str">
        <f>VLOOKUP(A8792,'Componentes APUs'!$N$1:$Q$30,3,0)</f>
        <v>U</v>
      </c>
      <c r="E8792" s="50">
        <v>0.5</v>
      </c>
      <c r="F8792" s="51">
        <f>VLOOKUP(A8792,'Componentes APUs'!$N$1:$Q$30,4,0)</f>
        <v>5500000</v>
      </c>
      <c r="G8792" s="51">
        <f>IFERROR(ROUNDUP(F8792*(E8792/21)/E8742,0),"-")</f>
        <v>6548</v>
      </c>
    </row>
    <row r="8793" spans="1:7" x14ac:dyDescent="0.25">
      <c r="A8793" s="50" t="s">
        <v>1473</v>
      </c>
      <c r="B8793" s="72" t="str">
        <f>VLOOKUP(A8793,'Componentes APUs'!$N$1:$Q$30,2,0)</f>
        <v>Concretera</v>
      </c>
      <c r="C8793" s="73"/>
      <c r="D8793" s="70" t="str">
        <f>VLOOKUP(A8793,'Componentes APUs'!$N$1:$Q$30,3,0)</f>
        <v>U</v>
      </c>
      <c r="E8793" s="50">
        <v>0</v>
      </c>
      <c r="F8793" s="51">
        <f>VLOOKUP(A8793,'Componentes APUs'!$N$1:$Q$30,4,0)</f>
        <v>550704</v>
      </c>
      <c r="G8793" s="51">
        <f>IFERROR(ROUNDUP(F8793*(E8793/21)/E8742,0),"-")</f>
        <v>0</v>
      </c>
    </row>
    <row r="8794" spans="1:7" x14ac:dyDescent="0.25">
      <c r="A8794" s="69" t="s">
        <v>1379</v>
      </c>
      <c r="B8794" s="72" t="str">
        <f>VLOOKUP(A8794,'Componentes APUs'!$N$1:$Q$30,2,0)</f>
        <v>Dumper de descarga Frontal 2T</v>
      </c>
      <c r="C8794" s="73"/>
      <c r="D8794" s="70" t="str">
        <f>VLOOKUP(A8794,'Componentes APUs'!$N$1:$Q$30,3,0)</f>
        <v>U</v>
      </c>
      <c r="E8794" s="50">
        <v>0</v>
      </c>
      <c r="F8794" s="51">
        <f>VLOOKUP(A8794,'Componentes APUs'!$N$1:$Q$30,4,0)</f>
        <v>4438716.24</v>
      </c>
      <c r="G8794" s="51">
        <f>IFERROR(ROUNDUP(F8794*(E8794/21)/E8742,0),"-")</f>
        <v>0</v>
      </c>
    </row>
    <row r="8795" spans="1:7" x14ac:dyDescent="0.25">
      <c r="A8795" s="50" t="s">
        <v>323</v>
      </c>
      <c r="B8795" s="72" t="str">
        <f>VLOOKUP(A8795,'Componentes APUs'!$N$1:$Q$30,2,0)</f>
        <v>Volqueta</v>
      </c>
      <c r="C8795" s="73"/>
      <c r="D8795" s="70" t="str">
        <f>VLOOKUP(A8795,'Componentes APUs'!$N$1:$Q$30,3,0)</f>
        <v>U</v>
      </c>
      <c r="E8795" s="50">
        <v>0</v>
      </c>
      <c r="F8795" s="51">
        <f>VLOOKUP(A8795,'Componentes APUs'!$N$1:$Q$30,4,0)</f>
        <v>14828184</v>
      </c>
      <c r="G8795" s="51">
        <f>IFERROR(ROUNDUP(F8795*(E8795/21)/E8742,0),"-")</f>
        <v>0</v>
      </c>
    </row>
    <row r="8796" spans="1:7" x14ac:dyDescent="0.25">
      <c r="A8796" s="69" t="s">
        <v>324</v>
      </c>
      <c r="B8796" s="72" t="str">
        <f>VLOOKUP(A8796,'Componentes APUs'!$N$1:$Q$30,2,0)</f>
        <v>Retroexcavadora</v>
      </c>
      <c r="C8796" s="73"/>
      <c r="D8796" s="70" t="str">
        <f>VLOOKUP(A8796,'Componentes APUs'!$N$1:$Q$30,3,0)</f>
        <v>U</v>
      </c>
      <c r="E8796" s="50">
        <v>0</v>
      </c>
      <c r="F8796" s="51">
        <f>VLOOKUP(A8796,'Componentes APUs'!$N$1:$Q$30,4,0)</f>
        <v>46030656</v>
      </c>
      <c r="G8796" s="51">
        <f>IFERROR(ROUNDUP(F8796*(E8796/21)/E8742,0),"-")</f>
        <v>0</v>
      </c>
    </row>
    <row r="8797" spans="1:7" x14ac:dyDescent="0.25">
      <c r="A8797" s="219" t="s">
        <v>99</v>
      </c>
      <c r="B8797" s="219"/>
      <c r="C8797" s="219"/>
      <c r="D8797" s="219"/>
      <c r="E8797" s="219"/>
      <c r="F8797" s="219"/>
      <c r="G8797" s="52">
        <f>SUM(G8792:G8796)</f>
        <v>6548</v>
      </c>
    </row>
    <row r="8798" spans="1:7" x14ac:dyDescent="0.25">
      <c r="A8798" s="56"/>
      <c r="B8798" s="57"/>
      <c r="C8798" s="57"/>
      <c r="D8798" s="57"/>
      <c r="E8798" s="57"/>
      <c r="F8798" s="57"/>
      <c r="G8798" s="58"/>
    </row>
    <row r="8799" spans="1:7" x14ac:dyDescent="0.25">
      <c r="A8799" s="219" t="s">
        <v>100</v>
      </c>
      <c r="B8799" s="219"/>
      <c r="C8799" s="219"/>
      <c r="D8799" s="219"/>
      <c r="E8799" s="219"/>
      <c r="F8799" s="219"/>
      <c r="G8799" s="52">
        <f>G8797+G8788+G8771+G8761+G8751</f>
        <v>184873</v>
      </c>
    </row>
    <row r="8800" spans="1:7" x14ac:dyDescent="0.25">
      <c r="A8800" s="59"/>
      <c r="B8800" s="60"/>
      <c r="C8800" s="60"/>
      <c r="D8800" s="60"/>
      <c r="E8800" s="57"/>
      <c r="F8800" s="57"/>
      <c r="G8800" s="58"/>
    </row>
    <row r="8801" spans="1:13" x14ac:dyDescent="0.25">
      <c r="A8801" s="64"/>
      <c r="D8801" s="55"/>
      <c r="E8801" s="49" t="s">
        <v>25</v>
      </c>
      <c r="F8801" s="54">
        <v>0.15</v>
      </c>
      <c r="G8801" s="51">
        <f>G8799*F8801</f>
        <v>27730.95</v>
      </c>
    </row>
    <row r="8802" spans="1:13" x14ac:dyDescent="0.25">
      <c r="A8802" s="64"/>
      <c r="D8802" s="55"/>
      <c r="E8802" s="49" t="s">
        <v>26</v>
      </c>
      <c r="F8802" s="54">
        <v>0.05</v>
      </c>
      <c r="G8802" s="51">
        <f>G8799*F8802</f>
        <v>9243.65</v>
      </c>
    </row>
    <row r="8803" spans="1:13" x14ac:dyDescent="0.25">
      <c r="A8803" s="61"/>
      <c r="B8803" s="65"/>
      <c r="C8803" s="65"/>
      <c r="D8803" s="62"/>
      <c r="E8803" s="49" t="s">
        <v>27</v>
      </c>
      <c r="F8803" s="54">
        <v>0.05</v>
      </c>
      <c r="G8803" s="51">
        <f>G8799*F8803</f>
        <v>9243.65</v>
      </c>
    </row>
    <row r="8804" spans="1:13" x14ac:dyDescent="0.25">
      <c r="A8804" s="61"/>
      <c r="B8804" s="62"/>
      <c r="C8804" s="62"/>
      <c r="D8804" s="62"/>
      <c r="E8804" s="62"/>
      <c r="F8804" s="62"/>
      <c r="G8804" s="63"/>
    </row>
    <row r="8805" spans="1:13" x14ac:dyDescent="0.25">
      <c r="A8805" s="219" t="s">
        <v>101</v>
      </c>
      <c r="B8805" s="219"/>
      <c r="C8805" s="219"/>
      <c r="D8805" s="219"/>
      <c r="E8805" s="219"/>
      <c r="F8805" s="219"/>
      <c r="G8805" s="52">
        <f>G8799+G8801+G8802+G8803</f>
        <v>231091.25</v>
      </c>
    </row>
    <row r="8806" spans="1:13" x14ac:dyDescent="0.25">
      <c r="A8806" s="59"/>
      <c r="B8806" s="60"/>
      <c r="C8806" s="60"/>
      <c r="D8806" s="60"/>
      <c r="E8806" s="57"/>
      <c r="F8806" s="57"/>
      <c r="G8806" s="58"/>
    </row>
    <row r="8807" spans="1:13" x14ac:dyDescent="0.25">
      <c r="A8807" s="64"/>
      <c r="D8807" s="55"/>
      <c r="E8807" s="49" t="s">
        <v>102</v>
      </c>
      <c r="F8807" s="49" t="s">
        <v>103</v>
      </c>
      <c r="G8807" s="51">
        <f>G8803*19%</f>
        <v>1756.2935</v>
      </c>
    </row>
    <row r="8808" spans="1:13" x14ac:dyDescent="0.25">
      <c r="A8808" s="61"/>
      <c r="B8808" s="62"/>
      <c r="C8808" s="62"/>
      <c r="D8808" s="62"/>
      <c r="E8808" s="57"/>
      <c r="F8808" s="57"/>
      <c r="G8808" s="58"/>
    </row>
    <row r="8809" spans="1:13" x14ac:dyDescent="0.25">
      <c r="A8809" s="219" t="s">
        <v>104</v>
      </c>
      <c r="B8809" s="219"/>
      <c r="C8809" s="219"/>
      <c r="D8809" s="219"/>
      <c r="E8809" s="219"/>
      <c r="F8809" s="219"/>
      <c r="G8809" s="52">
        <f>G8807+G8805</f>
        <v>232847.5435</v>
      </c>
    </row>
    <row r="8811" spans="1:13" ht="30.75" customHeight="1" x14ac:dyDescent="0.25">
      <c r="A8811" s="74" t="s">
        <v>29</v>
      </c>
      <c r="B8811" s="226" t="s">
        <v>30</v>
      </c>
      <c r="C8811" s="226"/>
      <c r="D8811" s="74" t="s">
        <v>31</v>
      </c>
      <c r="E8811" s="74" t="s">
        <v>32</v>
      </c>
      <c r="F8811" s="74" t="s">
        <v>189</v>
      </c>
      <c r="G8811" s="74" t="s">
        <v>33</v>
      </c>
      <c r="H8811" s="105"/>
    </row>
    <row r="8812" spans="1:13" ht="27" customHeight="1" x14ac:dyDescent="0.25">
      <c r="A8812" s="50" t="str">
        <f>Presupuesto!B165</f>
        <v>141_OC</v>
      </c>
      <c r="B8812" s="229" t="str">
        <f>Presupuesto!C165</f>
        <v>BORDILLO PREFABRICADO  (15 ANCHO X 45 ALTURA X80 LONGITUD CM )</v>
      </c>
      <c r="C8812" s="230"/>
      <c r="D8812" s="50" t="s">
        <v>18</v>
      </c>
      <c r="E8812" s="107">
        <v>20</v>
      </c>
      <c r="F8812" s="50"/>
      <c r="G8812" s="51">
        <f>G8878</f>
        <v>289695.07600000006</v>
      </c>
      <c r="H8812" s="111"/>
    </row>
    <row r="8813" spans="1:13" x14ac:dyDescent="0.25">
      <c r="A8813" s="219" t="s">
        <v>34</v>
      </c>
      <c r="B8813" s="219"/>
      <c r="C8813" s="219"/>
      <c r="D8813" s="219"/>
      <c r="E8813" s="219"/>
      <c r="F8813" s="219"/>
      <c r="G8813" s="219"/>
    </row>
    <row r="8814" spans="1:13" ht="30.75" customHeight="1" x14ac:dyDescent="0.25">
      <c r="A8814" s="49" t="s">
        <v>35</v>
      </c>
      <c r="B8814" s="219" t="s">
        <v>36</v>
      </c>
      <c r="C8814" s="219"/>
      <c r="D8814" s="49" t="s">
        <v>37</v>
      </c>
      <c r="E8814" s="49" t="s">
        <v>38</v>
      </c>
      <c r="F8814" s="49" t="s">
        <v>39</v>
      </c>
      <c r="G8814" s="49" t="s">
        <v>40</v>
      </c>
      <c r="K8814" s="23"/>
      <c r="L8814" s="23"/>
    </row>
    <row r="8815" spans="1:13" ht="52.5" customHeight="1" x14ac:dyDescent="0.25">
      <c r="A8815" s="50" t="str">
        <f>Material!A360</f>
        <v>MA-359</v>
      </c>
      <c r="B8815" s="221" t="str">
        <f>IFERROR(VLOOKUP(A8815,Material!$A:$H,2,0),"-")</f>
        <v>CONCRETO SIMPLE F'C=210 KG/CM² (21 MPA), CLASE DE EXPOSICIÓN F0 S0 P0 C0, TAMAÑO MÁXIMO DEL AGREGADO 19 MM, MANEJABILIDAD PLÁSTICA, FABRICADO EN PLANTA, SEGÚN NSR-10 Y ACI 318</v>
      </c>
      <c r="C8815" s="222"/>
      <c r="D8815" s="50" t="str">
        <f>IFERROR(VLOOKUP(A8815,Material!$A:$H,4,0),"-")</f>
        <v>M3</v>
      </c>
      <c r="E8815" s="120">
        <v>8.2000000000000003E-2</v>
      </c>
      <c r="F8815" s="51">
        <f>IFERROR(VLOOKUP(A8815,Material!$A:$H,3,0),"-")</f>
        <v>404281.8</v>
      </c>
      <c r="G8815" s="51">
        <f>IFERROR(ROUNDUP(F8815*E8815,0),"-")</f>
        <v>33152</v>
      </c>
      <c r="H8815" s="112"/>
      <c r="I8815" s="110"/>
      <c r="J8815" s="113"/>
      <c r="K8815" s="114"/>
      <c r="L8815" s="115"/>
      <c r="M8815" s="115"/>
    </row>
    <row r="8816" spans="1:13" x14ac:dyDescent="0.25">
      <c r="A8816" s="50" t="str">
        <f>Material!A282</f>
        <v>MA-281</v>
      </c>
      <c r="B8816" s="72" t="str">
        <f>IFERROR(VLOOKUP(A8816,Material!$A:$H,2,0),"-")</f>
        <v>AGUA</v>
      </c>
      <c r="C8816" s="76"/>
      <c r="D8816" s="50" t="str">
        <f>IFERROR(VLOOKUP(A8816,Material!$A:$H,4,0),"-")</f>
        <v>M3</v>
      </c>
      <c r="E8816" s="96">
        <v>6.0000000000000001E-3</v>
      </c>
      <c r="F8816" s="51">
        <f>IFERROR(VLOOKUP(A8816,Material!$A:$H,3,0),"-")</f>
        <v>94.9</v>
      </c>
      <c r="G8816" s="51">
        <f>IFERROR(ROUNDUP(F8816*E8816,0),"-")</f>
        <v>1</v>
      </c>
      <c r="H8816" s="112"/>
      <c r="I8816" s="110"/>
      <c r="J8816" s="113"/>
      <c r="K8816" s="114"/>
      <c r="L8816" s="115"/>
      <c r="M8816" s="115"/>
    </row>
    <row r="8817" spans="1:13" x14ac:dyDescent="0.25">
      <c r="A8817" s="50" t="str">
        <f>Material!A361</f>
        <v>MA-360</v>
      </c>
      <c r="B8817" s="72" t="str">
        <f>IFERROR(VLOOKUP(A8817,Material!$A:$H,2,0),"-")</f>
        <v>ARENA DE CANTERA, PARA MORTERO PREPARADO EN OBRA</v>
      </c>
      <c r="C8817" s="76"/>
      <c r="D8817" s="50" t="str">
        <f>IFERROR(VLOOKUP(A8817,Material!$A:$H,4,0),"-")</f>
        <v>T</v>
      </c>
      <c r="E8817" s="107">
        <v>7.0000000000000007E-2</v>
      </c>
      <c r="F8817" s="51">
        <f>IFERROR(VLOOKUP(A8817,Material!$A:$H,3,0),"-")</f>
        <v>58500</v>
      </c>
      <c r="G8817" s="51">
        <f>IFERROR(ROUNDUP(F8817*E8817,0),"-")</f>
        <v>4095</v>
      </c>
      <c r="H8817" s="112"/>
      <c r="I8817" s="110"/>
      <c r="J8817" s="113"/>
      <c r="K8817" s="114"/>
      <c r="L8817" s="115"/>
      <c r="M8817" s="115"/>
    </row>
    <row r="8818" spans="1:13" x14ac:dyDescent="0.25">
      <c r="A8818" s="50" t="str">
        <f>Material!A323</f>
        <v>MA-322</v>
      </c>
      <c r="B8818" s="72" t="str">
        <f>IFERROR(VLOOKUP(A8818,Material!$A:$H,2,0),"-")</f>
        <v>CEMENTO GRIS EN SACOS</v>
      </c>
      <c r="C8818" s="76"/>
      <c r="D8818" s="50" t="str">
        <f>IFERROR(VLOOKUP(A8818,Material!$A:$H,4,0),"-")</f>
        <v>KG</v>
      </c>
      <c r="E8818" s="107">
        <v>1</v>
      </c>
      <c r="F8818" s="51">
        <f>IFERROR(VLOOKUP(A8818,Material!$A:$H,3,0),"-")</f>
        <v>630.08400000000006</v>
      </c>
      <c r="G8818" s="51">
        <f>IFERROR(ROUNDUP(F8818*E8818,0),"-")</f>
        <v>631</v>
      </c>
      <c r="H8818" s="112"/>
      <c r="I8818" s="110"/>
      <c r="J8818" s="113"/>
      <c r="K8818" s="114"/>
      <c r="L8818" s="115"/>
      <c r="M8818" s="115"/>
    </row>
    <row r="8819" spans="1:13" x14ac:dyDescent="0.25">
      <c r="A8819" s="50" t="str">
        <f>Material!A359</f>
        <v>MA-358</v>
      </c>
      <c r="B8819" s="72" t="str">
        <f>IFERROR(VLOOKUP(A8819,Material!$A:$H,2,0),"-")</f>
        <v>BORDILLO EN CONCRETO (15x45x80 CM)</v>
      </c>
      <c r="C8819" s="76"/>
      <c r="D8819" s="50" t="str">
        <f>IFERROR(VLOOKUP(A8819,Material!$A:$H,4,0),"-")</f>
        <v>UN</v>
      </c>
      <c r="E8819" s="107">
        <v>2</v>
      </c>
      <c r="F8819" s="51">
        <f>IFERROR(VLOOKUP(A8819,Material!$A:$H,3,0),"-")</f>
        <v>80405</v>
      </c>
      <c r="G8819" s="51">
        <f>IFERROR(ROUNDUP(F8819*E8819,0),"-")</f>
        <v>160810</v>
      </c>
      <c r="H8819" s="112"/>
      <c r="I8819" s="110"/>
      <c r="J8819" s="113"/>
      <c r="K8819" s="114"/>
      <c r="L8819" s="115"/>
      <c r="M8819" s="115"/>
    </row>
    <row r="8820" spans="1:13" x14ac:dyDescent="0.25">
      <c r="A8820" s="219" t="s">
        <v>41</v>
      </c>
      <c r="B8820" s="219"/>
      <c r="C8820" s="219"/>
      <c r="D8820" s="219"/>
      <c r="E8820" s="219"/>
      <c r="F8820" s="219"/>
      <c r="G8820" s="52">
        <f>SUM(G8815:G8819)</f>
        <v>198689</v>
      </c>
      <c r="I8820" s="104"/>
    </row>
    <row r="8821" spans="1:13" x14ac:dyDescent="0.25">
      <c r="A8821" s="56"/>
      <c r="B8821" s="57"/>
      <c r="C8821" s="57"/>
      <c r="D8821" s="57"/>
      <c r="E8821" s="57"/>
      <c r="F8821" s="57"/>
      <c r="G8821" s="58"/>
    </row>
    <row r="8822" spans="1:13" x14ac:dyDescent="0.25">
      <c r="A8822" s="219" t="s">
        <v>42</v>
      </c>
      <c r="B8822" s="219"/>
      <c r="C8822" s="219"/>
      <c r="D8822" s="219"/>
      <c r="E8822" s="219"/>
      <c r="F8822" s="219"/>
      <c r="G8822" s="219"/>
    </row>
    <row r="8823" spans="1:13" x14ac:dyDescent="0.25">
      <c r="A8823" s="49" t="s">
        <v>35</v>
      </c>
      <c r="B8823" s="49" t="s">
        <v>36</v>
      </c>
      <c r="C8823" s="49" t="s">
        <v>38</v>
      </c>
      <c r="D8823" s="49" t="s">
        <v>43</v>
      </c>
      <c r="E8823" s="49" t="s">
        <v>44</v>
      </c>
      <c r="F8823" s="49" t="s">
        <v>45</v>
      </c>
      <c r="G8823" s="49" t="s">
        <v>40</v>
      </c>
    </row>
    <row r="8824" spans="1:13" x14ac:dyDescent="0.25">
      <c r="A8824" s="50" t="s">
        <v>319</v>
      </c>
      <c r="B8824" s="68" t="str">
        <f>VLOOKUP(A8824,'Componentes APUs'!$H$1:$L$25,2,0)</f>
        <v>Ingeniero Residente de Obra</v>
      </c>
      <c r="C8824" s="93">
        <v>0.25</v>
      </c>
      <c r="D8824" s="50">
        <f>VLOOKUP(A8824,'Componentes APUs'!$H$1:$L$25,3,0)</f>
        <v>4</v>
      </c>
      <c r="E8824" s="51">
        <f>VLOOKUP(A8824,'Componentes APUs'!$H$1:$L$25,4,0)</f>
        <v>271142.85714285716</v>
      </c>
      <c r="F8824" s="51">
        <f>VLOOKUP(A8824,'Componentes APUs'!$H$1:$L$25,5,0)</f>
        <v>162685.71428571429</v>
      </c>
      <c r="G8824" s="51">
        <f>ROUNDUP((E8824+F8824)*C8824/E8812,0)</f>
        <v>5423</v>
      </c>
      <c r="H8824" s="66"/>
    </row>
    <row r="8825" spans="1:13" x14ac:dyDescent="0.25">
      <c r="A8825" s="50" t="s">
        <v>320</v>
      </c>
      <c r="B8825" s="68" t="str">
        <f>VLOOKUP(A8825,'Componentes APUs'!$H$1:$L$25,2,0)</f>
        <v>Tecnico Supervisor</v>
      </c>
      <c r="C8825" s="93">
        <v>0</v>
      </c>
      <c r="D8825" s="50">
        <f>VLOOKUP(A8825,'Componentes APUs'!$H$1:$L$25,3,0)</f>
        <v>2.2999999999999998</v>
      </c>
      <c r="E8825" s="51">
        <f>VLOOKUP(A8825,'Componentes APUs'!$H$1:$L$25,4,0)</f>
        <v>155907.14285714284</v>
      </c>
      <c r="F8825" s="51">
        <f>VLOOKUP(A8825,'Componentes APUs'!$H$1:$L$25,5,0)</f>
        <v>93544.285714285696</v>
      </c>
      <c r="G8825" s="51">
        <f>ROUNDUP((E8825+F8825)*C8825/E8812,0)</f>
        <v>0</v>
      </c>
    </row>
    <row r="8826" spans="1:13" x14ac:dyDescent="0.25">
      <c r="A8826" s="50" t="s">
        <v>54</v>
      </c>
      <c r="B8826" s="68" t="str">
        <f>VLOOKUP(A8826,'Componentes APUs'!$H$1:$L$25,2,0)</f>
        <v>Maestro de obra civil</v>
      </c>
      <c r="C8826" s="93">
        <v>0</v>
      </c>
      <c r="D8826" s="50">
        <f>VLOOKUP(A8826,'Componentes APUs'!$H$1:$L$25,3,0)</f>
        <v>2.5</v>
      </c>
      <c r="E8826" s="51">
        <f>VLOOKUP(A8826,'Componentes APUs'!$H$1:$L$25,4,0)</f>
        <v>169464.28571428571</v>
      </c>
      <c r="F8826" s="51">
        <f>VLOOKUP(A8826,'Componentes APUs'!$H$1:$L$25,5,0)</f>
        <v>101678.57142857142</v>
      </c>
      <c r="G8826" s="51">
        <f>ROUNDUP((E8826+F8826)*C8826/E8812,0)</f>
        <v>0</v>
      </c>
    </row>
    <row r="8827" spans="1:13" x14ac:dyDescent="0.25">
      <c r="A8827" s="50" t="s">
        <v>1110</v>
      </c>
      <c r="B8827" s="68" t="str">
        <f>VLOOKUP(A8827,'Componentes APUs'!$H$1:$L$25,2,0)</f>
        <v>Oficial de Obra Civil</v>
      </c>
      <c r="C8827" s="93">
        <v>1</v>
      </c>
      <c r="D8827" s="50">
        <f>VLOOKUP(A8827,'Componentes APUs'!$H$1:$L$25,3,0)</f>
        <v>1.5</v>
      </c>
      <c r="E8827" s="51">
        <f>VLOOKUP(A8827,'Componentes APUs'!$H$1:$L$25,4,0)</f>
        <v>115964.28571428571</v>
      </c>
      <c r="F8827" s="51">
        <f>VLOOKUP(A8827,'Componentes APUs'!$H$1:$L$25,5,0)</f>
        <v>69578.57142857142</v>
      </c>
      <c r="G8827" s="51">
        <f>ROUNDUP((E8827+F8827)*C8827/E8812,0)</f>
        <v>9278</v>
      </c>
    </row>
    <row r="8828" spans="1:13" x14ac:dyDescent="0.25">
      <c r="A8828" s="50" t="s">
        <v>50</v>
      </c>
      <c r="B8828" s="68" t="str">
        <f>VLOOKUP(A8828,'Componentes APUs'!$H$1:$L$25,2,0)</f>
        <v>Profesional en SST</v>
      </c>
      <c r="C8828" s="93">
        <v>0.25</v>
      </c>
      <c r="D8828" s="50">
        <f>VLOOKUP(A8828,'Componentes APUs'!$H$1:$L$25,3,0)</f>
        <v>2.5</v>
      </c>
      <c r="E8828" s="51">
        <f>VLOOKUP(A8828,'Componentes APUs'!$H$1:$L$25,4,0)</f>
        <v>169464.28571428571</v>
      </c>
      <c r="F8828" s="51">
        <f>VLOOKUP(A8828,'Componentes APUs'!$H$1:$L$25,5,0)</f>
        <v>101678.57142857142</v>
      </c>
      <c r="G8828" s="51">
        <f>ROUNDUP((E8828+F8828)*C8828/E8812,0)</f>
        <v>3390</v>
      </c>
    </row>
    <row r="8829" spans="1:13" x14ac:dyDescent="0.25">
      <c r="A8829" s="50" t="s">
        <v>1109</v>
      </c>
      <c r="B8829" s="68" t="str">
        <f>VLOOKUP(A8829,'Componentes APUs'!$H$1:$L$25,2,0)</f>
        <v>Ayudante de Obra Civil</v>
      </c>
      <c r="C8829" s="93">
        <v>1</v>
      </c>
      <c r="D8829" s="50">
        <f>VLOOKUP(A8829,'Componentes APUs'!$H$1:$L$25,3,0)</f>
        <v>1</v>
      </c>
      <c r="E8829" s="51">
        <f>VLOOKUP(A8829,'Componentes APUs'!$H$1:$L$25,4,0)</f>
        <v>77309.523809523816</v>
      </c>
      <c r="F8829" s="51">
        <f>VLOOKUP(A8829,'Componentes APUs'!$H$1:$L$25,5,0)</f>
        <v>46385.71428571429</v>
      </c>
      <c r="G8829" s="51">
        <f>ROUNDUP((E8829+F8829)*C8829/E8812,0)</f>
        <v>6185</v>
      </c>
    </row>
    <row r="8830" spans="1:13" x14ac:dyDescent="0.25">
      <c r="A8830" s="219" t="s">
        <v>56</v>
      </c>
      <c r="B8830" s="219"/>
      <c r="C8830" s="219"/>
      <c r="D8830" s="219"/>
      <c r="E8830" s="219"/>
      <c r="F8830" s="219"/>
      <c r="G8830" s="52">
        <f>SUM(G8824:G8829)</f>
        <v>24276</v>
      </c>
    </row>
    <row r="8831" spans="1:13" x14ac:dyDescent="0.25">
      <c r="A8831" s="56"/>
      <c r="B8831" s="57"/>
      <c r="C8831" s="57"/>
      <c r="D8831" s="57"/>
      <c r="E8831" s="57"/>
      <c r="F8831" s="57"/>
      <c r="G8831" s="58"/>
    </row>
    <row r="8832" spans="1:13" x14ac:dyDescent="0.25">
      <c r="A8832" s="219" t="s">
        <v>57</v>
      </c>
      <c r="B8832" s="219"/>
      <c r="C8832" s="219"/>
      <c r="D8832" s="219"/>
      <c r="E8832" s="219"/>
      <c r="F8832" s="219"/>
      <c r="G8832" s="219"/>
    </row>
    <row r="8833" spans="1:9" x14ac:dyDescent="0.25">
      <c r="A8833" s="49" t="s">
        <v>35</v>
      </c>
      <c r="B8833" s="219" t="s">
        <v>36</v>
      </c>
      <c r="C8833" s="219"/>
      <c r="D8833" s="49" t="s">
        <v>37</v>
      </c>
      <c r="E8833" s="49" t="s">
        <v>38</v>
      </c>
      <c r="F8833" s="49" t="s">
        <v>39</v>
      </c>
      <c r="G8833" s="49" t="s">
        <v>40</v>
      </c>
    </row>
    <row r="8834" spans="1:9" x14ac:dyDescent="0.25">
      <c r="A8834" s="50" t="s">
        <v>326</v>
      </c>
      <c r="B8834" s="220" t="str">
        <f>VLOOKUP(A8834,'Componentes APUs'!$S$1:$V$10,2,0)</f>
        <v>Juego Llaves</v>
      </c>
      <c r="C8834" s="220"/>
      <c r="D8834" s="50" t="s">
        <v>18</v>
      </c>
      <c r="E8834" s="50">
        <v>0</v>
      </c>
      <c r="F8834" s="51">
        <f>VLOOKUP(A8834,'Componentes APUs'!$S$1:$V$10,4,0)</f>
        <v>9167</v>
      </c>
      <c r="G8834" s="51">
        <f>ROUNDUP(F8834*((E8834/21)/E8812),0)</f>
        <v>0</v>
      </c>
      <c r="I8834" s="91"/>
    </row>
    <row r="8835" spans="1:9" x14ac:dyDescent="0.25">
      <c r="A8835" s="50" t="s">
        <v>58</v>
      </c>
      <c r="B8835" s="220" t="str">
        <f>VLOOKUP(A8835,'Componentes APUs'!$S$1:$V$10,2,0)</f>
        <v>Manila de servicio</v>
      </c>
      <c r="C8835" s="220"/>
      <c r="D8835" s="50" t="s">
        <v>18</v>
      </c>
      <c r="E8835" s="50">
        <v>0</v>
      </c>
      <c r="F8835" s="51">
        <f>VLOOKUP(A8835,'Componentes APUs'!$S$1:$V$10,4,0)</f>
        <v>2333</v>
      </c>
      <c r="G8835" s="51">
        <f>ROUNDUP(F8835*((E8835/21)/E8812),0)</f>
        <v>0</v>
      </c>
    </row>
    <row r="8836" spans="1:9" x14ac:dyDescent="0.25">
      <c r="A8836" s="50" t="s">
        <v>327</v>
      </c>
      <c r="B8836" s="220" t="str">
        <f>VLOOKUP(A8836,'Componentes APUs'!$S$1:$V$10,2,0)</f>
        <v>Tula portaherramientas</v>
      </c>
      <c r="C8836" s="220"/>
      <c r="D8836" s="50" t="s">
        <v>18</v>
      </c>
      <c r="E8836" s="50">
        <v>0</v>
      </c>
      <c r="F8836" s="51">
        <f>VLOOKUP(A8836,'Componentes APUs'!$S$1:$V$10,4,0)</f>
        <v>1250</v>
      </c>
      <c r="G8836" s="51">
        <f>ROUNDUP(F8836*((E8836/21)/E8812),0)</f>
        <v>0</v>
      </c>
    </row>
    <row r="8837" spans="1:9" x14ac:dyDescent="0.25">
      <c r="A8837" s="50" t="s">
        <v>60</v>
      </c>
      <c r="B8837" s="220" t="str">
        <f>VLOOKUP(A8837,'Componentes APUs'!$S$1:$V$10,2,0)</f>
        <v>Agarradoras</v>
      </c>
      <c r="C8837" s="220"/>
      <c r="D8837" s="50" t="s">
        <v>18</v>
      </c>
      <c r="E8837" s="50">
        <v>0</v>
      </c>
      <c r="F8837" s="51">
        <f>VLOOKUP(A8837,'Componentes APUs'!$S$1:$V$10,4,0)</f>
        <v>125000</v>
      </c>
      <c r="G8837" s="51">
        <f>ROUNDUP(F8837*((E8837/21)/E8812),0)</f>
        <v>0</v>
      </c>
    </row>
    <row r="8838" spans="1:9" x14ac:dyDescent="0.25">
      <c r="A8838" s="50" t="s">
        <v>62</v>
      </c>
      <c r="B8838" s="220" t="str">
        <f>VLOOKUP(A8838,'Componentes APUs'!$S$1:$V$10,2,0)</f>
        <v>Templadoras</v>
      </c>
      <c r="C8838" s="220"/>
      <c r="D8838" s="50" t="s">
        <v>18</v>
      </c>
      <c r="E8838" s="50">
        <v>0</v>
      </c>
      <c r="F8838" s="51">
        <f>VLOOKUP(A8838,'Componentes APUs'!$S$1:$V$10,4,0)</f>
        <v>250000</v>
      </c>
      <c r="G8838" s="51">
        <f>ROUNDUP(F8838*((E8838/21)/E8812),0)</f>
        <v>0</v>
      </c>
    </row>
    <row r="8839" spans="1:9" x14ac:dyDescent="0.25">
      <c r="A8839" s="50" t="s">
        <v>328</v>
      </c>
      <c r="B8839" s="220" t="str">
        <f>VLOOKUP(A8839,'Componentes APUs'!$S$1:$V$10,2,0)</f>
        <v>Herramienta Menor</v>
      </c>
      <c r="C8839" s="220"/>
      <c r="D8839" s="50" t="s">
        <v>18</v>
      </c>
      <c r="E8839" s="50">
        <v>1</v>
      </c>
      <c r="F8839" s="51">
        <f>VLOOKUP(A8839,'Componentes APUs'!$S$1:$V$10,4,0)</f>
        <v>75758</v>
      </c>
      <c r="G8839" s="51">
        <f>ROUNDUP(F8839*((E8839/21)/E8812),0)</f>
        <v>181</v>
      </c>
    </row>
    <row r="8840" spans="1:9" x14ac:dyDescent="0.25">
      <c r="A8840" s="219" t="s">
        <v>69</v>
      </c>
      <c r="B8840" s="219"/>
      <c r="C8840" s="219"/>
      <c r="D8840" s="219"/>
      <c r="E8840" s="219"/>
      <c r="F8840" s="219"/>
      <c r="G8840" s="52">
        <f>SUM(G8834:G8839)</f>
        <v>181</v>
      </c>
    </row>
    <row r="8841" spans="1:9" x14ac:dyDescent="0.25">
      <c r="A8841" s="56"/>
      <c r="B8841" s="57"/>
      <c r="C8841" s="57"/>
      <c r="D8841" s="57"/>
      <c r="E8841" s="57"/>
      <c r="F8841" s="57"/>
      <c r="G8841" s="58"/>
    </row>
    <row r="8842" spans="1:9" x14ac:dyDescent="0.25">
      <c r="A8842" s="219" t="s">
        <v>70</v>
      </c>
      <c r="B8842" s="219"/>
      <c r="C8842" s="219"/>
      <c r="D8842" s="219"/>
      <c r="E8842" s="219"/>
      <c r="F8842" s="219"/>
      <c r="G8842" s="219"/>
    </row>
    <row r="8843" spans="1:9" x14ac:dyDescent="0.25">
      <c r="A8843" s="49" t="s">
        <v>35</v>
      </c>
      <c r="B8843" s="219" t="s">
        <v>36</v>
      </c>
      <c r="C8843" s="219"/>
      <c r="D8843" s="49" t="s">
        <v>37</v>
      </c>
      <c r="E8843" s="49" t="s">
        <v>38</v>
      </c>
      <c r="F8843" s="49" t="s">
        <v>39</v>
      </c>
      <c r="G8843" s="49" t="s">
        <v>40</v>
      </c>
    </row>
    <row r="8844" spans="1:9" x14ac:dyDescent="0.25">
      <c r="A8844" s="50" t="s">
        <v>71</v>
      </c>
      <c r="B8844" s="71" t="str">
        <f>VLOOKUP(A8844,'Componentes APUs'!$A$1:$D$14,2,0)</f>
        <v>Camisa indigo sin partes metalicas</v>
      </c>
      <c r="C8844" s="71"/>
      <c r="D8844" s="50" t="str">
        <f>VLOOKUP(A8844,'Componentes APUs'!$A$1:$D$14,3,0)</f>
        <v>U</v>
      </c>
      <c r="E8844" s="50">
        <f>SUM(C8824:C8829)</f>
        <v>2.5</v>
      </c>
      <c r="F8844" s="51">
        <f>VLOOKUP(A8844,'Componentes APUs'!$A$1:$D$14,4,0)</f>
        <v>8585.8585858585866</v>
      </c>
      <c r="G8844" s="51">
        <f>ROUNDUP(F8844*(E8844/21)/E8812,0)</f>
        <v>52</v>
      </c>
      <c r="I8844" s="91"/>
    </row>
    <row r="8845" spans="1:9" x14ac:dyDescent="0.25">
      <c r="A8845" s="69" t="s">
        <v>73</v>
      </c>
      <c r="B8845" s="72" t="str">
        <f>VLOOKUP(A8845,'Componentes APUs'!$A$1:$D$14,2,0)</f>
        <v>Bota de seguridad dielectrica</v>
      </c>
      <c r="C8845" s="73"/>
      <c r="D8845" s="70" t="str">
        <f>VLOOKUP(A8845,'Componentes APUs'!$A$1:$D$14,3,0)</f>
        <v>Par</v>
      </c>
      <c r="E8845" s="50">
        <f>SUM(C8824:C8829)</f>
        <v>2.5</v>
      </c>
      <c r="F8845" s="51">
        <f>VLOOKUP(A8845,'Componentes APUs'!$A$1:$D$14,4,0)</f>
        <v>7500</v>
      </c>
      <c r="G8845" s="51">
        <f>ROUNDUP(F8845*(E8845/21)/E8812,0)</f>
        <v>45</v>
      </c>
    </row>
    <row r="8846" spans="1:9" x14ac:dyDescent="0.25">
      <c r="A8846" s="50" t="s">
        <v>76</v>
      </c>
      <c r="B8846" s="72" t="str">
        <f>VLOOKUP(A8846,'Componentes APUs'!$A$1:$D$14,2,0)</f>
        <v>Casco dielectrico Tipo 1 Clase E con barbuquejo</v>
      </c>
      <c r="C8846" s="73"/>
      <c r="D8846" s="50" t="str">
        <f>VLOOKUP(A8846,'Componentes APUs'!$A$1:$D$14,3,0)</f>
        <v>U</v>
      </c>
      <c r="E8846" s="50">
        <f>C8824+C8825+C8827+C8828+C8829+IF(A8826&lt;&gt;"MO-3",C8826,0)</f>
        <v>2.5</v>
      </c>
      <c r="F8846" s="51">
        <f>VLOOKUP(A8846,'Componentes APUs'!$A$1:$D$14,4,0)</f>
        <v>10101.010101010101</v>
      </c>
      <c r="G8846" s="51">
        <f>ROUNDUP(F8846*(E8846/21)/E8812,0)</f>
        <v>61</v>
      </c>
    </row>
    <row r="8847" spans="1:9" x14ac:dyDescent="0.25">
      <c r="A8847" s="69" t="s">
        <v>77</v>
      </c>
      <c r="B8847" s="72" t="str">
        <f>VLOOKUP(A8847,'Componentes APUs'!$A$1:$D$14,2,0)</f>
        <v>Correa plastica y antiflama</v>
      </c>
      <c r="C8847" s="73"/>
      <c r="D8847" s="50" t="str">
        <f>VLOOKUP(A8847,'Componentes APUs'!$A$1:$D$14,3,0)</f>
        <v>U</v>
      </c>
      <c r="E8847" s="50">
        <f>SUM(C8824:C8829)</f>
        <v>2.5</v>
      </c>
      <c r="F8847" s="51">
        <f>VLOOKUP(A8847,'Componentes APUs'!$A$1:$D$14,4,0)</f>
        <v>3787.878787878788</v>
      </c>
      <c r="G8847" s="51">
        <f>ROUNDUP(F8847*(E8847/21)/E8812,0)</f>
        <v>23</v>
      </c>
    </row>
    <row r="8848" spans="1:9" x14ac:dyDescent="0.25">
      <c r="A8848" s="50" t="s">
        <v>79</v>
      </c>
      <c r="B8848" s="72" t="str">
        <f>VLOOKUP(A8848,'Componentes APUs'!$A$1:$D$14,2,0)</f>
        <v>Gafas protectoras filtro UV</v>
      </c>
      <c r="C8848" s="73"/>
      <c r="D8848" s="50" t="str">
        <f>VLOOKUP(A8848,'Componentes APUs'!$A$1:$D$14,3,0)</f>
        <v>U</v>
      </c>
      <c r="E8848" s="50">
        <f>SUM(C8824:C8829)</f>
        <v>2.5</v>
      </c>
      <c r="F8848" s="51">
        <f>VLOOKUP(A8848,'Componentes APUs'!$A$1:$D$14,4,0)</f>
        <v>2777.7777777777778</v>
      </c>
      <c r="G8848" s="51">
        <f>ROUNDUP(F8848*(E8848/21)/E8812,0)</f>
        <v>17</v>
      </c>
    </row>
    <row r="8849" spans="1:7" x14ac:dyDescent="0.25">
      <c r="A8849" s="69" t="s">
        <v>402</v>
      </c>
      <c r="B8849" s="72" t="str">
        <f>VLOOKUP(A8849,'Componentes APUs'!$A$1:$D$14,2,0)</f>
        <v>Bota de seguridad PVC dielectrica</v>
      </c>
      <c r="C8849" s="73"/>
      <c r="D8849" s="50" t="str">
        <f>VLOOKUP(A8849,'Componentes APUs'!$A$1:$D$14,3,0)</f>
        <v>Par</v>
      </c>
      <c r="E8849" s="50">
        <f>SUM(C8824:C8829)</f>
        <v>2.5</v>
      </c>
      <c r="F8849" s="51">
        <f>VLOOKUP(A8849,'Componentes APUs'!$A$1:$D$14,4,0)</f>
        <v>2916.6666666666665</v>
      </c>
      <c r="G8849" s="51">
        <f>ROUNDUP(F8849*(E8849/21)/E8812,0)</f>
        <v>18</v>
      </c>
    </row>
    <row r="8850" spans="1:7" x14ac:dyDescent="0.25">
      <c r="A8850" s="50" t="s">
        <v>403</v>
      </c>
      <c r="B8850" s="72" t="str">
        <f>VLOOKUP(A8850,'Componentes APUs'!$A$1:$D$14,2,0)</f>
        <v>Capuchon</v>
      </c>
      <c r="C8850" s="73"/>
      <c r="D8850" s="50" t="str">
        <f>VLOOKUP(A8850,'Componentes APUs'!$A$1:$D$14,3,0)</f>
        <v>U</v>
      </c>
      <c r="E8850" s="50">
        <f>SUM(C8824:C8829)</f>
        <v>2.5</v>
      </c>
      <c r="F8850" s="51">
        <f>VLOOKUP(A8850,'Componentes APUs'!$A$1:$D$14,4,0)</f>
        <v>2525.2525252525252</v>
      </c>
      <c r="G8850" s="51">
        <f>ROUNDUP(F8850*(E8850/21)/E8812,0)</f>
        <v>16</v>
      </c>
    </row>
    <row r="8851" spans="1:7" x14ac:dyDescent="0.25">
      <c r="A8851" s="69" t="s">
        <v>81</v>
      </c>
      <c r="B8851" s="72" t="str">
        <f>VLOOKUP(A8851,'Componentes APUs'!$A$1:$D$14,2,0)</f>
        <v>Guantes Protectores  - ingeniero reforzados</v>
      </c>
      <c r="C8851" s="73"/>
      <c r="D8851" s="50" t="str">
        <f>VLOOKUP(A8851,'Componentes APUs'!$A$1:$D$14,3,0)</f>
        <v>Par</v>
      </c>
      <c r="E8851" s="50">
        <f>C8826+C8827+C8829</f>
        <v>2</v>
      </c>
      <c r="F8851" s="51">
        <f>VLOOKUP(A8851,'Componentes APUs'!$A$1:$D$14,4,0)</f>
        <v>2525.2525252525252</v>
      </c>
      <c r="G8851" s="51">
        <f>ROUNDUP(F8851*(E8851/21)/E8812,0)</f>
        <v>13</v>
      </c>
    </row>
    <row r="8852" spans="1:7" x14ac:dyDescent="0.25">
      <c r="A8852" s="50" t="s">
        <v>83</v>
      </c>
      <c r="B8852" s="72" t="str">
        <f>VLOOKUP(A8852,'Componentes APUs'!$A$1:$D$14,2,0)</f>
        <v>Impermeable (pantalon camisa)</v>
      </c>
      <c r="C8852" s="73"/>
      <c r="D8852" s="50" t="str">
        <f>VLOOKUP(A8852,'Componentes APUs'!$A$1:$D$14,3,0)</f>
        <v>U</v>
      </c>
      <c r="E8852" s="50">
        <f>SUM(C8824:C8829)</f>
        <v>2.5</v>
      </c>
      <c r="F8852" s="51">
        <f>VLOOKUP(A8852,'Componentes APUs'!$A$1:$D$14,4,0)</f>
        <v>3750</v>
      </c>
      <c r="G8852" s="51">
        <f>ROUNDUP(F8852*(E8852/21)/E8812,0)</f>
        <v>23</v>
      </c>
    </row>
    <row r="8853" spans="1:7" x14ac:dyDescent="0.25">
      <c r="A8853" s="69" t="s">
        <v>85</v>
      </c>
      <c r="B8853" s="72" t="str">
        <f>VLOOKUP(A8853,'Componentes APUs'!$A$1:$D$14,2,0)</f>
        <v>Jean Dielectrico</v>
      </c>
      <c r="C8853" s="73"/>
      <c r="D8853" s="50" t="str">
        <f>VLOOKUP(A8853,'Componentes APUs'!$A$1:$D$14,3,0)</f>
        <v>U</v>
      </c>
      <c r="E8853" s="50">
        <f>SUM(C8824:C8829)</f>
        <v>2.5</v>
      </c>
      <c r="F8853" s="51">
        <f>VLOOKUP(A8853,'Componentes APUs'!$A$1:$D$14,4,0)</f>
        <v>7575.757575757576</v>
      </c>
      <c r="G8853" s="51">
        <f>ROUNDUP(F8853*(E8853/21)/E8812,0)</f>
        <v>46</v>
      </c>
    </row>
    <row r="8854" spans="1:7" x14ac:dyDescent="0.25">
      <c r="A8854" s="50" t="s">
        <v>87</v>
      </c>
      <c r="B8854" s="72" t="str">
        <f>VLOOKUP(A8854,'Componentes APUs'!$A$1:$D$14,2,0)</f>
        <v>Casco dielectrico Tipo 2 Clase E con barboquejo</v>
      </c>
      <c r="C8854" s="73"/>
      <c r="D8854" s="50" t="str">
        <f>VLOOKUP(A8854,'Componentes APUs'!$A$1:$D$14,3,0)</f>
        <v>U</v>
      </c>
      <c r="E8854" s="53">
        <f>IF(A8826="MO-3",C8826,0)</f>
        <v>0</v>
      </c>
      <c r="F8854" s="51">
        <f>VLOOKUP(A8854,'Componentes APUs'!$A$1:$D$14,4,0)</f>
        <v>7500</v>
      </c>
      <c r="G8854" s="51">
        <f>ROUNDUP(F8854*(E8854/21)/E8812,0)</f>
        <v>0</v>
      </c>
    </row>
    <row r="8855" spans="1:7" x14ac:dyDescent="0.25">
      <c r="A8855" s="69" t="s">
        <v>89</v>
      </c>
      <c r="B8855" s="72" t="str">
        <f>VLOOKUP(A8855,'Componentes APUs'!$A$1:$D$14,2,0)</f>
        <v>Kit de rescate para trabajo en alturas</v>
      </c>
      <c r="C8855" s="73"/>
      <c r="D8855" s="50" t="str">
        <f>VLOOKUP(A8855,'Componentes APUs'!$A$1:$D$14,3,0)</f>
        <v>U</v>
      </c>
      <c r="E8855" s="50">
        <f>IF(AND(A8826="MO-3",C8826=2),1,0)</f>
        <v>0</v>
      </c>
      <c r="F8855" s="51">
        <f>VLOOKUP(A8855,'Componentes APUs'!$A$1:$D$14,4,0)</f>
        <v>37500</v>
      </c>
      <c r="G8855" s="51">
        <f>ROUNDUP(F8855*(E8855/21)/E8812,0)</f>
        <v>0</v>
      </c>
    </row>
    <row r="8856" spans="1:7" x14ac:dyDescent="0.25">
      <c r="A8856" s="50" t="s">
        <v>91</v>
      </c>
      <c r="B8856" s="72" t="str">
        <f>VLOOKUP(A8856,'Componentes APUs'!$A$1:$D$14,2,0)</f>
        <v>Equipo completo para trabajo en alturas con pretales (Arnes dielectrico, 1 mosqueton de seguridad, tie off dielectrico, eslinga de posicionamiento, juego de pretales)</v>
      </c>
      <c r="C8856" s="73"/>
      <c r="D8856" s="50" t="str">
        <f>VLOOKUP(A8856,'Componentes APUs'!$A$1:$D$14,3,0)</f>
        <v>U</v>
      </c>
      <c r="E8856" s="50">
        <f>IF(A8826="MO-3",C8826,0)</f>
        <v>0</v>
      </c>
      <c r="F8856" s="51">
        <f>VLOOKUP(A8856,'Componentes APUs'!$A$1:$D$14,4,0)</f>
        <v>26041.666666666668</v>
      </c>
      <c r="G8856" s="51">
        <f>ROUNDUP(F8856*(E8856/21)/E8812,0)</f>
        <v>0</v>
      </c>
    </row>
    <row r="8857" spans="1:7" x14ac:dyDescent="0.25">
      <c r="A8857" s="219" t="s">
        <v>95</v>
      </c>
      <c r="B8857" s="219"/>
      <c r="C8857" s="219"/>
      <c r="D8857" s="219"/>
      <c r="E8857" s="219"/>
      <c r="F8857" s="219"/>
      <c r="G8857" s="52">
        <f>SUM(G8844:G8856)</f>
        <v>314</v>
      </c>
    </row>
    <row r="8858" spans="1:7" x14ac:dyDescent="0.25">
      <c r="A8858" s="56"/>
      <c r="B8858" s="57"/>
      <c r="C8858" s="57"/>
      <c r="D8858" s="57"/>
      <c r="E8858" s="57"/>
      <c r="F8858" s="57"/>
      <c r="G8858" s="58"/>
    </row>
    <row r="8859" spans="1:7" x14ac:dyDescent="0.25">
      <c r="A8859" s="219" t="s">
        <v>96</v>
      </c>
      <c r="B8859" s="219"/>
      <c r="C8859" s="219"/>
      <c r="D8859" s="219"/>
      <c r="E8859" s="219"/>
      <c r="F8859" s="219"/>
      <c r="G8859" s="219"/>
    </row>
    <row r="8860" spans="1:7" x14ac:dyDescent="0.25">
      <c r="A8860" s="49" t="s">
        <v>35</v>
      </c>
      <c r="B8860" s="225" t="s">
        <v>36</v>
      </c>
      <c r="C8860" s="225"/>
      <c r="D8860" s="49" t="s">
        <v>37</v>
      </c>
      <c r="E8860" s="49" t="s">
        <v>38</v>
      </c>
      <c r="F8860" s="49" t="s">
        <v>39</v>
      </c>
      <c r="G8860" s="49" t="s">
        <v>40</v>
      </c>
    </row>
    <row r="8861" spans="1:7" x14ac:dyDescent="0.25">
      <c r="A8861" s="69" t="s">
        <v>97</v>
      </c>
      <c r="B8861" s="72" t="str">
        <f>VLOOKUP(A8861,'Componentes APUs'!$N$1:$Q$30,2,0)</f>
        <v>Camioneta</v>
      </c>
      <c r="C8861" s="73"/>
      <c r="D8861" s="70" t="str">
        <f>VLOOKUP(A8861,'Componentes APUs'!$N$1:$Q$30,3,0)</f>
        <v>U</v>
      </c>
      <c r="E8861" s="50">
        <v>0.5</v>
      </c>
      <c r="F8861" s="51">
        <f>VLOOKUP(A8861,'Componentes APUs'!$N$1:$Q$30,4,0)</f>
        <v>5500000</v>
      </c>
      <c r="G8861" s="51">
        <f>IFERROR(ROUNDUP(F8861*(E8861/21)/E8812,0),"-")</f>
        <v>6548</v>
      </c>
    </row>
    <row r="8862" spans="1:7" x14ac:dyDescent="0.25">
      <c r="A8862" s="50" t="s">
        <v>2788</v>
      </c>
      <c r="B8862" s="72" t="str">
        <f>VLOOKUP(A8862,'Componentes APUs'!$N$1:$Q$30,2,0)</f>
        <v>Cilindro compactador vibrador dynapac</v>
      </c>
      <c r="C8862" s="73"/>
      <c r="D8862" s="70" t="str">
        <f>VLOOKUP(A8862,'Componentes APUs'!$N$1:$Q$30,3,0)</f>
        <v>U</v>
      </c>
      <c r="E8862" s="50">
        <v>0</v>
      </c>
      <c r="F8862" s="51">
        <f>VLOOKUP(A8862,'Componentes APUs'!$N$1:$Q$30,4,0)</f>
        <v>23814282.239999998</v>
      </c>
      <c r="G8862" s="51">
        <f>IFERROR(ROUNDUP(F8862*(E8862/21)/E8812,0),"-")</f>
        <v>0</v>
      </c>
    </row>
    <row r="8863" spans="1:7" x14ac:dyDescent="0.25">
      <c r="A8863" s="50" t="s">
        <v>2789</v>
      </c>
      <c r="B8863" s="72" t="str">
        <f>VLOOKUP(A8863,'Componentes APUs'!$N$1:$Q$30,2,0)</f>
        <v>Carrotanque agua</v>
      </c>
      <c r="C8863" s="73"/>
      <c r="D8863" s="70" t="str">
        <f>VLOOKUP(A8863,'Componentes APUs'!$N$1:$Q$30,3,0)</f>
        <v>U</v>
      </c>
      <c r="E8863" s="50">
        <v>0</v>
      </c>
      <c r="F8863" s="51">
        <f>VLOOKUP(A8863,'Componentes APUs'!$N$1:$Q$30,4,0)</f>
        <v>12777710.4</v>
      </c>
      <c r="G8863" s="51">
        <f>IFERROR(ROUNDUP(F8863*(E8863/21)/E8812,0),"-")</f>
        <v>0</v>
      </c>
    </row>
    <row r="8864" spans="1:7" x14ac:dyDescent="0.25">
      <c r="A8864" s="50" t="s">
        <v>2790</v>
      </c>
      <c r="B8864" s="72" t="str">
        <f>VLOOKUP(A8864,'Componentes APUs'!$N:$Q,2,0)</f>
        <v>Compactador asfalto</v>
      </c>
      <c r="C8864" s="73"/>
      <c r="D8864" s="70" t="str">
        <f>VLOOKUP(A8864,'Componentes APUs'!$N:$Q,3,0)</f>
        <v>U</v>
      </c>
      <c r="E8864" s="50">
        <v>0</v>
      </c>
      <c r="F8864" s="51">
        <f>VLOOKUP(A8864,'Componentes APUs'!$N:$Q,4,0)</f>
        <v>19745072.927999999</v>
      </c>
      <c r="G8864" s="51">
        <f>IFERROR(ROUNDUP(F8864*(E8864/21)/E8812,0),"-")</f>
        <v>0</v>
      </c>
    </row>
    <row r="8865" spans="1:8" x14ac:dyDescent="0.25">
      <c r="A8865" s="50" t="s">
        <v>2791</v>
      </c>
      <c r="B8865" s="72" t="str">
        <f>VLOOKUP(A8865,'Componentes APUs'!$N:$Q,2,0)</f>
        <v>Terminador de asfalto</v>
      </c>
      <c r="C8865" s="73"/>
      <c r="D8865" s="70" t="str">
        <f>VLOOKUP(A8865,'Componentes APUs'!$N:$Q,3,0)</f>
        <v>U</v>
      </c>
      <c r="E8865" s="50">
        <v>0</v>
      </c>
      <c r="F8865" s="51">
        <f>VLOOKUP(A8865,'Componentes APUs'!$N:$Q,4,0)</f>
        <v>25915583.735999998</v>
      </c>
      <c r="G8865" s="51">
        <f>IFERROR(ROUNDUP(F8865*(E8865/21)/E8812,0),"-")</f>
        <v>0</v>
      </c>
    </row>
    <row r="8866" spans="1:8" x14ac:dyDescent="0.25">
      <c r="A8866" s="219" t="s">
        <v>99</v>
      </c>
      <c r="B8866" s="219"/>
      <c r="C8866" s="219"/>
      <c r="D8866" s="219"/>
      <c r="E8866" s="219"/>
      <c r="F8866" s="219"/>
      <c r="G8866" s="52">
        <f>SUM(G8861:G8865)</f>
        <v>6548</v>
      </c>
    </row>
    <row r="8867" spans="1:8" x14ac:dyDescent="0.25">
      <c r="A8867" s="56"/>
      <c r="B8867" s="57"/>
      <c r="C8867" s="57"/>
      <c r="D8867" s="57"/>
      <c r="E8867" s="57"/>
      <c r="F8867" s="57"/>
      <c r="G8867" s="58"/>
    </row>
    <row r="8868" spans="1:8" x14ac:dyDescent="0.25">
      <c r="A8868" s="219" t="s">
        <v>100</v>
      </c>
      <c r="B8868" s="219"/>
      <c r="C8868" s="219"/>
      <c r="D8868" s="219"/>
      <c r="E8868" s="219"/>
      <c r="F8868" s="219"/>
      <c r="G8868" s="52">
        <f>G8866+G8857+G8840+G8830+G8820</f>
        <v>230008</v>
      </c>
    </row>
    <row r="8869" spans="1:8" x14ac:dyDescent="0.25">
      <c r="A8869" s="59"/>
      <c r="B8869" s="60"/>
      <c r="C8869" s="60"/>
      <c r="D8869" s="60"/>
      <c r="E8869" s="57"/>
      <c r="F8869" s="57"/>
      <c r="G8869" s="58"/>
    </row>
    <row r="8870" spans="1:8" x14ac:dyDescent="0.25">
      <c r="A8870" s="64"/>
      <c r="D8870" s="55"/>
      <c r="E8870" s="49" t="s">
        <v>25</v>
      </c>
      <c r="F8870" s="54">
        <v>0.15</v>
      </c>
      <c r="G8870" s="51">
        <f>G8868*F8870</f>
        <v>34501.199999999997</v>
      </c>
    </row>
    <row r="8871" spans="1:8" x14ac:dyDescent="0.25">
      <c r="A8871" s="64"/>
      <c r="D8871" s="55"/>
      <c r="E8871" s="49" t="s">
        <v>26</v>
      </c>
      <c r="F8871" s="54">
        <v>0.05</v>
      </c>
      <c r="G8871" s="51">
        <f>G8868*F8871</f>
        <v>11500.400000000001</v>
      </c>
    </row>
    <row r="8872" spans="1:8" x14ac:dyDescent="0.25">
      <c r="A8872" s="61"/>
      <c r="B8872" s="65"/>
      <c r="C8872" s="65"/>
      <c r="D8872" s="62"/>
      <c r="E8872" s="49" t="s">
        <v>27</v>
      </c>
      <c r="F8872" s="54">
        <v>0.05</v>
      </c>
      <c r="G8872" s="51">
        <f>G8868*F8872</f>
        <v>11500.400000000001</v>
      </c>
    </row>
    <row r="8873" spans="1:8" x14ac:dyDescent="0.25">
      <c r="A8873" s="61"/>
      <c r="B8873" s="62"/>
      <c r="C8873" s="62"/>
      <c r="D8873" s="62"/>
      <c r="E8873" s="62"/>
      <c r="F8873" s="62"/>
      <c r="G8873" s="63"/>
    </row>
    <row r="8874" spans="1:8" x14ac:dyDescent="0.25">
      <c r="A8874" s="219" t="s">
        <v>101</v>
      </c>
      <c r="B8874" s="219"/>
      <c r="C8874" s="219"/>
      <c r="D8874" s="219"/>
      <c r="E8874" s="219"/>
      <c r="F8874" s="219"/>
      <c r="G8874" s="52">
        <f>G8868+G8870+G8871+G8872</f>
        <v>287510.00000000006</v>
      </c>
    </row>
    <row r="8875" spans="1:8" x14ac:dyDescent="0.25">
      <c r="A8875" s="59"/>
      <c r="B8875" s="60"/>
      <c r="C8875" s="60"/>
      <c r="D8875" s="60"/>
      <c r="E8875" s="57"/>
      <c r="F8875" s="57"/>
      <c r="G8875" s="58"/>
    </row>
    <row r="8876" spans="1:8" x14ac:dyDescent="0.25">
      <c r="A8876" s="64"/>
      <c r="D8876" s="55"/>
      <c r="E8876" s="49" t="s">
        <v>102</v>
      </c>
      <c r="F8876" s="49" t="s">
        <v>103</v>
      </c>
      <c r="G8876" s="51">
        <f>G8872*19%</f>
        <v>2185.0760000000005</v>
      </c>
    </row>
    <row r="8877" spans="1:8" x14ac:dyDescent="0.25">
      <c r="A8877" s="61"/>
      <c r="B8877" s="62"/>
      <c r="C8877" s="62"/>
      <c r="D8877" s="62"/>
      <c r="E8877" s="57"/>
      <c r="F8877" s="57"/>
      <c r="G8877" s="58"/>
    </row>
    <row r="8878" spans="1:8" x14ac:dyDescent="0.25">
      <c r="A8878" s="219" t="s">
        <v>104</v>
      </c>
      <c r="B8878" s="219"/>
      <c r="C8878" s="219"/>
      <c r="D8878" s="219"/>
      <c r="E8878" s="219"/>
      <c r="F8878" s="219"/>
      <c r="G8878" s="52">
        <f>G8876+G8874</f>
        <v>289695.07600000006</v>
      </c>
    </row>
    <row r="8880" spans="1:8" x14ac:dyDescent="0.25">
      <c r="A8880" s="74" t="s">
        <v>29</v>
      </c>
      <c r="B8880" s="226" t="s">
        <v>30</v>
      </c>
      <c r="C8880" s="226"/>
      <c r="D8880" s="74" t="s">
        <v>31</v>
      </c>
      <c r="E8880" s="74" t="s">
        <v>32</v>
      </c>
      <c r="F8880" s="74" t="s">
        <v>189</v>
      </c>
      <c r="G8880" s="74" t="s">
        <v>33</v>
      </c>
      <c r="H8880" s="105"/>
    </row>
    <row r="8881" spans="1:13" ht="27" customHeight="1" x14ac:dyDescent="0.25">
      <c r="A8881" s="50" t="str">
        <f>Presupuesto!B166</f>
        <v>142_OC</v>
      </c>
      <c r="B8881" s="229" t="str">
        <f>Presupuesto!C166</f>
        <v>CAPA DE RODADURA (MEZCLA ASFÁLTICA DENSA MD25)</v>
      </c>
      <c r="C8881" s="230"/>
      <c r="D8881" s="50" t="s">
        <v>114</v>
      </c>
      <c r="E8881" s="107">
        <v>55</v>
      </c>
      <c r="F8881" s="50"/>
      <c r="G8881" s="51">
        <f>G8945</f>
        <v>1014122.9504999999</v>
      </c>
      <c r="H8881" s="111"/>
    </row>
    <row r="8882" spans="1:13" x14ac:dyDescent="0.25">
      <c r="A8882" s="219" t="s">
        <v>34</v>
      </c>
      <c r="B8882" s="219"/>
      <c r="C8882" s="219"/>
      <c r="D8882" s="219"/>
      <c r="E8882" s="219"/>
      <c r="F8882" s="219"/>
      <c r="G8882" s="219"/>
    </row>
    <row r="8883" spans="1:13" ht="30.75" customHeight="1" x14ac:dyDescent="0.25">
      <c r="A8883" s="49" t="s">
        <v>35</v>
      </c>
      <c r="B8883" s="219" t="s">
        <v>36</v>
      </c>
      <c r="C8883" s="219"/>
      <c r="D8883" s="49" t="s">
        <v>37</v>
      </c>
      <c r="E8883" s="49" t="s">
        <v>38</v>
      </c>
      <c r="F8883" s="49" t="s">
        <v>39</v>
      </c>
      <c r="G8883" s="49" t="s">
        <v>40</v>
      </c>
      <c r="K8883" s="23"/>
      <c r="L8883" s="23"/>
    </row>
    <row r="8884" spans="1:13" x14ac:dyDescent="0.25">
      <c r="A8884" s="50" t="str">
        <f>Material!A658</f>
        <v>MA-657</v>
      </c>
      <c r="B8884" s="72" t="str">
        <f>IFERROR(VLOOKUP(A8884,Material!$A:$H,2,0),"-")</f>
        <v>MEZCLA ASFÁLTICA MDC (INCLUYE TRANSPORTE)</v>
      </c>
      <c r="C8884" s="76"/>
      <c r="D8884" s="50" t="str">
        <f>IFERROR(VLOOKUP(A8884,Material!$A:$H,4,0),"-")</f>
        <v>M3</v>
      </c>
      <c r="E8884" s="107">
        <v>1</v>
      </c>
      <c r="F8884" s="51">
        <f>IFERROR(VLOOKUP(A8884,Material!$A:$H,3,0),"-")</f>
        <v>751885.68</v>
      </c>
      <c r="G8884" s="51">
        <f>IFERROR(ROUNDUP(F8884*E8884,0),"-")</f>
        <v>751886</v>
      </c>
      <c r="H8884" s="112"/>
      <c r="I8884" s="110"/>
      <c r="J8884" s="113"/>
      <c r="K8884" s="114"/>
      <c r="L8884" s="115"/>
      <c r="M8884" s="115"/>
    </row>
    <row r="8885" spans="1:13" x14ac:dyDescent="0.25">
      <c r="A8885" s="50"/>
      <c r="B8885" s="72" t="str">
        <f>IFERROR(VLOOKUP(A8885,Material!$A:$H,2,0),"-")</f>
        <v>-</v>
      </c>
      <c r="C8885" s="76"/>
      <c r="D8885" s="50" t="str">
        <f>IFERROR(VLOOKUP(A8885,Material!$A:$H,4,0),"-")</f>
        <v>-</v>
      </c>
      <c r="E8885" s="107"/>
      <c r="F8885" s="51" t="str">
        <f>IFERROR(VLOOKUP(A8885,Material!$A:$H,3,0),"-")</f>
        <v>-</v>
      </c>
      <c r="G8885" s="51" t="str">
        <f>IFERROR(ROUNDUP(F8885*E8885,0),"-")</f>
        <v>-</v>
      </c>
      <c r="H8885" s="112"/>
      <c r="I8885" s="110"/>
      <c r="J8885" s="113"/>
      <c r="K8885" s="114"/>
      <c r="L8885" s="115"/>
      <c r="M8885" s="115"/>
    </row>
    <row r="8886" spans="1:13" x14ac:dyDescent="0.25">
      <c r="A8886" s="50"/>
      <c r="B8886" s="72" t="str">
        <f>IFERROR(VLOOKUP(A8886,Material!$A:$H,2,0),"-")</f>
        <v>-</v>
      </c>
      <c r="C8886" s="76"/>
      <c r="D8886" s="50" t="str">
        <f>IFERROR(VLOOKUP(A8886,Material!$A:$H,4,0),"-")</f>
        <v>-</v>
      </c>
      <c r="E8886" s="107"/>
      <c r="F8886" s="51" t="str">
        <f>IFERROR(VLOOKUP(A8886,Material!$A:$H,3,0),"-")</f>
        <v>-</v>
      </c>
      <c r="G8886" s="51" t="str">
        <f>IFERROR(ROUNDUP(F8886*E8886,0),"-")</f>
        <v>-</v>
      </c>
      <c r="H8886" s="112"/>
      <c r="I8886" s="110"/>
      <c r="J8886" s="113"/>
      <c r="K8886" s="114"/>
      <c r="L8886" s="115"/>
      <c r="M8886" s="115"/>
    </row>
    <row r="8887" spans="1:13" x14ac:dyDescent="0.25">
      <c r="A8887" s="219" t="s">
        <v>41</v>
      </c>
      <c r="B8887" s="219"/>
      <c r="C8887" s="219"/>
      <c r="D8887" s="219"/>
      <c r="E8887" s="219"/>
      <c r="F8887" s="219"/>
      <c r="G8887" s="52">
        <f>SUM(G8884:G8886)</f>
        <v>751886</v>
      </c>
      <c r="I8887" s="104"/>
    </row>
    <row r="8888" spans="1:13" x14ac:dyDescent="0.25">
      <c r="A8888" s="56"/>
      <c r="B8888" s="57"/>
      <c r="C8888" s="57"/>
      <c r="D8888" s="57"/>
      <c r="E8888" s="57"/>
      <c r="F8888" s="57"/>
      <c r="G8888" s="58"/>
    </row>
    <row r="8889" spans="1:13" x14ac:dyDescent="0.25">
      <c r="A8889" s="219" t="s">
        <v>42</v>
      </c>
      <c r="B8889" s="219"/>
      <c r="C8889" s="219"/>
      <c r="D8889" s="219"/>
      <c r="E8889" s="219"/>
      <c r="F8889" s="219"/>
      <c r="G8889" s="219"/>
    </row>
    <row r="8890" spans="1:13" x14ac:dyDescent="0.25">
      <c r="A8890" s="49" t="s">
        <v>35</v>
      </c>
      <c r="B8890" s="49" t="s">
        <v>36</v>
      </c>
      <c r="C8890" s="49" t="s">
        <v>38</v>
      </c>
      <c r="D8890" s="49" t="s">
        <v>43</v>
      </c>
      <c r="E8890" s="49" t="s">
        <v>44</v>
      </c>
      <c r="F8890" s="49" t="s">
        <v>45</v>
      </c>
      <c r="G8890" s="49" t="s">
        <v>40</v>
      </c>
    </row>
    <row r="8891" spans="1:13" x14ac:dyDescent="0.25">
      <c r="A8891" s="50" t="s">
        <v>319</v>
      </c>
      <c r="B8891" s="68" t="str">
        <f>VLOOKUP(A8891,'Componentes APUs'!$H$1:$L$25,2,0)</f>
        <v>Ingeniero Residente de Obra</v>
      </c>
      <c r="C8891" s="93">
        <v>0.25</v>
      </c>
      <c r="D8891" s="50">
        <f>VLOOKUP(A8891,'Componentes APUs'!$H$1:$L$25,3,0)</f>
        <v>4</v>
      </c>
      <c r="E8891" s="51">
        <f>VLOOKUP(A8891,'Componentes APUs'!$H$1:$L$25,4,0)</f>
        <v>271142.85714285716</v>
      </c>
      <c r="F8891" s="51">
        <f>VLOOKUP(A8891,'Componentes APUs'!$H$1:$L$25,5,0)</f>
        <v>162685.71428571429</v>
      </c>
      <c r="G8891" s="51">
        <f>ROUNDUP((E8891+F8891)*C8891/E8881,0)</f>
        <v>1972</v>
      </c>
      <c r="H8891" s="66"/>
    </row>
    <row r="8892" spans="1:13" x14ac:dyDescent="0.25">
      <c r="A8892" s="50" t="s">
        <v>320</v>
      </c>
      <c r="B8892" s="68" t="str">
        <f>VLOOKUP(A8892,'Componentes APUs'!$H$1:$L$25,2,0)</f>
        <v>Tecnico Supervisor</v>
      </c>
      <c r="C8892" s="93">
        <v>0</v>
      </c>
      <c r="D8892" s="50">
        <f>VLOOKUP(A8892,'Componentes APUs'!$H$1:$L$25,3,0)</f>
        <v>2.2999999999999998</v>
      </c>
      <c r="E8892" s="51">
        <f>VLOOKUP(A8892,'Componentes APUs'!$H$1:$L$25,4,0)</f>
        <v>155907.14285714284</v>
      </c>
      <c r="F8892" s="51">
        <f>VLOOKUP(A8892,'Componentes APUs'!$H$1:$L$25,5,0)</f>
        <v>93544.285714285696</v>
      </c>
      <c r="G8892" s="51">
        <f>ROUNDUP((E8892+F8892)*C8892/E8881,0)</f>
        <v>0</v>
      </c>
    </row>
    <row r="8893" spans="1:13" x14ac:dyDescent="0.25">
      <c r="A8893" s="50" t="s">
        <v>54</v>
      </c>
      <c r="B8893" s="68" t="str">
        <f>VLOOKUP(A8893,'Componentes APUs'!$H$1:$L$25,2,0)</f>
        <v>Maestro de obra civil</v>
      </c>
      <c r="C8893" s="93">
        <v>0</v>
      </c>
      <c r="D8893" s="50">
        <f>VLOOKUP(A8893,'Componentes APUs'!$H$1:$L$25,3,0)</f>
        <v>2.5</v>
      </c>
      <c r="E8893" s="51">
        <f>VLOOKUP(A8893,'Componentes APUs'!$H$1:$L$25,4,0)</f>
        <v>169464.28571428571</v>
      </c>
      <c r="F8893" s="51">
        <f>VLOOKUP(A8893,'Componentes APUs'!$H$1:$L$25,5,0)</f>
        <v>101678.57142857142</v>
      </c>
      <c r="G8893" s="51">
        <f>ROUNDUP((E8893+F8893)*C8893/E8881,0)</f>
        <v>0</v>
      </c>
    </row>
    <row r="8894" spans="1:13" x14ac:dyDescent="0.25">
      <c r="A8894" s="50" t="s">
        <v>1110</v>
      </c>
      <c r="B8894" s="68" t="str">
        <f>VLOOKUP(A8894,'Componentes APUs'!$H$1:$L$25,2,0)</f>
        <v>Oficial de Obra Civil</v>
      </c>
      <c r="C8894" s="93">
        <v>1</v>
      </c>
      <c r="D8894" s="50">
        <f>VLOOKUP(A8894,'Componentes APUs'!$H$1:$L$25,3,0)</f>
        <v>1.5</v>
      </c>
      <c r="E8894" s="51">
        <f>VLOOKUP(A8894,'Componentes APUs'!$H$1:$L$25,4,0)</f>
        <v>115964.28571428571</v>
      </c>
      <c r="F8894" s="51">
        <f>VLOOKUP(A8894,'Componentes APUs'!$H$1:$L$25,5,0)</f>
        <v>69578.57142857142</v>
      </c>
      <c r="G8894" s="51">
        <f>ROUNDUP((E8894+F8894)*C8894/E8881,0)</f>
        <v>3374</v>
      </c>
    </row>
    <row r="8895" spans="1:13" x14ac:dyDescent="0.25">
      <c r="A8895" s="50" t="s">
        <v>50</v>
      </c>
      <c r="B8895" s="68" t="str">
        <f>VLOOKUP(A8895,'Componentes APUs'!$H$1:$L$25,2,0)</f>
        <v>Profesional en SST</v>
      </c>
      <c r="C8895" s="93">
        <v>0.25</v>
      </c>
      <c r="D8895" s="50">
        <f>VLOOKUP(A8895,'Componentes APUs'!$H$1:$L$25,3,0)</f>
        <v>2.5</v>
      </c>
      <c r="E8895" s="51">
        <f>VLOOKUP(A8895,'Componentes APUs'!$H$1:$L$25,4,0)</f>
        <v>169464.28571428571</v>
      </c>
      <c r="F8895" s="51">
        <f>VLOOKUP(A8895,'Componentes APUs'!$H$1:$L$25,5,0)</f>
        <v>101678.57142857142</v>
      </c>
      <c r="G8895" s="51">
        <f>ROUNDUP((E8895+F8895)*C8895/E8881,0)</f>
        <v>1233</v>
      </c>
    </row>
    <row r="8896" spans="1:13" x14ac:dyDescent="0.25">
      <c r="A8896" s="50" t="s">
        <v>1109</v>
      </c>
      <c r="B8896" s="68" t="str">
        <f>VLOOKUP(A8896,'Componentes APUs'!$H$1:$L$25,2,0)</f>
        <v>Ayudante de Obra Civil</v>
      </c>
      <c r="C8896" s="93">
        <v>10</v>
      </c>
      <c r="D8896" s="50">
        <f>VLOOKUP(A8896,'Componentes APUs'!$H$1:$L$25,3,0)</f>
        <v>1</v>
      </c>
      <c r="E8896" s="51">
        <f>VLOOKUP(A8896,'Componentes APUs'!$H$1:$L$25,4,0)</f>
        <v>77309.523809523816</v>
      </c>
      <c r="F8896" s="51">
        <f>VLOOKUP(A8896,'Componentes APUs'!$H$1:$L$25,5,0)</f>
        <v>46385.71428571429</v>
      </c>
      <c r="G8896" s="51">
        <f>ROUNDUP((E8896+F8896)*C8896/E8881,0)</f>
        <v>22491</v>
      </c>
    </row>
    <row r="8897" spans="1:9" x14ac:dyDescent="0.25">
      <c r="A8897" s="219" t="s">
        <v>56</v>
      </c>
      <c r="B8897" s="219"/>
      <c r="C8897" s="219"/>
      <c r="D8897" s="219"/>
      <c r="E8897" s="219"/>
      <c r="F8897" s="219"/>
      <c r="G8897" s="52">
        <f>SUM(G8891:G8896)</f>
        <v>29070</v>
      </c>
    </row>
    <row r="8898" spans="1:9" x14ac:dyDescent="0.25">
      <c r="A8898" s="56"/>
      <c r="B8898" s="57"/>
      <c r="C8898" s="57"/>
      <c r="D8898" s="57"/>
      <c r="E8898" s="57"/>
      <c r="F8898" s="57"/>
      <c r="G8898" s="58"/>
    </row>
    <row r="8899" spans="1:9" x14ac:dyDescent="0.25">
      <c r="A8899" s="219" t="s">
        <v>57</v>
      </c>
      <c r="B8899" s="219"/>
      <c r="C8899" s="219"/>
      <c r="D8899" s="219"/>
      <c r="E8899" s="219"/>
      <c r="F8899" s="219"/>
      <c r="G8899" s="219"/>
    </row>
    <row r="8900" spans="1:9" x14ac:dyDescent="0.25">
      <c r="A8900" s="49" t="s">
        <v>35</v>
      </c>
      <c r="B8900" s="219" t="s">
        <v>36</v>
      </c>
      <c r="C8900" s="219"/>
      <c r="D8900" s="49" t="s">
        <v>37</v>
      </c>
      <c r="E8900" s="49" t="s">
        <v>38</v>
      </c>
      <c r="F8900" s="49" t="s">
        <v>39</v>
      </c>
      <c r="G8900" s="49" t="s">
        <v>40</v>
      </c>
    </row>
    <row r="8901" spans="1:9" x14ac:dyDescent="0.25">
      <c r="A8901" s="50" t="s">
        <v>326</v>
      </c>
      <c r="B8901" s="220" t="str">
        <f>VLOOKUP(A8901,'Componentes APUs'!$S$1:$V$10,2,0)</f>
        <v>Juego Llaves</v>
      </c>
      <c r="C8901" s="220"/>
      <c r="D8901" s="50" t="s">
        <v>18</v>
      </c>
      <c r="E8901" s="50">
        <v>0</v>
      </c>
      <c r="F8901" s="51">
        <f>VLOOKUP(A8901,'Componentes APUs'!$S$1:$V$10,4,0)</f>
        <v>9167</v>
      </c>
      <c r="G8901" s="51">
        <f>ROUNDUP(F8901*((E8901/21)/E8881),0)</f>
        <v>0</v>
      </c>
      <c r="I8901" s="91"/>
    </row>
    <row r="8902" spans="1:9" x14ac:dyDescent="0.25">
      <c r="A8902" s="50" t="s">
        <v>58</v>
      </c>
      <c r="B8902" s="220" t="str">
        <f>VLOOKUP(A8902,'Componentes APUs'!$S$1:$V$10,2,0)</f>
        <v>Manila de servicio</v>
      </c>
      <c r="C8902" s="220"/>
      <c r="D8902" s="50" t="s">
        <v>18</v>
      </c>
      <c r="E8902" s="50">
        <v>0</v>
      </c>
      <c r="F8902" s="51">
        <f>VLOOKUP(A8902,'Componentes APUs'!$S$1:$V$10,4,0)</f>
        <v>2333</v>
      </c>
      <c r="G8902" s="51">
        <f>ROUNDUP(F8902*((E8902/21)/E8881),0)</f>
        <v>0</v>
      </c>
    </row>
    <row r="8903" spans="1:9" x14ac:dyDescent="0.25">
      <c r="A8903" s="50" t="s">
        <v>327</v>
      </c>
      <c r="B8903" s="220" t="str">
        <f>VLOOKUP(A8903,'Componentes APUs'!$S$1:$V$10,2,0)</f>
        <v>Tula portaherramientas</v>
      </c>
      <c r="C8903" s="220"/>
      <c r="D8903" s="50" t="s">
        <v>18</v>
      </c>
      <c r="E8903" s="50">
        <v>0</v>
      </c>
      <c r="F8903" s="51">
        <f>VLOOKUP(A8903,'Componentes APUs'!$S$1:$V$10,4,0)</f>
        <v>1250</v>
      </c>
      <c r="G8903" s="51">
        <f>ROUNDUP(F8903*((E8903/21)/E8881),0)</f>
        <v>0</v>
      </c>
    </row>
    <row r="8904" spans="1:9" x14ac:dyDescent="0.25">
      <c r="A8904" s="50" t="s">
        <v>60</v>
      </c>
      <c r="B8904" s="220" t="str">
        <f>VLOOKUP(A8904,'Componentes APUs'!$S$1:$V$10,2,0)</f>
        <v>Agarradoras</v>
      </c>
      <c r="C8904" s="220"/>
      <c r="D8904" s="50" t="s">
        <v>18</v>
      </c>
      <c r="E8904" s="50">
        <v>0</v>
      </c>
      <c r="F8904" s="51">
        <f>VLOOKUP(A8904,'Componentes APUs'!$S$1:$V$10,4,0)</f>
        <v>125000</v>
      </c>
      <c r="G8904" s="51">
        <f>ROUNDUP(F8904*((E8904/21)/E8881),0)</f>
        <v>0</v>
      </c>
    </row>
    <row r="8905" spans="1:9" x14ac:dyDescent="0.25">
      <c r="A8905" s="50" t="s">
        <v>62</v>
      </c>
      <c r="B8905" s="220" t="str">
        <f>VLOOKUP(A8905,'Componentes APUs'!$S$1:$V$10,2,0)</f>
        <v>Templadoras</v>
      </c>
      <c r="C8905" s="220"/>
      <c r="D8905" s="50" t="s">
        <v>18</v>
      </c>
      <c r="E8905" s="50">
        <v>0</v>
      </c>
      <c r="F8905" s="51">
        <f>VLOOKUP(A8905,'Componentes APUs'!$S$1:$V$10,4,0)</f>
        <v>250000</v>
      </c>
      <c r="G8905" s="51">
        <f>ROUNDUP(F8905*((E8905/21)/E8881),0)</f>
        <v>0</v>
      </c>
    </row>
    <row r="8906" spans="1:9" x14ac:dyDescent="0.25">
      <c r="A8906" s="50" t="s">
        <v>328</v>
      </c>
      <c r="B8906" s="220" t="str">
        <f>VLOOKUP(A8906,'Componentes APUs'!$S$1:$V$10,2,0)</f>
        <v>Herramienta Menor</v>
      </c>
      <c r="C8906" s="220"/>
      <c r="D8906" s="50" t="s">
        <v>18</v>
      </c>
      <c r="E8906" s="50">
        <v>3</v>
      </c>
      <c r="F8906" s="51">
        <f>VLOOKUP(A8906,'Componentes APUs'!$S$1:$V$10,4,0)</f>
        <v>75758</v>
      </c>
      <c r="G8906" s="51">
        <f>ROUNDUP(F8906*((E8906/21)/E8881),0)</f>
        <v>197</v>
      </c>
    </row>
    <row r="8907" spans="1:9" x14ac:dyDescent="0.25">
      <c r="A8907" s="219" t="s">
        <v>69</v>
      </c>
      <c r="B8907" s="219"/>
      <c r="C8907" s="219"/>
      <c r="D8907" s="219"/>
      <c r="E8907" s="219"/>
      <c r="F8907" s="219"/>
      <c r="G8907" s="52">
        <f>SUM(G8901:G8906)</f>
        <v>197</v>
      </c>
    </row>
    <row r="8908" spans="1:9" x14ac:dyDescent="0.25">
      <c r="A8908" s="56"/>
      <c r="B8908" s="57"/>
      <c r="C8908" s="57"/>
      <c r="D8908" s="57"/>
      <c r="E8908" s="57"/>
      <c r="F8908" s="57"/>
      <c r="G8908" s="58"/>
    </row>
    <row r="8909" spans="1:9" x14ac:dyDescent="0.25">
      <c r="A8909" s="219" t="s">
        <v>70</v>
      </c>
      <c r="B8909" s="219"/>
      <c r="C8909" s="219"/>
      <c r="D8909" s="219"/>
      <c r="E8909" s="219"/>
      <c r="F8909" s="219"/>
      <c r="G8909" s="219"/>
    </row>
    <row r="8910" spans="1:9" x14ac:dyDescent="0.25">
      <c r="A8910" s="49" t="s">
        <v>35</v>
      </c>
      <c r="B8910" s="219" t="s">
        <v>36</v>
      </c>
      <c r="C8910" s="219"/>
      <c r="D8910" s="49" t="s">
        <v>37</v>
      </c>
      <c r="E8910" s="49" t="s">
        <v>38</v>
      </c>
      <c r="F8910" s="49" t="s">
        <v>39</v>
      </c>
      <c r="G8910" s="49" t="s">
        <v>40</v>
      </c>
    </row>
    <row r="8911" spans="1:9" x14ac:dyDescent="0.25">
      <c r="A8911" s="50" t="s">
        <v>71</v>
      </c>
      <c r="B8911" s="71" t="str">
        <f>VLOOKUP(A8911,'Componentes APUs'!$A$1:$D$14,2,0)</f>
        <v>Camisa indigo sin partes metalicas</v>
      </c>
      <c r="C8911" s="71"/>
      <c r="D8911" s="50" t="str">
        <f>VLOOKUP(A8911,'Componentes APUs'!$A$1:$D$14,3,0)</f>
        <v>U</v>
      </c>
      <c r="E8911" s="50">
        <f>SUM(C8891:C8896)</f>
        <v>11.5</v>
      </c>
      <c r="F8911" s="51">
        <f>VLOOKUP(A8911,'Componentes APUs'!$A$1:$D$14,4,0)</f>
        <v>8585.8585858585866</v>
      </c>
      <c r="G8911" s="51">
        <f>ROUNDUP(F8911*(E8911/21)/E8881,0)</f>
        <v>86</v>
      </c>
      <c r="I8911" s="91"/>
    </row>
    <row r="8912" spans="1:9" x14ac:dyDescent="0.25">
      <c r="A8912" s="69" t="s">
        <v>73</v>
      </c>
      <c r="B8912" s="72" t="str">
        <f>VLOOKUP(A8912,'Componentes APUs'!$A$1:$D$14,2,0)</f>
        <v>Bota de seguridad dielectrica</v>
      </c>
      <c r="C8912" s="73"/>
      <c r="D8912" s="70" t="str">
        <f>VLOOKUP(A8912,'Componentes APUs'!$A$1:$D$14,3,0)</f>
        <v>Par</v>
      </c>
      <c r="E8912" s="50">
        <f>SUM(C8891:C8896)</f>
        <v>11.5</v>
      </c>
      <c r="F8912" s="51">
        <f>VLOOKUP(A8912,'Componentes APUs'!$A$1:$D$14,4,0)</f>
        <v>7500</v>
      </c>
      <c r="G8912" s="51">
        <f>ROUNDUP(F8912*(E8912/21)/E8881,0)</f>
        <v>75</v>
      </c>
    </row>
    <row r="8913" spans="1:7" x14ac:dyDescent="0.25">
      <c r="A8913" s="50" t="s">
        <v>76</v>
      </c>
      <c r="B8913" s="72" t="str">
        <f>VLOOKUP(A8913,'Componentes APUs'!$A$1:$D$14,2,0)</f>
        <v>Casco dielectrico Tipo 1 Clase E con barbuquejo</v>
      </c>
      <c r="C8913" s="73"/>
      <c r="D8913" s="50" t="str">
        <f>VLOOKUP(A8913,'Componentes APUs'!$A$1:$D$14,3,0)</f>
        <v>U</v>
      </c>
      <c r="E8913" s="50">
        <f>C8891+C8892+C8894+C8895+C8896+IF(A8893&lt;&gt;"MO-3",C8893,0)</f>
        <v>11.5</v>
      </c>
      <c r="F8913" s="51">
        <f>VLOOKUP(A8913,'Componentes APUs'!$A$1:$D$14,4,0)</f>
        <v>10101.010101010101</v>
      </c>
      <c r="G8913" s="51">
        <f>ROUNDUP(F8913*(E8913/21)/E8881,0)</f>
        <v>101</v>
      </c>
    </row>
    <row r="8914" spans="1:7" x14ac:dyDescent="0.25">
      <c r="A8914" s="69" t="s">
        <v>77</v>
      </c>
      <c r="B8914" s="72" t="str">
        <f>VLOOKUP(A8914,'Componentes APUs'!$A$1:$D$14,2,0)</f>
        <v>Correa plastica y antiflama</v>
      </c>
      <c r="C8914" s="73"/>
      <c r="D8914" s="50" t="str">
        <f>VLOOKUP(A8914,'Componentes APUs'!$A$1:$D$14,3,0)</f>
        <v>U</v>
      </c>
      <c r="E8914" s="50">
        <f>SUM(C8891:C8896)</f>
        <v>11.5</v>
      </c>
      <c r="F8914" s="51">
        <f>VLOOKUP(A8914,'Componentes APUs'!$A$1:$D$14,4,0)</f>
        <v>3787.878787878788</v>
      </c>
      <c r="G8914" s="51">
        <f>ROUNDUP(F8914*(E8914/21)/E8881,0)</f>
        <v>38</v>
      </c>
    </row>
    <row r="8915" spans="1:7" x14ac:dyDescent="0.25">
      <c r="A8915" s="50" t="s">
        <v>79</v>
      </c>
      <c r="B8915" s="72" t="str">
        <f>VLOOKUP(A8915,'Componentes APUs'!$A$1:$D$14,2,0)</f>
        <v>Gafas protectoras filtro UV</v>
      </c>
      <c r="C8915" s="73"/>
      <c r="D8915" s="50" t="str">
        <f>VLOOKUP(A8915,'Componentes APUs'!$A$1:$D$14,3,0)</f>
        <v>U</v>
      </c>
      <c r="E8915" s="50">
        <f>SUM(C8891:C8896)</f>
        <v>11.5</v>
      </c>
      <c r="F8915" s="51">
        <f>VLOOKUP(A8915,'Componentes APUs'!$A$1:$D$14,4,0)</f>
        <v>2777.7777777777778</v>
      </c>
      <c r="G8915" s="51">
        <f>ROUNDUP(F8915*(E8915/21)/E8881,0)</f>
        <v>28</v>
      </c>
    </row>
    <row r="8916" spans="1:7" x14ac:dyDescent="0.25">
      <c r="A8916" s="69" t="s">
        <v>402</v>
      </c>
      <c r="B8916" s="72" t="str">
        <f>VLOOKUP(A8916,'Componentes APUs'!$A$1:$D$14,2,0)</f>
        <v>Bota de seguridad PVC dielectrica</v>
      </c>
      <c r="C8916" s="73"/>
      <c r="D8916" s="50" t="str">
        <f>VLOOKUP(A8916,'Componentes APUs'!$A$1:$D$14,3,0)</f>
        <v>Par</v>
      </c>
      <c r="E8916" s="50">
        <f>SUM(C8891:C8896)</f>
        <v>11.5</v>
      </c>
      <c r="F8916" s="51">
        <f>VLOOKUP(A8916,'Componentes APUs'!$A$1:$D$14,4,0)</f>
        <v>2916.6666666666665</v>
      </c>
      <c r="G8916" s="51">
        <f>ROUNDUP(F8916*(E8916/21)/E8881,0)</f>
        <v>30</v>
      </c>
    </row>
    <row r="8917" spans="1:7" x14ac:dyDescent="0.25">
      <c r="A8917" s="50" t="s">
        <v>403</v>
      </c>
      <c r="B8917" s="72" t="str">
        <f>VLOOKUP(A8917,'Componentes APUs'!$A$1:$D$14,2,0)</f>
        <v>Capuchon</v>
      </c>
      <c r="C8917" s="73"/>
      <c r="D8917" s="50" t="str">
        <f>VLOOKUP(A8917,'Componentes APUs'!$A$1:$D$14,3,0)</f>
        <v>U</v>
      </c>
      <c r="E8917" s="50">
        <f>SUM(C8891:C8896)</f>
        <v>11.5</v>
      </c>
      <c r="F8917" s="51">
        <f>VLOOKUP(A8917,'Componentes APUs'!$A$1:$D$14,4,0)</f>
        <v>2525.2525252525252</v>
      </c>
      <c r="G8917" s="51">
        <f>ROUNDUP(F8917*(E8917/21)/E8881,0)</f>
        <v>26</v>
      </c>
    </row>
    <row r="8918" spans="1:7" x14ac:dyDescent="0.25">
      <c r="A8918" s="69" t="s">
        <v>81</v>
      </c>
      <c r="B8918" s="72" t="str">
        <f>VLOOKUP(A8918,'Componentes APUs'!$A$1:$D$14,2,0)</f>
        <v>Guantes Protectores  - ingeniero reforzados</v>
      </c>
      <c r="C8918" s="73"/>
      <c r="D8918" s="50" t="str">
        <f>VLOOKUP(A8918,'Componentes APUs'!$A$1:$D$14,3,0)</f>
        <v>Par</v>
      </c>
      <c r="E8918" s="50">
        <f>C8893+C8894+C8896</f>
        <v>11</v>
      </c>
      <c r="F8918" s="51">
        <f>VLOOKUP(A8918,'Componentes APUs'!$A$1:$D$14,4,0)</f>
        <v>2525.2525252525252</v>
      </c>
      <c r="G8918" s="51">
        <f>ROUNDUP(F8918*(E8918/21)/E8881,0)</f>
        <v>25</v>
      </c>
    </row>
    <row r="8919" spans="1:7" x14ac:dyDescent="0.25">
      <c r="A8919" s="50" t="s">
        <v>83</v>
      </c>
      <c r="B8919" s="72" t="str">
        <f>VLOOKUP(A8919,'Componentes APUs'!$A$1:$D$14,2,0)</f>
        <v>Impermeable (pantalon camisa)</v>
      </c>
      <c r="C8919" s="73"/>
      <c r="D8919" s="50" t="str">
        <f>VLOOKUP(A8919,'Componentes APUs'!$A$1:$D$14,3,0)</f>
        <v>U</v>
      </c>
      <c r="E8919" s="50">
        <f>SUM(C8891:C8896)</f>
        <v>11.5</v>
      </c>
      <c r="F8919" s="51">
        <f>VLOOKUP(A8919,'Componentes APUs'!$A$1:$D$14,4,0)</f>
        <v>3750</v>
      </c>
      <c r="G8919" s="51">
        <f>ROUNDUP(F8919*(E8919/21)/E8881,0)</f>
        <v>38</v>
      </c>
    </row>
    <row r="8920" spans="1:7" x14ac:dyDescent="0.25">
      <c r="A8920" s="69" t="s">
        <v>85</v>
      </c>
      <c r="B8920" s="72" t="str">
        <f>VLOOKUP(A8920,'Componentes APUs'!$A$1:$D$14,2,0)</f>
        <v>Jean Dielectrico</v>
      </c>
      <c r="C8920" s="73"/>
      <c r="D8920" s="50" t="str">
        <f>VLOOKUP(A8920,'Componentes APUs'!$A$1:$D$14,3,0)</f>
        <v>U</v>
      </c>
      <c r="E8920" s="50">
        <f>SUM(C8891:C8896)</f>
        <v>11.5</v>
      </c>
      <c r="F8920" s="51">
        <f>VLOOKUP(A8920,'Componentes APUs'!$A$1:$D$14,4,0)</f>
        <v>7575.757575757576</v>
      </c>
      <c r="G8920" s="51">
        <f>ROUNDUP(F8920*(E8920/21)/E8881,0)</f>
        <v>76</v>
      </c>
    </row>
    <row r="8921" spans="1:7" x14ac:dyDescent="0.25">
      <c r="A8921" s="50" t="s">
        <v>87</v>
      </c>
      <c r="B8921" s="72" t="str">
        <f>VLOOKUP(A8921,'Componentes APUs'!$A$1:$D$14,2,0)</f>
        <v>Casco dielectrico Tipo 2 Clase E con barboquejo</v>
      </c>
      <c r="C8921" s="73"/>
      <c r="D8921" s="50" t="str">
        <f>VLOOKUP(A8921,'Componentes APUs'!$A$1:$D$14,3,0)</f>
        <v>U</v>
      </c>
      <c r="E8921" s="53">
        <f>IF(A8893="MO-3",C8893,0)</f>
        <v>0</v>
      </c>
      <c r="F8921" s="51">
        <f>VLOOKUP(A8921,'Componentes APUs'!$A$1:$D$14,4,0)</f>
        <v>7500</v>
      </c>
      <c r="G8921" s="51">
        <f>ROUNDUP(F8921*(E8921/21)/E8881,0)</f>
        <v>0</v>
      </c>
    </row>
    <row r="8922" spans="1:7" x14ac:dyDescent="0.25">
      <c r="A8922" s="69" t="s">
        <v>89</v>
      </c>
      <c r="B8922" s="72" t="str">
        <f>VLOOKUP(A8922,'Componentes APUs'!$A$1:$D$14,2,0)</f>
        <v>Kit de rescate para trabajo en alturas</v>
      </c>
      <c r="C8922" s="73"/>
      <c r="D8922" s="50" t="str">
        <f>VLOOKUP(A8922,'Componentes APUs'!$A$1:$D$14,3,0)</f>
        <v>U</v>
      </c>
      <c r="E8922" s="50">
        <f>IF(AND(A8893="MO-3",C8893=2),1,0)</f>
        <v>0</v>
      </c>
      <c r="F8922" s="51">
        <f>VLOOKUP(A8922,'Componentes APUs'!$A$1:$D$14,4,0)</f>
        <v>37500</v>
      </c>
      <c r="G8922" s="51">
        <f>ROUNDUP(F8922*(E8922/21)/E8881,0)</f>
        <v>0</v>
      </c>
    </row>
    <row r="8923" spans="1:7" x14ac:dyDescent="0.25">
      <c r="A8923" s="50" t="s">
        <v>91</v>
      </c>
      <c r="B8923" s="72" t="str">
        <f>VLOOKUP(A8923,'Componentes APUs'!$A$1:$D$14,2,0)</f>
        <v>Equipo completo para trabajo en alturas con pretales (Arnes dielectrico, 1 mosqueton de seguridad, tie off dielectrico, eslinga de posicionamiento, juego de pretales)</v>
      </c>
      <c r="C8923" s="73"/>
      <c r="D8923" s="50" t="str">
        <f>VLOOKUP(A8923,'Componentes APUs'!$A$1:$D$14,3,0)</f>
        <v>U</v>
      </c>
      <c r="E8923" s="50">
        <f>IF(A8893="MO-3",C8893,0)</f>
        <v>0</v>
      </c>
      <c r="F8923" s="51">
        <f>VLOOKUP(A8923,'Componentes APUs'!$A$1:$D$14,4,0)</f>
        <v>26041.666666666668</v>
      </c>
      <c r="G8923" s="51">
        <f>ROUNDUP(F8923*(E8923/21)/E8881,0)</f>
        <v>0</v>
      </c>
    </row>
    <row r="8924" spans="1:7" x14ac:dyDescent="0.25">
      <c r="A8924" s="219" t="s">
        <v>95</v>
      </c>
      <c r="B8924" s="219"/>
      <c r="C8924" s="219"/>
      <c r="D8924" s="219"/>
      <c r="E8924" s="219"/>
      <c r="F8924" s="219"/>
      <c r="G8924" s="52">
        <f>SUM(G8911:G8923)</f>
        <v>523</v>
      </c>
    </row>
    <row r="8925" spans="1:7" x14ac:dyDescent="0.25">
      <c r="A8925" s="56"/>
      <c r="B8925" s="57"/>
      <c r="C8925" s="57"/>
      <c r="D8925" s="57"/>
      <c r="E8925" s="57"/>
      <c r="F8925" s="57"/>
      <c r="G8925" s="58"/>
    </row>
    <row r="8926" spans="1:7" x14ac:dyDescent="0.25">
      <c r="A8926" s="219" t="s">
        <v>96</v>
      </c>
      <c r="B8926" s="219"/>
      <c r="C8926" s="219"/>
      <c r="D8926" s="219"/>
      <c r="E8926" s="219"/>
      <c r="F8926" s="219"/>
      <c r="G8926" s="219"/>
    </row>
    <row r="8927" spans="1:7" x14ac:dyDescent="0.25">
      <c r="A8927" s="49" t="s">
        <v>35</v>
      </c>
      <c r="B8927" s="225" t="s">
        <v>36</v>
      </c>
      <c r="C8927" s="225"/>
      <c r="D8927" s="49" t="s">
        <v>37</v>
      </c>
      <c r="E8927" s="49" t="s">
        <v>38</v>
      </c>
      <c r="F8927" s="49" t="s">
        <v>39</v>
      </c>
      <c r="G8927" s="49" t="s">
        <v>40</v>
      </c>
    </row>
    <row r="8928" spans="1:7" x14ac:dyDescent="0.25">
      <c r="A8928" s="69" t="s">
        <v>97</v>
      </c>
      <c r="B8928" s="72" t="str">
        <f>VLOOKUP(A8928,'Componentes APUs'!$N$1:$Q$30,2,0)</f>
        <v>Camioneta</v>
      </c>
      <c r="C8928" s="73"/>
      <c r="D8928" s="70" t="str">
        <f>VLOOKUP(A8928,'Componentes APUs'!$N$1:$Q$30,3,0)</f>
        <v>U</v>
      </c>
      <c r="E8928" s="50">
        <v>0</v>
      </c>
      <c r="F8928" s="51">
        <f>VLOOKUP(A8928,'Componentes APUs'!$N$1:$Q$30,4,0)</f>
        <v>5500000</v>
      </c>
      <c r="G8928" s="51">
        <f>IFERROR(ROUNDUP(F8928*(E8928/21)/E8881,0),"-")</f>
        <v>0</v>
      </c>
    </row>
    <row r="8929" spans="1:7" x14ac:dyDescent="0.25">
      <c r="A8929" s="50" t="s">
        <v>2788</v>
      </c>
      <c r="B8929" s="72" t="str">
        <f>VLOOKUP(A8929,'Componentes APUs'!$N:$Q,2,0)</f>
        <v>Cilindro compactador vibrador dynapac</v>
      </c>
      <c r="C8929" s="73"/>
      <c r="D8929" s="70" t="str">
        <f>VLOOKUP(A8929,'Componentes APUs'!$N:$Q,3,0)</f>
        <v>U</v>
      </c>
      <c r="E8929" s="50">
        <v>0.33</v>
      </c>
      <c r="F8929" s="51">
        <f>VLOOKUP(A8929,'Componentes APUs'!$N:$Q,4,0)</f>
        <v>23814282.239999998</v>
      </c>
      <c r="G8929" s="51">
        <f>IFERROR(ROUNDUP(F8929*(E8929/21)/E8881,0),"-")</f>
        <v>6805</v>
      </c>
    </row>
    <row r="8930" spans="1:7" x14ac:dyDescent="0.25">
      <c r="A8930" s="50" t="s">
        <v>2789</v>
      </c>
      <c r="B8930" s="72" t="str">
        <f>VLOOKUP(A8930,'Componentes APUs'!$N:$Q,2,0)</f>
        <v>Carrotanque agua</v>
      </c>
      <c r="C8930" s="73"/>
      <c r="D8930" s="70" t="str">
        <f>VLOOKUP(A8930,'Componentes APUs'!$N:$Q,3,0)</f>
        <v>U</v>
      </c>
      <c r="E8930" s="50">
        <v>0.33</v>
      </c>
      <c r="F8930" s="51">
        <f>VLOOKUP(A8930,'Componentes APUs'!$N:$Q,4,0)</f>
        <v>12777710.4</v>
      </c>
      <c r="G8930" s="51">
        <f>IFERROR(ROUNDUP(F8930*(E8930/21)/E8881,0),"-")</f>
        <v>3651</v>
      </c>
    </row>
    <row r="8931" spans="1:7" x14ac:dyDescent="0.25">
      <c r="A8931" s="50" t="s">
        <v>2790</v>
      </c>
      <c r="B8931" s="72" t="str">
        <f>VLOOKUP(A8931,'Componentes APUs'!$N:$Q,2,0)</f>
        <v>Compactador asfalto</v>
      </c>
      <c r="C8931" s="73"/>
      <c r="D8931" s="70" t="str">
        <f>VLOOKUP(A8931,'Componentes APUs'!$N:$Q,3,0)</f>
        <v>U</v>
      </c>
      <c r="E8931" s="50">
        <v>0.33</v>
      </c>
      <c r="F8931" s="51">
        <f>VLOOKUP(A8931,'Componentes APUs'!$N:$Q,4,0)</f>
        <v>19745072.927999999</v>
      </c>
      <c r="G8931" s="51">
        <f>IFERROR(ROUNDUP(F8931*(E8931/21)/E8881,0),"-")</f>
        <v>5642</v>
      </c>
    </row>
    <row r="8932" spans="1:7" x14ac:dyDescent="0.25">
      <c r="A8932" s="50" t="s">
        <v>2791</v>
      </c>
      <c r="B8932" s="72" t="str">
        <f>VLOOKUP(A8932,'Componentes APUs'!$N:$Q,2,0)</f>
        <v>Terminador de asfalto</v>
      </c>
      <c r="C8932" s="73"/>
      <c r="D8932" s="70" t="str">
        <f>VLOOKUP(A8932,'Componentes APUs'!$N:$Q,3,0)</f>
        <v>U</v>
      </c>
      <c r="E8932" s="50">
        <v>0.33</v>
      </c>
      <c r="F8932" s="51">
        <f>VLOOKUP(A8932,'Componentes APUs'!$N:$Q,4,0)</f>
        <v>25915583.735999998</v>
      </c>
      <c r="G8932" s="51">
        <f>IFERROR(ROUNDUP(F8932*(E8932/21)/E8881,0),"-")</f>
        <v>7405</v>
      </c>
    </row>
    <row r="8933" spans="1:7" x14ac:dyDescent="0.25">
      <c r="A8933" s="219" t="s">
        <v>99</v>
      </c>
      <c r="B8933" s="219"/>
      <c r="C8933" s="219"/>
      <c r="D8933" s="219"/>
      <c r="E8933" s="219"/>
      <c r="F8933" s="219"/>
      <c r="G8933" s="52">
        <f>SUM(G8928:G8932)</f>
        <v>23503</v>
      </c>
    </row>
    <row r="8934" spans="1:7" x14ac:dyDescent="0.25">
      <c r="A8934" s="56"/>
      <c r="B8934" s="57"/>
      <c r="C8934" s="57"/>
      <c r="D8934" s="57"/>
      <c r="E8934" s="57"/>
      <c r="F8934" s="57"/>
      <c r="G8934" s="58"/>
    </row>
    <row r="8935" spans="1:7" x14ac:dyDescent="0.25">
      <c r="A8935" s="219" t="s">
        <v>100</v>
      </c>
      <c r="B8935" s="219"/>
      <c r="C8935" s="219"/>
      <c r="D8935" s="219"/>
      <c r="E8935" s="219"/>
      <c r="F8935" s="219"/>
      <c r="G8935" s="52">
        <f>G8933+G8924+G8907+G8897+G8887</f>
        <v>805179</v>
      </c>
    </row>
    <row r="8936" spans="1:7" x14ac:dyDescent="0.25">
      <c r="A8936" s="59"/>
      <c r="B8936" s="60"/>
      <c r="C8936" s="60"/>
      <c r="D8936" s="60"/>
      <c r="E8936" s="57"/>
      <c r="F8936" s="57"/>
      <c r="G8936" s="58"/>
    </row>
    <row r="8937" spans="1:7" x14ac:dyDescent="0.25">
      <c r="A8937" s="64"/>
      <c r="D8937" s="55"/>
      <c r="E8937" s="49" t="s">
        <v>25</v>
      </c>
      <c r="F8937" s="54">
        <v>0.15</v>
      </c>
      <c r="G8937" s="51">
        <f>G8935*F8937</f>
        <v>120776.84999999999</v>
      </c>
    </row>
    <row r="8938" spans="1:7" x14ac:dyDescent="0.25">
      <c r="A8938" s="64"/>
      <c r="D8938" s="55"/>
      <c r="E8938" s="49" t="s">
        <v>26</v>
      </c>
      <c r="F8938" s="54">
        <v>0.05</v>
      </c>
      <c r="G8938" s="51">
        <f>G8935*F8938</f>
        <v>40258.950000000004</v>
      </c>
    </row>
    <row r="8939" spans="1:7" x14ac:dyDescent="0.25">
      <c r="A8939" s="61"/>
      <c r="B8939" s="65"/>
      <c r="C8939" s="65"/>
      <c r="D8939" s="62"/>
      <c r="E8939" s="49" t="s">
        <v>27</v>
      </c>
      <c r="F8939" s="54">
        <v>0.05</v>
      </c>
      <c r="G8939" s="51">
        <f>G8935*F8939</f>
        <v>40258.950000000004</v>
      </c>
    </row>
    <row r="8940" spans="1:7" x14ac:dyDescent="0.25">
      <c r="A8940" s="61"/>
      <c r="B8940" s="62"/>
      <c r="C8940" s="62"/>
      <c r="D8940" s="62"/>
      <c r="E8940" s="62"/>
      <c r="F8940" s="62"/>
      <c r="G8940" s="63"/>
    </row>
    <row r="8941" spans="1:7" x14ac:dyDescent="0.25">
      <c r="A8941" s="219" t="s">
        <v>101</v>
      </c>
      <c r="B8941" s="219"/>
      <c r="C8941" s="219"/>
      <c r="D8941" s="219"/>
      <c r="E8941" s="219"/>
      <c r="F8941" s="219"/>
      <c r="G8941" s="52">
        <f>G8935+G8937+G8938+G8939</f>
        <v>1006473.7499999999</v>
      </c>
    </row>
    <row r="8942" spans="1:7" x14ac:dyDescent="0.25">
      <c r="A8942" s="59"/>
      <c r="B8942" s="60"/>
      <c r="C8942" s="60"/>
      <c r="D8942" s="60"/>
      <c r="E8942" s="57"/>
      <c r="F8942" s="57"/>
      <c r="G8942" s="58"/>
    </row>
    <row r="8943" spans="1:7" x14ac:dyDescent="0.25">
      <c r="A8943" s="64"/>
      <c r="D8943" s="55"/>
      <c r="E8943" s="49" t="s">
        <v>102</v>
      </c>
      <c r="F8943" s="49" t="s">
        <v>103</v>
      </c>
      <c r="G8943" s="51">
        <f>G8939*19%</f>
        <v>7649.2005000000008</v>
      </c>
    </row>
    <row r="8944" spans="1:7" x14ac:dyDescent="0.25">
      <c r="A8944" s="61"/>
      <c r="B8944" s="62"/>
      <c r="C8944" s="62"/>
      <c r="D8944" s="62"/>
      <c r="E8944" s="57"/>
      <c r="F8944" s="57"/>
      <c r="G8944" s="58"/>
    </row>
    <row r="8945" spans="1:13" x14ac:dyDescent="0.25">
      <c r="A8945" s="219" t="s">
        <v>104</v>
      </c>
      <c r="B8945" s="219"/>
      <c r="C8945" s="219"/>
      <c r="D8945" s="219"/>
      <c r="E8945" s="219"/>
      <c r="F8945" s="219"/>
      <c r="G8945" s="52">
        <f>G8943+G8941</f>
        <v>1014122.9504999999</v>
      </c>
    </row>
    <row r="8947" spans="1:13" x14ac:dyDescent="0.25">
      <c r="A8947" s="74" t="s">
        <v>29</v>
      </c>
      <c r="B8947" s="226" t="s">
        <v>30</v>
      </c>
      <c r="C8947" s="226"/>
      <c r="D8947" s="74" t="s">
        <v>31</v>
      </c>
      <c r="E8947" s="74" t="s">
        <v>32</v>
      </c>
      <c r="F8947" s="74" t="s">
        <v>189</v>
      </c>
      <c r="G8947" s="74" t="s">
        <v>33</v>
      </c>
      <c r="H8947" s="105"/>
    </row>
    <row r="8948" spans="1:13" ht="27" customHeight="1" x14ac:dyDescent="0.25">
      <c r="A8948" s="50" t="str">
        <f>Presupuesto!B167</f>
        <v>143_OC</v>
      </c>
      <c r="B8948" s="229" t="str">
        <f>Presupuesto!C167</f>
        <v>CAPA DE BASE GRANULAR CLASE A</v>
      </c>
      <c r="C8948" s="230"/>
      <c r="D8948" s="50" t="s">
        <v>114</v>
      </c>
      <c r="E8948" s="107">
        <v>80</v>
      </c>
      <c r="F8948" s="50"/>
      <c r="G8948" s="51">
        <f>G9017</f>
        <v>206751.96300000002</v>
      </c>
      <c r="H8948" s="111"/>
    </row>
    <row r="8949" spans="1:13" x14ac:dyDescent="0.25">
      <c r="A8949" s="219" t="s">
        <v>34</v>
      </c>
      <c r="B8949" s="219"/>
      <c r="C8949" s="219"/>
      <c r="D8949" s="219"/>
      <c r="E8949" s="219"/>
      <c r="F8949" s="219"/>
      <c r="G8949" s="219"/>
    </row>
    <row r="8950" spans="1:13" ht="30.75" customHeight="1" x14ac:dyDescent="0.25">
      <c r="A8950" s="49" t="s">
        <v>35</v>
      </c>
      <c r="B8950" s="219" t="s">
        <v>36</v>
      </c>
      <c r="C8950" s="219"/>
      <c r="D8950" s="49" t="s">
        <v>37</v>
      </c>
      <c r="E8950" s="49" t="s">
        <v>38</v>
      </c>
      <c r="F8950" s="49" t="s">
        <v>39</v>
      </c>
      <c r="G8950" s="49" t="s">
        <v>40</v>
      </c>
      <c r="K8950" s="23"/>
      <c r="L8950" s="23"/>
    </row>
    <row r="8951" spans="1:13" x14ac:dyDescent="0.25">
      <c r="A8951" s="50" t="str">
        <f>Material!A523</f>
        <v>MA-522</v>
      </c>
      <c r="B8951" s="72" t="str">
        <f>IFERROR(VLOOKUP(A8951,Material!$A:$H,2,0),"-")</f>
        <v>MATERIAL DE SUB- BASE CLASE A (NT3) GRADACIÓN SBG-38</v>
      </c>
      <c r="C8951" s="76"/>
      <c r="D8951" s="50" t="str">
        <f>IFERROR(VLOOKUP(A8951,Material!$A:$H,4,0),"-")</f>
        <v>M3</v>
      </c>
      <c r="E8951" s="132">
        <v>1.3</v>
      </c>
      <c r="F8951" s="51">
        <f>IFERROR(VLOOKUP(A8951,Material!$A:$H,3,0),"-")</f>
        <v>105645.54578375584</v>
      </c>
      <c r="G8951" s="51">
        <f>IFERROR(ROUNDUP(F8951*E8951,0),"-")</f>
        <v>137340</v>
      </c>
      <c r="H8951" s="112"/>
      <c r="I8951" s="110"/>
      <c r="J8951" s="113"/>
      <c r="K8951" s="114"/>
      <c r="L8951" s="115"/>
      <c r="M8951" s="115"/>
    </row>
    <row r="8952" spans="1:13" x14ac:dyDescent="0.25">
      <c r="A8952" s="50" t="str">
        <f>Material!A282</f>
        <v>MA-281</v>
      </c>
      <c r="B8952" s="72" t="str">
        <f>IFERROR(VLOOKUP(A8952,Material!$A:$H,2,0),"-")</f>
        <v>AGUA</v>
      </c>
      <c r="C8952" s="76"/>
      <c r="D8952" s="50" t="str">
        <f>IFERROR(VLOOKUP(A8952,Material!$A:$H,4,0),"-")</f>
        <v>M3</v>
      </c>
      <c r="E8952" s="107">
        <v>2.1999999999999999E-2</v>
      </c>
      <c r="F8952" s="51">
        <f>IFERROR(VLOOKUP(A8952,Material!$A:$H,3,0),"-")</f>
        <v>94.9</v>
      </c>
      <c r="G8952" s="51">
        <f>IFERROR(ROUNDUP(F8952*E8952,0),"-")</f>
        <v>3</v>
      </c>
      <c r="H8952" s="112"/>
      <c r="I8952" s="110"/>
      <c r="J8952" s="113"/>
      <c r="K8952" s="114"/>
      <c r="L8952" s="115"/>
      <c r="M8952" s="115"/>
    </row>
    <row r="8953" spans="1:13" x14ac:dyDescent="0.25">
      <c r="A8953" s="50"/>
      <c r="B8953" s="72" t="str">
        <f>IFERROR(VLOOKUP(A8953,Material!$A:$H,2,0),"-")</f>
        <v>-</v>
      </c>
      <c r="C8953" s="76"/>
      <c r="D8953" s="50" t="str">
        <f>IFERROR(VLOOKUP(A8953,Material!$A:$H,4,0),"-")</f>
        <v>-</v>
      </c>
      <c r="E8953" s="107"/>
      <c r="F8953" s="51" t="str">
        <f>IFERROR(VLOOKUP(A8953,Material!$A:$H,3,0),"-")</f>
        <v>-</v>
      </c>
      <c r="G8953" s="51" t="str">
        <f>IFERROR(ROUNDUP(F8953*E8953,0),"-")</f>
        <v>-</v>
      </c>
      <c r="H8953" s="112"/>
      <c r="I8953" s="110"/>
      <c r="J8953" s="113"/>
      <c r="K8953" s="114"/>
      <c r="L8953" s="115"/>
      <c r="M8953" s="115"/>
    </row>
    <row r="8954" spans="1:13" x14ac:dyDescent="0.25">
      <c r="A8954" s="50"/>
      <c r="B8954" s="72" t="str">
        <f>IFERROR(VLOOKUP(A8954,Material!$A:$H,2,0),"-")</f>
        <v>-</v>
      </c>
      <c r="C8954" s="76"/>
      <c r="D8954" s="50" t="str">
        <f>IFERROR(VLOOKUP(A8954,Material!$A:$H,4,0),"-")</f>
        <v>-</v>
      </c>
      <c r="E8954" s="107"/>
      <c r="F8954" s="51" t="str">
        <f>IFERROR(VLOOKUP(A8954,Material!$A:$H,3,0),"-")</f>
        <v>-</v>
      </c>
      <c r="G8954" s="51" t="str">
        <f>IFERROR(ROUNDUP(F8954*E8954,0),"-")</f>
        <v>-</v>
      </c>
      <c r="H8954" s="112"/>
      <c r="I8954" s="110"/>
      <c r="J8954" s="113"/>
      <c r="K8954" s="114"/>
      <c r="L8954" s="115"/>
      <c r="M8954" s="115"/>
    </row>
    <row r="8955" spans="1:13" x14ac:dyDescent="0.25">
      <c r="A8955" s="50"/>
      <c r="B8955" s="72" t="str">
        <f>IFERROR(VLOOKUP(A8955,Material!$A:$H,2,0),"-")</f>
        <v>-</v>
      </c>
      <c r="C8955" s="76"/>
      <c r="D8955" s="50" t="str">
        <f>IFERROR(VLOOKUP(A8955,Material!$A:$H,4,0),"-")</f>
        <v>-</v>
      </c>
      <c r="E8955" s="107"/>
      <c r="F8955" s="51" t="str">
        <f>IFERROR(VLOOKUP(A8955,Material!$A:$H,3,0),"-")</f>
        <v>-</v>
      </c>
      <c r="G8955" s="51" t="str">
        <f>IFERROR(ROUNDUP(F8955*E8955,0),"-")</f>
        <v>-</v>
      </c>
      <c r="H8955" s="112"/>
      <c r="I8955" s="110"/>
      <c r="J8955" s="113"/>
      <c r="K8955" s="114"/>
      <c r="L8955" s="115"/>
      <c r="M8955" s="115"/>
    </row>
    <row r="8956" spans="1:13" x14ac:dyDescent="0.25">
      <c r="A8956" s="219" t="s">
        <v>41</v>
      </c>
      <c r="B8956" s="219"/>
      <c r="C8956" s="219"/>
      <c r="D8956" s="219"/>
      <c r="E8956" s="219"/>
      <c r="F8956" s="219"/>
      <c r="G8956" s="52">
        <f>SUM(G8951:G8955)</f>
        <v>137343</v>
      </c>
      <c r="I8956" s="104"/>
    </row>
    <row r="8957" spans="1:13" x14ac:dyDescent="0.25">
      <c r="A8957" s="56"/>
      <c r="B8957" s="57"/>
      <c r="C8957" s="57"/>
      <c r="D8957" s="57"/>
      <c r="E8957" s="57"/>
      <c r="F8957" s="57"/>
      <c r="G8957" s="58"/>
    </row>
    <row r="8958" spans="1:13" x14ac:dyDescent="0.25">
      <c r="A8958" s="219" t="s">
        <v>42</v>
      </c>
      <c r="B8958" s="219"/>
      <c r="C8958" s="219"/>
      <c r="D8958" s="219"/>
      <c r="E8958" s="219"/>
      <c r="F8958" s="219"/>
      <c r="G8958" s="219"/>
    </row>
    <row r="8959" spans="1:13" x14ac:dyDescent="0.25">
      <c r="A8959" s="49" t="s">
        <v>35</v>
      </c>
      <c r="B8959" s="49" t="s">
        <v>36</v>
      </c>
      <c r="C8959" s="49" t="s">
        <v>38</v>
      </c>
      <c r="D8959" s="49" t="s">
        <v>43</v>
      </c>
      <c r="E8959" s="49" t="s">
        <v>44</v>
      </c>
      <c r="F8959" s="49" t="s">
        <v>45</v>
      </c>
      <c r="G8959" s="49" t="s">
        <v>40</v>
      </c>
    </row>
    <row r="8960" spans="1:13" x14ac:dyDescent="0.25">
      <c r="A8960" s="50" t="s">
        <v>319</v>
      </c>
      <c r="B8960" s="68" t="str">
        <f>VLOOKUP(A8960,'Componentes APUs'!$H$1:$L$25,2,0)</f>
        <v>Ingeniero Residente de Obra</v>
      </c>
      <c r="C8960" s="93">
        <v>0</v>
      </c>
      <c r="D8960" s="50">
        <f>VLOOKUP(A8960,'Componentes APUs'!$H$1:$L$25,3,0)</f>
        <v>4</v>
      </c>
      <c r="E8960" s="51">
        <f>VLOOKUP(A8960,'Componentes APUs'!$H$1:$L$25,4,0)</f>
        <v>271142.85714285716</v>
      </c>
      <c r="F8960" s="51">
        <f>VLOOKUP(A8960,'Componentes APUs'!$H$1:$L$25,5,0)</f>
        <v>162685.71428571429</v>
      </c>
      <c r="G8960" s="51">
        <f>ROUNDUP((E8960+F8960)*C8960/E8948,0)</f>
        <v>0</v>
      </c>
      <c r="H8960" s="66"/>
    </row>
    <row r="8961" spans="1:9" x14ac:dyDescent="0.25">
      <c r="A8961" s="50" t="s">
        <v>320</v>
      </c>
      <c r="B8961" s="68" t="str">
        <f>VLOOKUP(A8961,'Componentes APUs'!$H$1:$L$25,2,0)</f>
        <v>Tecnico Supervisor</v>
      </c>
      <c r="C8961" s="93">
        <v>0</v>
      </c>
      <c r="D8961" s="50">
        <f>VLOOKUP(A8961,'Componentes APUs'!$H$1:$L$25,3,0)</f>
        <v>2.2999999999999998</v>
      </c>
      <c r="E8961" s="51">
        <f>VLOOKUP(A8961,'Componentes APUs'!$H$1:$L$25,4,0)</f>
        <v>155907.14285714284</v>
      </c>
      <c r="F8961" s="51">
        <f>VLOOKUP(A8961,'Componentes APUs'!$H$1:$L$25,5,0)</f>
        <v>93544.285714285696</v>
      </c>
      <c r="G8961" s="51">
        <f>ROUNDUP((E8961+F8961)*C8961/E8948,0)</f>
        <v>0</v>
      </c>
    </row>
    <row r="8962" spans="1:9" x14ac:dyDescent="0.25">
      <c r="A8962" s="50" t="s">
        <v>54</v>
      </c>
      <c r="B8962" s="68" t="str">
        <f>VLOOKUP(A8962,'Componentes APUs'!$H$1:$L$25,2,0)</f>
        <v>Maestro de obra civil</v>
      </c>
      <c r="C8962" s="93">
        <v>0</v>
      </c>
      <c r="D8962" s="50">
        <f>VLOOKUP(A8962,'Componentes APUs'!$H$1:$L$25,3,0)</f>
        <v>2.5</v>
      </c>
      <c r="E8962" s="51">
        <f>VLOOKUP(A8962,'Componentes APUs'!$H$1:$L$25,4,0)</f>
        <v>169464.28571428571</v>
      </c>
      <c r="F8962" s="51">
        <f>VLOOKUP(A8962,'Componentes APUs'!$H$1:$L$25,5,0)</f>
        <v>101678.57142857142</v>
      </c>
      <c r="G8962" s="51">
        <f>ROUNDUP((E8962+F8962)*C8962/E8948,0)</f>
        <v>0</v>
      </c>
    </row>
    <row r="8963" spans="1:9" x14ac:dyDescent="0.25">
      <c r="A8963" s="50" t="s">
        <v>1110</v>
      </c>
      <c r="B8963" s="68" t="str">
        <f>VLOOKUP(A8963,'Componentes APUs'!$H$1:$L$25,2,0)</f>
        <v>Oficial de Obra Civil</v>
      </c>
      <c r="C8963" s="93">
        <v>0</v>
      </c>
      <c r="D8963" s="50">
        <f>VLOOKUP(A8963,'Componentes APUs'!$H$1:$L$25,3,0)</f>
        <v>1.5</v>
      </c>
      <c r="E8963" s="51">
        <f>VLOOKUP(A8963,'Componentes APUs'!$H$1:$L$25,4,0)</f>
        <v>115964.28571428571</v>
      </c>
      <c r="F8963" s="51">
        <f>VLOOKUP(A8963,'Componentes APUs'!$H$1:$L$25,5,0)</f>
        <v>69578.57142857142</v>
      </c>
      <c r="G8963" s="51">
        <f>ROUNDUP((E8963+F8963)*C8963/E8948,0)</f>
        <v>0</v>
      </c>
    </row>
    <row r="8964" spans="1:9" x14ac:dyDescent="0.25">
      <c r="A8964" s="50" t="s">
        <v>50</v>
      </c>
      <c r="B8964" s="68" t="str">
        <f>VLOOKUP(A8964,'Componentes APUs'!$H$1:$L$25,2,0)</f>
        <v>Profesional en SST</v>
      </c>
      <c r="C8964" s="93">
        <v>0.25</v>
      </c>
      <c r="D8964" s="50">
        <f>VLOOKUP(A8964,'Componentes APUs'!$H$1:$L$25,3,0)</f>
        <v>2.5</v>
      </c>
      <c r="E8964" s="51">
        <f>VLOOKUP(A8964,'Componentes APUs'!$H$1:$L$25,4,0)</f>
        <v>169464.28571428571</v>
      </c>
      <c r="F8964" s="51">
        <f>VLOOKUP(A8964,'Componentes APUs'!$H$1:$L$25,5,0)</f>
        <v>101678.57142857142</v>
      </c>
      <c r="G8964" s="51">
        <f>ROUNDUP((E8964+F8964)*C8964/E8948,0)</f>
        <v>848</v>
      </c>
    </row>
    <row r="8965" spans="1:9" x14ac:dyDescent="0.25">
      <c r="A8965" s="50" t="s">
        <v>1109</v>
      </c>
      <c r="B8965" s="68" t="str">
        <f>VLOOKUP(A8965,'Componentes APUs'!$H$1:$L$25,2,0)</f>
        <v>Ayudante de Obra Civil</v>
      </c>
      <c r="C8965" s="93">
        <v>2</v>
      </c>
      <c r="D8965" s="50">
        <f>VLOOKUP(A8965,'Componentes APUs'!$H$1:$L$25,3,0)</f>
        <v>1</v>
      </c>
      <c r="E8965" s="51">
        <f>VLOOKUP(A8965,'Componentes APUs'!$H$1:$L$25,4,0)</f>
        <v>77309.523809523816</v>
      </c>
      <c r="F8965" s="51">
        <f>VLOOKUP(A8965,'Componentes APUs'!$H$1:$L$25,5,0)</f>
        <v>46385.71428571429</v>
      </c>
      <c r="G8965" s="51">
        <f>ROUNDUP((E8965+F8965)*C8965/E8948,0)</f>
        <v>3093</v>
      </c>
    </row>
    <row r="8966" spans="1:9" x14ac:dyDescent="0.25">
      <c r="A8966" s="219" t="s">
        <v>56</v>
      </c>
      <c r="B8966" s="219"/>
      <c r="C8966" s="219"/>
      <c r="D8966" s="219"/>
      <c r="E8966" s="219"/>
      <c r="F8966" s="219"/>
      <c r="G8966" s="52">
        <f>SUM(G8960:G8965)</f>
        <v>3941</v>
      </c>
    </row>
    <row r="8967" spans="1:9" x14ac:dyDescent="0.25">
      <c r="A8967" s="56"/>
      <c r="B8967" s="57"/>
      <c r="C8967" s="57"/>
      <c r="D8967" s="57"/>
      <c r="E8967" s="57"/>
      <c r="F8967" s="57"/>
      <c r="G8967" s="58"/>
    </row>
    <row r="8968" spans="1:9" x14ac:dyDescent="0.25">
      <c r="A8968" s="219" t="s">
        <v>57</v>
      </c>
      <c r="B8968" s="219"/>
      <c r="C8968" s="219"/>
      <c r="D8968" s="219"/>
      <c r="E8968" s="219"/>
      <c r="F8968" s="219"/>
      <c r="G8968" s="219"/>
    </row>
    <row r="8969" spans="1:9" x14ac:dyDescent="0.25">
      <c r="A8969" s="49" t="s">
        <v>35</v>
      </c>
      <c r="B8969" s="219" t="s">
        <v>36</v>
      </c>
      <c r="C8969" s="219"/>
      <c r="D8969" s="49" t="s">
        <v>37</v>
      </c>
      <c r="E8969" s="49" t="s">
        <v>38</v>
      </c>
      <c r="F8969" s="49" t="s">
        <v>39</v>
      </c>
      <c r="G8969" s="49" t="s">
        <v>40</v>
      </c>
    </row>
    <row r="8970" spans="1:9" x14ac:dyDescent="0.25">
      <c r="A8970" s="50" t="s">
        <v>326</v>
      </c>
      <c r="B8970" s="220" t="str">
        <f>VLOOKUP(A8970,'Componentes APUs'!$S$1:$V$10,2,0)</f>
        <v>Juego Llaves</v>
      </c>
      <c r="C8970" s="220"/>
      <c r="D8970" s="50" t="s">
        <v>18</v>
      </c>
      <c r="E8970" s="50">
        <v>0</v>
      </c>
      <c r="F8970" s="51">
        <f>VLOOKUP(A8970,'Componentes APUs'!$S$1:$V$10,4,0)</f>
        <v>9167</v>
      </c>
      <c r="G8970" s="51">
        <f>ROUNDUP(F8970*((E8970/21)/E8948),0)</f>
        <v>0</v>
      </c>
      <c r="I8970" s="91"/>
    </row>
    <row r="8971" spans="1:9" x14ac:dyDescent="0.25">
      <c r="A8971" s="50" t="s">
        <v>58</v>
      </c>
      <c r="B8971" s="220" t="str">
        <f>VLOOKUP(A8971,'Componentes APUs'!$S$1:$V$10,2,0)</f>
        <v>Manila de servicio</v>
      </c>
      <c r="C8971" s="220"/>
      <c r="D8971" s="50" t="s">
        <v>18</v>
      </c>
      <c r="E8971" s="50">
        <v>0</v>
      </c>
      <c r="F8971" s="51">
        <f>VLOOKUP(A8971,'Componentes APUs'!$S$1:$V$10,4,0)</f>
        <v>2333</v>
      </c>
      <c r="G8971" s="51">
        <f>ROUNDUP(F8971*((E8971/21)/E8948),0)</f>
        <v>0</v>
      </c>
    </row>
    <row r="8972" spans="1:9" x14ac:dyDescent="0.25">
      <c r="A8972" s="50" t="s">
        <v>327</v>
      </c>
      <c r="B8972" s="220" t="str">
        <f>VLOOKUP(A8972,'Componentes APUs'!$S$1:$V$10,2,0)</f>
        <v>Tula portaherramientas</v>
      </c>
      <c r="C8972" s="220"/>
      <c r="D8972" s="50" t="s">
        <v>18</v>
      </c>
      <c r="E8972" s="50">
        <v>0</v>
      </c>
      <c r="F8972" s="51">
        <f>VLOOKUP(A8972,'Componentes APUs'!$S$1:$V$10,4,0)</f>
        <v>1250</v>
      </c>
      <c r="G8972" s="51">
        <f>ROUNDUP(F8972*((E8972/21)/E8948),0)</f>
        <v>0</v>
      </c>
    </row>
    <row r="8973" spans="1:9" x14ac:dyDescent="0.25">
      <c r="A8973" s="50" t="s">
        <v>60</v>
      </c>
      <c r="B8973" s="220" t="str">
        <f>VLOOKUP(A8973,'Componentes APUs'!$S$1:$V$10,2,0)</f>
        <v>Agarradoras</v>
      </c>
      <c r="C8973" s="220"/>
      <c r="D8973" s="50" t="s">
        <v>18</v>
      </c>
      <c r="E8973" s="50">
        <v>0</v>
      </c>
      <c r="F8973" s="51">
        <f>VLOOKUP(A8973,'Componentes APUs'!$S$1:$V$10,4,0)</f>
        <v>125000</v>
      </c>
      <c r="G8973" s="51">
        <f>ROUNDUP(F8973*((E8973/21)/E8948),0)</f>
        <v>0</v>
      </c>
    </row>
    <row r="8974" spans="1:9" x14ac:dyDescent="0.25">
      <c r="A8974" s="50" t="s">
        <v>62</v>
      </c>
      <c r="B8974" s="220" t="str">
        <f>VLOOKUP(A8974,'Componentes APUs'!$S$1:$V$10,2,0)</f>
        <v>Templadoras</v>
      </c>
      <c r="C8974" s="220"/>
      <c r="D8974" s="50" t="s">
        <v>18</v>
      </c>
      <c r="E8974" s="50">
        <v>0</v>
      </c>
      <c r="F8974" s="51">
        <f>VLOOKUP(A8974,'Componentes APUs'!$S$1:$V$10,4,0)</f>
        <v>250000</v>
      </c>
      <c r="G8974" s="51">
        <f>ROUNDUP(F8974*((E8974/21)/E8948),0)</f>
        <v>0</v>
      </c>
    </row>
    <row r="8975" spans="1:9" x14ac:dyDescent="0.25">
      <c r="A8975" s="50" t="s">
        <v>328</v>
      </c>
      <c r="B8975" s="220" t="str">
        <f>VLOOKUP(A8975,'Componentes APUs'!$S$1:$V$10,2,0)</f>
        <v>Herramienta Menor</v>
      </c>
      <c r="C8975" s="220"/>
      <c r="D8975" s="50" t="s">
        <v>18</v>
      </c>
      <c r="E8975" s="50">
        <v>2</v>
      </c>
      <c r="F8975" s="51">
        <f>VLOOKUP(A8975,'Componentes APUs'!$S$1:$V$10,4,0)</f>
        <v>75758</v>
      </c>
      <c r="G8975" s="51">
        <f>ROUNDUP(F8975*((E8975/21)/E8948),0)</f>
        <v>91</v>
      </c>
    </row>
    <row r="8976" spans="1:9" x14ac:dyDescent="0.25">
      <c r="A8976" s="219" t="s">
        <v>69</v>
      </c>
      <c r="B8976" s="219"/>
      <c r="C8976" s="219"/>
      <c r="D8976" s="219"/>
      <c r="E8976" s="219"/>
      <c r="F8976" s="219"/>
      <c r="G8976" s="52">
        <f>SUM(G8970:G8975)</f>
        <v>91</v>
      </c>
    </row>
    <row r="8977" spans="1:9" x14ac:dyDescent="0.25">
      <c r="A8977" s="56"/>
      <c r="B8977" s="57"/>
      <c r="C8977" s="57"/>
      <c r="D8977" s="57"/>
      <c r="E8977" s="57"/>
      <c r="F8977" s="57"/>
      <c r="G8977" s="58"/>
    </row>
    <row r="8978" spans="1:9" x14ac:dyDescent="0.25">
      <c r="A8978" s="219" t="s">
        <v>70</v>
      </c>
      <c r="B8978" s="219"/>
      <c r="C8978" s="219"/>
      <c r="D8978" s="219"/>
      <c r="E8978" s="219"/>
      <c r="F8978" s="219"/>
      <c r="G8978" s="219"/>
    </row>
    <row r="8979" spans="1:9" x14ac:dyDescent="0.25">
      <c r="A8979" s="49" t="s">
        <v>35</v>
      </c>
      <c r="B8979" s="219" t="s">
        <v>36</v>
      </c>
      <c r="C8979" s="219"/>
      <c r="D8979" s="49" t="s">
        <v>37</v>
      </c>
      <c r="E8979" s="49" t="s">
        <v>38</v>
      </c>
      <c r="F8979" s="49" t="s">
        <v>39</v>
      </c>
      <c r="G8979" s="49" t="s">
        <v>40</v>
      </c>
    </row>
    <row r="8980" spans="1:9" x14ac:dyDescent="0.25">
      <c r="A8980" s="50" t="s">
        <v>71</v>
      </c>
      <c r="B8980" s="71" t="str">
        <f>VLOOKUP(A8980,'Componentes APUs'!$A$1:$D$14,2,0)</f>
        <v>Camisa indigo sin partes metalicas</v>
      </c>
      <c r="C8980" s="71"/>
      <c r="D8980" s="50" t="str">
        <f>VLOOKUP(A8980,'Componentes APUs'!$A$1:$D$14,3,0)</f>
        <v>U</v>
      </c>
      <c r="E8980" s="50">
        <f>SUM(C8960:C8965)</f>
        <v>2.25</v>
      </c>
      <c r="F8980" s="51">
        <f>VLOOKUP(A8980,'Componentes APUs'!$A$1:$D$14,4,0)</f>
        <v>8585.8585858585866</v>
      </c>
      <c r="G8980" s="51">
        <f>ROUNDUP(F8980*(E8980/21)/E8948,0)</f>
        <v>12</v>
      </c>
      <c r="I8980" s="91"/>
    </row>
    <row r="8981" spans="1:9" x14ac:dyDescent="0.25">
      <c r="A8981" s="69" t="s">
        <v>73</v>
      </c>
      <c r="B8981" s="72" t="str">
        <f>VLOOKUP(A8981,'Componentes APUs'!$A$1:$D$14,2,0)</f>
        <v>Bota de seguridad dielectrica</v>
      </c>
      <c r="C8981" s="73"/>
      <c r="D8981" s="70" t="str">
        <f>VLOOKUP(A8981,'Componentes APUs'!$A$1:$D$14,3,0)</f>
        <v>Par</v>
      </c>
      <c r="E8981" s="50">
        <f>SUM(C8960:C8965)</f>
        <v>2.25</v>
      </c>
      <c r="F8981" s="51">
        <f>VLOOKUP(A8981,'Componentes APUs'!$A$1:$D$14,4,0)</f>
        <v>7500</v>
      </c>
      <c r="G8981" s="51">
        <f>ROUNDUP(F8981*(E8981/21)/E8948,0)</f>
        <v>11</v>
      </c>
    </row>
    <row r="8982" spans="1:9" x14ac:dyDescent="0.25">
      <c r="A8982" s="50" t="s">
        <v>76</v>
      </c>
      <c r="B8982" s="72" t="str">
        <f>VLOOKUP(A8982,'Componentes APUs'!$A$1:$D$14,2,0)</f>
        <v>Casco dielectrico Tipo 1 Clase E con barbuquejo</v>
      </c>
      <c r="C8982" s="73"/>
      <c r="D8982" s="50" t="str">
        <f>VLOOKUP(A8982,'Componentes APUs'!$A$1:$D$14,3,0)</f>
        <v>U</v>
      </c>
      <c r="E8982" s="50">
        <f>C8960+C8961+C8963+C8964+C8965+IF(A8962&lt;&gt;"MO-3",C8962,0)</f>
        <v>2.25</v>
      </c>
      <c r="F8982" s="51">
        <f>VLOOKUP(A8982,'Componentes APUs'!$A$1:$D$14,4,0)</f>
        <v>10101.010101010101</v>
      </c>
      <c r="G8982" s="51">
        <f>ROUNDUP(F8982*(E8982/21)/E8948,0)</f>
        <v>14</v>
      </c>
    </row>
    <row r="8983" spans="1:9" x14ac:dyDescent="0.25">
      <c r="A8983" s="69" t="s">
        <v>77</v>
      </c>
      <c r="B8983" s="72" t="str">
        <f>VLOOKUP(A8983,'Componentes APUs'!$A$1:$D$14,2,0)</f>
        <v>Correa plastica y antiflama</v>
      </c>
      <c r="C8983" s="73"/>
      <c r="D8983" s="50" t="str">
        <f>VLOOKUP(A8983,'Componentes APUs'!$A$1:$D$14,3,0)</f>
        <v>U</v>
      </c>
      <c r="E8983" s="50">
        <f>SUM(C8960:C8965)</f>
        <v>2.25</v>
      </c>
      <c r="F8983" s="51">
        <f>VLOOKUP(A8983,'Componentes APUs'!$A$1:$D$14,4,0)</f>
        <v>3787.878787878788</v>
      </c>
      <c r="G8983" s="51">
        <f>ROUNDUP(F8983*(E8983/21)/E8948,0)</f>
        <v>6</v>
      </c>
    </row>
    <row r="8984" spans="1:9" x14ac:dyDescent="0.25">
      <c r="A8984" s="50" t="s">
        <v>79</v>
      </c>
      <c r="B8984" s="72" t="str">
        <f>VLOOKUP(A8984,'Componentes APUs'!$A$1:$D$14,2,0)</f>
        <v>Gafas protectoras filtro UV</v>
      </c>
      <c r="C8984" s="73"/>
      <c r="D8984" s="50" t="str">
        <f>VLOOKUP(A8984,'Componentes APUs'!$A$1:$D$14,3,0)</f>
        <v>U</v>
      </c>
      <c r="E8984" s="50">
        <f>SUM(C8960:C8965)</f>
        <v>2.25</v>
      </c>
      <c r="F8984" s="51">
        <f>VLOOKUP(A8984,'Componentes APUs'!$A$1:$D$14,4,0)</f>
        <v>2777.7777777777778</v>
      </c>
      <c r="G8984" s="51">
        <f>ROUNDUP(F8984*(E8984/21)/E8948,0)</f>
        <v>4</v>
      </c>
    </row>
    <row r="8985" spans="1:9" x14ac:dyDescent="0.25">
      <c r="A8985" s="69" t="s">
        <v>402</v>
      </c>
      <c r="B8985" s="72" t="str">
        <f>VLOOKUP(A8985,'Componentes APUs'!$A$1:$D$14,2,0)</f>
        <v>Bota de seguridad PVC dielectrica</v>
      </c>
      <c r="C8985" s="73"/>
      <c r="D8985" s="50" t="str">
        <f>VLOOKUP(A8985,'Componentes APUs'!$A$1:$D$14,3,0)</f>
        <v>Par</v>
      </c>
      <c r="E8985" s="50">
        <f>SUM(C8960:C8965)</f>
        <v>2.25</v>
      </c>
      <c r="F8985" s="51">
        <f>VLOOKUP(A8985,'Componentes APUs'!$A$1:$D$14,4,0)</f>
        <v>2916.6666666666665</v>
      </c>
      <c r="G8985" s="51">
        <f>ROUNDUP(F8985*(E8985/21)/E8948,0)</f>
        <v>4</v>
      </c>
    </row>
    <row r="8986" spans="1:9" x14ac:dyDescent="0.25">
      <c r="A8986" s="50" t="s">
        <v>403</v>
      </c>
      <c r="B8986" s="72" t="str">
        <f>VLOOKUP(A8986,'Componentes APUs'!$A$1:$D$14,2,0)</f>
        <v>Capuchon</v>
      </c>
      <c r="C8986" s="73"/>
      <c r="D8986" s="50" t="str">
        <f>VLOOKUP(A8986,'Componentes APUs'!$A$1:$D$14,3,0)</f>
        <v>U</v>
      </c>
      <c r="E8986" s="50">
        <f>SUM(C8960:C8965)</f>
        <v>2.25</v>
      </c>
      <c r="F8986" s="51">
        <f>VLOOKUP(A8986,'Componentes APUs'!$A$1:$D$14,4,0)</f>
        <v>2525.2525252525252</v>
      </c>
      <c r="G8986" s="51">
        <f>ROUNDUP(F8986*(E8986/21)/E8948,0)</f>
        <v>4</v>
      </c>
    </row>
    <row r="8987" spans="1:9" x14ac:dyDescent="0.25">
      <c r="A8987" s="69" t="s">
        <v>81</v>
      </c>
      <c r="B8987" s="72" t="str">
        <f>VLOOKUP(A8987,'Componentes APUs'!$A$1:$D$14,2,0)</f>
        <v>Guantes Protectores  - ingeniero reforzados</v>
      </c>
      <c r="C8987" s="73"/>
      <c r="D8987" s="50" t="str">
        <f>VLOOKUP(A8987,'Componentes APUs'!$A$1:$D$14,3,0)</f>
        <v>Par</v>
      </c>
      <c r="E8987" s="50">
        <f>C8962+C8963+C8965</f>
        <v>2</v>
      </c>
      <c r="F8987" s="51">
        <f>VLOOKUP(A8987,'Componentes APUs'!$A$1:$D$14,4,0)</f>
        <v>2525.2525252525252</v>
      </c>
      <c r="G8987" s="51">
        <f>ROUNDUP(F8987*(E8987/21)/E8948,0)</f>
        <v>4</v>
      </c>
    </row>
    <row r="8988" spans="1:9" x14ac:dyDescent="0.25">
      <c r="A8988" s="50" t="s">
        <v>83</v>
      </c>
      <c r="B8988" s="72" t="str">
        <f>VLOOKUP(A8988,'Componentes APUs'!$A$1:$D$14,2,0)</f>
        <v>Impermeable (pantalon camisa)</v>
      </c>
      <c r="C8988" s="73"/>
      <c r="D8988" s="50" t="str">
        <f>VLOOKUP(A8988,'Componentes APUs'!$A$1:$D$14,3,0)</f>
        <v>U</v>
      </c>
      <c r="E8988" s="50">
        <f>SUM(C8960:C8965)</f>
        <v>2.25</v>
      </c>
      <c r="F8988" s="51">
        <f>VLOOKUP(A8988,'Componentes APUs'!$A$1:$D$14,4,0)</f>
        <v>3750</v>
      </c>
      <c r="G8988" s="51">
        <f>ROUNDUP(F8988*(E8988/21)/E8948,0)</f>
        <v>6</v>
      </c>
    </row>
    <row r="8989" spans="1:9" x14ac:dyDescent="0.25">
      <c r="A8989" s="69" t="s">
        <v>85</v>
      </c>
      <c r="B8989" s="72" t="str">
        <f>VLOOKUP(A8989,'Componentes APUs'!$A$1:$D$14,2,0)</f>
        <v>Jean Dielectrico</v>
      </c>
      <c r="C8989" s="73"/>
      <c r="D8989" s="50" t="str">
        <f>VLOOKUP(A8989,'Componentes APUs'!$A$1:$D$14,3,0)</f>
        <v>U</v>
      </c>
      <c r="E8989" s="50">
        <f>SUM(C8960:C8965)</f>
        <v>2.25</v>
      </c>
      <c r="F8989" s="51">
        <f>VLOOKUP(A8989,'Componentes APUs'!$A$1:$D$14,4,0)</f>
        <v>7575.757575757576</v>
      </c>
      <c r="G8989" s="51">
        <f>ROUNDUP(F8989*(E8989/21)/E8948,0)</f>
        <v>11</v>
      </c>
    </row>
    <row r="8990" spans="1:9" x14ac:dyDescent="0.25">
      <c r="A8990" s="50" t="s">
        <v>87</v>
      </c>
      <c r="B8990" s="72" t="str">
        <f>VLOOKUP(A8990,'Componentes APUs'!$A$1:$D$14,2,0)</f>
        <v>Casco dielectrico Tipo 2 Clase E con barboquejo</v>
      </c>
      <c r="C8990" s="73"/>
      <c r="D8990" s="50" t="str">
        <f>VLOOKUP(A8990,'Componentes APUs'!$A$1:$D$14,3,0)</f>
        <v>U</v>
      </c>
      <c r="E8990" s="53">
        <f>IF(A8962="MO-3",C8962,0)</f>
        <v>0</v>
      </c>
      <c r="F8990" s="51">
        <f>VLOOKUP(A8990,'Componentes APUs'!$A$1:$D$14,4,0)</f>
        <v>7500</v>
      </c>
      <c r="G8990" s="51">
        <f>ROUNDUP(F8990*(E8990/21)/E8948,0)</f>
        <v>0</v>
      </c>
    </row>
    <row r="8991" spans="1:9" x14ac:dyDescent="0.25">
      <c r="A8991" s="69" t="s">
        <v>89</v>
      </c>
      <c r="B8991" s="72" t="str">
        <f>VLOOKUP(A8991,'Componentes APUs'!$A$1:$D$14,2,0)</f>
        <v>Kit de rescate para trabajo en alturas</v>
      </c>
      <c r="C8991" s="73"/>
      <c r="D8991" s="50" t="str">
        <f>VLOOKUP(A8991,'Componentes APUs'!$A$1:$D$14,3,0)</f>
        <v>U</v>
      </c>
      <c r="E8991" s="50">
        <f>IF(AND(A8962="MO-3",C8962=2),1,0)</f>
        <v>0</v>
      </c>
      <c r="F8991" s="51">
        <f>VLOOKUP(A8991,'Componentes APUs'!$A$1:$D$14,4,0)</f>
        <v>37500</v>
      </c>
      <c r="G8991" s="51">
        <f>ROUNDUP(F8991*(E8991/21)/E8948,0)</f>
        <v>0</v>
      </c>
    </row>
    <row r="8992" spans="1:9" x14ac:dyDescent="0.25">
      <c r="A8992" s="50" t="s">
        <v>91</v>
      </c>
      <c r="B8992" s="72" t="str">
        <f>VLOOKUP(A8992,'Componentes APUs'!$A$1:$D$14,2,0)</f>
        <v>Equipo completo para trabajo en alturas con pretales (Arnes dielectrico, 1 mosqueton de seguridad, tie off dielectrico, eslinga de posicionamiento, juego de pretales)</v>
      </c>
      <c r="C8992" s="73"/>
      <c r="D8992" s="50" t="str">
        <f>VLOOKUP(A8992,'Componentes APUs'!$A$1:$D$14,3,0)</f>
        <v>U</v>
      </c>
      <c r="E8992" s="50">
        <f>IF(A8962="MO-3",C8962,0)</f>
        <v>0</v>
      </c>
      <c r="F8992" s="51">
        <f>VLOOKUP(A8992,'Componentes APUs'!$A$1:$D$14,4,0)</f>
        <v>26041.666666666668</v>
      </c>
      <c r="G8992" s="51">
        <f>ROUNDUP(F8992*(E8992/21)/E8948,0)</f>
        <v>0</v>
      </c>
    </row>
    <row r="8993" spans="1:7" x14ac:dyDescent="0.25">
      <c r="A8993" s="219" t="s">
        <v>95</v>
      </c>
      <c r="B8993" s="219"/>
      <c r="C8993" s="219"/>
      <c r="D8993" s="219"/>
      <c r="E8993" s="219"/>
      <c r="F8993" s="219"/>
      <c r="G8993" s="52">
        <f>SUM(G8980:G8992)</f>
        <v>76</v>
      </c>
    </row>
    <row r="8994" spans="1:7" x14ac:dyDescent="0.25">
      <c r="A8994" s="56"/>
      <c r="B8994" s="57"/>
      <c r="C8994" s="57"/>
      <c r="D8994" s="57"/>
      <c r="E8994" s="57"/>
      <c r="F8994" s="57"/>
      <c r="G8994" s="58"/>
    </row>
    <row r="8995" spans="1:7" x14ac:dyDescent="0.25">
      <c r="A8995" s="219" t="s">
        <v>96</v>
      </c>
      <c r="B8995" s="219"/>
      <c r="C8995" s="219"/>
      <c r="D8995" s="219"/>
      <c r="E8995" s="219"/>
      <c r="F8995" s="219"/>
      <c r="G8995" s="219"/>
    </row>
    <row r="8996" spans="1:7" x14ac:dyDescent="0.25">
      <c r="A8996" s="49" t="s">
        <v>35</v>
      </c>
      <c r="B8996" s="225" t="s">
        <v>36</v>
      </c>
      <c r="C8996" s="225"/>
      <c r="D8996" s="49" t="s">
        <v>37</v>
      </c>
      <c r="E8996" s="49" t="s">
        <v>38</v>
      </c>
      <c r="F8996" s="49" t="s">
        <v>39</v>
      </c>
      <c r="G8996" s="49" t="s">
        <v>40</v>
      </c>
    </row>
    <row r="8997" spans="1:7" x14ac:dyDescent="0.25">
      <c r="A8997" s="69" t="s">
        <v>97</v>
      </c>
      <c r="B8997" s="72" t="str">
        <f>VLOOKUP(A8997,'Componentes APUs'!$N$1:$Q$30,2,0)</f>
        <v>Camioneta</v>
      </c>
      <c r="C8997" s="73"/>
      <c r="D8997" s="70" t="str">
        <f>VLOOKUP(A8997,'Componentes APUs'!$N$1:$Q$30,3,0)</f>
        <v>U</v>
      </c>
      <c r="E8997" s="50">
        <v>1</v>
      </c>
      <c r="F8997" s="51">
        <f>VLOOKUP(A8997,'Componentes APUs'!$N$1:$Q$30,4,0)</f>
        <v>5500000</v>
      </c>
      <c r="G8997" s="51">
        <f>IFERROR(ROUNDUP(F8997*(E8997/21)/E8948,0),"-")</f>
        <v>3274</v>
      </c>
    </row>
    <row r="8998" spans="1:7" x14ac:dyDescent="0.25">
      <c r="A8998" s="50" t="s">
        <v>1473</v>
      </c>
      <c r="B8998" s="72" t="str">
        <f>VLOOKUP(A8998,'Componentes APUs'!$N$1:$Q$30,2,0)</f>
        <v>Concretera</v>
      </c>
      <c r="C8998" s="73"/>
      <c r="D8998" s="70" t="str">
        <f>VLOOKUP(A8998,'Componentes APUs'!$N$1:$Q$30,3,0)</f>
        <v>U</v>
      </c>
      <c r="E8998" s="50">
        <v>0</v>
      </c>
      <c r="F8998" s="51">
        <f>VLOOKUP(A8998,'Componentes APUs'!$N$1:$Q$30,4,0)</f>
        <v>550704</v>
      </c>
      <c r="G8998" s="51">
        <f>IFERROR(ROUNDUP(F8998*(E8998/21)/E8948,0),"-")</f>
        <v>0</v>
      </c>
    </row>
    <row r="8999" spans="1:7" x14ac:dyDescent="0.25">
      <c r="A8999" s="69" t="s">
        <v>1379</v>
      </c>
      <c r="B8999" s="72" t="str">
        <f>VLOOKUP(A8999,'Componentes APUs'!$N$1:$Q$30,2,0)</f>
        <v>Dumper de descarga Frontal 2T</v>
      </c>
      <c r="C8999" s="73"/>
      <c r="D8999" s="70" t="str">
        <f>VLOOKUP(A8999,'Componentes APUs'!$N$1:$Q$30,3,0)</f>
        <v>U</v>
      </c>
      <c r="E8999" s="50">
        <v>0</v>
      </c>
      <c r="F8999" s="51">
        <f>VLOOKUP(A8999,'Componentes APUs'!$N$1:$Q$30,4,0)</f>
        <v>4438716.24</v>
      </c>
      <c r="G8999" s="51">
        <f>IFERROR(ROUNDUP(F8999*(E8999/21)/E8948,0),"-")</f>
        <v>0</v>
      </c>
    </row>
    <row r="9000" spans="1:7" x14ac:dyDescent="0.25">
      <c r="A9000" s="50" t="s">
        <v>323</v>
      </c>
      <c r="B9000" s="72" t="str">
        <f>VLOOKUP(A9000,'Componentes APUs'!$N$1:$Q$30,2,0)</f>
        <v>Volqueta</v>
      </c>
      <c r="C9000" s="73"/>
      <c r="D9000" s="70" t="str">
        <f>VLOOKUP(A9000,'Componentes APUs'!$N$1:$Q$30,3,0)</f>
        <v>U</v>
      </c>
      <c r="E9000" s="50">
        <v>0</v>
      </c>
      <c r="F9000" s="51">
        <f>VLOOKUP(A9000,'Componentes APUs'!$N$1:$Q$30,4,0)</f>
        <v>14828184</v>
      </c>
      <c r="G9000" s="51">
        <f>IFERROR(ROUNDUP(F9000*(E9000/21)/E8948,0),"-")</f>
        <v>0</v>
      </c>
    </row>
    <row r="9001" spans="1:7" x14ac:dyDescent="0.25">
      <c r="A9001" s="69" t="s">
        <v>324</v>
      </c>
      <c r="B9001" s="72" t="str">
        <f>VLOOKUP(A9001,'Componentes APUs'!$N$1:$Q$30,2,0)</f>
        <v>Retroexcavadora</v>
      </c>
      <c r="C9001" s="73"/>
      <c r="D9001" s="70" t="str">
        <f>VLOOKUP(A9001,'Componentes APUs'!$N$1:$Q$30,3,0)</f>
        <v>U</v>
      </c>
      <c r="E9001" s="50">
        <v>0</v>
      </c>
      <c r="F9001" s="51">
        <f>VLOOKUP(A9001,'Componentes APUs'!$N$1:$Q$30,4,0)</f>
        <v>46030656</v>
      </c>
      <c r="G9001" s="51">
        <f>IFERROR(ROUNDUP(F9001*(E9001/21)/E8948,0),"-")</f>
        <v>0</v>
      </c>
    </row>
    <row r="9002" spans="1:7" x14ac:dyDescent="0.25">
      <c r="A9002" s="69" t="s">
        <v>2209</v>
      </c>
      <c r="B9002" s="72" t="str">
        <f>VLOOKUP(A9002,'Componentes APUs'!$N$1:$Q$30,2,0)</f>
        <v>Carrotanque de agua (1000 Galones)</v>
      </c>
      <c r="C9002" s="73"/>
      <c r="D9002" s="70" t="str">
        <f>VLOOKUP(A9002,'Componentes APUs'!$N$1:$Q$30,3,0)</f>
        <v>U</v>
      </c>
      <c r="E9002" s="50">
        <v>0.34</v>
      </c>
      <c r="F9002" s="51">
        <f>VLOOKUP(A9002,'Componentes APUs'!$N$1:$Q$30,4,0)</f>
        <v>20836807.228915609</v>
      </c>
      <c r="G9002" s="51">
        <f>IFERROR(ROUNDUP(F9002*(E9002/21)/E8948,0),"-")</f>
        <v>4217</v>
      </c>
    </row>
    <row r="9003" spans="1:7" x14ac:dyDescent="0.25">
      <c r="A9003" s="69" t="s">
        <v>2210</v>
      </c>
      <c r="B9003" s="72" t="str">
        <f>VLOOKUP(A9003,'Componentes APUs'!$N$1:$Q$30,2,0)</f>
        <v>Motoniveladora potencia 215 HP, ancho de cuchilla 4,27 m, peso 18 ton</v>
      </c>
      <c r="C9003" s="73"/>
      <c r="D9003" s="70" t="str">
        <f>VLOOKUP(A9003,'Componentes APUs'!$N$1:$Q$30,3,0)</f>
        <v>U</v>
      </c>
      <c r="E9003" s="50">
        <v>0.33</v>
      </c>
      <c r="F9003" s="51">
        <f>VLOOKUP(A9003,'Componentes APUs'!$N$1:$Q$30,4,0)</f>
        <v>37185394.643438496</v>
      </c>
      <c r="G9003" s="51">
        <f>IFERROR(ROUNDUP(F9003*(E9003/21)/E8948,0),"-")</f>
        <v>7305</v>
      </c>
    </row>
    <row r="9004" spans="1:7" x14ac:dyDescent="0.25">
      <c r="A9004" s="69" t="s">
        <v>2211</v>
      </c>
      <c r="B9004" s="72" t="str">
        <f>VLOOKUP(A9004,'Componentes APUs'!$N$1:$Q$30,2,0)</f>
        <v>Vibrocompactador, potencia 153 HP, peso 10 ton</v>
      </c>
      <c r="C9004" s="73"/>
      <c r="D9004" s="70" t="str">
        <f>VLOOKUP(A9004,'Componentes APUs'!$N$1:$Q$30,3,0)</f>
        <v>U</v>
      </c>
      <c r="E9004" s="50">
        <v>0.34</v>
      </c>
      <c r="F9004" s="51">
        <f>VLOOKUP(A9004,'Componentes APUs'!$N$1:$Q$30,4,0)</f>
        <v>39069013.554216914</v>
      </c>
      <c r="G9004" s="51">
        <f>IFERROR(ROUNDUP(F9004*(E9004/21)/E8948,0),"-")</f>
        <v>7907</v>
      </c>
    </row>
    <row r="9005" spans="1:7" x14ac:dyDescent="0.25">
      <c r="A9005" s="219" t="s">
        <v>99</v>
      </c>
      <c r="B9005" s="219"/>
      <c r="C9005" s="219"/>
      <c r="D9005" s="219"/>
      <c r="E9005" s="219"/>
      <c r="F9005" s="219"/>
      <c r="G9005" s="52">
        <f>SUM(G8997:G9004)</f>
        <v>22703</v>
      </c>
    </row>
    <row r="9006" spans="1:7" x14ac:dyDescent="0.25">
      <c r="A9006" s="56"/>
      <c r="B9006" s="57"/>
      <c r="C9006" s="57"/>
      <c r="D9006" s="57"/>
      <c r="E9006" s="57"/>
      <c r="F9006" s="57"/>
      <c r="G9006" s="58"/>
    </row>
    <row r="9007" spans="1:7" x14ac:dyDescent="0.25">
      <c r="A9007" s="219" t="s">
        <v>100</v>
      </c>
      <c r="B9007" s="219"/>
      <c r="C9007" s="219"/>
      <c r="D9007" s="219"/>
      <c r="E9007" s="219"/>
      <c r="F9007" s="219"/>
      <c r="G9007" s="52">
        <f>G9005+G8993+G8976+G8966+G8956</f>
        <v>164154</v>
      </c>
    </row>
    <row r="9008" spans="1:7" x14ac:dyDescent="0.25">
      <c r="A9008" s="59"/>
      <c r="B9008" s="60"/>
      <c r="C9008" s="60"/>
      <c r="D9008" s="60"/>
      <c r="E9008" s="57"/>
      <c r="F9008" s="57"/>
      <c r="G9008" s="58"/>
    </row>
    <row r="9009" spans="1:13" x14ac:dyDescent="0.25">
      <c r="A9009" s="64"/>
      <c r="D9009" s="55"/>
      <c r="E9009" s="49" t="s">
        <v>25</v>
      </c>
      <c r="F9009" s="54">
        <v>0.15</v>
      </c>
      <c r="G9009" s="51">
        <f>G9007*F9009</f>
        <v>24623.1</v>
      </c>
    </row>
    <row r="9010" spans="1:13" x14ac:dyDescent="0.25">
      <c r="A9010" s="64"/>
      <c r="D9010" s="55"/>
      <c r="E9010" s="49" t="s">
        <v>26</v>
      </c>
      <c r="F9010" s="54">
        <v>0.05</v>
      </c>
      <c r="G9010" s="51">
        <f>G9007*F9010</f>
        <v>8207.7000000000007</v>
      </c>
    </row>
    <row r="9011" spans="1:13" x14ac:dyDescent="0.25">
      <c r="A9011" s="61"/>
      <c r="B9011" s="65"/>
      <c r="C9011" s="65"/>
      <c r="D9011" s="62"/>
      <c r="E9011" s="49" t="s">
        <v>27</v>
      </c>
      <c r="F9011" s="54">
        <v>0.05</v>
      </c>
      <c r="G9011" s="51">
        <f>G9007*F9011</f>
        <v>8207.7000000000007</v>
      </c>
    </row>
    <row r="9012" spans="1:13" x14ac:dyDescent="0.25">
      <c r="A9012" s="61"/>
      <c r="B9012" s="62"/>
      <c r="C9012" s="62"/>
      <c r="D9012" s="62"/>
      <c r="E9012" s="62"/>
      <c r="F9012" s="62"/>
      <c r="G9012" s="63"/>
    </row>
    <row r="9013" spans="1:13" x14ac:dyDescent="0.25">
      <c r="A9013" s="219" t="s">
        <v>101</v>
      </c>
      <c r="B9013" s="219"/>
      <c r="C9013" s="219"/>
      <c r="D9013" s="219"/>
      <c r="E9013" s="219"/>
      <c r="F9013" s="219"/>
      <c r="G9013" s="52">
        <f>G9007+G9009+G9010+G9011</f>
        <v>205192.50000000003</v>
      </c>
    </row>
    <row r="9014" spans="1:13" x14ac:dyDescent="0.25">
      <c r="A9014" s="59"/>
      <c r="B9014" s="60"/>
      <c r="C9014" s="60"/>
      <c r="D9014" s="60"/>
      <c r="E9014" s="57"/>
      <c r="F9014" s="57"/>
      <c r="G9014" s="58"/>
    </row>
    <row r="9015" spans="1:13" x14ac:dyDescent="0.25">
      <c r="A9015" s="64"/>
      <c r="D9015" s="55"/>
      <c r="E9015" s="49" t="s">
        <v>102</v>
      </c>
      <c r="F9015" s="49" t="s">
        <v>103</v>
      </c>
      <c r="G9015" s="51">
        <f>G9011*19%</f>
        <v>1559.4630000000002</v>
      </c>
    </row>
    <row r="9016" spans="1:13" x14ac:dyDescent="0.25">
      <c r="A9016" s="61"/>
      <c r="B9016" s="62"/>
      <c r="C9016" s="62"/>
      <c r="D9016" s="62"/>
      <c r="E9016" s="57"/>
      <c r="F9016" s="57"/>
      <c r="G9016" s="58"/>
    </row>
    <row r="9017" spans="1:13" x14ac:dyDescent="0.25">
      <c r="A9017" s="219" t="s">
        <v>104</v>
      </c>
      <c r="B9017" s="219"/>
      <c r="C9017" s="219"/>
      <c r="D9017" s="219"/>
      <c r="E9017" s="219"/>
      <c r="F9017" s="219"/>
      <c r="G9017" s="52">
        <f>G9015+G9013</f>
        <v>206751.96300000002</v>
      </c>
    </row>
    <row r="9019" spans="1:13" x14ac:dyDescent="0.25">
      <c r="A9019" s="74" t="s">
        <v>29</v>
      </c>
      <c r="B9019" s="226" t="s">
        <v>30</v>
      </c>
      <c r="C9019" s="226"/>
      <c r="D9019" s="74" t="s">
        <v>31</v>
      </c>
      <c r="E9019" s="74" t="s">
        <v>32</v>
      </c>
      <c r="F9019" s="74" t="s">
        <v>189</v>
      </c>
      <c r="G9019" s="74" t="s">
        <v>33</v>
      </c>
      <c r="H9019" s="105"/>
    </row>
    <row r="9020" spans="1:13" ht="27" customHeight="1" x14ac:dyDescent="0.25">
      <c r="A9020" s="50" t="str">
        <f>Presupuesto!B168</f>
        <v>144_OC</v>
      </c>
      <c r="B9020" s="229" t="str">
        <f>Presupuesto!C168</f>
        <v>CAPA DE SUBBASE GRANULA CLASE A (SBG)</v>
      </c>
      <c r="C9020" s="230"/>
      <c r="D9020" s="50" t="s">
        <v>114</v>
      </c>
      <c r="E9020" s="107">
        <v>80</v>
      </c>
      <c r="F9020" s="50"/>
      <c r="G9020" s="51">
        <f>G9089</f>
        <v>200479.65300000002</v>
      </c>
      <c r="H9020" s="111"/>
    </row>
    <row r="9021" spans="1:13" x14ac:dyDescent="0.25">
      <c r="A9021" s="219" t="s">
        <v>34</v>
      </c>
      <c r="B9021" s="219"/>
      <c r="C9021" s="219"/>
      <c r="D9021" s="219"/>
      <c r="E9021" s="219"/>
      <c r="F9021" s="219"/>
      <c r="G9021" s="219"/>
    </row>
    <row r="9022" spans="1:13" ht="30.75" customHeight="1" x14ac:dyDescent="0.25">
      <c r="A9022" s="49" t="s">
        <v>35</v>
      </c>
      <c r="B9022" s="219" t="s">
        <v>36</v>
      </c>
      <c r="C9022" s="219"/>
      <c r="D9022" s="49" t="s">
        <v>37</v>
      </c>
      <c r="E9022" s="49" t="s">
        <v>38</v>
      </c>
      <c r="F9022" s="49" t="s">
        <v>39</v>
      </c>
      <c r="G9022" s="49" t="s">
        <v>40</v>
      </c>
      <c r="K9022" s="23"/>
      <c r="L9022" s="23"/>
    </row>
    <row r="9023" spans="1:13" x14ac:dyDescent="0.25">
      <c r="A9023" s="50" t="str">
        <f>Material!A523</f>
        <v>MA-522</v>
      </c>
      <c r="B9023" s="72" t="str">
        <f>IFERROR(VLOOKUP(A9023,Material!$A:$H,2,0),"-")</f>
        <v>MATERIAL DE SUB- BASE CLASE A (NT3) GRADACIÓN SBG-38</v>
      </c>
      <c r="C9023" s="76"/>
      <c r="D9023" s="50" t="str">
        <f>IFERROR(VLOOKUP(A9023,Material!$A:$H,4,0),"-")</f>
        <v>M3</v>
      </c>
      <c r="E9023" s="132">
        <v>1.3</v>
      </c>
      <c r="F9023" s="51">
        <f>IFERROR(VLOOKUP(A9023,Material!$A:$H,3,0),"-")</f>
        <v>105645.54578375584</v>
      </c>
      <c r="G9023" s="51">
        <f>IFERROR(ROUNDUP(F9023*E9023,0),"-")</f>
        <v>137340</v>
      </c>
      <c r="H9023" s="112"/>
      <c r="I9023" s="110"/>
      <c r="J9023" s="113"/>
      <c r="K9023" s="114"/>
      <c r="L9023" s="115"/>
      <c r="M9023" s="115"/>
    </row>
    <row r="9024" spans="1:13" x14ac:dyDescent="0.25">
      <c r="A9024" s="50" t="str">
        <f>Material!A282</f>
        <v>MA-281</v>
      </c>
      <c r="B9024" s="72" t="str">
        <f>IFERROR(VLOOKUP(A9024,Material!$A:$H,2,0),"-")</f>
        <v>AGUA</v>
      </c>
      <c r="C9024" s="76"/>
      <c r="D9024" s="50" t="str">
        <f>IFERROR(VLOOKUP(A9024,Material!$A:$H,4,0),"-")</f>
        <v>M3</v>
      </c>
      <c r="E9024" s="107">
        <v>2.1999999999999999E-2</v>
      </c>
      <c r="F9024" s="51">
        <f>IFERROR(VLOOKUP(A9024,Material!$A:$H,3,0),"-")</f>
        <v>94.9</v>
      </c>
      <c r="G9024" s="51">
        <f>IFERROR(ROUNDUP(F9024*E9024,0),"-")</f>
        <v>3</v>
      </c>
      <c r="H9024" s="112"/>
      <c r="I9024" s="110"/>
      <c r="J9024" s="113"/>
      <c r="K9024" s="114"/>
      <c r="L9024" s="115"/>
      <c r="M9024" s="115"/>
    </row>
    <row r="9025" spans="1:13" x14ac:dyDescent="0.25">
      <c r="A9025" s="50"/>
      <c r="B9025" s="72" t="str">
        <f>IFERROR(VLOOKUP(A9025,Material!$A:$H,2,0),"-")</f>
        <v>-</v>
      </c>
      <c r="C9025" s="76"/>
      <c r="D9025" s="50" t="str">
        <f>IFERROR(VLOOKUP(A9025,Material!$A:$H,4,0),"-")</f>
        <v>-</v>
      </c>
      <c r="E9025" s="107"/>
      <c r="F9025" s="51" t="str">
        <f>IFERROR(VLOOKUP(A9025,Material!$A:$H,3,0),"-")</f>
        <v>-</v>
      </c>
      <c r="G9025" s="51" t="str">
        <f>IFERROR(ROUNDUP(F9025*E9025,0),"-")</f>
        <v>-</v>
      </c>
      <c r="H9025" s="112"/>
      <c r="I9025" s="110"/>
      <c r="J9025" s="113"/>
      <c r="K9025" s="114"/>
      <c r="L9025" s="115"/>
      <c r="M9025" s="115"/>
    </row>
    <row r="9026" spans="1:13" x14ac:dyDescent="0.25">
      <c r="A9026" s="50"/>
      <c r="B9026" s="72" t="str">
        <f>IFERROR(VLOOKUP(A9026,Material!$A:$H,2,0),"-")</f>
        <v>-</v>
      </c>
      <c r="C9026" s="76"/>
      <c r="D9026" s="50" t="str">
        <f>IFERROR(VLOOKUP(A9026,Material!$A:$H,4,0),"-")</f>
        <v>-</v>
      </c>
      <c r="E9026" s="107"/>
      <c r="F9026" s="51" t="str">
        <f>IFERROR(VLOOKUP(A9026,Material!$A:$H,3,0),"-")</f>
        <v>-</v>
      </c>
      <c r="G9026" s="51" t="str">
        <f>IFERROR(ROUNDUP(F9026*E9026,0),"-")</f>
        <v>-</v>
      </c>
      <c r="H9026" s="112"/>
      <c r="I9026" s="110"/>
      <c r="J9026" s="113"/>
      <c r="K9026" s="114"/>
      <c r="L9026" s="115"/>
      <c r="M9026" s="115"/>
    </row>
    <row r="9027" spans="1:13" x14ac:dyDescent="0.25">
      <c r="A9027" s="50"/>
      <c r="B9027" s="72" t="str">
        <f>IFERROR(VLOOKUP(A9027,Material!$A:$H,2,0),"-")</f>
        <v>-</v>
      </c>
      <c r="C9027" s="76"/>
      <c r="D9027" s="50" t="str">
        <f>IFERROR(VLOOKUP(A9027,Material!$A:$H,4,0),"-")</f>
        <v>-</v>
      </c>
      <c r="E9027" s="107"/>
      <c r="F9027" s="51" t="str">
        <f>IFERROR(VLOOKUP(A9027,Material!$A:$H,3,0),"-")</f>
        <v>-</v>
      </c>
      <c r="G9027" s="51" t="str">
        <f>IFERROR(ROUNDUP(F9027*E9027,0),"-")</f>
        <v>-</v>
      </c>
      <c r="H9027" s="112"/>
      <c r="I9027" s="110"/>
      <c r="J9027" s="113"/>
      <c r="K9027" s="114"/>
      <c r="L9027" s="115"/>
      <c r="M9027" s="115"/>
    </row>
    <row r="9028" spans="1:13" x14ac:dyDescent="0.25">
      <c r="A9028" s="219" t="s">
        <v>41</v>
      </c>
      <c r="B9028" s="219"/>
      <c r="C9028" s="219"/>
      <c r="D9028" s="219"/>
      <c r="E9028" s="219"/>
      <c r="F9028" s="219"/>
      <c r="G9028" s="52">
        <f>SUM(G9023:G9027)</f>
        <v>137343</v>
      </c>
      <c r="I9028" s="104"/>
    </row>
    <row r="9029" spans="1:13" x14ac:dyDescent="0.25">
      <c r="A9029" s="56"/>
      <c r="B9029" s="57"/>
      <c r="C9029" s="57"/>
      <c r="D9029" s="57"/>
      <c r="E9029" s="57"/>
      <c r="F9029" s="57"/>
      <c r="G9029" s="58"/>
    </row>
    <row r="9030" spans="1:13" x14ac:dyDescent="0.25">
      <c r="A9030" s="219" t="s">
        <v>42</v>
      </c>
      <c r="B9030" s="219"/>
      <c r="C9030" s="219"/>
      <c r="D9030" s="219"/>
      <c r="E9030" s="219"/>
      <c r="F9030" s="219"/>
      <c r="G9030" s="219"/>
    </row>
    <row r="9031" spans="1:13" x14ac:dyDescent="0.25">
      <c r="A9031" s="49" t="s">
        <v>35</v>
      </c>
      <c r="B9031" s="49" t="s">
        <v>36</v>
      </c>
      <c r="C9031" s="49" t="s">
        <v>38</v>
      </c>
      <c r="D9031" s="49" t="s">
        <v>43</v>
      </c>
      <c r="E9031" s="49" t="s">
        <v>44</v>
      </c>
      <c r="F9031" s="49" t="s">
        <v>45</v>
      </c>
      <c r="G9031" s="49" t="s">
        <v>40</v>
      </c>
    </row>
    <row r="9032" spans="1:13" x14ac:dyDescent="0.25">
      <c r="A9032" s="50" t="s">
        <v>319</v>
      </c>
      <c r="B9032" s="68" t="str">
        <f>VLOOKUP(A9032,'Componentes APUs'!$H$1:$L$25,2,0)</f>
        <v>Ingeniero Residente de Obra</v>
      </c>
      <c r="C9032" s="93">
        <v>0</v>
      </c>
      <c r="D9032" s="50">
        <f>VLOOKUP(A9032,'Componentes APUs'!$H$1:$L$25,3,0)</f>
        <v>4</v>
      </c>
      <c r="E9032" s="51">
        <f>VLOOKUP(A9032,'Componentes APUs'!$H$1:$L$25,4,0)</f>
        <v>271142.85714285716</v>
      </c>
      <c r="F9032" s="51">
        <f>VLOOKUP(A9032,'Componentes APUs'!$H$1:$L$25,5,0)</f>
        <v>162685.71428571429</v>
      </c>
      <c r="G9032" s="51">
        <f>ROUNDUP((E9032+F9032)*C9032/E9020,0)</f>
        <v>0</v>
      </c>
      <c r="H9032" s="66"/>
    </row>
    <row r="9033" spans="1:13" x14ac:dyDescent="0.25">
      <c r="A9033" s="50" t="s">
        <v>320</v>
      </c>
      <c r="B9033" s="68" t="str">
        <f>VLOOKUP(A9033,'Componentes APUs'!$H$1:$L$25,2,0)</f>
        <v>Tecnico Supervisor</v>
      </c>
      <c r="C9033" s="93">
        <v>0</v>
      </c>
      <c r="D9033" s="50">
        <f>VLOOKUP(A9033,'Componentes APUs'!$H$1:$L$25,3,0)</f>
        <v>2.2999999999999998</v>
      </c>
      <c r="E9033" s="51">
        <f>VLOOKUP(A9033,'Componentes APUs'!$H$1:$L$25,4,0)</f>
        <v>155907.14285714284</v>
      </c>
      <c r="F9033" s="51">
        <f>VLOOKUP(A9033,'Componentes APUs'!$H$1:$L$25,5,0)</f>
        <v>93544.285714285696</v>
      </c>
      <c r="G9033" s="51">
        <f>ROUNDUP((E9033+F9033)*C9033/E9020,0)</f>
        <v>0</v>
      </c>
    </row>
    <row r="9034" spans="1:13" x14ac:dyDescent="0.25">
      <c r="A9034" s="50" t="s">
        <v>54</v>
      </c>
      <c r="B9034" s="68" t="str">
        <f>VLOOKUP(A9034,'Componentes APUs'!$H$1:$L$25,2,0)</f>
        <v>Maestro de obra civil</v>
      </c>
      <c r="C9034" s="93">
        <v>0</v>
      </c>
      <c r="D9034" s="50">
        <f>VLOOKUP(A9034,'Componentes APUs'!$H$1:$L$25,3,0)</f>
        <v>2.5</v>
      </c>
      <c r="E9034" s="51">
        <f>VLOOKUP(A9034,'Componentes APUs'!$H$1:$L$25,4,0)</f>
        <v>169464.28571428571</v>
      </c>
      <c r="F9034" s="51">
        <f>VLOOKUP(A9034,'Componentes APUs'!$H$1:$L$25,5,0)</f>
        <v>101678.57142857142</v>
      </c>
      <c r="G9034" s="51">
        <f>ROUNDUP((E9034+F9034)*C9034/E9020,0)</f>
        <v>0</v>
      </c>
    </row>
    <row r="9035" spans="1:13" x14ac:dyDescent="0.25">
      <c r="A9035" s="50" t="s">
        <v>1110</v>
      </c>
      <c r="B9035" s="68" t="str">
        <f>VLOOKUP(A9035,'Componentes APUs'!$H$1:$L$25,2,0)</f>
        <v>Oficial de Obra Civil</v>
      </c>
      <c r="C9035" s="93">
        <v>0</v>
      </c>
      <c r="D9035" s="50">
        <f>VLOOKUP(A9035,'Componentes APUs'!$H$1:$L$25,3,0)</f>
        <v>1.5</v>
      </c>
      <c r="E9035" s="51">
        <f>VLOOKUP(A9035,'Componentes APUs'!$H$1:$L$25,4,0)</f>
        <v>115964.28571428571</v>
      </c>
      <c r="F9035" s="51">
        <f>VLOOKUP(A9035,'Componentes APUs'!$H$1:$L$25,5,0)</f>
        <v>69578.57142857142</v>
      </c>
      <c r="G9035" s="51">
        <f>ROUNDUP((E9035+F9035)*C9035/E9020,0)</f>
        <v>0</v>
      </c>
    </row>
    <row r="9036" spans="1:13" x14ac:dyDescent="0.25">
      <c r="A9036" s="50" t="s">
        <v>50</v>
      </c>
      <c r="B9036" s="68" t="str">
        <f>VLOOKUP(A9036,'Componentes APUs'!$H$1:$L$25,2,0)</f>
        <v>Profesional en SST</v>
      </c>
      <c r="C9036" s="93">
        <v>0.25</v>
      </c>
      <c r="D9036" s="50">
        <f>VLOOKUP(A9036,'Componentes APUs'!$H$1:$L$25,3,0)</f>
        <v>2.5</v>
      </c>
      <c r="E9036" s="51">
        <f>VLOOKUP(A9036,'Componentes APUs'!$H$1:$L$25,4,0)</f>
        <v>169464.28571428571</v>
      </c>
      <c r="F9036" s="51">
        <f>VLOOKUP(A9036,'Componentes APUs'!$H$1:$L$25,5,0)</f>
        <v>101678.57142857142</v>
      </c>
      <c r="G9036" s="51">
        <f>ROUNDUP((E9036+F9036)*C9036/E9020,0)</f>
        <v>848</v>
      </c>
    </row>
    <row r="9037" spans="1:13" x14ac:dyDescent="0.25">
      <c r="A9037" s="50" t="s">
        <v>1109</v>
      </c>
      <c r="B9037" s="68" t="str">
        <f>VLOOKUP(A9037,'Componentes APUs'!$H$1:$L$25,2,0)</f>
        <v>Ayudante de Obra Civil</v>
      </c>
      <c r="C9037" s="93">
        <v>2</v>
      </c>
      <c r="D9037" s="50">
        <f>VLOOKUP(A9037,'Componentes APUs'!$H$1:$L$25,3,0)</f>
        <v>1</v>
      </c>
      <c r="E9037" s="51">
        <f>VLOOKUP(A9037,'Componentes APUs'!$H$1:$L$25,4,0)</f>
        <v>77309.523809523816</v>
      </c>
      <c r="F9037" s="51">
        <f>VLOOKUP(A9037,'Componentes APUs'!$H$1:$L$25,5,0)</f>
        <v>46385.71428571429</v>
      </c>
      <c r="G9037" s="51">
        <f>ROUNDUP((E9037+F9037)*C9037/E9020,0)</f>
        <v>3093</v>
      </c>
    </row>
    <row r="9038" spans="1:13" x14ac:dyDescent="0.25">
      <c r="A9038" s="219" t="s">
        <v>56</v>
      </c>
      <c r="B9038" s="219"/>
      <c r="C9038" s="219"/>
      <c r="D9038" s="219"/>
      <c r="E9038" s="219"/>
      <c r="F9038" s="219"/>
      <c r="G9038" s="52">
        <f>SUM(G9032:G9037)</f>
        <v>3941</v>
      </c>
    </row>
    <row r="9039" spans="1:13" x14ac:dyDescent="0.25">
      <c r="A9039" s="56"/>
      <c r="B9039" s="57"/>
      <c r="C9039" s="57"/>
      <c r="D9039" s="57"/>
      <c r="E9039" s="57"/>
      <c r="F9039" s="57"/>
      <c r="G9039" s="58"/>
    </row>
    <row r="9040" spans="1:13" x14ac:dyDescent="0.25">
      <c r="A9040" s="219" t="s">
        <v>57</v>
      </c>
      <c r="B9040" s="219"/>
      <c r="C9040" s="219"/>
      <c r="D9040" s="219"/>
      <c r="E9040" s="219"/>
      <c r="F9040" s="219"/>
      <c r="G9040" s="219"/>
    </row>
    <row r="9041" spans="1:9" x14ac:dyDescent="0.25">
      <c r="A9041" s="49" t="s">
        <v>35</v>
      </c>
      <c r="B9041" s="219" t="s">
        <v>36</v>
      </c>
      <c r="C9041" s="219"/>
      <c r="D9041" s="49" t="s">
        <v>37</v>
      </c>
      <c r="E9041" s="49" t="s">
        <v>38</v>
      </c>
      <c r="F9041" s="49" t="s">
        <v>39</v>
      </c>
      <c r="G9041" s="49" t="s">
        <v>40</v>
      </c>
    </row>
    <row r="9042" spans="1:9" x14ac:dyDescent="0.25">
      <c r="A9042" s="50" t="s">
        <v>326</v>
      </c>
      <c r="B9042" s="220" t="str">
        <f>VLOOKUP(A9042,'Componentes APUs'!$S$1:$V$10,2,0)</f>
        <v>Juego Llaves</v>
      </c>
      <c r="C9042" s="220"/>
      <c r="D9042" s="50" t="s">
        <v>18</v>
      </c>
      <c r="E9042" s="50">
        <v>0</v>
      </c>
      <c r="F9042" s="51">
        <f>VLOOKUP(A9042,'Componentes APUs'!$S$1:$V$10,4,0)</f>
        <v>9167</v>
      </c>
      <c r="G9042" s="51">
        <f>ROUNDUP(F9042*((E9042/21)/E9020),0)</f>
        <v>0</v>
      </c>
      <c r="I9042" s="91"/>
    </row>
    <row r="9043" spans="1:9" x14ac:dyDescent="0.25">
      <c r="A9043" s="50" t="s">
        <v>58</v>
      </c>
      <c r="B9043" s="220" t="str">
        <f>VLOOKUP(A9043,'Componentes APUs'!$S$1:$V$10,2,0)</f>
        <v>Manila de servicio</v>
      </c>
      <c r="C9043" s="220"/>
      <c r="D9043" s="50" t="s">
        <v>18</v>
      </c>
      <c r="E9043" s="50">
        <v>0</v>
      </c>
      <c r="F9043" s="51">
        <f>VLOOKUP(A9043,'Componentes APUs'!$S$1:$V$10,4,0)</f>
        <v>2333</v>
      </c>
      <c r="G9043" s="51">
        <f>ROUNDUP(F9043*((E9043/21)/E9020),0)</f>
        <v>0</v>
      </c>
    </row>
    <row r="9044" spans="1:9" x14ac:dyDescent="0.25">
      <c r="A9044" s="50" t="s">
        <v>327</v>
      </c>
      <c r="B9044" s="220" t="str">
        <f>VLOOKUP(A9044,'Componentes APUs'!$S$1:$V$10,2,0)</f>
        <v>Tula portaherramientas</v>
      </c>
      <c r="C9044" s="220"/>
      <c r="D9044" s="50" t="s">
        <v>18</v>
      </c>
      <c r="E9044" s="50">
        <v>0</v>
      </c>
      <c r="F9044" s="51">
        <f>VLOOKUP(A9044,'Componentes APUs'!$S$1:$V$10,4,0)</f>
        <v>1250</v>
      </c>
      <c r="G9044" s="51">
        <f>ROUNDUP(F9044*((E9044/21)/E9020),0)</f>
        <v>0</v>
      </c>
    </row>
    <row r="9045" spans="1:9" x14ac:dyDescent="0.25">
      <c r="A9045" s="50" t="s">
        <v>60</v>
      </c>
      <c r="B9045" s="220" t="str">
        <f>VLOOKUP(A9045,'Componentes APUs'!$S$1:$V$10,2,0)</f>
        <v>Agarradoras</v>
      </c>
      <c r="C9045" s="220"/>
      <c r="D9045" s="50" t="s">
        <v>18</v>
      </c>
      <c r="E9045" s="50">
        <v>0</v>
      </c>
      <c r="F9045" s="51">
        <f>VLOOKUP(A9045,'Componentes APUs'!$S$1:$V$10,4,0)</f>
        <v>125000</v>
      </c>
      <c r="G9045" s="51">
        <f>ROUNDUP(F9045*((E9045/21)/E9020),0)</f>
        <v>0</v>
      </c>
    </row>
    <row r="9046" spans="1:9" x14ac:dyDescent="0.25">
      <c r="A9046" s="50" t="s">
        <v>62</v>
      </c>
      <c r="B9046" s="220" t="str">
        <f>VLOOKUP(A9046,'Componentes APUs'!$S$1:$V$10,2,0)</f>
        <v>Templadoras</v>
      </c>
      <c r="C9046" s="220"/>
      <c r="D9046" s="50" t="s">
        <v>18</v>
      </c>
      <c r="E9046" s="50">
        <v>0</v>
      </c>
      <c r="F9046" s="51">
        <f>VLOOKUP(A9046,'Componentes APUs'!$S$1:$V$10,4,0)</f>
        <v>250000</v>
      </c>
      <c r="G9046" s="51">
        <f>ROUNDUP(F9046*((E9046/21)/E9020),0)</f>
        <v>0</v>
      </c>
    </row>
    <row r="9047" spans="1:9" x14ac:dyDescent="0.25">
      <c r="A9047" s="50" t="s">
        <v>328</v>
      </c>
      <c r="B9047" s="220" t="str">
        <f>VLOOKUP(A9047,'Componentes APUs'!$S$1:$V$10,2,0)</f>
        <v>Herramienta Menor</v>
      </c>
      <c r="C9047" s="220"/>
      <c r="D9047" s="50" t="s">
        <v>18</v>
      </c>
      <c r="E9047" s="50">
        <v>2</v>
      </c>
      <c r="F9047" s="51">
        <f>VLOOKUP(A9047,'Componentes APUs'!$S$1:$V$10,4,0)</f>
        <v>75758</v>
      </c>
      <c r="G9047" s="51">
        <f>ROUNDUP(F9047*((E9047/21)/E9020),0)</f>
        <v>91</v>
      </c>
    </row>
    <row r="9048" spans="1:9" x14ac:dyDescent="0.25">
      <c r="A9048" s="219" t="s">
        <v>69</v>
      </c>
      <c r="B9048" s="219"/>
      <c r="C9048" s="219"/>
      <c r="D9048" s="219"/>
      <c r="E9048" s="219"/>
      <c r="F9048" s="219"/>
      <c r="G9048" s="52">
        <f>SUM(G9042:G9047)</f>
        <v>91</v>
      </c>
    </row>
    <row r="9049" spans="1:9" x14ac:dyDescent="0.25">
      <c r="A9049" s="56"/>
      <c r="B9049" s="57"/>
      <c r="C9049" s="57"/>
      <c r="D9049" s="57"/>
      <c r="E9049" s="57"/>
      <c r="F9049" s="57"/>
      <c r="G9049" s="58"/>
    </row>
    <row r="9050" spans="1:9" x14ac:dyDescent="0.25">
      <c r="A9050" s="219" t="s">
        <v>70</v>
      </c>
      <c r="B9050" s="219"/>
      <c r="C9050" s="219"/>
      <c r="D9050" s="219"/>
      <c r="E9050" s="219"/>
      <c r="F9050" s="219"/>
      <c r="G9050" s="219"/>
    </row>
    <row r="9051" spans="1:9" x14ac:dyDescent="0.25">
      <c r="A9051" s="49" t="s">
        <v>35</v>
      </c>
      <c r="B9051" s="219" t="s">
        <v>36</v>
      </c>
      <c r="C9051" s="219"/>
      <c r="D9051" s="49" t="s">
        <v>37</v>
      </c>
      <c r="E9051" s="49" t="s">
        <v>38</v>
      </c>
      <c r="F9051" s="49" t="s">
        <v>39</v>
      </c>
      <c r="G9051" s="49" t="s">
        <v>40</v>
      </c>
    </row>
    <row r="9052" spans="1:9" x14ac:dyDescent="0.25">
      <c r="A9052" s="50" t="s">
        <v>71</v>
      </c>
      <c r="B9052" s="71" t="str">
        <f>VLOOKUP(A9052,'Componentes APUs'!$A$1:$D$14,2,0)</f>
        <v>Camisa indigo sin partes metalicas</v>
      </c>
      <c r="C9052" s="71"/>
      <c r="D9052" s="50" t="str">
        <f>VLOOKUP(A9052,'Componentes APUs'!$A$1:$D$14,3,0)</f>
        <v>U</v>
      </c>
      <c r="E9052" s="50">
        <f>SUM(C9032:C9037)</f>
        <v>2.25</v>
      </c>
      <c r="F9052" s="51">
        <f>VLOOKUP(A9052,'Componentes APUs'!$A$1:$D$14,4,0)</f>
        <v>8585.8585858585866</v>
      </c>
      <c r="G9052" s="51">
        <f>ROUNDUP(F9052*(E9052/21)/E9020,0)</f>
        <v>12</v>
      </c>
      <c r="I9052" s="91"/>
    </row>
    <row r="9053" spans="1:9" x14ac:dyDescent="0.25">
      <c r="A9053" s="69" t="s">
        <v>73</v>
      </c>
      <c r="B9053" s="72" t="str">
        <f>VLOOKUP(A9053,'Componentes APUs'!$A$1:$D$14,2,0)</f>
        <v>Bota de seguridad dielectrica</v>
      </c>
      <c r="C9053" s="73"/>
      <c r="D9053" s="70" t="str">
        <f>VLOOKUP(A9053,'Componentes APUs'!$A$1:$D$14,3,0)</f>
        <v>Par</v>
      </c>
      <c r="E9053" s="50">
        <f>SUM(C9032:C9037)</f>
        <v>2.25</v>
      </c>
      <c r="F9053" s="51">
        <f>VLOOKUP(A9053,'Componentes APUs'!$A$1:$D$14,4,0)</f>
        <v>7500</v>
      </c>
      <c r="G9053" s="51">
        <f>ROUNDUP(F9053*(E9053/21)/E9020,0)</f>
        <v>11</v>
      </c>
    </row>
    <row r="9054" spans="1:9" x14ac:dyDescent="0.25">
      <c r="A9054" s="50" t="s">
        <v>76</v>
      </c>
      <c r="B9054" s="72" t="str">
        <f>VLOOKUP(A9054,'Componentes APUs'!$A$1:$D$14,2,0)</f>
        <v>Casco dielectrico Tipo 1 Clase E con barbuquejo</v>
      </c>
      <c r="C9054" s="73"/>
      <c r="D9054" s="50" t="str">
        <f>VLOOKUP(A9054,'Componentes APUs'!$A$1:$D$14,3,0)</f>
        <v>U</v>
      </c>
      <c r="E9054" s="50">
        <f>C9032+C9033+C9035+C9036+C9037+IF(A9034&lt;&gt;"MO-3",C9034,0)</f>
        <v>2.25</v>
      </c>
      <c r="F9054" s="51">
        <f>VLOOKUP(A9054,'Componentes APUs'!$A$1:$D$14,4,0)</f>
        <v>10101.010101010101</v>
      </c>
      <c r="G9054" s="51">
        <f>ROUNDUP(F9054*(E9054/21)/E9020,0)</f>
        <v>14</v>
      </c>
    </row>
    <row r="9055" spans="1:9" x14ac:dyDescent="0.25">
      <c r="A9055" s="69" t="s">
        <v>77</v>
      </c>
      <c r="B9055" s="72" t="str">
        <f>VLOOKUP(A9055,'Componentes APUs'!$A$1:$D$14,2,0)</f>
        <v>Correa plastica y antiflama</v>
      </c>
      <c r="C9055" s="73"/>
      <c r="D9055" s="50" t="str">
        <f>VLOOKUP(A9055,'Componentes APUs'!$A$1:$D$14,3,0)</f>
        <v>U</v>
      </c>
      <c r="E9055" s="50">
        <f>SUM(C9032:C9037)</f>
        <v>2.25</v>
      </c>
      <c r="F9055" s="51">
        <f>VLOOKUP(A9055,'Componentes APUs'!$A$1:$D$14,4,0)</f>
        <v>3787.878787878788</v>
      </c>
      <c r="G9055" s="51">
        <f>ROUNDUP(F9055*(E9055/21)/E9020,0)</f>
        <v>6</v>
      </c>
    </row>
    <row r="9056" spans="1:9" x14ac:dyDescent="0.25">
      <c r="A9056" s="50" t="s">
        <v>79</v>
      </c>
      <c r="B9056" s="72" t="str">
        <f>VLOOKUP(A9056,'Componentes APUs'!$A$1:$D$14,2,0)</f>
        <v>Gafas protectoras filtro UV</v>
      </c>
      <c r="C9056" s="73"/>
      <c r="D9056" s="50" t="str">
        <f>VLOOKUP(A9056,'Componentes APUs'!$A$1:$D$14,3,0)</f>
        <v>U</v>
      </c>
      <c r="E9056" s="50">
        <f>SUM(C9032:C9037)</f>
        <v>2.25</v>
      </c>
      <c r="F9056" s="51">
        <f>VLOOKUP(A9056,'Componentes APUs'!$A$1:$D$14,4,0)</f>
        <v>2777.7777777777778</v>
      </c>
      <c r="G9056" s="51">
        <f>ROUNDUP(F9056*(E9056/21)/E9020,0)</f>
        <v>4</v>
      </c>
    </row>
    <row r="9057" spans="1:7" x14ac:dyDescent="0.25">
      <c r="A9057" s="69" t="s">
        <v>402</v>
      </c>
      <c r="B9057" s="72" t="str">
        <f>VLOOKUP(A9057,'Componentes APUs'!$A$1:$D$14,2,0)</f>
        <v>Bota de seguridad PVC dielectrica</v>
      </c>
      <c r="C9057" s="73"/>
      <c r="D9057" s="50" t="str">
        <f>VLOOKUP(A9057,'Componentes APUs'!$A$1:$D$14,3,0)</f>
        <v>Par</v>
      </c>
      <c r="E9057" s="50">
        <f>SUM(C9032:C9037)</f>
        <v>2.25</v>
      </c>
      <c r="F9057" s="51">
        <f>VLOOKUP(A9057,'Componentes APUs'!$A$1:$D$14,4,0)</f>
        <v>2916.6666666666665</v>
      </c>
      <c r="G9057" s="51">
        <f>ROUNDUP(F9057*(E9057/21)/E9020,0)</f>
        <v>4</v>
      </c>
    </row>
    <row r="9058" spans="1:7" x14ac:dyDescent="0.25">
      <c r="A9058" s="50" t="s">
        <v>403</v>
      </c>
      <c r="B9058" s="72" t="str">
        <f>VLOOKUP(A9058,'Componentes APUs'!$A$1:$D$14,2,0)</f>
        <v>Capuchon</v>
      </c>
      <c r="C9058" s="73"/>
      <c r="D9058" s="50" t="str">
        <f>VLOOKUP(A9058,'Componentes APUs'!$A$1:$D$14,3,0)</f>
        <v>U</v>
      </c>
      <c r="E9058" s="50">
        <f>SUM(C9032:C9037)</f>
        <v>2.25</v>
      </c>
      <c r="F9058" s="51">
        <f>VLOOKUP(A9058,'Componentes APUs'!$A$1:$D$14,4,0)</f>
        <v>2525.2525252525252</v>
      </c>
      <c r="G9058" s="51">
        <f>ROUNDUP(F9058*(E9058/21)/E9020,0)</f>
        <v>4</v>
      </c>
    </row>
    <row r="9059" spans="1:7" x14ac:dyDescent="0.25">
      <c r="A9059" s="69" t="s">
        <v>81</v>
      </c>
      <c r="B9059" s="72" t="str">
        <f>VLOOKUP(A9059,'Componentes APUs'!$A$1:$D$14,2,0)</f>
        <v>Guantes Protectores  - ingeniero reforzados</v>
      </c>
      <c r="C9059" s="73"/>
      <c r="D9059" s="50" t="str">
        <f>VLOOKUP(A9059,'Componentes APUs'!$A$1:$D$14,3,0)</f>
        <v>Par</v>
      </c>
      <c r="E9059" s="50">
        <f>C9034+C9035+C9037</f>
        <v>2</v>
      </c>
      <c r="F9059" s="51">
        <f>VLOOKUP(A9059,'Componentes APUs'!$A$1:$D$14,4,0)</f>
        <v>2525.2525252525252</v>
      </c>
      <c r="G9059" s="51">
        <f>ROUNDUP(F9059*(E9059/21)/E9020,0)</f>
        <v>4</v>
      </c>
    </row>
    <row r="9060" spans="1:7" x14ac:dyDescent="0.25">
      <c r="A9060" s="50" t="s">
        <v>83</v>
      </c>
      <c r="B9060" s="72" t="str">
        <f>VLOOKUP(A9060,'Componentes APUs'!$A$1:$D$14,2,0)</f>
        <v>Impermeable (pantalon camisa)</v>
      </c>
      <c r="C9060" s="73"/>
      <c r="D9060" s="50" t="str">
        <f>VLOOKUP(A9060,'Componentes APUs'!$A$1:$D$14,3,0)</f>
        <v>U</v>
      </c>
      <c r="E9060" s="50">
        <f>SUM(C9032:C9037)</f>
        <v>2.25</v>
      </c>
      <c r="F9060" s="51">
        <f>VLOOKUP(A9060,'Componentes APUs'!$A$1:$D$14,4,0)</f>
        <v>3750</v>
      </c>
      <c r="G9060" s="51">
        <f>ROUNDUP(F9060*(E9060/21)/E9020,0)</f>
        <v>6</v>
      </c>
    </row>
    <row r="9061" spans="1:7" x14ac:dyDescent="0.25">
      <c r="A9061" s="69" t="s">
        <v>85</v>
      </c>
      <c r="B9061" s="72" t="str">
        <f>VLOOKUP(A9061,'Componentes APUs'!$A$1:$D$14,2,0)</f>
        <v>Jean Dielectrico</v>
      </c>
      <c r="C9061" s="73"/>
      <c r="D9061" s="50" t="str">
        <f>VLOOKUP(A9061,'Componentes APUs'!$A$1:$D$14,3,0)</f>
        <v>U</v>
      </c>
      <c r="E9061" s="50">
        <f>SUM(C9032:C9037)</f>
        <v>2.25</v>
      </c>
      <c r="F9061" s="51">
        <f>VLOOKUP(A9061,'Componentes APUs'!$A$1:$D$14,4,0)</f>
        <v>7575.757575757576</v>
      </c>
      <c r="G9061" s="51">
        <f>ROUNDUP(F9061*(E9061/21)/E9020,0)</f>
        <v>11</v>
      </c>
    </row>
    <row r="9062" spans="1:7" x14ac:dyDescent="0.25">
      <c r="A9062" s="50" t="s">
        <v>87</v>
      </c>
      <c r="B9062" s="72" t="str">
        <f>VLOOKUP(A9062,'Componentes APUs'!$A$1:$D$14,2,0)</f>
        <v>Casco dielectrico Tipo 2 Clase E con barboquejo</v>
      </c>
      <c r="C9062" s="73"/>
      <c r="D9062" s="50" t="str">
        <f>VLOOKUP(A9062,'Componentes APUs'!$A$1:$D$14,3,0)</f>
        <v>U</v>
      </c>
      <c r="E9062" s="53">
        <f>IF(A9034="MO-3",C9034,0)</f>
        <v>0</v>
      </c>
      <c r="F9062" s="51">
        <f>VLOOKUP(A9062,'Componentes APUs'!$A$1:$D$14,4,0)</f>
        <v>7500</v>
      </c>
      <c r="G9062" s="51">
        <f>ROUNDUP(F9062*(E9062/21)/E9020,0)</f>
        <v>0</v>
      </c>
    </row>
    <row r="9063" spans="1:7" x14ac:dyDescent="0.25">
      <c r="A9063" s="69" t="s">
        <v>89</v>
      </c>
      <c r="B9063" s="72" t="str">
        <f>VLOOKUP(A9063,'Componentes APUs'!$A$1:$D$14,2,0)</f>
        <v>Kit de rescate para trabajo en alturas</v>
      </c>
      <c r="C9063" s="73"/>
      <c r="D9063" s="50" t="str">
        <f>VLOOKUP(A9063,'Componentes APUs'!$A$1:$D$14,3,0)</f>
        <v>U</v>
      </c>
      <c r="E9063" s="50">
        <f>IF(AND(A9034="MO-3",C9034=2),1,0)</f>
        <v>0</v>
      </c>
      <c r="F9063" s="51">
        <f>VLOOKUP(A9063,'Componentes APUs'!$A$1:$D$14,4,0)</f>
        <v>37500</v>
      </c>
      <c r="G9063" s="51">
        <f>ROUNDUP(F9063*(E9063/21)/E9020,0)</f>
        <v>0</v>
      </c>
    </row>
    <row r="9064" spans="1:7" x14ac:dyDescent="0.25">
      <c r="A9064" s="50" t="s">
        <v>91</v>
      </c>
      <c r="B9064" s="72" t="str">
        <f>VLOOKUP(A9064,'Componentes APUs'!$A$1:$D$14,2,0)</f>
        <v>Equipo completo para trabajo en alturas con pretales (Arnes dielectrico, 1 mosqueton de seguridad, tie off dielectrico, eslinga de posicionamiento, juego de pretales)</v>
      </c>
      <c r="C9064" s="73"/>
      <c r="D9064" s="50" t="str">
        <f>VLOOKUP(A9064,'Componentes APUs'!$A$1:$D$14,3,0)</f>
        <v>U</v>
      </c>
      <c r="E9064" s="50">
        <f>IF(A9034="MO-3",C9034,0)</f>
        <v>0</v>
      </c>
      <c r="F9064" s="51">
        <f>VLOOKUP(A9064,'Componentes APUs'!$A$1:$D$14,4,0)</f>
        <v>26041.666666666668</v>
      </c>
      <c r="G9064" s="51">
        <f>ROUNDUP(F9064*(E9064/21)/E9020,0)</f>
        <v>0</v>
      </c>
    </row>
    <row r="9065" spans="1:7" x14ac:dyDescent="0.25">
      <c r="A9065" s="219" t="s">
        <v>95</v>
      </c>
      <c r="B9065" s="219"/>
      <c r="C9065" s="219"/>
      <c r="D9065" s="219"/>
      <c r="E9065" s="219"/>
      <c r="F9065" s="219"/>
      <c r="G9065" s="52">
        <f>SUM(G9052:G9064)</f>
        <v>76</v>
      </c>
    </row>
    <row r="9066" spans="1:7" x14ac:dyDescent="0.25">
      <c r="A9066" s="56"/>
      <c r="B9066" s="57"/>
      <c r="C9066" s="57"/>
      <c r="D9066" s="57"/>
      <c r="E9066" s="57"/>
      <c r="F9066" s="57"/>
      <c r="G9066" s="58"/>
    </row>
    <row r="9067" spans="1:7" x14ac:dyDescent="0.25">
      <c r="A9067" s="219" t="s">
        <v>96</v>
      </c>
      <c r="B9067" s="219"/>
      <c r="C9067" s="219"/>
      <c r="D9067" s="219"/>
      <c r="E9067" s="219"/>
      <c r="F9067" s="219"/>
      <c r="G9067" s="219"/>
    </row>
    <row r="9068" spans="1:7" x14ac:dyDescent="0.25">
      <c r="A9068" s="49" t="s">
        <v>35</v>
      </c>
      <c r="B9068" s="225" t="s">
        <v>36</v>
      </c>
      <c r="C9068" s="225"/>
      <c r="D9068" s="49" t="s">
        <v>37</v>
      </c>
      <c r="E9068" s="49" t="s">
        <v>38</v>
      </c>
      <c r="F9068" s="49" t="s">
        <v>39</v>
      </c>
      <c r="G9068" s="49" t="s">
        <v>40</v>
      </c>
    </row>
    <row r="9069" spans="1:7" x14ac:dyDescent="0.25">
      <c r="A9069" s="69" t="s">
        <v>97</v>
      </c>
      <c r="B9069" s="72" t="str">
        <f>VLOOKUP(A9069,'Componentes APUs'!$N$1:$Q$30,2,0)</f>
        <v>Camioneta</v>
      </c>
      <c r="C9069" s="73"/>
      <c r="D9069" s="70" t="str">
        <f>VLOOKUP(A9069,'Componentes APUs'!$N$1:$Q$30,3,0)</f>
        <v>U</v>
      </c>
      <c r="E9069" s="50">
        <v>1</v>
      </c>
      <c r="F9069" s="51">
        <f>VLOOKUP(A9069,'Componentes APUs'!$N$1:$Q$30,4,0)</f>
        <v>5500000</v>
      </c>
      <c r="G9069" s="51">
        <f>IFERROR(ROUNDUP(F9069*(E9069/21)/E9020,0),"-")</f>
        <v>3274</v>
      </c>
    </row>
    <row r="9070" spans="1:7" x14ac:dyDescent="0.25">
      <c r="A9070" s="50" t="s">
        <v>1473</v>
      </c>
      <c r="B9070" s="72" t="str">
        <f>VLOOKUP(A9070,'Componentes APUs'!$N$1:$Q$30,2,0)</f>
        <v>Concretera</v>
      </c>
      <c r="C9070" s="73"/>
      <c r="D9070" s="70" t="str">
        <f>VLOOKUP(A9070,'Componentes APUs'!$N$1:$Q$30,3,0)</f>
        <v>U</v>
      </c>
      <c r="E9070" s="50">
        <v>0</v>
      </c>
      <c r="F9070" s="51">
        <f>VLOOKUP(A9070,'Componentes APUs'!$N$1:$Q$30,4,0)</f>
        <v>550704</v>
      </c>
      <c r="G9070" s="51">
        <f>IFERROR(ROUNDUP(F9070*(E9070/21)/E9020,0),"-")</f>
        <v>0</v>
      </c>
    </row>
    <row r="9071" spans="1:7" x14ac:dyDescent="0.25">
      <c r="A9071" s="69" t="s">
        <v>1379</v>
      </c>
      <c r="B9071" s="72" t="str">
        <f>VLOOKUP(A9071,'Componentes APUs'!$N$1:$Q$30,2,0)</f>
        <v>Dumper de descarga Frontal 2T</v>
      </c>
      <c r="C9071" s="73"/>
      <c r="D9071" s="70" t="str">
        <f>VLOOKUP(A9071,'Componentes APUs'!$N$1:$Q$30,3,0)</f>
        <v>U</v>
      </c>
      <c r="E9071" s="50">
        <v>0</v>
      </c>
      <c r="F9071" s="51">
        <f>VLOOKUP(A9071,'Componentes APUs'!$N$1:$Q$30,4,0)</f>
        <v>4438716.24</v>
      </c>
      <c r="G9071" s="51">
        <f>IFERROR(ROUNDUP(F9071*(E9071/21)/E9020,0),"-")</f>
        <v>0</v>
      </c>
    </row>
    <row r="9072" spans="1:7" x14ac:dyDescent="0.25">
      <c r="A9072" s="50" t="s">
        <v>323</v>
      </c>
      <c r="B9072" s="72" t="str">
        <f>VLOOKUP(A9072,'Componentes APUs'!$N$1:$Q$30,2,0)</f>
        <v>Volqueta</v>
      </c>
      <c r="C9072" s="73"/>
      <c r="D9072" s="70" t="str">
        <f>VLOOKUP(A9072,'Componentes APUs'!$N$1:$Q$30,3,0)</f>
        <v>U</v>
      </c>
      <c r="E9072" s="50">
        <v>0</v>
      </c>
      <c r="F9072" s="51">
        <f>VLOOKUP(A9072,'Componentes APUs'!$N$1:$Q$30,4,0)</f>
        <v>14828184</v>
      </c>
      <c r="G9072" s="51">
        <f>IFERROR(ROUNDUP(F9072*(E9072/21)/E9020,0),"-")</f>
        <v>0</v>
      </c>
    </row>
    <row r="9073" spans="1:7" x14ac:dyDescent="0.25">
      <c r="A9073" s="69" t="s">
        <v>324</v>
      </c>
      <c r="B9073" s="72" t="str">
        <f>VLOOKUP(A9073,'Componentes APUs'!$N$1:$Q$30,2,0)</f>
        <v>Retroexcavadora</v>
      </c>
      <c r="C9073" s="73"/>
      <c r="D9073" s="70" t="str">
        <f>VLOOKUP(A9073,'Componentes APUs'!$N$1:$Q$30,3,0)</f>
        <v>U</v>
      </c>
      <c r="E9073" s="50">
        <v>0</v>
      </c>
      <c r="F9073" s="51">
        <f>VLOOKUP(A9073,'Componentes APUs'!$N$1:$Q$30,4,0)</f>
        <v>46030656</v>
      </c>
      <c r="G9073" s="51">
        <f>IFERROR(ROUNDUP(F9073*(E9073/21)/E9020,0),"-")</f>
        <v>0</v>
      </c>
    </row>
    <row r="9074" spans="1:7" x14ac:dyDescent="0.25">
      <c r="A9074" s="69" t="s">
        <v>2209</v>
      </c>
      <c r="B9074" s="72" t="str">
        <f>VLOOKUP(A9074,'Componentes APUs'!$N$1:$Q$30,2,0)</f>
        <v>Carrotanque de agua (1000 Galones)</v>
      </c>
      <c r="C9074" s="73"/>
      <c r="D9074" s="70" t="str">
        <f>VLOOKUP(A9074,'Componentes APUs'!$N$1:$Q$30,3,0)</f>
        <v>U</v>
      </c>
      <c r="E9074" s="50">
        <v>0.25</v>
      </c>
      <c r="F9074" s="51">
        <f>VLOOKUP(A9074,'Componentes APUs'!$N$1:$Q$30,4,0)</f>
        <v>20836807.228915609</v>
      </c>
      <c r="G9074" s="51">
        <f>IFERROR(ROUNDUP(F9074*(E9074/21)/E9020,0),"-")</f>
        <v>3101</v>
      </c>
    </row>
    <row r="9075" spans="1:7" x14ac:dyDescent="0.25">
      <c r="A9075" s="69" t="s">
        <v>2210</v>
      </c>
      <c r="B9075" s="72" t="str">
        <f>VLOOKUP(A9075,'Componentes APUs'!$N$1:$Q$30,2,0)</f>
        <v>Motoniveladora potencia 215 HP, ancho de cuchilla 4,27 m, peso 18 ton</v>
      </c>
      <c r="C9075" s="73"/>
      <c r="D9075" s="70" t="str">
        <f>VLOOKUP(A9075,'Componentes APUs'!$N$1:$Q$30,3,0)</f>
        <v>U</v>
      </c>
      <c r="E9075" s="50">
        <v>0.25</v>
      </c>
      <c r="F9075" s="51">
        <f>VLOOKUP(A9075,'Componentes APUs'!$N$1:$Q$30,4,0)</f>
        <v>37185394.643438496</v>
      </c>
      <c r="G9075" s="51">
        <f>IFERROR(ROUNDUP(F9075*(E9075/21)/E9020,0),"-")</f>
        <v>5534</v>
      </c>
    </row>
    <row r="9076" spans="1:7" x14ac:dyDescent="0.25">
      <c r="A9076" s="69" t="s">
        <v>2211</v>
      </c>
      <c r="B9076" s="72" t="str">
        <f>VLOOKUP(A9076,'Componentes APUs'!$N$1:$Q$30,2,0)</f>
        <v>Vibrocompactador, potencia 153 HP, peso 10 ton</v>
      </c>
      <c r="C9076" s="73"/>
      <c r="D9076" s="70" t="str">
        <f>VLOOKUP(A9076,'Componentes APUs'!$N$1:$Q$30,3,0)</f>
        <v>U</v>
      </c>
      <c r="E9076" s="50">
        <v>0.25</v>
      </c>
      <c r="F9076" s="51">
        <f>VLOOKUP(A9076,'Componentes APUs'!$N$1:$Q$30,4,0)</f>
        <v>39069013.554216914</v>
      </c>
      <c r="G9076" s="51">
        <f>IFERROR(ROUNDUP(F9076*(E9076/21)/E9020,0),"-")</f>
        <v>5814</v>
      </c>
    </row>
    <row r="9077" spans="1:7" x14ac:dyDescent="0.25">
      <c r="A9077" s="219" t="s">
        <v>99</v>
      </c>
      <c r="B9077" s="219"/>
      <c r="C9077" s="219"/>
      <c r="D9077" s="219"/>
      <c r="E9077" s="219"/>
      <c r="F9077" s="219"/>
      <c r="G9077" s="52">
        <f>SUM(G9069:G9076)</f>
        <v>17723</v>
      </c>
    </row>
    <row r="9078" spans="1:7" x14ac:dyDescent="0.25">
      <c r="A9078" s="56"/>
      <c r="B9078" s="57"/>
      <c r="C9078" s="57"/>
      <c r="D9078" s="57"/>
      <c r="E9078" s="57"/>
      <c r="F9078" s="57"/>
      <c r="G9078" s="58"/>
    </row>
    <row r="9079" spans="1:7" x14ac:dyDescent="0.25">
      <c r="A9079" s="219" t="s">
        <v>100</v>
      </c>
      <c r="B9079" s="219"/>
      <c r="C9079" s="219"/>
      <c r="D9079" s="219"/>
      <c r="E9079" s="219"/>
      <c r="F9079" s="219"/>
      <c r="G9079" s="52">
        <f>G9077+G9065+G9048+G9038+G9028</f>
        <v>159174</v>
      </c>
    </row>
    <row r="9080" spans="1:7" x14ac:dyDescent="0.25">
      <c r="A9080" s="59"/>
      <c r="B9080" s="60"/>
      <c r="C9080" s="60"/>
      <c r="D9080" s="60"/>
      <c r="E9080" s="57"/>
      <c r="F9080" s="57"/>
      <c r="G9080" s="58"/>
    </row>
    <row r="9081" spans="1:7" x14ac:dyDescent="0.25">
      <c r="A9081" s="64"/>
      <c r="D9081" s="55"/>
      <c r="E9081" s="49" t="s">
        <v>25</v>
      </c>
      <c r="F9081" s="54">
        <v>0.15</v>
      </c>
      <c r="G9081" s="51">
        <f>G9079*F9081</f>
        <v>23876.1</v>
      </c>
    </row>
    <row r="9082" spans="1:7" x14ac:dyDescent="0.25">
      <c r="A9082" s="64"/>
      <c r="D9082" s="55"/>
      <c r="E9082" s="49" t="s">
        <v>26</v>
      </c>
      <c r="F9082" s="54">
        <v>0.05</v>
      </c>
      <c r="G9082" s="51">
        <f>G9079*F9082</f>
        <v>7958.7000000000007</v>
      </c>
    </row>
    <row r="9083" spans="1:7" x14ac:dyDescent="0.25">
      <c r="A9083" s="61"/>
      <c r="B9083" s="65"/>
      <c r="C9083" s="65"/>
      <c r="D9083" s="62"/>
      <c r="E9083" s="49" t="s">
        <v>27</v>
      </c>
      <c r="F9083" s="54">
        <v>0.05</v>
      </c>
      <c r="G9083" s="51">
        <f>G9079*F9083</f>
        <v>7958.7000000000007</v>
      </c>
    </row>
    <row r="9084" spans="1:7" x14ac:dyDescent="0.25">
      <c r="A9084" s="61"/>
      <c r="B9084" s="62"/>
      <c r="C9084" s="62"/>
      <c r="D9084" s="62"/>
      <c r="E9084" s="62"/>
      <c r="F9084" s="62"/>
      <c r="G9084" s="63"/>
    </row>
    <row r="9085" spans="1:7" x14ac:dyDescent="0.25">
      <c r="A9085" s="219" t="s">
        <v>101</v>
      </c>
      <c r="B9085" s="219"/>
      <c r="C9085" s="219"/>
      <c r="D9085" s="219"/>
      <c r="E9085" s="219"/>
      <c r="F9085" s="219"/>
      <c r="G9085" s="52">
        <f>G9079+G9081+G9082+G9083</f>
        <v>198967.50000000003</v>
      </c>
    </row>
    <row r="9086" spans="1:7" x14ac:dyDescent="0.25">
      <c r="A9086" s="59"/>
      <c r="B9086" s="60"/>
      <c r="C9086" s="60"/>
      <c r="D9086" s="60"/>
      <c r="E9086" s="57"/>
      <c r="F9086" s="57"/>
      <c r="G9086" s="58"/>
    </row>
    <row r="9087" spans="1:7" x14ac:dyDescent="0.25">
      <c r="A9087" s="64"/>
      <c r="D9087" s="55"/>
      <c r="E9087" s="49" t="s">
        <v>102</v>
      </c>
      <c r="F9087" s="49" t="s">
        <v>103</v>
      </c>
      <c r="G9087" s="51">
        <f>G9083*19%</f>
        <v>1512.1530000000002</v>
      </c>
    </row>
    <row r="9088" spans="1:7" x14ac:dyDescent="0.25">
      <c r="A9088" s="61"/>
      <c r="B9088" s="62"/>
      <c r="C9088" s="62"/>
      <c r="D9088" s="62"/>
      <c r="E9088" s="57"/>
      <c r="F9088" s="57"/>
      <c r="G9088" s="58"/>
    </row>
    <row r="9089" spans="1:9" x14ac:dyDescent="0.25">
      <c r="A9089" s="219" t="s">
        <v>104</v>
      </c>
      <c r="B9089" s="219"/>
      <c r="C9089" s="219"/>
      <c r="D9089" s="219"/>
      <c r="E9089" s="219"/>
      <c r="F9089" s="219"/>
      <c r="G9089" s="52">
        <f>G9087+G9085</f>
        <v>200479.65300000002</v>
      </c>
    </row>
    <row r="9091" spans="1:9" x14ac:dyDescent="0.25">
      <c r="A9091" s="74" t="s">
        <v>29</v>
      </c>
      <c r="B9091" s="226" t="s">
        <v>30</v>
      </c>
      <c r="C9091" s="226"/>
      <c r="D9091" s="74" t="s">
        <v>31</v>
      </c>
      <c r="E9091" s="74" t="s">
        <v>32</v>
      </c>
      <c r="F9091" s="74" t="s">
        <v>189</v>
      </c>
      <c r="G9091" s="74" t="s">
        <v>33</v>
      </c>
      <c r="H9091" s="103"/>
    </row>
    <row r="9092" spans="1:9" x14ac:dyDescent="0.25">
      <c r="A9092" s="50" t="str">
        <f>Presupuesto!B169</f>
        <v>145_OC</v>
      </c>
      <c r="B9092" s="229" t="str">
        <f>Presupuesto!C169</f>
        <v>CAPA DE SUBRASANTE</v>
      </c>
      <c r="C9092" s="230"/>
      <c r="D9092" s="50" t="s">
        <v>114</v>
      </c>
      <c r="E9092" s="102">
        <v>50</v>
      </c>
      <c r="F9092" s="50"/>
      <c r="G9092" s="51">
        <f>G9156</f>
        <v>162427.639</v>
      </c>
      <c r="H9092" s="45"/>
    </row>
    <row r="9093" spans="1:9" x14ac:dyDescent="0.25">
      <c r="A9093" s="219" t="s">
        <v>34</v>
      </c>
      <c r="B9093" s="219"/>
      <c r="C9093" s="219"/>
      <c r="D9093" s="219"/>
      <c r="E9093" s="219"/>
      <c r="F9093" s="219"/>
      <c r="G9093" s="219"/>
    </row>
    <row r="9094" spans="1:9" x14ac:dyDescent="0.25">
      <c r="A9094" s="49" t="s">
        <v>35</v>
      </c>
      <c r="B9094" s="219" t="s">
        <v>36</v>
      </c>
      <c r="C9094" s="219"/>
      <c r="D9094" s="49" t="s">
        <v>37</v>
      </c>
      <c r="E9094" s="49" t="s">
        <v>38</v>
      </c>
      <c r="F9094" s="49" t="s">
        <v>39</v>
      </c>
      <c r="G9094" s="49" t="s">
        <v>40</v>
      </c>
    </row>
    <row r="9095" spans="1:9" x14ac:dyDescent="0.25">
      <c r="A9095" s="50" t="str">
        <f>Material!A295</f>
        <v>MA-294</v>
      </c>
      <c r="B9095" s="72" t="str">
        <f>IFERROR(VLOOKUP(A9095,Material!$A:$H,2,0),"-")</f>
        <v>RECEBO B400</v>
      </c>
      <c r="C9095" s="76"/>
      <c r="D9095" s="50" t="str">
        <f>IFERROR(VLOOKUP(A9095,Material!$A:$H,4,0),"-")</f>
        <v>M3</v>
      </c>
      <c r="E9095" s="50">
        <v>1</v>
      </c>
      <c r="F9095" s="51">
        <f>IFERROR(VLOOKUP(A9095,Material!$A:$H,3,0),"-")</f>
        <v>98279.814285714296</v>
      </c>
      <c r="G9095" s="51">
        <f>IFERROR(ROUNDUP(F9095*E9095,0),"-")</f>
        <v>98280</v>
      </c>
    </row>
    <row r="9096" spans="1:9" x14ac:dyDescent="0.25">
      <c r="A9096" s="50"/>
      <c r="B9096" s="72" t="str">
        <f>IFERROR(VLOOKUP(A9096,Material!$A:$H,2,0),"-")</f>
        <v>-</v>
      </c>
      <c r="C9096" s="76"/>
      <c r="D9096" s="50" t="str">
        <f>IFERROR(VLOOKUP(A9096,Material!$A:$H,4,0),"-")</f>
        <v>-</v>
      </c>
      <c r="E9096" s="50"/>
      <c r="F9096" s="51" t="str">
        <f>IFERROR(VLOOKUP(A9096,Material!$A:$H,3,0),"-")</f>
        <v>-</v>
      </c>
      <c r="G9096" s="51" t="str">
        <f>IFERROR(ROUNDUP(F9096*E9096,0),"-")</f>
        <v>-</v>
      </c>
    </row>
    <row r="9097" spans="1:9" x14ac:dyDescent="0.25">
      <c r="A9097" s="50"/>
      <c r="B9097" s="72"/>
      <c r="C9097" s="76"/>
      <c r="D9097" s="50"/>
      <c r="E9097" s="50"/>
      <c r="F9097" s="51"/>
      <c r="G9097" s="51"/>
      <c r="H9097" s="92"/>
    </row>
    <row r="9098" spans="1:9" x14ac:dyDescent="0.25">
      <c r="A9098" s="219" t="s">
        <v>41</v>
      </c>
      <c r="B9098" s="219"/>
      <c r="C9098" s="219"/>
      <c r="D9098" s="219"/>
      <c r="E9098" s="219"/>
      <c r="F9098" s="219"/>
      <c r="G9098" s="52">
        <f>SUM(G9095:G9097)</f>
        <v>98280</v>
      </c>
      <c r="I9098" s="104"/>
    </row>
    <row r="9099" spans="1:9" x14ac:dyDescent="0.25">
      <c r="A9099" s="56"/>
      <c r="B9099" s="57"/>
      <c r="C9099" s="57"/>
      <c r="D9099" s="57"/>
      <c r="E9099" s="57"/>
      <c r="F9099" s="57"/>
      <c r="G9099" s="58"/>
    </row>
    <row r="9100" spans="1:9" x14ac:dyDescent="0.25">
      <c r="A9100" s="219" t="s">
        <v>42</v>
      </c>
      <c r="B9100" s="219"/>
      <c r="C9100" s="219"/>
      <c r="D9100" s="219"/>
      <c r="E9100" s="219"/>
      <c r="F9100" s="219"/>
      <c r="G9100" s="219"/>
    </row>
    <row r="9101" spans="1:9" x14ac:dyDescent="0.25">
      <c r="A9101" s="49" t="s">
        <v>35</v>
      </c>
      <c r="B9101" s="49" t="s">
        <v>36</v>
      </c>
      <c r="C9101" s="49" t="s">
        <v>38</v>
      </c>
      <c r="D9101" s="49" t="s">
        <v>43</v>
      </c>
      <c r="E9101" s="49" t="s">
        <v>44</v>
      </c>
      <c r="F9101" s="49" t="s">
        <v>45</v>
      </c>
      <c r="G9101" s="49" t="s">
        <v>40</v>
      </c>
    </row>
    <row r="9102" spans="1:9" x14ac:dyDescent="0.25">
      <c r="A9102" s="50" t="s">
        <v>319</v>
      </c>
      <c r="B9102" s="68" t="str">
        <f>VLOOKUP(A9102,'Componentes APUs'!$H$1:$L$25,2,0)</f>
        <v>Ingeniero Residente de Obra</v>
      </c>
      <c r="C9102" s="93">
        <v>0.25</v>
      </c>
      <c r="D9102" s="50">
        <f>VLOOKUP(A9102,'Componentes APUs'!$H$1:$L$25,3,0)</f>
        <v>4</v>
      </c>
      <c r="E9102" s="51">
        <f>VLOOKUP(A9102,'Componentes APUs'!$H$1:$L$25,4,0)</f>
        <v>271142.85714285716</v>
      </c>
      <c r="F9102" s="51">
        <f>VLOOKUP(A9102,'Componentes APUs'!$H$1:$L$25,5,0)</f>
        <v>162685.71428571429</v>
      </c>
      <c r="G9102" s="51">
        <f>ROUNDUP((E9102+F9102)*C9102/E9092,0)</f>
        <v>2170</v>
      </c>
      <c r="H9102" s="66"/>
    </row>
    <row r="9103" spans="1:9" x14ac:dyDescent="0.25">
      <c r="A9103" s="50" t="s">
        <v>320</v>
      </c>
      <c r="B9103" s="68" t="str">
        <f>VLOOKUP(A9103,'Componentes APUs'!$H$1:$L$25,2,0)</f>
        <v>Tecnico Supervisor</v>
      </c>
      <c r="C9103" s="93">
        <v>0</v>
      </c>
      <c r="D9103" s="50">
        <f>VLOOKUP(A9103,'Componentes APUs'!$H$1:$L$25,3,0)</f>
        <v>2.2999999999999998</v>
      </c>
      <c r="E9103" s="51">
        <f>VLOOKUP(A9103,'Componentes APUs'!$H$1:$L$25,4,0)</f>
        <v>155907.14285714284</v>
      </c>
      <c r="F9103" s="51">
        <f>VLOOKUP(A9103,'Componentes APUs'!$H$1:$L$25,5,0)</f>
        <v>93544.285714285696</v>
      </c>
      <c r="G9103" s="51">
        <f>ROUNDUP((E9103+F9103)*C9103/E9092,0)</f>
        <v>0</v>
      </c>
    </row>
    <row r="9104" spans="1:9" x14ac:dyDescent="0.25">
      <c r="A9104" s="50" t="s">
        <v>54</v>
      </c>
      <c r="B9104" s="68" t="str">
        <f>VLOOKUP(A9104,'Componentes APUs'!$H$1:$L$25,2,0)</f>
        <v>Maestro de obra civil</v>
      </c>
      <c r="C9104" s="93">
        <v>0</v>
      </c>
      <c r="D9104" s="50">
        <f>VLOOKUP(A9104,'Componentes APUs'!$H$1:$L$25,3,0)</f>
        <v>2.5</v>
      </c>
      <c r="E9104" s="51">
        <f>VLOOKUP(A9104,'Componentes APUs'!$H$1:$L$25,4,0)</f>
        <v>169464.28571428571</v>
      </c>
      <c r="F9104" s="51">
        <f>VLOOKUP(A9104,'Componentes APUs'!$H$1:$L$25,5,0)</f>
        <v>101678.57142857142</v>
      </c>
      <c r="G9104" s="51">
        <f>ROUNDUP((E9104+F9104)*C9104/E9092,0)</f>
        <v>0</v>
      </c>
    </row>
    <row r="9105" spans="1:9" x14ac:dyDescent="0.25">
      <c r="A9105" s="50" t="s">
        <v>1110</v>
      </c>
      <c r="B9105" s="68" t="str">
        <f>VLOOKUP(A9105,'Componentes APUs'!$H$1:$L$25,2,0)</f>
        <v>Oficial de Obra Civil</v>
      </c>
      <c r="C9105" s="93">
        <v>0.25</v>
      </c>
      <c r="D9105" s="50">
        <f>VLOOKUP(A9105,'Componentes APUs'!$H$1:$L$25,3,0)</f>
        <v>1.5</v>
      </c>
      <c r="E9105" s="51">
        <f>VLOOKUP(A9105,'Componentes APUs'!$H$1:$L$25,4,0)</f>
        <v>115964.28571428571</v>
      </c>
      <c r="F9105" s="51">
        <f>VLOOKUP(A9105,'Componentes APUs'!$H$1:$L$25,5,0)</f>
        <v>69578.57142857142</v>
      </c>
      <c r="G9105" s="51">
        <f>ROUNDUP((E9105+F9105)*C9105/E9092,0)</f>
        <v>928</v>
      </c>
    </row>
    <row r="9106" spans="1:9" x14ac:dyDescent="0.25">
      <c r="A9106" s="50" t="s">
        <v>50</v>
      </c>
      <c r="B9106" s="68" t="str">
        <f>VLOOKUP(A9106,'Componentes APUs'!$H$1:$L$25,2,0)</f>
        <v>Profesional en SST</v>
      </c>
      <c r="C9106" s="93">
        <v>0.25</v>
      </c>
      <c r="D9106" s="50">
        <f>VLOOKUP(A9106,'Componentes APUs'!$H$1:$L$25,3,0)</f>
        <v>2.5</v>
      </c>
      <c r="E9106" s="51">
        <f>VLOOKUP(A9106,'Componentes APUs'!$H$1:$L$25,4,0)</f>
        <v>169464.28571428571</v>
      </c>
      <c r="F9106" s="51">
        <f>VLOOKUP(A9106,'Componentes APUs'!$H$1:$L$25,5,0)</f>
        <v>101678.57142857142</v>
      </c>
      <c r="G9106" s="51">
        <f>ROUNDUP((E9106+F9106)*C9106/E9092,0)</f>
        <v>1356</v>
      </c>
    </row>
    <row r="9107" spans="1:9" x14ac:dyDescent="0.25">
      <c r="A9107" s="50" t="s">
        <v>1109</v>
      </c>
      <c r="B9107" s="68" t="str">
        <f>VLOOKUP(A9107,'Componentes APUs'!$H$1:$L$25,2,0)</f>
        <v>Ayudante de Obra Civil</v>
      </c>
      <c r="C9107" s="93">
        <v>1</v>
      </c>
      <c r="D9107" s="50">
        <f>VLOOKUP(A9107,'Componentes APUs'!$H$1:$L$25,3,0)</f>
        <v>1</v>
      </c>
      <c r="E9107" s="51">
        <f>VLOOKUP(A9107,'Componentes APUs'!$H$1:$L$25,4,0)</f>
        <v>77309.523809523816</v>
      </c>
      <c r="F9107" s="51">
        <f>VLOOKUP(A9107,'Componentes APUs'!$H$1:$L$25,5,0)</f>
        <v>46385.71428571429</v>
      </c>
      <c r="G9107" s="51">
        <f>ROUNDUP((E9107+F9107)*C9107/E9092,0)</f>
        <v>2474</v>
      </c>
    </row>
    <row r="9108" spans="1:9" x14ac:dyDescent="0.25">
      <c r="A9108" s="219" t="s">
        <v>56</v>
      </c>
      <c r="B9108" s="219"/>
      <c r="C9108" s="219"/>
      <c r="D9108" s="219"/>
      <c r="E9108" s="219"/>
      <c r="F9108" s="219"/>
      <c r="G9108" s="52">
        <f>SUM(G9102:G9107)</f>
        <v>6928</v>
      </c>
    </row>
    <row r="9109" spans="1:9" x14ac:dyDescent="0.25">
      <c r="A9109" s="56"/>
      <c r="B9109" s="57"/>
      <c r="C9109" s="57"/>
      <c r="D9109" s="57"/>
      <c r="E9109" s="57"/>
      <c r="F9109" s="57"/>
      <c r="G9109" s="58"/>
    </row>
    <row r="9110" spans="1:9" x14ac:dyDescent="0.25">
      <c r="A9110" s="219" t="s">
        <v>57</v>
      </c>
      <c r="B9110" s="219"/>
      <c r="C9110" s="219"/>
      <c r="D9110" s="219"/>
      <c r="E9110" s="219"/>
      <c r="F9110" s="219"/>
      <c r="G9110" s="219"/>
    </row>
    <row r="9111" spans="1:9" x14ac:dyDescent="0.25">
      <c r="A9111" s="49" t="s">
        <v>35</v>
      </c>
      <c r="B9111" s="219" t="s">
        <v>36</v>
      </c>
      <c r="C9111" s="219"/>
      <c r="D9111" s="49" t="s">
        <v>37</v>
      </c>
      <c r="E9111" s="49" t="s">
        <v>38</v>
      </c>
      <c r="F9111" s="49" t="s">
        <v>39</v>
      </c>
      <c r="G9111" s="49" t="s">
        <v>40</v>
      </c>
    </row>
    <row r="9112" spans="1:9" x14ac:dyDescent="0.25">
      <c r="A9112" s="50" t="s">
        <v>326</v>
      </c>
      <c r="B9112" s="220" t="str">
        <f>VLOOKUP(A9112,'Componentes APUs'!$S$1:$V$10,2,0)</f>
        <v>Juego Llaves</v>
      </c>
      <c r="C9112" s="220"/>
      <c r="D9112" s="50" t="s">
        <v>18</v>
      </c>
      <c r="E9112" s="50">
        <v>0</v>
      </c>
      <c r="F9112" s="51">
        <f>VLOOKUP(A9112,'Componentes APUs'!$S$1:$V$10,4,0)</f>
        <v>9167</v>
      </c>
      <c r="G9112" s="51">
        <f>ROUNDUP(F9112*((E9112/21)/E9092),0)</f>
        <v>0</v>
      </c>
      <c r="I9112" s="91"/>
    </row>
    <row r="9113" spans="1:9" x14ac:dyDescent="0.25">
      <c r="A9113" s="50" t="s">
        <v>58</v>
      </c>
      <c r="B9113" s="220" t="str">
        <f>VLOOKUP(A9113,'Componentes APUs'!$S$1:$V$10,2,0)</f>
        <v>Manila de servicio</v>
      </c>
      <c r="C9113" s="220"/>
      <c r="D9113" s="50" t="s">
        <v>18</v>
      </c>
      <c r="E9113" s="50">
        <v>0</v>
      </c>
      <c r="F9113" s="51">
        <f>VLOOKUP(A9113,'Componentes APUs'!$S$1:$V$10,4,0)</f>
        <v>2333</v>
      </c>
      <c r="G9113" s="51">
        <f>ROUNDUP(F9113*((E9113/21)/E9092),0)</f>
        <v>0</v>
      </c>
    </row>
    <row r="9114" spans="1:9" x14ac:dyDescent="0.25">
      <c r="A9114" s="50" t="s">
        <v>327</v>
      </c>
      <c r="B9114" s="220" t="str">
        <f>VLOOKUP(A9114,'Componentes APUs'!$S$1:$V$10,2,0)</f>
        <v>Tula portaherramientas</v>
      </c>
      <c r="C9114" s="220"/>
      <c r="D9114" s="50" t="s">
        <v>18</v>
      </c>
      <c r="E9114" s="50">
        <v>0</v>
      </c>
      <c r="F9114" s="51">
        <f>VLOOKUP(A9114,'Componentes APUs'!$S$1:$V$10,4,0)</f>
        <v>1250</v>
      </c>
      <c r="G9114" s="51">
        <f>ROUNDUP(F9114*((E9114/21)/E9092),0)</f>
        <v>0</v>
      </c>
    </row>
    <row r="9115" spans="1:9" x14ac:dyDescent="0.25">
      <c r="A9115" s="50" t="s">
        <v>60</v>
      </c>
      <c r="B9115" s="220" t="str">
        <f>VLOOKUP(A9115,'Componentes APUs'!$S$1:$V$10,2,0)</f>
        <v>Agarradoras</v>
      </c>
      <c r="C9115" s="220"/>
      <c r="D9115" s="50" t="s">
        <v>18</v>
      </c>
      <c r="E9115" s="50">
        <v>0</v>
      </c>
      <c r="F9115" s="51">
        <f>VLOOKUP(A9115,'Componentes APUs'!$S$1:$V$10,4,0)</f>
        <v>125000</v>
      </c>
      <c r="G9115" s="51">
        <f>ROUNDUP(F9115*((E9115/21)/E9092),0)</f>
        <v>0</v>
      </c>
    </row>
    <row r="9116" spans="1:9" x14ac:dyDescent="0.25">
      <c r="A9116" s="50" t="s">
        <v>62</v>
      </c>
      <c r="B9116" s="220" t="str">
        <f>VLOOKUP(A9116,'Componentes APUs'!$S$1:$V$10,2,0)</f>
        <v>Templadoras</v>
      </c>
      <c r="C9116" s="220"/>
      <c r="D9116" s="50" t="s">
        <v>18</v>
      </c>
      <c r="E9116" s="50">
        <v>0</v>
      </c>
      <c r="F9116" s="51">
        <f>VLOOKUP(A9116,'Componentes APUs'!$S$1:$V$10,4,0)</f>
        <v>250000</v>
      </c>
      <c r="G9116" s="51">
        <f>ROUNDUP(F9116*((E9116/21)/E9092),0)</f>
        <v>0</v>
      </c>
    </row>
    <row r="9117" spans="1:9" x14ac:dyDescent="0.25">
      <c r="A9117" s="50" t="s">
        <v>328</v>
      </c>
      <c r="B9117" s="220" t="str">
        <f>VLOOKUP(A9117,'Componentes APUs'!$S$1:$V$10,2,0)</f>
        <v>Herramienta Menor</v>
      </c>
      <c r="C9117" s="220"/>
      <c r="D9117" s="50" t="s">
        <v>18</v>
      </c>
      <c r="E9117" s="50">
        <v>1</v>
      </c>
      <c r="F9117" s="51">
        <f>VLOOKUP(A9117,'Componentes APUs'!$S$1:$V$10,4,0)</f>
        <v>75758</v>
      </c>
      <c r="G9117" s="51">
        <f>ROUNDUP(F9117*((E9117/21)/E9092),0)</f>
        <v>73</v>
      </c>
    </row>
    <row r="9118" spans="1:9" x14ac:dyDescent="0.25">
      <c r="A9118" s="219" t="s">
        <v>69</v>
      </c>
      <c r="B9118" s="219"/>
      <c r="C9118" s="219"/>
      <c r="D9118" s="219"/>
      <c r="E9118" s="219"/>
      <c r="F9118" s="219"/>
      <c r="G9118" s="52">
        <f>SUM(G9112:G9117)</f>
        <v>73</v>
      </c>
    </row>
    <row r="9119" spans="1:9" x14ac:dyDescent="0.25">
      <c r="A9119" s="56"/>
      <c r="B9119" s="57"/>
      <c r="C9119" s="57"/>
      <c r="D9119" s="57"/>
      <c r="E9119" s="57"/>
      <c r="F9119" s="57"/>
      <c r="G9119" s="58"/>
    </row>
    <row r="9120" spans="1:9" x14ac:dyDescent="0.25">
      <c r="A9120" s="219" t="s">
        <v>70</v>
      </c>
      <c r="B9120" s="219"/>
      <c r="C9120" s="219"/>
      <c r="D9120" s="219"/>
      <c r="E9120" s="219"/>
      <c r="F9120" s="219"/>
      <c r="G9120" s="219"/>
    </row>
    <row r="9121" spans="1:9" x14ac:dyDescent="0.25">
      <c r="A9121" s="49" t="s">
        <v>35</v>
      </c>
      <c r="B9121" s="219" t="s">
        <v>36</v>
      </c>
      <c r="C9121" s="219"/>
      <c r="D9121" s="49" t="s">
        <v>37</v>
      </c>
      <c r="E9121" s="49" t="s">
        <v>38</v>
      </c>
      <c r="F9121" s="49" t="s">
        <v>39</v>
      </c>
      <c r="G9121" s="49" t="s">
        <v>40</v>
      </c>
    </row>
    <row r="9122" spans="1:9" ht="15" customHeight="1" x14ac:dyDescent="0.25">
      <c r="A9122" s="50" t="s">
        <v>71</v>
      </c>
      <c r="B9122" s="71" t="str">
        <f>VLOOKUP(A9122,'Componentes APUs'!$A$1:$D$14,2,0)</f>
        <v>Camisa indigo sin partes metalicas</v>
      </c>
      <c r="C9122" s="71"/>
      <c r="D9122" s="50" t="str">
        <f>VLOOKUP(A9122,'Componentes APUs'!$A$1:$D$14,3,0)</f>
        <v>U</v>
      </c>
      <c r="E9122" s="50">
        <f>SUM(C9102:C9107)</f>
        <v>1.75</v>
      </c>
      <c r="F9122" s="51">
        <f>VLOOKUP(A9122,'Componentes APUs'!$A$1:$D$14,4,0)</f>
        <v>8585.8585858585866</v>
      </c>
      <c r="G9122" s="51">
        <f>ROUNDUP(F9122*(E9122/21)/E9092,0)</f>
        <v>15</v>
      </c>
      <c r="I9122" s="91"/>
    </row>
    <row r="9123" spans="1:9" x14ac:dyDescent="0.25">
      <c r="A9123" s="69" t="s">
        <v>73</v>
      </c>
      <c r="B9123" s="72" t="str">
        <f>VLOOKUP(A9123,'Componentes APUs'!$A$1:$D$14,2,0)</f>
        <v>Bota de seguridad dielectrica</v>
      </c>
      <c r="C9123" s="73"/>
      <c r="D9123" s="70" t="str">
        <f>VLOOKUP(A9123,'Componentes APUs'!$A$1:$D$14,3,0)</f>
        <v>Par</v>
      </c>
      <c r="E9123" s="50">
        <f>SUM(C9102:C9107)</f>
        <v>1.75</v>
      </c>
      <c r="F9123" s="51">
        <f>VLOOKUP(A9123,'Componentes APUs'!$A$1:$D$14,4,0)</f>
        <v>7500</v>
      </c>
      <c r="G9123" s="51">
        <f>ROUNDUP(F9123*(E9123/21)/E9092,0)</f>
        <v>13</v>
      </c>
    </row>
    <row r="9124" spans="1:9" ht="15" customHeight="1" x14ac:dyDescent="0.25">
      <c r="A9124" s="50" t="s">
        <v>76</v>
      </c>
      <c r="B9124" s="72" t="str">
        <f>VLOOKUP(A9124,'Componentes APUs'!$A$1:$D$14,2,0)</f>
        <v>Casco dielectrico Tipo 1 Clase E con barbuquejo</v>
      </c>
      <c r="C9124" s="73"/>
      <c r="D9124" s="50" t="str">
        <f>VLOOKUP(A9124,'Componentes APUs'!$A$1:$D$14,3,0)</f>
        <v>U</v>
      </c>
      <c r="E9124" s="50">
        <f>C9102+C9103+C9105+C9106+C9107+IF(A9104&lt;&gt;"MO-3",C9104,0)</f>
        <v>1.75</v>
      </c>
      <c r="F9124" s="51">
        <f>VLOOKUP(A9124,'Componentes APUs'!$A$1:$D$14,4,0)</f>
        <v>10101.010101010101</v>
      </c>
      <c r="G9124" s="51">
        <f>ROUNDUP(F9124*(E9124/21)/E9092,0)</f>
        <v>17</v>
      </c>
    </row>
    <row r="9125" spans="1:9" x14ac:dyDescent="0.25">
      <c r="A9125" s="69" t="s">
        <v>77</v>
      </c>
      <c r="B9125" s="72" t="str">
        <f>VLOOKUP(A9125,'Componentes APUs'!$A$1:$D$14,2,0)</f>
        <v>Correa plastica y antiflama</v>
      </c>
      <c r="C9125" s="73"/>
      <c r="D9125" s="50" t="str">
        <f>VLOOKUP(A9125,'Componentes APUs'!$A$1:$D$14,3,0)</f>
        <v>U</v>
      </c>
      <c r="E9125" s="50">
        <f>SUM(C9102:C9107)</f>
        <v>1.75</v>
      </c>
      <c r="F9125" s="51">
        <f>VLOOKUP(A9125,'Componentes APUs'!$A$1:$D$14,4,0)</f>
        <v>3787.878787878788</v>
      </c>
      <c r="G9125" s="51">
        <f>ROUNDUP(F9125*(E9125/21)/E9092,0)</f>
        <v>7</v>
      </c>
    </row>
    <row r="9126" spans="1:9" x14ac:dyDescent="0.25">
      <c r="A9126" s="50" t="s">
        <v>79</v>
      </c>
      <c r="B9126" s="72" t="str">
        <f>VLOOKUP(A9126,'Componentes APUs'!$A$1:$D$14,2,0)</f>
        <v>Gafas protectoras filtro UV</v>
      </c>
      <c r="C9126" s="73"/>
      <c r="D9126" s="50" t="str">
        <f>VLOOKUP(A9126,'Componentes APUs'!$A$1:$D$14,3,0)</f>
        <v>U</v>
      </c>
      <c r="E9126" s="50">
        <f>SUM(C9102:C9107)</f>
        <v>1.75</v>
      </c>
      <c r="F9126" s="51">
        <f>VLOOKUP(A9126,'Componentes APUs'!$A$1:$D$14,4,0)</f>
        <v>2777.7777777777778</v>
      </c>
      <c r="G9126" s="51">
        <f>ROUNDUP(F9126*(E9126/21)/E9092,0)</f>
        <v>5</v>
      </c>
    </row>
    <row r="9127" spans="1:9" ht="15" customHeight="1" x14ac:dyDescent="0.25">
      <c r="A9127" s="69" t="s">
        <v>402</v>
      </c>
      <c r="B9127" s="72" t="str">
        <f>VLOOKUP(A9127,'Componentes APUs'!$A$1:$D$14,2,0)</f>
        <v>Bota de seguridad PVC dielectrica</v>
      </c>
      <c r="C9127" s="73"/>
      <c r="D9127" s="50" t="str">
        <f>VLOOKUP(A9127,'Componentes APUs'!$A$1:$D$14,3,0)</f>
        <v>Par</v>
      </c>
      <c r="E9127" s="50">
        <f>SUM(C9102:C9107)</f>
        <v>1.75</v>
      </c>
      <c r="F9127" s="51">
        <f>VLOOKUP(A9127,'Componentes APUs'!$A$1:$D$14,4,0)</f>
        <v>2916.6666666666665</v>
      </c>
      <c r="G9127" s="51">
        <f>ROUNDUP(F9127*(E9127/21)/E9092,0)</f>
        <v>5</v>
      </c>
    </row>
    <row r="9128" spans="1:9" x14ac:dyDescent="0.25">
      <c r="A9128" s="50" t="s">
        <v>403</v>
      </c>
      <c r="B9128" s="72" t="str">
        <f>VLOOKUP(A9128,'Componentes APUs'!$A$1:$D$14,2,0)</f>
        <v>Capuchon</v>
      </c>
      <c r="C9128" s="73"/>
      <c r="D9128" s="50" t="str">
        <f>VLOOKUP(A9128,'Componentes APUs'!$A$1:$D$14,3,0)</f>
        <v>U</v>
      </c>
      <c r="E9128" s="50">
        <f>SUM(C9102:C9107)</f>
        <v>1.75</v>
      </c>
      <c r="F9128" s="51">
        <f>VLOOKUP(A9128,'Componentes APUs'!$A$1:$D$14,4,0)</f>
        <v>2525.2525252525252</v>
      </c>
      <c r="G9128" s="51">
        <f>ROUNDUP(F9128*(E9128/21)/E9092,0)</f>
        <v>5</v>
      </c>
    </row>
    <row r="9129" spans="1:9" ht="15" customHeight="1" x14ac:dyDescent="0.25">
      <c r="A9129" s="69" t="s">
        <v>81</v>
      </c>
      <c r="B9129" s="72" t="str">
        <f>VLOOKUP(A9129,'Componentes APUs'!$A$1:$D$14,2,0)</f>
        <v>Guantes Protectores  - ingeniero reforzados</v>
      </c>
      <c r="C9129" s="73"/>
      <c r="D9129" s="50" t="str">
        <f>VLOOKUP(A9129,'Componentes APUs'!$A$1:$D$14,3,0)</f>
        <v>Par</v>
      </c>
      <c r="E9129" s="50">
        <f>C9104+C9105+C9107</f>
        <v>1.25</v>
      </c>
      <c r="F9129" s="51">
        <f>VLOOKUP(A9129,'Componentes APUs'!$A$1:$D$14,4,0)</f>
        <v>2525.2525252525252</v>
      </c>
      <c r="G9129" s="51">
        <f>ROUNDUP(F9129*(E9129/21)/E9092,0)</f>
        <v>4</v>
      </c>
    </row>
    <row r="9130" spans="1:9" x14ac:dyDescent="0.25">
      <c r="A9130" s="50" t="s">
        <v>83</v>
      </c>
      <c r="B9130" s="72" t="str">
        <f>VLOOKUP(A9130,'Componentes APUs'!$A$1:$D$14,2,0)</f>
        <v>Impermeable (pantalon camisa)</v>
      </c>
      <c r="C9130" s="73"/>
      <c r="D9130" s="50" t="str">
        <f>VLOOKUP(A9130,'Componentes APUs'!$A$1:$D$14,3,0)</f>
        <v>U</v>
      </c>
      <c r="E9130" s="50">
        <f>SUM(C9102:C9107)</f>
        <v>1.75</v>
      </c>
      <c r="F9130" s="51">
        <f>VLOOKUP(A9130,'Componentes APUs'!$A$1:$D$14,4,0)</f>
        <v>3750</v>
      </c>
      <c r="G9130" s="51">
        <f>ROUNDUP(F9130*(E9130/21)/E9092,0)</f>
        <v>7</v>
      </c>
    </row>
    <row r="9131" spans="1:9" x14ac:dyDescent="0.25">
      <c r="A9131" s="69" t="s">
        <v>85</v>
      </c>
      <c r="B9131" s="72" t="str">
        <f>VLOOKUP(A9131,'Componentes APUs'!$A$1:$D$14,2,0)</f>
        <v>Jean Dielectrico</v>
      </c>
      <c r="C9131" s="73"/>
      <c r="D9131" s="50" t="str">
        <f>VLOOKUP(A9131,'Componentes APUs'!$A$1:$D$14,3,0)</f>
        <v>U</v>
      </c>
      <c r="E9131" s="50">
        <f>SUM(C9102:C9107)</f>
        <v>1.75</v>
      </c>
      <c r="F9131" s="51">
        <f>VLOOKUP(A9131,'Componentes APUs'!$A$1:$D$14,4,0)</f>
        <v>7575.757575757576</v>
      </c>
      <c r="G9131" s="51">
        <f>ROUNDUP(F9131*(E9131/21)/E9092,0)</f>
        <v>13</v>
      </c>
    </row>
    <row r="9132" spans="1:9" ht="15" customHeight="1" x14ac:dyDescent="0.25">
      <c r="A9132" s="50" t="s">
        <v>87</v>
      </c>
      <c r="B9132" s="72" t="str">
        <f>VLOOKUP(A9132,'Componentes APUs'!$A$1:$D$14,2,0)</f>
        <v>Casco dielectrico Tipo 2 Clase E con barboquejo</v>
      </c>
      <c r="C9132" s="73"/>
      <c r="D9132" s="50" t="str">
        <f>VLOOKUP(A9132,'Componentes APUs'!$A$1:$D$14,3,0)</f>
        <v>U</v>
      </c>
      <c r="E9132" s="53">
        <f>IF(A9104="MO-3",C9104,0)</f>
        <v>0</v>
      </c>
      <c r="F9132" s="51">
        <f>VLOOKUP(A9132,'Componentes APUs'!$A$1:$D$14,4,0)</f>
        <v>7500</v>
      </c>
      <c r="G9132" s="51">
        <f>ROUNDUP(F9132*(E9132/21)/E9092,0)</f>
        <v>0</v>
      </c>
    </row>
    <row r="9133" spans="1:9" ht="15" customHeight="1" x14ac:dyDescent="0.25">
      <c r="A9133" s="69" t="s">
        <v>89</v>
      </c>
      <c r="B9133" s="72" t="str">
        <f>VLOOKUP(A9133,'Componentes APUs'!$A$1:$D$14,2,0)</f>
        <v>Kit de rescate para trabajo en alturas</v>
      </c>
      <c r="C9133" s="73"/>
      <c r="D9133" s="50" t="str">
        <f>VLOOKUP(A9133,'Componentes APUs'!$A$1:$D$14,3,0)</f>
        <v>U</v>
      </c>
      <c r="E9133" s="50">
        <f>IF(AND(A9104="MO-3",C9104=2),1,0)</f>
        <v>0</v>
      </c>
      <c r="F9133" s="51">
        <f>VLOOKUP(A9133,'Componentes APUs'!$A$1:$D$14,4,0)</f>
        <v>37500</v>
      </c>
      <c r="G9133" s="51">
        <f>ROUNDUP(F9133*(E9133/21)/E9092,0)</f>
        <v>0</v>
      </c>
    </row>
    <row r="9134" spans="1:9" x14ac:dyDescent="0.25">
      <c r="A9134" s="50" t="s">
        <v>91</v>
      </c>
      <c r="B9134" s="72" t="str">
        <f>VLOOKUP(A9134,'Componentes APUs'!$A$1:$D$14,2,0)</f>
        <v>Equipo completo para trabajo en alturas con pretales (Arnes dielectrico, 1 mosqueton de seguridad, tie off dielectrico, eslinga de posicionamiento, juego de pretales)</v>
      </c>
      <c r="C9134" s="73"/>
      <c r="D9134" s="50" t="str">
        <f>VLOOKUP(A9134,'Componentes APUs'!$A$1:$D$14,3,0)</f>
        <v>U</v>
      </c>
      <c r="E9134" s="50">
        <f>IF(A9104="MO-3",C9104,0)</f>
        <v>0</v>
      </c>
      <c r="F9134" s="51">
        <f>VLOOKUP(A9134,'Componentes APUs'!$A$1:$D$14,4,0)</f>
        <v>26041.666666666668</v>
      </c>
      <c r="G9134" s="51">
        <f>ROUNDUP(F9134*(E9134/21)/E9092,0)</f>
        <v>0</v>
      </c>
    </row>
    <row r="9135" spans="1:9" x14ac:dyDescent="0.25">
      <c r="A9135" s="219" t="s">
        <v>95</v>
      </c>
      <c r="B9135" s="219"/>
      <c r="C9135" s="219"/>
      <c r="D9135" s="219"/>
      <c r="E9135" s="219"/>
      <c r="F9135" s="219"/>
      <c r="G9135" s="52">
        <f>SUM(G9122:G9134)</f>
        <v>91</v>
      </c>
    </row>
    <row r="9136" spans="1:9" x14ac:dyDescent="0.25">
      <c r="A9136" s="56"/>
      <c r="B9136" s="57"/>
      <c r="C9136" s="57"/>
      <c r="D9136" s="57"/>
      <c r="E9136" s="57"/>
      <c r="F9136" s="57"/>
      <c r="G9136" s="58"/>
    </row>
    <row r="9137" spans="1:7" x14ac:dyDescent="0.25">
      <c r="A9137" s="219" t="s">
        <v>96</v>
      </c>
      <c r="B9137" s="219"/>
      <c r="C9137" s="219"/>
      <c r="D9137" s="219"/>
      <c r="E9137" s="219"/>
      <c r="F9137" s="219"/>
      <c r="G9137" s="219"/>
    </row>
    <row r="9138" spans="1:7" x14ac:dyDescent="0.25">
      <c r="A9138" s="49" t="s">
        <v>35</v>
      </c>
      <c r="B9138" s="225" t="s">
        <v>36</v>
      </c>
      <c r="C9138" s="225"/>
      <c r="D9138" s="49" t="s">
        <v>37</v>
      </c>
      <c r="E9138" s="49" t="s">
        <v>38</v>
      </c>
      <c r="F9138" s="49" t="s">
        <v>39</v>
      </c>
      <c r="G9138" s="49" t="s">
        <v>40</v>
      </c>
    </row>
    <row r="9139" spans="1:7" x14ac:dyDescent="0.25">
      <c r="A9139" s="69" t="s">
        <v>97</v>
      </c>
      <c r="B9139" s="72" t="str">
        <f>VLOOKUP(A9139,'Componentes APUs'!$N$1:$Q$30,2,0)</f>
        <v>Camioneta</v>
      </c>
      <c r="C9139" s="73"/>
      <c r="D9139" s="70" t="str">
        <f>VLOOKUP(A9139,'Componentes APUs'!$N$1:$Q$30,3,0)</f>
        <v>U</v>
      </c>
      <c r="E9139" s="50">
        <v>1</v>
      </c>
      <c r="F9139" s="51">
        <f>VLOOKUP(A9139,'Componentes APUs'!$N$1:$Q$30,4,0)</f>
        <v>5500000</v>
      </c>
      <c r="G9139" s="51">
        <f>IFERROR(ROUNDUP(F9139*(E9139/21)/E9092,0),"-")</f>
        <v>5239</v>
      </c>
    </row>
    <row r="9140" spans="1:7" x14ac:dyDescent="0.25">
      <c r="A9140" s="50" t="s">
        <v>321</v>
      </c>
      <c r="B9140" s="72" t="str">
        <f>VLOOKUP(A9140,'Componentes APUs'!$N$1:$Q$30,2,0)</f>
        <v>Grúa Hidráulica</v>
      </c>
      <c r="C9140" s="73"/>
      <c r="D9140" s="70" t="str">
        <f>VLOOKUP(A9140,'Componentes APUs'!$N$1:$Q$30,3,0)</f>
        <v>U</v>
      </c>
      <c r="E9140" s="50">
        <v>0</v>
      </c>
      <c r="F9140" s="51">
        <f>VLOOKUP(A9140,'Componentes APUs'!$N$1:$Q$30,4,0)</f>
        <v>21000000</v>
      </c>
      <c r="G9140" s="51">
        <f>IFERROR(ROUNDUP(F9140*(E9140/21)/E9092,0),"-")</f>
        <v>0</v>
      </c>
    </row>
    <row r="9141" spans="1:7" x14ac:dyDescent="0.25">
      <c r="A9141" s="69" t="s">
        <v>1379</v>
      </c>
      <c r="B9141" s="72" t="str">
        <f>VLOOKUP(A9141,'Componentes APUs'!$N$1:$Q$30,2,0)</f>
        <v>Dumper de descarga Frontal 2T</v>
      </c>
      <c r="C9141" s="73"/>
      <c r="D9141" s="70" t="str">
        <f>VLOOKUP(A9141,'Componentes APUs'!$N$1:$Q$30,3,0)</f>
        <v>U</v>
      </c>
      <c r="E9141" s="50">
        <v>1</v>
      </c>
      <c r="F9141" s="51">
        <f>VLOOKUP(A9141,'Componentes APUs'!$N$1:$Q$30,4,0)</f>
        <v>4438716.24</v>
      </c>
      <c r="G9141" s="51">
        <f>IFERROR(ROUNDUP(F9141*(E9141/21)/E9092,0),"-")</f>
        <v>4228</v>
      </c>
    </row>
    <row r="9142" spans="1:7" x14ac:dyDescent="0.25">
      <c r="A9142" s="50" t="s">
        <v>323</v>
      </c>
      <c r="B9142" s="72" t="str">
        <f>VLOOKUP(A9142,'Componentes APUs'!$N$1:$Q$30,2,0)</f>
        <v>Volqueta</v>
      </c>
      <c r="C9142" s="73"/>
      <c r="D9142" s="70" t="str">
        <f>VLOOKUP(A9142,'Componentes APUs'!$N$1:$Q$30,3,0)</f>
        <v>U</v>
      </c>
      <c r="E9142" s="50">
        <v>1</v>
      </c>
      <c r="F9142" s="51">
        <f>VLOOKUP(A9142,'Componentes APUs'!$N$1:$Q$30,4,0)</f>
        <v>14828184</v>
      </c>
      <c r="G9142" s="51">
        <f>IFERROR(ROUNDUP(F9142*(E9142/21)/E9092,0),"-")</f>
        <v>14123</v>
      </c>
    </row>
    <row r="9143" spans="1:7" x14ac:dyDescent="0.25">
      <c r="A9143" s="69" t="s">
        <v>324</v>
      </c>
      <c r="B9143" s="72" t="str">
        <f>VLOOKUP(A9143,'Componentes APUs'!$N$1:$Q$30,2,0)</f>
        <v>Retroexcavadora</v>
      </c>
      <c r="C9143" s="73"/>
      <c r="D9143" s="70" t="str">
        <f>VLOOKUP(A9143,'Componentes APUs'!$N$1:$Q$30,3,0)</f>
        <v>U</v>
      </c>
      <c r="E9143" s="50">
        <v>0</v>
      </c>
      <c r="F9143" s="51">
        <f>VLOOKUP(A9143,'Componentes APUs'!$N$1:$Q$30,4,0)</f>
        <v>46030656</v>
      </c>
      <c r="G9143" s="51">
        <f>IFERROR(ROUNDUP(F9143*(E9143/21)/E9092,0),"-")</f>
        <v>0</v>
      </c>
    </row>
    <row r="9144" spans="1:7" x14ac:dyDescent="0.25">
      <c r="A9144" s="219" t="s">
        <v>99</v>
      </c>
      <c r="B9144" s="219"/>
      <c r="C9144" s="219"/>
      <c r="D9144" s="219"/>
      <c r="E9144" s="219"/>
      <c r="F9144" s="219"/>
      <c r="G9144" s="52">
        <f>SUM(G9139:G9143)</f>
        <v>23590</v>
      </c>
    </row>
    <row r="9145" spans="1:7" x14ac:dyDescent="0.25">
      <c r="A9145" s="56"/>
      <c r="B9145" s="57"/>
      <c r="C9145" s="57"/>
      <c r="D9145" s="57"/>
      <c r="E9145" s="57"/>
      <c r="F9145" s="57"/>
      <c r="G9145" s="58"/>
    </row>
    <row r="9146" spans="1:7" x14ac:dyDescent="0.25">
      <c r="A9146" s="219" t="s">
        <v>1516</v>
      </c>
      <c r="B9146" s="219"/>
      <c r="C9146" s="219"/>
      <c r="D9146" s="219"/>
      <c r="E9146" s="219"/>
      <c r="F9146" s="219"/>
      <c r="G9146" s="52">
        <f>G9144+G9135+G9118+G9108+G9098</f>
        <v>128962</v>
      </c>
    </row>
    <row r="9147" spans="1:7" x14ac:dyDescent="0.25">
      <c r="A9147" s="59"/>
      <c r="B9147" s="60"/>
      <c r="C9147" s="60"/>
      <c r="D9147" s="60"/>
      <c r="E9147" s="57"/>
      <c r="F9147" s="57"/>
      <c r="G9147" s="58"/>
    </row>
    <row r="9148" spans="1:7" x14ac:dyDescent="0.25">
      <c r="A9148" s="64"/>
      <c r="D9148" s="55"/>
      <c r="E9148" s="49" t="s">
        <v>25</v>
      </c>
      <c r="F9148" s="54">
        <v>0.15</v>
      </c>
      <c r="G9148" s="51">
        <f>G9146*F9148</f>
        <v>19344.3</v>
      </c>
    </row>
    <row r="9149" spans="1:7" x14ac:dyDescent="0.25">
      <c r="A9149" s="64"/>
      <c r="D9149" s="55"/>
      <c r="E9149" s="49" t="s">
        <v>26</v>
      </c>
      <c r="F9149" s="54">
        <v>0.05</v>
      </c>
      <c r="G9149" s="51">
        <f>G9146*F9149</f>
        <v>6448.1</v>
      </c>
    </row>
    <row r="9150" spans="1:7" x14ac:dyDescent="0.25">
      <c r="A9150" s="61"/>
      <c r="B9150" s="65"/>
      <c r="C9150" s="65"/>
      <c r="D9150" s="62"/>
      <c r="E9150" s="49" t="s">
        <v>27</v>
      </c>
      <c r="F9150" s="54">
        <v>0.05</v>
      </c>
      <c r="G9150" s="51">
        <f>G9146*F9150</f>
        <v>6448.1</v>
      </c>
    </row>
    <row r="9151" spans="1:7" x14ac:dyDescent="0.25">
      <c r="A9151" s="61"/>
      <c r="B9151" s="62"/>
      <c r="C9151" s="62"/>
      <c r="D9151" s="62"/>
      <c r="E9151" s="62"/>
      <c r="F9151" s="62"/>
      <c r="G9151" s="63"/>
    </row>
    <row r="9152" spans="1:7" x14ac:dyDescent="0.25">
      <c r="A9152" s="219" t="s">
        <v>1517</v>
      </c>
      <c r="B9152" s="219"/>
      <c r="C9152" s="219"/>
      <c r="D9152" s="219"/>
      <c r="E9152" s="219"/>
      <c r="F9152" s="219"/>
      <c r="G9152" s="52">
        <f>G9146+G9148+G9149+G9150</f>
        <v>161202.5</v>
      </c>
    </row>
    <row r="9153" spans="1:13" x14ac:dyDescent="0.25">
      <c r="A9153" s="59"/>
      <c r="B9153" s="60"/>
      <c r="C9153" s="60"/>
      <c r="D9153" s="60"/>
      <c r="E9153" s="57"/>
      <c r="F9153" s="57"/>
      <c r="G9153" s="58"/>
    </row>
    <row r="9154" spans="1:13" x14ac:dyDescent="0.25">
      <c r="A9154" s="64"/>
      <c r="D9154" s="55"/>
      <c r="E9154" s="49" t="s">
        <v>102</v>
      </c>
      <c r="F9154" s="49" t="s">
        <v>103</v>
      </c>
      <c r="G9154" s="51">
        <f>G9150*19%</f>
        <v>1225.1390000000001</v>
      </c>
    </row>
    <row r="9155" spans="1:13" x14ac:dyDescent="0.25">
      <c r="A9155" s="61"/>
      <c r="B9155" s="62"/>
      <c r="C9155" s="62"/>
      <c r="D9155" s="62"/>
      <c r="E9155" s="57"/>
      <c r="F9155" s="57"/>
      <c r="G9155" s="58"/>
    </row>
    <row r="9156" spans="1:13" x14ac:dyDescent="0.25">
      <c r="A9156" s="219" t="s">
        <v>104</v>
      </c>
      <c r="B9156" s="219"/>
      <c r="C9156" s="219"/>
      <c r="D9156" s="219"/>
      <c r="E9156" s="219"/>
      <c r="F9156" s="219"/>
      <c r="G9156" s="52">
        <f>G9154+G9152</f>
        <v>162427.639</v>
      </c>
    </row>
    <row r="9158" spans="1:13" x14ac:dyDescent="0.25">
      <c r="A9158" s="74" t="s">
        <v>29</v>
      </c>
      <c r="B9158" s="226" t="s">
        <v>30</v>
      </c>
      <c r="C9158" s="226"/>
      <c r="D9158" s="74" t="s">
        <v>31</v>
      </c>
      <c r="E9158" s="74" t="s">
        <v>32</v>
      </c>
      <c r="F9158" s="74" t="s">
        <v>189</v>
      </c>
      <c r="G9158" s="74" t="s">
        <v>33</v>
      </c>
      <c r="H9158" s="105"/>
    </row>
    <row r="9159" spans="1:13" ht="27" customHeight="1" x14ac:dyDescent="0.25">
      <c r="A9159" s="50" t="str">
        <f>Presupuesto!B170</f>
        <v>146_OC</v>
      </c>
      <c r="B9159" s="229" t="str">
        <f>Presupuesto!C170</f>
        <v>RIEGO DE IMPRIMACIÓN CRL 40</v>
      </c>
      <c r="C9159" s="230"/>
      <c r="D9159" s="50" t="s">
        <v>113</v>
      </c>
      <c r="E9159" s="107">
        <v>80</v>
      </c>
      <c r="F9159" s="50"/>
      <c r="G9159" s="51">
        <f>G9227</f>
        <v>15110.2215</v>
      </c>
      <c r="H9159" s="111"/>
    </row>
    <row r="9160" spans="1:13" x14ac:dyDescent="0.25">
      <c r="A9160" s="219" t="s">
        <v>34</v>
      </c>
      <c r="B9160" s="219"/>
      <c r="C9160" s="219"/>
      <c r="D9160" s="219"/>
      <c r="E9160" s="219"/>
      <c r="F9160" s="219"/>
      <c r="G9160" s="219"/>
    </row>
    <row r="9161" spans="1:13" ht="30.75" customHeight="1" x14ac:dyDescent="0.25">
      <c r="A9161" s="49" t="s">
        <v>35</v>
      </c>
      <c r="B9161" s="219" t="s">
        <v>36</v>
      </c>
      <c r="C9161" s="219"/>
      <c r="D9161" s="49" t="s">
        <v>37</v>
      </c>
      <c r="E9161" s="49" t="s">
        <v>38</v>
      </c>
      <c r="F9161" s="49" t="s">
        <v>39</v>
      </c>
      <c r="G9161" s="49" t="s">
        <v>40</v>
      </c>
      <c r="K9161" s="23"/>
      <c r="L9161" s="23"/>
    </row>
    <row r="9162" spans="1:13" x14ac:dyDescent="0.25">
      <c r="A9162" s="50" t="str">
        <f>Material!A524</f>
        <v>MA-523</v>
      </c>
      <c r="B9162" s="72" t="str">
        <f>IFERROR(VLOOKUP(A9162,Material!$A:$H,2,0),"-")</f>
        <v>EMULSIÓN ASFÁLTICA CRL-40 (CRL-0)</v>
      </c>
      <c r="C9162" s="76"/>
      <c r="D9162" s="50" t="str">
        <f>IFERROR(VLOOKUP(A9162,Material!$A:$H,4,0),"-")</f>
        <v>L</v>
      </c>
      <c r="E9162" s="109">
        <v>1.55</v>
      </c>
      <c r="F9162" s="51">
        <f>IFERROR(VLOOKUP(A9162,Material!$A:$H,3,0),"-")</f>
        <v>2230.8000000000002</v>
      </c>
      <c r="G9162" s="51">
        <f>IFERROR(ROUNDUP(F9162*E9162,0),"-")</f>
        <v>3458</v>
      </c>
      <c r="H9162" s="112"/>
      <c r="I9162" s="110"/>
      <c r="J9162" s="113"/>
      <c r="K9162" s="114"/>
      <c r="L9162" s="115"/>
      <c r="M9162" s="115"/>
    </row>
    <row r="9163" spans="1:13" x14ac:dyDescent="0.25">
      <c r="A9163" s="50"/>
      <c r="B9163" s="72" t="str">
        <f>IFERROR(VLOOKUP(A9163,Material!$A:$H,2,0),"-")</f>
        <v>-</v>
      </c>
      <c r="C9163" s="76"/>
      <c r="D9163" s="50" t="str">
        <f>IFERROR(VLOOKUP(A9163,Material!$A:$H,4,0),"-")</f>
        <v>-</v>
      </c>
      <c r="E9163" s="107"/>
      <c r="F9163" s="51" t="str">
        <f>IFERROR(VLOOKUP(A9163,Material!$A:$H,3,0),"-")</f>
        <v>-</v>
      </c>
      <c r="G9163" s="51" t="str">
        <f>IFERROR(ROUNDUP(F9163*E9163,0),"-")</f>
        <v>-</v>
      </c>
      <c r="H9163" s="112"/>
      <c r="I9163" s="110"/>
      <c r="J9163" s="113"/>
      <c r="K9163" s="114"/>
      <c r="L9163" s="115"/>
      <c r="M9163" s="115"/>
    </row>
    <row r="9164" spans="1:13" x14ac:dyDescent="0.25">
      <c r="A9164" s="50"/>
      <c r="B9164" s="72" t="str">
        <f>IFERROR(VLOOKUP(A9164,Material!$A:$H,2,0),"-")</f>
        <v>-</v>
      </c>
      <c r="C9164" s="76"/>
      <c r="D9164" s="50" t="str">
        <f>IFERROR(VLOOKUP(A9164,Material!$A:$H,4,0),"-")</f>
        <v>-</v>
      </c>
      <c r="E9164" s="107"/>
      <c r="F9164" s="51" t="str">
        <f>IFERROR(VLOOKUP(A9164,Material!$A:$H,3,0),"-")</f>
        <v>-</v>
      </c>
      <c r="G9164" s="51" t="str">
        <f>IFERROR(ROUNDUP(F9164*E9164,0),"-")</f>
        <v>-</v>
      </c>
      <c r="H9164" s="112"/>
      <c r="I9164" s="110"/>
      <c r="J9164" s="113"/>
      <c r="K9164" s="114"/>
      <c r="L9164" s="115"/>
      <c r="M9164" s="115"/>
    </row>
    <row r="9165" spans="1:13" x14ac:dyDescent="0.25">
      <c r="A9165" s="50"/>
      <c r="B9165" s="72" t="str">
        <f>IFERROR(VLOOKUP(A9165,Material!$A:$H,2,0),"-")</f>
        <v>-</v>
      </c>
      <c r="C9165" s="76"/>
      <c r="D9165" s="50" t="str">
        <f>IFERROR(VLOOKUP(A9165,Material!$A:$H,4,0),"-")</f>
        <v>-</v>
      </c>
      <c r="E9165" s="107"/>
      <c r="F9165" s="51" t="str">
        <f>IFERROR(VLOOKUP(A9165,Material!$A:$H,3,0),"-")</f>
        <v>-</v>
      </c>
      <c r="G9165" s="51" t="str">
        <f>IFERROR(ROUNDUP(F9165*E9165,0),"-")</f>
        <v>-</v>
      </c>
      <c r="H9165" s="112"/>
      <c r="I9165" s="110"/>
      <c r="J9165" s="113"/>
      <c r="K9165" s="114"/>
      <c r="L9165" s="115"/>
      <c r="M9165" s="115"/>
    </row>
    <row r="9166" spans="1:13" x14ac:dyDescent="0.25">
      <c r="A9166" s="50"/>
      <c r="B9166" s="72" t="str">
        <f>IFERROR(VLOOKUP(A9166,Material!$A:$H,2,0),"-")</f>
        <v>-</v>
      </c>
      <c r="C9166" s="76"/>
      <c r="D9166" s="50" t="str">
        <f>IFERROR(VLOOKUP(A9166,Material!$A:$H,4,0),"-")</f>
        <v>-</v>
      </c>
      <c r="E9166" s="107"/>
      <c r="F9166" s="51" t="str">
        <f>IFERROR(VLOOKUP(A9166,Material!$A:$H,3,0),"-")</f>
        <v>-</v>
      </c>
      <c r="G9166" s="51" t="str">
        <f>IFERROR(ROUNDUP(F9166*E9166,0),"-")</f>
        <v>-</v>
      </c>
      <c r="H9166" s="112"/>
      <c r="I9166" s="110"/>
      <c r="J9166" s="113"/>
      <c r="K9166" s="114"/>
      <c r="L9166" s="115"/>
      <c r="M9166" s="115"/>
    </row>
    <row r="9167" spans="1:13" x14ac:dyDescent="0.25">
      <c r="A9167" s="219" t="s">
        <v>41</v>
      </c>
      <c r="B9167" s="219"/>
      <c r="C9167" s="219"/>
      <c r="D9167" s="219"/>
      <c r="E9167" s="219"/>
      <c r="F9167" s="219"/>
      <c r="G9167" s="52">
        <f>SUM(G9162:G9166)</f>
        <v>3458</v>
      </c>
      <c r="I9167" s="104"/>
    </row>
    <row r="9168" spans="1:13" x14ac:dyDescent="0.25">
      <c r="A9168" s="56"/>
      <c r="B9168" s="57"/>
      <c r="C9168" s="57"/>
      <c r="D9168" s="57"/>
      <c r="E9168" s="57"/>
      <c r="F9168" s="57"/>
      <c r="G9168" s="58"/>
    </row>
    <row r="9169" spans="1:9" x14ac:dyDescent="0.25">
      <c r="A9169" s="219" t="s">
        <v>42</v>
      </c>
      <c r="B9169" s="219"/>
      <c r="C9169" s="219"/>
      <c r="D9169" s="219"/>
      <c r="E9169" s="219"/>
      <c r="F9169" s="219"/>
      <c r="G9169" s="219"/>
    </row>
    <row r="9170" spans="1:9" x14ac:dyDescent="0.25">
      <c r="A9170" s="49" t="s">
        <v>35</v>
      </c>
      <c r="B9170" s="49" t="s">
        <v>36</v>
      </c>
      <c r="C9170" s="49" t="s">
        <v>38</v>
      </c>
      <c r="D9170" s="49" t="s">
        <v>43</v>
      </c>
      <c r="E9170" s="49" t="s">
        <v>44</v>
      </c>
      <c r="F9170" s="49" t="s">
        <v>45</v>
      </c>
      <c r="G9170" s="49" t="s">
        <v>40</v>
      </c>
    </row>
    <row r="9171" spans="1:9" x14ac:dyDescent="0.25">
      <c r="A9171" s="50" t="s">
        <v>319</v>
      </c>
      <c r="B9171" s="68" t="str">
        <f>VLOOKUP(A9171,'Componentes APUs'!$H$1:$L$25,2,0)</f>
        <v>Ingeniero Residente de Obra</v>
      </c>
      <c r="C9171" s="93">
        <v>0</v>
      </c>
      <c r="D9171" s="50">
        <f>VLOOKUP(A9171,'Componentes APUs'!$H$1:$L$25,3,0)</f>
        <v>4</v>
      </c>
      <c r="E9171" s="51">
        <f>VLOOKUP(A9171,'Componentes APUs'!$H$1:$L$25,4,0)</f>
        <v>271142.85714285716</v>
      </c>
      <c r="F9171" s="51">
        <f>VLOOKUP(A9171,'Componentes APUs'!$H$1:$L$25,5,0)</f>
        <v>162685.71428571429</v>
      </c>
      <c r="G9171" s="51">
        <f>ROUNDUP((E9171+F9171)*C9171/E9159,0)</f>
        <v>0</v>
      </c>
      <c r="H9171" s="66"/>
    </row>
    <row r="9172" spans="1:9" x14ac:dyDescent="0.25">
      <c r="A9172" s="50" t="s">
        <v>320</v>
      </c>
      <c r="B9172" s="68" t="str">
        <f>VLOOKUP(A9172,'Componentes APUs'!$H$1:$L$25,2,0)</f>
        <v>Tecnico Supervisor</v>
      </c>
      <c r="C9172" s="93">
        <v>0</v>
      </c>
      <c r="D9172" s="50">
        <f>VLOOKUP(A9172,'Componentes APUs'!$H$1:$L$25,3,0)</f>
        <v>2.2999999999999998</v>
      </c>
      <c r="E9172" s="51">
        <f>VLOOKUP(A9172,'Componentes APUs'!$H$1:$L$25,4,0)</f>
        <v>155907.14285714284</v>
      </c>
      <c r="F9172" s="51">
        <f>VLOOKUP(A9172,'Componentes APUs'!$H$1:$L$25,5,0)</f>
        <v>93544.285714285696</v>
      </c>
      <c r="G9172" s="51">
        <f>ROUNDUP((E9172+F9172)*C9172/E9159,0)</f>
        <v>0</v>
      </c>
    </row>
    <row r="9173" spans="1:9" x14ac:dyDescent="0.25">
      <c r="A9173" s="50" t="s">
        <v>54</v>
      </c>
      <c r="B9173" s="68" t="str">
        <f>VLOOKUP(A9173,'Componentes APUs'!$H$1:$L$25,2,0)</f>
        <v>Maestro de obra civil</v>
      </c>
      <c r="C9173" s="93">
        <v>0</v>
      </c>
      <c r="D9173" s="50">
        <f>VLOOKUP(A9173,'Componentes APUs'!$H$1:$L$25,3,0)</f>
        <v>2.5</v>
      </c>
      <c r="E9173" s="51">
        <f>VLOOKUP(A9173,'Componentes APUs'!$H$1:$L$25,4,0)</f>
        <v>169464.28571428571</v>
      </c>
      <c r="F9173" s="51">
        <f>VLOOKUP(A9173,'Componentes APUs'!$H$1:$L$25,5,0)</f>
        <v>101678.57142857142</v>
      </c>
      <c r="G9173" s="51">
        <f>ROUNDUP((E9173+F9173)*C9173/E9159,0)</f>
        <v>0</v>
      </c>
    </row>
    <row r="9174" spans="1:9" x14ac:dyDescent="0.25">
      <c r="A9174" s="50" t="s">
        <v>1110</v>
      </c>
      <c r="B9174" s="68" t="str">
        <f>VLOOKUP(A9174,'Componentes APUs'!$H$1:$L$25,2,0)</f>
        <v>Oficial de Obra Civil</v>
      </c>
      <c r="C9174" s="93">
        <v>0</v>
      </c>
      <c r="D9174" s="50">
        <f>VLOOKUP(A9174,'Componentes APUs'!$H$1:$L$25,3,0)</f>
        <v>1.5</v>
      </c>
      <c r="E9174" s="51">
        <f>VLOOKUP(A9174,'Componentes APUs'!$H$1:$L$25,4,0)</f>
        <v>115964.28571428571</v>
      </c>
      <c r="F9174" s="51">
        <f>VLOOKUP(A9174,'Componentes APUs'!$H$1:$L$25,5,0)</f>
        <v>69578.57142857142</v>
      </c>
      <c r="G9174" s="51">
        <f>ROUNDUP((E9174+F9174)*C9174/E9159,0)</f>
        <v>0</v>
      </c>
    </row>
    <row r="9175" spans="1:9" x14ac:dyDescent="0.25">
      <c r="A9175" s="50" t="s">
        <v>50</v>
      </c>
      <c r="B9175" s="68" t="str">
        <f>VLOOKUP(A9175,'Componentes APUs'!$H$1:$L$25,2,0)</f>
        <v>Profesional en SST</v>
      </c>
      <c r="C9175" s="93">
        <v>0</v>
      </c>
      <c r="D9175" s="50">
        <f>VLOOKUP(A9175,'Componentes APUs'!$H$1:$L$25,3,0)</f>
        <v>2.5</v>
      </c>
      <c r="E9175" s="51">
        <f>VLOOKUP(A9175,'Componentes APUs'!$H$1:$L$25,4,0)</f>
        <v>169464.28571428571</v>
      </c>
      <c r="F9175" s="51">
        <f>VLOOKUP(A9175,'Componentes APUs'!$H$1:$L$25,5,0)</f>
        <v>101678.57142857142</v>
      </c>
      <c r="G9175" s="51">
        <f>ROUNDUP((E9175+F9175)*C9175/E9159,0)</f>
        <v>0</v>
      </c>
    </row>
    <row r="9176" spans="1:9" x14ac:dyDescent="0.25">
      <c r="A9176" s="50" t="s">
        <v>1109</v>
      </c>
      <c r="B9176" s="68" t="str">
        <f>VLOOKUP(A9176,'Componentes APUs'!$H$1:$L$25,2,0)</f>
        <v>Ayudante de Obra Civil</v>
      </c>
      <c r="C9176" s="93">
        <v>3</v>
      </c>
      <c r="D9176" s="50">
        <f>VLOOKUP(A9176,'Componentes APUs'!$H$1:$L$25,3,0)</f>
        <v>1</v>
      </c>
      <c r="E9176" s="51">
        <f>VLOOKUP(A9176,'Componentes APUs'!$H$1:$L$25,4,0)</f>
        <v>77309.523809523816</v>
      </c>
      <c r="F9176" s="51">
        <f>VLOOKUP(A9176,'Componentes APUs'!$H$1:$L$25,5,0)</f>
        <v>46385.71428571429</v>
      </c>
      <c r="G9176" s="51">
        <f>ROUNDUP((E9176+F9176)*C9176/E9159,0)</f>
        <v>4639</v>
      </c>
    </row>
    <row r="9177" spans="1:9" x14ac:dyDescent="0.25">
      <c r="A9177" s="219" t="s">
        <v>56</v>
      </c>
      <c r="B9177" s="219"/>
      <c r="C9177" s="219"/>
      <c r="D9177" s="219"/>
      <c r="E9177" s="219"/>
      <c r="F9177" s="219"/>
      <c r="G9177" s="52">
        <f>SUM(G9171:G9176)</f>
        <v>4639</v>
      </c>
    </row>
    <row r="9178" spans="1:9" x14ac:dyDescent="0.25">
      <c r="A9178" s="56"/>
      <c r="B9178" s="57"/>
      <c r="C9178" s="57"/>
      <c r="D9178" s="57"/>
      <c r="E9178" s="57"/>
      <c r="F9178" s="57"/>
      <c r="G9178" s="58"/>
    </row>
    <row r="9179" spans="1:9" x14ac:dyDescent="0.25">
      <c r="A9179" s="219" t="s">
        <v>57</v>
      </c>
      <c r="B9179" s="219"/>
      <c r="C9179" s="219"/>
      <c r="D9179" s="219"/>
      <c r="E9179" s="219"/>
      <c r="F9179" s="219"/>
      <c r="G9179" s="219"/>
    </row>
    <row r="9180" spans="1:9" x14ac:dyDescent="0.25">
      <c r="A9180" s="49" t="s">
        <v>35</v>
      </c>
      <c r="B9180" s="219" t="s">
        <v>36</v>
      </c>
      <c r="C9180" s="219"/>
      <c r="D9180" s="49" t="s">
        <v>37</v>
      </c>
      <c r="E9180" s="49" t="s">
        <v>38</v>
      </c>
      <c r="F9180" s="49" t="s">
        <v>39</v>
      </c>
      <c r="G9180" s="49" t="s">
        <v>40</v>
      </c>
    </row>
    <row r="9181" spans="1:9" x14ac:dyDescent="0.25">
      <c r="A9181" s="50" t="s">
        <v>326</v>
      </c>
      <c r="B9181" s="220" t="str">
        <f>VLOOKUP(A9181,'Componentes APUs'!$S$1:$V$10,2,0)</f>
        <v>Juego Llaves</v>
      </c>
      <c r="C9181" s="220"/>
      <c r="D9181" s="50" t="s">
        <v>18</v>
      </c>
      <c r="E9181" s="50">
        <v>0</v>
      </c>
      <c r="F9181" s="51">
        <f>VLOOKUP(A9181,'Componentes APUs'!$S$1:$V$10,4,0)</f>
        <v>9167</v>
      </c>
      <c r="G9181" s="51">
        <f>ROUNDUP(F9181*((E9181/21)/E9159),0)</f>
        <v>0</v>
      </c>
      <c r="I9181" s="91"/>
    </row>
    <row r="9182" spans="1:9" x14ac:dyDescent="0.25">
      <c r="A9182" s="50" t="s">
        <v>58</v>
      </c>
      <c r="B9182" s="220" t="str">
        <f>VLOOKUP(A9182,'Componentes APUs'!$S$1:$V$10,2,0)</f>
        <v>Manila de servicio</v>
      </c>
      <c r="C9182" s="220"/>
      <c r="D9182" s="50" t="s">
        <v>18</v>
      </c>
      <c r="E9182" s="50">
        <v>0</v>
      </c>
      <c r="F9182" s="51">
        <f>VLOOKUP(A9182,'Componentes APUs'!$S$1:$V$10,4,0)</f>
        <v>2333</v>
      </c>
      <c r="G9182" s="51">
        <f>ROUNDUP(F9182*((E9182/21)/E9159),0)</f>
        <v>0</v>
      </c>
    </row>
    <row r="9183" spans="1:9" x14ac:dyDescent="0.25">
      <c r="A9183" s="50" t="s">
        <v>327</v>
      </c>
      <c r="B9183" s="220" t="str">
        <f>VLOOKUP(A9183,'Componentes APUs'!$S$1:$V$10,2,0)</f>
        <v>Tula portaherramientas</v>
      </c>
      <c r="C9183" s="220"/>
      <c r="D9183" s="50" t="s">
        <v>18</v>
      </c>
      <c r="E9183" s="50">
        <v>0</v>
      </c>
      <c r="F9183" s="51">
        <f>VLOOKUP(A9183,'Componentes APUs'!$S$1:$V$10,4,0)</f>
        <v>1250</v>
      </c>
      <c r="G9183" s="51">
        <f>ROUNDUP(F9183*((E9183/21)/E9159),0)</f>
        <v>0</v>
      </c>
    </row>
    <row r="9184" spans="1:9" x14ac:dyDescent="0.25">
      <c r="A9184" s="50" t="s">
        <v>60</v>
      </c>
      <c r="B9184" s="220" t="str">
        <f>VLOOKUP(A9184,'Componentes APUs'!$S$1:$V$10,2,0)</f>
        <v>Agarradoras</v>
      </c>
      <c r="C9184" s="220"/>
      <c r="D9184" s="50" t="s">
        <v>18</v>
      </c>
      <c r="E9184" s="50">
        <v>0</v>
      </c>
      <c r="F9184" s="51">
        <f>VLOOKUP(A9184,'Componentes APUs'!$S$1:$V$10,4,0)</f>
        <v>125000</v>
      </c>
      <c r="G9184" s="51">
        <f>ROUNDUP(F9184*((E9184/21)/E9159),0)</f>
        <v>0</v>
      </c>
    </row>
    <row r="9185" spans="1:9" x14ac:dyDescent="0.25">
      <c r="A9185" s="50" t="s">
        <v>62</v>
      </c>
      <c r="B9185" s="220" t="str">
        <f>VLOOKUP(A9185,'Componentes APUs'!$S$1:$V$10,2,0)</f>
        <v>Templadoras</v>
      </c>
      <c r="C9185" s="220"/>
      <c r="D9185" s="50" t="s">
        <v>18</v>
      </c>
      <c r="E9185" s="50">
        <v>0</v>
      </c>
      <c r="F9185" s="51">
        <f>VLOOKUP(A9185,'Componentes APUs'!$S$1:$V$10,4,0)</f>
        <v>250000</v>
      </c>
      <c r="G9185" s="51">
        <f>ROUNDUP(F9185*((E9185/21)/E9159),0)</f>
        <v>0</v>
      </c>
    </row>
    <row r="9186" spans="1:9" x14ac:dyDescent="0.25">
      <c r="A9186" s="50" t="s">
        <v>328</v>
      </c>
      <c r="B9186" s="220" t="str">
        <f>VLOOKUP(A9186,'Componentes APUs'!$S$1:$V$10,2,0)</f>
        <v>Herramienta Menor</v>
      </c>
      <c r="C9186" s="220"/>
      <c r="D9186" s="50" t="s">
        <v>18</v>
      </c>
      <c r="E9186" s="50">
        <v>2</v>
      </c>
      <c r="F9186" s="51">
        <f>VLOOKUP(A9186,'Componentes APUs'!$S$1:$V$10,4,0)</f>
        <v>75758</v>
      </c>
      <c r="G9186" s="51">
        <f>ROUNDUP(F9186*((E9186/21)/E9159),0)</f>
        <v>91</v>
      </c>
    </row>
    <row r="9187" spans="1:9" x14ac:dyDescent="0.25">
      <c r="A9187" s="219" t="s">
        <v>69</v>
      </c>
      <c r="B9187" s="219"/>
      <c r="C9187" s="219"/>
      <c r="D9187" s="219"/>
      <c r="E9187" s="219"/>
      <c r="F9187" s="219"/>
      <c r="G9187" s="52">
        <f>SUM(G9181:G9186)</f>
        <v>91</v>
      </c>
    </row>
    <row r="9188" spans="1:9" x14ac:dyDescent="0.25">
      <c r="A9188" s="56"/>
      <c r="B9188" s="57"/>
      <c r="C9188" s="57"/>
      <c r="D9188" s="57"/>
      <c r="E9188" s="57"/>
      <c r="F9188" s="57"/>
      <c r="G9188" s="58"/>
    </row>
    <row r="9189" spans="1:9" x14ac:dyDescent="0.25">
      <c r="A9189" s="219" t="s">
        <v>70</v>
      </c>
      <c r="B9189" s="219"/>
      <c r="C9189" s="219"/>
      <c r="D9189" s="219"/>
      <c r="E9189" s="219"/>
      <c r="F9189" s="219"/>
      <c r="G9189" s="219"/>
    </row>
    <row r="9190" spans="1:9" x14ac:dyDescent="0.25">
      <c r="A9190" s="49" t="s">
        <v>35</v>
      </c>
      <c r="B9190" s="219" t="s">
        <v>36</v>
      </c>
      <c r="C9190" s="219"/>
      <c r="D9190" s="49" t="s">
        <v>37</v>
      </c>
      <c r="E9190" s="49" t="s">
        <v>38</v>
      </c>
      <c r="F9190" s="49" t="s">
        <v>39</v>
      </c>
      <c r="G9190" s="49" t="s">
        <v>40</v>
      </c>
    </row>
    <row r="9191" spans="1:9" x14ac:dyDescent="0.25">
      <c r="A9191" s="50" t="s">
        <v>71</v>
      </c>
      <c r="B9191" s="71" t="str">
        <f>VLOOKUP(A9191,'Componentes APUs'!$A$1:$D$14,2,0)</f>
        <v>Camisa indigo sin partes metalicas</v>
      </c>
      <c r="C9191" s="71"/>
      <c r="D9191" s="50" t="str">
        <f>VLOOKUP(A9191,'Componentes APUs'!$A$1:$D$14,3,0)</f>
        <v>U</v>
      </c>
      <c r="E9191" s="50">
        <f>SUM(C9171:C9176)</f>
        <v>3</v>
      </c>
      <c r="F9191" s="51">
        <f>VLOOKUP(A9191,'Componentes APUs'!$A$1:$D$14,4,0)</f>
        <v>8585.8585858585866</v>
      </c>
      <c r="G9191" s="51">
        <f>ROUNDUP(F9191*(E9191/21)/E9159,0)</f>
        <v>16</v>
      </c>
      <c r="I9191" s="91"/>
    </row>
    <row r="9192" spans="1:9" x14ac:dyDescent="0.25">
      <c r="A9192" s="69" t="s">
        <v>73</v>
      </c>
      <c r="B9192" s="72" t="str">
        <f>VLOOKUP(A9192,'Componentes APUs'!$A$1:$D$14,2,0)</f>
        <v>Bota de seguridad dielectrica</v>
      </c>
      <c r="C9192" s="73"/>
      <c r="D9192" s="70" t="str">
        <f>VLOOKUP(A9192,'Componentes APUs'!$A$1:$D$14,3,0)</f>
        <v>Par</v>
      </c>
      <c r="E9192" s="50">
        <f>SUM(C9171:C9176)</f>
        <v>3</v>
      </c>
      <c r="F9192" s="51">
        <f>VLOOKUP(A9192,'Componentes APUs'!$A$1:$D$14,4,0)</f>
        <v>7500</v>
      </c>
      <c r="G9192" s="51">
        <f>ROUNDUP(F9192*(E9192/21)/E9159,0)</f>
        <v>14</v>
      </c>
    </row>
    <row r="9193" spans="1:9" x14ac:dyDescent="0.25">
      <c r="A9193" s="50" t="s">
        <v>76</v>
      </c>
      <c r="B9193" s="72" t="str">
        <f>VLOOKUP(A9193,'Componentes APUs'!$A$1:$D$14,2,0)</f>
        <v>Casco dielectrico Tipo 1 Clase E con barbuquejo</v>
      </c>
      <c r="C9193" s="73"/>
      <c r="D9193" s="50" t="str">
        <f>VLOOKUP(A9193,'Componentes APUs'!$A$1:$D$14,3,0)</f>
        <v>U</v>
      </c>
      <c r="E9193" s="50">
        <f>C9171+C9172+C9174+C9175+C9176+IF(A9173&lt;&gt;"MO-3",C9173,0)</f>
        <v>3</v>
      </c>
      <c r="F9193" s="51">
        <f>VLOOKUP(A9193,'Componentes APUs'!$A$1:$D$14,4,0)</f>
        <v>10101.010101010101</v>
      </c>
      <c r="G9193" s="51">
        <f>ROUNDUP(F9193*(E9193/21)/E9159,0)</f>
        <v>19</v>
      </c>
    </row>
    <row r="9194" spans="1:9" x14ac:dyDescent="0.25">
      <c r="A9194" s="69" t="s">
        <v>77</v>
      </c>
      <c r="B9194" s="72" t="str">
        <f>VLOOKUP(A9194,'Componentes APUs'!$A$1:$D$14,2,0)</f>
        <v>Correa plastica y antiflama</v>
      </c>
      <c r="C9194" s="73"/>
      <c r="D9194" s="50" t="str">
        <f>VLOOKUP(A9194,'Componentes APUs'!$A$1:$D$14,3,0)</f>
        <v>U</v>
      </c>
      <c r="E9194" s="50">
        <f>SUM(C9171:C9176)</f>
        <v>3</v>
      </c>
      <c r="F9194" s="51">
        <f>VLOOKUP(A9194,'Componentes APUs'!$A$1:$D$14,4,0)</f>
        <v>3787.878787878788</v>
      </c>
      <c r="G9194" s="51">
        <f>ROUNDUP(F9194*(E9194/21)/E9159,0)</f>
        <v>7</v>
      </c>
    </row>
    <row r="9195" spans="1:9" x14ac:dyDescent="0.25">
      <c r="A9195" s="50" t="s">
        <v>79</v>
      </c>
      <c r="B9195" s="72" t="str">
        <f>VLOOKUP(A9195,'Componentes APUs'!$A$1:$D$14,2,0)</f>
        <v>Gafas protectoras filtro UV</v>
      </c>
      <c r="C9195" s="73"/>
      <c r="D9195" s="50" t="str">
        <f>VLOOKUP(A9195,'Componentes APUs'!$A$1:$D$14,3,0)</f>
        <v>U</v>
      </c>
      <c r="E9195" s="50">
        <f>SUM(C9171:C9176)</f>
        <v>3</v>
      </c>
      <c r="F9195" s="51">
        <f>VLOOKUP(A9195,'Componentes APUs'!$A$1:$D$14,4,0)</f>
        <v>2777.7777777777778</v>
      </c>
      <c r="G9195" s="51">
        <f>ROUNDUP(F9195*(E9195/21)/E9159,0)</f>
        <v>5</v>
      </c>
    </row>
    <row r="9196" spans="1:9" x14ac:dyDescent="0.25">
      <c r="A9196" s="69" t="s">
        <v>402</v>
      </c>
      <c r="B9196" s="72" t="str">
        <f>VLOOKUP(A9196,'Componentes APUs'!$A$1:$D$14,2,0)</f>
        <v>Bota de seguridad PVC dielectrica</v>
      </c>
      <c r="C9196" s="73"/>
      <c r="D9196" s="50" t="str">
        <f>VLOOKUP(A9196,'Componentes APUs'!$A$1:$D$14,3,0)</f>
        <v>Par</v>
      </c>
      <c r="E9196" s="50">
        <f>SUM(C9171:C9176)</f>
        <v>3</v>
      </c>
      <c r="F9196" s="51">
        <f>VLOOKUP(A9196,'Componentes APUs'!$A$1:$D$14,4,0)</f>
        <v>2916.6666666666665</v>
      </c>
      <c r="G9196" s="51">
        <f>ROUNDUP(F9196*(E9196/21)/E9159,0)</f>
        <v>6</v>
      </c>
    </row>
    <row r="9197" spans="1:9" x14ac:dyDescent="0.25">
      <c r="A9197" s="50" t="s">
        <v>403</v>
      </c>
      <c r="B9197" s="72" t="str">
        <f>VLOOKUP(A9197,'Componentes APUs'!$A$1:$D$14,2,0)</f>
        <v>Capuchon</v>
      </c>
      <c r="C9197" s="73"/>
      <c r="D9197" s="50" t="str">
        <f>VLOOKUP(A9197,'Componentes APUs'!$A$1:$D$14,3,0)</f>
        <v>U</v>
      </c>
      <c r="E9197" s="50">
        <f>SUM(C9171:C9176)</f>
        <v>3</v>
      </c>
      <c r="F9197" s="51">
        <f>VLOOKUP(A9197,'Componentes APUs'!$A$1:$D$14,4,0)</f>
        <v>2525.2525252525252</v>
      </c>
      <c r="G9197" s="51">
        <f>ROUNDUP(F9197*(E9197/21)/E9159,0)</f>
        <v>5</v>
      </c>
    </row>
    <row r="9198" spans="1:9" x14ac:dyDescent="0.25">
      <c r="A9198" s="69" t="s">
        <v>81</v>
      </c>
      <c r="B9198" s="72" t="str">
        <f>VLOOKUP(A9198,'Componentes APUs'!$A$1:$D$14,2,0)</f>
        <v>Guantes Protectores  - ingeniero reforzados</v>
      </c>
      <c r="C9198" s="73"/>
      <c r="D9198" s="50" t="str">
        <f>VLOOKUP(A9198,'Componentes APUs'!$A$1:$D$14,3,0)</f>
        <v>Par</v>
      </c>
      <c r="E9198" s="50">
        <f>C9173+C9174+C9176</f>
        <v>3</v>
      </c>
      <c r="F9198" s="51">
        <f>VLOOKUP(A9198,'Componentes APUs'!$A$1:$D$14,4,0)</f>
        <v>2525.2525252525252</v>
      </c>
      <c r="G9198" s="51">
        <f>ROUNDUP(F9198*(E9198/21)/E9159,0)</f>
        <v>5</v>
      </c>
    </row>
    <row r="9199" spans="1:9" x14ac:dyDescent="0.25">
      <c r="A9199" s="50" t="s">
        <v>83</v>
      </c>
      <c r="B9199" s="72" t="str">
        <f>VLOOKUP(A9199,'Componentes APUs'!$A$1:$D$14,2,0)</f>
        <v>Impermeable (pantalon camisa)</v>
      </c>
      <c r="C9199" s="73"/>
      <c r="D9199" s="50" t="str">
        <f>VLOOKUP(A9199,'Componentes APUs'!$A$1:$D$14,3,0)</f>
        <v>U</v>
      </c>
      <c r="E9199" s="50">
        <f>SUM(C9171:C9176)</f>
        <v>3</v>
      </c>
      <c r="F9199" s="51">
        <f>VLOOKUP(A9199,'Componentes APUs'!$A$1:$D$14,4,0)</f>
        <v>3750</v>
      </c>
      <c r="G9199" s="51">
        <f>ROUNDUP(F9199*(E9199/21)/E9159,0)</f>
        <v>7</v>
      </c>
    </row>
    <row r="9200" spans="1:9" x14ac:dyDescent="0.25">
      <c r="A9200" s="69" t="s">
        <v>85</v>
      </c>
      <c r="B9200" s="72" t="str">
        <f>VLOOKUP(A9200,'Componentes APUs'!$A$1:$D$14,2,0)</f>
        <v>Jean Dielectrico</v>
      </c>
      <c r="C9200" s="73"/>
      <c r="D9200" s="50" t="str">
        <f>VLOOKUP(A9200,'Componentes APUs'!$A$1:$D$14,3,0)</f>
        <v>U</v>
      </c>
      <c r="E9200" s="50">
        <f>SUM(C9171:C9176)</f>
        <v>3</v>
      </c>
      <c r="F9200" s="51">
        <f>VLOOKUP(A9200,'Componentes APUs'!$A$1:$D$14,4,0)</f>
        <v>7575.757575757576</v>
      </c>
      <c r="G9200" s="51">
        <f>ROUNDUP(F9200*(E9200/21)/E9159,0)</f>
        <v>14</v>
      </c>
    </row>
    <row r="9201" spans="1:7" x14ac:dyDescent="0.25">
      <c r="A9201" s="50" t="s">
        <v>87</v>
      </c>
      <c r="B9201" s="72" t="str">
        <f>VLOOKUP(A9201,'Componentes APUs'!$A$1:$D$14,2,0)</f>
        <v>Casco dielectrico Tipo 2 Clase E con barboquejo</v>
      </c>
      <c r="C9201" s="73"/>
      <c r="D9201" s="50" t="str">
        <f>VLOOKUP(A9201,'Componentes APUs'!$A$1:$D$14,3,0)</f>
        <v>U</v>
      </c>
      <c r="E9201" s="53">
        <f>IF(A9173="MO-3",C9173,0)</f>
        <v>0</v>
      </c>
      <c r="F9201" s="51">
        <f>VLOOKUP(A9201,'Componentes APUs'!$A$1:$D$14,4,0)</f>
        <v>7500</v>
      </c>
      <c r="G9201" s="51">
        <f>ROUNDUP(F9201*(E9201/21)/E9159,0)</f>
        <v>0</v>
      </c>
    </row>
    <row r="9202" spans="1:7" x14ac:dyDescent="0.25">
      <c r="A9202" s="69" t="s">
        <v>89</v>
      </c>
      <c r="B9202" s="72" t="str">
        <f>VLOOKUP(A9202,'Componentes APUs'!$A$1:$D$14,2,0)</f>
        <v>Kit de rescate para trabajo en alturas</v>
      </c>
      <c r="C9202" s="73"/>
      <c r="D9202" s="50" t="str">
        <f>VLOOKUP(A9202,'Componentes APUs'!$A$1:$D$14,3,0)</f>
        <v>U</v>
      </c>
      <c r="E9202" s="50">
        <f>IF(AND(A9173="MO-3",C9173=2),1,0)</f>
        <v>0</v>
      </c>
      <c r="F9202" s="51">
        <f>VLOOKUP(A9202,'Componentes APUs'!$A$1:$D$14,4,0)</f>
        <v>37500</v>
      </c>
      <c r="G9202" s="51">
        <f>ROUNDUP(F9202*(E9202/21)/E9159,0)</f>
        <v>0</v>
      </c>
    </row>
    <row r="9203" spans="1:7" x14ac:dyDescent="0.25">
      <c r="A9203" s="50" t="s">
        <v>91</v>
      </c>
      <c r="B9203" s="72" t="str">
        <f>VLOOKUP(A9203,'Componentes APUs'!$A$1:$D$14,2,0)</f>
        <v>Equipo completo para trabajo en alturas con pretales (Arnes dielectrico, 1 mosqueton de seguridad, tie off dielectrico, eslinga de posicionamiento, juego de pretales)</v>
      </c>
      <c r="C9203" s="73"/>
      <c r="D9203" s="50" t="str">
        <f>VLOOKUP(A9203,'Componentes APUs'!$A$1:$D$14,3,0)</f>
        <v>U</v>
      </c>
      <c r="E9203" s="50">
        <f>IF(A9173="MO-3",C9173,0)</f>
        <v>0</v>
      </c>
      <c r="F9203" s="51">
        <f>VLOOKUP(A9203,'Componentes APUs'!$A$1:$D$14,4,0)</f>
        <v>26041.666666666668</v>
      </c>
      <c r="G9203" s="51">
        <f>ROUNDUP(F9203*(E9203/21)/E9159,0)</f>
        <v>0</v>
      </c>
    </row>
    <row r="9204" spans="1:7" x14ac:dyDescent="0.25">
      <c r="A9204" s="219" t="s">
        <v>95</v>
      </c>
      <c r="B9204" s="219"/>
      <c r="C9204" s="219"/>
      <c r="D9204" s="219"/>
      <c r="E9204" s="219"/>
      <c r="F9204" s="219"/>
      <c r="G9204" s="52">
        <f>SUM(G9191:G9203)</f>
        <v>98</v>
      </c>
    </row>
    <row r="9205" spans="1:7" x14ac:dyDescent="0.25">
      <c r="A9205" s="56"/>
      <c r="B9205" s="57"/>
      <c r="C9205" s="57"/>
      <c r="D9205" s="57"/>
      <c r="E9205" s="57"/>
      <c r="F9205" s="57"/>
      <c r="G9205" s="58"/>
    </row>
    <row r="9206" spans="1:7" x14ac:dyDescent="0.25">
      <c r="A9206" s="219" t="s">
        <v>96</v>
      </c>
      <c r="B9206" s="219"/>
      <c r="C9206" s="219"/>
      <c r="D9206" s="219"/>
      <c r="E9206" s="219"/>
      <c r="F9206" s="219"/>
      <c r="G9206" s="219"/>
    </row>
    <row r="9207" spans="1:7" x14ac:dyDescent="0.25">
      <c r="A9207" s="49" t="s">
        <v>35</v>
      </c>
      <c r="B9207" s="225" t="s">
        <v>36</v>
      </c>
      <c r="C9207" s="225"/>
      <c r="D9207" s="49" t="s">
        <v>37</v>
      </c>
      <c r="E9207" s="49" t="s">
        <v>38</v>
      </c>
      <c r="F9207" s="49" t="s">
        <v>39</v>
      </c>
      <c r="G9207" s="49" t="s">
        <v>40</v>
      </c>
    </row>
    <row r="9208" spans="1:7" x14ac:dyDescent="0.25">
      <c r="A9208" s="69" t="s">
        <v>97</v>
      </c>
      <c r="B9208" s="72" t="str">
        <f>VLOOKUP(A9208,'Componentes APUs'!$N$1:$Q$30,2,0)</f>
        <v>Camioneta</v>
      </c>
      <c r="C9208" s="73"/>
      <c r="D9208" s="70" t="str">
        <f>VLOOKUP(A9208,'Componentes APUs'!$N$1:$Q$30,3,0)</f>
        <v>U</v>
      </c>
      <c r="E9208" s="50">
        <v>1</v>
      </c>
      <c r="F9208" s="51">
        <f>VLOOKUP(A9208,'Componentes APUs'!$N$1:$Q$30,4,0)</f>
        <v>5500000</v>
      </c>
      <c r="G9208" s="51">
        <f>IFERROR(ROUNDUP(F9208*(E9208/21)/E9159,0),"-")</f>
        <v>3274</v>
      </c>
    </row>
    <row r="9209" spans="1:7" x14ac:dyDescent="0.25">
      <c r="A9209" s="50" t="s">
        <v>1473</v>
      </c>
      <c r="B9209" s="72" t="str">
        <f>VLOOKUP(A9209,'Componentes APUs'!$N$1:$Q$30,2,0)</f>
        <v>Concretera</v>
      </c>
      <c r="C9209" s="73"/>
      <c r="D9209" s="70" t="str">
        <f>VLOOKUP(A9209,'Componentes APUs'!$N$1:$Q$30,3,0)</f>
        <v>U</v>
      </c>
      <c r="E9209" s="50">
        <v>0</v>
      </c>
      <c r="F9209" s="51">
        <f>VLOOKUP(A9209,'Componentes APUs'!$N$1:$Q$30,4,0)</f>
        <v>550704</v>
      </c>
      <c r="G9209" s="51">
        <f>IFERROR(ROUNDUP(F9209*(E9209/21)/E9159,0),"-")</f>
        <v>0</v>
      </c>
    </row>
    <row r="9210" spans="1:7" x14ac:dyDescent="0.25">
      <c r="A9210" s="69" t="s">
        <v>1379</v>
      </c>
      <c r="B9210" s="72" t="str">
        <f>VLOOKUP(A9210,'Componentes APUs'!$N$1:$Q$30,2,0)</f>
        <v>Dumper de descarga Frontal 2T</v>
      </c>
      <c r="C9210" s="73"/>
      <c r="D9210" s="70" t="str">
        <f>VLOOKUP(A9210,'Componentes APUs'!$N$1:$Q$30,3,0)</f>
        <v>U</v>
      </c>
      <c r="E9210" s="50">
        <v>0</v>
      </c>
      <c r="F9210" s="51">
        <f>VLOOKUP(A9210,'Componentes APUs'!$N$1:$Q$30,4,0)</f>
        <v>4438716.24</v>
      </c>
      <c r="G9210" s="51">
        <f>IFERROR(ROUNDUP(F9210*(E9210/21)/E9159,0),"-")</f>
        <v>0</v>
      </c>
    </row>
    <row r="9211" spans="1:7" x14ac:dyDescent="0.25">
      <c r="A9211" s="50" t="s">
        <v>323</v>
      </c>
      <c r="B9211" s="72" t="str">
        <f>VLOOKUP(A9211,'Componentes APUs'!$N$1:$Q$30,2,0)</f>
        <v>Volqueta</v>
      </c>
      <c r="C9211" s="73"/>
      <c r="D9211" s="70" t="str">
        <f>VLOOKUP(A9211,'Componentes APUs'!$N$1:$Q$30,3,0)</f>
        <v>U</v>
      </c>
      <c r="E9211" s="50">
        <v>0</v>
      </c>
      <c r="F9211" s="51">
        <f>VLOOKUP(A9211,'Componentes APUs'!$N$1:$Q$30,4,0)</f>
        <v>14828184</v>
      </c>
      <c r="G9211" s="51">
        <f>IFERROR(ROUNDUP(F9211*(E9211/21)/E9159,0),"-")</f>
        <v>0</v>
      </c>
    </row>
    <row r="9212" spans="1:7" x14ac:dyDescent="0.25">
      <c r="A9212" s="69" t="s">
        <v>324</v>
      </c>
      <c r="B9212" s="72" t="str">
        <f>VLOOKUP(A9212,'Componentes APUs'!$N$1:$Q$30,2,0)</f>
        <v>Retroexcavadora</v>
      </c>
      <c r="C9212" s="73"/>
      <c r="D9212" s="70" t="str">
        <f>VLOOKUP(A9212,'Componentes APUs'!$N$1:$Q$30,3,0)</f>
        <v>U</v>
      </c>
      <c r="E9212" s="50">
        <v>0</v>
      </c>
      <c r="F9212" s="51">
        <f>VLOOKUP(A9212,'Componentes APUs'!$N$1:$Q$30,4,0)</f>
        <v>46030656</v>
      </c>
      <c r="G9212" s="51">
        <f>IFERROR(ROUNDUP(F9212*(E9212/21)/E9159,0),"-")</f>
        <v>0</v>
      </c>
    </row>
    <row r="9213" spans="1:7" x14ac:dyDescent="0.25">
      <c r="A9213" s="69" t="s">
        <v>2209</v>
      </c>
      <c r="B9213" s="72" t="str">
        <f>VLOOKUP(A9213,'Componentes APUs'!$N$1:$Q$30,2,0)</f>
        <v>Carrotanque de agua (1000 Galones)</v>
      </c>
      <c r="C9213" s="73"/>
      <c r="D9213" s="70" t="str">
        <f>VLOOKUP(A9213,'Componentes APUs'!$N$1:$Q$30,3,0)</f>
        <v>U</v>
      </c>
      <c r="E9213" s="50">
        <v>2.5999999999999999E-2</v>
      </c>
      <c r="F9213" s="51">
        <f>VLOOKUP(A9213,'Componentes APUs'!$N$1:$Q$30,4,0)</f>
        <v>20836807.228915609</v>
      </c>
      <c r="G9213" s="51">
        <f>IFERROR(ROUNDUP(F9213*(E9213/21)/E9159,0),"-")</f>
        <v>323</v>
      </c>
    </row>
    <row r="9214" spans="1:7" x14ac:dyDescent="0.25">
      <c r="A9214" s="69" t="s">
        <v>2216</v>
      </c>
      <c r="B9214" s="72" t="str">
        <f>VLOOKUP(A9214,'Componentes APUs'!$N$1:$Q$30,2,0)</f>
        <v>Compresor (barrido y soplado)</v>
      </c>
      <c r="C9214" s="73"/>
      <c r="D9214" s="70" t="str">
        <f>VLOOKUP(A9214,'Componentes APUs'!$N$1:$Q$30,3,0)</f>
        <v>U</v>
      </c>
      <c r="E9214" s="50">
        <v>2.1000000000000001E-2</v>
      </c>
      <c r="F9214" s="51">
        <f>VLOOKUP(A9214,'Componentes APUs'!$N$1:$Q$30,4,0)</f>
        <v>9045095.9943499174</v>
      </c>
      <c r="G9214" s="51">
        <f>IFERROR(ROUNDUP(F9214*(E9214/21)/E9159,0),"-")</f>
        <v>114</v>
      </c>
    </row>
    <row r="9215" spans="1:7" x14ac:dyDescent="0.25">
      <c r="A9215" s="219" t="s">
        <v>99</v>
      </c>
      <c r="B9215" s="219"/>
      <c r="C9215" s="219"/>
      <c r="D9215" s="219"/>
      <c r="E9215" s="219"/>
      <c r="F9215" s="219"/>
      <c r="G9215" s="52">
        <f>SUM(G9208:G9214)</f>
        <v>3711</v>
      </c>
    </row>
    <row r="9216" spans="1:7" x14ac:dyDescent="0.25">
      <c r="A9216" s="56"/>
      <c r="B9216" s="57"/>
      <c r="C9216" s="57"/>
      <c r="D9216" s="57"/>
      <c r="E9216" s="57"/>
      <c r="F9216" s="57"/>
      <c r="G9216" s="58"/>
    </row>
    <row r="9217" spans="1:12" x14ac:dyDescent="0.25">
      <c r="A9217" s="219" t="s">
        <v>100</v>
      </c>
      <c r="B9217" s="219"/>
      <c r="C9217" s="219"/>
      <c r="D9217" s="219"/>
      <c r="E9217" s="219"/>
      <c r="F9217" s="219"/>
      <c r="G9217" s="52">
        <f>G9215+G9204+G9187+G9177+G9167</f>
        <v>11997</v>
      </c>
    </row>
    <row r="9218" spans="1:12" x14ac:dyDescent="0.25">
      <c r="A9218" s="59"/>
      <c r="B9218" s="60"/>
      <c r="C9218" s="60"/>
      <c r="D9218" s="60"/>
      <c r="E9218" s="57"/>
      <c r="F9218" s="57"/>
      <c r="G9218" s="58"/>
    </row>
    <row r="9219" spans="1:12" x14ac:dyDescent="0.25">
      <c r="A9219" s="64"/>
      <c r="D9219" s="55"/>
      <c r="E9219" s="49" t="s">
        <v>25</v>
      </c>
      <c r="F9219" s="54">
        <v>0.15</v>
      </c>
      <c r="G9219" s="51">
        <f>G9217*F9219</f>
        <v>1799.55</v>
      </c>
    </row>
    <row r="9220" spans="1:12" x14ac:dyDescent="0.25">
      <c r="A9220" s="64"/>
      <c r="D9220" s="55"/>
      <c r="E9220" s="49" t="s">
        <v>26</v>
      </c>
      <c r="F9220" s="54">
        <v>0.05</v>
      </c>
      <c r="G9220" s="51">
        <f>G9217*F9220</f>
        <v>599.85</v>
      </c>
    </row>
    <row r="9221" spans="1:12" x14ac:dyDescent="0.25">
      <c r="A9221" s="61"/>
      <c r="B9221" s="65"/>
      <c r="C9221" s="65"/>
      <c r="D9221" s="62"/>
      <c r="E9221" s="49" t="s">
        <v>27</v>
      </c>
      <c r="F9221" s="54">
        <v>0.05</v>
      </c>
      <c r="G9221" s="51">
        <f>G9217*F9221</f>
        <v>599.85</v>
      </c>
    </row>
    <row r="9222" spans="1:12" x14ac:dyDescent="0.25">
      <c r="A9222" s="61"/>
      <c r="B9222" s="62"/>
      <c r="C9222" s="62"/>
      <c r="D9222" s="62"/>
      <c r="E9222" s="62"/>
      <c r="F9222" s="62"/>
      <c r="G9222" s="63"/>
    </row>
    <row r="9223" spans="1:12" x14ac:dyDescent="0.25">
      <c r="A9223" s="219" t="s">
        <v>101</v>
      </c>
      <c r="B9223" s="219"/>
      <c r="C9223" s="219"/>
      <c r="D9223" s="219"/>
      <c r="E9223" s="219"/>
      <c r="F9223" s="219"/>
      <c r="G9223" s="52">
        <f>G9217+G9219+G9220+G9221</f>
        <v>14996.25</v>
      </c>
    </row>
    <row r="9224" spans="1:12" x14ac:dyDescent="0.25">
      <c r="A9224" s="59"/>
      <c r="B9224" s="60"/>
      <c r="C9224" s="60"/>
      <c r="D9224" s="60"/>
      <c r="E9224" s="57"/>
      <c r="F9224" s="57"/>
      <c r="G9224" s="58"/>
    </row>
    <row r="9225" spans="1:12" x14ac:dyDescent="0.25">
      <c r="A9225" s="64"/>
      <c r="D9225" s="55"/>
      <c r="E9225" s="49" t="s">
        <v>102</v>
      </c>
      <c r="F9225" s="49" t="s">
        <v>103</v>
      </c>
      <c r="G9225" s="51">
        <f>G9221*19%</f>
        <v>113.97150000000001</v>
      </c>
    </row>
    <row r="9226" spans="1:12" x14ac:dyDescent="0.25">
      <c r="A9226" s="61"/>
      <c r="B9226" s="62"/>
      <c r="C9226" s="62"/>
      <c r="D9226" s="62"/>
      <c r="E9226" s="57"/>
      <c r="F9226" s="57"/>
      <c r="G9226" s="58"/>
    </row>
    <row r="9227" spans="1:12" x14ac:dyDescent="0.25">
      <c r="A9227" s="219" t="s">
        <v>104</v>
      </c>
      <c r="B9227" s="219"/>
      <c r="C9227" s="219"/>
      <c r="D9227" s="219"/>
      <c r="E9227" s="219"/>
      <c r="F9227" s="219"/>
      <c r="G9227" s="52">
        <f>G9225+G9223</f>
        <v>15110.2215</v>
      </c>
    </row>
    <row r="9229" spans="1:12" x14ac:dyDescent="0.25">
      <c r="A9229" s="74" t="s">
        <v>29</v>
      </c>
      <c r="B9229" s="226" t="s">
        <v>30</v>
      </c>
      <c r="C9229" s="226"/>
      <c r="D9229" s="74" t="s">
        <v>31</v>
      </c>
      <c r="E9229" s="74" t="s">
        <v>32</v>
      </c>
      <c r="F9229" s="74" t="s">
        <v>189</v>
      </c>
      <c r="G9229" s="74" t="s">
        <v>33</v>
      </c>
      <c r="H9229" s="105"/>
    </row>
    <row r="9230" spans="1:12" ht="27" customHeight="1" x14ac:dyDescent="0.25">
      <c r="A9230" s="50" t="str">
        <f>Presupuesto!B171</f>
        <v>147_OC</v>
      </c>
      <c r="B9230" s="229" t="str">
        <f>Presupuesto!C171</f>
        <v>LINEA DE 0.15 CM EN PINTURA DE TRAFICO PARA SEÑALIZACIÓN HORIZONTAL</v>
      </c>
      <c r="C9230" s="230"/>
      <c r="D9230" s="50" t="s">
        <v>16</v>
      </c>
      <c r="E9230" s="53">
        <v>400</v>
      </c>
      <c r="F9230" s="50"/>
      <c r="G9230" s="51">
        <f>G9297</f>
        <v>4074.4825000000001</v>
      </c>
      <c r="H9230" s="111"/>
    </row>
    <row r="9231" spans="1:12" x14ac:dyDescent="0.25">
      <c r="A9231" s="219" t="s">
        <v>34</v>
      </c>
      <c r="B9231" s="219"/>
      <c r="C9231" s="219"/>
      <c r="D9231" s="219"/>
      <c r="E9231" s="219"/>
      <c r="F9231" s="219"/>
      <c r="G9231" s="219"/>
    </row>
    <row r="9232" spans="1:12" ht="30.75" customHeight="1" x14ac:dyDescent="0.25">
      <c r="A9232" s="49" t="s">
        <v>35</v>
      </c>
      <c r="B9232" s="219" t="s">
        <v>36</v>
      </c>
      <c r="C9232" s="219"/>
      <c r="D9232" s="49" t="s">
        <v>37</v>
      </c>
      <c r="E9232" s="49" t="s">
        <v>38</v>
      </c>
      <c r="F9232" s="49" t="s">
        <v>39</v>
      </c>
      <c r="G9232" s="49" t="s">
        <v>40</v>
      </c>
      <c r="K9232" s="23"/>
      <c r="L9232" s="23"/>
    </row>
    <row r="9233" spans="1:13" x14ac:dyDescent="0.25">
      <c r="A9233" s="50" t="str">
        <f>Material!A526</f>
        <v>MA-525</v>
      </c>
      <c r="B9233" s="72" t="str">
        <f>IFERROR(VLOOKUP(A9233,Material!$A:$H,2,0),"-")</f>
        <v xml:space="preserve">MICROESFERAS REFLECTIVAS DE VIDRIO </v>
      </c>
      <c r="C9233" s="76"/>
      <c r="D9233" s="50" t="str">
        <f>IFERROR(VLOOKUP(A9233,Material!$A:$H,4,0),"-")</f>
        <v>KG</v>
      </c>
      <c r="E9233" s="107">
        <v>5.3199999999999997E-2</v>
      </c>
      <c r="F9233" s="51">
        <f>IFERROR(VLOOKUP(A9233,Material!$A:$H,3,0),"-")</f>
        <v>8776.7068804966384</v>
      </c>
      <c r="G9233" s="51">
        <f t="shared" ref="G9233:G9238" si="129">IFERROR(ROUNDUP(F9233*E9233,0),"-")</f>
        <v>467</v>
      </c>
      <c r="H9233" s="112"/>
      <c r="I9233" s="110"/>
      <c r="J9233" s="113"/>
      <c r="K9233" s="114"/>
      <c r="L9233" s="115"/>
      <c r="M9233" s="115"/>
    </row>
    <row r="9234" spans="1:13" x14ac:dyDescent="0.25">
      <c r="A9234" s="50" t="str">
        <f>Material!A527</f>
        <v>MA-526</v>
      </c>
      <c r="B9234" s="72" t="str">
        <f>IFERROR(VLOOKUP(A9234,Material!$A:$H,2,0),"-")</f>
        <v>PINTURA ACRÍLICA PURA PARA DEMARCACION VIAL.</v>
      </c>
      <c r="C9234" s="76"/>
      <c r="D9234" s="50" t="str">
        <f>IFERROR(VLOOKUP(A9234,Material!$A:$H,4,0),"-")</f>
        <v>GL</v>
      </c>
      <c r="E9234" s="109">
        <v>1.2999999999999999E-2</v>
      </c>
      <c r="F9234" s="51">
        <f>IFERROR(VLOOKUP(A9234,Material!$A:$H,3,0),"-")</f>
        <v>110449.71171892511</v>
      </c>
      <c r="G9234" s="51">
        <f t="shared" si="129"/>
        <v>1436</v>
      </c>
      <c r="H9234" s="112"/>
      <c r="I9234" s="110"/>
      <c r="J9234" s="113"/>
      <c r="K9234" s="114"/>
      <c r="L9234" s="115"/>
      <c r="M9234" s="115"/>
    </row>
    <row r="9235" spans="1:13" x14ac:dyDescent="0.25">
      <c r="A9235" s="50" t="str">
        <f>Material!A528</f>
        <v>MA-527</v>
      </c>
      <c r="B9235" s="72" t="str">
        <f>IFERROR(VLOOKUP(A9235,Material!$A:$H,2,0),"-")</f>
        <v>DISOLVENTE PARA PINTURA DE DEMARCACION VIAL (XILOL)</v>
      </c>
      <c r="C9235" s="76"/>
      <c r="D9235" s="50" t="str">
        <f>IFERROR(VLOOKUP(A9235,Material!$A:$H,4,0),"-")</f>
        <v>GL</v>
      </c>
      <c r="E9235" s="107">
        <v>4.2999999999999999E-4</v>
      </c>
      <c r="F9235" s="51">
        <f>IFERROR(VLOOKUP(A9235,Material!$A:$H,3,0),"-")</f>
        <v>71931.846338038595</v>
      </c>
      <c r="G9235" s="51">
        <f t="shared" si="129"/>
        <v>31</v>
      </c>
      <c r="H9235" s="112"/>
      <c r="I9235" s="110"/>
      <c r="J9235" s="113"/>
      <c r="K9235" s="114"/>
      <c r="L9235" s="115"/>
      <c r="M9235" s="115"/>
    </row>
    <row r="9236" spans="1:13" x14ac:dyDescent="0.25">
      <c r="A9236" s="50"/>
      <c r="B9236" s="72" t="str">
        <f>IFERROR(VLOOKUP(A9236,Material!$A:$H,2,0),"-")</f>
        <v>-</v>
      </c>
      <c r="C9236" s="76"/>
      <c r="D9236" s="50" t="str">
        <f>IFERROR(VLOOKUP(A9236,Material!$A:$H,4,0),"-")</f>
        <v>-</v>
      </c>
      <c r="E9236" s="107"/>
      <c r="F9236" s="51" t="str">
        <f>IFERROR(VLOOKUP(A9236,Material!$A:$H,3,0),"-")</f>
        <v>-</v>
      </c>
      <c r="G9236" s="51" t="str">
        <f t="shared" si="129"/>
        <v>-</v>
      </c>
      <c r="H9236" s="112"/>
      <c r="I9236" s="110"/>
      <c r="J9236" s="113"/>
      <c r="K9236" s="114"/>
      <c r="L9236" s="115"/>
      <c r="M9236" s="115"/>
    </row>
    <row r="9237" spans="1:13" x14ac:dyDescent="0.25">
      <c r="A9237" s="50"/>
      <c r="B9237" s="72" t="str">
        <f>IFERROR(VLOOKUP(A9237,Material!$A:$H,2,0),"-")</f>
        <v>-</v>
      </c>
      <c r="C9237" s="76"/>
      <c r="D9237" s="50" t="str">
        <f>IFERROR(VLOOKUP(A9237,Material!$A:$H,4,0),"-")</f>
        <v>-</v>
      </c>
      <c r="E9237" s="107"/>
      <c r="F9237" s="51" t="str">
        <f>IFERROR(VLOOKUP(A9237,Material!$A:$H,3,0),"-")</f>
        <v>-</v>
      </c>
      <c r="G9237" s="51" t="str">
        <f t="shared" si="129"/>
        <v>-</v>
      </c>
      <c r="H9237" s="112"/>
      <c r="I9237" s="110"/>
      <c r="J9237" s="113"/>
      <c r="K9237" s="114"/>
      <c r="L9237" s="115"/>
      <c r="M9237" s="115"/>
    </row>
    <row r="9238" spans="1:13" x14ac:dyDescent="0.25">
      <c r="A9238" s="50"/>
      <c r="B9238" s="72" t="str">
        <f>IFERROR(VLOOKUP(A9238,Material!$A:$H,2,0),"-")</f>
        <v>-</v>
      </c>
      <c r="C9238" s="76"/>
      <c r="D9238" s="50" t="str">
        <f>IFERROR(VLOOKUP(A9238,Material!$A:$H,4,0),"-")</f>
        <v>-</v>
      </c>
      <c r="E9238" s="107"/>
      <c r="F9238" s="51" t="str">
        <f>IFERROR(VLOOKUP(A9238,Material!$A:$H,3,0),"-")</f>
        <v>-</v>
      </c>
      <c r="G9238" s="51" t="str">
        <f t="shared" si="129"/>
        <v>-</v>
      </c>
      <c r="H9238" s="112"/>
      <c r="I9238" s="110"/>
      <c r="J9238" s="113"/>
      <c r="K9238" s="114"/>
      <c r="L9238" s="115"/>
      <c r="M9238" s="114"/>
    </row>
    <row r="9239" spans="1:13" x14ac:dyDescent="0.25">
      <c r="A9239" s="219" t="s">
        <v>41</v>
      </c>
      <c r="B9239" s="219"/>
      <c r="C9239" s="219"/>
      <c r="D9239" s="219"/>
      <c r="E9239" s="219"/>
      <c r="F9239" s="219"/>
      <c r="G9239" s="52">
        <f>SUM(G9233:G9238)</f>
        <v>1934</v>
      </c>
      <c r="I9239" s="104"/>
    </row>
    <row r="9240" spans="1:13" x14ac:dyDescent="0.25">
      <c r="A9240" s="56"/>
      <c r="B9240" s="57"/>
      <c r="C9240" s="57"/>
      <c r="D9240" s="57"/>
      <c r="E9240" s="57"/>
      <c r="F9240" s="57"/>
      <c r="G9240" s="58"/>
    </row>
    <row r="9241" spans="1:13" x14ac:dyDescent="0.25">
      <c r="A9241" s="219" t="s">
        <v>42</v>
      </c>
      <c r="B9241" s="219"/>
      <c r="C9241" s="219"/>
      <c r="D9241" s="219"/>
      <c r="E9241" s="219"/>
      <c r="F9241" s="219"/>
      <c r="G9241" s="219"/>
    </row>
    <row r="9242" spans="1:13" x14ac:dyDescent="0.25">
      <c r="A9242" s="49" t="s">
        <v>35</v>
      </c>
      <c r="B9242" s="49" t="s">
        <v>36</v>
      </c>
      <c r="C9242" s="49" t="s">
        <v>38</v>
      </c>
      <c r="D9242" s="49" t="s">
        <v>43</v>
      </c>
      <c r="E9242" s="49" t="s">
        <v>44</v>
      </c>
      <c r="F9242" s="49" t="s">
        <v>45</v>
      </c>
      <c r="G9242" s="49" t="s">
        <v>40</v>
      </c>
    </row>
    <row r="9243" spans="1:13" x14ac:dyDescent="0.25">
      <c r="A9243" s="50" t="s">
        <v>319</v>
      </c>
      <c r="B9243" s="68" t="str">
        <f>VLOOKUP(A9243,'Componentes APUs'!$H$1:$L$25,2,0)</f>
        <v>Ingeniero Residente de Obra</v>
      </c>
      <c r="C9243" s="93">
        <v>0</v>
      </c>
      <c r="D9243" s="50">
        <f>VLOOKUP(A9243,'Componentes APUs'!$H$1:$L$25,3,0)</f>
        <v>4</v>
      </c>
      <c r="E9243" s="51">
        <f>VLOOKUP(A9243,'Componentes APUs'!$H$1:$L$25,4,0)</f>
        <v>271142.85714285716</v>
      </c>
      <c r="F9243" s="51">
        <f>VLOOKUP(A9243,'Componentes APUs'!$H$1:$L$25,5,0)</f>
        <v>162685.71428571429</v>
      </c>
      <c r="G9243" s="51">
        <f>ROUNDUP((E9243+F9243)*C9243/E9230,0)</f>
        <v>0</v>
      </c>
      <c r="H9243" s="66"/>
    </row>
    <row r="9244" spans="1:13" x14ac:dyDescent="0.25">
      <c r="A9244" s="50" t="s">
        <v>320</v>
      </c>
      <c r="B9244" s="68" t="str">
        <f>VLOOKUP(A9244,'Componentes APUs'!$H$1:$L$25,2,0)</f>
        <v>Tecnico Supervisor</v>
      </c>
      <c r="C9244" s="93">
        <v>0</v>
      </c>
      <c r="D9244" s="50">
        <f>VLOOKUP(A9244,'Componentes APUs'!$H$1:$L$25,3,0)</f>
        <v>2.2999999999999998</v>
      </c>
      <c r="E9244" s="51">
        <f>VLOOKUP(A9244,'Componentes APUs'!$H$1:$L$25,4,0)</f>
        <v>155907.14285714284</v>
      </c>
      <c r="F9244" s="51">
        <f>VLOOKUP(A9244,'Componentes APUs'!$H$1:$L$25,5,0)</f>
        <v>93544.285714285696</v>
      </c>
      <c r="G9244" s="51">
        <f>ROUNDUP((E9244+F9244)*C9244/E9230,0)</f>
        <v>0</v>
      </c>
    </row>
    <row r="9245" spans="1:13" x14ac:dyDescent="0.25">
      <c r="A9245" s="50" t="s">
        <v>54</v>
      </c>
      <c r="B9245" s="68" t="str">
        <f>VLOOKUP(A9245,'Componentes APUs'!$H$1:$L$25,2,0)</f>
        <v>Maestro de obra civil</v>
      </c>
      <c r="C9245" s="93">
        <v>0</v>
      </c>
      <c r="D9245" s="50">
        <f>VLOOKUP(A9245,'Componentes APUs'!$H$1:$L$25,3,0)</f>
        <v>2.5</v>
      </c>
      <c r="E9245" s="51">
        <f>VLOOKUP(A9245,'Componentes APUs'!$H$1:$L$25,4,0)</f>
        <v>169464.28571428571</v>
      </c>
      <c r="F9245" s="51">
        <f>VLOOKUP(A9245,'Componentes APUs'!$H$1:$L$25,5,0)</f>
        <v>101678.57142857142</v>
      </c>
      <c r="G9245" s="51">
        <f>ROUNDUP((E9245+F9245)*C9245/E9230,0)</f>
        <v>0</v>
      </c>
    </row>
    <row r="9246" spans="1:13" x14ac:dyDescent="0.25">
      <c r="A9246" s="50" t="s">
        <v>1110</v>
      </c>
      <c r="B9246" s="68" t="str">
        <f>VLOOKUP(A9246,'Componentes APUs'!$H$1:$L$25,2,0)</f>
        <v>Oficial de Obra Civil</v>
      </c>
      <c r="C9246" s="93">
        <v>0.25</v>
      </c>
      <c r="D9246" s="50">
        <f>VLOOKUP(A9246,'Componentes APUs'!$H$1:$L$25,3,0)</f>
        <v>1.5</v>
      </c>
      <c r="E9246" s="51">
        <f>VLOOKUP(A9246,'Componentes APUs'!$H$1:$L$25,4,0)</f>
        <v>115964.28571428571</v>
      </c>
      <c r="F9246" s="51">
        <f>VLOOKUP(A9246,'Componentes APUs'!$H$1:$L$25,5,0)</f>
        <v>69578.57142857142</v>
      </c>
      <c r="G9246" s="51">
        <f>ROUNDUP((E9246+F9246)*C9246/E9230,0)</f>
        <v>116</v>
      </c>
    </row>
    <row r="9247" spans="1:13" x14ac:dyDescent="0.25">
      <c r="A9247" s="50" t="s">
        <v>50</v>
      </c>
      <c r="B9247" s="68" t="str">
        <f>VLOOKUP(A9247,'Componentes APUs'!$H$1:$L$25,2,0)</f>
        <v>Profesional en SST</v>
      </c>
      <c r="C9247" s="93">
        <v>0.25</v>
      </c>
      <c r="D9247" s="50">
        <f>VLOOKUP(A9247,'Componentes APUs'!$H$1:$L$25,3,0)</f>
        <v>2.5</v>
      </c>
      <c r="E9247" s="51">
        <f>VLOOKUP(A9247,'Componentes APUs'!$H$1:$L$25,4,0)</f>
        <v>169464.28571428571</v>
      </c>
      <c r="F9247" s="51">
        <f>VLOOKUP(A9247,'Componentes APUs'!$H$1:$L$25,5,0)</f>
        <v>101678.57142857142</v>
      </c>
      <c r="G9247" s="51">
        <f>ROUNDUP((E9247+F9247)*C9247/E9230,0)</f>
        <v>170</v>
      </c>
    </row>
    <row r="9248" spans="1:13" x14ac:dyDescent="0.25">
      <c r="A9248" s="50" t="s">
        <v>1109</v>
      </c>
      <c r="B9248" s="68" t="str">
        <f>VLOOKUP(A9248,'Componentes APUs'!$H$1:$L$25,2,0)</f>
        <v>Ayudante de Obra Civil</v>
      </c>
      <c r="C9248" s="93">
        <v>1</v>
      </c>
      <c r="D9248" s="50">
        <f>VLOOKUP(A9248,'Componentes APUs'!$H$1:$L$25,3,0)</f>
        <v>1</v>
      </c>
      <c r="E9248" s="51">
        <f>VLOOKUP(A9248,'Componentes APUs'!$H$1:$L$25,4,0)</f>
        <v>77309.523809523816</v>
      </c>
      <c r="F9248" s="51">
        <f>VLOOKUP(A9248,'Componentes APUs'!$H$1:$L$25,5,0)</f>
        <v>46385.71428571429</v>
      </c>
      <c r="G9248" s="51">
        <f>ROUNDUP((E9248+F9248)*C9248/E9230,0)</f>
        <v>310</v>
      </c>
    </row>
    <row r="9249" spans="1:9" x14ac:dyDescent="0.25">
      <c r="A9249" s="219" t="s">
        <v>56</v>
      </c>
      <c r="B9249" s="219"/>
      <c r="C9249" s="219"/>
      <c r="D9249" s="219"/>
      <c r="E9249" s="219"/>
      <c r="F9249" s="219"/>
      <c r="G9249" s="52">
        <f>SUM(G9243:G9248)</f>
        <v>596</v>
      </c>
    </row>
    <row r="9250" spans="1:9" x14ac:dyDescent="0.25">
      <c r="A9250" s="56"/>
      <c r="B9250" s="57"/>
      <c r="C9250" s="57"/>
      <c r="D9250" s="57"/>
      <c r="E9250" s="57"/>
      <c r="F9250" s="57"/>
      <c r="G9250" s="58"/>
    </row>
    <row r="9251" spans="1:9" x14ac:dyDescent="0.25">
      <c r="A9251" s="219" t="s">
        <v>57</v>
      </c>
      <c r="B9251" s="219"/>
      <c r="C9251" s="219"/>
      <c r="D9251" s="219"/>
      <c r="E9251" s="219"/>
      <c r="F9251" s="219"/>
      <c r="G9251" s="219"/>
    </row>
    <row r="9252" spans="1:9" x14ac:dyDescent="0.25">
      <c r="A9252" s="49" t="s">
        <v>35</v>
      </c>
      <c r="B9252" s="219" t="s">
        <v>36</v>
      </c>
      <c r="C9252" s="219"/>
      <c r="D9252" s="49" t="s">
        <v>37</v>
      </c>
      <c r="E9252" s="49" t="s">
        <v>38</v>
      </c>
      <c r="F9252" s="49" t="s">
        <v>39</v>
      </c>
      <c r="G9252" s="49" t="s">
        <v>40</v>
      </c>
    </row>
    <row r="9253" spans="1:9" x14ac:dyDescent="0.25">
      <c r="A9253" s="50" t="s">
        <v>326</v>
      </c>
      <c r="B9253" s="220" t="str">
        <f>VLOOKUP(A9253,'Componentes APUs'!$S$1:$V$10,2,0)</f>
        <v>Juego Llaves</v>
      </c>
      <c r="C9253" s="220"/>
      <c r="D9253" s="50" t="s">
        <v>18</v>
      </c>
      <c r="E9253" s="50">
        <v>0</v>
      </c>
      <c r="F9253" s="51">
        <f>VLOOKUP(A9253,'Componentes APUs'!$S$1:$V$10,4,0)</f>
        <v>9167</v>
      </c>
      <c r="G9253" s="51">
        <f>ROUNDUP(F9253*((E9253/21)/E9230),0)</f>
        <v>0</v>
      </c>
      <c r="I9253" s="91"/>
    </row>
    <row r="9254" spans="1:9" x14ac:dyDescent="0.25">
      <c r="A9254" s="50" t="s">
        <v>58</v>
      </c>
      <c r="B9254" s="220" t="str">
        <f>VLOOKUP(A9254,'Componentes APUs'!$S$1:$V$10,2,0)</f>
        <v>Manila de servicio</v>
      </c>
      <c r="C9254" s="220"/>
      <c r="D9254" s="50" t="s">
        <v>18</v>
      </c>
      <c r="E9254" s="50">
        <v>0</v>
      </c>
      <c r="F9254" s="51">
        <f>VLOOKUP(A9254,'Componentes APUs'!$S$1:$V$10,4,0)</f>
        <v>2333</v>
      </c>
      <c r="G9254" s="51">
        <f>ROUNDUP(F9254*((E9254/21)/E9230),0)</f>
        <v>0</v>
      </c>
    </row>
    <row r="9255" spans="1:9" x14ac:dyDescent="0.25">
      <c r="A9255" s="50" t="s">
        <v>327</v>
      </c>
      <c r="B9255" s="220" t="str">
        <f>VLOOKUP(A9255,'Componentes APUs'!$S$1:$V$10,2,0)</f>
        <v>Tula portaherramientas</v>
      </c>
      <c r="C9255" s="220"/>
      <c r="D9255" s="50" t="s">
        <v>18</v>
      </c>
      <c r="E9255" s="50">
        <v>0</v>
      </c>
      <c r="F9255" s="51">
        <f>VLOOKUP(A9255,'Componentes APUs'!$S$1:$V$10,4,0)</f>
        <v>1250</v>
      </c>
      <c r="G9255" s="51">
        <f>ROUNDUP(F9255*((E9255/21)/E9230),0)</f>
        <v>0</v>
      </c>
    </row>
    <row r="9256" spans="1:9" x14ac:dyDescent="0.25">
      <c r="A9256" s="50" t="s">
        <v>60</v>
      </c>
      <c r="B9256" s="220" t="str">
        <f>VLOOKUP(A9256,'Componentes APUs'!$S$1:$V$10,2,0)</f>
        <v>Agarradoras</v>
      </c>
      <c r="C9256" s="220"/>
      <c r="D9256" s="50" t="s">
        <v>18</v>
      </c>
      <c r="E9256" s="50">
        <v>0</v>
      </c>
      <c r="F9256" s="51">
        <f>VLOOKUP(A9256,'Componentes APUs'!$S$1:$V$10,4,0)</f>
        <v>125000</v>
      </c>
      <c r="G9256" s="51">
        <f>ROUNDUP(F9256*((E9256/21)/E9230),0)</f>
        <v>0</v>
      </c>
    </row>
    <row r="9257" spans="1:9" x14ac:dyDescent="0.25">
      <c r="A9257" s="50" t="s">
        <v>62</v>
      </c>
      <c r="B9257" s="220" t="str">
        <f>VLOOKUP(A9257,'Componentes APUs'!$S$1:$V$10,2,0)</f>
        <v>Templadoras</v>
      </c>
      <c r="C9257" s="220"/>
      <c r="D9257" s="50" t="s">
        <v>18</v>
      </c>
      <c r="E9257" s="50">
        <v>0</v>
      </c>
      <c r="F9257" s="51">
        <f>VLOOKUP(A9257,'Componentes APUs'!$S$1:$V$10,4,0)</f>
        <v>250000</v>
      </c>
      <c r="G9257" s="51">
        <f>ROUNDUP(F9257*((E9257/21)/E9230),0)</f>
        <v>0</v>
      </c>
    </row>
    <row r="9258" spans="1:9" x14ac:dyDescent="0.25">
      <c r="A9258" s="50" t="s">
        <v>328</v>
      </c>
      <c r="B9258" s="220" t="str">
        <f>VLOOKUP(A9258,'Componentes APUs'!$S$1:$V$10,2,0)</f>
        <v>Herramienta Menor</v>
      </c>
      <c r="C9258" s="220"/>
      <c r="D9258" s="50" t="s">
        <v>18</v>
      </c>
      <c r="E9258" s="50">
        <v>1</v>
      </c>
      <c r="F9258" s="51">
        <f>VLOOKUP(A9258,'Componentes APUs'!$S$1:$V$10,4,0)</f>
        <v>75758</v>
      </c>
      <c r="G9258" s="51">
        <f>ROUNDUP(F9258*((E9258/21)/E9230),0)</f>
        <v>10</v>
      </c>
    </row>
    <row r="9259" spans="1:9" x14ac:dyDescent="0.25">
      <c r="A9259" s="219" t="s">
        <v>69</v>
      </c>
      <c r="B9259" s="219"/>
      <c r="C9259" s="219"/>
      <c r="D9259" s="219"/>
      <c r="E9259" s="219"/>
      <c r="F9259" s="219"/>
      <c r="G9259" s="52">
        <f>SUM(G9253:G9258)</f>
        <v>10</v>
      </c>
    </row>
    <row r="9260" spans="1:9" x14ac:dyDescent="0.25">
      <c r="A9260" s="56"/>
      <c r="B9260" s="57"/>
      <c r="C9260" s="57"/>
      <c r="D9260" s="57"/>
      <c r="E9260" s="57"/>
      <c r="F9260" s="57"/>
      <c r="G9260" s="58"/>
    </row>
    <row r="9261" spans="1:9" x14ac:dyDescent="0.25">
      <c r="A9261" s="219" t="s">
        <v>70</v>
      </c>
      <c r="B9261" s="219"/>
      <c r="C9261" s="219"/>
      <c r="D9261" s="219"/>
      <c r="E9261" s="219"/>
      <c r="F9261" s="219"/>
      <c r="G9261" s="219"/>
    </row>
    <row r="9262" spans="1:9" x14ac:dyDescent="0.25">
      <c r="A9262" s="49" t="s">
        <v>35</v>
      </c>
      <c r="B9262" s="219" t="s">
        <v>36</v>
      </c>
      <c r="C9262" s="219"/>
      <c r="D9262" s="49" t="s">
        <v>37</v>
      </c>
      <c r="E9262" s="49" t="s">
        <v>38</v>
      </c>
      <c r="F9262" s="49" t="s">
        <v>39</v>
      </c>
      <c r="G9262" s="49" t="s">
        <v>40</v>
      </c>
    </row>
    <row r="9263" spans="1:9" x14ac:dyDescent="0.25">
      <c r="A9263" s="50" t="s">
        <v>71</v>
      </c>
      <c r="B9263" s="71" t="str">
        <f>VLOOKUP(A9263,'Componentes APUs'!$A$1:$D$14,2,0)</f>
        <v>Camisa indigo sin partes metalicas</v>
      </c>
      <c r="C9263" s="71"/>
      <c r="D9263" s="50" t="str">
        <f>VLOOKUP(A9263,'Componentes APUs'!$A$1:$D$14,3,0)</f>
        <v>U</v>
      </c>
      <c r="E9263" s="50">
        <f>SUM(C9243:C9248)</f>
        <v>1.5</v>
      </c>
      <c r="F9263" s="51">
        <f>VLOOKUP(A9263,'Componentes APUs'!$A$1:$D$14,4,0)</f>
        <v>8585.8585858585866</v>
      </c>
      <c r="G9263" s="51">
        <f>ROUNDUP(F9263*(E9263/21)/E9230,0)</f>
        <v>2</v>
      </c>
      <c r="I9263" s="91"/>
    </row>
    <row r="9264" spans="1:9" x14ac:dyDescent="0.25">
      <c r="A9264" s="69" t="s">
        <v>73</v>
      </c>
      <c r="B9264" s="72" t="str">
        <f>VLOOKUP(A9264,'Componentes APUs'!$A$1:$D$14,2,0)</f>
        <v>Bota de seguridad dielectrica</v>
      </c>
      <c r="C9264" s="73"/>
      <c r="D9264" s="70" t="str">
        <f>VLOOKUP(A9264,'Componentes APUs'!$A$1:$D$14,3,0)</f>
        <v>Par</v>
      </c>
      <c r="E9264" s="50">
        <f>SUM(C9243:C9248)</f>
        <v>1.5</v>
      </c>
      <c r="F9264" s="51">
        <f>VLOOKUP(A9264,'Componentes APUs'!$A$1:$D$14,4,0)</f>
        <v>7500</v>
      </c>
      <c r="G9264" s="51">
        <f>ROUNDUP(F9264*(E9264/21)/E9230,0)</f>
        <v>2</v>
      </c>
    </row>
    <row r="9265" spans="1:7" x14ac:dyDescent="0.25">
      <c r="A9265" s="50" t="s">
        <v>76</v>
      </c>
      <c r="B9265" s="72" t="str">
        <f>VLOOKUP(A9265,'Componentes APUs'!$A$1:$D$14,2,0)</f>
        <v>Casco dielectrico Tipo 1 Clase E con barbuquejo</v>
      </c>
      <c r="C9265" s="73"/>
      <c r="D9265" s="50" t="str">
        <f>VLOOKUP(A9265,'Componentes APUs'!$A$1:$D$14,3,0)</f>
        <v>U</v>
      </c>
      <c r="E9265" s="50">
        <f>C9243+C9244+C9246+C9247+C9248+IF(A9245&lt;&gt;"MO-3",C9245,0)</f>
        <v>1.5</v>
      </c>
      <c r="F9265" s="51">
        <f>VLOOKUP(A9265,'Componentes APUs'!$A$1:$D$14,4,0)</f>
        <v>10101.010101010101</v>
      </c>
      <c r="G9265" s="51">
        <f>ROUNDUP(F9265*(E9265/21)/E9230,0)</f>
        <v>2</v>
      </c>
    </row>
    <row r="9266" spans="1:7" x14ac:dyDescent="0.25">
      <c r="A9266" s="69" t="s">
        <v>77</v>
      </c>
      <c r="B9266" s="72" t="str">
        <f>VLOOKUP(A9266,'Componentes APUs'!$A$1:$D$14,2,0)</f>
        <v>Correa plastica y antiflama</v>
      </c>
      <c r="C9266" s="73"/>
      <c r="D9266" s="50" t="str">
        <f>VLOOKUP(A9266,'Componentes APUs'!$A$1:$D$14,3,0)</f>
        <v>U</v>
      </c>
      <c r="E9266" s="50">
        <f>SUM(C9243:C9248)</f>
        <v>1.5</v>
      </c>
      <c r="F9266" s="51">
        <f>VLOOKUP(A9266,'Componentes APUs'!$A$1:$D$14,4,0)</f>
        <v>3787.878787878788</v>
      </c>
      <c r="G9266" s="51">
        <f>ROUNDUP(F9266*(E9266/21)/E9230,0)</f>
        <v>1</v>
      </c>
    </row>
    <row r="9267" spans="1:7" x14ac:dyDescent="0.25">
      <c r="A9267" s="50" t="s">
        <v>79</v>
      </c>
      <c r="B9267" s="72" t="str">
        <f>VLOOKUP(A9267,'Componentes APUs'!$A$1:$D$14,2,0)</f>
        <v>Gafas protectoras filtro UV</v>
      </c>
      <c r="C9267" s="73"/>
      <c r="D9267" s="50" t="str">
        <f>VLOOKUP(A9267,'Componentes APUs'!$A$1:$D$14,3,0)</f>
        <v>U</v>
      </c>
      <c r="E9267" s="50">
        <f>SUM(C9243:C9248)</f>
        <v>1.5</v>
      </c>
      <c r="F9267" s="51">
        <f>VLOOKUP(A9267,'Componentes APUs'!$A$1:$D$14,4,0)</f>
        <v>2777.7777777777778</v>
      </c>
      <c r="G9267" s="51">
        <f>ROUNDUP(F9267*(E9267/21)/E9230,0)</f>
        <v>1</v>
      </c>
    </row>
    <row r="9268" spans="1:7" x14ac:dyDescent="0.25">
      <c r="A9268" s="69" t="s">
        <v>402</v>
      </c>
      <c r="B9268" s="72" t="str">
        <f>VLOOKUP(A9268,'Componentes APUs'!$A$1:$D$14,2,0)</f>
        <v>Bota de seguridad PVC dielectrica</v>
      </c>
      <c r="C9268" s="73"/>
      <c r="D9268" s="50" t="str">
        <f>VLOOKUP(A9268,'Componentes APUs'!$A$1:$D$14,3,0)</f>
        <v>Par</v>
      </c>
      <c r="E9268" s="50">
        <f>SUM(C9243:C9248)</f>
        <v>1.5</v>
      </c>
      <c r="F9268" s="51">
        <f>VLOOKUP(A9268,'Componentes APUs'!$A$1:$D$14,4,0)</f>
        <v>2916.6666666666665</v>
      </c>
      <c r="G9268" s="51">
        <f>ROUNDUP(F9268*(E9268/21)/E9230,0)</f>
        <v>1</v>
      </c>
    </row>
    <row r="9269" spans="1:7" x14ac:dyDescent="0.25">
      <c r="A9269" s="50" t="s">
        <v>403</v>
      </c>
      <c r="B9269" s="72" t="str">
        <f>VLOOKUP(A9269,'Componentes APUs'!$A$1:$D$14,2,0)</f>
        <v>Capuchon</v>
      </c>
      <c r="C9269" s="73"/>
      <c r="D9269" s="50" t="str">
        <f>VLOOKUP(A9269,'Componentes APUs'!$A$1:$D$14,3,0)</f>
        <v>U</v>
      </c>
      <c r="E9269" s="50">
        <f>SUM(C9243:C9248)</f>
        <v>1.5</v>
      </c>
      <c r="F9269" s="51">
        <f>VLOOKUP(A9269,'Componentes APUs'!$A$1:$D$14,4,0)</f>
        <v>2525.2525252525252</v>
      </c>
      <c r="G9269" s="51">
        <f>ROUNDUP(F9269*(E9269/21)/E9230,0)</f>
        <v>1</v>
      </c>
    </row>
    <row r="9270" spans="1:7" x14ac:dyDescent="0.25">
      <c r="A9270" s="69" t="s">
        <v>81</v>
      </c>
      <c r="B9270" s="72" t="str">
        <f>VLOOKUP(A9270,'Componentes APUs'!$A$1:$D$14,2,0)</f>
        <v>Guantes Protectores  - ingeniero reforzados</v>
      </c>
      <c r="C9270" s="73"/>
      <c r="D9270" s="50" t="str">
        <f>VLOOKUP(A9270,'Componentes APUs'!$A$1:$D$14,3,0)</f>
        <v>Par</v>
      </c>
      <c r="E9270" s="50">
        <f>C9245+C9246+C9248</f>
        <v>1.25</v>
      </c>
      <c r="F9270" s="51">
        <f>VLOOKUP(A9270,'Componentes APUs'!$A$1:$D$14,4,0)</f>
        <v>2525.2525252525252</v>
      </c>
      <c r="G9270" s="51">
        <f>ROUNDUP(F9270*(E9270/21)/E9230,0)</f>
        <v>1</v>
      </c>
    </row>
    <row r="9271" spans="1:7" x14ac:dyDescent="0.25">
      <c r="A9271" s="50" t="s">
        <v>83</v>
      </c>
      <c r="B9271" s="72" t="str">
        <f>VLOOKUP(A9271,'Componentes APUs'!$A$1:$D$14,2,0)</f>
        <v>Impermeable (pantalon camisa)</v>
      </c>
      <c r="C9271" s="73"/>
      <c r="D9271" s="50" t="str">
        <f>VLOOKUP(A9271,'Componentes APUs'!$A$1:$D$14,3,0)</f>
        <v>U</v>
      </c>
      <c r="E9271" s="50">
        <f>SUM(C9243:C9248)</f>
        <v>1.5</v>
      </c>
      <c r="F9271" s="51">
        <f>VLOOKUP(A9271,'Componentes APUs'!$A$1:$D$14,4,0)</f>
        <v>3750</v>
      </c>
      <c r="G9271" s="51">
        <f>ROUNDUP(F9271*(E9271/21)/E9230,0)</f>
        <v>1</v>
      </c>
    </row>
    <row r="9272" spans="1:7" x14ac:dyDescent="0.25">
      <c r="A9272" s="69" t="s">
        <v>85</v>
      </c>
      <c r="B9272" s="72" t="str">
        <f>VLOOKUP(A9272,'Componentes APUs'!$A$1:$D$14,2,0)</f>
        <v>Jean Dielectrico</v>
      </c>
      <c r="C9272" s="73"/>
      <c r="D9272" s="50" t="str">
        <f>VLOOKUP(A9272,'Componentes APUs'!$A$1:$D$14,3,0)</f>
        <v>U</v>
      </c>
      <c r="E9272" s="50">
        <f>SUM(C9243:C9248)</f>
        <v>1.5</v>
      </c>
      <c r="F9272" s="51">
        <f>VLOOKUP(A9272,'Componentes APUs'!$A$1:$D$14,4,0)</f>
        <v>7575.757575757576</v>
      </c>
      <c r="G9272" s="51">
        <f>ROUNDUP(F9272*(E9272/21)/E9230,0)</f>
        <v>2</v>
      </c>
    </row>
    <row r="9273" spans="1:7" x14ac:dyDescent="0.25">
      <c r="A9273" s="50" t="s">
        <v>87</v>
      </c>
      <c r="B9273" s="72" t="str">
        <f>VLOOKUP(A9273,'Componentes APUs'!$A$1:$D$14,2,0)</f>
        <v>Casco dielectrico Tipo 2 Clase E con barboquejo</v>
      </c>
      <c r="C9273" s="73"/>
      <c r="D9273" s="50" t="str">
        <f>VLOOKUP(A9273,'Componentes APUs'!$A$1:$D$14,3,0)</f>
        <v>U</v>
      </c>
      <c r="E9273" s="53">
        <f>IF(A9245="MO-3",C9245,0)</f>
        <v>0</v>
      </c>
      <c r="F9273" s="51">
        <f>VLOOKUP(A9273,'Componentes APUs'!$A$1:$D$14,4,0)</f>
        <v>7500</v>
      </c>
      <c r="G9273" s="51">
        <f>ROUNDUP(F9273*(E9273/21)/E9230,0)</f>
        <v>0</v>
      </c>
    </row>
    <row r="9274" spans="1:7" x14ac:dyDescent="0.25">
      <c r="A9274" s="69" t="s">
        <v>89</v>
      </c>
      <c r="B9274" s="72" t="str">
        <f>VLOOKUP(A9274,'Componentes APUs'!$A$1:$D$14,2,0)</f>
        <v>Kit de rescate para trabajo en alturas</v>
      </c>
      <c r="C9274" s="73"/>
      <c r="D9274" s="50" t="str">
        <f>VLOOKUP(A9274,'Componentes APUs'!$A$1:$D$14,3,0)</f>
        <v>U</v>
      </c>
      <c r="E9274" s="50">
        <f>IF(AND(A9245="MO-3",C9245=2),1,0)</f>
        <v>0</v>
      </c>
      <c r="F9274" s="51">
        <f>VLOOKUP(A9274,'Componentes APUs'!$A$1:$D$14,4,0)</f>
        <v>37500</v>
      </c>
      <c r="G9274" s="51">
        <f>ROUNDUP(F9274*(E9274/21)/E9230,0)</f>
        <v>0</v>
      </c>
    </row>
    <row r="9275" spans="1:7" x14ac:dyDescent="0.25">
      <c r="A9275" s="50" t="s">
        <v>91</v>
      </c>
      <c r="B9275" s="72" t="str">
        <f>VLOOKUP(A9275,'Componentes APUs'!$A$1:$D$14,2,0)</f>
        <v>Equipo completo para trabajo en alturas con pretales (Arnes dielectrico, 1 mosqueton de seguridad, tie off dielectrico, eslinga de posicionamiento, juego de pretales)</v>
      </c>
      <c r="C9275" s="73"/>
      <c r="D9275" s="50" t="str">
        <f>VLOOKUP(A9275,'Componentes APUs'!$A$1:$D$14,3,0)</f>
        <v>U</v>
      </c>
      <c r="E9275" s="50">
        <f>IF(A9245="MO-3",C9245,0)</f>
        <v>0</v>
      </c>
      <c r="F9275" s="51">
        <f>VLOOKUP(A9275,'Componentes APUs'!$A$1:$D$14,4,0)</f>
        <v>26041.666666666668</v>
      </c>
      <c r="G9275" s="51">
        <f>ROUNDUP(F9275*(E9275/21)/E9230,0)</f>
        <v>0</v>
      </c>
    </row>
    <row r="9276" spans="1:7" x14ac:dyDescent="0.25">
      <c r="A9276" s="219" t="s">
        <v>95</v>
      </c>
      <c r="B9276" s="219"/>
      <c r="C9276" s="219"/>
      <c r="D9276" s="219"/>
      <c r="E9276" s="219"/>
      <c r="F9276" s="219"/>
      <c r="G9276" s="52">
        <f>SUM(G9263:G9275)</f>
        <v>14</v>
      </c>
    </row>
    <row r="9277" spans="1:7" x14ac:dyDescent="0.25">
      <c r="A9277" s="56"/>
      <c r="B9277" s="57"/>
      <c r="C9277" s="57"/>
      <c r="D9277" s="57"/>
      <c r="E9277" s="57"/>
      <c r="F9277" s="57"/>
      <c r="G9277" s="58"/>
    </row>
    <row r="9278" spans="1:7" x14ac:dyDescent="0.25">
      <c r="A9278" s="219" t="s">
        <v>96</v>
      </c>
      <c r="B9278" s="219"/>
      <c r="C9278" s="219"/>
      <c r="D9278" s="219"/>
      <c r="E9278" s="219"/>
      <c r="F9278" s="219"/>
      <c r="G9278" s="219"/>
    </row>
    <row r="9279" spans="1:7" x14ac:dyDescent="0.25">
      <c r="A9279" s="49" t="s">
        <v>35</v>
      </c>
      <c r="B9279" s="225" t="s">
        <v>36</v>
      </c>
      <c r="C9279" s="225"/>
      <c r="D9279" s="49" t="s">
        <v>37</v>
      </c>
      <c r="E9279" s="49" t="s">
        <v>38</v>
      </c>
      <c r="F9279" s="49" t="s">
        <v>39</v>
      </c>
      <c r="G9279" s="49" t="s">
        <v>40</v>
      </c>
    </row>
    <row r="9280" spans="1:7" x14ac:dyDescent="0.25">
      <c r="A9280" s="69" t="s">
        <v>97</v>
      </c>
      <c r="B9280" s="72" t="str">
        <f>VLOOKUP(A9280,'Componentes APUs'!$N$1:$Q$30,2,0)</f>
        <v>Camioneta</v>
      </c>
      <c r="C9280" s="73"/>
      <c r="D9280" s="70" t="str">
        <f>VLOOKUP(A9280,'Componentes APUs'!$N$1:$Q$30,3,0)</f>
        <v>U</v>
      </c>
      <c r="E9280" s="50">
        <v>1</v>
      </c>
      <c r="F9280" s="51">
        <f>VLOOKUP(A9280,'Componentes APUs'!$N$1:$Q$30,4,0)</f>
        <v>5500000</v>
      </c>
      <c r="G9280" s="51">
        <f>IFERROR(ROUNDUP(F9280*(E9280/21)/E9230,0),"-")</f>
        <v>655</v>
      </c>
    </row>
    <row r="9281" spans="1:7" x14ac:dyDescent="0.25">
      <c r="A9281" s="50" t="s">
        <v>2225</v>
      </c>
      <c r="B9281" s="72" t="str">
        <f>VLOOKUP(A9281,'Componentes APUs'!$N$1:$Q$30,2,0)</f>
        <v>Vehículo delineador para aplicación de pintura con mínimo 2 boquillas (NTC 4744-2)</v>
      </c>
      <c r="C9281" s="73"/>
      <c r="D9281" s="70" t="str">
        <f>VLOOKUP(A9281,'Componentes APUs'!$N$1:$Q$30,3,0)</f>
        <v>U</v>
      </c>
      <c r="E9281" s="50">
        <v>1</v>
      </c>
      <c r="F9281" s="51">
        <f>VLOOKUP(A9281,'Componentes APUs'!$N$1:$Q$30,4,0)</f>
        <v>214489.08357336133</v>
      </c>
      <c r="G9281" s="51">
        <f>IFERROR(ROUNDUP(F9281*(E9281/21)/E9230,0),"-")</f>
        <v>26</v>
      </c>
    </row>
    <row r="9282" spans="1:7" x14ac:dyDescent="0.25">
      <c r="A9282" s="69" t="s">
        <v>1379</v>
      </c>
      <c r="B9282" s="72" t="str">
        <f>VLOOKUP(A9282,'Componentes APUs'!$N$1:$Q$30,2,0)</f>
        <v>Dumper de descarga Frontal 2T</v>
      </c>
      <c r="C9282" s="73"/>
      <c r="D9282" s="70" t="str">
        <f>VLOOKUP(A9282,'Componentes APUs'!$N$1:$Q$30,3,0)</f>
        <v>U</v>
      </c>
      <c r="E9282" s="50">
        <v>0</v>
      </c>
      <c r="F9282" s="51">
        <f>VLOOKUP(A9282,'Componentes APUs'!$N$1:$Q$30,4,0)</f>
        <v>4438716.24</v>
      </c>
      <c r="G9282" s="51">
        <f>IFERROR(ROUNDUP(F9282*(E9282/21)/E9230,0),"-")</f>
        <v>0</v>
      </c>
    </row>
    <row r="9283" spans="1:7" x14ac:dyDescent="0.25">
      <c r="A9283" s="50" t="s">
        <v>323</v>
      </c>
      <c r="B9283" s="72" t="str">
        <f>VLOOKUP(A9283,'Componentes APUs'!$N$1:$Q$30,2,0)</f>
        <v>Volqueta</v>
      </c>
      <c r="C9283" s="73"/>
      <c r="D9283" s="70" t="str">
        <f>VLOOKUP(A9283,'Componentes APUs'!$N$1:$Q$30,3,0)</f>
        <v>U</v>
      </c>
      <c r="E9283" s="50">
        <v>0</v>
      </c>
      <c r="F9283" s="51">
        <f>VLOOKUP(A9283,'Componentes APUs'!$N$1:$Q$30,4,0)</f>
        <v>14828184</v>
      </c>
      <c r="G9283" s="51">
        <f>IFERROR(ROUNDUP(F9283*(E9283/21)/E9230,0),"-")</f>
        <v>0</v>
      </c>
    </row>
    <row r="9284" spans="1:7" x14ac:dyDescent="0.25">
      <c r="A9284" s="69" t="s">
        <v>324</v>
      </c>
      <c r="B9284" s="72" t="str">
        <f>VLOOKUP(A9284,'Componentes APUs'!$N$1:$Q$30,2,0)</f>
        <v>Retroexcavadora</v>
      </c>
      <c r="C9284" s="73"/>
      <c r="D9284" s="70" t="str">
        <f>VLOOKUP(A9284,'Componentes APUs'!$N$1:$Q$30,3,0)</f>
        <v>U</v>
      </c>
      <c r="E9284" s="50">
        <v>0</v>
      </c>
      <c r="F9284" s="51">
        <f>VLOOKUP(A9284,'Componentes APUs'!$N$1:$Q$30,4,0)</f>
        <v>46030656</v>
      </c>
      <c r="G9284" s="51">
        <f>IFERROR(ROUNDUP(F9284*(E9284/21)/E9230,0),"-")</f>
        <v>0</v>
      </c>
    </row>
    <row r="9285" spans="1:7" x14ac:dyDescent="0.25">
      <c r="A9285" s="219" t="s">
        <v>99</v>
      </c>
      <c r="B9285" s="219"/>
      <c r="C9285" s="219"/>
      <c r="D9285" s="219"/>
      <c r="E9285" s="219"/>
      <c r="F9285" s="219"/>
      <c r="G9285" s="52">
        <f>SUM(G9280:G9284)</f>
        <v>681</v>
      </c>
    </row>
    <row r="9286" spans="1:7" x14ac:dyDescent="0.25">
      <c r="A9286" s="56"/>
      <c r="B9286" s="57"/>
      <c r="C9286" s="57"/>
      <c r="D9286" s="57"/>
      <c r="E9286" s="57"/>
      <c r="F9286" s="57"/>
      <c r="G9286" s="58"/>
    </row>
    <row r="9287" spans="1:7" x14ac:dyDescent="0.25">
      <c r="A9287" s="219" t="s">
        <v>100</v>
      </c>
      <c r="B9287" s="219"/>
      <c r="C9287" s="219"/>
      <c r="D9287" s="219"/>
      <c r="E9287" s="219"/>
      <c r="F9287" s="219"/>
      <c r="G9287" s="52">
        <f>G9285+G9276+G9259+G9249+G9239</f>
        <v>3235</v>
      </c>
    </row>
    <row r="9288" spans="1:7" x14ac:dyDescent="0.25">
      <c r="A9288" s="59"/>
      <c r="B9288" s="60"/>
      <c r="C9288" s="60"/>
      <c r="D9288" s="60"/>
      <c r="E9288" s="57"/>
      <c r="F9288" s="57"/>
      <c r="G9288" s="58"/>
    </row>
    <row r="9289" spans="1:7" x14ac:dyDescent="0.25">
      <c r="A9289" s="64"/>
      <c r="D9289" s="55"/>
      <c r="E9289" s="49" t="s">
        <v>25</v>
      </c>
      <c r="F9289" s="54">
        <v>0.15</v>
      </c>
      <c r="G9289" s="51">
        <f>G9287*F9289</f>
        <v>485.25</v>
      </c>
    </row>
    <row r="9290" spans="1:7" x14ac:dyDescent="0.25">
      <c r="A9290" s="64"/>
      <c r="D9290" s="55"/>
      <c r="E9290" s="49" t="s">
        <v>26</v>
      </c>
      <c r="F9290" s="54">
        <v>0.05</v>
      </c>
      <c r="G9290" s="51">
        <f>G9287*F9290</f>
        <v>161.75</v>
      </c>
    </row>
    <row r="9291" spans="1:7" x14ac:dyDescent="0.25">
      <c r="A9291" s="61"/>
      <c r="B9291" s="65"/>
      <c r="C9291" s="65"/>
      <c r="D9291" s="62"/>
      <c r="E9291" s="49" t="s">
        <v>27</v>
      </c>
      <c r="F9291" s="54">
        <v>0.05</v>
      </c>
      <c r="G9291" s="51">
        <f>G9287*F9291</f>
        <v>161.75</v>
      </c>
    </row>
    <row r="9292" spans="1:7" x14ac:dyDescent="0.25">
      <c r="A9292" s="61"/>
      <c r="B9292" s="62"/>
      <c r="C9292" s="62"/>
      <c r="D9292" s="62"/>
      <c r="E9292" s="62"/>
      <c r="F9292" s="62"/>
      <c r="G9292" s="63"/>
    </row>
    <row r="9293" spans="1:7" x14ac:dyDescent="0.25">
      <c r="A9293" s="219" t="s">
        <v>101</v>
      </c>
      <c r="B9293" s="219"/>
      <c r="C9293" s="219"/>
      <c r="D9293" s="219"/>
      <c r="E9293" s="219"/>
      <c r="F9293" s="219"/>
      <c r="G9293" s="52">
        <f>G9287+G9289+G9290+G9291</f>
        <v>4043.75</v>
      </c>
    </row>
    <row r="9294" spans="1:7" x14ac:dyDescent="0.25">
      <c r="A9294" s="59"/>
      <c r="B9294" s="60"/>
      <c r="C9294" s="60"/>
      <c r="D9294" s="60"/>
      <c r="E9294" s="57"/>
      <c r="F9294" s="57"/>
      <c r="G9294" s="58"/>
    </row>
    <row r="9295" spans="1:7" x14ac:dyDescent="0.25">
      <c r="A9295" s="64"/>
      <c r="D9295" s="55"/>
      <c r="E9295" s="49" t="s">
        <v>102</v>
      </c>
      <c r="F9295" s="49" t="s">
        <v>103</v>
      </c>
      <c r="G9295" s="51">
        <f>G9291*19%</f>
        <v>30.732500000000002</v>
      </c>
    </row>
    <row r="9296" spans="1:7" x14ac:dyDescent="0.25">
      <c r="A9296" s="61"/>
      <c r="B9296" s="62"/>
      <c r="C9296" s="62"/>
      <c r="D9296" s="62"/>
      <c r="E9296" s="57"/>
      <c r="F9296" s="57"/>
      <c r="G9296" s="58"/>
    </row>
    <row r="9297" spans="1:13" x14ac:dyDescent="0.25">
      <c r="A9297" s="219" t="s">
        <v>104</v>
      </c>
      <c r="B9297" s="219"/>
      <c r="C9297" s="219"/>
      <c r="D9297" s="219"/>
      <c r="E9297" s="219"/>
      <c r="F9297" s="219"/>
      <c r="G9297" s="52">
        <f>G9295+G9293</f>
        <v>4074.4825000000001</v>
      </c>
    </row>
    <row r="9299" spans="1:13" x14ac:dyDescent="0.25">
      <c r="A9299" s="74" t="s">
        <v>29</v>
      </c>
      <c r="B9299" s="226" t="s">
        <v>30</v>
      </c>
      <c r="C9299" s="226"/>
      <c r="D9299" s="74" t="s">
        <v>31</v>
      </c>
      <c r="E9299" s="74" t="s">
        <v>32</v>
      </c>
      <c r="F9299" s="74" t="s">
        <v>189</v>
      </c>
      <c r="G9299" s="74" t="s">
        <v>33</v>
      </c>
      <c r="H9299" s="105"/>
    </row>
    <row r="9300" spans="1:13" ht="57" customHeight="1" x14ac:dyDescent="0.25">
      <c r="A9300" s="50" t="str">
        <f>Presupuesto!B172</f>
        <v>148_OC</v>
      </c>
      <c r="B9300" s="229" t="str">
        <f>Presupuesto!C172</f>
        <v>SUMINSTRO E INSTALACIÓN DE ELEMENTOS DE SEÑALES VERTICALES EN FONDO REFLECTIVO TIPO ALTA INTENSIDAD CON TABLERO EN LÁMINA CAL 16, TERMINADOS EN PINTURA ELECTROSTÁTICA BLANCA.</v>
      </c>
      <c r="C9300" s="230"/>
      <c r="D9300" s="50" t="s">
        <v>16</v>
      </c>
      <c r="E9300" s="53">
        <v>50</v>
      </c>
      <c r="F9300" s="50"/>
      <c r="G9300" s="51">
        <f>G9367</f>
        <v>619745.79150000005</v>
      </c>
      <c r="H9300" s="111"/>
    </row>
    <row r="9301" spans="1:13" x14ac:dyDescent="0.25">
      <c r="A9301" s="219" t="s">
        <v>34</v>
      </c>
      <c r="B9301" s="219"/>
      <c r="C9301" s="219"/>
      <c r="D9301" s="219"/>
      <c r="E9301" s="219"/>
      <c r="F9301" s="219"/>
      <c r="G9301" s="219"/>
    </row>
    <row r="9302" spans="1:13" ht="30.75" customHeight="1" x14ac:dyDescent="0.25">
      <c r="A9302" s="49" t="s">
        <v>35</v>
      </c>
      <c r="B9302" s="219" t="s">
        <v>36</v>
      </c>
      <c r="C9302" s="219"/>
      <c r="D9302" s="49" t="s">
        <v>37</v>
      </c>
      <c r="E9302" s="49" t="s">
        <v>38</v>
      </c>
      <c r="F9302" s="49" t="s">
        <v>39</v>
      </c>
      <c r="G9302" s="49" t="s">
        <v>40</v>
      </c>
      <c r="K9302" s="23"/>
      <c r="L9302" s="23"/>
    </row>
    <row r="9303" spans="1:13" ht="39.75" customHeight="1" x14ac:dyDescent="0.25">
      <c r="A9303" s="50" t="str">
        <f>Material!A529</f>
        <v>MA-528</v>
      </c>
      <c r="B9303" s="221" t="str">
        <f>IFERROR(VLOOKUP(A9303,Material!$A:$H,2,0),"-")</f>
        <v>SEÑAL PREVENTIVA DELINEADOR DE CURVA HORIZONTAL SP-75.TABLERO EN LÁMINADA GALVANIZADA DE 75X60CM, CALIBRE 16, REFLECTIVO TIPO IX.</v>
      </c>
      <c r="C9303" s="222"/>
      <c r="D9303" s="50" t="str">
        <f>IFERROR(VLOOKUP(A9303,Material!$A:$H,4,0),"-")</f>
        <v>UN</v>
      </c>
      <c r="E9303" s="107">
        <v>1</v>
      </c>
      <c r="F9303" s="51">
        <f>IFERROR(VLOOKUP(A9303,Material!$A:$H,3,0),"-")</f>
        <v>416080.91877909994</v>
      </c>
      <c r="G9303" s="51">
        <f t="shared" ref="G9303:G9308" si="130">IFERROR(ROUNDUP(F9303*E9303,0),"-")</f>
        <v>416081</v>
      </c>
      <c r="H9303" s="112"/>
      <c r="I9303" s="110"/>
      <c r="J9303" s="113"/>
      <c r="K9303" s="114"/>
      <c r="L9303" s="115"/>
      <c r="M9303" s="115"/>
    </row>
    <row r="9304" spans="1:13" x14ac:dyDescent="0.25">
      <c r="A9304" s="50" t="str">
        <f>Material!A530</f>
        <v>MA-529</v>
      </c>
      <c r="B9304" s="72" t="str">
        <f>IFERROR(VLOOKUP(A9304,Material!$A:$H,2,0),"-")</f>
        <v xml:space="preserve">ANGULO 2″ X 1/4 </v>
      </c>
      <c r="C9304" s="76"/>
      <c r="D9304" s="50" t="s">
        <v>108</v>
      </c>
      <c r="E9304" s="109">
        <v>2</v>
      </c>
      <c r="F9304" s="51">
        <f>IFERROR(VLOOKUP(A9304,Material!$A:$H,3,0),"-")</f>
        <v>28877.333333333332</v>
      </c>
      <c r="G9304" s="51">
        <f t="shared" si="130"/>
        <v>57755</v>
      </c>
      <c r="H9304" s="112"/>
      <c r="I9304" s="110"/>
      <c r="J9304" s="113"/>
      <c r="K9304" s="114"/>
      <c r="L9304" s="115"/>
      <c r="M9304" s="115"/>
    </row>
    <row r="9305" spans="1:13" x14ac:dyDescent="0.25">
      <c r="A9305" s="50"/>
      <c r="B9305" s="72" t="str">
        <f>IFERROR(VLOOKUP(A9305,Material!$A:$H,2,0),"-")</f>
        <v>-</v>
      </c>
      <c r="C9305" s="76"/>
      <c r="D9305" s="50" t="str">
        <f>IFERROR(VLOOKUP(A9305,Material!$A:$H,4,0),"-")</f>
        <v>-</v>
      </c>
      <c r="E9305" s="107"/>
      <c r="F9305" s="51" t="str">
        <f>IFERROR(VLOOKUP(A9305,Material!$A:$H,3,0),"-")</f>
        <v>-</v>
      </c>
      <c r="G9305" s="51" t="str">
        <f t="shared" si="130"/>
        <v>-</v>
      </c>
      <c r="H9305" s="112"/>
      <c r="I9305" s="110"/>
      <c r="J9305" s="113"/>
      <c r="K9305" s="114"/>
      <c r="L9305" s="115"/>
      <c r="M9305" s="115"/>
    </row>
    <row r="9306" spans="1:13" x14ac:dyDescent="0.25">
      <c r="A9306" s="50"/>
      <c r="B9306" s="72" t="str">
        <f>IFERROR(VLOOKUP(A9306,Material!$A:$H,2,0),"-")</f>
        <v>-</v>
      </c>
      <c r="C9306" s="76"/>
      <c r="D9306" s="50" t="str">
        <f>IFERROR(VLOOKUP(A9306,Material!$A:$H,4,0),"-")</f>
        <v>-</v>
      </c>
      <c r="E9306" s="107"/>
      <c r="F9306" s="51" t="str">
        <f>IFERROR(VLOOKUP(A9306,Material!$A:$H,3,0),"-")</f>
        <v>-</v>
      </c>
      <c r="G9306" s="51" t="str">
        <f t="shared" si="130"/>
        <v>-</v>
      </c>
      <c r="H9306" s="112"/>
      <c r="I9306" s="110"/>
      <c r="J9306" s="113"/>
      <c r="K9306" s="114"/>
      <c r="L9306" s="115"/>
      <c r="M9306" s="115"/>
    </row>
    <row r="9307" spans="1:13" x14ac:dyDescent="0.25">
      <c r="A9307" s="50"/>
      <c r="B9307" s="72" t="str">
        <f>IFERROR(VLOOKUP(A9307,Material!$A:$H,2,0),"-")</f>
        <v>-</v>
      </c>
      <c r="C9307" s="76"/>
      <c r="D9307" s="50" t="str">
        <f>IFERROR(VLOOKUP(A9307,Material!$A:$H,4,0),"-")</f>
        <v>-</v>
      </c>
      <c r="E9307" s="107"/>
      <c r="F9307" s="51" t="str">
        <f>IFERROR(VLOOKUP(A9307,Material!$A:$H,3,0),"-")</f>
        <v>-</v>
      </c>
      <c r="G9307" s="51" t="str">
        <f t="shared" si="130"/>
        <v>-</v>
      </c>
      <c r="H9307" s="112"/>
      <c r="I9307" s="110"/>
      <c r="J9307" s="113"/>
      <c r="K9307" s="114"/>
      <c r="L9307" s="115"/>
      <c r="M9307" s="115"/>
    </row>
    <row r="9308" spans="1:13" x14ac:dyDescent="0.25">
      <c r="A9308" s="50"/>
      <c r="B9308" s="72" t="str">
        <f>IFERROR(VLOOKUP(A9308,Material!$A:$H,2,0),"-")</f>
        <v>-</v>
      </c>
      <c r="C9308" s="76"/>
      <c r="D9308" s="50" t="str">
        <f>IFERROR(VLOOKUP(A9308,Material!$A:$H,4,0),"-")</f>
        <v>-</v>
      </c>
      <c r="E9308" s="107"/>
      <c r="F9308" s="51" t="str">
        <f>IFERROR(VLOOKUP(A9308,Material!$A:$H,3,0),"-")</f>
        <v>-</v>
      </c>
      <c r="G9308" s="51" t="str">
        <f t="shared" si="130"/>
        <v>-</v>
      </c>
      <c r="H9308" s="112"/>
      <c r="I9308" s="110"/>
      <c r="J9308" s="113"/>
      <c r="K9308" s="114"/>
      <c r="L9308" s="115"/>
      <c r="M9308" s="114"/>
    </row>
    <row r="9309" spans="1:13" x14ac:dyDescent="0.25">
      <c r="A9309" s="219" t="s">
        <v>41</v>
      </c>
      <c r="B9309" s="219"/>
      <c r="C9309" s="219"/>
      <c r="D9309" s="219"/>
      <c r="E9309" s="219"/>
      <c r="F9309" s="219"/>
      <c r="G9309" s="52">
        <f>SUM(G9303:G9308)</f>
        <v>473836</v>
      </c>
      <c r="I9309" s="104"/>
    </row>
    <row r="9310" spans="1:13" x14ac:dyDescent="0.25">
      <c r="A9310" s="56"/>
      <c r="B9310" s="57"/>
      <c r="C9310" s="57"/>
      <c r="D9310" s="57"/>
      <c r="E9310" s="57"/>
      <c r="F9310" s="57"/>
      <c r="G9310" s="58"/>
    </row>
    <row r="9311" spans="1:13" x14ac:dyDescent="0.25">
      <c r="A9311" s="219" t="s">
        <v>42</v>
      </c>
      <c r="B9311" s="219"/>
      <c r="C9311" s="219"/>
      <c r="D9311" s="219"/>
      <c r="E9311" s="219"/>
      <c r="F9311" s="219"/>
      <c r="G9311" s="219"/>
    </row>
    <row r="9312" spans="1:13" x14ac:dyDescent="0.25">
      <c r="A9312" s="49" t="s">
        <v>35</v>
      </c>
      <c r="B9312" s="49" t="s">
        <v>36</v>
      </c>
      <c r="C9312" s="49" t="s">
        <v>38</v>
      </c>
      <c r="D9312" s="49" t="s">
        <v>43</v>
      </c>
      <c r="E9312" s="49" t="s">
        <v>44</v>
      </c>
      <c r="F9312" s="49" t="s">
        <v>45</v>
      </c>
      <c r="G9312" s="49" t="s">
        <v>40</v>
      </c>
    </row>
    <row r="9313" spans="1:9" x14ac:dyDescent="0.25">
      <c r="A9313" s="50" t="s">
        <v>319</v>
      </c>
      <c r="B9313" s="68" t="str">
        <f>VLOOKUP(A9313,'Componentes APUs'!$H$1:$L$25,2,0)</f>
        <v>Ingeniero Residente de Obra</v>
      </c>
      <c r="C9313" s="93">
        <v>0</v>
      </c>
      <c r="D9313" s="50">
        <f>VLOOKUP(A9313,'Componentes APUs'!$H$1:$L$25,3,0)</f>
        <v>4</v>
      </c>
      <c r="E9313" s="51">
        <f>VLOOKUP(A9313,'Componentes APUs'!$H$1:$L$25,4,0)</f>
        <v>271142.85714285716</v>
      </c>
      <c r="F9313" s="51">
        <f>VLOOKUP(A9313,'Componentes APUs'!$H$1:$L$25,5,0)</f>
        <v>162685.71428571429</v>
      </c>
      <c r="G9313" s="51">
        <f>ROUNDUP((E9313+F9313)*C9313/E9300,0)</f>
        <v>0</v>
      </c>
      <c r="H9313" s="66"/>
    </row>
    <row r="9314" spans="1:9" x14ac:dyDescent="0.25">
      <c r="A9314" s="50" t="s">
        <v>320</v>
      </c>
      <c r="B9314" s="68" t="str">
        <f>VLOOKUP(A9314,'Componentes APUs'!$H$1:$L$25,2,0)</f>
        <v>Tecnico Supervisor</v>
      </c>
      <c r="C9314" s="93">
        <v>0</v>
      </c>
      <c r="D9314" s="50">
        <f>VLOOKUP(A9314,'Componentes APUs'!$H$1:$L$25,3,0)</f>
        <v>2.2999999999999998</v>
      </c>
      <c r="E9314" s="51">
        <f>VLOOKUP(A9314,'Componentes APUs'!$H$1:$L$25,4,0)</f>
        <v>155907.14285714284</v>
      </c>
      <c r="F9314" s="51">
        <f>VLOOKUP(A9314,'Componentes APUs'!$H$1:$L$25,5,0)</f>
        <v>93544.285714285696</v>
      </c>
      <c r="G9314" s="51">
        <f>ROUNDUP((E9314+F9314)*C9314/E9300,0)</f>
        <v>0</v>
      </c>
    </row>
    <row r="9315" spans="1:9" x14ac:dyDescent="0.25">
      <c r="A9315" s="50" t="s">
        <v>54</v>
      </c>
      <c r="B9315" s="68" t="str">
        <f>VLOOKUP(A9315,'Componentes APUs'!$H$1:$L$25,2,0)</f>
        <v>Maestro de obra civil</v>
      </c>
      <c r="C9315" s="93">
        <v>0</v>
      </c>
      <c r="D9315" s="50">
        <f>VLOOKUP(A9315,'Componentes APUs'!$H$1:$L$25,3,0)</f>
        <v>2.5</v>
      </c>
      <c r="E9315" s="51">
        <f>VLOOKUP(A9315,'Componentes APUs'!$H$1:$L$25,4,0)</f>
        <v>169464.28571428571</v>
      </c>
      <c r="F9315" s="51">
        <f>VLOOKUP(A9315,'Componentes APUs'!$H$1:$L$25,5,0)</f>
        <v>101678.57142857142</v>
      </c>
      <c r="G9315" s="51">
        <f>ROUNDUP((E9315+F9315)*C9315/E9300,0)</f>
        <v>0</v>
      </c>
    </row>
    <row r="9316" spans="1:9" x14ac:dyDescent="0.25">
      <c r="A9316" s="50" t="s">
        <v>1110</v>
      </c>
      <c r="B9316" s="68" t="str">
        <f>VLOOKUP(A9316,'Componentes APUs'!$H$1:$L$25,2,0)</f>
        <v>Oficial de Obra Civil</v>
      </c>
      <c r="C9316" s="93">
        <v>1</v>
      </c>
      <c r="D9316" s="50">
        <f>VLOOKUP(A9316,'Componentes APUs'!$H$1:$L$25,3,0)</f>
        <v>1.5</v>
      </c>
      <c r="E9316" s="51">
        <f>VLOOKUP(A9316,'Componentes APUs'!$H$1:$L$25,4,0)</f>
        <v>115964.28571428571</v>
      </c>
      <c r="F9316" s="51">
        <f>VLOOKUP(A9316,'Componentes APUs'!$H$1:$L$25,5,0)</f>
        <v>69578.57142857142</v>
      </c>
      <c r="G9316" s="51">
        <f>ROUNDUP((E9316+F9316)*C9316/E9300,0)</f>
        <v>3711</v>
      </c>
    </row>
    <row r="9317" spans="1:9" x14ac:dyDescent="0.25">
      <c r="A9317" s="50" t="s">
        <v>50</v>
      </c>
      <c r="B9317" s="68" t="str">
        <f>VLOOKUP(A9317,'Componentes APUs'!$H$1:$L$25,2,0)</f>
        <v>Profesional en SST</v>
      </c>
      <c r="C9317" s="93">
        <v>0.25</v>
      </c>
      <c r="D9317" s="50">
        <f>VLOOKUP(A9317,'Componentes APUs'!$H$1:$L$25,3,0)</f>
        <v>2.5</v>
      </c>
      <c r="E9317" s="51">
        <f>VLOOKUP(A9317,'Componentes APUs'!$H$1:$L$25,4,0)</f>
        <v>169464.28571428571</v>
      </c>
      <c r="F9317" s="51">
        <f>VLOOKUP(A9317,'Componentes APUs'!$H$1:$L$25,5,0)</f>
        <v>101678.57142857142</v>
      </c>
      <c r="G9317" s="51">
        <f>ROUNDUP((E9317+F9317)*C9317/E9300,0)</f>
        <v>1356</v>
      </c>
    </row>
    <row r="9318" spans="1:9" x14ac:dyDescent="0.25">
      <c r="A9318" s="50" t="s">
        <v>1109</v>
      </c>
      <c r="B9318" s="68" t="str">
        <f>VLOOKUP(A9318,'Componentes APUs'!$H$1:$L$25,2,0)</f>
        <v>Ayudante de Obra Civil</v>
      </c>
      <c r="C9318" s="93">
        <v>3</v>
      </c>
      <c r="D9318" s="50">
        <f>VLOOKUP(A9318,'Componentes APUs'!$H$1:$L$25,3,0)</f>
        <v>1</v>
      </c>
      <c r="E9318" s="51">
        <f>VLOOKUP(A9318,'Componentes APUs'!$H$1:$L$25,4,0)</f>
        <v>77309.523809523816</v>
      </c>
      <c r="F9318" s="51">
        <f>VLOOKUP(A9318,'Componentes APUs'!$H$1:$L$25,5,0)</f>
        <v>46385.71428571429</v>
      </c>
      <c r="G9318" s="51">
        <f>ROUNDUP((E9318+F9318)*C9318/E9300,0)</f>
        <v>7422</v>
      </c>
    </row>
    <row r="9319" spans="1:9" x14ac:dyDescent="0.25">
      <c r="A9319" s="219" t="s">
        <v>56</v>
      </c>
      <c r="B9319" s="219"/>
      <c r="C9319" s="219"/>
      <c r="D9319" s="219"/>
      <c r="E9319" s="219"/>
      <c r="F9319" s="219"/>
      <c r="G9319" s="52">
        <f>SUM(G9313:G9318)</f>
        <v>12489</v>
      </c>
    </row>
    <row r="9320" spans="1:9" x14ac:dyDescent="0.25">
      <c r="A9320" s="56"/>
      <c r="B9320" s="57"/>
      <c r="C9320" s="57"/>
      <c r="D9320" s="57"/>
      <c r="E9320" s="57"/>
      <c r="F9320" s="57"/>
      <c r="G9320" s="58"/>
    </row>
    <row r="9321" spans="1:9" x14ac:dyDescent="0.25">
      <c r="A9321" s="219" t="s">
        <v>57</v>
      </c>
      <c r="B9321" s="219"/>
      <c r="C9321" s="219"/>
      <c r="D9321" s="219"/>
      <c r="E9321" s="219"/>
      <c r="F9321" s="219"/>
      <c r="G9321" s="219"/>
    </row>
    <row r="9322" spans="1:9" x14ac:dyDescent="0.25">
      <c r="A9322" s="49" t="s">
        <v>35</v>
      </c>
      <c r="B9322" s="219" t="s">
        <v>36</v>
      </c>
      <c r="C9322" s="219"/>
      <c r="D9322" s="49" t="s">
        <v>37</v>
      </c>
      <c r="E9322" s="49" t="s">
        <v>38</v>
      </c>
      <c r="F9322" s="49" t="s">
        <v>39</v>
      </c>
      <c r="G9322" s="49" t="s">
        <v>40</v>
      </c>
    </row>
    <row r="9323" spans="1:9" x14ac:dyDescent="0.25">
      <c r="A9323" s="50" t="s">
        <v>326</v>
      </c>
      <c r="B9323" s="220" t="str">
        <f>VLOOKUP(A9323,'Componentes APUs'!$S$1:$V$10,2,0)</f>
        <v>Juego Llaves</v>
      </c>
      <c r="C9323" s="220"/>
      <c r="D9323" s="50" t="s">
        <v>18</v>
      </c>
      <c r="E9323" s="50">
        <v>0</v>
      </c>
      <c r="F9323" s="51">
        <f>VLOOKUP(A9323,'Componentes APUs'!$S$1:$V$10,4,0)</f>
        <v>9167</v>
      </c>
      <c r="G9323" s="51">
        <f>ROUNDUP(F9323*((E9323/21)/E9300),0)</f>
        <v>0</v>
      </c>
      <c r="I9323" s="91"/>
    </row>
    <row r="9324" spans="1:9" x14ac:dyDescent="0.25">
      <c r="A9324" s="50" t="s">
        <v>58</v>
      </c>
      <c r="B9324" s="220" t="str">
        <f>VLOOKUP(A9324,'Componentes APUs'!$S$1:$V$10,2,0)</f>
        <v>Manila de servicio</v>
      </c>
      <c r="C9324" s="220"/>
      <c r="D9324" s="50" t="s">
        <v>18</v>
      </c>
      <c r="E9324" s="50">
        <v>0</v>
      </c>
      <c r="F9324" s="51">
        <f>VLOOKUP(A9324,'Componentes APUs'!$S$1:$V$10,4,0)</f>
        <v>2333</v>
      </c>
      <c r="G9324" s="51">
        <f>ROUNDUP(F9324*((E9324/21)/E9300),0)</f>
        <v>0</v>
      </c>
    </row>
    <row r="9325" spans="1:9" x14ac:dyDescent="0.25">
      <c r="A9325" s="50" t="s">
        <v>327</v>
      </c>
      <c r="B9325" s="220" t="str">
        <f>VLOOKUP(A9325,'Componentes APUs'!$S$1:$V$10,2,0)</f>
        <v>Tula portaherramientas</v>
      </c>
      <c r="C9325" s="220"/>
      <c r="D9325" s="50" t="s">
        <v>18</v>
      </c>
      <c r="E9325" s="50">
        <v>0</v>
      </c>
      <c r="F9325" s="51">
        <f>VLOOKUP(A9325,'Componentes APUs'!$S$1:$V$10,4,0)</f>
        <v>1250</v>
      </c>
      <c r="G9325" s="51">
        <f>ROUNDUP(F9325*((E9325/21)/E9300),0)</f>
        <v>0</v>
      </c>
    </row>
    <row r="9326" spans="1:9" x14ac:dyDescent="0.25">
      <c r="A9326" s="50" t="s">
        <v>60</v>
      </c>
      <c r="B9326" s="220" t="str">
        <f>VLOOKUP(A9326,'Componentes APUs'!$S$1:$V$10,2,0)</f>
        <v>Agarradoras</v>
      </c>
      <c r="C9326" s="220"/>
      <c r="D9326" s="50" t="s">
        <v>18</v>
      </c>
      <c r="E9326" s="50">
        <v>0</v>
      </c>
      <c r="F9326" s="51">
        <f>VLOOKUP(A9326,'Componentes APUs'!$S$1:$V$10,4,0)</f>
        <v>125000</v>
      </c>
      <c r="G9326" s="51">
        <f>ROUNDUP(F9326*((E9326/21)/E9300),0)</f>
        <v>0</v>
      </c>
    </row>
    <row r="9327" spans="1:9" x14ac:dyDescent="0.25">
      <c r="A9327" s="50" t="s">
        <v>62</v>
      </c>
      <c r="B9327" s="220" t="str">
        <f>VLOOKUP(A9327,'Componentes APUs'!$S$1:$V$10,2,0)</f>
        <v>Templadoras</v>
      </c>
      <c r="C9327" s="220"/>
      <c r="D9327" s="50" t="s">
        <v>18</v>
      </c>
      <c r="E9327" s="50">
        <v>0</v>
      </c>
      <c r="F9327" s="51">
        <f>VLOOKUP(A9327,'Componentes APUs'!$S$1:$V$10,4,0)</f>
        <v>250000</v>
      </c>
      <c r="G9327" s="51">
        <f>ROUNDUP(F9327*((E9327/21)/E9300),0)</f>
        <v>0</v>
      </c>
    </row>
    <row r="9328" spans="1:9" x14ac:dyDescent="0.25">
      <c r="A9328" s="50" t="s">
        <v>328</v>
      </c>
      <c r="B9328" s="220" t="str">
        <f>VLOOKUP(A9328,'Componentes APUs'!$S$1:$V$10,2,0)</f>
        <v>Herramienta Menor</v>
      </c>
      <c r="C9328" s="220"/>
      <c r="D9328" s="50" t="s">
        <v>18</v>
      </c>
      <c r="E9328" s="50">
        <v>1</v>
      </c>
      <c r="F9328" s="51">
        <f>VLOOKUP(A9328,'Componentes APUs'!$S$1:$V$10,4,0)</f>
        <v>75758</v>
      </c>
      <c r="G9328" s="51">
        <f>ROUNDUP(F9328*((E9328/21)/E9300),0)</f>
        <v>73</v>
      </c>
    </row>
    <row r="9329" spans="1:9" x14ac:dyDescent="0.25">
      <c r="A9329" s="219" t="s">
        <v>69</v>
      </c>
      <c r="B9329" s="219"/>
      <c r="C9329" s="219"/>
      <c r="D9329" s="219"/>
      <c r="E9329" s="219"/>
      <c r="F9329" s="219"/>
      <c r="G9329" s="52">
        <f>SUM(G9323:G9328)</f>
        <v>73</v>
      </c>
    </row>
    <row r="9330" spans="1:9" x14ac:dyDescent="0.25">
      <c r="A9330" s="56"/>
      <c r="B9330" s="57"/>
      <c r="C9330" s="57"/>
      <c r="D9330" s="57"/>
      <c r="E9330" s="57"/>
      <c r="F9330" s="57"/>
      <c r="G9330" s="58"/>
    </row>
    <row r="9331" spans="1:9" x14ac:dyDescent="0.25">
      <c r="A9331" s="219" t="s">
        <v>70</v>
      </c>
      <c r="B9331" s="219"/>
      <c r="C9331" s="219"/>
      <c r="D9331" s="219"/>
      <c r="E9331" s="219"/>
      <c r="F9331" s="219"/>
      <c r="G9331" s="219"/>
    </row>
    <row r="9332" spans="1:9" x14ac:dyDescent="0.25">
      <c r="A9332" s="49" t="s">
        <v>35</v>
      </c>
      <c r="B9332" s="219" t="s">
        <v>36</v>
      </c>
      <c r="C9332" s="219"/>
      <c r="D9332" s="49" t="s">
        <v>37</v>
      </c>
      <c r="E9332" s="49" t="s">
        <v>38</v>
      </c>
      <c r="F9332" s="49" t="s">
        <v>39</v>
      </c>
      <c r="G9332" s="49" t="s">
        <v>40</v>
      </c>
    </row>
    <row r="9333" spans="1:9" x14ac:dyDescent="0.25">
      <c r="A9333" s="50" t="s">
        <v>71</v>
      </c>
      <c r="B9333" s="71" t="str">
        <f>VLOOKUP(A9333,'Componentes APUs'!$A$1:$D$14,2,0)</f>
        <v>Camisa indigo sin partes metalicas</v>
      </c>
      <c r="C9333" s="71"/>
      <c r="D9333" s="50" t="str">
        <f>VLOOKUP(A9333,'Componentes APUs'!$A$1:$D$14,3,0)</f>
        <v>U</v>
      </c>
      <c r="E9333" s="50">
        <f>SUM(C9313:C9318)</f>
        <v>4.25</v>
      </c>
      <c r="F9333" s="51">
        <f>VLOOKUP(A9333,'Componentes APUs'!$A$1:$D$14,4,0)</f>
        <v>8585.8585858585866</v>
      </c>
      <c r="G9333" s="51">
        <f>ROUNDUP(F9333*(E9333/21)/E9300,0)</f>
        <v>35</v>
      </c>
      <c r="I9333" s="91"/>
    </row>
    <row r="9334" spans="1:9" x14ac:dyDescent="0.25">
      <c r="A9334" s="69" t="s">
        <v>73</v>
      </c>
      <c r="B9334" s="72" t="str">
        <f>VLOOKUP(A9334,'Componentes APUs'!$A$1:$D$14,2,0)</f>
        <v>Bota de seguridad dielectrica</v>
      </c>
      <c r="C9334" s="73"/>
      <c r="D9334" s="70" t="str">
        <f>VLOOKUP(A9334,'Componentes APUs'!$A$1:$D$14,3,0)</f>
        <v>Par</v>
      </c>
      <c r="E9334" s="50">
        <f>SUM(C9313:C9318)</f>
        <v>4.25</v>
      </c>
      <c r="F9334" s="51">
        <f>VLOOKUP(A9334,'Componentes APUs'!$A$1:$D$14,4,0)</f>
        <v>7500</v>
      </c>
      <c r="G9334" s="51">
        <f>ROUNDUP(F9334*(E9334/21)/E9300,0)</f>
        <v>31</v>
      </c>
    </row>
    <row r="9335" spans="1:9" x14ac:dyDescent="0.25">
      <c r="A9335" s="50" t="s">
        <v>76</v>
      </c>
      <c r="B9335" s="72" t="str">
        <f>VLOOKUP(A9335,'Componentes APUs'!$A$1:$D$14,2,0)</f>
        <v>Casco dielectrico Tipo 1 Clase E con barbuquejo</v>
      </c>
      <c r="C9335" s="73"/>
      <c r="D9335" s="50" t="str">
        <f>VLOOKUP(A9335,'Componentes APUs'!$A$1:$D$14,3,0)</f>
        <v>U</v>
      </c>
      <c r="E9335" s="50">
        <f>C9313+C9314+C9316+C9317+C9318+IF(A9315&lt;&gt;"MO-3",C9315,0)</f>
        <v>4.25</v>
      </c>
      <c r="F9335" s="51">
        <f>VLOOKUP(A9335,'Componentes APUs'!$A$1:$D$14,4,0)</f>
        <v>10101.010101010101</v>
      </c>
      <c r="G9335" s="51">
        <f>ROUNDUP(F9335*(E9335/21)/E9300,0)</f>
        <v>41</v>
      </c>
    </row>
    <row r="9336" spans="1:9" x14ac:dyDescent="0.25">
      <c r="A9336" s="69" t="s">
        <v>77</v>
      </c>
      <c r="B9336" s="72" t="str">
        <f>VLOOKUP(A9336,'Componentes APUs'!$A$1:$D$14,2,0)</f>
        <v>Correa plastica y antiflama</v>
      </c>
      <c r="C9336" s="73"/>
      <c r="D9336" s="50" t="str">
        <f>VLOOKUP(A9336,'Componentes APUs'!$A$1:$D$14,3,0)</f>
        <v>U</v>
      </c>
      <c r="E9336" s="50">
        <f>SUM(C9313:C9318)</f>
        <v>4.25</v>
      </c>
      <c r="F9336" s="51">
        <f>VLOOKUP(A9336,'Componentes APUs'!$A$1:$D$14,4,0)</f>
        <v>3787.878787878788</v>
      </c>
      <c r="G9336" s="51">
        <f>ROUNDUP(F9336*(E9336/21)/E9300,0)</f>
        <v>16</v>
      </c>
    </row>
    <row r="9337" spans="1:9" x14ac:dyDescent="0.25">
      <c r="A9337" s="50" t="s">
        <v>79</v>
      </c>
      <c r="B9337" s="72" t="str">
        <f>VLOOKUP(A9337,'Componentes APUs'!$A$1:$D$14,2,0)</f>
        <v>Gafas protectoras filtro UV</v>
      </c>
      <c r="C9337" s="73"/>
      <c r="D9337" s="50" t="str">
        <f>VLOOKUP(A9337,'Componentes APUs'!$A$1:$D$14,3,0)</f>
        <v>U</v>
      </c>
      <c r="E9337" s="50">
        <f>SUM(C9313:C9318)</f>
        <v>4.25</v>
      </c>
      <c r="F9337" s="51">
        <f>VLOOKUP(A9337,'Componentes APUs'!$A$1:$D$14,4,0)</f>
        <v>2777.7777777777778</v>
      </c>
      <c r="G9337" s="51">
        <f>ROUNDUP(F9337*(E9337/21)/E9300,0)</f>
        <v>12</v>
      </c>
    </row>
    <row r="9338" spans="1:9" x14ac:dyDescent="0.25">
      <c r="A9338" s="69" t="s">
        <v>402</v>
      </c>
      <c r="B9338" s="72" t="str">
        <f>VLOOKUP(A9338,'Componentes APUs'!$A$1:$D$14,2,0)</f>
        <v>Bota de seguridad PVC dielectrica</v>
      </c>
      <c r="C9338" s="73"/>
      <c r="D9338" s="50" t="str">
        <f>VLOOKUP(A9338,'Componentes APUs'!$A$1:$D$14,3,0)</f>
        <v>Par</v>
      </c>
      <c r="E9338" s="50">
        <f>SUM(C9313:C9318)</f>
        <v>4.25</v>
      </c>
      <c r="F9338" s="51">
        <f>VLOOKUP(A9338,'Componentes APUs'!$A$1:$D$14,4,0)</f>
        <v>2916.6666666666665</v>
      </c>
      <c r="G9338" s="51">
        <f>ROUNDUP(F9338*(E9338/21)/E9300,0)</f>
        <v>12</v>
      </c>
    </row>
    <row r="9339" spans="1:9" x14ac:dyDescent="0.25">
      <c r="A9339" s="50" t="s">
        <v>403</v>
      </c>
      <c r="B9339" s="72" t="str">
        <f>VLOOKUP(A9339,'Componentes APUs'!$A$1:$D$14,2,0)</f>
        <v>Capuchon</v>
      </c>
      <c r="C9339" s="73"/>
      <c r="D9339" s="50" t="str">
        <f>VLOOKUP(A9339,'Componentes APUs'!$A$1:$D$14,3,0)</f>
        <v>U</v>
      </c>
      <c r="E9339" s="50">
        <f>SUM(C9313:C9318)</f>
        <v>4.25</v>
      </c>
      <c r="F9339" s="51">
        <f>VLOOKUP(A9339,'Componentes APUs'!$A$1:$D$14,4,0)</f>
        <v>2525.2525252525252</v>
      </c>
      <c r="G9339" s="51">
        <f>ROUNDUP(F9339*(E9339/21)/E9300,0)</f>
        <v>11</v>
      </c>
    </row>
    <row r="9340" spans="1:9" x14ac:dyDescent="0.25">
      <c r="A9340" s="69" t="s">
        <v>81</v>
      </c>
      <c r="B9340" s="72" t="str">
        <f>VLOOKUP(A9340,'Componentes APUs'!$A$1:$D$14,2,0)</f>
        <v>Guantes Protectores  - ingeniero reforzados</v>
      </c>
      <c r="C9340" s="73"/>
      <c r="D9340" s="50" t="str">
        <f>VLOOKUP(A9340,'Componentes APUs'!$A$1:$D$14,3,0)</f>
        <v>Par</v>
      </c>
      <c r="E9340" s="50">
        <f>C9315+C9316+C9318</f>
        <v>4</v>
      </c>
      <c r="F9340" s="51">
        <f>VLOOKUP(A9340,'Componentes APUs'!$A$1:$D$14,4,0)</f>
        <v>2525.2525252525252</v>
      </c>
      <c r="G9340" s="51">
        <f>ROUNDUP(F9340*(E9340/21)/E9300,0)</f>
        <v>10</v>
      </c>
    </row>
    <row r="9341" spans="1:9" x14ac:dyDescent="0.25">
      <c r="A9341" s="50" t="s">
        <v>83</v>
      </c>
      <c r="B9341" s="72" t="str">
        <f>VLOOKUP(A9341,'Componentes APUs'!$A$1:$D$14,2,0)</f>
        <v>Impermeable (pantalon camisa)</v>
      </c>
      <c r="C9341" s="73"/>
      <c r="D9341" s="50" t="str">
        <f>VLOOKUP(A9341,'Componentes APUs'!$A$1:$D$14,3,0)</f>
        <v>U</v>
      </c>
      <c r="E9341" s="50">
        <f>SUM(C9313:C9318)</f>
        <v>4.25</v>
      </c>
      <c r="F9341" s="51">
        <f>VLOOKUP(A9341,'Componentes APUs'!$A$1:$D$14,4,0)</f>
        <v>3750</v>
      </c>
      <c r="G9341" s="51">
        <f>ROUNDUP(F9341*(E9341/21)/E9300,0)</f>
        <v>16</v>
      </c>
    </row>
    <row r="9342" spans="1:9" x14ac:dyDescent="0.25">
      <c r="A9342" s="69" t="s">
        <v>85</v>
      </c>
      <c r="B9342" s="72" t="str">
        <f>VLOOKUP(A9342,'Componentes APUs'!$A$1:$D$14,2,0)</f>
        <v>Jean Dielectrico</v>
      </c>
      <c r="C9342" s="73"/>
      <c r="D9342" s="50" t="str">
        <f>VLOOKUP(A9342,'Componentes APUs'!$A$1:$D$14,3,0)</f>
        <v>U</v>
      </c>
      <c r="E9342" s="50">
        <f>SUM(C9313:C9318)</f>
        <v>4.25</v>
      </c>
      <c r="F9342" s="51">
        <f>VLOOKUP(A9342,'Componentes APUs'!$A$1:$D$14,4,0)</f>
        <v>7575.757575757576</v>
      </c>
      <c r="G9342" s="51">
        <f>ROUNDUP(F9342*(E9342/21)/E9300,0)</f>
        <v>31</v>
      </c>
    </row>
    <row r="9343" spans="1:9" x14ac:dyDescent="0.25">
      <c r="A9343" s="50" t="s">
        <v>87</v>
      </c>
      <c r="B9343" s="72" t="str">
        <f>VLOOKUP(A9343,'Componentes APUs'!$A$1:$D$14,2,0)</f>
        <v>Casco dielectrico Tipo 2 Clase E con barboquejo</v>
      </c>
      <c r="C9343" s="73"/>
      <c r="D9343" s="50" t="str">
        <f>VLOOKUP(A9343,'Componentes APUs'!$A$1:$D$14,3,0)</f>
        <v>U</v>
      </c>
      <c r="E9343" s="53">
        <f>IF(A9315="MO-3",C9315,0)</f>
        <v>0</v>
      </c>
      <c r="F9343" s="51">
        <f>VLOOKUP(A9343,'Componentes APUs'!$A$1:$D$14,4,0)</f>
        <v>7500</v>
      </c>
      <c r="G9343" s="51">
        <f>ROUNDUP(F9343*(E9343/21)/E9300,0)</f>
        <v>0</v>
      </c>
    </row>
    <row r="9344" spans="1:9" x14ac:dyDescent="0.25">
      <c r="A9344" s="69" t="s">
        <v>89</v>
      </c>
      <c r="B9344" s="72" t="str">
        <f>VLOOKUP(A9344,'Componentes APUs'!$A$1:$D$14,2,0)</f>
        <v>Kit de rescate para trabajo en alturas</v>
      </c>
      <c r="C9344" s="73"/>
      <c r="D9344" s="50" t="str">
        <f>VLOOKUP(A9344,'Componentes APUs'!$A$1:$D$14,3,0)</f>
        <v>U</v>
      </c>
      <c r="E9344" s="50">
        <f>IF(AND(A9315="MO-3",C9315=2),1,0)</f>
        <v>0</v>
      </c>
      <c r="F9344" s="51">
        <f>VLOOKUP(A9344,'Componentes APUs'!$A$1:$D$14,4,0)</f>
        <v>37500</v>
      </c>
      <c r="G9344" s="51">
        <f>ROUNDUP(F9344*(E9344/21)/E9300,0)</f>
        <v>0</v>
      </c>
    </row>
    <row r="9345" spans="1:7" x14ac:dyDescent="0.25">
      <c r="A9345" s="50" t="s">
        <v>91</v>
      </c>
      <c r="B9345" s="72" t="str">
        <f>VLOOKUP(A9345,'Componentes APUs'!$A$1:$D$14,2,0)</f>
        <v>Equipo completo para trabajo en alturas con pretales (Arnes dielectrico, 1 mosqueton de seguridad, tie off dielectrico, eslinga de posicionamiento, juego de pretales)</v>
      </c>
      <c r="C9345" s="73"/>
      <c r="D9345" s="50" t="str">
        <f>VLOOKUP(A9345,'Componentes APUs'!$A$1:$D$14,3,0)</f>
        <v>U</v>
      </c>
      <c r="E9345" s="50">
        <f>IF(A9315="MO-3",C9315,0)</f>
        <v>0</v>
      </c>
      <c r="F9345" s="51">
        <f>VLOOKUP(A9345,'Componentes APUs'!$A$1:$D$14,4,0)</f>
        <v>26041.666666666668</v>
      </c>
      <c r="G9345" s="51">
        <f>ROUNDUP(F9345*(E9345/21)/E9300,0)</f>
        <v>0</v>
      </c>
    </row>
    <row r="9346" spans="1:7" x14ac:dyDescent="0.25">
      <c r="A9346" s="219" t="s">
        <v>95</v>
      </c>
      <c r="B9346" s="219"/>
      <c r="C9346" s="219"/>
      <c r="D9346" s="219"/>
      <c r="E9346" s="219"/>
      <c r="F9346" s="219"/>
      <c r="G9346" s="52">
        <f>SUM(G9333:G9345)</f>
        <v>215</v>
      </c>
    </row>
    <row r="9347" spans="1:7" x14ac:dyDescent="0.25">
      <c r="A9347" s="56"/>
      <c r="B9347" s="57"/>
      <c r="C9347" s="57"/>
      <c r="D9347" s="57"/>
      <c r="E9347" s="57"/>
      <c r="F9347" s="57"/>
      <c r="G9347" s="58"/>
    </row>
    <row r="9348" spans="1:7" x14ac:dyDescent="0.25">
      <c r="A9348" s="219" t="s">
        <v>96</v>
      </c>
      <c r="B9348" s="219"/>
      <c r="C9348" s="219"/>
      <c r="D9348" s="219"/>
      <c r="E9348" s="219"/>
      <c r="F9348" s="219"/>
      <c r="G9348" s="219"/>
    </row>
    <row r="9349" spans="1:7" x14ac:dyDescent="0.25">
      <c r="A9349" s="49" t="s">
        <v>35</v>
      </c>
      <c r="B9349" s="225" t="s">
        <v>36</v>
      </c>
      <c r="C9349" s="225"/>
      <c r="D9349" s="49" t="s">
        <v>37</v>
      </c>
      <c r="E9349" s="49" t="s">
        <v>38</v>
      </c>
      <c r="F9349" s="49" t="s">
        <v>39</v>
      </c>
      <c r="G9349" s="49" t="s">
        <v>40</v>
      </c>
    </row>
    <row r="9350" spans="1:7" x14ac:dyDescent="0.25">
      <c r="A9350" s="69" t="s">
        <v>97</v>
      </c>
      <c r="B9350" s="72" t="str">
        <f>VLOOKUP(A9350,'Componentes APUs'!$N$1:$Q$30,2,0)</f>
        <v>Camioneta</v>
      </c>
      <c r="C9350" s="73"/>
      <c r="D9350" s="70" t="str">
        <f>VLOOKUP(A9350,'Componentes APUs'!$N$1:$Q$30,3,0)</f>
        <v>U</v>
      </c>
      <c r="E9350" s="50">
        <v>1</v>
      </c>
      <c r="F9350" s="51">
        <f>VLOOKUP(A9350,'Componentes APUs'!$N$1:$Q$30,4,0)</f>
        <v>5500000</v>
      </c>
      <c r="G9350" s="51">
        <f>IFERROR(ROUNDUP(F9350*(E9350/21)/E9300,0),"-")</f>
        <v>5239</v>
      </c>
    </row>
    <row r="9351" spans="1:7" x14ac:dyDescent="0.25">
      <c r="A9351" s="50" t="s">
        <v>2225</v>
      </c>
      <c r="B9351" s="72" t="str">
        <f>VLOOKUP(A9351,'Componentes APUs'!$N$1:$Q$30,2,0)</f>
        <v>Vehículo delineador para aplicación de pintura con mínimo 2 boquillas (NTC 4744-2)</v>
      </c>
      <c r="C9351" s="73"/>
      <c r="D9351" s="70" t="str">
        <f>VLOOKUP(A9351,'Componentes APUs'!$N$1:$Q$30,3,0)</f>
        <v>U</v>
      </c>
      <c r="E9351" s="50">
        <v>1</v>
      </c>
      <c r="F9351" s="51">
        <f>VLOOKUP(A9351,'Componentes APUs'!$N$1:$Q$30,4,0)</f>
        <v>214489.08357336133</v>
      </c>
      <c r="G9351" s="51">
        <f>IFERROR(ROUNDUP(F9351*(E9351/21)/E9300,0),"-")</f>
        <v>205</v>
      </c>
    </row>
    <row r="9352" spans="1:7" x14ac:dyDescent="0.25">
      <c r="A9352" s="69" t="s">
        <v>1379</v>
      </c>
      <c r="B9352" s="72" t="str">
        <f>VLOOKUP(A9352,'Componentes APUs'!$N$1:$Q$30,2,0)</f>
        <v>Dumper de descarga Frontal 2T</v>
      </c>
      <c r="C9352" s="73"/>
      <c r="D9352" s="70" t="str">
        <f>VLOOKUP(A9352,'Componentes APUs'!$N$1:$Q$30,3,0)</f>
        <v>U</v>
      </c>
      <c r="E9352" s="50">
        <v>0</v>
      </c>
      <c r="F9352" s="51">
        <f>VLOOKUP(A9352,'Componentes APUs'!$N$1:$Q$30,4,0)</f>
        <v>4438716.24</v>
      </c>
      <c r="G9352" s="51">
        <f>IFERROR(ROUNDUP(F9352*(E9352/21)/E9300,0),"-")</f>
        <v>0</v>
      </c>
    </row>
    <row r="9353" spans="1:7" x14ac:dyDescent="0.25">
      <c r="A9353" s="50" t="s">
        <v>323</v>
      </c>
      <c r="B9353" s="72" t="str">
        <f>VLOOKUP(A9353,'Componentes APUs'!$N$1:$Q$30,2,0)</f>
        <v>Volqueta</v>
      </c>
      <c r="C9353" s="73"/>
      <c r="D9353" s="70" t="str">
        <f>VLOOKUP(A9353,'Componentes APUs'!$N$1:$Q$30,3,0)</f>
        <v>U</v>
      </c>
      <c r="E9353" s="50">
        <v>0</v>
      </c>
      <c r="F9353" s="51">
        <f>VLOOKUP(A9353,'Componentes APUs'!$N$1:$Q$30,4,0)</f>
        <v>14828184</v>
      </c>
      <c r="G9353" s="51">
        <f>IFERROR(ROUNDUP(F9353*(E9353/21)/E9300,0),"-")</f>
        <v>0</v>
      </c>
    </row>
    <row r="9354" spans="1:7" x14ac:dyDescent="0.25">
      <c r="A9354" s="69" t="s">
        <v>324</v>
      </c>
      <c r="B9354" s="72" t="str">
        <f>VLOOKUP(A9354,'Componentes APUs'!$N$1:$Q$30,2,0)</f>
        <v>Retroexcavadora</v>
      </c>
      <c r="C9354" s="73"/>
      <c r="D9354" s="70" t="str">
        <f>VLOOKUP(A9354,'Componentes APUs'!$N$1:$Q$30,3,0)</f>
        <v>U</v>
      </c>
      <c r="E9354" s="50">
        <v>0</v>
      </c>
      <c r="F9354" s="51">
        <f>VLOOKUP(A9354,'Componentes APUs'!$N$1:$Q$30,4,0)</f>
        <v>46030656</v>
      </c>
      <c r="G9354" s="51">
        <f>IFERROR(ROUNDUP(F9354*(E9354/21)/E9300,0),"-")</f>
        <v>0</v>
      </c>
    </row>
    <row r="9355" spans="1:7" x14ac:dyDescent="0.25">
      <c r="A9355" s="219" t="s">
        <v>99</v>
      </c>
      <c r="B9355" s="219"/>
      <c r="C9355" s="219"/>
      <c r="D9355" s="219"/>
      <c r="E9355" s="219"/>
      <c r="F9355" s="219"/>
      <c r="G9355" s="52">
        <f>SUM(G9350:G9354)</f>
        <v>5444</v>
      </c>
    </row>
    <row r="9356" spans="1:7" x14ac:dyDescent="0.25">
      <c r="A9356" s="56"/>
      <c r="B9356" s="57"/>
      <c r="C9356" s="57"/>
      <c r="D9356" s="57"/>
      <c r="E9356" s="57"/>
      <c r="F9356" s="57"/>
      <c r="G9356" s="58"/>
    </row>
    <row r="9357" spans="1:7" x14ac:dyDescent="0.25">
      <c r="A9357" s="219" t="s">
        <v>100</v>
      </c>
      <c r="B9357" s="219"/>
      <c r="C9357" s="219"/>
      <c r="D9357" s="219"/>
      <c r="E9357" s="219"/>
      <c r="F9357" s="219"/>
      <c r="G9357" s="52">
        <f>G9355+G9346+G9329+G9319+G9309</f>
        <v>492057</v>
      </c>
    </row>
    <row r="9358" spans="1:7" x14ac:dyDescent="0.25">
      <c r="A9358" s="59"/>
      <c r="B9358" s="60"/>
      <c r="C9358" s="60"/>
      <c r="D9358" s="60"/>
      <c r="E9358" s="57"/>
      <c r="F9358" s="57"/>
      <c r="G9358" s="58"/>
    </row>
    <row r="9359" spans="1:7" x14ac:dyDescent="0.25">
      <c r="A9359" s="64"/>
      <c r="D9359" s="55"/>
      <c r="E9359" s="49" t="s">
        <v>25</v>
      </c>
      <c r="F9359" s="54">
        <v>0.15</v>
      </c>
      <c r="G9359" s="51">
        <f>G9357*F9359</f>
        <v>73808.55</v>
      </c>
    </row>
    <row r="9360" spans="1:7" x14ac:dyDescent="0.25">
      <c r="A9360" s="64"/>
      <c r="D9360" s="55"/>
      <c r="E9360" s="49" t="s">
        <v>26</v>
      </c>
      <c r="F9360" s="54">
        <v>0.05</v>
      </c>
      <c r="G9360" s="51">
        <f>G9357*F9360</f>
        <v>24602.850000000002</v>
      </c>
    </row>
    <row r="9361" spans="1:13" x14ac:dyDescent="0.25">
      <c r="A9361" s="61"/>
      <c r="B9361" s="65"/>
      <c r="C9361" s="65"/>
      <c r="D9361" s="62"/>
      <c r="E9361" s="49" t="s">
        <v>27</v>
      </c>
      <c r="F9361" s="54">
        <v>0.05</v>
      </c>
      <c r="G9361" s="51">
        <f>G9357*F9361</f>
        <v>24602.850000000002</v>
      </c>
    </row>
    <row r="9362" spans="1:13" x14ac:dyDescent="0.25">
      <c r="A9362" s="61"/>
      <c r="B9362" s="62"/>
      <c r="C9362" s="62"/>
      <c r="D9362" s="62"/>
      <c r="E9362" s="62"/>
      <c r="F9362" s="62"/>
      <c r="G9362" s="63"/>
    </row>
    <row r="9363" spans="1:13" x14ac:dyDescent="0.25">
      <c r="A9363" s="219" t="s">
        <v>101</v>
      </c>
      <c r="B9363" s="219"/>
      <c r="C9363" s="219"/>
      <c r="D9363" s="219"/>
      <c r="E9363" s="219"/>
      <c r="F9363" s="219"/>
      <c r="G9363" s="52">
        <f>G9357+G9359+G9360+G9361</f>
        <v>615071.25</v>
      </c>
    </row>
    <row r="9364" spans="1:13" x14ac:dyDescent="0.25">
      <c r="A9364" s="59"/>
      <c r="B9364" s="60"/>
      <c r="C9364" s="60"/>
      <c r="D9364" s="60"/>
      <c r="E9364" s="57"/>
      <c r="F9364" s="57"/>
      <c r="G9364" s="58"/>
    </row>
    <row r="9365" spans="1:13" x14ac:dyDescent="0.25">
      <c r="A9365" s="64"/>
      <c r="D9365" s="55"/>
      <c r="E9365" s="49" t="s">
        <v>102</v>
      </c>
      <c r="F9365" s="49" t="s">
        <v>103</v>
      </c>
      <c r="G9365" s="51">
        <f>G9361*19%</f>
        <v>4674.5415000000003</v>
      </c>
    </row>
    <row r="9366" spans="1:13" x14ac:dyDescent="0.25">
      <c r="A9366" s="61"/>
      <c r="B9366" s="62"/>
      <c r="C9366" s="62"/>
      <c r="D9366" s="62"/>
      <c r="E9366" s="57"/>
      <c r="F9366" s="57"/>
      <c r="G9366" s="58"/>
    </row>
    <row r="9367" spans="1:13" x14ac:dyDescent="0.25">
      <c r="A9367" s="219" t="s">
        <v>104</v>
      </c>
      <c r="B9367" s="219"/>
      <c r="C9367" s="219"/>
      <c r="D9367" s="219"/>
      <c r="E9367" s="219"/>
      <c r="F9367" s="219"/>
      <c r="G9367" s="52">
        <f>G9365+G9363</f>
        <v>619745.79150000005</v>
      </c>
    </row>
    <row r="9369" spans="1:13" x14ac:dyDescent="0.25">
      <c r="A9369" s="74" t="s">
        <v>29</v>
      </c>
      <c r="B9369" s="226" t="s">
        <v>30</v>
      </c>
      <c r="C9369" s="226"/>
      <c r="D9369" s="74" t="s">
        <v>31</v>
      </c>
      <c r="E9369" s="74" t="s">
        <v>32</v>
      </c>
      <c r="F9369" s="74" t="s">
        <v>189</v>
      </c>
      <c r="G9369" s="74" t="s">
        <v>33</v>
      </c>
      <c r="H9369" s="105"/>
    </row>
    <row r="9370" spans="1:13" ht="27" customHeight="1" x14ac:dyDescent="0.25">
      <c r="A9370" s="50" t="str">
        <f>Presupuesto!B173</f>
        <v>149_OC</v>
      </c>
      <c r="B9370" s="229" t="str">
        <f>Presupuesto!C173</f>
        <v>SEÑAL HORIZONTAL PARA LA PALABRA PARE Y LÍNEA DE PARE EN PINTURA ACRILICA DE TRAFICO.</v>
      </c>
      <c r="C9370" s="230"/>
      <c r="D9370" s="50" t="s">
        <v>113</v>
      </c>
      <c r="E9370" s="53">
        <v>59</v>
      </c>
      <c r="F9370" s="50"/>
      <c r="G9370" s="51">
        <f>G9437</f>
        <v>31422.006000000005</v>
      </c>
      <c r="H9370" s="111"/>
    </row>
    <row r="9371" spans="1:13" x14ac:dyDescent="0.25">
      <c r="A9371" s="219" t="s">
        <v>34</v>
      </c>
      <c r="B9371" s="219"/>
      <c r="C9371" s="219"/>
      <c r="D9371" s="219"/>
      <c r="E9371" s="219"/>
      <c r="F9371" s="219"/>
      <c r="G9371" s="219"/>
    </row>
    <row r="9372" spans="1:13" ht="30.75" customHeight="1" x14ac:dyDescent="0.25">
      <c r="A9372" s="49" t="s">
        <v>35</v>
      </c>
      <c r="B9372" s="219" t="s">
        <v>36</v>
      </c>
      <c r="C9372" s="219"/>
      <c r="D9372" s="49" t="s">
        <v>37</v>
      </c>
      <c r="E9372" s="49" t="s">
        <v>38</v>
      </c>
      <c r="F9372" s="49" t="s">
        <v>39</v>
      </c>
      <c r="G9372" s="49" t="s">
        <v>40</v>
      </c>
      <c r="K9372" s="23"/>
      <c r="L9372" s="23"/>
    </row>
    <row r="9373" spans="1:13" ht="25.5" customHeight="1" x14ac:dyDescent="0.25">
      <c r="A9373" s="50" t="str">
        <f>Material!A531</f>
        <v>MA-530</v>
      </c>
      <c r="B9373" s="221" t="str">
        <f>IFERROR(VLOOKUP(A9373,Material!$A:$H,2,0),"-")</f>
        <v>PINTURA DE COLOR AMARILLO, PARA MARCAS VIALES SOBRE LA CALZADA</v>
      </c>
      <c r="C9373" s="222"/>
      <c r="D9373" s="50" t="str">
        <f>IFERROR(VLOOKUP(A9373,Material!$A:$H,4,0),"-")</f>
        <v>KG</v>
      </c>
      <c r="E9373" s="107">
        <v>0.75</v>
      </c>
      <c r="F9373" s="51">
        <f>IFERROR(VLOOKUP(A9373,Material!$A:$H,3,0),"-")</f>
        <v>18375.5</v>
      </c>
      <c r="G9373" s="51">
        <f t="shared" ref="G9373:G9378" si="131">IFERROR(ROUNDUP(F9373*E9373,0),"-")</f>
        <v>13782</v>
      </c>
      <c r="H9373" s="112"/>
      <c r="I9373" s="110"/>
      <c r="J9373" s="113"/>
      <c r="K9373" s="114"/>
      <c r="L9373" s="115"/>
      <c r="M9373" s="115"/>
    </row>
    <row r="9374" spans="1:13" x14ac:dyDescent="0.25">
      <c r="A9374" s="50"/>
      <c r="B9374" s="72" t="str">
        <f>IFERROR(VLOOKUP(A9374,Material!$A:$H,2,0),"-")</f>
        <v>-</v>
      </c>
      <c r="C9374" s="76"/>
      <c r="D9374" s="50" t="str">
        <f>IFERROR(VLOOKUP(A9374,Material!$A:$H,4,0),"-")</f>
        <v>-</v>
      </c>
      <c r="E9374" s="109"/>
      <c r="F9374" s="51" t="str">
        <f>IFERROR(VLOOKUP(A9374,Material!$A:$H,3,0),"-")</f>
        <v>-</v>
      </c>
      <c r="G9374" s="51" t="str">
        <f t="shared" si="131"/>
        <v>-</v>
      </c>
      <c r="H9374" s="112"/>
      <c r="I9374" s="110"/>
      <c r="J9374" s="113"/>
      <c r="K9374" s="114"/>
      <c r="L9374" s="115"/>
      <c r="M9374" s="115"/>
    </row>
    <row r="9375" spans="1:13" x14ac:dyDescent="0.25">
      <c r="A9375" s="50"/>
      <c r="B9375" s="72" t="str">
        <f>IFERROR(VLOOKUP(A9375,Material!$A:$H,2,0),"-")</f>
        <v>-</v>
      </c>
      <c r="C9375" s="76"/>
      <c r="D9375" s="50" t="str">
        <f>IFERROR(VLOOKUP(A9375,Material!$A:$H,4,0),"-")</f>
        <v>-</v>
      </c>
      <c r="E9375" s="107"/>
      <c r="F9375" s="51" t="str">
        <f>IFERROR(VLOOKUP(A9375,Material!$A:$H,3,0),"-")</f>
        <v>-</v>
      </c>
      <c r="G9375" s="51" t="str">
        <f t="shared" si="131"/>
        <v>-</v>
      </c>
      <c r="H9375" s="112"/>
      <c r="I9375" s="110"/>
      <c r="J9375" s="113"/>
      <c r="K9375" s="114"/>
      <c r="L9375" s="115"/>
      <c r="M9375" s="115"/>
    </row>
    <row r="9376" spans="1:13" x14ac:dyDescent="0.25">
      <c r="A9376" s="50"/>
      <c r="B9376" s="72" t="str">
        <f>IFERROR(VLOOKUP(A9376,Material!$A:$H,2,0),"-")</f>
        <v>-</v>
      </c>
      <c r="C9376" s="76"/>
      <c r="D9376" s="50" t="str">
        <f>IFERROR(VLOOKUP(A9376,Material!$A:$H,4,0),"-")</f>
        <v>-</v>
      </c>
      <c r="E9376" s="107"/>
      <c r="F9376" s="51" t="str">
        <f>IFERROR(VLOOKUP(A9376,Material!$A:$H,3,0),"-")</f>
        <v>-</v>
      </c>
      <c r="G9376" s="51" t="str">
        <f t="shared" si="131"/>
        <v>-</v>
      </c>
      <c r="H9376" s="112"/>
      <c r="I9376" s="110"/>
      <c r="J9376" s="113"/>
      <c r="K9376" s="114"/>
      <c r="L9376" s="115"/>
      <c r="M9376" s="115"/>
    </row>
    <row r="9377" spans="1:13" x14ac:dyDescent="0.25">
      <c r="A9377" s="50"/>
      <c r="B9377" s="72" t="str">
        <f>IFERROR(VLOOKUP(A9377,Material!$A:$H,2,0),"-")</f>
        <v>-</v>
      </c>
      <c r="C9377" s="76"/>
      <c r="D9377" s="50" t="str">
        <f>IFERROR(VLOOKUP(A9377,Material!$A:$H,4,0),"-")</f>
        <v>-</v>
      </c>
      <c r="E9377" s="107"/>
      <c r="F9377" s="51" t="str">
        <f>IFERROR(VLOOKUP(A9377,Material!$A:$H,3,0),"-")</f>
        <v>-</v>
      </c>
      <c r="G9377" s="51" t="str">
        <f t="shared" si="131"/>
        <v>-</v>
      </c>
      <c r="H9377" s="112"/>
      <c r="I9377" s="110"/>
      <c r="J9377" s="113"/>
      <c r="K9377" s="114"/>
      <c r="L9377" s="115"/>
      <c r="M9377" s="115"/>
    </row>
    <row r="9378" spans="1:13" x14ac:dyDescent="0.25">
      <c r="A9378" s="50"/>
      <c r="B9378" s="72" t="str">
        <f>IFERROR(VLOOKUP(A9378,Material!$A:$H,2,0),"-")</f>
        <v>-</v>
      </c>
      <c r="C9378" s="76"/>
      <c r="D9378" s="50" t="str">
        <f>IFERROR(VLOOKUP(A9378,Material!$A:$H,4,0),"-")</f>
        <v>-</v>
      </c>
      <c r="E9378" s="107"/>
      <c r="F9378" s="51" t="str">
        <f>IFERROR(VLOOKUP(A9378,Material!$A:$H,3,0),"-")</f>
        <v>-</v>
      </c>
      <c r="G9378" s="51" t="str">
        <f t="shared" si="131"/>
        <v>-</v>
      </c>
      <c r="H9378" s="112"/>
      <c r="I9378" s="110"/>
      <c r="J9378" s="113"/>
      <c r="K9378" s="114"/>
      <c r="L9378" s="115"/>
      <c r="M9378" s="114"/>
    </row>
    <row r="9379" spans="1:13" x14ac:dyDescent="0.25">
      <c r="A9379" s="219" t="s">
        <v>41</v>
      </c>
      <c r="B9379" s="219"/>
      <c r="C9379" s="219"/>
      <c r="D9379" s="219"/>
      <c r="E9379" s="219"/>
      <c r="F9379" s="219"/>
      <c r="G9379" s="52">
        <f>SUM(G9373:G9378)</f>
        <v>13782</v>
      </c>
      <c r="I9379" s="104"/>
    </row>
    <row r="9380" spans="1:13" x14ac:dyDescent="0.25">
      <c r="A9380" s="56"/>
      <c r="B9380" s="57"/>
      <c r="C9380" s="57"/>
      <c r="D9380" s="57"/>
      <c r="E9380" s="57"/>
      <c r="F9380" s="57"/>
      <c r="G9380" s="58"/>
    </row>
    <row r="9381" spans="1:13" x14ac:dyDescent="0.25">
      <c r="A9381" s="219" t="s">
        <v>42</v>
      </c>
      <c r="B9381" s="219"/>
      <c r="C9381" s="219"/>
      <c r="D9381" s="219"/>
      <c r="E9381" s="219"/>
      <c r="F9381" s="219"/>
      <c r="G9381" s="219"/>
    </row>
    <row r="9382" spans="1:13" x14ac:dyDescent="0.25">
      <c r="A9382" s="49" t="s">
        <v>35</v>
      </c>
      <c r="B9382" s="49" t="s">
        <v>36</v>
      </c>
      <c r="C9382" s="49" t="s">
        <v>38</v>
      </c>
      <c r="D9382" s="49" t="s">
        <v>43</v>
      </c>
      <c r="E9382" s="49" t="s">
        <v>44</v>
      </c>
      <c r="F9382" s="49" t="s">
        <v>45</v>
      </c>
      <c r="G9382" s="49" t="s">
        <v>40</v>
      </c>
    </row>
    <row r="9383" spans="1:13" x14ac:dyDescent="0.25">
      <c r="A9383" s="50" t="s">
        <v>319</v>
      </c>
      <c r="B9383" s="68" t="str">
        <f>VLOOKUP(A9383,'Componentes APUs'!$H$1:$L$25,2,0)</f>
        <v>Ingeniero Residente de Obra</v>
      </c>
      <c r="C9383" s="93">
        <v>0</v>
      </c>
      <c r="D9383" s="50">
        <f>VLOOKUP(A9383,'Componentes APUs'!$H$1:$L$25,3,0)</f>
        <v>4</v>
      </c>
      <c r="E9383" s="51">
        <f>VLOOKUP(A9383,'Componentes APUs'!$H$1:$L$25,4,0)</f>
        <v>271142.85714285716</v>
      </c>
      <c r="F9383" s="51">
        <f>VLOOKUP(A9383,'Componentes APUs'!$H$1:$L$25,5,0)</f>
        <v>162685.71428571429</v>
      </c>
      <c r="G9383" s="51">
        <f>ROUNDUP((E9383+F9383)*C9383/E9370,0)</f>
        <v>0</v>
      </c>
      <c r="H9383" s="66"/>
    </row>
    <row r="9384" spans="1:13" x14ac:dyDescent="0.25">
      <c r="A9384" s="50" t="s">
        <v>320</v>
      </c>
      <c r="B9384" s="68" t="str">
        <f>VLOOKUP(A9384,'Componentes APUs'!$H$1:$L$25,2,0)</f>
        <v>Tecnico Supervisor</v>
      </c>
      <c r="C9384" s="93">
        <v>0</v>
      </c>
      <c r="D9384" s="50">
        <f>VLOOKUP(A9384,'Componentes APUs'!$H$1:$L$25,3,0)</f>
        <v>2.2999999999999998</v>
      </c>
      <c r="E9384" s="51">
        <f>VLOOKUP(A9384,'Componentes APUs'!$H$1:$L$25,4,0)</f>
        <v>155907.14285714284</v>
      </c>
      <c r="F9384" s="51">
        <f>VLOOKUP(A9384,'Componentes APUs'!$H$1:$L$25,5,0)</f>
        <v>93544.285714285696</v>
      </c>
      <c r="G9384" s="51">
        <f>ROUNDUP((E9384+F9384)*C9384/E9370,0)</f>
        <v>0</v>
      </c>
    </row>
    <row r="9385" spans="1:13" x14ac:dyDescent="0.25">
      <c r="A9385" s="50" t="s">
        <v>54</v>
      </c>
      <c r="B9385" s="68" t="str">
        <f>VLOOKUP(A9385,'Componentes APUs'!$H$1:$L$25,2,0)</f>
        <v>Maestro de obra civil</v>
      </c>
      <c r="C9385" s="93">
        <v>0</v>
      </c>
      <c r="D9385" s="50">
        <f>VLOOKUP(A9385,'Componentes APUs'!$H$1:$L$25,3,0)</f>
        <v>2.5</v>
      </c>
      <c r="E9385" s="51">
        <f>VLOOKUP(A9385,'Componentes APUs'!$H$1:$L$25,4,0)</f>
        <v>169464.28571428571</v>
      </c>
      <c r="F9385" s="51">
        <f>VLOOKUP(A9385,'Componentes APUs'!$H$1:$L$25,5,0)</f>
        <v>101678.57142857142</v>
      </c>
      <c r="G9385" s="51">
        <f>ROUNDUP((E9385+F9385)*C9385/E9370,0)</f>
        <v>0</v>
      </c>
    </row>
    <row r="9386" spans="1:13" x14ac:dyDescent="0.25">
      <c r="A9386" s="50" t="s">
        <v>1110</v>
      </c>
      <c r="B9386" s="68" t="str">
        <f>VLOOKUP(A9386,'Componentes APUs'!$H$1:$L$25,2,0)</f>
        <v>Oficial de Obra Civil</v>
      </c>
      <c r="C9386" s="93">
        <v>1</v>
      </c>
      <c r="D9386" s="50">
        <f>VLOOKUP(A9386,'Componentes APUs'!$H$1:$L$25,3,0)</f>
        <v>1.5</v>
      </c>
      <c r="E9386" s="51">
        <f>VLOOKUP(A9386,'Componentes APUs'!$H$1:$L$25,4,0)</f>
        <v>115964.28571428571</v>
      </c>
      <c r="F9386" s="51">
        <f>VLOOKUP(A9386,'Componentes APUs'!$H$1:$L$25,5,0)</f>
        <v>69578.57142857142</v>
      </c>
      <c r="G9386" s="51">
        <f>ROUNDUP((E9386+F9386)*C9386/E9370,0)</f>
        <v>3145</v>
      </c>
    </row>
    <row r="9387" spans="1:13" x14ac:dyDescent="0.25">
      <c r="A9387" s="50" t="s">
        <v>50</v>
      </c>
      <c r="B9387" s="68" t="str">
        <f>VLOOKUP(A9387,'Componentes APUs'!$H$1:$L$25,2,0)</f>
        <v>Profesional en SST</v>
      </c>
      <c r="C9387" s="93">
        <v>0.25</v>
      </c>
      <c r="D9387" s="50">
        <f>VLOOKUP(A9387,'Componentes APUs'!$H$1:$L$25,3,0)</f>
        <v>2.5</v>
      </c>
      <c r="E9387" s="51">
        <f>VLOOKUP(A9387,'Componentes APUs'!$H$1:$L$25,4,0)</f>
        <v>169464.28571428571</v>
      </c>
      <c r="F9387" s="51">
        <f>VLOOKUP(A9387,'Componentes APUs'!$H$1:$L$25,5,0)</f>
        <v>101678.57142857142</v>
      </c>
      <c r="G9387" s="51">
        <f>ROUNDUP((E9387+F9387)*C9387/E9370,0)</f>
        <v>1149</v>
      </c>
    </row>
    <row r="9388" spans="1:13" x14ac:dyDescent="0.25">
      <c r="A9388" s="50" t="s">
        <v>1109</v>
      </c>
      <c r="B9388" s="68" t="str">
        <f>VLOOKUP(A9388,'Componentes APUs'!$H$1:$L$25,2,0)</f>
        <v>Ayudante de Obra Civil</v>
      </c>
      <c r="C9388" s="93">
        <v>1</v>
      </c>
      <c r="D9388" s="50">
        <f>VLOOKUP(A9388,'Componentes APUs'!$H$1:$L$25,3,0)</f>
        <v>1</v>
      </c>
      <c r="E9388" s="51">
        <f>VLOOKUP(A9388,'Componentes APUs'!$H$1:$L$25,4,0)</f>
        <v>77309.523809523816</v>
      </c>
      <c r="F9388" s="51">
        <f>VLOOKUP(A9388,'Componentes APUs'!$H$1:$L$25,5,0)</f>
        <v>46385.71428571429</v>
      </c>
      <c r="G9388" s="51">
        <f>ROUNDUP((E9388+F9388)*C9388/E9370,0)</f>
        <v>2097</v>
      </c>
    </row>
    <row r="9389" spans="1:13" x14ac:dyDescent="0.25">
      <c r="A9389" s="219" t="s">
        <v>56</v>
      </c>
      <c r="B9389" s="219"/>
      <c r="C9389" s="219"/>
      <c r="D9389" s="219"/>
      <c r="E9389" s="219"/>
      <c r="F9389" s="219"/>
      <c r="G9389" s="52">
        <f>SUM(G9383:G9388)</f>
        <v>6391</v>
      </c>
    </row>
    <row r="9390" spans="1:13" x14ac:dyDescent="0.25">
      <c r="A9390" s="56"/>
      <c r="B9390" s="57"/>
      <c r="C9390" s="57"/>
      <c r="D9390" s="57"/>
      <c r="E9390" s="57"/>
      <c r="F9390" s="57"/>
      <c r="G9390" s="58"/>
    </row>
    <row r="9391" spans="1:13" x14ac:dyDescent="0.25">
      <c r="A9391" s="219" t="s">
        <v>57</v>
      </c>
      <c r="B9391" s="219"/>
      <c r="C9391" s="219"/>
      <c r="D9391" s="219"/>
      <c r="E9391" s="219"/>
      <c r="F9391" s="219"/>
      <c r="G9391" s="219"/>
    </row>
    <row r="9392" spans="1:13" x14ac:dyDescent="0.25">
      <c r="A9392" s="49" t="s">
        <v>35</v>
      </c>
      <c r="B9392" s="219" t="s">
        <v>36</v>
      </c>
      <c r="C9392" s="219"/>
      <c r="D9392" s="49" t="s">
        <v>37</v>
      </c>
      <c r="E9392" s="49" t="s">
        <v>38</v>
      </c>
      <c r="F9392" s="49" t="s">
        <v>39</v>
      </c>
      <c r="G9392" s="49" t="s">
        <v>40</v>
      </c>
    </row>
    <row r="9393" spans="1:9" x14ac:dyDescent="0.25">
      <c r="A9393" s="50" t="s">
        <v>326</v>
      </c>
      <c r="B9393" s="220" t="str">
        <f>VLOOKUP(A9393,'Componentes APUs'!$S$1:$V$10,2,0)</f>
        <v>Juego Llaves</v>
      </c>
      <c r="C9393" s="220"/>
      <c r="D9393" s="50" t="s">
        <v>18</v>
      </c>
      <c r="E9393" s="50">
        <v>0</v>
      </c>
      <c r="F9393" s="51">
        <f>VLOOKUP(A9393,'Componentes APUs'!$S$1:$V$10,4,0)</f>
        <v>9167</v>
      </c>
      <c r="G9393" s="51">
        <f>ROUNDUP(F9393*((E9393/21)/E9370),0)</f>
        <v>0</v>
      </c>
      <c r="I9393" s="91"/>
    </row>
    <row r="9394" spans="1:9" x14ac:dyDescent="0.25">
      <c r="A9394" s="50" t="s">
        <v>58</v>
      </c>
      <c r="B9394" s="220" t="str">
        <f>VLOOKUP(A9394,'Componentes APUs'!$S$1:$V$10,2,0)</f>
        <v>Manila de servicio</v>
      </c>
      <c r="C9394" s="220"/>
      <c r="D9394" s="50" t="s">
        <v>18</v>
      </c>
      <c r="E9394" s="50">
        <v>0</v>
      </c>
      <c r="F9394" s="51">
        <f>VLOOKUP(A9394,'Componentes APUs'!$S$1:$V$10,4,0)</f>
        <v>2333</v>
      </c>
      <c r="G9394" s="51">
        <f>ROUNDUP(F9394*((E9394/21)/E9370),0)</f>
        <v>0</v>
      </c>
    </row>
    <row r="9395" spans="1:9" x14ac:dyDescent="0.25">
      <c r="A9395" s="50" t="s">
        <v>327</v>
      </c>
      <c r="B9395" s="220" t="str">
        <f>VLOOKUP(A9395,'Componentes APUs'!$S$1:$V$10,2,0)</f>
        <v>Tula portaherramientas</v>
      </c>
      <c r="C9395" s="220"/>
      <c r="D9395" s="50" t="s">
        <v>18</v>
      </c>
      <c r="E9395" s="50">
        <v>0</v>
      </c>
      <c r="F9395" s="51">
        <f>VLOOKUP(A9395,'Componentes APUs'!$S$1:$V$10,4,0)</f>
        <v>1250</v>
      </c>
      <c r="G9395" s="51">
        <f>ROUNDUP(F9395*((E9395/21)/E9370),0)</f>
        <v>0</v>
      </c>
    </row>
    <row r="9396" spans="1:9" x14ac:dyDescent="0.25">
      <c r="A9396" s="50" t="s">
        <v>60</v>
      </c>
      <c r="B9396" s="220" t="str">
        <f>VLOOKUP(A9396,'Componentes APUs'!$S$1:$V$10,2,0)</f>
        <v>Agarradoras</v>
      </c>
      <c r="C9396" s="220"/>
      <c r="D9396" s="50" t="s">
        <v>18</v>
      </c>
      <c r="E9396" s="50">
        <v>0</v>
      </c>
      <c r="F9396" s="51">
        <f>VLOOKUP(A9396,'Componentes APUs'!$S$1:$V$10,4,0)</f>
        <v>125000</v>
      </c>
      <c r="G9396" s="51">
        <f>ROUNDUP(F9396*((E9396/21)/E9370),0)</f>
        <v>0</v>
      </c>
    </row>
    <row r="9397" spans="1:9" x14ac:dyDescent="0.25">
      <c r="A9397" s="50" t="s">
        <v>62</v>
      </c>
      <c r="B9397" s="220" t="str">
        <f>VLOOKUP(A9397,'Componentes APUs'!$S$1:$V$10,2,0)</f>
        <v>Templadoras</v>
      </c>
      <c r="C9397" s="220"/>
      <c r="D9397" s="50" t="s">
        <v>18</v>
      </c>
      <c r="E9397" s="50">
        <v>0</v>
      </c>
      <c r="F9397" s="51">
        <f>VLOOKUP(A9397,'Componentes APUs'!$S$1:$V$10,4,0)</f>
        <v>250000</v>
      </c>
      <c r="G9397" s="51">
        <f>ROUNDUP(F9397*((E9397/21)/E9370),0)</f>
        <v>0</v>
      </c>
    </row>
    <row r="9398" spans="1:9" x14ac:dyDescent="0.25">
      <c r="A9398" s="50" t="s">
        <v>328</v>
      </c>
      <c r="B9398" s="220" t="str">
        <f>VLOOKUP(A9398,'Componentes APUs'!$S$1:$V$10,2,0)</f>
        <v>Herramienta Menor</v>
      </c>
      <c r="C9398" s="220"/>
      <c r="D9398" s="50" t="s">
        <v>18</v>
      </c>
      <c r="E9398" s="50">
        <v>1</v>
      </c>
      <c r="F9398" s="51">
        <f>VLOOKUP(A9398,'Componentes APUs'!$S$1:$V$10,4,0)</f>
        <v>75758</v>
      </c>
      <c r="G9398" s="51">
        <f>ROUNDUP(F9398*((E9398/21)/E9370),0)</f>
        <v>62</v>
      </c>
    </row>
    <row r="9399" spans="1:9" x14ac:dyDescent="0.25">
      <c r="A9399" s="219" t="s">
        <v>69</v>
      </c>
      <c r="B9399" s="219"/>
      <c r="C9399" s="219"/>
      <c r="D9399" s="219"/>
      <c r="E9399" s="219"/>
      <c r="F9399" s="219"/>
      <c r="G9399" s="52">
        <f>SUM(G9393:G9398)</f>
        <v>62</v>
      </c>
    </row>
    <row r="9400" spans="1:9" x14ac:dyDescent="0.25">
      <c r="A9400" s="56"/>
      <c r="B9400" s="57"/>
      <c r="C9400" s="57"/>
      <c r="D9400" s="57"/>
      <c r="E9400" s="57"/>
      <c r="F9400" s="57"/>
      <c r="G9400" s="58"/>
    </row>
    <row r="9401" spans="1:9" x14ac:dyDescent="0.25">
      <c r="A9401" s="219" t="s">
        <v>70</v>
      </c>
      <c r="B9401" s="219"/>
      <c r="C9401" s="219"/>
      <c r="D9401" s="219"/>
      <c r="E9401" s="219"/>
      <c r="F9401" s="219"/>
      <c r="G9401" s="219"/>
    </row>
    <row r="9402" spans="1:9" x14ac:dyDescent="0.25">
      <c r="A9402" s="49" t="s">
        <v>35</v>
      </c>
      <c r="B9402" s="219" t="s">
        <v>36</v>
      </c>
      <c r="C9402" s="219"/>
      <c r="D9402" s="49" t="s">
        <v>37</v>
      </c>
      <c r="E9402" s="49" t="s">
        <v>38</v>
      </c>
      <c r="F9402" s="49" t="s">
        <v>39</v>
      </c>
      <c r="G9402" s="49" t="s">
        <v>40</v>
      </c>
    </row>
    <row r="9403" spans="1:9" x14ac:dyDescent="0.25">
      <c r="A9403" s="50" t="s">
        <v>71</v>
      </c>
      <c r="B9403" s="71" t="str">
        <f>VLOOKUP(A9403,'Componentes APUs'!$A$1:$D$14,2,0)</f>
        <v>Camisa indigo sin partes metalicas</v>
      </c>
      <c r="C9403" s="71"/>
      <c r="D9403" s="50" t="str">
        <f>VLOOKUP(A9403,'Componentes APUs'!$A$1:$D$14,3,0)</f>
        <v>U</v>
      </c>
      <c r="E9403" s="50">
        <f>SUM(C9383:C9388)</f>
        <v>2.25</v>
      </c>
      <c r="F9403" s="51">
        <f>VLOOKUP(A9403,'Componentes APUs'!$A$1:$D$14,4,0)</f>
        <v>8585.8585858585866</v>
      </c>
      <c r="G9403" s="51">
        <f>ROUNDUP(F9403*(E9403/21)/E9370,0)</f>
        <v>16</v>
      </c>
      <c r="I9403" s="91"/>
    </row>
    <row r="9404" spans="1:9" x14ac:dyDescent="0.25">
      <c r="A9404" s="69" t="s">
        <v>73</v>
      </c>
      <c r="B9404" s="72" t="str">
        <f>VLOOKUP(A9404,'Componentes APUs'!$A$1:$D$14,2,0)</f>
        <v>Bota de seguridad dielectrica</v>
      </c>
      <c r="C9404" s="73"/>
      <c r="D9404" s="70" t="str">
        <f>VLOOKUP(A9404,'Componentes APUs'!$A$1:$D$14,3,0)</f>
        <v>Par</v>
      </c>
      <c r="E9404" s="50">
        <f>SUM(C9383:C9388)</f>
        <v>2.25</v>
      </c>
      <c r="F9404" s="51">
        <f>VLOOKUP(A9404,'Componentes APUs'!$A$1:$D$14,4,0)</f>
        <v>7500</v>
      </c>
      <c r="G9404" s="51">
        <f>ROUNDUP(F9404*(E9404/21)/E9370,0)</f>
        <v>14</v>
      </c>
    </row>
    <row r="9405" spans="1:9" x14ac:dyDescent="0.25">
      <c r="A9405" s="50" t="s">
        <v>76</v>
      </c>
      <c r="B9405" s="72" t="str">
        <f>VLOOKUP(A9405,'Componentes APUs'!$A$1:$D$14,2,0)</f>
        <v>Casco dielectrico Tipo 1 Clase E con barbuquejo</v>
      </c>
      <c r="C9405" s="73"/>
      <c r="D9405" s="50" t="str">
        <f>VLOOKUP(A9405,'Componentes APUs'!$A$1:$D$14,3,0)</f>
        <v>U</v>
      </c>
      <c r="E9405" s="50">
        <f>C9383+C9384+C9386+C9387+C9388+IF(A9385&lt;&gt;"MO-3",C9385,0)</f>
        <v>2.25</v>
      </c>
      <c r="F9405" s="51">
        <f>VLOOKUP(A9405,'Componentes APUs'!$A$1:$D$14,4,0)</f>
        <v>10101.010101010101</v>
      </c>
      <c r="G9405" s="51">
        <f>ROUNDUP(F9405*(E9405/21)/E9370,0)</f>
        <v>19</v>
      </c>
    </row>
    <row r="9406" spans="1:9" x14ac:dyDescent="0.25">
      <c r="A9406" s="69" t="s">
        <v>77</v>
      </c>
      <c r="B9406" s="72" t="str">
        <f>VLOOKUP(A9406,'Componentes APUs'!$A$1:$D$14,2,0)</f>
        <v>Correa plastica y antiflama</v>
      </c>
      <c r="C9406" s="73"/>
      <c r="D9406" s="50" t="str">
        <f>VLOOKUP(A9406,'Componentes APUs'!$A$1:$D$14,3,0)</f>
        <v>U</v>
      </c>
      <c r="E9406" s="50">
        <f>SUM(C9383:C9388)</f>
        <v>2.25</v>
      </c>
      <c r="F9406" s="51">
        <f>VLOOKUP(A9406,'Componentes APUs'!$A$1:$D$14,4,0)</f>
        <v>3787.878787878788</v>
      </c>
      <c r="G9406" s="51">
        <f>ROUNDUP(F9406*(E9406/21)/E9370,0)</f>
        <v>7</v>
      </c>
    </row>
    <row r="9407" spans="1:9" x14ac:dyDescent="0.25">
      <c r="A9407" s="50" t="s">
        <v>79</v>
      </c>
      <c r="B9407" s="72" t="str">
        <f>VLOOKUP(A9407,'Componentes APUs'!$A$1:$D$14,2,0)</f>
        <v>Gafas protectoras filtro UV</v>
      </c>
      <c r="C9407" s="73"/>
      <c r="D9407" s="50" t="str">
        <f>VLOOKUP(A9407,'Componentes APUs'!$A$1:$D$14,3,0)</f>
        <v>U</v>
      </c>
      <c r="E9407" s="50">
        <f>SUM(C9383:C9388)</f>
        <v>2.25</v>
      </c>
      <c r="F9407" s="51">
        <f>VLOOKUP(A9407,'Componentes APUs'!$A$1:$D$14,4,0)</f>
        <v>2777.7777777777778</v>
      </c>
      <c r="G9407" s="51">
        <f>ROUNDUP(F9407*(E9407/21)/E9370,0)</f>
        <v>6</v>
      </c>
    </row>
    <row r="9408" spans="1:9" x14ac:dyDescent="0.25">
      <c r="A9408" s="69" t="s">
        <v>402</v>
      </c>
      <c r="B9408" s="72" t="str">
        <f>VLOOKUP(A9408,'Componentes APUs'!$A$1:$D$14,2,0)</f>
        <v>Bota de seguridad PVC dielectrica</v>
      </c>
      <c r="C9408" s="73"/>
      <c r="D9408" s="50" t="str">
        <f>VLOOKUP(A9408,'Componentes APUs'!$A$1:$D$14,3,0)</f>
        <v>Par</v>
      </c>
      <c r="E9408" s="50">
        <f>SUM(C9383:C9388)</f>
        <v>2.25</v>
      </c>
      <c r="F9408" s="51">
        <f>VLOOKUP(A9408,'Componentes APUs'!$A$1:$D$14,4,0)</f>
        <v>2916.6666666666665</v>
      </c>
      <c r="G9408" s="51">
        <f>ROUNDUP(F9408*(E9408/21)/E9370,0)</f>
        <v>6</v>
      </c>
    </row>
    <row r="9409" spans="1:7" x14ac:dyDescent="0.25">
      <c r="A9409" s="50" t="s">
        <v>403</v>
      </c>
      <c r="B9409" s="72" t="str">
        <f>VLOOKUP(A9409,'Componentes APUs'!$A$1:$D$14,2,0)</f>
        <v>Capuchon</v>
      </c>
      <c r="C9409" s="73"/>
      <c r="D9409" s="50" t="str">
        <f>VLOOKUP(A9409,'Componentes APUs'!$A$1:$D$14,3,0)</f>
        <v>U</v>
      </c>
      <c r="E9409" s="50">
        <f>SUM(C9383:C9388)</f>
        <v>2.25</v>
      </c>
      <c r="F9409" s="51">
        <f>VLOOKUP(A9409,'Componentes APUs'!$A$1:$D$14,4,0)</f>
        <v>2525.2525252525252</v>
      </c>
      <c r="G9409" s="51">
        <f>ROUNDUP(F9409*(E9409/21)/E9370,0)</f>
        <v>5</v>
      </c>
    </row>
    <row r="9410" spans="1:7" x14ac:dyDescent="0.25">
      <c r="A9410" s="69" t="s">
        <v>81</v>
      </c>
      <c r="B9410" s="72" t="str">
        <f>VLOOKUP(A9410,'Componentes APUs'!$A$1:$D$14,2,0)</f>
        <v>Guantes Protectores  - ingeniero reforzados</v>
      </c>
      <c r="C9410" s="73"/>
      <c r="D9410" s="50" t="str">
        <f>VLOOKUP(A9410,'Componentes APUs'!$A$1:$D$14,3,0)</f>
        <v>Par</v>
      </c>
      <c r="E9410" s="50">
        <f>C9385+C9386+C9388</f>
        <v>2</v>
      </c>
      <c r="F9410" s="51">
        <f>VLOOKUP(A9410,'Componentes APUs'!$A$1:$D$14,4,0)</f>
        <v>2525.2525252525252</v>
      </c>
      <c r="G9410" s="51">
        <f>ROUNDUP(F9410*(E9410/21)/E9370,0)</f>
        <v>5</v>
      </c>
    </row>
    <row r="9411" spans="1:7" x14ac:dyDescent="0.25">
      <c r="A9411" s="50" t="s">
        <v>83</v>
      </c>
      <c r="B9411" s="72" t="str">
        <f>VLOOKUP(A9411,'Componentes APUs'!$A$1:$D$14,2,0)</f>
        <v>Impermeable (pantalon camisa)</v>
      </c>
      <c r="C9411" s="73"/>
      <c r="D9411" s="50" t="str">
        <f>VLOOKUP(A9411,'Componentes APUs'!$A$1:$D$14,3,0)</f>
        <v>U</v>
      </c>
      <c r="E9411" s="50">
        <f>SUM(C9383:C9388)</f>
        <v>2.25</v>
      </c>
      <c r="F9411" s="51">
        <f>VLOOKUP(A9411,'Componentes APUs'!$A$1:$D$14,4,0)</f>
        <v>3750</v>
      </c>
      <c r="G9411" s="51">
        <f>ROUNDUP(F9411*(E9411/21)/E9370,0)</f>
        <v>7</v>
      </c>
    </row>
    <row r="9412" spans="1:7" x14ac:dyDescent="0.25">
      <c r="A9412" s="69" t="s">
        <v>85</v>
      </c>
      <c r="B9412" s="72" t="str">
        <f>VLOOKUP(A9412,'Componentes APUs'!$A$1:$D$14,2,0)</f>
        <v>Jean Dielectrico</v>
      </c>
      <c r="C9412" s="73"/>
      <c r="D9412" s="50" t="str">
        <f>VLOOKUP(A9412,'Componentes APUs'!$A$1:$D$14,3,0)</f>
        <v>U</v>
      </c>
      <c r="E9412" s="50">
        <f>SUM(C9383:C9388)</f>
        <v>2.25</v>
      </c>
      <c r="F9412" s="51">
        <f>VLOOKUP(A9412,'Componentes APUs'!$A$1:$D$14,4,0)</f>
        <v>7575.757575757576</v>
      </c>
      <c r="G9412" s="51">
        <f>ROUNDUP(F9412*(E9412/21)/E9370,0)</f>
        <v>14</v>
      </c>
    </row>
    <row r="9413" spans="1:7" x14ac:dyDescent="0.25">
      <c r="A9413" s="50" t="s">
        <v>87</v>
      </c>
      <c r="B9413" s="72" t="str">
        <f>VLOOKUP(A9413,'Componentes APUs'!$A$1:$D$14,2,0)</f>
        <v>Casco dielectrico Tipo 2 Clase E con barboquejo</v>
      </c>
      <c r="C9413" s="73"/>
      <c r="D9413" s="50" t="str">
        <f>VLOOKUP(A9413,'Componentes APUs'!$A$1:$D$14,3,0)</f>
        <v>U</v>
      </c>
      <c r="E9413" s="53">
        <f>IF(A9385="MO-3",C9385,0)</f>
        <v>0</v>
      </c>
      <c r="F9413" s="51">
        <f>VLOOKUP(A9413,'Componentes APUs'!$A$1:$D$14,4,0)</f>
        <v>7500</v>
      </c>
      <c r="G9413" s="51">
        <f>ROUNDUP(F9413*(E9413/21)/E9370,0)</f>
        <v>0</v>
      </c>
    </row>
    <row r="9414" spans="1:7" x14ac:dyDescent="0.25">
      <c r="A9414" s="69" t="s">
        <v>89</v>
      </c>
      <c r="B9414" s="72" t="str">
        <f>VLOOKUP(A9414,'Componentes APUs'!$A$1:$D$14,2,0)</f>
        <v>Kit de rescate para trabajo en alturas</v>
      </c>
      <c r="C9414" s="73"/>
      <c r="D9414" s="50" t="str">
        <f>VLOOKUP(A9414,'Componentes APUs'!$A$1:$D$14,3,0)</f>
        <v>U</v>
      </c>
      <c r="E9414" s="50">
        <f>IF(AND(A9385="MO-3",C9385=2),1,0)</f>
        <v>0</v>
      </c>
      <c r="F9414" s="51">
        <f>VLOOKUP(A9414,'Componentes APUs'!$A$1:$D$14,4,0)</f>
        <v>37500</v>
      </c>
      <c r="G9414" s="51">
        <f>ROUNDUP(F9414*(E9414/21)/E9370,0)</f>
        <v>0</v>
      </c>
    </row>
    <row r="9415" spans="1:7" x14ac:dyDescent="0.25">
      <c r="A9415" s="50" t="s">
        <v>91</v>
      </c>
      <c r="B9415" s="72" t="str">
        <f>VLOOKUP(A9415,'Componentes APUs'!$A$1:$D$14,2,0)</f>
        <v>Equipo completo para trabajo en alturas con pretales (Arnes dielectrico, 1 mosqueton de seguridad, tie off dielectrico, eslinga de posicionamiento, juego de pretales)</v>
      </c>
      <c r="C9415" s="73"/>
      <c r="D9415" s="50" t="str">
        <f>VLOOKUP(A9415,'Componentes APUs'!$A$1:$D$14,3,0)</f>
        <v>U</v>
      </c>
      <c r="E9415" s="50">
        <f>IF(A9385="MO-3",C9385,0)</f>
        <v>0</v>
      </c>
      <c r="F9415" s="51">
        <f>VLOOKUP(A9415,'Componentes APUs'!$A$1:$D$14,4,0)</f>
        <v>26041.666666666668</v>
      </c>
      <c r="G9415" s="51">
        <f>ROUNDUP(F9415*(E9415/21)/E9370,0)</f>
        <v>0</v>
      </c>
    </row>
    <row r="9416" spans="1:7" x14ac:dyDescent="0.25">
      <c r="A9416" s="219" t="s">
        <v>95</v>
      </c>
      <c r="B9416" s="219"/>
      <c r="C9416" s="219"/>
      <c r="D9416" s="219"/>
      <c r="E9416" s="219"/>
      <c r="F9416" s="219"/>
      <c r="G9416" s="52">
        <f>SUM(G9403:G9415)</f>
        <v>99</v>
      </c>
    </row>
    <row r="9417" spans="1:7" x14ac:dyDescent="0.25">
      <c r="A9417" s="56"/>
      <c r="B9417" s="57"/>
      <c r="C9417" s="57"/>
      <c r="D9417" s="57"/>
      <c r="E9417" s="57"/>
      <c r="F9417" s="57"/>
      <c r="G9417" s="58"/>
    </row>
    <row r="9418" spans="1:7" x14ac:dyDescent="0.25">
      <c r="A9418" s="219" t="s">
        <v>96</v>
      </c>
      <c r="B9418" s="219"/>
      <c r="C9418" s="219"/>
      <c r="D9418" s="219"/>
      <c r="E9418" s="219"/>
      <c r="F9418" s="219"/>
      <c r="G9418" s="219"/>
    </row>
    <row r="9419" spans="1:7" x14ac:dyDescent="0.25">
      <c r="A9419" s="49" t="s">
        <v>35</v>
      </c>
      <c r="B9419" s="225" t="s">
        <v>36</v>
      </c>
      <c r="C9419" s="225"/>
      <c r="D9419" s="49" t="s">
        <v>37</v>
      </c>
      <c r="E9419" s="49" t="s">
        <v>38</v>
      </c>
      <c r="F9419" s="49" t="s">
        <v>39</v>
      </c>
      <c r="G9419" s="49" t="s">
        <v>40</v>
      </c>
    </row>
    <row r="9420" spans="1:7" x14ac:dyDescent="0.25">
      <c r="A9420" s="69" t="s">
        <v>97</v>
      </c>
      <c r="B9420" s="72" t="str">
        <f>VLOOKUP(A9420,'Componentes APUs'!$N$1:$Q$30,2,0)</f>
        <v>Camioneta</v>
      </c>
      <c r="C9420" s="73"/>
      <c r="D9420" s="70" t="str">
        <f>VLOOKUP(A9420,'Componentes APUs'!$N$1:$Q$30,3,0)</f>
        <v>U</v>
      </c>
      <c r="E9420" s="50">
        <v>1</v>
      </c>
      <c r="F9420" s="51">
        <f>VLOOKUP(A9420,'Componentes APUs'!$N$1:$Q$30,4,0)</f>
        <v>5500000</v>
      </c>
      <c r="G9420" s="51">
        <f>IFERROR(ROUNDUP(F9420*(E9420/21)/E9370,0),"-")</f>
        <v>4440</v>
      </c>
    </row>
    <row r="9421" spans="1:7" x14ac:dyDescent="0.25">
      <c r="A9421" s="50" t="s">
        <v>2225</v>
      </c>
      <c r="B9421" s="72" t="str">
        <f>VLOOKUP(A9421,'Componentes APUs'!$N$1:$Q$30,2,0)</f>
        <v>Vehículo delineador para aplicación de pintura con mínimo 2 boquillas (NTC 4744-2)</v>
      </c>
      <c r="C9421" s="73"/>
      <c r="D9421" s="70" t="str">
        <f>VLOOKUP(A9421,'Componentes APUs'!$N$1:$Q$30,3,0)</f>
        <v>U</v>
      </c>
      <c r="E9421" s="50">
        <v>1</v>
      </c>
      <c r="F9421" s="51">
        <f>VLOOKUP(A9421,'Componentes APUs'!$N$1:$Q$30,4,0)</f>
        <v>214489.08357336133</v>
      </c>
      <c r="G9421" s="51">
        <f>IFERROR(ROUNDUP(F9421*(E9421/21)/E9370,0),"-")</f>
        <v>174</v>
      </c>
    </row>
    <row r="9422" spans="1:7" x14ac:dyDescent="0.25">
      <c r="A9422" s="69" t="s">
        <v>1379</v>
      </c>
      <c r="B9422" s="72" t="str">
        <f>VLOOKUP(A9422,'Componentes APUs'!$N$1:$Q$30,2,0)</f>
        <v>Dumper de descarga Frontal 2T</v>
      </c>
      <c r="C9422" s="73"/>
      <c r="D9422" s="70" t="str">
        <f>VLOOKUP(A9422,'Componentes APUs'!$N$1:$Q$30,3,0)</f>
        <v>U</v>
      </c>
      <c r="E9422" s="50">
        <v>0</v>
      </c>
      <c r="F9422" s="51">
        <f>VLOOKUP(A9422,'Componentes APUs'!$N$1:$Q$30,4,0)</f>
        <v>4438716.24</v>
      </c>
      <c r="G9422" s="51">
        <f>IFERROR(ROUNDUP(F9422*(E9422/21)/E9370,0),"-")</f>
        <v>0</v>
      </c>
    </row>
    <row r="9423" spans="1:7" x14ac:dyDescent="0.25">
      <c r="A9423" s="50" t="s">
        <v>323</v>
      </c>
      <c r="B9423" s="72" t="str">
        <f>VLOOKUP(A9423,'Componentes APUs'!$N$1:$Q$30,2,0)</f>
        <v>Volqueta</v>
      </c>
      <c r="C9423" s="73"/>
      <c r="D9423" s="70" t="str">
        <f>VLOOKUP(A9423,'Componentes APUs'!$N$1:$Q$30,3,0)</f>
        <v>U</v>
      </c>
      <c r="E9423" s="50">
        <v>0</v>
      </c>
      <c r="F9423" s="51">
        <f>VLOOKUP(A9423,'Componentes APUs'!$N$1:$Q$30,4,0)</f>
        <v>14828184</v>
      </c>
      <c r="G9423" s="51">
        <f>IFERROR(ROUNDUP(F9423*(E9423/21)/E9370,0),"-")</f>
        <v>0</v>
      </c>
    </row>
    <row r="9424" spans="1:7" x14ac:dyDescent="0.25">
      <c r="A9424" s="69" t="s">
        <v>324</v>
      </c>
      <c r="B9424" s="72" t="str">
        <f>VLOOKUP(A9424,'Componentes APUs'!$N$1:$Q$30,2,0)</f>
        <v>Retroexcavadora</v>
      </c>
      <c r="C9424" s="73"/>
      <c r="D9424" s="70" t="str">
        <f>VLOOKUP(A9424,'Componentes APUs'!$N$1:$Q$30,3,0)</f>
        <v>U</v>
      </c>
      <c r="E9424" s="50">
        <v>0</v>
      </c>
      <c r="F9424" s="51">
        <f>VLOOKUP(A9424,'Componentes APUs'!$N$1:$Q$30,4,0)</f>
        <v>46030656</v>
      </c>
      <c r="G9424" s="51">
        <f>IFERROR(ROUNDUP(F9424*(E9424/21)/E9370,0),"-")</f>
        <v>0</v>
      </c>
    </row>
    <row r="9425" spans="1:8" x14ac:dyDescent="0.25">
      <c r="A9425" s="219" t="s">
        <v>99</v>
      </c>
      <c r="B9425" s="219"/>
      <c r="C9425" s="219"/>
      <c r="D9425" s="219"/>
      <c r="E9425" s="219"/>
      <c r="F9425" s="219"/>
      <c r="G9425" s="52">
        <f>SUM(G9420:G9424)</f>
        <v>4614</v>
      </c>
    </row>
    <row r="9426" spans="1:8" x14ac:dyDescent="0.25">
      <c r="A9426" s="56"/>
      <c r="B9426" s="57"/>
      <c r="C9426" s="57"/>
      <c r="D9426" s="57"/>
      <c r="E9426" s="57"/>
      <c r="F9426" s="57"/>
      <c r="G9426" s="58"/>
    </row>
    <row r="9427" spans="1:8" x14ac:dyDescent="0.25">
      <c r="A9427" s="219" t="s">
        <v>100</v>
      </c>
      <c r="B9427" s="219"/>
      <c r="C9427" s="219"/>
      <c r="D9427" s="219"/>
      <c r="E9427" s="219"/>
      <c r="F9427" s="219"/>
      <c r="G9427" s="52">
        <f>G9425+G9416+G9399+G9389+G9379</f>
        <v>24948</v>
      </c>
    </row>
    <row r="9428" spans="1:8" x14ac:dyDescent="0.25">
      <c r="A9428" s="59"/>
      <c r="B9428" s="60"/>
      <c r="C9428" s="60"/>
      <c r="D9428" s="60"/>
      <c r="E9428" s="57"/>
      <c r="F9428" s="57"/>
      <c r="G9428" s="58"/>
    </row>
    <row r="9429" spans="1:8" x14ac:dyDescent="0.25">
      <c r="A9429" s="64"/>
      <c r="D9429" s="55"/>
      <c r="E9429" s="49" t="s">
        <v>25</v>
      </c>
      <c r="F9429" s="54">
        <v>0.15</v>
      </c>
      <c r="G9429" s="51">
        <f>G9427*F9429</f>
        <v>3742.2</v>
      </c>
    </row>
    <row r="9430" spans="1:8" x14ac:dyDescent="0.25">
      <c r="A9430" s="64"/>
      <c r="D9430" s="55"/>
      <c r="E9430" s="49" t="s">
        <v>26</v>
      </c>
      <c r="F9430" s="54">
        <v>0.05</v>
      </c>
      <c r="G9430" s="51">
        <f>G9427*F9430</f>
        <v>1247.4000000000001</v>
      </c>
    </row>
    <row r="9431" spans="1:8" x14ac:dyDescent="0.25">
      <c r="A9431" s="61"/>
      <c r="B9431" s="65"/>
      <c r="C9431" s="65"/>
      <c r="D9431" s="62"/>
      <c r="E9431" s="49" t="s">
        <v>27</v>
      </c>
      <c r="F9431" s="54">
        <v>0.05</v>
      </c>
      <c r="G9431" s="51">
        <f>G9427*F9431</f>
        <v>1247.4000000000001</v>
      </c>
    </row>
    <row r="9432" spans="1:8" x14ac:dyDescent="0.25">
      <c r="A9432" s="61"/>
      <c r="B9432" s="62"/>
      <c r="C9432" s="62"/>
      <c r="D9432" s="62"/>
      <c r="E9432" s="62"/>
      <c r="F9432" s="62"/>
      <c r="G9432" s="63"/>
    </row>
    <row r="9433" spans="1:8" x14ac:dyDescent="0.25">
      <c r="A9433" s="219" t="s">
        <v>101</v>
      </c>
      <c r="B9433" s="219"/>
      <c r="C9433" s="219"/>
      <c r="D9433" s="219"/>
      <c r="E9433" s="219"/>
      <c r="F9433" s="219"/>
      <c r="G9433" s="52">
        <f>G9427+G9429+G9430+G9431</f>
        <v>31185.000000000004</v>
      </c>
    </row>
    <row r="9434" spans="1:8" x14ac:dyDescent="0.25">
      <c r="A9434" s="59"/>
      <c r="B9434" s="60"/>
      <c r="C9434" s="60"/>
      <c r="D9434" s="60"/>
      <c r="E9434" s="57"/>
      <c r="F9434" s="57"/>
      <c r="G9434" s="58"/>
    </row>
    <row r="9435" spans="1:8" x14ac:dyDescent="0.25">
      <c r="A9435" s="64"/>
      <c r="D9435" s="55"/>
      <c r="E9435" s="49" t="s">
        <v>102</v>
      </c>
      <c r="F9435" s="49" t="s">
        <v>103</v>
      </c>
      <c r="G9435" s="51">
        <f>G9431*19%</f>
        <v>237.00600000000003</v>
      </c>
    </row>
    <row r="9436" spans="1:8" x14ac:dyDescent="0.25">
      <c r="A9436" s="61"/>
      <c r="B9436" s="62"/>
      <c r="C9436" s="62"/>
      <c r="D9436" s="62"/>
      <c r="E9436" s="57"/>
      <c r="F9436" s="57"/>
      <c r="G9436" s="58"/>
    </row>
    <row r="9437" spans="1:8" x14ac:dyDescent="0.25">
      <c r="A9437" s="219" t="s">
        <v>104</v>
      </c>
      <c r="B9437" s="219"/>
      <c r="C9437" s="219"/>
      <c r="D9437" s="219"/>
      <c r="E9437" s="219"/>
      <c r="F9437" s="219"/>
      <c r="G9437" s="52">
        <f>G9435+G9433</f>
        <v>31422.006000000005</v>
      </c>
    </row>
    <row r="9439" spans="1:8" x14ac:dyDescent="0.25">
      <c r="A9439" s="74" t="s">
        <v>29</v>
      </c>
      <c r="B9439" s="226" t="s">
        <v>30</v>
      </c>
      <c r="C9439" s="226"/>
      <c r="D9439" s="74" t="s">
        <v>31</v>
      </c>
      <c r="E9439" s="74" t="s">
        <v>32</v>
      </c>
      <c r="F9439" s="74" t="s">
        <v>189</v>
      </c>
      <c r="G9439" s="74" t="s">
        <v>33</v>
      </c>
      <c r="H9439" s="105"/>
    </row>
    <row r="9440" spans="1:8" ht="27" customHeight="1" x14ac:dyDescent="0.25">
      <c r="A9440" s="50" t="str">
        <f>Presupuesto!B174</f>
        <v>150_OC</v>
      </c>
      <c r="B9440" s="229" t="str">
        <f>Presupuesto!C174</f>
        <v>SEÑAL HORIZONTAL DE FLECHA SENCILLA DE GIRO EN PINTURA ACRILICA DE TRAFICO.</v>
      </c>
      <c r="C9440" s="230"/>
      <c r="D9440" s="50" t="s">
        <v>113</v>
      </c>
      <c r="E9440" s="53">
        <v>59</v>
      </c>
      <c r="F9440" s="50"/>
      <c r="G9440" s="51">
        <f>G9507</f>
        <v>31422.006000000005</v>
      </c>
      <c r="H9440" s="111"/>
    </row>
    <row r="9441" spans="1:13" x14ac:dyDescent="0.25">
      <c r="A9441" s="219" t="s">
        <v>34</v>
      </c>
      <c r="B9441" s="219"/>
      <c r="C9441" s="219"/>
      <c r="D9441" s="219"/>
      <c r="E9441" s="219"/>
      <c r="F9441" s="219"/>
      <c r="G9441" s="219"/>
    </row>
    <row r="9442" spans="1:13" ht="30.75" customHeight="1" x14ac:dyDescent="0.25">
      <c r="A9442" s="49" t="s">
        <v>35</v>
      </c>
      <c r="B9442" s="219" t="s">
        <v>36</v>
      </c>
      <c r="C9442" s="219"/>
      <c r="D9442" s="49" t="s">
        <v>37</v>
      </c>
      <c r="E9442" s="49" t="s">
        <v>38</v>
      </c>
      <c r="F9442" s="49" t="s">
        <v>39</v>
      </c>
      <c r="G9442" s="49" t="s">
        <v>40</v>
      </c>
      <c r="K9442" s="23"/>
      <c r="L9442" s="23"/>
    </row>
    <row r="9443" spans="1:13" ht="25.5" customHeight="1" x14ac:dyDescent="0.25">
      <c r="A9443" s="50" t="str">
        <f>Material!A531</f>
        <v>MA-530</v>
      </c>
      <c r="B9443" s="221" t="str">
        <f>IFERROR(VLOOKUP(A9443,Material!$A:$H,2,0),"-")</f>
        <v>PINTURA DE COLOR AMARILLO, PARA MARCAS VIALES SOBRE LA CALZADA</v>
      </c>
      <c r="C9443" s="222"/>
      <c r="D9443" s="50" t="str">
        <f>IFERROR(VLOOKUP(A9443,Material!$A:$H,4,0),"-")</f>
        <v>KG</v>
      </c>
      <c r="E9443" s="107">
        <v>0.75</v>
      </c>
      <c r="F9443" s="51">
        <f>IFERROR(VLOOKUP(A9443,Material!$A:$H,3,0),"-")</f>
        <v>18375.5</v>
      </c>
      <c r="G9443" s="51">
        <f t="shared" ref="G9443:G9448" si="132">IFERROR(ROUNDUP(F9443*E9443,0),"-")</f>
        <v>13782</v>
      </c>
      <c r="H9443" s="112"/>
      <c r="I9443" s="110"/>
      <c r="J9443" s="113"/>
      <c r="K9443" s="114"/>
      <c r="L9443" s="115"/>
      <c r="M9443" s="115"/>
    </row>
    <row r="9444" spans="1:13" x14ac:dyDescent="0.25">
      <c r="A9444" s="50"/>
      <c r="B9444" s="72" t="str">
        <f>IFERROR(VLOOKUP(A9444,Material!$A:$H,2,0),"-")</f>
        <v>-</v>
      </c>
      <c r="C9444" s="76"/>
      <c r="D9444" s="50" t="str">
        <f>IFERROR(VLOOKUP(A9444,Material!$A:$H,4,0),"-")</f>
        <v>-</v>
      </c>
      <c r="E9444" s="109"/>
      <c r="F9444" s="51" t="str">
        <f>IFERROR(VLOOKUP(A9444,Material!$A:$H,3,0),"-")</f>
        <v>-</v>
      </c>
      <c r="G9444" s="51" t="str">
        <f t="shared" si="132"/>
        <v>-</v>
      </c>
      <c r="H9444" s="112"/>
      <c r="I9444" s="110"/>
      <c r="J9444" s="113"/>
      <c r="K9444" s="114"/>
      <c r="L9444" s="115"/>
      <c r="M9444" s="115"/>
    </row>
    <row r="9445" spans="1:13" x14ac:dyDescent="0.25">
      <c r="A9445" s="50"/>
      <c r="B9445" s="72" t="str">
        <f>IFERROR(VLOOKUP(A9445,Material!$A:$H,2,0),"-")</f>
        <v>-</v>
      </c>
      <c r="C9445" s="76"/>
      <c r="D9445" s="50" t="str">
        <f>IFERROR(VLOOKUP(A9445,Material!$A:$H,4,0),"-")</f>
        <v>-</v>
      </c>
      <c r="E9445" s="107"/>
      <c r="F9445" s="51" t="str">
        <f>IFERROR(VLOOKUP(A9445,Material!$A:$H,3,0),"-")</f>
        <v>-</v>
      </c>
      <c r="G9445" s="51" t="str">
        <f t="shared" si="132"/>
        <v>-</v>
      </c>
      <c r="H9445" s="112"/>
      <c r="I9445" s="110"/>
      <c r="J9445" s="113"/>
      <c r="K9445" s="114"/>
      <c r="L9445" s="115"/>
      <c r="M9445" s="115"/>
    </row>
    <row r="9446" spans="1:13" x14ac:dyDescent="0.25">
      <c r="A9446" s="50"/>
      <c r="B9446" s="72" t="str">
        <f>IFERROR(VLOOKUP(A9446,Material!$A:$H,2,0),"-")</f>
        <v>-</v>
      </c>
      <c r="C9446" s="76"/>
      <c r="D9446" s="50" t="str">
        <f>IFERROR(VLOOKUP(A9446,Material!$A:$H,4,0),"-")</f>
        <v>-</v>
      </c>
      <c r="E9446" s="107"/>
      <c r="F9446" s="51" t="str">
        <f>IFERROR(VLOOKUP(A9446,Material!$A:$H,3,0),"-")</f>
        <v>-</v>
      </c>
      <c r="G9446" s="51" t="str">
        <f t="shared" si="132"/>
        <v>-</v>
      </c>
      <c r="H9446" s="112"/>
      <c r="I9446" s="110"/>
      <c r="J9446" s="113"/>
      <c r="K9446" s="114"/>
      <c r="L9446" s="115"/>
      <c r="M9446" s="115"/>
    </row>
    <row r="9447" spans="1:13" x14ac:dyDescent="0.25">
      <c r="A9447" s="50"/>
      <c r="B9447" s="72" t="str">
        <f>IFERROR(VLOOKUP(A9447,Material!$A:$H,2,0),"-")</f>
        <v>-</v>
      </c>
      <c r="C9447" s="76"/>
      <c r="D9447" s="50" t="str">
        <f>IFERROR(VLOOKUP(A9447,Material!$A:$H,4,0),"-")</f>
        <v>-</v>
      </c>
      <c r="E9447" s="107"/>
      <c r="F9447" s="51" t="str">
        <f>IFERROR(VLOOKUP(A9447,Material!$A:$H,3,0),"-")</f>
        <v>-</v>
      </c>
      <c r="G9447" s="51" t="str">
        <f t="shared" si="132"/>
        <v>-</v>
      </c>
      <c r="H9447" s="112"/>
      <c r="I9447" s="110"/>
      <c r="J9447" s="113"/>
      <c r="K9447" s="114"/>
      <c r="L9447" s="115"/>
      <c r="M9447" s="115"/>
    </row>
    <row r="9448" spans="1:13" x14ac:dyDescent="0.25">
      <c r="A9448" s="50"/>
      <c r="B9448" s="72" t="str">
        <f>IFERROR(VLOOKUP(A9448,Material!$A:$H,2,0),"-")</f>
        <v>-</v>
      </c>
      <c r="C9448" s="76"/>
      <c r="D9448" s="50" t="str">
        <f>IFERROR(VLOOKUP(A9448,Material!$A:$H,4,0),"-")</f>
        <v>-</v>
      </c>
      <c r="E9448" s="107"/>
      <c r="F9448" s="51" t="str">
        <f>IFERROR(VLOOKUP(A9448,Material!$A:$H,3,0),"-")</f>
        <v>-</v>
      </c>
      <c r="G9448" s="51" t="str">
        <f t="shared" si="132"/>
        <v>-</v>
      </c>
      <c r="H9448" s="112"/>
      <c r="I9448" s="110"/>
      <c r="J9448" s="113"/>
      <c r="K9448" s="114"/>
      <c r="L9448" s="115"/>
      <c r="M9448" s="114"/>
    </row>
    <row r="9449" spans="1:13" x14ac:dyDescent="0.25">
      <c r="A9449" s="219" t="s">
        <v>41</v>
      </c>
      <c r="B9449" s="219"/>
      <c r="C9449" s="219"/>
      <c r="D9449" s="219"/>
      <c r="E9449" s="219"/>
      <c r="F9449" s="219"/>
      <c r="G9449" s="52">
        <f>SUM(G9443:G9448)</f>
        <v>13782</v>
      </c>
      <c r="I9449" s="104"/>
    </row>
    <row r="9450" spans="1:13" x14ac:dyDescent="0.25">
      <c r="A9450" s="56"/>
      <c r="B9450" s="57"/>
      <c r="C9450" s="57"/>
      <c r="D9450" s="57"/>
      <c r="E9450" s="57"/>
      <c r="F9450" s="57"/>
      <c r="G9450" s="58"/>
    </row>
    <row r="9451" spans="1:13" x14ac:dyDescent="0.25">
      <c r="A9451" s="219" t="s">
        <v>42</v>
      </c>
      <c r="B9451" s="219"/>
      <c r="C9451" s="219"/>
      <c r="D9451" s="219"/>
      <c r="E9451" s="219"/>
      <c r="F9451" s="219"/>
      <c r="G9451" s="219"/>
    </row>
    <row r="9452" spans="1:13" x14ac:dyDescent="0.25">
      <c r="A9452" s="49" t="s">
        <v>35</v>
      </c>
      <c r="B9452" s="49" t="s">
        <v>36</v>
      </c>
      <c r="C9452" s="49" t="s">
        <v>38</v>
      </c>
      <c r="D9452" s="49" t="s">
        <v>43</v>
      </c>
      <c r="E9452" s="49" t="s">
        <v>44</v>
      </c>
      <c r="F9452" s="49" t="s">
        <v>45</v>
      </c>
      <c r="G9452" s="49" t="s">
        <v>40</v>
      </c>
    </row>
    <row r="9453" spans="1:13" x14ac:dyDescent="0.25">
      <c r="A9453" s="50" t="s">
        <v>319</v>
      </c>
      <c r="B9453" s="68" t="str">
        <f>VLOOKUP(A9453,'Componentes APUs'!$H$1:$L$25,2,0)</f>
        <v>Ingeniero Residente de Obra</v>
      </c>
      <c r="C9453" s="93">
        <v>0</v>
      </c>
      <c r="D9453" s="50">
        <f>VLOOKUP(A9453,'Componentes APUs'!$H$1:$L$25,3,0)</f>
        <v>4</v>
      </c>
      <c r="E9453" s="51">
        <f>VLOOKUP(A9453,'Componentes APUs'!$H$1:$L$25,4,0)</f>
        <v>271142.85714285716</v>
      </c>
      <c r="F9453" s="51">
        <f>VLOOKUP(A9453,'Componentes APUs'!$H$1:$L$25,5,0)</f>
        <v>162685.71428571429</v>
      </c>
      <c r="G9453" s="51">
        <f>ROUNDUP((E9453+F9453)*C9453/E9440,0)</f>
        <v>0</v>
      </c>
      <c r="H9453" s="66"/>
    </row>
    <row r="9454" spans="1:13" x14ac:dyDescent="0.25">
      <c r="A9454" s="50" t="s">
        <v>320</v>
      </c>
      <c r="B9454" s="68" t="str">
        <f>VLOOKUP(A9454,'Componentes APUs'!$H$1:$L$25,2,0)</f>
        <v>Tecnico Supervisor</v>
      </c>
      <c r="C9454" s="93">
        <v>0</v>
      </c>
      <c r="D9454" s="50">
        <f>VLOOKUP(A9454,'Componentes APUs'!$H$1:$L$25,3,0)</f>
        <v>2.2999999999999998</v>
      </c>
      <c r="E9454" s="51">
        <f>VLOOKUP(A9454,'Componentes APUs'!$H$1:$L$25,4,0)</f>
        <v>155907.14285714284</v>
      </c>
      <c r="F9454" s="51">
        <f>VLOOKUP(A9454,'Componentes APUs'!$H$1:$L$25,5,0)</f>
        <v>93544.285714285696</v>
      </c>
      <c r="G9454" s="51">
        <f>ROUNDUP((E9454+F9454)*C9454/E9440,0)</f>
        <v>0</v>
      </c>
    </row>
    <row r="9455" spans="1:13" x14ac:dyDescent="0.25">
      <c r="A9455" s="50" t="s">
        <v>54</v>
      </c>
      <c r="B9455" s="68" t="str">
        <f>VLOOKUP(A9455,'Componentes APUs'!$H$1:$L$25,2,0)</f>
        <v>Maestro de obra civil</v>
      </c>
      <c r="C9455" s="93">
        <v>0</v>
      </c>
      <c r="D9455" s="50">
        <f>VLOOKUP(A9455,'Componentes APUs'!$H$1:$L$25,3,0)</f>
        <v>2.5</v>
      </c>
      <c r="E9455" s="51">
        <f>VLOOKUP(A9455,'Componentes APUs'!$H$1:$L$25,4,0)</f>
        <v>169464.28571428571</v>
      </c>
      <c r="F9455" s="51">
        <f>VLOOKUP(A9455,'Componentes APUs'!$H$1:$L$25,5,0)</f>
        <v>101678.57142857142</v>
      </c>
      <c r="G9455" s="51">
        <f>ROUNDUP((E9455+F9455)*C9455/E9440,0)</f>
        <v>0</v>
      </c>
    </row>
    <row r="9456" spans="1:13" x14ac:dyDescent="0.25">
      <c r="A9456" s="50" t="s">
        <v>1110</v>
      </c>
      <c r="B9456" s="68" t="str">
        <f>VLOOKUP(A9456,'Componentes APUs'!$H$1:$L$25,2,0)</f>
        <v>Oficial de Obra Civil</v>
      </c>
      <c r="C9456" s="93">
        <v>1</v>
      </c>
      <c r="D9456" s="50">
        <f>VLOOKUP(A9456,'Componentes APUs'!$H$1:$L$25,3,0)</f>
        <v>1.5</v>
      </c>
      <c r="E9456" s="51">
        <f>VLOOKUP(A9456,'Componentes APUs'!$H$1:$L$25,4,0)</f>
        <v>115964.28571428571</v>
      </c>
      <c r="F9456" s="51">
        <f>VLOOKUP(A9456,'Componentes APUs'!$H$1:$L$25,5,0)</f>
        <v>69578.57142857142</v>
      </c>
      <c r="G9456" s="51">
        <f>ROUNDUP((E9456+F9456)*C9456/E9440,0)</f>
        <v>3145</v>
      </c>
    </row>
    <row r="9457" spans="1:9" x14ac:dyDescent="0.25">
      <c r="A9457" s="50" t="s">
        <v>50</v>
      </c>
      <c r="B9457" s="68" t="str">
        <f>VLOOKUP(A9457,'Componentes APUs'!$H$1:$L$25,2,0)</f>
        <v>Profesional en SST</v>
      </c>
      <c r="C9457" s="93">
        <v>0.25</v>
      </c>
      <c r="D9457" s="50">
        <f>VLOOKUP(A9457,'Componentes APUs'!$H$1:$L$25,3,0)</f>
        <v>2.5</v>
      </c>
      <c r="E9457" s="51">
        <f>VLOOKUP(A9457,'Componentes APUs'!$H$1:$L$25,4,0)</f>
        <v>169464.28571428571</v>
      </c>
      <c r="F9457" s="51">
        <f>VLOOKUP(A9457,'Componentes APUs'!$H$1:$L$25,5,0)</f>
        <v>101678.57142857142</v>
      </c>
      <c r="G9457" s="51">
        <f>ROUNDUP((E9457+F9457)*C9457/E9440,0)</f>
        <v>1149</v>
      </c>
    </row>
    <row r="9458" spans="1:9" x14ac:dyDescent="0.25">
      <c r="A9458" s="50" t="s">
        <v>1109</v>
      </c>
      <c r="B9458" s="68" t="str">
        <f>VLOOKUP(A9458,'Componentes APUs'!$H$1:$L$25,2,0)</f>
        <v>Ayudante de Obra Civil</v>
      </c>
      <c r="C9458" s="93">
        <v>1</v>
      </c>
      <c r="D9458" s="50">
        <f>VLOOKUP(A9458,'Componentes APUs'!$H$1:$L$25,3,0)</f>
        <v>1</v>
      </c>
      <c r="E9458" s="51">
        <f>VLOOKUP(A9458,'Componentes APUs'!$H$1:$L$25,4,0)</f>
        <v>77309.523809523816</v>
      </c>
      <c r="F9458" s="51">
        <f>VLOOKUP(A9458,'Componentes APUs'!$H$1:$L$25,5,0)</f>
        <v>46385.71428571429</v>
      </c>
      <c r="G9458" s="51">
        <f>ROUNDUP((E9458+F9458)*C9458/E9440,0)</f>
        <v>2097</v>
      </c>
    </row>
    <row r="9459" spans="1:9" x14ac:dyDescent="0.25">
      <c r="A9459" s="219" t="s">
        <v>56</v>
      </c>
      <c r="B9459" s="219"/>
      <c r="C9459" s="219"/>
      <c r="D9459" s="219"/>
      <c r="E9459" s="219"/>
      <c r="F9459" s="219"/>
      <c r="G9459" s="52">
        <f>SUM(G9453:G9458)</f>
        <v>6391</v>
      </c>
    </row>
    <row r="9460" spans="1:9" x14ac:dyDescent="0.25">
      <c r="A9460" s="56"/>
      <c r="B9460" s="57"/>
      <c r="C9460" s="57"/>
      <c r="D9460" s="57"/>
      <c r="E9460" s="57"/>
      <c r="F9460" s="57"/>
      <c r="G9460" s="58"/>
    </row>
    <row r="9461" spans="1:9" x14ac:dyDescent="0.25">
      <c r="A9461" s="219" t="s">
        <v>57</v>
      </c>
      <c r="B9461" s="219"/>
      <c r="C9461" s="219"/>
      <c r="D9461" s="219"/>
      <c r="E9461" s="219"/>
      <c r="F9461" s="219"/>
      <c r="G9461" s="219"/>
    </row>
    <row r="9462" spans="1:9" x14ac:dyDescent="0.25">
      <c r="A9462" s="49" t="s">
        <v>35</v>
      </c>
      <c r="B9462" s="219" t="s">
        <v>36</v>
      </c>
      <c r="C9462" s="219"/>
      <c r="D9462" s="49" t="s">
        <v>37</v>
      </c>
      <c r="E9462" s="49" t="s">
        <v>38</v>
      </c>
      <c r="F9462" s="49" t="s">
        <v>39</v>
      </c>
      <c r="G9462" s="49" t="s">
        <v>40</v>
      </c>
    </row>
    <row r="9463" spans="1:9" x14ac:dyDescent="0.25">
      <c r="A9463" s="50" t="s">
        <v>326</v>
      </c>
      <c r="B9463" s="220" t="str">
        <f>VLOOKUP(A9463,'Componentes APUs'!$S$1:$V$10,2,0)</f>
        <v>Juego Llaves</v>
      </c>
      <c r="C9463" s="220"/>
      <c r="D9463" s="50" t="s">
        <v>18</v>
      </c>
      <c r="E9463" s="50">
        <v>0</v>
      </c>
      <c r="F9463" s="51">
        <f>VLOOKUP(A9463,'Componentes APUs'!$S$1:$V$10,4,0)</f>
        <v>9167</v>
      </c>
      <c r="G9463" s="51">
        <f>ROUNDUP(F9463*((E9463/21)/E9440),0)</f>
        <v>0</v>
      </c>
      <c r="I9463" s="91"/>
    </row>
    <row r="9464" spans="1:9" x14ac:dyDescent="0.25">
      <c r="A9464" s="50" t="s">
        <v>58</v>
      </c>
      <c r="B9464" s="220" t="str">
        <f>VLOOKUP(A9464,'Componentes APUs'!$S$1:$V$10,2,0)</f>
        <v>Manila de servicio</v>
      </c>
      <c r="C9464" s="220"/>
      <c r="D9464" s="50" t="s">
        <v>18</v>
      </c>
      <c r="E9464" s="50">
        <v>0</v>
      </c>
      <c r="F9464" s="51">
        <f>VLOOKUP(A9464,'Componentes APUs'!$S$1:$V$10,4,0)</f>
        <v>2333</v>
      </c>
      <c r="G9464" s="51">
        <f>ROUNDUP(F9464*((E9464/21)/E9440),0)</f>
        <v>0</v>
      </c>
    </row>
    <row r="9465" spans="1:9" x14ac:dyDescent="0.25">
      <c r="A9465" s="50" t="s">
        <v>327</v>
      </c>
      <c r="B9465" s="220" t="str">
        <f>VLOOKUP(A9465,'Componentes APUs'!$S$1:$V$10,2,0)</f>
        <v>Tula portaherramientas</v>
      </c>
      <c r="C9465" s="220"/>
      <c r="D9465" s="50" t="s">
        <v>18</v>
      </c>
      <c r="E9465" s="50">
        <v>0</v>
      </c>
      <c r="F9465" s="51">
        <f>VLOOKUP(A9465,'Componentes APUs'!$S$1:$V$10,4,0)</f>
        <v>1250</v>
      </c>
      <c r="G9465" s="51">
        <f>ROUNDUP(F9465*((E9465/21)/E9440),0)</f>
        <v>0</v>
      </c>
    </row>
    <row r="9466" spans="1:9" x14ac:dyDescent="0.25">
      <c r="A9466" s="50" t="s">
        <v>60</v>
      </c>
      <c r="B9466" s="220" t="str">
        <f>VLOOKUP(A9466,'Componentes APUs'!$S$1:$V$10,2,0)</f>
        <v>Agarradoras</v>
      </c>
      <c r="C9466" s="220"/>
      <c r="D9466" s="50" t="s">
        <v>18</v>
      </c>
      <c r="E9466" s="50">
        <v>0</v>
      </c>
      <c r="F9466" s="51">
        <f>VLOOKUP(A9466,'Componentes APUs'!$S$1:$V$10,4,0)</f>
        <v>125000</v>
      </c>
      <c r="G9466" s="51">
        <f>ROUNDUP(F9466*((E9466/21)/E9440),0)</f>
        <v>0</v>
      </c>
    </row>
    <row r="9467" spans="1:9" x14ac:dyDescent="0.25">
      <c r="A9467" s="50" t="s">
        <v>62</v>
      </c>
      <c r="B9467" s="220" t="str">
        <f>VLOOKUP(A9467,'Componentes APUs'!$S$1:$V$10,2,0)</f>
        <v>Templadoras</v>
      </c>
      <c r="C9467" s="220"/>
      <c r="D9467" s="50" t="s">
        <v>18</v>
      </c>
      <c r="E9467" s="50">
        <v>0</v>
      </c>
      <c r="F9467" s="51">
        <f>VLOOKUP(A9467,'Componentes APUs'!$S$1:$V$10,4,0)</f>
        <v>250000</v>
      </c>
      <c r="G9467" s="51">
        <f>ROUNDUP(F9467*((E9467/21)/E9440),0)</f>
        <v>0</v>
      </c>
    </row>
    <row r="9468" spans="1:9" x14ac:dyDescent="0.25">
      <c r="A9468" s="50" t="s">
        <v>328</v>
      </c>
      <c r="B9468" s="220" t="str">
        <f>VLOOKUP(A9468,'Componentes APUs'!$S$1:$V$10,2,0)</f>
        <v>Herramienta Menor</v>
      </c>
      <c r="C9468" s="220"/>
      <c r="D9468" s="50" t="s">
        <v>18</v>
      </c>
      <c r="E9468" s="50">
        <v>1</v>
      </c>
      <c r="F9468" s="51">
        <f>VLOOKUP(A9468,'Componentes APUs'!$S$1:$V$10,4,0)</f>
        <v>75758</v>
      </c>
      <c r="G9468" s="51">
        <f>ROUNDUP(F9468*((E9468/21)/E9440),0)</f>
        <v>62</v>
      </c>
    </row>
    <row r="9469" spans="1:9" x14ac:dyDescent="0.25">
      <c r="A9469" s="219" t="s">
        <v>69</v>
      </c>
      <c r="B9469" s="219"/>
      <c r="C9469" s="219"/>
      <c r="D9469" s="219"/>
      <c r="E9469" s="219"/>
      <c r="F9469" s="219"/>
      <c r="G9469" s="52">
        <f>SUM(G9463:G9468)</f>
        <v>62</v>
      </c>
    </row>
    <row r="9470" spans="1:9" x14ac:dyDescent="0.25">
      <c r="A9470" s="56"/>
      <c r="B9470" s="57"/>
      <c r="C9470" s="57"/>
      <c r="D9470" s="57"/>
      <c r="E9470" s="57"/>
      <c r="F9470" s="57"/>
      <c r="G9470" s="58"/>
    </row>
    <row r="9471" spans="1:9" x14ac:dyDescent="0.25">
      <c r="A9471" s="219" t="s">
        <v>70</v>
      </c>
      <c r="B9471" s="219"/>
      <c r="C9471" s="219"/>
      <c r="D9471" s="219"/>
      <c r="E9471" s="219"/>
      <c r="F9471" s="219"/>
      <c r="G9471" s="219"/>
    </row>
    <row r="9472" spans="1:9" x14ac:dyDescent="0.25">
      <c r="A9472" s="49" t="s">
        <v>35</v>
      </c>
      <c r="B9472" s="219" t="s">
        <v>36</v>
      </c>
      <c r="C9472" s="219"/>
      <c r="D9472" s="49" t="s">
        <v>37</v>
      </c>
      <c r="E9472" s="49" t="s">
        <v>38</v>
      </c>
      <c r="F9472" s="49" t="s">
        <v>39</v>
      </c>
      <c r="G9472" s="49" t="s">
        <v>40</v>
      </c>
    </row>
    <row r="9473" spans="1:9" x14ac:dyDescent="0.25">
      <c r="A9473" s="50" t="s">
        <v>71</v>
      </c>
      <c r="B9473" s="71" t="str">
        <f>VLOOKUP(A9473,'Componentes APUs'!$A$1:$D$14,2,0)</f>
        <v>Camisa indigo sin partes metalicas</v>
      </c>
      <c r="C9473" s="71"/>
      <c r="D9473" s="50" t="str">
        <f>VLOOKUP(A9473,'Componentes APUs'!$A$1:$D$14,3,0)</f>
        <v>U</v>
      </c>
      <c r="E9473" s="50">
        <f>SUM(C9453:C9458)</f>
        <v>2.25</v>
      </c>
      <c r="F9473" s="51">
        <f>VLOOKUP(A9473,'Componentes APUs'!$A$1:$D$14,4,0)</f>
        <v>8585.8585858585866</v>
      </c>
      <c r="G9473" s="51">
        <f>ROUNDUP(F9473*(E9473/21)/E9440,0)</f>
        <v>16</v>
      </c>
      <c r="I9473" s="91"/>
    </row>
    <row r="9474" spans="1:9" x14ac:dyDescent="0.25">
      <c r="A9474" s="69" t="s">
        <v>73</v>
      </c>
      <c r="B9474" s="72" t="str">
        <f>VLOOKUP(A9474,'Componentes APUs'!$A$1:$D$14,2,0)</f>
        <v>Bota de seguridad dielectrica</v>
      </c>
      <c r="C9474" s="73"/>
      <c r="D9474" s="70" t="str">
        <f>VLOOKUP(A9474,'Componentes APUs'!$A$1:$D$14,3,0)</f>
        <v>Par</v>
      </c>
      <c r="E9474" s="50">
        <f>SUM(C9453:C9458)</f>
        <v>2.25</v>
      </c>
      <c r="F9474" s="51">
        <f>VLOOKUP(A9474,'Componentes APUs'!$A$1:$D$14,4,0)</f>
        <v>7500</v>
      </c>
      <c r="G9474" s="51">
        <f>ROUNDUP(F9474*(E9474/21)/E9440,0)</f>
        <v>14</v>
      </c>
    </row>
    <row r="9475" spans="1:9" x14ac:dyDescent="0.25">
      <c r="A9475" s="50" t="s">
        <v>76</v>
      </c>
      <c r="B9475" s="72" t="str">
        <f>VLOOKUP(A9475,'Componentes APUs'!$A$1:$D$14,2,0)</f>
        <v>Casco dielectrico Tipo 1 Clase E con barbuquejo</v>
      </c>
      <c r="C9475" s="73"/>
      <c r="D9475" s="50" t="str">
        <f>VLOOKUP(A9475,'Componentes APUs'!$A$1:$D$14,3,0)</f>
        <v>U</v>
      </c>
      <c r="E9475" s="50">
        <f>C9453+C9454+C9456+C9457+C9458+IF(A9455&lt;&gt;"MO-3",C9455,0)</f>
        <v>2.25</v>
      </c>
      <c r="F9475" s="51">
        <f>VLOOKUP(A9475,'Componentes APUs'!$A$1:$D$14,4,0)</f>
        <v>10101.010101010101</v>
      </c>
      <c r="G9475" s="51">
        <f>ROUNDUP(F9475*(E9475/21)/E9440,0)</f>
        <v>19</v>
      </c>
    </row>
    <row r="9476" spans="1:9" x14ac:dyDescent="0.25">
      <c r="A9476" s="69" t="s">
        <v>77</v>
      </c>
      <c r="B9476" s="72" t="str">
        <f>VLOOKUP(A9476,'Componentes APUs'!$A$1:$D$14,2,0)</f>
        <v>Correa plastica y antiflama</v>
      </c>
      <c r="C9476" s="73"/>
      <c r="D9476" s="50" t="str">
        <f>VLOOKUP(A9476,'Componentes APUs'!$A$1:$D$14,3,0)</f>
        <v>U</v>
      </c>
      <c r="E9476" s="50">
        <f>SUM(C9453:C9458)</f>
        <v>2.25</v>
      </c>
      <c r="F9476" s="51">
        <f>VLOOKUP(A9476,'Componentes APUs'!$A$1:$D$14,4,0)</f>
        <v>3787.878787878788</v>
      </c>
      <c r="G9476" s="51">
        <f>ROUNDUP(F9476*(E9476/21)/E9440,0)</f>
        <v>7</v>
      </c>
    </row>
    <row r="9477" spans="1:9" x14ac:dyDescent="0.25">
      <c r="A9477" s="50" t="s">
        <v>79</v>
      </c>
      <c r="B9477" s="72" t="str">
        <f>VLOOKUP(A9477,'Componentes APUs'!$A$1:$D$14,2,0)</f>
        <v>Gafas protectoras filtro UV</v>
      </c>
      <c r="C9477" s="73"/>
      <c r="D9477" s="50" t="str">
        <f>VLOOKUP(A9477,'Componentes APUs'!$A$1:$D$14,3,0)</f>
        <v>U</v>
      </c>
      <c r="E9477" s="50">
        <f>SUM(C9453:C9458)</f>
        <v>2.25</v>
      </c>
      <c r="F9477" s="51">
        <f>VLOOKUP(A9477,'Componentes APUs'!$A$1:$D$14,4,0)</f>
        <v>2777.7777777777778</v>
      </c>
      <c r="G9477" s="51">
        <f>ROUNDUP(F9477*(E9477/21)/E9440,0)</f>
        <v>6</v>
      </c>
    </row>
    <row r="9478" spans="1:9" x14ac:dyDescent="0.25">
      <c r="A9478" s="69" t="s">
        <v>402</v>
      </c>
      <c r="B9478" s="72" t="str">
        <f>VLOOKUP(A9478,'Componentes APUs'!$A$1:$D$14,2,0)</f>
        <v>Bota de seguridad PVC dielectrica</v>
      </c>
      <c r="C9478" s="73"/>
      <c r="D9478" s="50" t="str">
        <f>VLOOKUP(A9478,'Componentes APUs'!$A$1:$D$14,3,0)</f>
        <v>Par</v>
      </c>
      <c r="E9478" s="50">
        <f>SUM(C9453:C9458)</f>
        <v>2.25</v>
      </c>
      <c r="F9478" s="51">
        <f>VLOOKUP(A9478,'Componentes APUs'!$A$1:$D$14,4,0)</f>
        <v>2916.6666666666665</v>
      </c>
      <c r="G9478" s="51">
        <f>ROUNDUP(F9478*(E9478/21)/E9440,0)</f>
        <v>6</v>
      </c>
    </row>
    <row r="9479" spans="1:9" x14ac:dyDescent="0.25">
      <c r="A9479" s="50" t="s">
        <v>403</v>
      </c>
      <c r="B9479" s="72" t="str">
        <f>VLOOKUP(A9479,'Componentes APUs'!$A$1:$D$14,2,0)</f>
        <v>Capuchon</v>
      </c>
      <c r="C9479" s="73"/>
      <c r="D9479" s="50" t="str">
        <f>VLOOKUP(A9479,'Componentes APUs'!$A$1:$D$14,3,0)</f>
        <v>U</v>
      </c>
      <c r="E9479" s="50">
        <f>SUM(C9453:C9458)</f>
        <v>2.25</v>
      </c>
      <c r="F9479" s="51">
        <f>VLOOKUP(A9479,'Componentes APUs'!$A$1:$D$14,4,0)</f>
        <v>2525.2525252525252</v>
      </c>
      <c r="G9479" s="51">
        <f>ROUNDUP(F9479*(E9479/21)/E9440,0)</f>
        <v>5</v>
      </c>
    </row>
    <row r="9480" spans="1:9" x14ac:dyDescent="0.25">
      <c r="A9480" s="69" t="s">
        <v>81</v>
      </c>
      <c r="B9480" s="72" t="str">
        <f>VLOOKUP(A9480,'Componentes APUs'!$A$1:$D$14,2,0)</f>
        <v>Guantes Protectores  - ingeniero reforzados</v>
      </c>
      <c r="C9480" s="73"/>
      <c r="D9480" s="50" t="str">
        <f>VLOOKUP(A9480,'Componentes APUs'!$A$1:$D$14,3,0)</f>
        <v>Par</v>
      </c>
      <c r="E9480" s="50">
        <f>C9455+C9456+C9458</f>
        <v>2</v>
      </c>
      <c r="F9480" s="51">
        <f>VLOOKUP(A9480,'Componentes APUs'!$A$1:$D$14,4,0)</f>
        <v>2525.2525252525252</v>
      </c>
      <c r="G9480" s="51">
        <f>ROUNDUP(F9480*(E9480/21)/E9440,0)</f>
        <v>5</v>
      </c>
    </row>
    <row r="9481" spans="1:9" x14ac:dyDescent="0.25">
      <c r="A9481" s="50" t="s">
        <v>83</v>
      </c>
      <c r="B9481" s="72" t="str">
        <f>VLOOKUP(A9481,'Componentes APUs'!$A$1:$D$14,2,0)</f>
        <v>Impermeable (pantalon camisa)</v>
      </c>
      <c r="C9481" s="73"/>
      <c r="D9481" s="50" t="str">
        <f>VLOOKUP(A9481,'Componentes APUs'!$A$1:$D$14,3,0)</f>
        <v>U</v>
      </c>
      <c r="E9481" s="50">
        <f>SUM(C9453:C9458)</f>
        <v>2.25</v>
      </c>
      <c r="F9481" s="51">
        <f>VLOOKUP(A9481,'Componentes APUs'!$A$1:$D$14,4,0)</f>
        <v>3750</v>
      </c>
      <c r="G9481" s="51">
        <f>ROUNDUP(F9481*(E9481/21)/E9440,0)</f>
        <v>7</v>
      </c>
    </row>
    <row r="9482" spans="1:9" x14ac:dyDescent="0.25">
      <c r="A9482" s="69" t="s">
        <v>85</v>
      </c>
      <c r="B9482" s="72" t="str">
        <f>VLOOKUP(A9482,'Componentes APUs'!$A$1:$D$14,2,0)</f>
        <v>Jean Dielectrico</v>
      </c>
      <c r="C9482" s="73"/>
      <c r="D9482" s="50" t="str">
        <f>VLOOKUP(A9482,'Componentes APUs'!$A$1:$D$14,3,0)</f>
        <v>U</v>
      </c>
      <c r="E9482" s="50">
        <f>SUM(C9453:C9458)</f>
        <v>2.25</v>
      </c>
      <c r="F9482" s="51">
        <f>VLOOKUP(A9482,'Componentes APUs'!$A$1:$D$14,4,0)</f>
        <v>7575.757575757576</v>
      </c>
      <c r="G9482" s="51">
        <f>ROUNDUP(F9482*(E9482/21)/E9440,0)</f>
        <v>14</v>
      </c>
    </row>
    <row r="9483" spans="1:9" x14ac:dyDescent="0.25">
      <c r="A9483" s="50" t="s">
        <v>87</v>
      </c>
      <c r="B9483" s="72" t="str">
        <f>VLOOKUP(A9483,'Componentes APUs'!$A$1:$D$14,2,0)</f>
        <v>Casco dielectrico Tipo 2 Clase E con barboquejo</v>
      </c>
      <c r="C9483" s="73"/>
      <c r="D9483" s="50" t="str">
        <f>VLOOKUP(A9483,'Componentes APUs'!$A$1:$D$14,3,0)</f>
        <v>U</v>
      </c>
      <c r="E9483" s="53">
        <f>IF(A9455="MO-3",C9455,0)</f>
        <v>0</v>
      </c>
      <c r="F9483" s="51">
        <f>VLOOKUP(A9483,'Componentes APUs'!$A$1:$D$14,4,0)</f>
        <v>7500</v>
      </c>
      <c r="G9483" s="51">
        <f>ROUNDUP(F9483*(E9483/21)/E9440,0)</f>
        <v>0</v>
      </c>
    </row>
    <row r="9484" spans="1:9" x14ac:dyDescent="0.25">
      <c r="A9484" s="69" t="s">
        <v>89</v>
      </c>
      <c r="B9484" s="72" t="str">
        <f>VLOOKUP(A9484,'Componentes APUs'!$A$1:$D$14,2,0)</f>
        <v>Kit de rescate para trabajo en alturas</v>
      </c>
      <c r="C9484" s="73"/>
      <c r="D9484" s="50" t="str">
        <f>VLOOKUP(A9484,'Componentes APUs'!$A$1:$D$14,3,0)</f>
        <v>U</v>
      </c>
      <c r="E9484" s="50">
        <f>IF(AND(A9455="MO-3",C9455=2),1,0)</f>
        <v>0</v>
      </c>
      <c r="F9484" s="51">
        <f>VLOOKUP(A9484,'Componentes APUs'!$A$1:$D$14,4,0)</f>
        <v>37500</v>
      </c>
      <c r="G9484" s="51">
        <f>ROUNDUP(F9484*(E9484/21)/E9440,0)</f>
        <v>0</v>
      </c>
    </row>
    <row r="9485" spans="1:9" x14ac:dyDescent="0.25">
      <c r="A9485" s="50" t="s">
        <v>91</v>
      </c>
      <c r="B9485" s="72" t="str">
        <f>VLOOKUP(A9485,'Componentes APUs'!$A$1:$D$14,2,0)</f>
        <v>Equipo completo para trabajo en alturas con pretales (Arnes dielectrico, 1 mosqueton de seguridad, tie off dielectrico, eslinga de posicionamiento, juego de pretales)</v>
      </c>
      <c r="C9485" s="73"/>
      <c r="D9485" s="50" t="str">
        <f>VLOOKUP(A9485,'Componentes APUs'!$A$1:$D$14,3,0)</f>
        <v>U</v>
      </c>
      <c r="E9485" s="50">
        <f>IF(A9455="MO-3",C9455,0)</f>
        <v>0</v>
      </c>
      <c r="F9485" s="51">
        <f>VLOOKUP(A9485,'Componentes APUs'!$A$1:$D$14,4,0)</f>
        <v>26041.666666666668</v>
      </c>
      <c r="G9485" s="51">
        <f>ROUNDUP(F9485*(E9485/21)/E9440,0)</f>
        <v>0</v>
      </c>
    </row>
    <row r="9486" spans="1:9" x14ac:dyDescent="0.25">
      <c r="A9486" s="219" t="s">
        <v>95</v>
      </c>
      <c r="B9486" s="219"/>
      <c r="C9486" s="219"/>
      <c r="D9486" s="219"/>
      <c r="E9486" s="219"/>
      <c r="F9486" s="219"/>
      <c r="G9486" s="52">
        <f>SUM(G9473:G9485)</f>
        <v>99</v>
      </c>
    </row>
    <row r="9487" spans="1:9" x14ac:dyDescent="0.25">
      <c r="A9487" s="56"/>
      <c r="B9487" s="57"/>
      <c r="C9487" s="57"/>
      <c r="D9487" s="57"/>
      <c r="E9487" s="57"/>
      <c r="F9487" s="57"/>
      <c r="G9487" s="58"/>
    </row>
    <row r="9488" spans="1:9" x14ac:dyDescent="0.25">
      <c r="A9488" s="219" t="s">
        <v>96</v>
      </c>
      <c r="B9488" s="219"/>
      <c r="C9488" s="219"/>
      <c r="D9488" s="219"/>
      <c r="E9488" s="219"/>
      <c r="F9488" s="219"/>
      <c r="G9488" s="219"/>
    </row>
    <row r="9489" spans="1:7" x14ac:dyDescent="0.25">
      <c r="A9489" s="49" t="s">
        <v>35</v>
      </c>
      <c r="B9489" s="225" t="s">
        <v>36</v>
      </c>
      <c r="C9489" s="225"/>
      <c r="D9489" s="49" t="s">
        <v>37</v>
      </c>
      <c r="E9489" s="49" t="s">
        <v>38</v>
      </c>
      <c r="F9489" s="49" t="s">
        <v>39</v>
      </c>
      <c r="G9489" s="49" t="s">
        <v>40</v>
      </c>
    </row>
    <row r="9490" spans="1:7" x14ac:dyDescent="0.25">
      <c r="A9490" s="69" t="s">
        <v>97</v>
      </c>
      <c r="B9490" s="72" t="str">
        <f>VLOOKUP(A9490,'Componentes APUs'!$N$1:$Q$30,2,0)</f>
        <v>Camioneta</v>
      </c>
      <c r="C9490" s="73"/>
      <c r="D9490" s="70" t="str">
        <f>VLOOKUP(A9490,'Componentes APUs'!$N$1:$Q$30,3,0)</f>
        <v>U</v>
      </c>
      <c r="E9490" s="50">
        <v>1</v>
      </c>
      <c r="F9490" s="51">
        <f>VLOOKUP(A9490,'Componentes APUs'!$N$1:$Q$30,4,0)</f>
        <v>5500000</v>
      </c>
      <c r="G9490" s="51">
        <f>IFERROR(ROUNDUP(F9490*(E9490/21)/E9440,0),"-")</f>
        <v>4440</v>
      </c>
    </row>
    <row r="9491" spans="1:7" x14ac:dyDescent="0.25">
      <c r="A9491" s="50" t="s">
        <v>2225</v>
      </c>
      <c r="B9491" s="72" t="str">
        <f>VLOOKUP(A9491,'Componentes APUs'!$N$1:$Q$30,2,0)</f>
        <v>Vehículo delineador para aplicación de pintura con mínimo 2 boquillas (NTC 4744-2)</v>
      </c>
      <c r="C9491" s="73"/>
      <c r="D9491" s="70" t="str">
        <f>VLOOKUP(A9491,'Componentes APUs'!$N$1:$Q$30,3,0)</f>
        <v>U</v>
      </c>
      <c r="E9491" s="50">
        <v>1</v>
      </c>
      <c r="F9491" s="51">
        <f>VLOOKUP(A9491,'Componentes APUs'!$N$1:$Q$30,4,0)</f>
        <v>214489.08357336133</v>
      </c>
      <c r="G9491" s="51">
        <f>IFERROR(ROUNDUP(F9491*(E9491/21)/E9440,0),"-")</f>
        <v>174</v>
      </c>
    </row>
    <row r="9492" spans="1:7" x14ac:dyDescent="0.25">
      <c r="A9492" s="69" t="s">
        <v>1379</v>
      </c>
      <c r="B9492" s="72" t="str">
        <f>VLOOKUP(A9492,'Componentes APUs'!$N$1:$Q$30,2,0)</f>
        <v>Dumper de descarga Frontal 2T</v>
      </c>
      <c r="C9492" s="73"/>
      <c r="D9492" s="70" t="str">
        <f>VLOOKUP(A9492,'Componentes APUs'!$N$1:$Q$30,3,0)</f>
        <v>U</v>
      </c>
      <c r="E9492" s="50">
        <v>0</v>
      </c>
      <c r="F9492" s="51">
        <f>VLOOKUP(A9492,'Componentes APUs'!$N$1:$Q$30,4,0)</f>
        <v>4438716.24</v>
      </c>
      <c r="G9492" s="51">
        <f>IFERROR(ROUNDUP(F9492*(E9492/21)/E9440,0),"-")</f>
        <v>0</v>
      </c>
    </row>
    <row r="9493" spans="1:7" x14ac:dyDescent="0.25">
      <c r="A9493" s="50" t="s">
        <v>323</v>
      </c>
      <c r="B9493" s="72" t="str">
        <f>VLOOKUP(A9493,'Componentes APUs'!$N$1:$Q$30,2,0)</f>
        <v>Volqueta</v>
      </c>
      <c r="C9493" s="73"/>
      <c r="D9493" s="70" t="str">
        <f>VLOOKUP(A9493,'Componentes APUs'!$N$1:$Q$30,3,0)</f>
        <v>U</v>
      </c>
      <c r="E9493" s="50">
        <v>0</v>
      </c>
      <c r="F9493" s="51">
        <f>VLOOKUP(A9493,'Componentes APUs'!$N$1:$Q$30,4,0)</f>
        <v>14828184</v>
      </c>
      <c r="G9493" s="51">
        <f>IFERROR(ROUNDUP(F9493*(E9493/21)/E9440,0),"-")</f>
        <v>0</v>
      </c>
    </row>
    <row r="9494" spans="1:7" x14ac:dyDescent="0.25">
      <c r="A9494" s="69" t="s">
        <v>324</v>
      </c>
      <c r="B9494" s="72" t="str">
        <f>VLOOKUP(A9494,'Componentes APUs'!$N$1:$Q$30,2,0)</f>
        <v>Retroexcavadora</v>
      </c>
      <c r="C9494" s="73"/>
      <c r="D9494" s="70" t="str">
        <f>VLOOKUP(A9494,'Componentes APUs'!$N$1:$Q$30,3,0)</f>
        <v>U</v>
      </c>
      <c r="E9494" s="50">
        <v>0</v>
      </c>
      <c r="F9494" s="51">
        <f>VLOOKUP(A9494,'Componentes APUs'!$N$1:$Q$30,4,0)</f>
        <v>46030656</v>
      </c>
      <c r="G9494" s="51">
        <f>IFERROR(ROUNDUP(F9494*(E9494/21)/E9440,0),"-")</f>
        <v>0</v>
      </c>
    </row>
    <row r="9495" spans="1:7" x14ac:dyDescent="0.25">
      <c r="A9495" s="219" t="s">
        <v>99</v>
      </c>
      <c r="B9495" s="219"/>
      <c r="C9495" s="219"/>
      <c r="D9495" s="219"/>
      <c r="E9495" s="219"/>
      <c r="F9495" s="219"/>
      <c r="G9495" s="52">
        <f>SUM(G9490:G9494)</f>
        <v>4614</v>
      </c>
    </row>
    <row r="9496" spans="1:7" x14ac:dyDescent="0.25">
      <c r="A9496" s="56"/>
      <c r="B9496" s="57"/>
      <c r="C9496" s="57"/>
      <c r="D9496" s="57"/>
      <c r="E9496" s="57"/>
      <c r="F9496" s="57"/>
      <c r="G9496" s="58"/>
    </row>
    <row r="9497" spans="1:7" x14ac:dyDescent="0.25">
      <c r="A9497" s="219" t="s">
        <v>100</v>
      </c>
      <c r="B9497" s="219"/>
      <c r="C9497" s="219"/>
      <c r="D9497" s="219"/>
      <c r="E9497" s="219"/>
      <c r="F9497" s="219"/>
      <c r="G9497" s="52">
        <f>G9495+G9486+G9469+G9459+G9449</f>
        <v>24948</v>
      </c>
    </row>
    <row r="9498" spans="1:7" x14ac:dyDescent="0.25">
      <c r="A9498" s="59"/>
      <c r="B9498" s="60"/>
      <c r="C9498" s="60"/>
      <c r="D9498" s="60"/>
      <c r="E9498" s="57"/>
      <c r="F9498" s="57"/>
      <c r="G9498" s="58"/>
    </row>
    <row r="9499" spans="1:7" x14ac:dyDescent="0.25">
      <c r="A9499" s="64"/>
      <c r="D9499" s="55"/>
      <c r="E9499" s="49" t="s">
        <v>25</v>
      </c>
      <c r="F9499" s="54">
        <v>0.15</v>
      </c>
      <c r="G9499" s="51">
        <f>G9497*F9499</f>
        <v>3742.2</v>
      </c>
    </row>
    <row r="9500" spans="1:7" x14ac:dyDescent="0.25">
      <c r="A9500" s="64"/>
      <c r="D9500" s="55"/>
      <c r="E9500" s="49" t="s">
        <v>26</v>
      </c>
      <c r="F9500" s="54">
        <v>0.05</v>
      </c>
      <c r="G9500" s="51">
        <f>G9497*F9500</f>
        <v>1247.4000000000001</v>
      </c>
    </row>
    <row r="9501" spans="1:7" x14ac:dyDescent="0.25">
      <c r="A9501" s="61"/>
      <c r="B9501" s="65"/>
      <c r="C9501" s="65"/>
      <c r="D9501" s="62"/>
      <c r="E9501" s="49" t="s">
        <v>27</v>
      </c>
      <c r="F9501" s="54">
        <v>0.05</v>
      </c>
      <c r="G9501" s="51">
        <f>G9497*F9501</f>
        <v>1247.4000000000001</v>
      </c>
    </row>
    <row r="9502" spans="1:7" x14ac:dyDescent="0.25">
      <c r="A9502" s="61"/>
      <c r="B9502" s="62"/>
      <c r="C9502" s="62"/>
      <c r="D9502" s="62"/>
      <c r="E9502" s="62"/>
      <c r="F9502" s="62"/>
      <c r="G9502" s="63"/>
    </row>
    <row r="9503" spans="1:7" x14ac:dyDescent="0.25">
      <c r="A9503" s="219" t="s">
        <v>101</v>
      </c>
      <c r="B9503" s="219"/>
      <c r="C9503" s="219"/>
      <c r="D9503" s="219"/>
      <c r="E9503" s="219"/>
      <c r="F9503" s="219"/>
      <c r="G9503" s="52">
        <f>G9497+G9499+G9500+G9501</f>
        <v>31185.000000000004</v>
      </c>
    </row>
    <row r="9504" spans="1:7" x14ac:dyDescent="0.25">
      <c r="A9504" s="59"/>
      <c r="B9504" s="60"/>
      <c r="C9504" s="60"/>
      <c r="D9504" s="60"/>
      <c r="E9504" s="57"/>
      <c r="F9504" s="57"/>
      <c r="G9504" s="58"/>
    </row>
    <row r="9505" spans="1:13" x14ac:dyDescent="0.25">
      <c r="A9505" s="64"/>
      <c r="D9505" s="55"/>
      <c r="E9505" s="49" t="s">
        <v>102</v>
      </c>
      <c r="F9505" s="49" t="s">
        <v>103</v>
      </c>
      <c r="G9505" s="51">
        <f>G9501*19%</f>
        <v>237.00600000000003</v>
      </c>
    </row>
    <row r="9506" spans="1:13" x14ac:dyDescent="0.25">
      <c r="A9506" s="61"/>
      <c r="B9506" s="62"/>
      <c r="C9506" s="62"/>
      <c r="D9506" s="62"/>
      <c r="E9506" s="57"/>
      <c r="F9506" s="57"/>
      <c r="G9506" s="58"/>
    </row>
    <row r="9507" spans="1:13" x14ac:dyDescent="0.25">
      <c r="A9507" s="219" t="s">
        <v>104</v>
      </c>
      <c r="B9507" s="219"/>
      <c r="C9507" s="219"/>
      <c r="D9507" s="219"/>
      <c r="E9507" s="219"/>
      <c r="F9507" s="219"/>
      <c r="G9507" s="52">
        <f>G9505+G9503</f>
        <v>31422.006000000005</v>
      </c>
    </row>
    <row r="9509" spans="1:13" ht="30.75" customHeight="1" x14ac:dyDescent="0.25">
      <c r="A9509" s="74" t="s">
        <v>29</v>
      </c>
      <c r="B9509" s="226" t="s">
        <v>30</v>
      </c>
      <c r="C9509" s="226"/>
      <c r="D9509" s="74" t="s">
        <v>31</v>
      </c>
      <c r="E9509" s="74" t="s">
        <v>32</v>
      </c>
      <c r="F9509" s="74" t="s">
        <v>189</v>
      </c>
      <c r="G9509" s="74" t="s">
        <v>33</v>
      </c>
      <c r="H9509" s="105"/>
    </row>
    <row r="9510" spans="1:13" ht="27" customHeight="1" x14ac:dyDescent="0.25">
      <c r="A9510" s="50" t="str">
        <f>Presupuesto!B318</f>
        <v>014_SC</v>
      </c>
      <c r="B9510" s="229" t="str">
        <f>Presupuesto!C318</f>
        <v>SUMINISTRO E INSTALACIÓN DE PATCH CORD DE FIBRA ÓPTICA MULTIMODO OM3  LC - ST/UPC DE 2 METROS</v>
      </c>
      <c r="C9510" s="230"/>
      <c r="D9510" s="50" t="s">
        <v>114</v>
      </c>
      <c r="E9510" s="107">
        <v>80</v>
      </c>
      <c r="F9510" s="50"/>
      <c r="G9510" s="51">
        <f>G9579</f>
        <v>237623.5675</v>
      </c>
      <c r="H9510" s="111"/>
    </row>
    <row r="9511" spans="1:13" x14ac:dyDescent="0.25">
      <c r="A9511" s="219" t="s">
        <v>34</v>
      </c>
      <c r="B9511" s="219"/>
      <c r="C9511" s="219"/>
      <c r="D9511" s="219"/>
      <c r="E9511" s="219"/>
      <c r="F9511" s="219"/>
      <c r="G9511" s="219"/>
    </row>
    <row r="9512" spans="1:13" ht="30.75" customHeight="1" x14ac:dyDescent="0.25">
      <c r="A9512" s="49" t="s">
        <v>35</v>
      </c>
      <c r="B9512" s="219" t="s">
        <v>36</v>
      </c>
      <c r="C9512" s="219"/>
      <c r="D9512" s="49" t="s">
        <v>37</v>
      </c>
      <c r="E9512" s="49" t="s">
        <v>38</v>
      </c>
      <c r="F9512" s="49" t="s">
        <v>39</v>
      </c>
      <c r="G9512" s="49" t="s">
        <v>40</v>
      </c>
      <c r="K9512" s="23"/>
      <c r="L9512" s="23"/>
    </row>
    <row r="9513" spans="1:13" ht="28.5" customHeight="1" x14ac:dyDescent="0.25">
      <c r="A9513" s="50" t="str">
        <f>Material!A357</f>
        <v>MA-356</v>
      </c>
      <c r="B9513" s="221" t="str">
        <f>IFERROR(VLOOKUP(A9513,Material!$A:$H,2,0),"-")</f>
        <v>LÁMINA METÁLICA DE 50X50 CM, PARA ENCOFRADO DE COLUMNAS DE CONCRETO ARMADO DE SECCIÓN RECTANGULAR O CUADRADA, DE HASTA 3 M DE ALTURA, INCLUSO ACCESORIOS DE MONTAJE</v>
      </c>
      <c r="C9513" s="222"/>
      <c r="D9513" s="50" t="str">
        <f>IFERROR(VLOOKUP(A9513,Material!$A:$H,4,0),"-")</f>
        <v>M2</v>
      </c>
      <c r="E9513" s="107">
        <v>2.5000000000000001E-2</v>
      </c>
      <c r="F9513" s="51">
        <f>IFERROR(VLOOKUP(A9513,Material!$A:$H,3,0),"-")</f>
        <v>136849.908</v>
      </c>
      <c r="G9513" s="51">
        <f>IFERROR(ROUNDUP(F9513*E9513,0),"-")</f>
        <v>3422</v>
      </c>
      <c r="H9513" s="112"/>
      <c r="I9513" s="110"/>
      <c r="J9513" s="113"/>
      <c r="K9513" s="114"/>
      <c r="L9513" s="115"/>
      <c r="M9513" s="115"/>
    </row>
    <row r="9514" spans="1:13" x14ac:dyDescent="0.25">
      <c r="A9514" s="50"/>
      <c r="B9514" s="72" t="str">
        <f>IFERROR(VLOOKUP(A9514,Material!$A:$H,2,0),"-")</f>
        <v>-</v>
      </c>
      <c r="C9514" s="76"/>
      <c r="D9514" s="50" t="str">
        <f>IFERROR(VLOOKUP(A9514,Material!$A:$H,4,0),"-")</f>
        <v>-</v>
      </c>
      <c r="E9514" s="107"/>
      <c r="F9514" s="51" t="str">
        <f>IFERROR(VLOOKUP(A9514,Material!$A:$H,3,0),"-")</f>
        <v>-</v>
      </c>
      <c r="G9514" s="51" t="str">
        <f>IFERROR(ROUNDUP(F9514*E9514,0),"-")</f>
        <v>-</v>
      </c>
      <c r="H9514" s="112"/>
      <c r="I9514" s="110"/>
      <c r="J9514" s="113"/>
      <c r="K9514" s="114"/>
      <c r="L9514" s="115"/>
      <c r="M9514" s="115"/>
    </row>
    <row r="9515" spans="1:13" x14ac:dyDescent="0.25">
      <c r="A9515" s="219" t="s">
        <v>41</v>
      </c>
      <c r="B9515" s="219"/>
      <c r="C9515" s="219"/>
      <c r="D9515" s="219"/>
      <c r="E9515" s="219"/>
      <c r="F9515" s="219"/>
      <c r="G9515" s="52">
        <f>SUM(G9513:G9514)</f>
        <v>3422</v>
      </c>
      <c r="I9515" s="104"/>
    </row>
    <row r="9516" spans="1:13" x14ac:dyDescent="0.25">
      <c r="A9516" s="56"/>
      <c r="B9516" s="57"/>
      <c r="C9516" s="57"/>
      <c r="D9516" s="57"/>
      <c r="E9516" s="57"/>
      <c r="F9516" s="57"/>
      <c r="G9516" s="58"/>
    </row>
    <row r="9517" spans="1:13" x14ac:dyDescent="0.25">
      <c r="A9517" s="219" t="s">
        <v>42</v>
      </c>
      <c r="B9517" s="219"/>
      <c r="C9517" s="219"/>
      <c r="D9517" s="219"/>
      <c r="E9517" s="219"/>
      <c r="F9517" s="219"/>
      <c r="G9517" s="219"/>
    </row>
    <row r="9518" spans="1:13" x14ac:dyDescent="0.25">
      <c r="A9518" s="49" t="s">
        <v>35</v>
      </c>
      <c r="B9518" s="49" t="s">
        <v>36</v>
      </c>
      <c r="C9518" s="49" t="s">
        <v>38</v>
      </c>
      <c r="D9518" s="49" t="s">
        <v>43</v>
      </c>
      <c r="E9518" s="49" t="s">
        <v>44</v>
      </c>
      <c r="F9518" s="49" t="s">
        <v>45</v>
      </c>
      <c r="G9518" s="49" t="s">
        <v>40</v>
      </c>
    </row>
    <row r="9519" spans="1:13" x14ac:dyDescent="0.25">
      <c r="A9519" s="50" t="s">
        <v>319</v>
      </c>
      <c r="B9519" s="68" t="str">
        <f>VLOOKUP(A9519,'Componentes APUs'!$H$1:$L$25,2,0)</f>
        <v>Ingeniero Residente de Obra</v>
      </c>
      <c r="C9519" s="93">
        <v>0.25</v>
      </c>
      <c r="D9519" s="50">
        <f>VLOOKUP(A9519,'Componentes APUs'!$H$1:$L$25,3,0)</f>
        <v>4</v>
      </c>
      <c r="E9519" s="51">
        <f>VLOOKUP(A9519,'Componentes APUs'!$H$1:$L$25,4,0)</f>
        <v>271142.85714285716</v>
      </c>
      <c r="F9519" s="51">
        <f>VLOOKUP(A9519,'Componentes APUs'!$H$1:$L$25,5,0)</f>
        <v>162685.71428571429</v>
      </c>
      <c r="G9519" s="51">
        <f>ROUNDUP((E9519+F9519)*C9519/E9510,0)</f>
        <v>1356</v>
      </c>
      <c r="H9519" s="66"/>
    </row>
    <row r="9520" spans="1:13" x14ac:dyDescent="0.25">
      <c r="A9520" s="50" t="s">
        <v>320</v>
      </c>
      <c r="B9520" s="68" t="str">
        <f>VLOOKUP(A9520,'Componentes APUs'!$H$1:$L$25,2,0)</f>
        <v>Tecnico Supervisor</v>
      </c>
      <c r="C9520" s="93">
        <v>0</v>
      </c>
      <c r="D9520" s="50">
        <f>VLOOKUP(A9520,'Componentes APUs'!$H$1:$L$25,3,0)</f>
        <v>2.2999999999999998</v>
      </c>
      <c r="E9520" s="51">
        <f>VLOOKUP(A9520,'Componentes APUs'!$H$1:$L$25,4,0)</f>
        <v>155907.14285714284</v>
      </c>
      <c r="F9520" s="51">
        <f>VLOOKUP(A9520,'Componentes APUs'!$H$1:$L$25,5,0)</f>
        <v>93544.285714285696</v>
      </c>
      <c r="G9520" s="51">
        <f>ROUNDUP((E9520+F9520)*C9520/E9510,0)</f>
        <v>0</v>
      </c>
    </row>
    <row r="9521" spans="1:9" x14ac:dyDescent="0.25">
      <c r="A9521" s="50" t="s">
        <v>54</v>
      </c>
      <c r="B9521" s="68" t="str">
        <f>VLOOKUP(A9521,'Componentes APUs'!$H$1:$L$25,2,0)</f>
        <v>Maestro de obra civil</v>
      </c>
      <c r="C9521" s="93">
        <v>0</v>
      </c>
      <c r="D9521" s="50">
        <f>VLOOKUP(A9521,'Componentes APUs'!$H$1:$L$25,3,0)</f>
        <v>2.5</v>
      </c>
      <c r="E9521" s="51">
        <f>VLOOKUP(A9521,'Componentes APUs'!$H$1:$L$25,4,0)</f>
        <v>169464.28571428571</v>
      </c>
      <c r="F9521" s="51">
        <f>VLOOKUP(A9521,'Componentes APUs'!$H$1:$L$25,5,0)</f>
        <v>101678.57142857142</v>
      </c>
      <c r="G9521" s="51">
        <f>ROUNDUP((E9521+F9521)*C9521/E9510,0)</f>
        <v>0</v>
      </c>
    </row>
    <row r="9522" spans="1:9" x14ac:dyDescent="0.25">
      <c r="A9522" s="50" t="s">
        <v>1110</v>
      </c>
      <c r="B9522" s="68" t="str">
        <f>VLOOKUP(A9522,'Componentes APUs'!$H$1:$L$25,2,0)</f>
        <v>Oficial de Obra Civil</v>
      </c>
      <c r="C9522" s="93">
        <v>1</v>
      </c>
      <c r="D9522" s="50">
        <f>VLOOKUP(A9522,'Componentes APUs'!$H$1:$L$25,3,0)</f>
        <v>1.5</v>
      </c>
      <c r="E9522" s="51">
        <f>VLOOKUP(A9522,'Componentes APUs'!$H$1:$L$25,4,0)</f>
        <v>115964.28571428571</v>
      </c>
      <c r="F9522" s="51">
        <f>VLOOKUP(A9522,'Componentes APUs'!$H$1:$L$25,5,0)</f>
        <v>69578.57142857142</v>
      </c>
      <c r="G9522" s="51">
        <f>ROUNDUP((E9522+F9522)*C9522/E9510,0)</f>
        <v>2320</v>
      </c>
    </row>
    <row r="9523" spans="1:9" x14ac:dyDescent="0.25">
      <c r="A9523" s="50" t="s">
        <v>50</v>
      </c>
      <c r="B9523" s="68" t="str">
        <f>VLOOKUP(A9523,'Componentes APUs'!$H$1:$L$25,2,0)</f>
        <v>Profesional en SST</v>
      </c>
      <c r="C9523" s="93">
        <v>0.25</v>
      </c>
      <c r="D9523" s="50">
        <f>VLOOKUP(A9523,'Componentes APUs'!$H$1:$L$25,3,0)</f>
        <v>2.5</v>
      </c>
      <c r="E9523" s="51">
        <f>VLOOKUP(A9523,'Componentes APUs'!$H$1:$L$25,4,0)</f>
        <v>169464.28571428571</v>
      </c>
      <c r="F9523" s="51">
        <f>VLOOKUP(A9523,'Componentes APUs'!$H$1:$L$25,5,0)</f>
        <v>101678.57142857142</v>
      </c>
      <c r="G9523" s="51">
        <f>ROUNDUP((E9523+F9523)*C9523/E9510,0)</f>
        <v>848</v>
      </c>
    </row>
    <row r="9524" spans="1:9" x14ac:dyDescent="0.25">
      <c r="A9524" s="50" t="s">
        <v>1109</v>
      </c>
      <c r="B9524" s="68" t="str">
        <f>VLOOKUP(A9524,'Componentes APUs'!$H$1:$L$25,2,0)</f>
        <v>Ayudante de Obra Civil</v>
      </c>
      <c r="C9524" s="93">
        <v>10</v>
      </c>
      <c r="D9524" s="50">
        <f>VLOOKUP(A9524,'Componentes APUs'!$H$1:$L$25,3,0)</f>
        <v>1</v>
      </c>
      <c r="E9524" s="51">
        <f>VLOOKUP(A9524,'Componentes APUs'!$H$1:$L$25,4,0)</f>
        <v>77309.523809523816</v>
      </c>
      <c r="F9524" s="51">
        <f>VLOOKUP(A9524,'Componentes APUs'!$H$1:$L$25,5,0)</f>
        <v>46385.71428571429</v>
      </c>
      <c r="G9524" s="51">
        <f>ROUNDUP((E9524+F9524)*C9524/E9510,0)</f>
        <v>15462</v>
      </c>
    </row>
    <row r="9525" spans="1:9" x14ac:dyDescent="0.25">
      <c r="A9525" s="219" t="s">
        <v>56</v>
      </c>
      <c r="B9525" s="219"/>
      <c r="C9525" s="219"/>
      <c r="D9525" s="219"/>
      <c r="E9525" s="219"/>
      <c r="F9525" s="219"/>
      <c r="G9525" s="52">
        <f>SUM(G9519:G9524)</f>
        <v>19986</v>
      </c>
    </row>
    <row r="9526" spans="1:9" x14ac:dyDescent="0.25">
      <c r="A9526" s="56"/>
      <c r="B9526" s="57"/>
      <c r="C9526" s="57"/>
      <c r="D9526" s="57"/>
      <c r="E9526" s="57"/>
      <c r="F9526" s="57"/>
      <c r="G9526" s="58"/>
    </row>
    <row r="9527" spans="1:9" x14ac:dyDescent="0.25">
      <c r="A9527" s="219" t="s">
        <v>57</v>
      </c>
      <c r="B9527" s="219"/>
      <c r="C9527" s="219"/>
      <c r="D9527" s="219"/>
      <c r="E9527" s="219"/>
      <c r="F9527" s="219"/>
      <c r="G9527" s="219"/>
    </row>
    <row r="9528" spans="1:9" x14ac:dyDescent="0.25">
      <c r="A9528" s="49" t="s">
        <v>35</v>
      </c>
      <c r="B9528" s="219" t="s">
        <v>36</v>
      </c>
      <c r="C9528" s="219"/>
      <c r="D9528" s="49" t="s">
        <v>37</v>
      </c>
      <c r="E9528" s="49" t="s">
        <v>38</v>
      </c>
      <c r="F9528" s="49" t="s">
        <v>39</v>
      </c>
      <c r="G9528" s="49" t="s">
        <v>40</v>
      </c>
    </row>
    <row r="9529" spans="1:9" x14ac:dyDescent="0.25">
      <c r="A9529" s="50" t="s">
        <v>326</v>
      </c>
      <c r="B9529" s="220" t="str">
        <f>VLOOKUP(A9529,'Componentes APUs'!$S$1:$V$10,2,0)</f>
        <v>Juego Llaves</v>
      </c>
      <c r="C9529" s="220"/>
      <c r="D9529" s="50" t="s">
        <v>18</v>
      </c>
      <c r="E9529" s="50">
        <v>0</v>
      </c>
      <c r="F9529" s="51">
        <f>VLOOKUP(A9529,'Componentes APUs'!$S$1:$V$10,4,0)</f>
        <v>9167</v>
      </c>
      <c r="G9529" s="51">
        <f>ROUNDUP(F9529*((E9529/21)/E9510),0)</f>
        <v>0</v>
      </c>
      <c r="I9529" s="91"/>
    </row>
    <row r="9530" spans="1:9" x14ac:dyDescent="0.25">
      <c r="A9530" s="50" t="s">
        <v>58</v>
      </c>
      <c r="B9530" s="220" t="str">
        <f>VLOOKUP(A9530,'Componentes APUs'!$S$1:$V$10,2,0)</f>
        <v>Manila de servicio</v>
      </c>
      <c r="C9530" s="220"/>
      <c r="D9530" s="50" t="s">
        <v>18</v>
      </c>
      <c r="E9530" s="50">
        <v>0</v>
      </c>
      <c r="F9530" s="51">
        <f>VLOOKUP(A9530,'Componentes APUs'!$S$1:$V$10,4,0)</f>
        <v>2333</v>
      </c>
      <c r="G9530" s="51">
        <f>ROUNDUP(F9530*((E9530/21)/E9510),0)</f>
        <v>0</v>
      </c>
    </row>
    <row r="9531" spans="1:9" x14ac:dyDescent="0.25">
      <c r="A9531" s="50" t="s">
        <v>327</v>
      </c>
      <c r="B9531" s="220" t="str">
        <f>VLOOKUP(A9531,'Componentes APUs'!$S$1:$V$10,2,0)</f>
        <v>Tula portaherramientas</v>
      </c>
      <c r="C9531" s="220"/>
      <c r="D9531" s="50" t="s">
        <v>18</v>
      </c>
      <c r="E9531" s="50">
        <v>0</v>
      </c>
      <c r="F9531" s="51">
        <f>VLOOKUP(A9531,'Componentes APUs'!$S$1:$V$10,4,0)</f>
        <v>1250</v>
      </c>
      <c r="G9531" s="51">
        <f>ROUNDUP(F9531*((E9531/21)/E9510),0)</f>
        <v>0</v>
      </c>
    </row>
    <row r="9532" spans="1:9" x14ac:dyDescent="0.25">
      <c r="A9532" s="50" t="s">
        <v>60</v>
      </c>
      <c r="B9532" s="220" t="str">
        <f>VLOOKUP(A9532,'Componentes APUs'!$S$1:$V$10,2,0)</f>
        <v>Agarradoras</v>
      </c>
      <c r="C9532" s="220"/>
      <c r="D9532" s="50" t="s">
        <v>18</v>
      </c>
      <c r="E9532" s="50">
        <v>0</v>
      </c>
      <c r="F9532" s="51">
        <f>VLOOKUP(A9532,'Componentes APUs'!$S$1:$V$10,4,0)</f>
        <v>125000</v>
      </c>
      <c r="G9532" s="51">
        <f>ROUNDUP(F9532*((E9532/21)/E9510),0)</f>
        <v>0</v>
      </c>
    </row>
    <row r="9533" spans="1:9" x14ac:dyDescent="0.25">
      <c r="A9533" s="50" t="s">
        <v>62</v>
      </c>
      <c r="B9533" s="220" t="str">
        <f>VLOOKUP(A9533,'Componentes APUs'!$S$1:$V$10,2,0)</f>
        <v>Templadoras</v>
      </c>
      <c r="C9533" s="220"/>
      <c r="D9533" s="50" t="s">
        <v>18</v>
      </c>
      <c r="E9533" s="50">
        <v>0</v>
      </c>
      <c r="F9533" s="51">
        <f>VLOOKUP(A9533,'Componentes APUs'!$S$1:$V$10,4,0)</f>
        <v>250000</v>
      </c>
      <c r="G9533" s="51">
        <f>ROUNDUP(F9533*((E9533/21)/E9510),0)</f>
        <v>0</v>
      </c>
    </row>
    <row r="9534" spans="1:9" x14ac:dyDescent="0.25">
      <c r="A9534" s="50" t="s">
        <v>328</v>
      </c>
      <c r="B9534" s="220" t="str">
        <f>VLOOKUP(A9534,'Componentes APUs'!$S$1:$V$10,2,0)</f>
        <v>Herramienta Menor</v>
      </c>
      <c r="C9534" s="220"/>
      <c r="D9534" s="50" t="s">
        <v>18</v>
      </c>
      <c r="E9534" s="50">
        <v>3</v>
      </c>
      <c r="F9534" s="51">
        <f>VLOOKUP(A9534,'Componentes APUs'!$S$1:$V$10,4,0)</f>
        <v>75758</v>
      </c>
      <c r="G9534" s="51">
        <f>ROUNDUP(F9534*((E9534/21)/E9510),0)</f>
        <v>136</v>
      </c>
    </row>
    <row r="9535" spans="1:9" x14ac:dyDescent="0.25">
      <c r="A9535" s="219" t="s">
        <v>69</v>
      </c>
      <c r="B9535" s="219"/>
      <c r="C9535" s="219"/>
      <c r="D9535" s="219"/>
      <c r="E9535" s="219"/>
      <c r="F9535" s="219"/>
      <c r="G9535" s="52">
        <f>SUM(G9529:G9534)</f>
        <v>136</v>
      </c>
    </row>
    <row r="9536" spans="1:9" x14ac:dyDescent="0.25">
      <c r="A9536" s="56"/>
      <c r="B9536" s="57"/>
      <c r="C9536" s="57"/>
      <c r="D9536" s="57"/>
      <c r="E9536" s="57"/>
      <c r="F9536" s="57"/>
      <c r="G9536" s="58"/>
    </row>
    <row r="9537" spans="1:9" x14ac:dyDescent="0.25">
      <c r="A9537" s="219" t="s">
        <v>70</v>
      </c>
      <c r="B9537" s="219"/>
      <c r="C9537" s="219"/>
      <c r="D9537" s="219"/>
      <c r="E9537" s="219"/>
      <c r="F9537" s="219"/>
      <c r="G9537" s="219"/>
    </row>
    <row r="9538" spans="1:9" x14ac:dyDescent="0.25">
      <c r="A9538" s="49" t="s">
        <v>35</v>
      </c>
      <c r="B9538" s="219" t="s">
        <v>36</v>
      </c>
      <c r="C9538" s="219"/>
      <c r="D9538" s="49" t="s">
        <v>37</v>
      </c>
      <c r="E9538" s="49" t="s">
        <v>38</v>
      </c>
      <c r="F9538" s="49" t="s">
        <v>39</v>
      </c>
      <c r="G9538" s="49" t="s">
        <v>40</v>
      </c>
    </row>
    <row r="9539" spans="1:9" x14ac:dyDescent="0.25">
      <c r="A9539" s="50" t="s">
        <v>71</v>
      </c>
      <c r="B9539" s="71" t="str">
        <f>VLOOKUP(A9539,'Componentes APUs'!$A$1:$D$14,2,0)</f>
        <v>Camisa indigo sin partes metalicas</v>
      </c>
      <c r="C9539" s="71"/>
      <c r="D9539" s="50" t="str">
        <f>VLOOKUP(A9539,'Componentes APUs'!$A$1:$D$14,3,0)</f>
        <v>U</v>
      </c>
      <c r="E9539" s="50">
        <f>SUM(C9519:C9524)</f>
        <v>11.5</v>
      </c>
      <c r="F9539" s="51">
        <f>VLOOKUP(A9539,'Componentes APUs'!$A$1:$D$14,4,0)</f>
        <v>8585.8585858585866</v>
      </c>
      <c r="G9539" s="51">
        <f>ROUNDUP(F9539*(E9539/21)/E9510,0)</f>
        <v>59</v>
      </c>
      <c r="I9539" s="91"/>
    </row>
    <row r="9540" spans="1:9" x14ac:dyDescent="0.25">
      <c r="A9540" s="69" t="s">
        <v>73</v>
      </c>
      <c r="B9540" s="72" t="str">
        <f>VLOOKUP(A9540,'Componentes APUs'!$A$1:$D$14,2,0)</f>
        <v>Bota de seguridad dielectrica</v>
      </c>
      <c r="C9540" s="73"/>
      <c r="D9540" s="70" t="str">
        <f>VLOOKUP(A9540,'Componentes APUs'!$A$1:$D$14,3,0)</f>
        <v>Par</v>
      </c>
      <c r="E9540" s="50">
        <f>SUM(C9519:C9524)</f>
        <v>11.5</v>
      </c>
      <c r="F9540" s="51">
        <f>VLOOKUP(A9540,'Componentes APUs'!$A$1:$D$14,4,0)</f>
        <v>7500</v>
      </c>
      <c r="G9540" s="51">
        <f>ROUNDUP(F9540*(E9540/21)/E9510,0)</f>
        <v>52</v>
      </c>
    </row>
    <row r="9541" spans="1:9" x14ac:dyDescent="0.25">
      <c r="A9541" s="50" t="s">
        <v>76</v>
      </c>
      <c r="B9541" s="72" t="str">
        <f>VLOOKUP(A9541,'Componentes APUs'!$A$1:$D$14,2,0)</f>
        <v>Casco dielectrico Tipo 1 Clase E con barbuquejo</v>
      </c>
      <c r="C9541" s="73"/>
      <c r="D9541" s="50" t="str">
        <f>VLOOKUP(A9541,'Componentes APUs'!$A$1:$D$14,3,0)</f>
        <v>U</v>
      </c>
      <c r="E9541" s="50">
        <f>C9519+C9520+C9522+C9523+C9524+IF(A9521&lt;&gt;"MO-3",C9521,0)</f>
        <v>11.5</v>
      </c>
      <c r="F9541" s="51">
        <f>VLOOKUP(A9541,'Componentes APUs'!$A$1:$D$14,4,0)</f>
        <v>10101.010101010101</v>
      </c>
      <c r="G9541" s="51">
        <f>ROUNDUP(F9541*(E9541/21)/E9510,0)</f>
        <v>70</v>
      </c>
    </row>
    <row r="9542" spans="1:9" x14ac:dyDescent="0.25">
      <c r="A9542" s="69" t="s">
        <v>77</v>
      </c>
      <c r="B9542" s="72" t="str">
        <f>VLOOKUP(A9542,'Componentes APUs'!$A$1:$D$14,2,0)</f>
        <v>Correa plastica y antiflama</v>
      </c>
      <c r="C9542" s="73"/>
      <c r="D9542" s="50" t="str">
        <f>VLOOKUP(A9542,'Componentes APUs'!$A$1:$D$14,3,0)</f>
        <v>U</v>
      </c>
      <c r="E9542" s="50">
        <f>SUM(C9519:C9524)</f>
        <v>11.5</v>
      </c>
      <c r="F9542" s="51">
        <f>VLOOKUP(A9542,'Componentes APUs'!$A$1:$D$14,4,0)</f>
        <v>3787.878787878788</v>
      </c>
      <c r="G9542" s="51">
        <f>ROUNDUP(F9542*(E9542/21)/E9510,0)</f>
        <v>26</v>
      </c>
    </row>
    <row r="9543" spans="1:9" x14ac:dyDescent="0.25">
      <c r="A9543" s="50" t="s">
        <v>79</v>
      </c>
      <c r="B9543" s="72" t="str">
        <f>VLOOKUP(A9543,'Componentes APUs'!$A$1:$D$14,2,0)</f>
        <v>Gafas protectoras filtro UV</v>
      </c>
      <c r="C9543" s="73"/>
      <c r="D9543" s="50" t="str">
        <f>VLOOKUP(A9543,'Componentes APUs'!$A$1:$D$14,3,0)</f>
        <v>U</v>
      </c>
      <c r="E9543" s="50">
        <f>SUM(C9519:C9524)</f>
        <v>11.5</v>
      </c>
      <c r="F9543" s="51">
        <f>VLOOKUP(A9543,'Componentes APUs'!$A$1:$D$14,4,0)</f>
        <v>2777.7777777777778</v>
      </c>
      <c r="G9543" s="51">
        <f>ROUNDUP(F9543*(E9543/21)/E9510,0)</f>
        <v>20</v>
      </c>
    </row>
    <row r="9544" spans="1:9" x14ac:dyDescent="0.25">
      <c r="A9544" s="69" t="s">
        <v>402</v>
      </c>
      <c r="B9544" s="72" t="str">
        <f>VLOOKUP(A9544,'Componentes APUs'!$A$1:$D$14,2,0)</f>
        <v>Bota de seguridad PVC dielectrica</v>
      </c>
      <c r="C9544" s="73"/>
      <c r="D9544" s="50" t="str">
        <f>VLOOKUP(A9544,'Componentes APUs'!$A$1:$D$14,3,0)</f>
        <v>Par</v>
      </c>
      <c r="E9544" s="50">
        <f>SUM(C9519:C9524)</f>
        <v>11.5</v>
      </c>
      <c r="F9544" s="51">
        <f>VLOOKUP(A9544,'Componentes APUs'!$A$1:$D$14,4,0)</f>
        <v>2916.6666666666665</v>
      </c>
      <c r="G9544" s="51">
        <f>ROUNDUP(F9544*(E9544/21)/E9510,0)</f>
        <v>20</v>
      </c>
    </row>
    <row r="9545" spans="1:9" x14ac:dyDescent="0.25">
      <c r="A9545" s="50" t="s">
        <v>403</v>
      </c>
      <c r="B9545" s="72" t="str">
        <f>VLOOKUP(A9545,'Componentes APUs'!$A$1:$D$14,2,0)</f>
        <v>Capuchon</v>
      </c>
      <c r="C9545" s="73"/>
      <c r="D9545" s="50" t="str">
        <f>VLOOKUP(A9545,'Componentes APUs'!$A$1:$D$14,3,0)</f>
        <v>U</v>
      </c>
      <c r="E9545" s="50">
        <f>SUM(C9519:C9524)</f>
        <v>11.5</v>
      </c>
      <c r="F9545" s="51">
        <f>VLOOKUP(A9545,'Componentes APUs'!$A$1:$D$14,4,0)</f>
        <v>2525.2525252525252</v>
      </c>
      <c r="G9545" s="51">
        <f>ROUNDUP(F9545*(E9545/21)/E9510,0)</f>
        <v>18</v>
      </c>
    </row>
    <row r="9546" spans="1:9" x14ac:dyDescent="0.25">
      <c r="A9546" s="69" t="s">
        <v>81</v>
      </c>
      <c r="B9546" s="72" t="str">
        <f>VLOOKUP(A9546,'Componentes APUs'!$A$1:$D$14,2,0)</f>
        <v>Guantes Protectores  - ingeniero reforzados</v>
      </c>
      <c r="C9546" s="73"/>
      <c r="D9546" s="50" t="str">
        <f>VLOOKUP(A9546,'Componentes APUs'!$A$1:$D$14,3,0)</f>
        <v>Par</v>
      </c>
      <c r="E9546" s="50">
        <f>C9521+C9522+C9524</f>
        <v>11</v>
      </c>
      <c r="F9546" s="51">
        <f>VLOOKUP(A9546,'Componentes APUs'!$A$1:$D$14,4,0)</f>
        <v>2525.2525252525252</v>
      </c>
      <c r="G9546" s="51">
        <f>ROUNDUP(F9546*(E9546/21)/E9510,0)</f>
        <v>17</v>
      </c>
    </row>
    <row r="9547" spans="1:9" x14ac:dyDescent="0.25">
      <c r="A9547" s="50" t="s">
        <v>83</v>
      </c>
      <c r="B9547" s="72" t="str">
        <f>VLOOKUP(A9547,'Componentes APUs'!$A$1:$D$14,2,0)</f>
        <v>Impermeable (pantalon camisa)</v>
      </c>
      <c r="C9547" s="73"/>
      <c r="D9547" s="50" t="str">
        <f>VLOOKUP(A9547,'Componentes APUs'!$A$1:$D$14,3,0)</f>
        <v>U</v>
      </c>
      <c r="E9547" s="50">
        <f>SUM(C9519:C9524)</f>
        <v>11.5</v>
      </c>
      <c r="F9547" s="51">
        <f>VLOOKUP(A9547,'Componentes APUs'!$A$1:$D$14,4,0)</f>
        <v>3750</v>
      </c>
      <c r="G9547" s="51">
        <f>ROUNDUP(F9547*(E9547/21)/E9510,0)</f>
        <v>26</v>
      </c>
    </row>
    <row r="9548" spans="1:9" x14ac:dyDescent="0.25">
      <c r="A9548" s="69" t="s">
        <v>85</v>
      </c>
      <c r="B9548" s="72" t="str">
        <f>VLOOKUP(A9548,'Componentes APUs'!$A$1:$D$14,2,0)</f>
        <v>Jean Dielectrico</v>
      </c>
      <c r="C9548" s="73"/>
      <c r="D9548" s="50" t="str">
        <f>VLOOKUP(A9548,'Componentes APUs'!$A$1:$D$14,3,0)</f>
        <v>U</v>
      </c>
      <c r="E9548" s="50">
        <f>SUM(C9519:C9524)</f>
        <v>11.5</v>
      </c>
      <c r="F9548" s="51">
        <f>VLOOKUP(A9548,'Componentes APUs'!$A$1:$D$14,4,0)</f>
        <v>7575.757575757576</v>
      </c>
      <c r="G9548" s="51">
        <f>ROUNDUP(F9548*(E9548/21)/E9510,0)</f>
        <v>52</v>
      </c>
    </row>
    <row r="9549" spans="1:9" x14ac:dyDescent="0.25">
      <c r="A9549" s="50" t="s">
        <v>87</v>
      </c>
      <c r="B9549" s="72" t="str">
        <f>VLOOKUP(A9549,'Componentes APUs'!$A$1:$D$14,2,0)</f>
        <v>Casco dielectrico Tipo 2 Clase E con barboquejo</v>
      </c>
      <c r="C9549" s="73"/>
      <c r="D9549" s="50" t="str">
        <f>VLOOKUP(A9549,'Componentes APUs'!$A$1:$D$14,3,0)</f>
        <v>U</v>
      </c>
      <c r="E9549" s="53">
        <f>IF(A9521="MO-3",C9521,0)</f>
        <v>0</v>
      </c>
      <c r="F9549" s="51">
        <f>VLOOKUP(A9549,'Componentes APUs'!$A$1:$D$14,4,0)</f>
        <v>7500</v>
      </c>
      <c r="G9549" s="51">
        <f>ROUNDUP(F9549*(E9549/21)/E9510,0)</f>
        <v>0</v>
      </c>
    </row>
    <row r="9550" spans="1:9" x14ac:dyDescent="0.25">
      <c r="A9550" s="69" t="s">
        <v>89</v>
      </c>
      <c r="B9550" s="72" t="str">
        <f>VLOOKUP(A9550,'Componentes APUs'!$A$1:$D$14,2,0)</f>
        <v>Kit de rescate para trabajo en alturas</v>
      </c>
      <c r="C9550" s="73"/>
      <c r="D9550" s="50" t="str">
        <f>VLOOKUP(A9550,'Componentes APUs'!$A$1:$D$14,3,0)</f>
        <v>U</v>
      </c>
      <c r="E9550" s="50">
        <f>IF(AND(A9521="MO-3",C9521=2),1,0)</f>
        <v>0</v>
      </c>
      <c r="F9550" s="51">
        <f>VLOOKUP(A9550,'Componentes APUs'!$A$1:$D$14,4,0)</f>
        <v>37500</v>
      </c>
      <c r="G9550" s="51">
        <f>ROUNDUP(F9550*(E9550/21)/E9510,0)</f>
        <v>0</v>
      </c>
    </row>
    <row r="9551" spans="1:9" x14ac:dyDescent="0.25">
      <c r="A9551" s="50" t="s">
        <v>91</v>
      </c>
      <c r="B9551" s="72" t="str">
        <f>VLOOKUP(A9551,'Componentes APUs'!$A$1:$D$14,2,0)</f>
        <v>Equipo completo para trabajo en alturas con pretales (Arnes dielectrico, 1 mosqueton de seguridad, tie off dielectrico, eslinga de posicionamiento, juego de pretales)</v>
      </c>
      <c r="C9551" s="73"/>
      <c r="D9551" s="50" t="str">
        <f>VLOOKUP(A9551,'Componentes APUs'!$A$1:$D$14,3,0)</f>
        <v>U</v>
      </c>
      <c r="E9551" s="50">
        <f>IF(A9521="MO-3",C9521,0)</f>
        <v>0</v>
      </c>
      <c r="F9551" s="51">
        <f>VLOOKUP(A9551,'Componentes APUs'!$A$1:$D$14,4,0)</f>
        <v>26041.666666666668</v>
      </c>
      <c r="G9551" s="51">
        <f>ROUNDUP(F9551*(E9551/21)/E9510,0)</f>
        <v>0</v>
      </c>
    </row>
    <row r="9552" spans="1:9" x14ac:dyDescent="0.25">
      <c r="A9552" s="219" t="s">
        <v>95</v>
      </c>
      <c r="B9552" s="219"/>
      <c r="C9552" s="219"/>
      <c r="D9552" s="219"/>
      <c r="E9552" s="219"/>
      <c r="F9552" s="219"/>
      <c r="G9552" s="52">
        <f>SUM(G9539:G9551)</f>
        <v>360</v>
      </c>
    </row>
    <row r="9553" spans="1:7" x14ac:dyDescent="0.25">
      <c r="A9553" s="56"/>
      <c r="B9553" s="57"/>
      <c r="C9553" s="57"/>
      <c r="D9553" s="57"/>
      <c r="E9553" s="57"/>
      <c r="F9553" s="57"/>
      <c r="G9553" s="58"/>
    </row>
    <row r="9554" spans="1:7" x14ac:dyDescent="0.25">
      <c r="A9554" s="219" t="s">
        <v>96</v>
      </c>
      <c r="B9554" s="219"/>
      <c r="C9554" s="219"/>
      <c r="D9554" s="219"/>
      <c r="E9554" s="219"/>
      <c r="F9554" s="219"/>
      <c r="G9554" s="219"/>
    </row>
    <row r="9555" spans="1:7" x14ac:dyDescent="0.25">
      <c r="A9555" s="49" t="s">
        <v>35</v>
      </c>
      <c r="B9555" s="225" t="s">
        <v>36</v>
      </c>
      <c r="C9555" s="225"/>
      <c r="D9555" s="49" t="s">
        <v>37</v>
      </c>
      <c r="E9555" s="49" t="s">
        <v>38</v>
      </c>
      <c r="F9555" s="49" t="s">
        <v>39</v>
      </c>
      <c r="G9555" s="49" t="s">
        <v>40</v>
      </c>
    </row>
    <row r="9556" spans="1:7" x14ac:dyDescent="0.25">
      <c r="A9556" s="69" t="s">
        <v>97</v>
      </c>
      <c r="B9556" s="72" t="str">
        <f>VLOOKUP(A9556,'Componentes APUs'!$N$1:$Q$30,2,0)</f>
        <v>Camioneta</v>
      </c>
      <c r="C9556" s="73"/>
      <c r="D9556" s="70" t="str">
        <f>VLOOKUP(A9556,'Componentes APUs'!$N$1:$Q$30,3,0)</f>
        <v>U</v>
      </c>
      <c r="E9556" s="50">
        <v>1</v>
      </c>
      <c r="F9556" s="51">
        <f>VLOOKUP(A9556,'Componentes APUs'!$N$1:$Q$30,4,0)</f>
        <v>5500000</v>
      </c>
      <c r="G9556" s="51">
        <f>IFERROR(ROUNDUP(F9556*(E9556/21)/E9510,0),"-")</f>
        <v>3274</v>
      </c>
    </row>
    <row r="9557" spans="1:7" x14ac:dyDescent="0.25">
      <c r="A9557" s="50" t="s">
        <v>1473</v>
      </c>
      <c r="B9557" s="72" t="str">
        <f>VLOOKUP(A9557,'Componentes APUs'!$N$1:$Q$30,2,0)</f>
        <v>Concretera</v>
      </c>
      <c r="C9557" s="73"/>
      <c r="D9557" s="70" t="str">
        <f>VLOOKUP(A9557,'Componentes APUs'!$N$1:$Q$30,3,0)</f>
        <v>U</v>
      </c>
      <c r="E9557" s="50">
        <v>0</v>
      </c>
      <c r="F9557" s="51">
        <f>VLOOKUP(A9557,'Componentes APUs'!$N$1:$Q$30,4,0)</f>
        <v>550704</v>
      </c>
      <c r="G9557" s="51">
        <f>IFERROR(ROUNDUP(F9557*(E9557/21)/E9510,0),"-")</f>
        <v>0</v>
      </c>
    </row>
    <row r="9558" spans="1:7" x14ac:dyDescent="0.25">
      <c r="A9558" s="69" t="s">
        <v>1379</v>
      </c>
      <c r="B9558" s="72" t="str">
        <f>VLOOKUP(A9558,'Componentes APUs'!$N$1:$Q$30,2,0)</f>
        <v>Dumper de descarga Frontal 2T</v>
      </c>
      <c r="C9558" s="73"/>
      <c r="D9558" s="70" t="str">
        <f>VLOOKUP(A9558,'Componentes APUs'!$N$1:$Q$30,3,0)</f>
        <v>U</v>
      </c>
      <c r="E9558" s="50">
        <v>0</v>
      </c>
      <c r="F9558" s="51">
        <f>VLOOKUP(A9558,'Componentes APUs'!$N$1:$Q$30,4,0)</f>
        <v>4438716.24</v>
      </c>
      <c r="G9558" s="51">
        <f>IFERROR(ROUNDUP(F9558*(E9558/21)/E9510,0),"-")</f>
        <v>0</v>
      </c>
    </row>
    <row r="9559" spans="1:7" x14ac:dyDescent="0.25">
      <c r="A9559" s="50" t="s">
        <v>323</v>
      </c>
      <c r="B9559" s="72" t="str">
        <f>VLOOKUP(A9559,'Componentes APUs'!$N$1:$Q$30,2,0)</f>
        <v>Volqueta</v>
      </c>
      <c r="C9559" s="73"/>
      <c r="D9559" s="70" t="str">
        <f>VLOOKUP(A9559,'Componentes APUs'!$N$1:$Q$30,3,0)</f>
        <v>U</v>
      </c>
      <c r="E9559" s="50">
        <v>1</v>
      </c>
      <c r="F9559" s="51">
        <f>VLOOKUP(A9559,'Componentes APUs'!$N$1:$Q$30,4,0)</f>
        <v>14828184</v>
      </c>
      <c r="G9559" s="51">
        <f>IFERROR(ROUNDUP(F9559*(E9559/21)/E9510,0),"-")</f>
        <v>8827</v>
      </c>
    </row>
    <row r="9560" spans="1:7" x14ac:dyDescent="0.25">
      <c r="A9560" s="69" t="s">
        <v>324</v>
      </c>
      <c r="B9560" s="72" t="str">
        <f>VLOOKUP(A9560,'Componentes APUs'!$N$1:$Q$30,2,0)</f>
        <v>Retroexcavadora</v>
      </c>
      <c r="C9560" s="73"/>
      <c r="D9560" s="70" t="str">
        <f>VLOOKUP(A9560,'Componentes APUs'!$N$1:$Q$30,3,0)</f>
        <v>U</v>
      </c>
      <c r="E9560" s="50">
        <v>0</v>
      </c>
      <c r="F9560" s="51">
        <f>VLOOKUP(A9560,'Componentes APUs'!$N$1:$Q$30,4,0)</f>
        <v>46030656</v>
      </c>
      <c r="G9560" s="51">
        <f>IFERROR(ROUNDUP(F9560*(E9560/21)/E9510,0),"-")</f>
        <v>0</v>
      </c>
    </row>
    <row r="9561" spans="1:7" x14ac:dyDescent="0.25">
      <c r="A9561" s="69" t="s">
        <v>1569</v>
      </c>
      <c r="B9561" s="72" t="str">
        <f>VLOOKUP(A9561,'Componentes APUs'!$N$1:$Q$30,2,0)</f>
        <v>Extendedora Asfáltica De Cadenas 110 Cv</v>
      </c>
      <c r="C9561" s="73"/>
      <c r="D9561" s="70" t="str">
        <f>VLOOKUP(A9561,'Componentes APUs'!$N$1:$Q$30,3,0)</f>
        <v>U</v>
      </c>
      <c r="E9561" s="50">
        <v>1</v>
      </c>
      <c r="F9561" s="51">
        <f>VLOOKUP(A9561,'Componentes APUs'!$N$1:$Q$30,4,0)</f>
        <v>23739576</v>
      </c>
      <c r="G9561" s="51">
        <f>IFERROR(ROUNDUP(F9561*(E9561/21)/E9510,0),"-")</f>
        <v>14131</v>
      </c>
    </row>
    <row r="9562" spans="1:7" x14ac:dyDescent="0.25">
      <c r="A9562" s="69" t="s">
        <v>2200</v>
      </c>
      <c r="B9562" s="72" t="str">
        <f>VLOOKUP(A9562,'Componentes APUs'!$N$1:$Q$30,2,0)</f>
        <v>Compactador de rodillo potencia: 99 hp, peso: 8 toneladas</v>
      </c>
      <c r="C9562" s="73"/>
      <c r="D9562" s="70" t="str">
        <f>VLOOKUP(A9562,'Componentes APUs'!$N$1:$Q$30,3,0)</f>
        <v>U</v>
      </c>
      <c r="E9562" s="50">
        <v>1</v>
      </c>
      <c r="F9562" s="51">
        <f>VLOOKUP(A9562,'Componentes APUs'!$N$1:$Q$30,4,0)</f>
        <v>41673614.457831383</v>
      </c>
      <c r="G9562" s="51">
        <f>IFERROR(ROUNDUP(F9562*(E9562/21)/E9510,0),"-")</f>
        <v>24806</v>
      </c>
    </row>
    <row r="9563" spans="1:7" x14ac:dyDescent="0.25">
      <c r="A9563" s="69" t="s">
        <v>1571</v>
      </c>
      <c r="B9563" s="72" t="str">
        <f>VLOOKUP(A9563,'Componentes APUs'!$N$1:$Q$30,2,0)</f>
        <v>Compactador De Neumáticos Autopropulsado, De 12/22 T</v>
      </c>
      <c r="C9563" s="73"/>
      <c r="D9563" s="70" t="str">
        <f>VLOOKUP(A9563,'Componentes APUs'!$N$1:$Q$30,3,0)</f>
        <v>U</v>
      </c>
      <c r="E9563" s="50">
        <v>2</v>
      </c>
      <c r="F9563" s="51">
        <f>VLOOKUP(A9563,'Componentes APUs'!$N$1:$Q$30,4,0)</f>
        <v>17197488</v>
      </c>
      <c r="G9563" s="51">
        <f>IFERROR(ROUNDUP(F9563*(E9563/21)/E9510,0),"-")</f>
        <v>20474</v>
      </c>
    </row>
    <row r="9564" spans="1:7" x14ac:dyDescent="0.25">
      <c r="A9564" s="69" t="s">
        <v>2196</v>
      </c>
      <c r="B9564" s="72" t="str">
        <f>VLOOKUP(A9564,'Componentes APUs'!$N$1:$Q$30,2,0)</f>
        <v>Planta de asfalto en caliente continua de 120 toneladas de capacidad</v>
      </c>
      <c r="C9564" s="73"/>
      <c r="D9564" s="70" t="str">
        <f>VLOOKUP(A9564,'Componentes APUs'!$N$1:$Q$30,3,0)</f>
        <v>U</v>
      </c>
      <c r="E9564" s="50">
        <v>1</v>
      </c>
      <c r="F9564" s="51">
        <f>VLOOKUP(A9564,'Componentes APUs'!$N$1:$Q$30,4,0)</f>
        <v>113525836.94461364</v>
      </c>
      <c r="G9564" s="51">
        <f>IFERROR(ROUNDUP(F9564*(E9564/21)/E9510,0),"-")</f>
        <v>67575</v>
      </c>
    </row>
    <row r="9565" spans="1:7" x14ac:dyDescent="0.25">
      <c r="A9565" s="69" t="s">
        <v>2198</v>
      </c>
      <c r="B9565" s="72" t="str">
        <f>VLOOKUP(A9565,'Componentes APUs'!$N$1:$Q$30,2,0)</f>
        <v>Cargador: potencia en el volante 125 hp, clasificación de rpm del motor 2300</v>
      </c>
      <c r="C9565" s="73"/>
      <c r="D9565" s="70" t="str">
        <f>VLOOKUP(A9565,'Componentes APUs'!$N$1:$Q$30,3,0)</f>
        <v>U</v>
      </c>
      <c r="E9565" s="50">
        <v>1</v>
      </c>
      <c r="F9565" s="51">
        <f>VLOOKUP(A9565,'Componentes APUs'!$N$1:$Q$30,4,0)</f>
        <v>43132190.963855445</v>
      </c>
      <c r="G9565" s="51">
        <f>IFERROR(ROUNDUP(F9565*(E9565/21)/E9510,0),"-")</f>
        <v>25674</v>
      </c>
    </row>
    <row r="9566" spans="1:7" x14ac:dyDescent="0.25">
      <c r="A9566" s="69" t="s">
        <v>2202</v>
      </c>
      <c r="B9566" s="72" t="str">
        <f>VLOOKUP(A9566,'Componentes APUs'!$N$1:$Q$30,2,0)</f>
        <v>Terminadora de asfalto (Finisher), potencia en el volante 174 HP, R=20M3/H, velocidad de desplazamiento 114 m/min</v>
      </c>
      <c r="C9566" s="73"/>
      <c r="D9566" s="70" t="str">
        <f>VLOOKUP(A9566,'Componentes APUs'!$N$1:$Q$30,3,0)</f>
        <v>U</v>
      </c>
      <c r="E9566" s="50">
        <v>1</v>
      </c>
      <c r="F9566" s="51">
        <f>VLOOKUP(A9566,'Componentes APUs'!$N$1:$Q$30,4,0)</f>
        <v>33165351.979282994</v>
      </c>
      <c r="G9566" s="51">
        <f>IFERROR(ROUNDUP(F9566*(E9566/21)/E9510,0),"-")</f>
        <v>19742</v>
      </c>
    </row>
    <row r="9567" spans="1:7" x14ac:dyDescent="0.25">
      <c r="A9567" s="219" t="s">
        <v>99</v>
      </c>
      <c r="B9567" s="219"/>
      <c r="C9567" s="219"/>
      <c r="D9567" s="219"/>
      <c r="E9567" s="219"/>
      <c r="F9567" s="219"/>
      <c r="G9567" s="52">
        <f>SUM(G9556:G9565)</f>
        <v>164761</v>
      </c>
    </row>
    <row r="9568" spans="1:7" x14ac:dyDescent="0.25">
      <c r="A9568" s="56"/>
      <c r="B9568" s="57"/>
      <c r="C9568" s="57"/>
      <c r="D9568" s="57"/>
      <c r="E9568" s="57"/>
      <c r="F9568" s="57"/>
      <c r="G9568" s="58"/>
    </row>
    <row r="9569" spans="1:7" x14ac:dyDescent="0.25">
      <c r="A9569" s="219" t="s">
        <v>100</v>
      </c>
      <c r="B9569" s="219"/>
      <c r="C9569" s="219"/>
      <c r="D9569" s="219"/>
      <c r="E9569" s="219"/>
      <c r="F9569" s="219"/>
      <c r="G9569" s="52">
        <f>G9567+G9552+G9535+G9525+G9515</f>
        <v>188665</v>
      </c>
    </row>
    <row r="9570" spans="1:7" x14ac:dyDescent="0.25">
      <c r="A9570" s="59"/>
      <c r="B9570" s="60"/>
      <c r="C9570" s="60"/>
      <c r="D9570" s="60"/>
      <c r="E9570" s="57"/>
      <c r="F9570" s="57"/>
      <c r="G9570" s="58"/>
    </row>
    <row r="9571" spans="1:7" x14ac:dyDescent="0.25">
      <c r="A9571" s="64"/>
      <c r="D9571" s="55"/>
      <c r="E9571" s="49" t="s">
        <v>25</v>
      </c>
      <c r="F9571" s="54">
        <v>0.15</v>
      </c>
      <c r="G9571" s="51">
        <f>G9569*F9571</f>
        <v>28299.75</v>
      </c>
    </row>
    <row r="9572" spans="1:7" x14ac:dyDescent="0.25">
      <c r="A9572" s="64"/>
      <c r="D9572" s="55"/>
      <c r="E9572" s="49" t="s">
        <v>26</v>
      </c>
      <c r="F9572" s="54">
        <v>0.05</v>
      </c>
      <c r="G9572" s="51">
        <f>G9569*F9572</f>
        <v>9433.25</v>
      </c>
    </row>
    <row r="9573" spans="1:7" x14ac:dyDescent="0.25">
      <c r="A9573" s="61"/>
      <c r="B9573" s="65"/>
      <c r="C9573" s="65"/>
      <c r="D9573" s="62"/>
      <c r="E9573" s="49" t="s">
        <v>27</v>
      </c>
      <c r="F9573" s="54">
        <v>0.05</v>
      </c>
      <c r="G9573" s="51">
        <f>G9569*F9573</f>
        <v>9433.25</v>
      </c>
    </row>
    <row r="9574" spans="1:7" x14ac:dyDescent="0.25">
      <c r="A9574" s="61"/>
      <c r="B9574" s="62"/>
      <c r="C9574" s="62"/>
      <c r="D9574" s="62"/>
      <c r="E9574" s="62"/>
      <c r="F9574" s="62"/>
      <c r="G9574" s="63"/>
    </row>
    <row r="9575" spans="1:7" x14ac:dyDescent="0.25">
      <c r="A9575" s="219" t="s">
        <v>101</v>
      </c>
      <c r="B9575" s="219"/>
      <c r="C9575" s="219"/>
      <c r="D9575" s="219"/>
      <c r="E9575" s="219"/>
      <c r="F9575" s="219"/>
      <c r="G9575" s="52">
        <f>G9569+G9571+G9572+G9573</f>
        <v>235831.25</v>
      </c>
    </row>
    <row r="9576" spans="1:7" x14ac:dyDescent="0.25">
      <c r="A9576" s="59"/>
      <c r="B9576" s="60"/>
      <c r="C9576" s="60"/>
      <c r="D9576" s="60"/>
      <c r="E9576" s="57"/>
      <c r="F9576" s="57"/>
      <c r="G9576" s="58"/>
    </row>
    <row r="9577" spans="1:7" x14ac:dyDescent="0.25">
      <c r="A9577" s="64"/>
      <c r="D9577" s="55"/>
      <c r="E9577" s="49" t="s">
        <v>102</v>
      </c>
      <c r="F9577" s="49" t="s">
        <v>103</v>
      </c>
      <c r="G9577" s="51">
        <f>G9573*19%</f>
        <v>1792.3175000000001</v>
      </c>
    </row>
    <row r="9578" spans="1:7" x14ac:dyDescent="0.25">
      <c r="A9578" s="61"/>
      <c r="B9578" s="62"/>
      <c r="C9578" s="62"/>
      <c r="D9578" s="62"/>
      <c r="E9578" s="57"/>
      <c r="F9578" s="57"/>
      <c r="G9578" s="58"/>
    </row>
    <row r="9579" spans="1:7" x14ac:dyDescent="0.25">
      <c r="A9579" s="219" t="s">
        <v>104</v>
      </c>
      <c r="B9579" s="219"/>
      <c r="C9579" s="219"/>
      <c r="D9579" s="219"/>
      <c r="E9579" s="219"/>
      <c r="F9579" s="219"/>
      <c r="G9579" s="52">
        <f>G9577+G9575</f>
        <v>237623.5675</v>
      </c>
    </row>
    <row r="9581" spans="1:7" x14ac:dyDescent="0.25">
      <c r="A9581" s="74" t="s">
        <v>29</v>
      </c>
      <c r="B9581" s="226" t="s">
        <v>30</v>
      </c>
      <c r="C9581" s="226"/>
      <c r="D9581" s="74" t="s">
        <v>31</v>
      </c>
      <c r="E9581" s="74" t="s">
        <v>32</v>
      </c>
      <c r="F9581" s="74" t="s">
        <v>189</v>
      </c>
      <c r="G9581" s="74" t="s">
        <v>33</v>
      </c>
    </row>
    <row r="9582" spans="1:7" ht="43.5" customHeight="1" x14ac:dyDescent="0.25">
      <c r="A9582" s="50" t="str">
        <f>Presupuesto!B177</f>
        <v>001_CA</v>
      </c>
      <c r="B9582" s="220" t="str">
        <f>Presupuesto!C177</f>
        <v>SUMINISTRO E INSTALACIÓN DE BANCO DE DUCTOS PARA CRUCE DE VIAS INTERNAS EN TUBERÍA PVC ( 10X4"+5X3"+4X2"+14X1"+3X3/4")</v>
      </c>
      <c r="C9582" s="220"/>
      <c r="D9582" s="50" t="s">
        <v>108</v>
      </c>
      <c r="E9582" s="50">
        <v>3.5</v>
      </c>
      <c r="F9582" s="50"/>
      <c r="G9582" s="51">
        <f>G9651</f>
        <v>812882.55950000009</v>
      </c>
    </row>
    <row r="9583" spans="1:7" x14ac:dyDescent="0.25">
      <c r="A9583" s="219" t="s">
        <v>34</v>
      </c>
      <c r="B9583" s="219"/>
      <c r="C9583" s="219"/>
      <c r="D9583" s="219"/>
      <c r="E9583" s="219"/>
      <c r="F9583" s="219"/>
      <c r="G9583" s="219"/>
    </row>
    <row r="9584" spans="1:7" x14ac:dyDescent="0.25">
      <c r="A9584" s="49" t="s">
        <v>35</v>
      </c>
      <c r="B9584" s="219" t="s">
        <v>36</v>
      </c>
      <c r="C9584" s="219"/>
      <c r="D9584" s="49" t="s">
        <v>37</v>
      </c>
      <c r="E9584" s="49" t="s">
        <v>38</v>
      </c>
      <c r="F9584" s="49" t="s">
        <v>39</v>
      </c>
      <c r="G9584" s="49" t="s">
        <v>40</v>
      </c>
    </row>
    <row r="9585" spans="1:7" x14ac:dyDescent="0.25">
      <c r="A9585" s="50" t="str">
        <f>Material!A72</f>
        <v>MA-71</v>
      </c>
      <c r="B9585" s="72" t="str">
        <f>IFERROR(VLOOKUP(A9585,Material!$A:$H,2,0),"-")</f>
        <v>TUBERÍA PVC 3/4"</v>
      </c>
      <c r="C9585" s="73"/>
      <c r="D9585" s="50" t="str">
        <f>IFERROR(VLOOKUP(A9585,Material!$A:$H,4,0),"-")</f>
        <v>ML</v>
      </c>
      <c r="E9585" s="50">
        <f>2+1</f>
        <v>3</v>
      </c>
      <c r="F9585" s="51">
        <f>IFERROR(VLOOKUP(A9585,Material!$A:$H,3,0),"-")</f>
        <v>2253.3333333333335</v>
      </c>
      <c r="G9585" s="51">
        <f t="shared" ref="G9585" si="133">IFERROR(ROUNDUP(F9585*E9585,0),"-")</f>
        <v>6760</v>
      </c>
    </row>
    <row r="9586" spans="1:7" x14ac:dyDescent="0.25">
      <c r="A9586" s="50" t="str">
        <f>Material!A216</f>
        <v>MA-215</v>
      </c>
      <c r="B9586" s="72" t="str">
        <f>IFERROR(VLOOKUP(A9586,Material!$A:$H,2,0),"-")</f>
        <v>TUBO PVC 1"</v>
      </c>
      <c r="C9586" s="73"/>
      <c r="D9586" s="50" t="str">
        <f>IFERROR(VLOOKUP(A9586,Material!$A:$H,4,0),"-")</f>
        <v>ML</v>
      </c>
      <c r="E9586" s="50">
        <f>4+2+4+1+3</f>
        <v>14</v>
      </c>
      <c r="F9586" s="51">
        <f>IFERROR(VLOOKUP(A9586,Material!$A:$H,3,0),"-")</f>
        <v>3055</v>
      </c>
      <c r="G9586" s="51">
        <f t="shared" ref="G9586" si="134">IFERROR(ROUNDUP(F9586*E9586,0),"-")</f>
        <v>42770</v>
      </c>
    </row>
    <row r="9587" spans="1:7" x14ac:dyDescent="0.25">
      <c r="A9587" s="50" t="str">
        <f>Material!A78</f>
        <v>MA-77</v>
      </c>
      <c r="B9587" s="72" t="str">
        <f>IFERROR(VLOOKUP(A9587,Material!$A:$H,2,0),"-")</f>
        <v>TUBERÍA PVC 2"</v>
      </c>
      <c r="C9587" s="73"/>
      <c r="D9587" s="50" t="str">
        <f>IFERROR(VLOOKUP(A9587,Material!$A:$H,4,0),"-")</f>
        <v>ML</v>
      </c>
      <c r="E9587" s="50">
        <f>3+1</f>
        <v>4</v>
      </c>
      <c r="F9587" s="51">
        <f>IFERROR(VLOOKUP(A9587,Material!$A:$H,3,0),"-")</f>
        <v>6261.666666666667</v>
      </c>
      <c r="G9587" s="51">
        <f t="shared" ref="G9587:G9592" si="135">IFERROR(ROUNDUP(F9587*E9587,0),"-")</f>
        <v>25047</v>
      </c>
    </row>
    <row r="9588" spans="1:7" x14ac:dyDescent="0.25">
      <c r="A9588" s="50" t="str">
        <f>Material!A62</f>
        <v>MA-61</v>
      </c>
      <c r="B9588" s="72" t="str">
        <f>IFERROR(VLOOKUP(A9588,Material!$A:$H,2,0),"-")</f>
        <v xml:space="preserve">TUBO DUCTO PVC DB DE 3" </v>
      </c>
      <c r="C9588" s="73"/>
      <c r="D9588" s="50" t="str">
        <f>IFERROR(VLOOKUP(A9588,Material!$A:$H,4,0),"-")</f>
        <v>ML</v>
      </c>
      <c r="E9588" s="50">
        <f>4+1</f>
        <v>5</v>
      </c>
      <c r="F9588" s="51">
        <f>IFERROR(VLOOKUP(A9588,Material!$A:$H,3,0),"-")</f>
        <v>13541.666666666666</v>
      </c>
      <c r="G9588" s="51">
        <f t="shared" si="135"/>
        <v>67709</v>
      </c>
    </row>
    <row r="9589" spans="1:7" x14ac:dyDescent="0.25">
      <c r="A9589" s="50" t="str">
        <f>Material!A61</f>
        <v>MA-60</v>
      </c>
      <c r="B9589" s="72" t="str">
        <f>IFERROR(VLOOKUP(A9589,Material!$A:$H,2,0),"-")</f>
        <v xml:space="preserve">TUBO DUCTO PVC DB DE 4" </v>
      </c>
      <c r="C9589" s="73"/>
      <c r="D9589" s="50" t="s">
        <v>108</v>
      </c>
      <c r="E9589" s="50">
        <f>8+2</f>
        <v>10</v>
      </c>
      <c r="F9589" s="51">
        <f>IFERROR(VLOOKUP(A9589,Material!$A:$H,3,0),"-")</f>
        <v>22219.166666666668</v>
      </c>
      <c r="G9589" s="51">
        <f t="shared" si="135"/>
        <v>222192</v>
      </c>
    </row>
    <row r="9590" spans="1:7" x14ac:dyDescent="0.25">
      <c r="A9590" s="50" t="str">
        <f>Material!A201</f>
        <v>MA-200</v>
      </c>
      <c r="B9590" s="72" t="str">
        <f>IFERROR(VLOOKUP(A9590,Material!$A:$H,2,0),"-")</f>
        <v>SOLDADURA PVC 1/4 GL</v>
      </c>
      <c r="C9590" s="73"/>
      <c r="D9590" s="50" t="str">
        <f>IFERROR(VLOOKUP(A9590,Material!$A:$H,4,0),"-")</f>
        <v>GALÓN</v>
      </c>
      <c r="E9590" s="50">
        <v>6.6666000000000003E-2</v>
      </c>
      <c r="F9590" s="51">
        <f>IFERROR(VLOOKUP(A9590,Material!$A:$H,3,0),"-")</f>
        <v>88270</v>
      </c>
      <c r="G9590" s="51">
        <f t="shared" si="135"/>
        <v>5885</v>
      </c>
    </row>
    <row r="9591" spans="1:7" x14ac:dyDescent="0.25">
      <c r="A9591" s="50" t="str">
        <f>Material!A253</f>
        <v>MA-252</v>
      </c>
      <c r="B9591" s="72" t="str">
        <f>IFERROR(VLOOKUP(A9591,Material!$A:$H,2,0),"-")</f>
        <v>LIMPIADOR DE TUBERÍA PVC 1/4 GL</v>
      </c>
      <c r="C9591" s="73"/>
      <c r="D9591" s="50" t="str">
        <f>IFERROR(VLOOKUP(A9591,Material!$A:$H,4,0),"-")</f>
        <v>GALÓN</v>
      </c>
      <c r="E9591" s="50">
        <v>6.6666000000000003E-2</v>
      </c>
      <c r="F9591" s="51">
        <f>IFERROR(VLOOKUP(A9591,Material!$A:$H,3,0),"-")</f>
        <v>60970</v>
      </c>
      <c r="G9591" s="51">
        <f t="shared" si="135"/>
        <v>4065</v>
      </c>
    </row>
    <row r="9592" spans="1:7" x14ac:dyDescent="0.25">
      <c r="A9592" s="17"/>
      <c r="B9592" s="72" t="str">
        <f>IFERROR(VLOOKUP(A9592,Material!$A:$H,2,0),"-")</f>
        <v>-</v>
      </c>
      <c r="C9592" s="73"/>
      <c r="D9592" s="50" t="str">
        <f>IFERROR(VLOOKUP(A9592,Material!$A:$H,4,0),"-")</f>
        <v>-</v>
      </c>
      <c r="E9592" s="50"/>
      <c r="F9592" s="51" t="str">
        <f>IFERROR(VLOOKUP(A9592,Material!$A:$H,3,0),"-")</f>
        <v>-</v>
      </c>
      <c r="G9592" s="51" t="str">
        <f t="shared" si="135"/>
        <v>-</v>
      </c>
    </row>
    <row r="9593" spans="1:7" x14ac:dyDescent="0.25">
      <c r="A9593" s="219" t="s">
        <v>41</v>
      </c>
      <c r="B9593" s="219"/>
      <c r="C9593" s="219"/>
      <c r="D9593" s="219"/>
      <c r="E9593" s="219"/>
      <c r="F9593" s="219"/>
      <c r="G9593" s="52">
        <f>SUM(G9585:G9592)</f>
        <v>374428</v>
      </c>
    </row>
    <row r="9594" spans="1:7" x14ac:dyDescent="0.25">
      <c r="A9594" s="56"/>
      <c r="B9594" s="57"/>
      <c r="C9594" s="57"/>
      <c r="D9594" s="57"/>
      <c r="E9594" s="57"/>
      <c r="F9594" s="57"/>
      <c r="G9594" s="58"/>
    </row>
    <row r="9595" spans="1:7" x14ac:dyDescent="0.25">
      <c r="A9595" s="219" t="s">
        <v>42</v>
      </c>
      <c r="B9595" s="219"/>
      <c r="C9595" s="219"/>
      <c r="D9595" s="219"/>
      <c r="E9595" s="219"/>
      <c r="F9595" s="219"/>
      <c r="G9595" s="219"/>
    </row>
    <row r="9596" spans="1:7" x14ac:dyDescent="0.25">
      <c r="A9596" s="49" t="s">
        <v>35</v>
      </c>
      <c r="B9596" s="49" t="s">
        <v>36</v>
      </c>
      <c r="C9596" s="49" t="s">
        <v>38</v>
      </c>
      <c r="D9596" s="49" t="s">
        <v>43</v>
      </c>
      <c r="E9596" s="49" t="s">
        <v>44</v>
      </c>
      <c r="F9596" s="49" t="s">
        <v>45</v>
      </c>
      <c r="G9596" s="49" t="s">
        <v>40</v>
      </c>
    </row>
    <row r="9597" spans="1:7" x14ac:dyDescent="0.25">
      <c r="A9597" s="50" t="s">
        <v>319</v>
      </c>
      <c r="B9597" s="68" t="str">
        <f>VLOOKUP(A9597,'Componentes APUs'!$H$1:$L$25,2,0)</f>
        <v>Ingeniero Residente de Obra</v>
      </c>
      <c r="C9597" s="93">
        <v>0.25</v>
      </c>
      <c r="D9597" s="50">
        <f>VLOOKUP(A9597,'Componentes APUs'!$H$1:$L$25,3,0)</f>
        <v>4</v>
      </c>
      <c r="E9597" s="51">
        <f>VLOOKUP(A9597,'Componentes APUs'!$H$1:$L$25,4,0)</f>
        <v>271142.85714285716</v>
      </c>
      <c r="F9597" s="51">
        <f>VLOOKUP(A9597,'Componentes APUs'!$H$1:$L$25,5,0)</f>
        <v>162685.71428571429</v>
      </c>
      <c r="G9597" s="51">
        <f>ROUNDUP((E9597+F9597)*C9597/E9582,0)</f>
        <v>30988</v>
      </c>
    </row>
    <row r="9598" spans="1:7" x14ac:dyDescent="0.25">
      <c r="A9598" s="50" t="s">
        <v>320</v>
      </c>
      <c r="B9598" s="68" t="str">
        <f>VLOOKUP(A9598,'Componentes APUs'!$H$1:$L$25,2,0)</f>
        <v>Tecnico Supervisor</v>
      </c>
      <c r="C9598" s="93">
        <v>0.25</v>
      </c>
      <c r="D9598" s="50">
        <f>VLOOKUP(A9598,'Componentes APUs'!$H$1:$L$25,3,0)</f>
        <v>2.2999999999999998</v>
      </c>
      <c r="E9598" s="51">
        <f>VLOOKUP(A9598,'Componentes APUs'!$H$1:$L$25,4,0)</f>
        <v>155907.14285714284</v>
      </c>
      <c r="F9598" s="51">
        <f>VLOOKUP(A9598,'Componentes APUs'!$H$1:$L$25,5,0)</f>
        <v>93544.285714285696</v>
      </c>
      <c r="G9598" s="51">
        <f>ROUNDUP((E9598+F9598)*C9598/E9582,0)</f>
        <v>17818</v>
      </c>
    </row>
    <row r="9599" spans="1:7" x14ac:dyDescent="0.25">
      <c r="A9599" s="50" t="s">
        <v>1160</v>
      </c>
      <c r="B9599" s="68" t="str">
        <f>VLOOKUP(A9599,'Componentes APUs'!$H$1:$L$25,2,0)</f>
        <v>Oficial Eléctrico</v>
      </c>
      <c r="C9599" s="93">
        <v>1</v>
      </c>
      <c r="D9599" s="50">
        <f>VLOOKUP(A9599,'Componentes APUs'!$H$1:$L$25,3,0)</f>
        <v>2</v>
      </c>
      <c r="E9599" s="51">
        <f>VLOOKUP(A9599,'Componentes APUs'!$H$1:$L$25,4,0)</f>
        <v>154619.04761904763</v>
      </c>
      <c r="F9599" s="51">
        <f>VLOOKUP(A9599,'Componentes APUs'!$H$1:$L$25,5,0)</f>
        <v>92771.42857142858</v>
      </c>
      <c r="G9599" s="51">
        <f>ROUNDUP((E9599+F9599)*C9599/E9582,0)</f>
        <v>70683</v>
      </c>
    </row>
    <row r="9600" spans="1:7" x14ac:dyDescent="0.25">
      <c r="A9600" s="50" t="s">
        <v>48</v>
      </c>
      <c r="B9600" s="68" t="str">
        <f>VLOOKUP(A9600,'Componentes APUs'!$H$1:$L$25,2,0)</f>
        <v>Ayudante Calificado</v>
      </c>
      <c r="C9600" s="93">
        <v>1</v>
      </c>
      <c r="D9600" s="50">
        <f>VLOOKUP(A9600,'Componentes APUs'!$H$1:$L$25,3,0)</f>
        <v>1.5</v>
      </c>
      <c r="E9600" s="51">
        <f>VLOOKUP(A9600,'Componentes APUs'!$H$1:$L$25,4,0)</f>
        <v>115964.28571428571</v>
      </c>
      <c r="F9600" s="51">
        <f>VLOOKUP(A9600,'Componentes APUs'!$H$1:$L$25,5,0)</f>
        <v>69578.57142857142</v>
      </c>
      <c r="G9600" s="51">
        <f>ROUNDUP((E9600+F9600)*C9600/E9582,0)</f>
        <v>53013</v>
      </c>
    </row>
    <row r="9601" spans="1:7" x14ac:dyDescent="0.25">
      <c r="A9601" s="50" t="s">
        <v>50</v>
      </c>
      <c r="B9601" s="68" t="str">
        <f>VLOOKUP(A9601,'Componentes APUs'!$H$1:$L$25,2,0)</f>
        <v>Profesional en SST</v>
      </c>
      <c r="C9601" s="93">
        <v>0.25</v>
      </c>
      <c r="D9601" s="50">
        <f>VLOOKUP(A9601,'Componentes APUs'!$H$1:$L$25,3,0)</f>
        <v>2.5</v>
      </c>
      <c r="E9601" s="51">
        <f>VLOOKUP(A9601,'Componentes APUs'!$H$1:$L$25,4,0)</f>
        <v>169464.28571428571</v>
      </c>
      <c r="F9601" s="51">
        <f>VLOOKUP(A9601,'Componentes APUs'!$H$1:$L$25,5,0)</f>
        <v>101678.57142857142</v>
      </c>
      <c r="G9601" s="51">
        <f>ROUNDUP((E9601+F9601)*C9601/E9582,0)</f>
        <v>19368</v>
      </c>
    </row>
    <row r="9602" spans="1:7" x14ac:dyDescent="0.25">
      <c r="A9602" s="50" t="s">
        <v>52</v>
      </c>
      <c r="B9602" s="68" t="str">
        <f>VLOOKUP(A9602,'Componentes APUs'!$H$1:$L$25,2,0)</f>
        <v>Ayudante No Calificado</v>
      </c>
      <c r="C9602" s="93">
        <v>0</v>
      </c>
      <c r="D9602" s="50">
        <f>VLOOKUP(A9602,'Componentes APUs'!$H$1:$L$25,3,0)</f>
        <v>1</v>
      </c>
      <c r="E9602" s="51">
        <f>VLOOKUP(A9602,'Componentes APUs'!$H$1:$L$25,4,0)</f>
        <v>77309.523809523816</v>
      </c>
      <c r="F9602" s="51">
        <f>VLOOKUP(A9602,'Componentes APUs'!$H$1:$L$25,5,0)</f>
        <v>46385.71428571429</v>
      </c>
      <c r="G9602" s="51">
        <f>ROUNDUP((E9602+F9602)*C9602/E9582,0)</f>
        <v>0</v>
      </c>
    </row>
    <row r="9603" spans="1:7" x14ac:dyDescent="0.25">
      <c r="A9603" s="219" t="s">
        <v>56</v>
      </c>
      <c r="B9603" s="219"/>
      <c r="C9603" s="219"/>
      <c r="D9603" s="219"/>
      <c r="E9603" s="219"/>
      <c r="F9603" s="219"/>
      <c r="G9603" s="52">
        <f>SUM(G9597:G9602)</f>
        <v>191870</v>
      </c>
    </row>
    <row r="9604" spans="1:7" x14ac:dyDescent="0.25">
      <c r="A9604" s="56"/>
      <c r="B9604" s="57"/>
      <c r="C9604" s="57"/>
      <c r="D9604" s="57"/>
      <c r="E9604" s="57"/>
      <c r="F9604" s="57"/>
      <c r="G9604" s="58"/>
    </row>
    <row r="9605" spans="1:7" x14ac:dyDescent="0.25">
      <c r="A9605" s="219" t="s">
        <v>57</v>
      </c>
      <c r="B9605" s="219"/>
      <c r="C9605" s="219"/>
      <c r="D9605" s="219"/>
      <c r="E9605" s="219"/>
      <c r="F9605" s="219"/>
      <c r="G9605" s="219"/>
    </row>
    <row r="9606" spans="1:7" x14ac:dyDescent="0.25">
      <c r="A9606" s="49" t="s">
        <v>35</v>
      </c>
      <c r="B9606" s="219" t="s">
        <v>36</v>
      </c>
      <c r="C9606" s="219"/>
      <c r="D9606" s="49" t="s">
        <v>37</v>
      </c>
      <c r="E9606" s="49" t="s">
        <v>38</v>
      </c>
      <c r="F9606" s="49" t="s">
        <v>39</v>
      </c>
      <c r="G9606" s="49" t="s">
        <v>40</v>
      </c>
    </row>
    <row r="9607" spans="1:7" x14ac:dyDescent="0.25">
      <c r="A9607" s="50" t="s">
        <v>326</v>
      </c>
      <c r="B9607" s="220" t="str">
        <f>VLOOKUP(A9607,'Componentes APUs'!$S$1:$V$10,2,0)</f>
        <v>Juego Llaves</v>
      </c>
      <c r="C9607" s="220"/>
      <c r="D9607" s="50" t="s">
        <v>18</v>
      </c>
      <c r="E9607" s="50">
        <v>2</v>
      </c>
      <c r="F9607" s="51">
        <f>VLOOKUP(A9607,'Componentes APUs'!$S$1:$V$10,4,0)</f>
        <v>9167</v>
      </c>
      <c r="G9607" s="51">
        <f>ROUNDUP(F9607*((E9607/21)/E9582),0)</f>
        <v>250</v>
      </c>
    </row>
    <row r="9608" spans="1:7" x14ac:dyDescent="0.25">
      <c r="A9608" s="50" t="s">
        <v>58</v>
      </c>
      <c r="B9608" s="220" t="str">
        <f>VLOOKUP(A9608,'Componentes APUs'!$S$1:$V$10,2,0)</f>
        <v>Manila de servicio</v>
      </c>
      <c r="C9608" s="220"/>
      <c r="D9608" s="50" t="s">
        <v>18</v>
      </c>
      <c r="E9608" s="50">
        <v>0</v>
      </c>
      <c r="F9608" s="51">
        <f>VLOOKUP(A9608,'Componentes APUs'!$S$1:$V$10,4,0)</f>
        <v>2333</v>
      </c>
      <c r="G9608" s="51">
        <f>ROUNDUP(F9608*((E9608/21)/E9582),0)</f>
        <v>0</v>
      </c>
    </row>
    <row r="9609" spans="1:7" x14ac:dyDescent="0.25">
      <c r="A9609" s="50" t="s">
        <v>327</v>
      </c>
      <c r="B9609" s="220" t="str">
        <f>VLOOKUP(A9609,'Componentes APUs'!$S$1:$V$10,2,0)</f>
        <v>Tula portaherramientas</v>
      </c>
      <c r="C9609" s="220"/>
      <c r="D9609" s="50" t="s">
        <v>18</v>
      </c>
      <c r="E9609" s="50">
        <v>2</v>
      </c>
      <c r="F9609" s="51">
        <f>VLOOKUP(A9609,'Componentes APUs'!$S$1:$V$10,4,0)</f>
        <v>1250</v>
      </c>
      <c r="G9609" s="51">
        <f>ROUNDUP(F9609*((E9609/21)/E9582),0)</f>
        <v>35</v>
      </c>
    </row>
    <row r="9610" spans="1:7" x14ac:dyDescent="0.25">
      <c r="A9610" s="50" t="s">
        <v>60</v>
      </c>
      <c r="B9610" s="220" t="str">
        <f>VLOOKUP(A9610,'Componentes APUs'!$S$1:$V$10,2,0)</f>
        <v>Agarradoras</v>
      </c>
      <c r="C9610" s="220"/>
      <c r="D9610" s="50" t="s">
        <v>18</v>
      </c>
      <c r="E9610" s="50">
        <v>0</v>
      </c>
      <c r="F9610" s="51">
        <f>VLOOKUP(A9610,'Componentes APUs'!$S$1:$V$10,4,0)</f>
        <v>125000</v>
      </c>
      <c r="G9610" s="51">
        <f>ROUNDUP(F9610*((E9610/21)/E9582),0)</f>
        <v>0</v>
      </c>
    </row>
    <row r="9611" spans="1:7" x14ac:dyDescent="0.25">
      <c r="A9611" s="50" t="s">
        <v>62</v>
      </c>
      <c r="B9611" s="220" t="str">
        <f>VLOOKUP(A9611,'Componentes APUs'!$S$1:$V$10,2,0)</f>
        <v>Templadoras</v>
      </c>
      <c r="C9611" s="220"/>
      <c r="D9611" s="50" t="s">
        <v>18</v>
      </c>
      <c r="E9611" s="50">
        <v>0</v>
      </c>
      <c r="F9611" s="51">
        <f>VLOOKUP(A9611,'Componentes APUs'!$S$1:$V$10,4,0)</f>
        <v>250000</v>
      </c>
      <c r="G9611" s="51">
        <f>ROUNDUP(F9611*((E9611/21)/E9582),0)</f>
        <v>0</v>
      </c>
    </row>
    <row r="9612" spans="1:7" x14ac:dyDescent="0.25">
      <c r="A9612" s="50" t="s">
        <v>328</v>
      </c>
      <c r="B9612" s="220" t="str">
        <f>VLOOKUP(A9612,'Componentes APUs'!$S$1:$V$10,2,0)</f>
        <v>Herramienta Menor</v>
      </c>
      <c r="C9612" s="220"/>
      <c r="D9612" s="50" t="s">
        <v>18</v>
      </c>
      <c r="E9612" s="50">
        <v>2</v>
      </c>
      <c r="F9612" s="51">
        <f>VLOOKUP(A9612,'Componentes APUs'!$S$1:$V$10,4,0)</f>
        <v>75758</v>
      </c>
      <c r="G9612" s="51">
        <f>ROUNDUP(F9612*((E9612/21)/E9582),0)</f>
        <v>2062</v>
      </c>
    </row>
    <row r="9613" spans="1:7" x14ac:dyDescent="0.25">
      <c r="A9613" s="219" t="s">
        <v>69</v>
      </c>
      <c r="B9613" s="219"/>
      <c r="C9613" s="219"/>
      <c r="D9613" s="219"/>
      <c r="E9613" s="219"/>
      <c r="F9613" s="219"/>
      <c r="G9613" s="52">
        <f>SUM(G9607:G9612)</f>
        <v>2347</v>
      </c>
    </row>
    <row r="9614" spans="1:7" x14ac:dyDescent="0.25">
      <c r="A9614" s="56"/>
      <c r="B9614" s="57"/>
      <c r="C9614" s="57"/>
      <c r="D9614" s="57"/>
      <c r="E9614" s="57"/>
      <c r="F9614" s="57"/>
      <c r="G9614" s="58"/>
    </row>
    <row r="9615" spans="1:7" x14ac:dyDescent="0.25">
      <c r="A9615" s="219" t="s">
        <v>70</v>
      </c>
      <c r="B9615" s="219"/>
      <c r="C9615" s="219"/>
      <c r="D9615" s="219"/>
      <c r="E9615" s="219"/>
      <c r="F9615" s="219"/>
      <c r="G9615" s="219"/>
    </row>
    <row r="9616" spans="1:7" x14ac:dyDescent="0.25">
      <c r="A9616" s="49" t="s">
        <v>35</v>
      </c>
      <c r="B9616" s="219" t="s">
        <v>36</v>
      </c>
      <c r="C9616" s="219"/>
      <c r="D9616" s="49" t="s">
        <v>37</v>
      </c>
      <c r="E9616" s="49" t="s">
        <v>38</v>
      </c>
      <c r="F9616" s="49" t="s">
        <v>39</v>
      </c>
      <c r="G9616" s="49" t="s">
        <v>40</v>
      </c>
    </row>
    <row r="9617" spans="1:7" x14ac:dyDescent="0.25">
      <c r="A9617" s="50" t="s">
        <v>71</v>
      </c>
      <c r="B9617" s="71" t="str">
        <f>VLOOKUP(A9617,'Componentes APUs'!$A$1:$D$14,2,0)</f>
        <v>Camisa indigo sin partes metalicas</v>
      </c>
      <c r="C9617" s="71"/>
      <c r="D9617" s="50" t="str">
        <f>VLOOKUP(A9617,'Componentes APUs'!$A$1:$D$14,3,0)</f>
        <v>U</v>
      </c>
      <c r="E9617" s="50">
        <f>SUM(C9597:C9602)</f>
        <v>2.75</v>
      </c>
      <c r="F9617" s="51">
        <f>VLOOKUP(A9617,'Componentes APUs'!$A$1:$D$14,4,0)</f>
        <v>8585.8585858585866</v>
      </c>
      <c r="G9617" s="51">
        <f>ROUNDUP(F9617*(E9617/21)/E9582,0)</f>
        <v>322</v>
      </c>
    </row>
    <row r="9618" spans="1:7" x14ac:dyDescent="0.25">
      <c r="A9618" s="69" t="s">
        <v>73</v>
      </c>
      <c r="B9618" s="72" t="str">
        <f>VLOOKUP(A9618,'Componentes APUs'!$A$1:$D$14,2,0)</f>
        <v>Bota de seguridad dielectrica</v>
      </c>
      <c r="C9618" s="73"/>
      <c r="D9618" s="70" t="str">
        <f>VLOOKUP(A9618,'Componentes APUs'!$A$1:$D$14,3,0)</f>
        <v>Par</v>
      </c>
      <c r="E9618" s="50">
        <f>SUM(C9597:C9602)</f>
        <v>2.75</v>
      </c>
      <c r="F9618" s="51">
        <f>VLOOKUP(A9618,'Componentes APUs'!$A$1:$D$14,4,0)</f>
        <v>7500</v>
      </c>
      <c r="G9618" s="51">
        <f>ROUNDUP(F9618*(E9618/21)/E9582,0)</f>
        <v>281</v>
      </c>
    </row>
    <row r="9619" spans="1:7" x14ac:dyDescent="0.25">
      <c r="A9619" s="50" t="s">
        <v>76</v>
      </c>
      <c r="B9619" s="72" t="str">
        <f>VLOOKUP(A9619,'Componentes APUs'!$A$1:$D$14,2,0)</f>
        <v>Casco dielectrico Tipo 1 Clase E con barbuquejo</v>
      </c>
      <c r="C9619" s="73"/>
      <c r="D9619" s="50" t="str">
        <f>VLOOKUP(A9619,'Componentes APUs'!$A$1:$D$14,3,0)</f>
        <v>U</v>
      </c>
      <c r="E9619" s="50">
        <f>C9597+C9600+C9601+C9598+C9602+IF(A9599&lt;&gt;"MO-3",C9599,0)</f>
        <v>2.75</v>
      </c>
      <c r="F9619" s="51">
        <f>VLOOKUP(A9619,'Componentes APUs'!$A$1:$D$14,4,0)</f>
        <v>10101.010101010101</v>
      </c>
      <c r="G9619" s="51">
        <f>ROUNDUP(F9619*(E9619/21)/E9582,0)</f>
        <v>378</v>
      </c>
    </row>
    <row r="9620" spans="1:7" x14ac:dyDescent="0.25">
      <c r="A9620" s="69" t="s">
        <v>77</v>
      </c>
      <c r="B9620" s="72" t="str">
        <f>VLOOKUP(A9620,'Componentes APUs'!$A$1:$D$14,2,0)</f>
        <v>Correa plastica y antiflama</v>
      </c>
      <c r="C9620" s="73"/>
      <c r="D9620" s="50" t="str">
        <f>VLOOKUP(A9620,'Componentes APUs'!$A$1:$D$14,3,0)</f>
        <v>U</v>
      </c>
      <c r="E9620" s="50">
        <f>SUM(C9597:C9602)</f>
        <v>2.75</v>
      </c>
      <c r="F9620" s="51">
        <f>VLOOKUP(A9620,'Componentes APUs'!$A$1:$D$14,4,0)</f>
        <v>3787.878787878788</v>
      </c>
      <c r="G9620" s="51">
        <f>ROUNDUP(F9620*(E9620/21)/E9582,0)</f>
        <v>142</v>
      </c>
    </row>
    <row r="9621" spans="1:7" x14ac:dyDescent="0.25">
      <c r="A9621" s="50" t="s">
        <v>79</v>
      </c>
      <c r="B9621" s="72" t="str">
        <f>VLOOKUP(A9621,'Componentes APUs'!$A$1:$D$14,2,0)</f>
        <v>Gafas protectoras filtro UV</v>
      </c>
      <c r="C9621" s="73"/>
      <c r="D9621" s="50" t="str">
        <f>VLOOKUP(A9621,'Componentes APUs'!$A$1:$D$14,3,0)</f>
        <v>U</v>
      </c>
      <c r="E9621" s="50">
        <f>SUM(C9597:C9602)</f>
        <v>2.75</v>
      </c>
      <c r="F9621" s="51">
        <f>VLOOKUP(A9621,'Componentes APUs'!$A$1:$D$14,4,0)</f>
        <v>2777.7777777777778</v>
      </c>
      <c r="G9621" s="51">
        <f>ROUNDUP(F9621*(E9621/21)/E9582,0)</f>
        <v>104</v>
      </c>
    </row>
    <row r="9622" spans="1:7" x14ac:dyDescent="0.25">
      <c r="A9622" s="69" t="s">
        <v>402</v>
      </c>
      <c r="B9622" s="72" t="str">
        <f>VLOOKUP(A9622,'Componentes APUs'!$A$1:$D$14,2,0)</f>
        <v>Bota de seguridad PVC dielectrica</v>
      </c>
      <c r="C9622" s="73"/>
      <c r="D9622" s="50" t="str">
        <f>VLOOKUP(A9622,'Componentes APUs'!$A$1:$D$14,3,0)</f>
        <v>Par</v>
      </c>
      <c r="E9622" s="50">
        <f>SUM(C9597:C9602)</f>
        <v>2.75</v>
      </c>
      <c r="F9622" s="51">
        <f>VLOOKUP(A9622,'Componentes APUs'!$A$1:$D$14,4,0)</f>
        <v>2916.6666666666665</v>
      </c>
      <c r="G9622" s="51">
        <f>ROUNDUP(F9622*(E9622/21)/E9582,0)</f>
        <v>110</v>
      </c>
    </row>
    <row r="9623" spans="1:7" x14ac:dyDescent="0.25">
      <c r="A9623" s="50" t="s">
        <v>403</v>
      </c>
      <c r="B9623" s="72" t="str">
        <f>VLOOKUP(A9623,'Componentes APUs'!$A$1:$D$14,2,0)</f>
        <v>Capuchon</v>
      </c>
      <c r="C9623" s="73"/>
      <c r="D9623" s="50" t="str">
        <f>VLOOKUP(A9623,'Componentes APUs'!$A$1:$D$14,3,0)</f>
        <v>U</v>
      </c>
      <c r="E9623" s="50">
        <f>SUM(C9597:C9602)</f>
        <v>2.75</v>
      </c>
      <c r="F9623" s="51">
        <f>VLOOKUP(A9623,'Componentes APUs'!$A$1:$D$14,4,0)</f>
        <v>2525.2525252525252</v>
      </c>
      <c r="G9623" s="51">
        <f>ROUNDUP(F9623*(E9623/21)/E9582,0)</f>
        <v>95</v>
      </c>
    </row>
    <row r="9624" spans="1:7" x14ac:dyDescent="0.25">
      <c r="A9624" s="69" t="s">
        <v>81</v>
      </c>
      <c r="B9624" s="72" t="str">
        <f>VLOOKUP(A9624,'Componentes APUs'!$A$1:$D$14,2,0)</f>
        <v>Guantes Protectores  - ingeniero reforzados</v>
      </c>
      <c r="C9624" s="73"/>
      <c r="D9624" s="50" t="str">
        <f>VLOOKUP(A9624,'Componentes APUs'!$A$1:$D$14,3,0)</f>
        <v>Par</v>
      </c>
      <c r="E9624" s="50">
        <f>C9599+C9600+C9602</f>
        <v>2</v>
      </c>
      <c r="F9624" s="51">
        <f>VLOOKUP(A9624,'Componentes APUs'!$A$1:$D$14,4,0)</f>
        <v>2525.2525252525252</v>
      </c>
      <c r="G9624" s="51">
        <f>ROUNDUP(F9624*(E9624/21)/E9582,0)</f>
        <v>69</v>
      </c>
    </row>
    <row r="9625" spans="1:7" x14ac:dyDescent="0.25">
      <c r="A9625" s="50" t="s">
        <v>83</v>
      </c>
      <c r="B9625" s="72" t="str">
        <f>VLOOKUP(A9625,'Componentes APUs'!$A$1:$D$14,2,0)</f>
        <v>Impermeable (pantalon camisa)</v>
      </c>
      <c r="C9625" s="73"/>
      <c r="D9625" s="50" t="str">
        <f>VLOOKUP(A9625,'Componentes APUs'!$A$1:$D$14,3,0)</f>
        <v>U</v>
      </c>
      <c r="E9625" s="50">
        <f>SUM(C9597:C9602)</f>
        <v>2.75</v>
      </c>
      <c r="F9625" s="51">
        <f>VLOOKUP(A9625,'Componentes APUs'!$A$1:$D$14,4,0)</f>
        <v>3750</v>
      </c>
      <c r="G9625" s="51">
        <f>ROUNDUP(F9625*(E9625/21)/E9582,0)</f>
        <v>141</v>
      </c>
    </row>
    <row r="9626" spans="1:7" x14ac:dyDescent="0.25">
      <c r="A9626" s="69" t="s">
        <v>85</v>
      </c>
      <c r="B9626" s="72" t="str">
        <f>VLOOKUP(A9626,'Componentes APUs'!$A$1:$D$14,2,0)</f>
        <v>Jean Dielectrico</v>
      </c>
      <c r="C9626" s="73"/>
      <c r="D9626" s="50" t="str">
        <f>VLOOKUP(A9626,'Componentes APUs'!$A$1:$D$14,3,0)</f>
        <v>U</v>
      </c>
      <c r="E9626" s="50">
        <f>SUM(C9597:C9602)</f>
        <v>2.75</v>
      </c>
      <c r="F9626" s="51">
        <f>VLOOKUP(A9626,'Componentes APUs'!$A$1:$D$14,4,0)</f>
        <v>7575.757575757576</v>
      </c>
      <c r="G9626" s="51">
        <f>ROUNDUP(F9626*(E9626/21)/E9582,0)</f>
        <v>284</v>
      </c>
    </row>
    <row r="9627" spans="1:7" x14ac:dyDescent="0.25">
      <c r="A9627" s="50" t="s">
        <v>87</v>
      </c>
      <c r="B9627" s="72" t="str">
        <f>VLOOKUP(A9627,'Componentes APUs'!$A$1:$D$14,2,0)</f>
        <v>Casco dielectrico Tipo 2 Clase E con barboquejo</v>
      </c>
      <c r="C9627" s="73"/>
      <c r="D9627" s="50" t="str">
        <f>VLOOKUP(A9627,'Componentes APUs'!$A$1:$D$14,3,0)</f>
        <v>U</v>
      </c>
      <c r="E9627" s="53">
        <f>IF(A9599="MO-3",C9599,0)</f>
        <v>0</v>
      </c>
      <c r="F9627" s="51">
        <f>VLOOKUP(A9627,'Componentes APUs'!$A$1:$D$14,4,0)</f>
        <v>7500</v>
      </c>
      <c r="G9627" s="51">
        <f>ROUNDUP(F9627*(E9627/21)/E9582,0)</f>
        <v>0</v>
      </c>
    </row>
    <row r="9628" spans="1:7" x14ac:dyDescent="0.25">
      <c r="A9628" s="69" t="s">
        <v>89</v>
      </c>
      <c r="B9628" s="72" t="str">
        <f>VLOOKUP(A9628,'Componentes APUs'!$A$1:$D$14,2,0)</f>
        <v>Kit de rescate para trabajo en alturas</v>
      </c>
      <c r="C9628" s="73"/>
      <c r="D9628" s="50" t="str">
        <f>VLOOKUP(A9628,'Componentes APUs'!$A$1:$D$14,3,0)</f>
        <v>U</v>
      </c>
      <c r="E9628" s="50">
        <f>IF(AND(A9599="MO-3",C9599=2),1,0)</f>
        <v>0</v>
      </c>
      <c r="F9628" s="51">
        <f>VLOOKUP(A9628,'Componentes APUs'!$A$1:$D$14,4,0)</f>
        <v>37500</v>
      </c>
      <c r="G9628" s="51">
        <f>ROUNDUP(F9628*(E9628/21)/E9582,0)</f>
        <v>0</v>
      </c>
    </row>
    <row r="9629" spans="1:7" x14ac:dyDescent="0.25">
      <c r="A9629" s="50" t="s">
        <v>91</v>
      </c>
      <c r="B9629" s="72" t="str">
        <f>VLOOKUP(A9629,'Componentes APUs'!$A$1:$D$14,2,0)</f>
        <v>Equipo completo para trabajo en alturas con pretales (Arnes dielectrico, 1 mosqueton de seguridad, tie off dielectrico, eslinga de posicionamiento, juego de pretales)</v>
      </c>
      <c r="C9629" s="73"/>
      <c r="D9629" s="50" t="str">
        <f>VLOOKUP(A9629,'Componentes APUs'!$A$1:$D$14,3,0)</f>
        <v>U</v>
      </c>
      <c r="E9629" s="50">
        <f>IF(A9599="MO-3",C9599,0)</f>
        <v>0</v>
      </c>
      <c r="F9629" s="51">
        <f>VLOOKUP(A9629,'Componentes APUs'!$A$1:$D$14,4,0)</f>
        <v>26041.666666666668</v>
      </c>
      <c r="G9629" s="51">
        <f>ROUNDUP(F9629*(E9629/21)/E9582,0)</f>
        <v>0</v>
      </c>
    </row>
    <row r="9630" spans="1:7" x14ac:dyDescent="0.25">
      <c r="A9630" s="219" t="s">
        <v>95</v>
      </c>
      <c r="B9630" s="219"/>
      <c r="C9630" s="219"/>
      <c r="D9630" s="219"/>
      <c r="E9630" s="219"/>
      <c r="F9630" s="219"/>
      <c r="G9630" s="52">
        <f>SUM(G9617:G9629)</f>
        <v>1926</v>
      </c>
    </row>
    <row r="9631" spans="1:7" x14ac:dyDescent="0.25">
      <c r="A9631" s="56"/>
      <c r="B9631" s="57"/>
      <c r="C9631" s="57"/>
      <c r="D9631" s="57"/>
      <c r="E9631" s="57"/>
      <c r="F9631" s="57"/>
      <c r="G9631" s="58"/>
    </row>
    <row r="9632" spans="1:7" x14ac:dyDescent="0.25">
      <c r="A9632" s="219" t="s">
        <v>96</v>
      </c>
      <c r="B9632" s="219"/>
      <c r="C9632" s="219"/>
      <c r="D9632" s="219"/>
      <c r="E9632" s="219"/>
      <c r="F9632" s="219"/>
      <c r="G9632" s="219"/>
    </row>
    <row r="9633" spans="1:7" x14ac:dyDescent="0.25">
      <c r="A9633" s="49" t="s">
        <v>35</v>
      </c>
      <c r="B9633" s="225" t="s">
        <v>36</v>
      </c>
      <c r="C9633" s="225"/>
      <c r="D9633" s="49" t="s">
        <v>37</v>
      </c>
      <c r="E9633" s="49" t="s">
        <v>38</v>
      </c>
      <c r="F9633" s="49" t="s">
        <v>39</v>
      </c>
      <c r="G9633" s="49" t="s">
        <v>40</v>
      </c>
    </row>
    <row r="9634" spans="1:7" x14ac:dyDescent="0.25">
      <c r="A9634" s="69" t="s">
        <v>97</v>
      </c>
      <c r="B9634" s="72" t="str">
        <f>VLOOKUP(A9634,'Componentes APUs'!$N$1:$Q$30,2,0)</f>
        <v>Camioneta</v>
      </c>
      <c r="C9634" s="73"/>
      <c r="D9634" s="70" t="str">
        <f>VLOOKUP(A9634,'Componentes APUs'!$N$1:$Q$30,3,0)</f>
        <v>U</v>
      </c>
      <c r="E9634" s="50">
        <v>1</v>
      </c>
      <c r="F9634" s="51">
        <f>VLOOKUP(A9634,'Componentes APUs'!$N$1:$Q$30,4,0)</f>
        <v>5500000</v>
      </c>
      <c r="G9634" s="51">
        <f>IFERROR(ROUNDUP(F9634*(E9634/21)/E9582,0),"-")</f>
        <v>74830</v>
      </c>
    </row>
    <row r="9635" spans="1:7" x14ac:dyDescent="0.25">
      <c r="A9635" s="50" t="s">
        <v>321</v>
      </c>
      <c r="B9635" s="72" t="str">
        <f>VLOOKUP(A9635,'Componentes APUs'!$N$1:$Q$30,2,0)</f>
        <v>Grúa Hidráulica</v>
      </c>
      <c r="C9635" s="73"/>
      <c r="D9635" s="70" t="str">
        <f>VLOOKUP(A9635,'Componentes APUs'!$N$1:$Q$30,3,0)</f>
        <v>U</v>
      </c>
      <c r="E9635" s="50">
        <v>0</v>
      </c>
      <c r="F9635" s="51">
        <f>VLOOKUP(A9635,'Componentes APUs'!$N$1:$Q$30,4,0)</f>
        <v>21000000</v>
      </c>
      <c r="G9635" s="51">
        <f>IFERROR(ROUNDUP(F9635*(E9635/21)/E9582,0),"-")</f>
        <v>0</v>
      </c>
    </row>
    <row r="9636" spans="1:7" x14ac:dyDescent="0.25">
      <c r="A9636" s="69" t="s">
        <v>322</v>
      </c>
      <c r="B9636" s="72" t="str">
        <f>VLOOKUP(A9636,'Componentes APUs'!$N$1:$Q$30,2,0)</f>
        <v>Camabaja</v>
      </c>
      <c r="C9636" s="73"/>
      <c r="D9636" s="70" t="str">
        <f>VLOOKUP(A9636,'Componentes APUs'!$N$1:$Q$30,3,0)</f>
        <v>TON/KM</v>
      </c>
      <c r="E9636" s="50">
        <v>0</v>
      </c>
      <c r="F9636" s="51">
        <f>VLOOKUP(A9636,'Componentes APUs'!$N$1:$Q$30,4,0)</f>
        <v>611</v>
      </c>
      <c r="G9636" s="51">
        <f>IFERROR(ROUNDUP(F9636*(E9636/21)/E9582,0),"-")</f>
        <v>0</v>
      </c>
    </row>
    <row r="9637" spans="1:7" x14ac:dyDescent="0.25">
      <c r="A9637" s="50" t="s">
        <v>323</v>
      </c>
      <c r="B9637" s="72" t="str">
        <f>VLOOKUP(A9637,'Componentes APUs'!$N$1:$Q$30,2,0)</f>
        <v>Volqueta</v>
      </c>
      <c r="C9637" s="73"/>
      <c r="D9637" s="70" t="str">
        <f>VLOOKUP(A9637,'Componentes APUs'!$N$1:$Q$30,3,0)</f>
        <v>U</v>
      </c>
      <c r="E9637" s="50">
        <v>0</v>
      </c>
      <c r="F9637" s="51">
        <f>VLOOKUP(A9637,'Componentes APUs'!$N$1:$Q$30,4,0)</f>
        <v>14828184</v>
      </c>
      <c r="G9637" s="51">
        <f>IFERROR(ROUNDUP(F9637*(E9637/21)/E9582,0),"-")</f>
        <v>0</v>
      </c>
    </row>
    <row r="9638" spans="1:7" x14ac:dyDescent="0.25">
      <c r="A9638" s="69" t="s">
        <v>324</v>
      </c>
      <c r="B9638" s="72" t="str">
        <f>VLOOKUP(A9638,'Componentes APUs'!$N$1:$Q$30,2,0)</f>
        <v>Retroexcavadora</v>
      </c>
      <c r="C9638" s="73"/>
      <c r="D9638" s="70" t="str">
        <f>VLOOKUP(A9638,'Componentes APUs'!$N$1:$Q$30,3,0)</f>
        <v>U</v>
      </c>
      <c r="E9638" s="50">
        <v>0</v>
      </c>
      <c r="F9638" s="51">
        <f>VLOOKUP(A9638,'Componentes APUs'!$N$1:$Q$30,4,0)</f>
        <v>46030656</v>
      </c>
      <c r="G9638" s="51">
        <f>IFERROR(ROUNDUP(F9638*(E9638/21)/E9582,0),"-")</f>
        <v>0</v>
      </c>
    </row>
    <row r="9639" spans="1:7" x14ac:dyDescent="0.25">
      <c r="A9639" s="219" t="s">
        <v>99</v>
      </c>
      <c r="B9639" s="219"/>
      <c r="C9639" s="219"/>
      <c r="D9639" s="219"/>
      <c r="E9639" s="219"/>
      <c r="F9639" s="219"/>
      <c r="G9639" s="52">
        <f>SUM(G9634:G9638)</f>
        <v>74830</v>
      </c>
    </row>
    <row r="9640" spans="1:7" x14ac:dyDescent="0.25">
      <c r="A9640" s="56"/>
      <c r="B9640" s="57"/>
      <c r="C9640" s="57"/>
      <c r="D9640" s="57"/>
      <c r="E9640" s="57"/>
      <c r="F9640" s="57"/>
      <c r="G9640" s="58"/>
    </row>
    <row r="9641" spans="1:7" x14ac:dyDescent="0.25">
      <c r="A9641" s="219" t="s">
        <v>1516</v>
      </c>
      <c r="B9641" s="219"/>
      <c r="C9641" s="219"/>
      <c r="D9641" s="219"/>
      <c r="E9641" s="219"/>
      <c r="F9641" s="219"/>
      <c r="G9641" s="52">
        <f>G9639+G9630+G9613+G9603+G9593</f>
        <v>645401</v>
      </c>
    </row>
    <row r="9642" spans="1:7" x14ac:dyDescent="0.25">
      <c r="A9642" s="59"/>
      <c r="B9642" s="60"/>
      <c r="C9642" s="60"/>
      <c r="D9642" s="60"/>
      <c r="E9642" s="57"/>
      <c r="F9642" s="57"/>
      <c r="G9642" s="58"/>
    </row>
    <row r="9643" spans="1:7" x14ac:dyDescent="0.25">
      <c r="A9643" s="64"/>
      <c r="D9643" s="55"/>
      <c r="E9643" s="49" t="s">
        <v>25</v>
      </c>
      <c r="F9643" s="54">
        <v>0.15</v>
      </c>
      <c r="G9643" s="51">
        <f>G9641*F9643</f>
        <v>96810.15</v>
      </c>
    </row>
    <row r="9644" spans="1:7" x14ac:dyDescent="0.25">
      <c r="A9644" s="64"/>
      <c r="D9644" s="55"/>
      <c r="E9644" s="49" t="s">
        <v>26</v>
      </c>
      <c r="F9644" s="54">
        <v>0.05</v>
      </c>
      <c r="G9644" s="51">
        <f>G9641*F9644</f>
        <v>32270.050000000003</v>
      </c>
    </row>
    <row r="9645" spans="1:7" x14ac:dyDescent="0.25">
      <c r="A9645" s="61"/>
      <c r="B9645" s="65"/>
      <c r="C9645" s="65"/>
      <c r="D9645" s="62"/>
      <c r="E9645" s="49" t="s">
        <v>27</v>
      </c>
      <c r="F9645" s="54">
        <v>0.05</v>
      </c>
      <c r="G9645" s="51">
        <f>G9641*F9645</f>
        <v>32270.050000000003</v>
      </c>
    </row>
    <row r="9646" spans="1:7" x14ac:dyDescent="0.25">
      <c r="A9646" s="61"/>
      <c r="B9646" s="62"/>
      <c r="C9646" s="62"/>
      <c r="D9646" s="62"/>
      <c r="E9646" s="62"/>
      <c r="F9646" s="62"/>
      <c r="G9646" s="63"/>
    </row>
    <row r="9647" spans="1:7" x14ac:dyDescent="0.25">
      <c r="A9647" s="219" t="s">
        <v>1517</v>
      </c>
      <c r="B9647" s="219"/>
      <c r="C9647" s="219"/>
      <c r="D9647" s="219"/>
      <c r="E9647" s="219"/>
      <c r="F9647" s="219"/>
      <c r="G9647" s="52">
        <f>G9641+G9643+G9644+G9645</f>
        <v>806751.25000000012</v>
      </c>
    </row>
    <row r="9648" spans="1:7" x14ac:dyDescent="0.25">
      <c r="A9648" s="59"/>
      <c r="B9648" s="60"/>
      <c r="C9648" s="60"/>
      <c r="D9648" s="60"/>
      <c r="E9648" s="57"/>
      <c r="F9648" s="57"/>
      <c r="G9648" s="58"/>
    </row>
    <row r="9649" spans="1:7" x14ac:dyDescent="0.25">
      <c r="A9649" s="64"/>
      <c r="D9649" s="55"/>
      <c r="E9649" s="49" t="s">
        <v>102</v>
      </c>
      <c r="F9649" s="49" t="s">
        <v>103</v>
      </c>
      <c r="G9649" s="51">
        <f>G9645*19%</f>
        <v>6131.3095000000003</v>
      </c>
    </row>
    <row r="9650" spans="1:7" x14ac:dyDescent="0.25">
      <c r="A9650" s="61"/>
      <c r="B9650" s="62"/>
      <c r="C9650" s="62"/>
      <c r="D9650" s="62"/>
      <c r="E9650" s="57"/>
      <c r="F9650" s="57"/>
      <c r="G9650" s="58"/>
    </row>
    <row r="9651" spans="1:7" x14ac:dyDescent="0.25">
      <c r="A9651" s="219" t="s">
        <v>104</v>
      </c>
      <c r="B9651" s="219"/>
      <c r="C9651" s="219"/>
      <c r="D9651" s="219"/>
      <c r="E9651" s="219"/>
      <c r="F9651" s="219"/>
      <c r="G9651" s="52">
        <f>G9649+G9647</f>
        <v>812882.55950000009</v>
      </c>
    </row>
    <row r="9653" spans="1:7" x14ac:dyDescent="0.25">
      <c r="A9653" s="74" t="s">
        <v>29</v>
      </c>
      <c r="B9653" s="226" t="s">
        <v>30</v>
      </c>
      <c r="C9653" s="226"/>
      <c r="D9653" s="74" t="s">
        <v>31</v>
      </c>
      <c r="E9653" s="74" t="s">
        <v>32</v>
      </c>
      <c r="F9653" s="74" t="s">
        <v>189</v>
      </c>
      <c r="G9653" s="74" t="s">
        <v>33</v>
      </c>
    </row>
    <row r="9654" spans="1:7" ht="44.25" customHeight="1" x14ac:dyDescent="0.25">
      <c r="A9654" s="50" t="str">
        <f>Presupuesto!B178</f>
        <v>002_CA</v>
      </c>
      <c r="B9654" s="220" t="str">
        <f>Presupuesto!C178</f>
        <v>SUMINISTRO E INSTALACIÓN DE BANDEJA PORTACABLES 15X10 CM. INCLUYE CURVAS Y SISTEMA DE FIJACIÓN (DISTRIBUCIÓN DC Y AC)</v>
      </c>
      <c r="C9654" s="220"/>
      <c r="D9654" s="50" t="s">
        <v>108</v>
      </c>
      <c r="E9654" s="50">
        <v>15</v>
      </c>
      <c r="F9654" s="50"/>
      <c r="G9654" s="51">
        <f>G9722</f>
        <v>260188.76949999997</v>
      </c>
    </row>
    <row r="9655" spans="1:7" x14ac:dyDescent="0.25">
      <c r="A9655" s="219" t="s">
        <v>34</v>
      </c>
      <c r="B9655" s="219"/>
      <c r="C9655" s="219"/>
      <c r="D9655" s="219"/>
      <c r="E9655" s="219"/>
      <c r="F9655" s="219"/>
      <c r="G9655" s="219"/>
    </row>
    <row r="9656" spans="1:7" x14ac:dyDescent="0.25">
      <c r="A9656" s="49" t="s">
        <v>35</v>
      </c>
      <c r="B9656" s="219" t="s">
        <v>36</v>
      </c>
      <c r="C9656" s="219"/>
      <c r="D9656" s="49" t="s">
        <v>37</v>
      </c>
      <c r="E9656" s="49" t="s">
        <v>38</v>
      </c>
      <c r="F9656" s="49" t="s">
        <v>39</v>
      </c>
      <c r="G9656" s="49" t="s">
        <v>40</v>
      </c>
    </row>
    <row r="9657" spans="1:7" ht="28.5" customHeight="1" x14ac:dyDescent="0.25">
      <c r="A9657" s="17" t="str">
        <f>Material!A56</f>
        <v>MA-55</v>
      </c>
      <c r="B9657" s="221" t="str">
        <f>IFERROR(VLOOKUP(A9657,Material!$A:$H,2,0),"-")</f>
        <v>BANDEJA PORTACABLES EN ACERO GALVANIZADO RECTO ALTO: 15 CM, ANCHO: 10 CM</v>
      </c>
      <c r="C9657" s="222"/>
      <c r="D9657" s="50" t="str">
        <f>IFERROR(VLOOKUP(A9657,Material!$A:$H,4,0),"-")</f>
        <v>ML</v>
      </c>
      <c r="E9657" s="50">
        <v>1</v>
      </c>
      <c r="F9657" s="51">
        <f>IFERROR(VLOOKUP(A9657,Material!$A:$H,3,0),"-")</f>
        <v>126975.875</v>
      </c>
      <c r="G9657" s="51">
        <f t="shared" ref="G9657:G9663" si="136">IFERROR(ROUNDUP(F9657*E9657,0),"-")</f>
        <v>126976</v>
      </c>
    </row>
    <row r="9658" spans="1:7" ht="28.5" customHeight="1" x14ac:dyDescent="0.25">
      <c r="A9658" s="17" t="str">
        <f>Material!A57</f>
        <v>MA-56</v>
      </c>
      <c r="B9658" s="221" t="str">
        <f>IFERROR(VLOOKUP(A9658,Material!$A:$H,2,0),"-")</f>
        <v>CURVA BANDEJA PORTACABLES EN ACERO GALVANIZADO A 90° ALTO: 15 CM, ANCHO: 10 CM.</v>
      </c>
      <c r="C9658" s="222"/>
      <c r="D9658" s="50" t="str">
        <f>IFERROR(VLOOKUP(A9658,Material!$A:$H,4,0),"-")</f>
        <v>ML</v>
      </c>
      <c r="E9658" s="50">
        <v>0.05</v>
      </c>
      <c r="F9658" s="51">
        <f>IFERROR(VLOOKUP(A9658,Material!$A:$H,3,0),"-")</f>
        <v>55381.083333333336</v>
      </c>
      <c r="G9658" s="51">
        <f t="shared" si="136"/>
        <v>2770</v>
      </c>
    </row>
    <row r="9659" spans="1:7" x14ac:dyDescent="0.25">
      <c r="A9659" s="17" t="str">
        <f>Material!A195</f>
        <v>MA-194</v>
      </c>
      <c r="B9659" s="72" t="str">
        <f>IFERROR(VLOOKUP(A9659,Material!$A:$H,2,0),"-")</f>
        <v>CHAZO EXPANSIVO RL 3/8"</v>
      </c>
      <c r="C9659" s="73"/>
      <c r="D9659" s="50" t="str">
        <f>IFERROR(VLOOKUP(A9659,Material!$A:$H,4,0),"-")</f>
        <v>UN</v>
      </c>
      <c r="E9659" s="50">
        <v>2</v>
      </c>
      <c r="F9659" s="51">
        <f>IFERROR(VLOOKUP(A9659,Material!$A:$H,3,0),"-")</f>
        <v>455</v>
      </c>
      <c r="G9659" s="51">
        <f t="shared" si="136"/>
        <v>910</v>
      </c>
    </row>
    <row r="9660" spans="1:7" x14ac:dyDescent="0.25">
      <c r="A9660" s="17" t="str">
        <f>Material!A196</f>
        <v>MA-195</v>
      </c>
      <c r="B9660" s="72" t="str">
        <f>IFERROR(VLOOKUP(A9660,Material!$A:$H,2,0),"-")</f>
        <v>VARILLA ROSCADA DE 3/8"</v>
      </c>
      <c r="C9660" s="73"/>
      <c r="D9660" s="50" t="str">
        <f>IFERROR(VLOOKUP(A9660,Material!$A:$H,4,0),"-")</f>
        <v>UN</v>
      </c>
      <c r="E9660" s="50">
        <v>0.2</v>
      </c>
      <c r="F9660" s="51">
        <f>IFERROR(VLOOKUP(A9660,Material!$A:$H,3,0),"-")</f>
        <v>3466.6666666666665</v>
      </c>
      <c r="G9660" s="51">
        <f t="shared" si="136"/>
        <v>694</v>
      </c>
    </row>
    <row r="9661" spans="1:7" x14ac:dyDescent="0.25">
      <c r="A9661" s="17" t="str">
        <f>Material!A197</f>
        <v>MA-196</v>
      </c>
      <c r="B9661" s="72" t="str">
        <f>IFERROR(VLOOKUP(A9661,Material!$A:$H,2,0),"-")</f>
        <v>RIEL UNISTRUT RANURADO 2X4 CM</v>
      </c>
      <c r="C9661" s="73"/>
      <c r="D9661" s="50" t="str">
        <f>IFERROR(VLOOKUP(A9661,Material!$A:$H,4,0),"-")</f>
        <v>ML</v>
      </c>
      <c r="E9661" s="50">
        <v>0.3</v>
      </c>
      <c r="F9661" s="51">
        <f>IFERROR(VLOOKUP(A9661,Material!$A:$H,3,0),"-")</f>
        <v>10551.666666666668</v>
      </c>
      <c r="G9661" s="51">
        <f t="shared" si="136"/>
        <v>3166</v>
      </c>
    </row>
    <row r="9662" spans="1:7" x14ac:dyDescent="0.25">
      <c r="A9662" s="17" t="str">
        <f>Material!A198</f>
        <v>MA-197</v>
      </c>
      <c r="B9662" s="72" t="str">
        <f>IFERROR(VLOOKUP(A9662,Material!$A:$H,2,0),"-")</f>
        <v>CABLE DE COBRE DESNUDO NO 8 AWG</v>
      </c>
      <c r="C9662" s="76"/>
      <c r="D9662" s="50" t="str">
        <f>IFERROR(VLOOKUP(A9662,Material!$A:$H,4,0),"-")</f>
        <v>ML</v>
      </c>
      <c r="E9662" s="50">
        <v>1</v>
      </c>
      <c r="F9662" s="51">
        <f>IFERROR(VLOOKUP(A9662,Material!$A:$H,3,0),"-")</f>
        <v>7150</v>
      </c>
      <c r="G9662" s="51">
        <f t="shared" si="136"/>
        <v>7150</v>
      </c>
    </row>
    <row r="9663" spans="1:7" x14ac:dyDescent="0.25">
      <c r="A9663" s="17"/>
      <c r="B9663" s="72" t="str">
        <f>IFERROR(VLOOKUP(A9663,Material!$A:$H,2,0),"-")</f>
        <v>-</v>
      </c>
      <c r="C9663" s="76"/>
      <c r="D9663" s="50" t="str">
        <f>IFERROR(VLOOKUP(A9663,Material!$A:$H,4,0),"-")</f>
        <v>-</v>
      </c>
      <c r="E9663" s="50"/>
      <c r="F9663" s="51" t="str">
        <f>IFERROR(VLOOKUP(A9663,Material!$A:$H,3,0),"-")</f>
        <v>-</v>
      </c>
      <c r="G9663" s="51" t="str">
        <f t="shared" si="136"/>
        <v>-</v>
      </c>
    </row>
    <row r="9664" spans="1:7" x14ac:dyDescent="0.25">
      <c r="A9664" s="219" t="s">
        <v>41</v>
      </c>
      <c r="B9664" s="219"/>
      <c r="C9664" s="219"/>
      <c r="D9664" s="219"/>
      <c r="E9664" s="219"/>
      <c r="F9664" s="219"/>
      <c r="G9664" s="52">
        <f>SUM(G9657:G9663)</f>
        <v>141666</v>
      </c>
    </row>
    <row r="9665" spans="1:7" x14ac:dyDescent="0.25">
      <c r="A9665" s="56"/>
      <c r="B9665" s="57"/>
      <c r="C9665" s="57"/>
      <c r="D9665" s="57"/>
      <c r="E9665" s="57"/>
      <c r="F9665" s="57"/>
      <c r="G9665" s="58"/>
    </row>
    <row r="9666" spans="1:7" x14ac:dyDescent="0.25">
      <c r="A9666" s="219" t="s">
        <v>42</v>
      </c>
      <c r="B9666" s="219"/>
      <c r="C9666" s="219"/>
      <c r="D9666" s="219"/>
      <c r="E9666" s="219"/>
      <c r="F9666" s="219"/>
      <c r="G9666" s="219"/>
    </row>
    <row r="9667" spans="1:7" x14ac:dyDescent="0.25">
      <c r="A9667" s="49" t="s">
        <v>35</v>
      </c>
      <c r="B9667" s="49" t="s">
        <v>36</v>
      </c>
      <c r="C9667" s="49" t="s">
        <v>38</v>
      </c>
      <c r="D9667" s="49" t="s">
        <v>43</v>
      </c>
      <c r="E9667" s="49" t="s">
        <v>44</v>
      </c>
      <c r="F9667" s="49" t="s">
        <v>45</v>
      </c>
      <c r="G9667" s="49" t="s">
        <v>40</v>
      </c>
    </row>
    <row r="9668" spans="1:7" x14ac:dyDescent="0.25">
      <c r="A9668" s="50" t="s">
        <v>319</v>
      </c>
      <c r="B9668" s="68" t="str">
        <f>VLOOKUP(A9668,'Componentes APUs'!$H$1:$L$25,2,0)</f>
        <v>Ingeniero Residente de Obra</v>
      </c>
      <c r="C9668" s="93">
        <v>0.25</v>
      </c>
      <c r="D9668" s="50">
        <f>VLOOKUP(A9668,'Componentes APUs'!$H$1:$L$25,3,0)</f>
        <v>4</v>
      </c>
      <c r="E9668" s="51">
        <f>VLOOKUP(A9668,'Componentes APUs'!$H$1:$L$25,4,0)</f>
        <v>271142.85714285716</v>
      </c>
      <c r="F9668" s="51">
        <f>VLOOKUP(A9668,'Componentes APUs'!$H$1:$L$25,5,0)</f>
        <v>162685.71428571429</v>
      </c>
      <c r="G9668" s="51">
        <f>ROUNDUP((E9668+F9668)*C9668/E9654,0)</f>
        <v>7231</v>
      </c>
    </row>
    <row r="9669" spans="1:7" x14ac:dyDescent="0.25">
      <c r="A9669" s="50" t="s">
        <v>320</v>
      </c>
      <c r="B9669" s="68" t="str">
        <f>VLOOKUP(A9669,'Componentes APUs'!$H$1:$L$25,2,0)</f>
        <v>Tecnico Supervisor</v>
      </c>
      <c r="C9669" s="93">
        <v>0.25</v>
      </c>
      <c r="D9669" s="50">
        <f>VLOOKUP(A9669,'Componentes APUs'!$H$1:$L$25,3,0)</f>
        <v>2.2999999999999998</v>
      </c>
      <c r="E9669" s="51">
        <f>VLOOKUP(A9669,'Componentes APUs'!$H$1:$L$25,4,0)</f>
        <v>155907.14285714284</v>
      </c>
      <c r="F9669" s="51">
        <f>VLOOKUP(A9669,'Componentes APUs'!$H$1:$L$25,5,0)</f>
        <v>93544.285714285696</v>
      </c>
      <c r="G9669" s="51">
        <f>ROUNDUP((E9669+F9669)*C9669/E9654,0)</f>
        <v>4158</v>
      </c>
    </row>
    <row r="9670" spans="1:7" x14ac:dyDescent="0.25">
      <c r="A9670" s="50" t="s">
        <v>46</v>
      </c>
      <c r="B9670" s="68" t="str">
        <f>VLOOKUP(A9670,'Componentes APUs'!$H$1:$L$25,2,0)</f>
        <v>Tecnico Liniero</v>
      </c>
      <c r="C9670" s="93">
        <v>1</v>
      </c>
      <c r="D9670" s="50">
        <f>VLOOKUP(A9670,'Componentes APUs'!$H$1:$L$25,3,0)</f>
        <v>2</v>
      </c>
      <c r="E9670" s="51">
        <f>VLOOKUP(A9670,'Componentes APUs'!$H$1:$L$25,4,0)</f>
        <v>154619.04761904763</v>
      </c>
      <c r="F9670" s="51">
        <f>VLOOKUP(A9670,'Componentes APUs'!$H$1:$L$25,5,0)</f>
        <v>92771.42857142858</v>
      </c>
      <c r="G9670" s="51">
        <f>ROUNDUP((E9670+F9670)*C9670/E9654,0)</f>
        <v>16493</v>
      </c>
    </row>
    <row r="9671" spans="1:7" x14ac:dyDescent="0.25">
      <c r="A9671" s="50" t="s">
        <v>48</v>
      </c>
      <c r="B9671" s="68" t="str">
        <f>VLOOKUP(A9671,'Componentes APUs'!$H$1:$L$25,2,0)</f>
        <v>Ayudante Calificado</v>
      </c>
      <c r="C9671" s="93">
        <v>1</v>
      </c>
      <c r="D9671" s="50">
        <f>VLOOKUP(A9671,'Componentes APUs'!$H$1:$L$25,3,0)</f>
        <v>1.5</v>
      </c>
      <c r="E9671" s="51">
        <f>VLOOKUP(A9671,'Componentes APUs'!$H$1:$L$25,4,0)</f>
        <v>115964.28571428571</v>
      </c>
      <c r="F9671" s="51">
        <f>VLOOKUP(A9671,'Componentes APUs'!$H$1:$L$25,5,0)</f>
        <v>69578.57142857142</v>
      </c>
      <c r="G9671" s="51">
        <f>ROUNDUP((E9671+F9671)*C9671/E9654,0)</f>
        <v>12370</v>
      </c>
    </row>
    <row r="9672" spans="1:7" x14ac:dyDescent="0.25">
      <c r="A9672" s="50" t="s">
        <v>50</v>
      </c>
      <c r="B9672" s="68" t="str">
        <f>VLOOKUP(A9672,'Componentes APUs'!$H$1:$L$25,2,0)</f>
        <v>Profesional en SST</v>
      </c>
      <c r="C9672" s="93">
        <v>0.25</v>
      </c>
      <c r="D9672" s="50">
        <f>VLOOKUP(A9672,'Componentes APUs'!$H$1:$L$25,3,0)</f>
        <v>2.5</v>
      </c>
      <c r="E9672" s="51">
        <f>VLOOKUP(A9672,'Componentes APUs'!$H$1:$L$25,4,0)</f>
        <v>169464.28571428571</v>
      </c>
      <c r="F9672" s="51">
        <f>VLOOKUP(A9672,'Componentes APUs'!$H$1:$L$25,5,0)</f>
        <v>101678.57142857142</v>
      </c>
      <c r="G9672" s="51">
        <f>ROUNDUP((E9672+F9672)*C9672/E9654,0)</f>
        <v>4520</v>
      </c>
    </row>
    <row r="9673" spans="1:7" x14ac:dyDescent="0.25">
      <c r="A9673" s="50" t="s">
        <v>52</v>
      </c>
      <c r="B9673" s="68" t="str">
        <f>VLOOKUP(A9673,'Componentes APUs'!$H$1:$L$25,2,0)</f>
        <v>Ayudante No Calificado</v>
      </c>
      <c r="C9673" s="93">
        <v>0</v>
      </c>
      <c r="D9673" s="50">
        <f>VLOOKUP(A9673,'Componentes APUs'!$H$1:$L$25,3,0)</f>
        <v>1</v>
      </c>
      <c r="E9673" s="51">
        <f>VLOOKUP(A9673,'Componentes APUs'!$H$1:$L$25,4,0)</f>
        <v>77309.523809523816</v>
      </c>
      <c r="F9673" s="51">
        <f>VLOOKUP(A9673,'Componentes APUs'!$H$1:$L$25,5,0)</f>
        <v>46385.71428571429</v>
      </c>
      <c r="G9673" s="51">
        <f>ROUNDUP((E9673+F9673)*C9673/E9654,0)</f>
        <v>0</v>
      </c>
    </row>
    <row r="9674" spans="1:7" x14ac:dyDescent="0.25">
      <c r="A9674" s="219" t="s">
        <v>56</v>
      </c>
      <c r="B9674" s="219"/>
      <c r="C9674" s="219"/>
      <c r="D9674" s="219"/>
      <c r="E9674" s="219"/>
      <c r="F9674" s="219"/>
      <c r="G9674" s="52">
        <f>SUM(G9668:G9673)</f>
        <v>44772</v>
      </c>
    </row>
    <row r="9675" spans="1:7" x14ac:dyDescent="0.25">
      <c r="A9675" s="56"/>
      <c r="B9675" s="57"/>
      <c r="C9675" s="57"/>
      <c r="D9675" s="57"/>
      <c r="E9675" s="57"/>
      <c r="F9675" s="57"/>
      <c r="G9675" s="58"/>
    </row>
    <row r="9676" spans="1:7" x14ac:dyDescent="0.25">
      <c r="A9676" s="219" t="s">
        <v>57</v>
      </c>
      <c r="B9676" s="219"/>
      <c r="C9676" s="219"/>
      <c r="D9676" s="219"/>
      <c r="E9676" s="219"/>
      <c r="F9676" s="219"/>
      <c r="G9676" s="219"/>
    </row>
    <row r="9677" spans="1:7" x14ac:dyDescent="0.25">
      <c r="A9677" s="49" t="s">
        <v>35</v>
      </c>
      <c r="B9677" s="219" t="s">
        <v>36</v>
      </c>
      <c r="C9677" s="219"/>
      <c r="D9677" s="49" t="s">
        <v>37</v>
      </c>
      <c r="E9677" s="49" t="s">
        <v>38</v>
      </c>
      <c r="F9677" s="49" t="s">
        <v>39</v>
      </c>
      <c r="G9677" s="49" t="s">
        <v>40</v>
      </c>
    </row>
    <row r="9678" spans="1:7" x14ac:dyDescent="0.25">
      <c r="A9678" s="50" t="s">
        <v>326</v>
      </c>
      <c r="B9678" s="220" t="str">
        <f>VLOOKUP(A9678,'Componentes APUs'!$S$1:$V$10,2,0)</f>
        <v>Juego Llaves</v>
      </c>
      <c r="C9678" s="220"/>
      <c r="D9678" s="50" t="s">
        <v>18</v>
      </c>
      <c r="E9678" s="50">
        <v>2</v>
      </c>
      <c r="F9678" s="51">
        <f>VLOOKUP(A9678,'Componentes APUs'!$S$1:$V$10,4,0)</f>
        <v>9167</v>
      </c>
      <c r="G9678" s="51">
        <f>ROUNDUP(F9678*((E9678/21)/E9654),0)</f>
        <v>59</v>
      </c>
    </row>
    <row r="9679" spans="1:7" x14ac:dyDescent="0.25">
      <c r="A9679" s="50" t="s">
        <v>58</v>
      </c>
      <c r="B9679" s="220" t="str">
        <f>VLOOKUP(A9679,'Componentes APUs'!$S$1:$V$10,2,0)</f>
        <v>Manila de servicio</v>
      </c>
      <c r="C9679" s="220"/>
      <c r="D9679" s="50" t="s">
        <v>18</v>
      </c>
      <c r="E9679" s="50">
        <v>2</v>
      </c>
      <c r="F9679" s="51">
        <f>VLOOKUP(A9679,'Componentes APUs'!$S$1:$V$10,4,0)</f>
        <v>2333</v>
      </c>
      <c r="G9679" s="51">
        <f>ROUNDUP(F9679*((E9679/21)/E9654),0)</f>
        <v>15</v>
      </c>
    </row>
    <row r="9680" spans="1:7" x14ac:dyDescent="0.25">
      <c r="A9680" s="50" t="s">
        <v>327</v>
      </c>
      <c r="B9680" s="220" t="str">
        <f>VLOOKUP(A9680,'Componentes APUs'!$S$1:$V$10,2,0)</f>
        <v>Tula portaherramientas</v>
      </c>
      <c r="C9680" s="220"/>
      <c r="D9680" s="50" t="s">
        <v>18</v>
      </c>
      <c r="E9680" s="50">
        <v>2</v>
      </c>
      <c r="F9680" s="51">
        <f>VLOOKUP(A9680,'Componentes APUs'!$S$1:$V$10,4,0)</f>
        <v>1250</v>
      </c>
      <c r="G9680" s="51">
        <f>ROUNDUP(F9680*((E9680/21)/E9654),0)</f>
        <v>8</v>
      </c>
    </row>
    <row r="9681" spans="1:7" x14ac:dyDescent="0.25">
      <c r="A9681" s="50" t="s">
        <v>60</v>
      </c>
      <c r="B9681" s="220" t="str">
        <f>VLOOKUP(A9681,'Componentes APUs'!$S$1:$V$10,2,0)</f>
        <v>Agarradoras</v>
      </c>
      <c r="C9681" s="220"/>
      <c r="D9681" s="50" t="s">
        <v>18</v>
      </c>
      <c r="E9681" s="50">
        <v>2</v>
      </c>
      <c r="F9681" s="51">
        <f>VLOOKUP(A9681,'Componentes APUs'!$S$1:$V$10,4,0)</f>
        <v>125000</v>
      </c>
      <c r="G9681" s="51">
        <f>ROUNDUP(F9681*((E9681/21)/E9654),0)</f>
        <v>794</v>
      </c>
    </row>
    <row r="9682" spans="1:7" x14ac:dyDescent="0.25">
      <c r="A9682" s="50" t="s">
        <v>62</v>
      </c>
      <c r="B9682" s="220" t="str">
        <f>VLOOKUP(A9682,'Componentes APUs'!$S$1:$V$10,2,0)</f>
        <v>Templadoras</v>
      </c>
      <c r="C9682" s="220"/>
      <c r="D9682" s="50" t="s">
        <v>18</v>
      </c>
      <c r="E9682" s="50">
        <v>1</v>
      </c>
      <c r="F9682" s="51">
        <f>VLOOKUP(A9682,'Componentes APUs'!$S$1:$V$10,4,0)</f>
        <v>250000</v>
      </c>
      <c r="G9682" s="51">
        <f>ROUNDUP(F9682*((E9682/21)/E9654),0)</f>
        <v>794</v>
      </c>
    </row>
    <row r="9683" spans="1:7" x14ac:dyDescent="0.25">
      <c r="A9683" s="50" t="s">
        <v>328</v>
      </c>
      <c r="B9683" s="220" t="str">
        <f>VLOOKUP(A9683,'Componentes APUs'!$S$1:$V$10,2,0)</f>
        <v>Herramienta Menor</v>
      </c>
      <c r="C9683" s="220"/>
      <c r="D9683" s="50" t="s">
        <v>18</v>
      </c>
      <c r="E9683" s="50">
        <v>2</v>
      </c>
      <c r="F9683" s="51">
        <f>VLOOKUP(A9683,'Componentes APUs'!$S$1:$V$10,4,0)</f>
        <v>75758</v>
      </c>
      <c r="G9683" s="51">
        <f>ROUNDUP(F9683*((E9683/21)/E9654),0)</f>
        <v>482</v>
      </c>
    </row>
    <row r="9684" spans="1:7" x14ac:dyDescent="0.25">
      <c r="A9684" s="219" t="s">
        <v>69</v>
      </c>
      <c r="B9684" s="219"/>
      <c r="C9684" s="219"/>
      <c r="D9684" s="219"/>
      <c r="E9684" s="219"/>
      <c r="F9684" s="219"/>
      <c r="G9684" s="52">
        <f>SUM(G9678:G9683)</f>
        <v>2152</v>
      </c>
    </row>
    <row r="9685" spans="1:7" x14ac:dyDescent="0.25">
      <c r="A9685" s="56"/>
      <c r="B9685" s="57"/>
      <c r="C9685" s="57"/>
      <c r="D9685" s="57"/>
      <c r="E9685" s="57"/>
      <c r="F9685" s="57"/>
      <c r="G9685" s="58"/>
    </row>
    <row r="9686" spans="1:7" x14ac:dyDescent="0.25">
      <c r="A9686" s="219" t="s">
        <v>70</v>
      </c>
      <c r="B9686" s="219"/>
      <c r="C9686" s="219"/>
      <c r="D9686" s="219"/>
      <c r="E9686" s="219"/>
      <c r="F9686" s="219"/>
      <c r="G9686" s="219"/>
    </row>
    <row r="9687" spans="1:7" x14ac:dyDescent="0.25">
      <c r="A9687" s="49" t="s">
        <v>35</v>
      </c>
      <c r="B9687" s="219" t="s">
        <v>36</v>
      </c>
      <c r="C9687" s="219"/>
      <c r="D9687" s="49" t="s">
        <v>37</v>
      </c>
      <c r="E9687" s="49" t="s">
        <v>38</v>
      </c>
      <c r="F9687" s="49" t="s">
        <v>39</v>
      </c>
      <c r="G9687" s="49" t="s">
        <v>40</v>
      </c>
    </row>
    <row r="9688" spans="1:7" x14ac:dyDescent="0.25">
      <c r="A9688" s="50" t="s">
        <v>71</v>
      </c>
      <c r="B9688" s="71" t="str">
        <f>VLOOKUP(A9688,'Componentes APUs'!$A$1:$D$14,2,0)</f>
        <v>Camisa indigo sin partes metalicas</v>
      </c>
      <c r="C9688" s="71"/>
      <c r="D9688" s="50" t="str">
        <f>VLOOKUP(A9688,'Componentes APUs'!$A$1:$D$14,3,0)</f>
        <v>U</v>
      </c>
      <c r="E9688" s="50">
        <f>SUM(C9668:C9673)</f>
        <v>2.75</v>
      </c>
      <c r="F9688" s="51">
        <f>VLOOKUP(A9688,'Componentes APUs'!$A$1:$D$14,4,0)</f>
        <v>8585.8585858585866</v>
      </c>
      <c r="G9688" s="51">
        <f>ROUNDUP(F9688*(E9688/21)/E9654,0)</f>
        <v>75</v>
      </c>
    </row>
    <row r="9689" spans="1:7" x14ac:dyDescent="0.25">
      <c r="A9689" s="69" t="s">
        <v>73</v>
      </c>
      <c r="B9689" s="72" t="str">
        <f>VLOOKUP(A9689,'Componentes APUs'!$A$1:$D$14,2,0)</f>
        <v>Bota de seguridad dielectrica</v>
      </c>
      <c r="C9689" s="73"/>
      <c r="D9689" s="70" t="str">
        <f>VLOOKUP(A9689,'Componentes APUs'!$A$1:$D$14,3,0)</f>
        <v>Par</v>
      </c>
      <c r="E9689" s="50">
        <f>SUM(C9668:C9673)</f>
        <v>2.75</v>
      </c>
      <c r="F9689" s="51">
        <f>VLOOKUP(A9689,'Componentes APUs'!$A$1:$D$14,4,0)</f>
        <v>7500</v>
      </c>
      <c r="G9689" s="51">
        <f>ROUNDUP(F9689*(E9689/21)/E9654,0)</f>
        <v>66</v>
      </c>
    </row>
    <row r="9690" spans="1:7" x14ac:dyDescent="0.25">
      <c r="A9690" s="50" t="s">
        <v>76</v>
      </c>
      <c r="B9690" s="72" t="str">
        <f>VLOOKUP(A9690,'Componentes APUs'!$A$1:$D$14,2,0)</f>
        <v>Casco dielectrico Tipo 1 Clase E con barbuquejo</v>
      </c>
      <c r="C9690" s="73"/>
      <c r="D9690" s="50" t="str">
        <f>VLOOKUP(A9690,'Componentes APUs'!$A$1:$D$14,3,0)</f>
        <v>U</v>
      </c>
      <c r="E9690" s="50">
        <f>C9668+C9671+C9672+C9669+C9673+IF(A9670&lt;&gt;"MO-3",C9670,0)</f>
        <v>1.75</v>
      </c>
      <c r="F9690" s="51">
        <f>VLOOKUP(A9690,'Componentes APUs'!$A$1:$D$14,4,0)</f>
        <v>10101.010101010101</v>
      </c>
      <c r="G9690" s="51">
        <f>ROUNDUP(F9690*(E9690/21)/E9654,0)</f>
        <v>57</v>
      </c>
    </row>
    <row r="9691" spans="1:7" x14ac:dyDescent="0.25">
      <c r="A9691" s="69" t="s">
        <v>77</v>
      </c>
      <c r="B9691" s="72" t="str">
        <f>VLOOKUP(A9691,'Componentes APUs'!$A$1:$D$14,2,0)</f>
        <v>Correa plastica y antiflama</v>
      </c>
      <c r="C9691" s="73"/>
      <c r="D9691" s="50" t="str">
        <f>VLOOKUP(A9691,'Componentes APUs'!$A$1:$D$14,3,0)</f>
        <v>U</v>
      </c>
      <c r="E9691" s="50">
        <f>SUM(C9668:C9673)</f>
        <v>2.75</v>
      </c>
      <c r="F9691" s="51">
        <f>VLOOKUP(A9691,'Componentes APUs'!$A$1:$D$14,4,0)</f>
        <v>3787.878787878788</v>
      </c>
      <c r="G9691" s="51">
        <f>ROUNDUP(F9691*(E9691/21)/E9654,0)</f>
        <v>34</v>
      </c>
    </row>
    <row r="9692" spans="1:7" x14ac:dyDescent="0.25">
      <c r="A9692" s="50" t="s">
        <v>79</v>
      </c>
      <c r="B9692" s="72" t="str">
        <f>VLOOKUP(A9692,'Componentes APUs'!$A$1:$D$14,2,0)</f>
        <v>Gafas protectoras filtro UV</v>
      </c>
      <c r="C9692" s="73"/>
      <c r="D9692" s="50" t="str">
        <f>VLOOKUP(A9692,'Componentes APUs'!$A$1:$D$14,3,0)</f>
        <v>U</v>
      </c>
      <c r="E9692" s="50">
        <f>SUM(C9668:C9673)</f>
        <v>2.75</v>
      </c>
      <c r="F9692" s="51">
        <f>VLOOKUP(A9692,'Componentes APUs'!$A$1:$D$14,4,0)</f>
        <v>2777.7777777777778</v>
      </c>
      <c r="G9692" s="51">
        <f>ROUNDUP(F9692*(E9692/21)/E9654,0)</f>
        <v>25</v>
      </c>
    </row>
    <row r="9693" spans="1:7" x14ac:dyDescent="0.25">
      <c r="A9693" s="69" t="s">
        <v>402</v>
      </c>
      <c r="B9693" s="72" t="str">
        <f>VLOOKUP(A9693,'Componentes APUs'!$A$1:$D$14,2,0)</f>
        <v>Bota de seguridad PVC dielectrica</v>
      </c>
      <c r="C9693" s="73"/>
      <c r="D9693" s="50" t="str">
        <f>VLOOKUP(A9693,'Componentes APUs'!$A$1:$D$14,3,0)</f>
        <v>Par</v>
      </c>
      <c r="E9693" s="50">
        <f>SUM(C9668:C9673)</f>
        <v>2.75</v>
      </c>
      <c r="F9693" s="51">
        <f>VLOOKUP(A9693,'Componentes APUs'!$A$1:$D$14,4,0)</f>
        <v>2916.6666666666665</v>
      </c>
      <c r="G9693" s="51">
        <f>ROUNDUP(F9693*(E9693/21)/E9654,0)</f>
        <v>26</v>
      </c>
    </row>
    <row r="9694" spans="1:7" x14ac:dyDescent="0.25">
      <c r="A9694" s="50" t="s">
        <v>403</v>
      </c>
      <c r="B9694" s="72" t="str">
        <f>VLOOKUP(A9694,'Componentes APUs'!$A$1:$D$14,2,0)</f>
        <v>Capuchon</v>
      </c>
      <c r="C9694" s="73"/>
      <c r="D9694" s="50" t="str">
        <f>VLOOKUP(A9694,'Componentes APUs'!$A$1:$D$14,3,0)</f>
        <v>U</v>
      </c>
      <c r="E9694" s="50">
        <f>SUM(C9668:C9673)</f>
        <v>2.75</v>
      </c>
      <c r="F9694" s="51">
        <f>VLOOKUP(A9694,'Componentes APUs'!$A$1:$D$14,4,0)</f>
        <v>2525.2525252525252</v>
      </c>
      <c r="G9694" s="51">
        <f>ROUNDUP(F9694*(E9694/21)/E9654,0)</f>
        <v>23</v>
      </c>
    </row>
    <row r="9695" spans="1:7" x14ac:dyDescent="0.25">
      <c r="A9695" s="69" t="s">
        <v>81</v>
      </c>
      <c r="B9695" s="72" t="str">
        <f>VLOOKUP(A9695,'Componentes APUs'!$A$1:$D$14,2,0)</f>
        <v>Guantes Protectores  - ingeniero reforzados</v>
      </c>
      <c r="C9695" s="73"/>
      <c r="D9695" s="50" t="str">
        <f>VLOOKUP(A9695,'Componentes APUs'!$A$1:$D$14,3,0)</f>
        <v>Par</v>
      </c>
      <c r="E9695" s="50">
        <f>C9670+C9671+C9673</f>
        <v>2</v>
      </c>
      <c r="F9695" s="51">
        <f>VLOOKUP(A9695,'Componentes APUs'!$A$1:$D$14,4,0)</f>
        <v>2525.2525252525252</v>
      </c>
      <c r="G9695" s="51">
        <f>ROUNDUP(F9695*(E9695/21)/E9654,0)</f>
        <v>17</v>
      </c>
    </row>
    <row r="9696" spans="1:7" x14ac:dyDescent="0.25">
      <c r="A9696" s="50" t="s">
        <v>83</v>
      </c>
      <c r="B9696" s="72" t="str">
        <f>VLOOKUP(A9696,'Componentes APUs'!$A$1:$D$14,2,0)</f>
        <v>Impermeable (pantalon camisa)</v>
      </c>
      <c r="C9696" s="73"/>
      <c r="D9696" s="50" t="str">
        <f>VLOOKUP(A9696,'Componentes APUs'!$A$1:$D$14,3,0)</f>
        <v>U</v>
      </c>
      <c r="E9696" s="50">
        <f>SUM(C9668:C9673)</f>
        <v>2.75</v>
      </c>
      <c r="F9696" s="51">
        <f>VLOOKUP(A9696,'Componentes APUs'!$A$1:$D$14,4,0)</f>
        <v>3750</v>
      </c>
      <c r="G9696" s="51">
        <f>ROUNDUP(F9696*(E9696/21)/E9654,0)</f>
        <v>33</v>
      </c>
    </row>
    <row r="9697" spans="1:7" x14ac:dyDescent="0.25">
      <c r="A9697" s="69" t="s">
        <v>85</v>
      </c>
      <c r="B9697" s="72" t="str">
        <f>VLOOKUP(A9697,'Componentes APUs'!$A$1:$D$14,2,0)</f>
        <v>Jean Dielectrico</v>
      </c>
      <c r="C9697" s="73"/>
      <c r="D9697" s="50" t="str">
        <f>VLOOKUP(A9697,'Componentes APUs'!$A$1:$D$14,3,0)</f>
        <v>U</v>
      </c>
      <c r="E9697" s="50">
        <f>SUM(C9668:C9673)</f>
        <v>2.75</v>
      </c>
      <c r="F9697" s="51">
        <f>VLOOKUP(A9697,'Componentes APUs'!$A$1:$D$14,4,0)</f>
        <v>7575.757575757576</v>
      </c>
      <c r="G9697" s="51">
        <f>ROUNDUP(F9697*(E9697/21)/E9654,0)</f>
        <v>67</v>
      </c>
    </row>
    <row r="9698" spans="1:7" x14ac:dyDescent="0.25">
      <c r="A9698" s="50" t="s">
        <v>87</v>
      </c>
      <c r="B9698" s="72" t="str">
        <f>VLOOKUP(A9698,'Componentes APUs'!$A$1:$D$14,2,0)</f>
        <v>Casco dielectrico Tipo 2 Clase E con barboquejo</v>
      </c>
      <c r="C9698" s="73"/>
      <c r="D9698" s="50" t="str">
        <f>VLOOKUP(A9698,'Componentes APUs'!$A$1:$D$14,3,0)</f>
        <v>U</v>
      </c>
      <c r="E9698" s="53">
        <f>IF(A9670="MO-3",C9670,0)</f>
        <v>1</v>
      </c>
      <c r="F9698" s="51">
        <f>VLOOKUP(A9698,'Componentes APUs'!$A$1:$D$14,4,0)</f>
        <v>7500</v>
      </c>
      <c r="G9698" s="51">
        <f>ROUNDUP(F9698*(E9698/21)/E9654,0)</f>
        <v>24</v>
      </c>
    </row>
    <row r="9699" spans="1:7" x14ac:dyDescent="0.25">
      <c r="A9699" s="69" t="s">
        <v>89</v>
      </c>
      <c r="B9699" s="72" t="str">
        <f>VLOOKUP(A9699,'Componentes APUs'!$A$1:$D$14,2,0)</f>
        <v>Kit de rescate para trabajo en alturas</v>
      </c>
      <c r="C9699" s="73"/>
      <c r="D9699" s="50" t="str">
        <f>VLOOKUP(A9699,'Componentes APUs'!$A$1:$D$14,3,0)</f>
        <v>U</v>
      </c>
      <c r="E9699" s="50">
        <f>IF(AND(A9670="MO-3",C9670=2),1,0)</f>
        <v>0</v>
      </c>
      <c r="F9699" s="51">
        <f>VLOOKUP(A9699,'Componentes APUs'!$A$1:$D$14,4,0)</f>
        <v>37500</v>
      </c>
      <c r="G9699" s="51">
        <f>ROUNDUP(F9699*(E9699/21)/E9654,0)</f>
        <v>0</v>
      </c>
    </row>
    <row r="9700" spans="1:7" x14ac:dyDescent="0.25">
      <c r="A9700" s="50" t="s">
        <v>91</v>
      </c>
      <c r="B9700" s="72" t="str">
        <f>VLOOKUP(A9700,'Componentes APUs'!$A$1:$D$14,2,0)</f>
        <v>Equipo completo para trabajo en alturas con pretales (Arnes dielectrico, 1 mosqueton de seguridad, tie off dielectrico, eslinga de posicionamiento, juego de pretales)</v>
      </c>
      <c r="C9700" s="73"/>
      <c r="D9700" s="50" t="str">
        <f>VLOOKUP(A9700,'Componentes APUs'!$A$1:$D$14,3,0)</f>
        <v>U</v>
      </c>
      <c r="E9700" s="50">
        <f>IF(A9670="MO-3",C9670,0)</f>
        <v>1</v>
      </c>
      <c r="F9700" s="51">
        <f>VLOOKUP(A9700,'Componentes APUs'!$A$1:$D$14,4,0)</f>
        <v>26041.666666666668</v>
      </c>
      <c r="G9700" s="51">
        <f>ROUNDUP(F9700*(E9700/21)/E9654,0)</f>
        <v>83</v>
      </c>
    </row>
    <row r="9701" spans="1:7" x14ac:dyDescent="0.25">
      <c r="A9701" s="219" t="s">
        <v>95</v>
      </c>
      <c r="B9701" s="219"/>
      <c r="C9701" s="219"/>
      <c r="D9701" s="219"/>
      <c r="E9701" s="219"/>
      <c r="F9701" s="219"/>
      <c r="G9701" s="52">
        <f>SUM(G9688:G9700)</f>
        <v>530</v>
      </c>
    </row>
    <row r="9702" spans="1:7" x14ac:dyDescent="0.25">
      <c r="A9702" s="56"/>
      <c r="B9702" s="57"/>
      <c r="C9702" s="57"/>
      <c r="D9702" s="57"/>
      <c r="E9702" s="57"/>
      <c r="F9702" s="57"/>
      <c r="G9702" s="58"/>
    </row>
    <row r="9703" spans="1:7" x14ac:dyDescent="0.25">
      <c r="A9703" s="219" t="s">
        <v>96</v>
      </c>
      <c r="B9703" s="219"/>
      <c r="C9703" s="219"/>
      <c r="D9703" s="219"/>
      <c r="E9703" s="219"/>
      <c r="F9703" s="219"/>
      <c r="G9703" s="219"/>
    </row>
    <row r="9704" spans="1:7" x14ac:dyDescent="0.25">
      <c r="A9704" s="49" t="s">
        <v>35</v>
      </c>
      <c r="B9704" s="225" t="s">
        <v>36</v>
      </c>
      <c r="C9704" s="225"/>
      <c r="D9704" s="49" t="s">
        <v>37</v>
      </c>
      <c r="E9704" s="49" t="s">
        <v>38</v>
      </c>
      <c r="F9704" s="49" t="s">
        <v>39</v>
      </c>
      <c r="G9704" s="49" t="s">
        <v>40</v>
      </c>
    </row>
    <row r="9705" spans="1:7" x14ac:dyDescent="0.25">
      <c r="A9705" s="69" t="s">
        <v>97</v>
      </c>
      <c r="B9705" s="72" t="str">
        <f>VLOOKUP(A9705,'Componentes APUs'!$N$1:$Q$30,2,0)</f>
        <v>Camioneta</v>
      </c>
      <c r="C9705" s="73"/>
      <c r="D9705" s="70" t="str">
        <f>VLOOKUP(A9705,'Componentes APUs'!$N$1:$Q$30,3,0)</f>
        <v>U</v>
      </c>
      <c r="E9705" s="50">
        <v>1</v>
      </c>
      <c r="F9705" s="51">
        <f>VLOOKUP(A9705,'Componentes APUs'!$N$1:$Q$30,4,0)</f>
        <v>5500000</v>
      </c>
      <c r="G9705" s="51">
        <f>IFERROR(ROUNDUP(F9705*(E9705/21)/E9654,0),"-")</f>
        <v>17461</v>
      </c>
    </row>
    <row r="9706" spans="1:7" x14ac:dyDescent="0.25">
      <c r="A9706" s="50" t="s">
        <v>321</v>
      </c>
      <c r="B9706" s="72" t="str">
        <f>VLOOKUP(A9706,'Componentes APUs'!$N$1:$Q$30,2,0)</f>
        <v>Grúa Hidráulica</v>
      </c>
      <c r="C9706" s="73"/>
      <c r="D9706" s="70" t="str">
        <f>VLOOKUP(A9706,'Componentes APUs'!$N$1:$Q$30,3,0)</f>
        <v>U</v>
      </c>
      <c r="E9706" s="50">
        <v>0</v>
      </c>
      <c r="F9706" s="51">
        <f>VLOOKUP(A9706,'Componentes APUs'!$N$1:$Q$30,4,0)</f>
        <v>21000000</v>
      </c>
      <c r="G9706" s="51">
        <f>IFERROR(ROUNDUP(F9706*(E9706/21)/E9654,0),"-")</f>
        <v>0</v>
      </c>
    </row>
    <row r="9707" spans="1:7" x14ac:dyDescent="0.25">
      <c r="A9707" s="69" t="s">
        <v>322</v>
      </c>
      <c r="B9707" s="72" t="str">
        <f>VLOOKUP(A9707,'Componentes APUs'!$N$1:$Q$30,2,0)</f>
        <v>Camabaja</v>
      </c>
      <c r="C9707" s="73"/>
      <c r="D9707" s="70" t="str">
        <f>VLOOKUP(A9707,'Componentes APUs'!$N$1:$Q$30,3,0)</f>
        <v>TON/KM</v>
      </c>
      <c r="E9707" s="50">
        <v>0</v>
      </c>
      <c r="F9707" s="51">
        <f>VLOOKUP(A9707,'Componentes APUs'!$N$1:$Q$30,4,0)</f>
        <v>611</v>
      </c>
      <c r="G9707" s="51">
        <f>IFERROR(ROUNDUP(F9707*(E9707/21)/E9654,0),"-")</f>
        <v>0</v>
      </c>
    </row>
    <row r="9708" spans="1:7" x14ac:dyDescent="0.25">
      <c r="A9708" s="50" t="s">
        <v>323</v>
      </c>
      <c r="B9708" s="72" t="str">
        <f>VLOOKUP(A9708,'Componentes APUs'!$N$1:$Q$30,2,0)</f>
        <v>Volqueta</v>
      </c>
      <c r="C9708" s="73"/>
      <c r="D9708" s="70" t="str">
        <f>VLOOKUP(A9708,'Componentes APUs'!$N$1:$Q$30,3,0)</f>
        <v>U</v>
      </c>
      <c r="E9708" s="50">
        <v>0</v>
      </c>
      <c r="F9708" s="51">
        <f>VLOOKUP(A9708,'Componentes APUs'!$N$1:$Q$30,4,0)</f>
        <v>14828184</v>
      </c>
      <c r="G9708" s="51">
        <f>IFERROR(ROUNDUP(F9708*(E9708/21)/E9654,0),"-")</f>
        <v>0</v>
      </c>
    </row>
    <row r="9709" spans="1:7" x14ac:dyDescent="0.25">
      <c r="A9709" s="69" t="s">
        <v>324</v>
      </c>
      <c r="B9709" s="72" t="str">
        <f>VLOOKUP(A9709,'Componentes APUs'!$N$1:$Q$30,2,0)</f>
        <v>Retroexcavadora</v>
      </c>
      <c r="C9709" s="73"/>
      <c r="D9709" s="70" t="str">
        <f>VLOOKUP(A9709,'Componentes APUs'!$N$1:$Q$30,3,0)</f>
        <v>U</v>
      </c>
      <c r="E9709" s="50">
        <v>0</v>
      </c>
      <c r="F9709" s="51">
        <f>VLOOKUP(A9709,'Componentes APUs'!$N$1:$Q$30,4,0)</f>
        <v>46030656</v>
      </c>
      <c r="G9709" s="51">
        <f>IFERROR(ROUNDUP(F9709*(E9709/21)/E9654,0),"-")</f>
        <v>0</v>
      </c>
    </row>
    <row r="9710" spans="1:7" x14ac:dyDescent="0.25">
      <c r="A9710" s="219" t="s">
        <v>99</v>
      </c>
      <c r="B9710" s="219"/>
      <c r="C9710" s="219"/>
      <c r="D9710" s="219"/>
      <c r="E9710" s="219"/>
      <c r="F9710" s="219"/>
      <c r="G9710" s="52">
        <f>SUM(G9705:G9709)</f>
        <v>17461</v>
      </c>
    </row>
    <row r="9711" spans="1:7" x14ac:dyDescent="0.25">
      <c r="A9711" s="56"/>
      <c r="B9711" s="57"/>
      <c r="C9711" s="57"/>
      <c r="D9711" s="57"/>
      <c r="E9711" s="57"/>
      <c r="F9711" s="57"/>
      <c r="G9711" s="58"/>
    </row>
    <row r="9712" spans="1:7" x14ac:dyDescent="0.25">
      <c r="A9712" s="219" t="s">
        <v>1516</v>
      </c>
      <c r="B9712" s="219"/>
      <c r="C9712" s="219"/>
      <c r="D9712" s="219"/>
      <c r="E9712" s="219"/>
      <c r="F9712" s="219"/>
      <c r="G9712" s="52">
        <f>G9710+G9701+G9684+G9674+G9664</f>
        <v>206581</v>
      </c>
    </row>
    <row r="9713" spans="1:7" x14ac:dyDescent="0.25">
      <c r="A9713" s="59"/>
      <c r="B9713" s="60"/>
      <c r="C9713" s="60"/>
      <c r="D9713" s="60"/>
      <c r="E9713" s="57"/>
      <c r="F9713" s="57"/>
      <c r="G9713" s="58"/>
    </row>
    <row r="9714" spans="1:7" x14ac:dyDescent="0.25">
      <c r="A9714" s="64"/>
      <c r="D9714" s="55"/>
      <c r="E9714" s="49" t="s">
        <v>25</v>
      </c>
      <c r="F9714" s="54">
        <v>0.15</v>
      </c>
      <c r="G9714" s="51">
        <f>G9712*F9714</f>
        <v>30987.149999999998</v>
      </c>
    </row>
    <row r="9715" spans="1:7" x14ac:dyDescent="0.25">
      <c r="A9715" s="64"/>
      <c r="D9715" s="55"/>
      <c r="E9715" s="49" t="s">
        <v>26</v>
      </c>
      <c r="F9715" s="54">
        <v>0.05</v>
      </c>
      <c r="G9715" s="51">
        <f>G9712*F9715</f>
        <v>10329.050000000001</v>
      </c>
    </row>
    <row r="9716" spans="1:7" x14ac:dyDescent="0.25">
      <c r="A9716" s="61"/>
      <c r="B9716" s="65"/>
      <c r="C9716" s="65"/>
      <c r="D9716" s="62"/>
      <c r="E9716" s="49" t="s">
        <v>27</v>
      </c>
      <c r="F9716" s="54">
        <v>0.05</v>
      </c>
      <c r="G9716" s="51">
        <f>G9712*F9716</f>
        <v>10329.050000000001</v>
      </c>
    </row>
    <row r="9717" spans="1:7" x14ac:dyDescent="0.25">
      <c r="A9717" s="61"/>
      <c r="B9717" s="62"/>
      <c r="C9717" s="62"/>
      <c r="D9717" s="62"/>
      <c r="E9717" s="62"/>
      <c r="F9717" s="62"/>
      <c r="G9717" s="63"/>
    </row>
    <row r="9718" spans="1:7" x14ac:dyDescent="0.25">
      <c r="A9718" s="219" t="s">
        <v>1517</v>
      </c>
      <c r="B9718" s="219"/>
      <c r="C9718" s="219"/>
      <c r="D9718" s="219"/>
      <c r="E9718" s="219"/>
      <c r="F9718" s="219"/>
      <c r="G9718" s="52">
        <f>G9712+G9714+G9715+G9716</f>
        <v>258226.24999999997</v>
      </c>
    </row>
    <row r="9719" spans="1:7" x14ac:dyDescent="0.25">
      <c r="A9719" s="59"/>
      <c r="B9719" s="60"/>
      <c r="C9719" s="60"/>
      <c r="D9719" s="60"/>
      <c r="E9719" s="57"/>
      <c r="F9719" s="57"/>
      <c r="G9719" s="58"/>
    </row>
    <row r="9720" spans="1:7" x14ac:dyDescent="0.25">
      <c r="A9720" s="64"/>
      <c r="D9720" s="55"/>
      <c r="E9720" s="49" t="s">
        <v>102</v>
      </c>
      <c r="F9720" s="49" t="s">
        <v>103</v>
      </c>
      <c r="G9720" s="51">
        <f>G9716*19%</f>
        <v>1962.5195000000003</v>
      </c>
    </row>
    <row r="9721" spans="1:7" x14ac:dyDescent="0.25">
      <c r="A9721" s="61"/>
      <c r="B9721" s="62"/>
      <c r="C9721" s="62"/>
      <c r="D9721" s="62"/>
      <c r="E9721" s="57"/>
      <c r="F9721" s="57"/>
      <c r="G9721" s="58"/>
    </row>
    <row r="9722" spans="1:7" x14ac:dyDescent="0.25">
      <c r="A9722" s="219" t="s">
        <v>104</v>
      </c>
      <c r="B9722" s="219"/>
      <c r="C9722" s="219"/>
      <c r="D9722" s="219"/>
      <c r="E9722" s="219"/>
      <c r="F9722" s="219"/>
      <c r="G9722" s="52">
        <f>G9720+G9718</f>
        <v>260188.76949999997</v>
      </c>
    </row>
    <row r="9723" spans="1:7" ht="15.75" customHeight="1" x14ac:dyDescent="0.25"/>
    <row r="9724" spans="1:7" x14ac:dyDescent="0.25">
      <c r="A9724" s="74" t="s">
        <v>29</v>
      </c>
      <c r="B9724" s="226" t="s">
        <v>30</v>
      </c>
      <c r="C9724" s="226"/>
      <c r="D9724" s="74" t="s">
        <v>31</v>
      </c>
      <c r="E9724" s="74" t="s">
        <v>32</v>
      </c>
      <c r="F9724" s="74" t="s">
        <v>189</v>
      </c>
      <c r="G9724" s="74" t="s">
        <v>33</v>
      </c>
    </row>
    <row r="9725" spans="1:7" ht="44.25" customHeight="1" x14ac:dyDescent="0.25">
      <c r="A9725" s="50" t="str">
        <f>Presupuesto!B179</f>
        <v>003_CA</v>
      </c>
      <c r="B9725" s="220" t="str">
        <f>Presupuesto!C179</f>
        <v>SUMINISTRO E INSTALACIÓN DE BANDEJA PORTACABLES 15X30 CM. INCLUYE CURVAS Y SISTEMA DE FIJACIÓN (PARA TCS Y PTS)</v>
      </c>
      <c r="C9725" s="220"/>
      <c r="D9725" s="50" t="s">
        <v>108</v>
      </c>
      <c r="E9725" s="50">
        <v>15</v>
      </c>
      <c r="F9725" s="50"/>
      <c r="G9725" s="51">
        <f>G9793</f>
        <v>273185.55</v>
      </c>
    </row>
    <row r="9726" spans="1:7" x14ac:dyDescent="0.25">
      <c r="A9726" s="219" t="s">
        <v>34</v>
      </c>
      <c r="B9726" s="219"/>
      <c r="C9726" s="219"/>
      <c r="D9726" s="219"/>
      <c r="E9726" s="219"/>
      <c r="F9726" s="219"/>
      <c r="G9726" s="219"/>
    </row>
    <row r="9727" spans="1:7" x14ac:dyDescent="0.25">
      <c r="A9727" s="49" t="s">
        <v>35</v>
      </c>
      <c r="B9727" s="219" t="s">
        <v>36</v>
      </c>
      <c r="C9727" s="219"/>
      <c r="D9727" s="49" t="s">
        <v>37</v>
      </c>
      <c r="E9727" s="49" t="s">
        <v>38</v>
      </c>
      <c r="F9727" s="49" t="s">
        <v>39</v>
      </c>
      <c r="G9727" s="49" t="s">
        <v>40</v>
      </c>
    </row>
    <row r="9728" spans="1:7" ht="27" customHeight="1" x14ac:dyDescent="0.25">
      <c r="A9728" s="17" t="str">
        <f>Material!A55</f>
        <v>MA-54</v>
      </c>
      <c r="B9728" s="221" t="str">
        <f>IFERROR(VLOOKUP(A9728,Material!$A:$H,2,0),"-")</f>
        <v>BANDEJA PORTACABLES EN ACERO GALVANIZADO RECTO ALTO: 15 CM, ANCHO: 20 CM</v>
      </c>
      <c r="C9728" s="222"/>
      <c r="D9728" s="50" t="str">
        <f>IFERROR(VLOOKUP(A9728,Material!$A:$H,4,0),"-")</f>
        <v>ML</v>
      </c>
      <c r="E9728" s="50">
        <v>1</v>
      </c>
      <c r="F9728" s="51">
        <f>IFERROR(VLOOKUP(A9728,Material!$A:$H,3,0),"-")</f>
        <v>137074.70833333334</v>
      </c>
      <c r="G9728" s="51">
        <f t="shared" ref="G9728:G9734" si="137">IFERROR(ROUNDUP(F9728*E9728,0),"-")</f>
        <v>137075</v>
      </c>
    </row>
    <row r="9729" spans="1:7" ht="25.5" customHeight="1" x14ac:dyDescent="0.25">
      <c r="A9729" s="17" t="str">
        <f>Material!A58</f>
        <v>MA-57</v>
      </c>
      <c r="B9729" s="221" t="str">
        <f>IFERROR(VLOOKUP(A9729,Material!$A:$H,2,0),"-")</f>
        <v>CURVA BANDEJA PORTACABLES EN ACERO GALVANIZADO A 90° ALTO: 15 CM, ANCHO: 20 CM.</v>
      </c>
      <c r="C9729" s="222"/>
      <c r="D9729" s="50" t="str">
        <f>IFERROR(VLOOKUP(A9729,Material!$A:$H,4,0),"-")</f>
        <v>ML</v>
      </c>
      <c r="E9729" s="50">
        <v>0.05</v>
      </c>
      <c r="F9729" s="51">
        <f>IFERROR(VLOOKUP(A9729,Material!$A:$H,3,0),"-")</f>
        <v>59785.916666666672</v>
      </c>
      <c r="G9729" s="51">
        <f t="shared" si="137"/>
        <v>2990</v>
      </c>
    </row>
    <row r="9730" spans="1:7" x14ac:dyDescent="0.25">
      <c r="A9730" s="17" t="str">
        <f>Material!A195</f>
        <v>MA-194</v>
      </c>
      <c r="B9730" s="72" t="str">
        <f>IFERROR(VLOOKUP(A9730,Material!$A:$H,2,0),"-")</f>
        <v>CHAZO EXPANSIVO RL 3/8"</v>
      </c>
      <c r="C9730" s="73"/>
      <c r="D9730" s="50" t="str">
        <f>IFERROR(VLOOKUP(A9730,Material!$A:$H,4,0),"-")</f>
        <v>UN</v>
      </c>
      <c r="E9730" s="50">
        <v>2</v>
      </c>
      <c r="F9730" s="51">
        <f>IFERROR(VLOOKUP(A9730,Material!$A:$H,3,0),"-")</f>
        <v>455</v>
      </c>
      <c r="G9730" s="51">
        <f t="shared" si="137"/>
        <v>910</v>
      </c>
    </row>
    <row r="9731" spans="1:7" x14ac:dyDescent="0.25">
      <c r="A9731" s="17" t="str">
        <f>Material!A196</f>
        <v>MA-195</v>
      </c>
      <c r="B9731" s="72" t="str">
        <f>IFERROR(VLOOKUP(A9731,Material!$A:$H,2,0),"-")</f>
        <v>VARILLA ROSCADA DE 3/8"</v>
      </c>
      <c r="C9731" s="73"/>
      <c r="D9731" s="50" t="str">
        <f>IFERROR(VLOOKUP(A9731,Material!$A:$H,4,0),"-")</f>
        <v>UN</v>
      </c>
      <c r="E9731" s="50">
        <v>0.2</v>
      </c>
      <c r="F9731" s="51">
        <f>IFERROR(VLOOKUP(A9731,Material!$A:$H,3,0),"-")</f>
        <v>3466.6666666666665</v>
      </c>
      <c r="G9731" s="51">
        <f t="shared" si="137"/>
        <v>694</v>
      </c>
    </row>
    <row r="9732" spans="1:7" x14ac:dyDescent="0.25">
      <c r="A9732" s="17" t="str">
        <f>Material!A197</f>
        <v>MA-196</v>
      </c>
      <c r="B9732" s="72" t="str">
        <f>IFERROR(VLOOKUP(A9732,Material!$A:$H,2,0),"-")</f>
        <v>RIEL UNISTRUT RANURADO 2X4 CM</v>
      </c>
      <c r="C9732" s="73"/>
      <c r="D9732" s="50" t="str">
        <f>IFERROR(VLOOKUP(A9732,Material!$A:$H,4,0),"-")</f>
        <v>ML</v>
      </c>
      <c r="E9732" s="50">
        <v>0.3</v>
      </c>
      <c r="F9732" s="51">
        <f>IFERROR(VLOOKUP(A9732,Material!$A:$H,3,0),"-")</f>
        <v>10551.666666666668</v>
      </c>
      <c r="G9732" s="51">
        <f t="shared" si="137"/>
        <v>3166</v>
      </c>
    </row>
    <row r="9733" spans="1:7" x14ac:dyDescent="0.25">
      <c r="A9733" s="17" t="str">
        <f>Material!A198</f>
        <v>MA-197</v>
      </c>
      <c r="B9733" s="72" t="str">
        <f>IFERROR(VLOOKUP(A9733,Material!$A:$H,2,0),"-")</f>
        <v>CABLE DE COBRE DESNUDO NO 8 AWG</v>
      </c>
      <c r="C9733" s="76"/>
      <c r="D9733" s="50" t="str">
        <f>IFERROR(VLOOKUP(A9733,Material!$A:$H,4,0),"-")</f>
        <v>ML</v>
      </c>
      <c r="E9733" s="50">
        <v>1</v>
      </c>
      <c r="F9733" s="51">
        <f>IFERROR(VLOOKUP(A9733,Material!$A:$H,3,0),"-")</f>
        <v>7150</v>
      </c>
      <c r="G9733" s="51">
        <f t="shared" si="137"/>
        <v>7150</v>
      </c>
    </row>
    <row r="9734" spans="1:7" x14ac:dyDescent="0.25">
      <c r="A9734" s="17"/>
      <c r="B9734" s="72" t="str">
        <f>IFERROR(VLOOKUP(A9734,Material!$A:$H,2,0),"-")</f>
        <v>-</v>
      </c>
      <c r="C9734" s="76"/>
      <c r="D9734" s="50" t="str">
        <f>IFERROR(VLOOKUP(A9734,Material!$A:$H,4,0),"-")</f>
        <v>-</v>
      </c>
      <c r="E9734" s="50"/>
      <c r="F9734" s="51" t="str">
        <f>IFERROR(VLOOKUP(A9734,Material!$A:$H,3,0),"-")</f>
        <v>-</v>
      </c>
      <c r="G9734" s="51" t="str">
        <f t="shared" si="137"/>
        <v>-</v>
      </c>
    </row>
    <row r="9735" spans="1:7" x14ac:dyDescent="0.25">
      <c r="A9735" s="219" t="s">
        <v>41</v>
      </c>
      <c r="B9735" s="219"/>
      <c r="C9735" s="219"/>
      <c r="D9735" s="219"/>
      <c r="E9735" s="219"/>
      <c r="F9735" s="219"/>
      <c r="G9735" s="52">
        <f>SUM(G9728:G9734)</f>
        <v>151985</v>
      </c>
    </row>
    <row r="9736" spans="1:7" x14ac:dyDescent="0.25">
      <c r="A9736" s="56"/>
      <c r="B9736" s="57"/>
      <c r="C9736" s="57"/>
      <c r="D9736" s="57"/>
      <c r="E9736" s="57"/>
      <c r="F9736" s="57"/>
      <c r="G9736" s="58"/>
    </row>
    <row r="9737" spans="1:7" x14ac:dyDescent="0.25">
      <c r="A9737" s="219" t="s">
        <v>42</v>
      </c>
      <c r="B9737" s="219"/>
      <c r="C9737" s="219"/>
      <c r="D9737" s="219"/>
      <c r="E9737" s="219"/>
      <c r="F9737" s="219"/>
      <c r="G9737" s="219"/>
    </row>
    <row r="9738" spans="1:7" x14ac:dyDescent="0.25">
      <c r="A9738" s="49" t="s">
        <v>35</v>
      </c>
      <c r="B9738" s="49" t="s">
        <v>36</v>
      </c>
      <c r="C9738" s="49" t="s">
        <v>38</v>
      </c>
      <c r="D9738" s="49" t="s">
        <v>43</v>
      </c>
      <c r="E9738" s="49" t="s">
        <v>44</v>
      </c>
      <c r="F9738" s="49" t="s">
        <v>45</v>
      </c>
      <c r="G9738" s="49" t="s">
        <v>40</v>
      </c>
    </row>
    <row r="9739" spans="1:7" x14ac:dyDescent="0.25">
      <c r="A9739" s="50" t="s">
        <v>319</v>
      </c>
      <c r="B9739" s="68" t="str">
        <f>VLOOKUP(A9739,'Componentes APUs'!$H$1:$L$25,2,0)</f>
        <v>Ingeniero Residente de Obra</v>
      </c>
      <c r="C9739" s="93">
        <v>0.25</v>
      </c>
      <c r="D9739" s="50">
        <f>VLOOKUP(A9739,'Componentes APUs'!$H$1:$L$25,3,0)</f>
        <v>4</v>
      </c>
      <c r="E9739" s="51">
        <f>VLOOKUP(A9739,'Componentes APUs'!$H$1:$L$25,4,0)</f>
        <v>271142.85714285716</v>
      </c>
      <c r="F9739" s="51">
        <f>VLOOKUP(A9739,'Componentes APUs'!$H$1:$L$25,5,0)</f>
        <v>162685.71428571429</v>
      </c>
      <c r="G9739" s="51">
        <f>ROUNDUP((E9739+F9739)*C9739/E9725,0)</f>
        <v>7231</v>
      </c>
    </row>
    <row r="9740" spans="1:7" x14ac:dyDescent="0.25">
      <c r="A9740" s="50" t="s">
        <v>320</v>
      </c>
      <c r="B9740" s="68" t="str">
        <f>VLOOKUP(A9740,'Componentes APUs'!$H$1:$L$25,2,0)</f>
        <v>Tecnico Supervisor</v>
      </c>
      <c r="C9740" s="93">
        <v>0.25</v>
      </c>
      <c r="D9740" s="50">
        <f>VLOOKUP(A9740,'Componentes APUs'!$H$1:$L$25,3,0)</f>
        <v>2.2999999999999998</v>
      </c>
      <c r="E9740" s="51">
        <f>VLOOKUP(A9740,'Componentes APUs'!$H$1:$L$25,4,0)</f>
        <v>155907.14285714284</v>
      </c>
      <c r="F9740" s="51">
        <f>VLOOKUP(A9740,'Componentes APUs'!$H$1:$L$25,5,0)</f>
        <v>93544.285714285696</v>
      </c>
      <c r="G9740" s="51">
        <f>ROUNDUP((E9740+F9740)*C9740/E9725,0)</f>
        <v>4158</v>
      </c>
    </row>
    <row r="9741" spans="1:7" x14ac:dyDescent="0.25">
      <c r="A9741" s="50" t="s">
        <v>46</v>
      </c>
      <c r="B9741" s="68" t="str">
        <f>VLOOKUP(A9741,'Componentes APUs'!$H$1:$L$25,2,0)</f>
        <v>Tecnico Liniero</v>
      </c>
      <c r="C9741" s="93">
        <v>1</v>
      </c>
      <c r="D9741" s="50">
        <f>VLOOKUP(A9741,'Componentes APUs'!$H$1:$L$25,3,0)</f>
        <v>2</v>
      </c>
      <c r="E9741" s="51">
        <f>VLOOKUP(A9741,'Componentes APUs'!$H$1:$L$25,4,0)</f>
        <v>154619.04761904763</v>
      </c>
      <c r="F9741" s="51">
        <f>VLOOKUP(A9741,'Componentes APUs'!$H$1:$L$25,5,0)</f>
        <v>92771.42857142858</v>
      </c>
      <c r="G9741" s="51">
        <f>ROUNDUP((E9741+F9741)*C9741/E9725,0)</f>
        <v>16493</v>
      </c>
    </row>
    <row r="9742" spans="1:7" x14ac:dyDescent="0.25">
      <c r="A9742" s="50" t="s">
        <v>48</v>
      </c>
      <c r="B9742" s="68" t="str">
        <f>VLOOKUP(A9742,'Componentes APUs'!$H$1:$L$25,2,0)</f>
        <v>Ayudante Calificado</v>
      </c>
      <c r="C9742" s="93">
        <v>1</v>
      </c>
      <c r="D9742" s="50">
        <f>VLOOKUP(A9742,'Componentes APUs'!$H$1:$L$25,3,0)</f>
        <v>1.5</v>
      </c>
      <c r="E9742" s="51">
        <f>VLOOKUP(A9742,'Componentes APUs'!$H$1:$L$25,4,0)</f>
        <v>115964.28571428571</v>
      </c>
      <c r="F9742" s="51">
        <f>VLOOKUP(A9742,'Componentes APUs'!$H$1:$L$25,5,0)</f>
        <v>69578.57142857142</v>
      </c>
      <c r="G9742" s="51">
        <f>ROUNDUP((E9742+F9742)*C9742/E9725,0)</f>
        <v>12370</v>
      </c>
    </row>
    <row r="9743" spans="1:7" x14ac:dyDescent="0.25">
      <c r="A9743" s="50" t="s">
        <v>50</v>
      </c>
      <c r="B9743" s="68" t="str">
        <f>VLOOKUP(A9743,'Componentes APUs'!$H$1:$L$25,2,0)</f>
        <v>Profesional en SST</v>
      </c>
      <c r="C9743" s="93">
        <v>0.25</v>
      </c>
      <c r="D9743" s="50">
        <f>VLOOKUP(A9743,'Componentes APUs'!$H$1:$L$25,3,0)</f>
        <v>2.5</v>
      </c>
      <c r="E9743" s="51">
        <f>VLOOKUP(A9743,'Componentes APUs'!$H$1:$L$25,4,0)</f>
        <v>169464.28571428571</v>
      </c>
      <c r="F9743" s="51">
        <f>VLOOKUP(A9743,'Componentes APUs'!$H$1:$L$25,5,0)</f>
        <v>101678.57142857142</v>
      </c>
      <c r="G9743" s="51">
        <f>ROUNDUP((E9743+F9743)*C9743/E9725,0)</f>
        <v>4520</v>
      </c>
    </row>
    <row r="9744" spans="1:7" x14ac:dyDescent="0.25">
      <c r="A9744" s="50" t="s">
        <v>52</v>
      </c>
      <c r="B9744" s="68" t="str">
        <f>VLOOKUP(A9744,'Componentes APUs'!$H$1:$L$25,2,0)</f>
        <v>Ayudante No Calificado</v>
      </c>
      <c r="C9744" s="93">
        <v>0</v>
      </c>
      <c r="D9744" s="50">
        <f>VLOOKUP(A9744,'Componentes APUs'!$H$1:$L$25,3,0)</f>
        <v>1</v>
      </c>
      <c r="E9744" s="51">
        <f>VLOOKUP(A9744,'Componentes APUs'!$H$1:$L$25,4,0)</f>
        <v>77309.523809523816</v>
      </c>
      <c r="F9744" s="51">
        <f>VLOOKUP(A9744,'Componentes APUs'!$H$1:$L$25,5,0)</f>
        <v>46385.71428571429</v>
      </c>
      <c r="G9744" s="51">
        <f>ROUNDUP((E9744+F9744)*C9744/E9725,0)</f>
        <v>0</v>
      </c>
    </row>
    <row r="9745" spans="1:7" x14ac:dyDescent="0.25">
      <c r="A9745" s="219" t="s">
        <v>56</v>
      </c>
      <c r="B9745" s="219"/>
      <c r="C9745" s="219"/>
      <c r="D9745" s="219"/>
      <c r="E9745" s="219"/>
      <c r="F9745" s="219"/>
      <c r="G9745" s="52">
        <f>SUM(G9739:G9744)</f>
        <v>44772</v>
      </c>
    </row>
    <row r="9746" spans="1:7" x14ac:dyDescent="0.25">
      <c r="A9746" s="56"/>
      <c r="B9746" s="57"/>
      <c r="C9746" s="57"/>
      <c r="D9746" s="57"/>
      <c r="E9746" s="57"/>
      <c r="F9746" s="57"/>
      <c r="G9746" s="58"/>
    </row>
    <row r="9747" spans="1:7" x14ac:dyDescent="0.25">
      <c r="A9747" s="219" t="s">
        <v>57</v>
      </c>
      <c r="B9747" s="219"/>
      <c r="C9747" s="219"/>
      <c r="D9747" s="219"/>
      <c r="E9747" s="219"/>
      <c r="F9747" s="219"/>
      <c r="G9747" s="219"/>
    </row>
    <row r="9748" spans="1:7" x14ac:dyDescent="0.25">
      <c r="A9748" s="49" t="s">
        <v>35</v>
      </c>
      <c r="B9748" s="219" t="s">
        <v>36</v>
      </c>
      <c r="C9748" s="219"/>
      <c r="D9748" s="49" t="s">
        <v>37</v>
      </c>
      <c r="E9748" s="49" t="s">
        <v>38</v>
      </c>
      <c r="F9748" s="49" t="s">
        <v>39</v>
      </c>
      <c r="G9748" s="49" t="s">
        <v>40</v>
      </c>
    </row>
    <row r="9749" spans="1:7" x14ac:dyDescent="0.25">
      <c r="A9749" s="50" t="s">
        <v>326</v>
      </c>
      <c r="B9749" s="220" t="str">
        <f>VLOOKUP(A9749,'Componentes APUs'!$S$1:$V$10,2,0)</f>
        <v>Juego Llaves</v>
      </c>
      <c r="C9749" s="220"/>
      <c r="D9749" s="50" t="s">
        <v>18</v>
      </c>
      <c r="E9749" s="50">
        <v>2</v>
      </c>
      <c r="F9749" s="51">
        <f>VLOOKUP(A9749,'Componentes APUs'!$S$1:$V$10,4,0)</f>
        <v>9167</v>
      </c>
      <c r="G9749" s="51">
        <f>ROUNDUP(F9749*((E9749/21)/E9725),0)</f>
        <v>59</v>
      </c>
    </row>
    <row r="9750" spans="1:7" x14ac:dyDescent="0.25">
      <c r="A9750" s="50" t="s">
        <v>58</v>
      </c>
      <c r="B9750" s="220" t="str">
        <f>VLOOKUP(A9750,'Componentes APUs'!$S$1:$V$10,2,0)</f>
        <v>Manila de servicio</v>
      </c>
      <c r="C9750" s="220"/>
      <c r="D9750" s="50" t="s">
        <v>18</v>
      </c>
      <c r="E9750" s="50">
        <v>2</v>
      </c>
      <c r="F9750" s="51">
        <f>VLOOKUP(A9750,'Componentes APUs'!$S$1:$V$10,4,0)</f>
        <v>2333</v>
      </c>
      <c r="G9750" s="51">
        <f>ROUNDUP(F9750*((E9750/21)/E9725),0)</f>
        <v>15</v>
      </c>
    </row>
    <row r="9751" spans="1:7" x14ac:dyDescent="0.25">
      <c r="A9751" s="50" t="s">
        <v>327</v>
      </c>
      <c r="B9751" s="220" t="str">
        <f>VLOOKUP(A9751,'Componentes APUs'!$S$1:$V$10,2,0)</f>
        <v>Tula portaherramientas</v>
      </c>
      <c r="C9751" s="220"/>
      <c r="D9751" s="50" t="s">
        <v>18</v>
      </c>
      <c r="E9751" s="50">
        <v>2</v>
      </c>
      <c r="F9751" s="51">
        <f>VLOOKUP(A9751,'Componentes APUs'!$S$1:$V$10,4,0)</f>
        <v>1250</v>
      </c>
      <c r="G9751" s="51">
        <f>ROUNDUP(F9751*((E9751/21)/E9725),0)</f>
        <v>8</v>
      </c>
    </row>
    <row r="9752" spans="1:7" x14ac:dyDescent="0.25">
      <c r="A9752" s="50" t="s">
        <v>60</v>
      </c>
      <c r="B9752" s="220" t="str">
        <f>VLOOKUP(A9752,'Componentes APUs'!$S$1:$V$10,2,0)</f>
        <v>Agarradoras</v>
      </c>
      <c r="C9752" s="220"/>
      <c r="D9752" s="50" t="s">
        <v>18</v>
      </c>
      <c r="E9752" s="50">
        <v>2</v>
      </c>
      <c r="F9752" s="51">
        <f>VLOOKUP(A9752,'Componentes APUs'!$S$1:$V$10,4,0)</f>
        <v>125000</v>
      </c>
      <c r="G9752" s="51">
        <f>ROUNDUP(F9752*((E9752/21)/E9725),0)</f>
        <v>794</v>
      </c>
    </row>
    <row r="9753" spans="1:7" x14ac:dyDescent="0.25">
      <c r="A9753" s="50" t="s">
        <v>62</v>
      </c>
      <c r="B9753" s="220" t="str">
        <f>VLOOKUP(A9753,'Componentes APUs'!$S$1:$V$10,2,0)</f>
        <v>Templadoras</v>
      </c>
      <c r="C9753" s="220"/>
      <c r="D9753" s="50" t="s">
        <v>18</v>
      </c>
      <c r="E9753" s="50">
        <v>1</v>
      </c>
      <c r="F9753" s="51">
        <f>VLOOKUP(A9753,'Componentes APUs'!$S$1:$V$10,4,0)</f>
        <v>250000</v>
      </c>
      <c r="G9753" s="51">
        <f>ROUNDUP(F9753*((E9753/21)/E9725),0)</f>
        <v>794</v>
      </c>
    </row>
    <row r="9754" spans="1:7" x14ac:dyDescent="0.25">
      <c r="A9754" s="50" t="s">
        <v>328</v>
      </c>
      <c r="B9754" s="220" t="str">
        <f>VLOOKUP(A9754,'Componentes APUs'!$S$1:$V$10,2,0)</f>
        <v>Herramienta Menor</v>
      </c>
      <c r="C9754" s="220"/>
      <c r="D9754" s="50" t="s">
        <v>18</v>
      </c>
      <c r="E9754" s="50">
        <v>2</v>
      </c>
      <c r="F9754" s="51">
        <f>VLOOKUP(A9754,'Componentes APUs'!$S$1:$V$10,4,0)</f>
        <v>75758</v>
      </c>
      <c r="G9754" s="51">
        <f>ROUNDUP(F9754*((E9754/21)/E9725),0)</f>
        <v>482</v>
      </c>
    </row>
    <row r="9755" spans="1:7" x14ac:dyDescent="0.25">
      <c r="A9755" s="219" t="s">
        <v>69</v>
      </c>
      <c r="B9755" s="219"/>
      <c r="C9755" s="219"/>
      <c r="D9755" s="219"/>
      <c r="E9755" s="219"/>
      <c r="F9755" s="219"/>
      <c r="G9755" s="52">
        <f>SUM(G9749:G9754)</f>
        <v>2152</v>
      </c>
    </row>
    <row r="9756" spans="1:7" x14ac:dyDescent="0.25">
      <c r="A9756" s="56"/>
      <c r="B9756" s="57"/>
      <c r="C9756" s="57"/>
      <c r="D9756" s="57"/>
      <c r="E9756" s="57"/>
      <c r="F9756" s="57"/>
      <c r="G9756" s="58"/>
    </row>
    <row r="9757" spans="1:7" x14ac:dyDescent="0.25">
      <c r="A9757" s="219" t="s">
        <v>70</v>
      </c>
      <c r="B9757" s="219"/>
      <c r="C9757" s="219"/>
      <c r="D9757" s="219"/>
      <c r="E9757" s="219"/>
      <c r="F9757" s="219"/>
      <c r="G9757" s="219"/>
    </row>
    <row r="9758" spans="1:7" x14ac:dyDescent="0.25">
      <c r="A9758" s="49" t="s">
        <v>35</v>
      </c>
      <c r="B9758" s="219" t="s">
        <v>36</v>
      </c>
      <c r="C9758" s="219"/>
      <c r="D9758" s="49" t="s">
        <v>37</v>
      </c>
      <c r="E9758" s="49" t="s">
        <v>38</v>
      </c>
      <c r="F9758" s="49" t="s">
        <v>39</v>
      </c>
      <c r="G9758" s="49" t="s">
        <v>40</v>
      </c>
    </row>
    <row r="9759" spans="1:7" x14ac:dyDescent="0.25">
      <c r="A9759" s="50" t="s">
        <v>71</v>
      </c>
      <c r="B9759" s="71" t="str">
        <f>VLOOKUP(A9759,'Componentes APUs'!$A$1:$D$14,2,0)</f>
        <v>Camisa indigo sin partes metalicas</v>
      </c>
      <c r="C9759" s="71"/>
      <c r="D9759" s="50" t="str">
        <f>VLOOKUP(A9759,'Componentes APUs'!$A$1:$D$14,3,0)</f>
        <v>U</v>
      </c>
      <c r="E9759" s="50">
        <f>SUM(C9739:C9744)</f>
        <v>2.75</v>
      </c>
      <c r="F9759" s="51">
        <f>VLOOKUP(A9759,'Componentes APUs'!$A$1:$D$14,4,0)</f>
        <v>8585.8585858585866</v>
      </c>
      <c r="G9759" s="51">
        <f>ROUNDUP(F9759*(E9759/21)/E9725,0)</f>
        <v>75</v>
      </c>
    </row>
    <row r="9760" spans="1:7" x14ac:dyDescent="0.25">
      <c r="A9760" s="69" t="s">
        <v>73</v>
      </c>
      <c r="B9760" s="72" t="str">
        <f>VLOOKUP(A9760,'Componentes APUs'!$A$1:$D$14,2,0)</f>
        <v>Bota de seguridad dielectrica</v>
      </c>
      <c r="C9760" s="73"/>
      <c r="D9760" s="70" t="str">
        <f>VLOOKUP(A9760,'Componentes APUs'!$A$1:$D$14,3,0)</f>
        <v>Par</v>
      </c>
      <c r="E9760" s="50">
        <f>SUM(C9739:C9744)</f>
        <v>2.75</v>
      </c>
      <c r="F9760" s="51">
        <f>VLOOKUP(A9760,'Componentes APUs'!$A$1:$D$14,4,0)</f>
        <v>7500</v>
      </c>
      <c r="G9760" s="51">
        <f>ROUNDUP(F9760*(E9760/21)/E9725,0)</f>
        <v>66</v>
      </c>
    </row>
    <row r="9761" spans="1:7" x14ac:dyDescent="0.25">
      <c r="A9761" s="50" t="s">
        <v>76</v>
      </c>
      <c r="B9761" s="72" t="str">
        <f>VLOOKUP(A9761,'Componentes APUs'!$A$1:$D$14,2,0)</f>
        <v>Casco dielectrico Tipo 1 Clase E con barbuquejo</v>
      </c>
      <c r="C9761" s="73"/>
      <c r="D9761" s="50" t="str">
        <f>VLOOKUP(A9761,'Componentes APUs'!$A$1:$D$14,3,0)</f>
        <v>U</v>
      </c>
      <c r="E9761" s="50">
        <f>C9739+C9742+C9743+C9740+C9744+IF(A9741&lt;&gt;"MO-3",C9741,0)</f>
        <v>1.75</v>
      </c>
      <c r="F9761" s="51">
        <f>VLOOKUP(A9761,'Componentes APUs'!$A$1:$D$14,4,0)</f>
        <v>10101.010101010101</v>
      </c>
      <c r="G9761" s="51">
        <f>ROUNDUP(F9761*(E9761/21)/E9725,0)</f>
        <v>57</v>
      </c>
    </row>
    <row r="9762" spans="1:7" x14ac:dyDescent="0.25">
      <c r="A9762" s="69" t="s">
        <v>77</v>
      </c>
      <c r="B9762" s="72" t="str">
        <f>VLOOKUP(A9762,'Componentes APUs'!$A$1:$D$14,2,0)</f>
        <v>Correa plastica y antiflama</v>
      </c>
      <c r="C9762" s="73"/>
      <c r="D9762" s="50" t="str">
        <f>VLOOKUP(A9762,'Componentes APUs'!$A$1:$D$14,3,0)</f>
        <v>U</v>
      </c>
      <c r="E9762" s="50">
        <f>SUM(C9739:C9744)</f>
        <v>2.75</v>
      </c>
      <c r="F9762" s="51">
        <f>VLOOKUP(A9762,'Componentes APUs'!$A$1:$D$14,4,0)</f>
        <v>3787.878787878788</v>
      </c>
      <c r="G9762" s="51">
        <f>ROUNDUP(F9762*(E9762/21)/E9725,0)</f>
        <v>34</v>
      </c>
    </row>
    <row r="9763" spans="1:7" x14ac:dyDescent="0.25">
      <c r="A9763" s="50" t="s">
        <v>79</v>
      </c>
      <c r="B9763" s="72" t="str">
        <f>VLOOKUP(A9763,'Componentes APUs'!$A$1:$D$14,2,0)</f>
        <v>Gafas protectoras filtro UV</v>
      </c>
      <c r="C9763" s="73"/>
      <c r="D9763" s="50" t="str">
        <f>VLOOKUP(A9763,'Componentes APUs'!$A$1:$D$14,3,0)</f>
        <v>U</v>
      </c>
      <c r="E9763" s="50">
        <f>SUM(C9739:C9744)</f>
        <v>2.75</v>
      </c>
      <c r="F9763" s="51">
        <f>VLOOKUP(A9763,'Componentes APUs'!$A$1:$D$14,4,0)</f>
        <v>2777.7777777777778</v>
      </c>
      <c r="G9763" s="51">
        <f>ROUNDUP(F9763*(E9763/21)/E9725,0)</f>
        <v>25</v>
      </c>
    </row>
    <row r="9764" spans="1:7" x14ac:dyDescent="0.25">
      <c r="A9764" s="69" t="s">
        <v>402</v>
      </c>
      <c r="B9764" s="72" t="str">
        <f>VLOOKUP(A9764,'Componentes APUs'!$A$1:$D$14,2,0)</f>
        <v>Bota de seguridad PVC dielectrica</v>
      </c>
      <c r="C9764" s="73"/>
      <c r="D9764" s="50" t="str">
        <f>VLOOKUP(A9764,'Componentes APUs'!$A$1:$D$14,3,0)</f>
        <v>Par</v>
      </c>
      <c r="E9764" s="50">
        <f>SUM(C9739:C9744)</f>
        <v>2.75</v>
      </c>
      <c r="F9764" s="51">
        <f>VLOOKUP(A9764,'Componentes APUs'!$A$1:$D$14,4,0)</f>
        <v>2916.6666666666665</v>
      </c>
      <c r="G9764" s="51">
        <f>ROUNDUP(F9764*(E9764/21)/E9725,0)</f>
        <v>26</v>
      </c>
    </row>
    <row r="9765" spans="1:7" x14ac:dyDescent="0.25">
      <c r="A9765" s="50" t="s">
        <v>403</v>
      </c>
      <c r="B9765" s="72" t="str">
        <f>VLOOKUP(A9765,'Componentes APUs'!$A$1:$D$14,2,0)</f>
        <v>Capuchon</v>
      </c>
      <c r="C9765" s="73"/>
      <c r="D9765" s="50" t="str">
        <f>VLOOKUP(A9765,'Componentes APUs'!$A$1:$D$14,3,0)</f>
        <v>U</v>
      </c>
      <c r="E9765" s="50">
        <f>SUM(C9739:C9744)</f>
        <v>2.75</v>
      </c>
      <c r="F9765" s="51">
        <f>VLOOKUP(A9765,'Componentes APUs'!$A$1:$D$14,4,0)</f>
        <v>2525.2525252525252</v>
      </c>
      <c r="G9765" s="51">
        <f>ROUNDUP(F9765*(E9765/21)/E9725,0)</f>
        <v>23</v>
      </c>
    </row>
    <row r="9766" spans="1:7" x14ac:dyDescent="0.25">
      <c r="A9766" s="69" t="s">
        <v>81</v>
      </c>
      <c r="B9766" s="72" t="str">
        <f>VLOOKUP(A9766,'Componentes APUs'!$A$1:$D$14,2,0)</f>
        <v>Guantes Protectores  - ingeniero reforzados</v>
      </c>
      <c r="C9766" s="73"/>
      <c r="D9766" s="50" t="str">
        <f>VLOOKUP(A9766,'Componentes APUs'!$A$1:$D$14,3,0)</f>
        <v>Par</v>
      </c>
      <c r="E9766" s="50">
        <f>C9741+C9742+C9744</f>
        <v>2</v>
      </c>
      <c r="F9766" s="51">
        <f>VLOOKUP(A9766,'Componentes APUs'!$A$1:$D$14,4,0)</f>
        <v>2525.2525252525252</v>
      </c>
      <c r="G9766" s="51">
        <f>ROUNDUP(F9766*(E9766/21)/E9725,0)</f>
        <v>17</v>
      </c>
    </row>
    <row r="9767" spans="1:7" x14ac:dyDescent="0.25">
      <c r="A9767" s="50" t="s">
        <v>83</v>
      </c>
      <c r="B9767" s="72" t="str">
        <f>VLOOKUP(A9767,'Componentes APUs'!$A$1:$D$14,2,0)</f>
        <v>Impermeable (pantalon camisa)</v>
      </c>
      <c r="C9767" s="73"/>
      <c r="D9767" s="50" t="str">
        <f>VLOOKUP(A9767,'Componentes APUs'!$A$1:$D$14,3,0)</f>
        <v>U</v>
      </c>
      <c r="E9767" s="50">
        <f>SUM(C9739:C9744)</f>
        <v>2.75</v>
      </c>
      <c r="F9767" s="51">
        <f>VLOOKUP(A9767,'Componentes APUs'!$A$1:$D$14,4,0)</f>
        <v>3750</v>
      </c>
      <c r="G9767" s="51">
        <f>ROUNDUP(F9767*(E9767/21)/E9725,0)</f>
        <v>33</v>
      </c>
    </row>
    <row r="9768" spans="1:7" x14ac:dyDescent="0.25">
      <c r="A9768" s="69" t="s">
        <v>85</v>
      </c>
      <c r="B9768" s="72" t="str">
        <f>VLOOKUP(A9768,'Componentes APUs'!$A$1:$D$14,2,0)</f>
        <v>Jean Dielectrico</v>
      </c>
      <c r="C9768" s="73"/>
      <c r="D9768" s="50" t="str">
        <f>VLOOKUP(A9768,'Componentes APUs'!$A$1:$D$14,3,0)</f>
        <v>U</v>
      </c>
      <c r="E9768" s="50">
        <f>SUM(C9739:C9744)</f>
        <v>2.75</v>
      </c>
      <c r="F9768" s="51">
        <f>VLOOKUP(A9768,'Componentes APUs'!$A$1:$D$14,4,0)</f>
        <v>7575.757575757576</v>
      </c>
      <c r="G9768" s="51">
        <f>ROUNDUP(F9768*(E9768/21)/E9725,0)</f>
        <v>67</v>
      </c>
    </row>
    <row r="9769" spans="1:7" x14ac:dyDescent="0.25">
      <c r="A9769" s="50" t="s">
        <v>87</v>
      </c>
      <c r="B9769" s="72" t="str">
        <f>VLOOKUP(A9769,'Componentes APUs'!$A$1:$D$14,2,0)</f>
        <v>Casco dielectrico Tipo 2 Clase E con barboquejo</v>
      </c>
      <c r="C9769" s="73"/>
      <c r="D9769" s="50" t="str">
        <f>VLOOKUP(A9769,'Componentes APUs'!$A$1:$D$14,3,0)</f>
        <v>U</v>
      </c>
      <c r="E9769" s="53">
        <f>IF(A9741="MO-3",C9741,0)</f>
        <v>1</v>
      </c>
      <c r="F9769" s="51">
        <f>VLOOKUP(A9769,'Componentes APUs'!$A$1:$D$14,4,0)</f>
        <v>7500</v>
      </c>
      <c r="G9769" s="51">
        <f>ROUNDUP(F9769*(E9769/21)/E9725,0)</f>
        <v>24</v>
      </c>
    </row>
    <row r="9770" spans="1:7" x14ac:dyDescent="0.25">
      <c r="A9770" s="69" t="s">
        <v>89</v>
      </c>
      <c r="B9770" s="72" t="str">
        <f>VLOOKUP(A9770,'Componentes APUs'!$A$1:$D$14,2,0)</f>
        <v>Kit de rescate para trabajo en alturas</v>
      </c>
      <c r="C9770" s="73"/>
      <c r="D9770" s="50" t="str">
        <f>VLOOKUP(A9770,'Componentes APUs'!$A$1:$D$14,3,0)</f>
        <v>U</v>
      </c>
      <c r="E9770" s="50">
        <f>IF(AND(A9741="MO-3",C9741=2),1,0)</f>
        <v>0</v>
      </c>
      <c r="F9770" s="51">
        <f>VLOOKUP(A9770,'Componentes APUs'!$A$1:$D$14,4,0)</f>
        <v>37500</v>
      </c>
      <c r="G9770" s="51">
        <f>ROUNDUP(F9770*(E9770/21)/E9725,0)</f>
        <v>0</v>
      </c>
    </row>
    <row r="9771" spans="1:7" x14ac:dyDescent="0.25">
      <c r="A9771" s="50" t="s">
        <v>91</v>
      </c>
      <c r="B9771" s="72" t="str">
        <f>VLOOKUP(A9771,'Componentes APUs'!$A$1:$D$14,2,0)</f>
        <v>Equipo completo para trabajo en alturas con pretales (Arnes dielectrico, 1 mosqueton de seguridad, tie off dielectrico, eslinga de posicionamiento, juego de pretales)</v>
      </c>
      <c r="C9771" s="73"/>
      <c r="D9771" s="50" t="str">
        <f>VLOOKUP(A9771,'Componentes APUs'!$A$1:$D$14,3,0)</f>
        <v>U</v>
      </c>
      <c r="E9771" s="50">
        <f>IF(A9741="MO-3",C9741,0)</f>
        <v>1</v>
      </c>
      <c r="F9771" s="51">
        <f>VLOOKUP(A9771,'Componentes APUs'!$A$1:$D$14,4,0)</f>
        <v>26041.666666666668</v>
      </c>
      <c r="G9771" s="51">
        <f>ROUNDUP(F9771*(E9771/21)/E9725,0)</f>
        <v>83</v>
      </c>
    </row>
    <row r="9772" spans="1:7" x14ac:dyDescent="0.25">
      <c r="A9772" s="219" t="s">
        <v>95</v>
      </c>
      <c r="B9772" s="219"/>
      <c r="C9772" s="219"/>
      <c r="D9772" s="219"/>
      <c r="E9772" s="219"/>
      <c r="F9772" s="219"/>
      <c r="G9772" s="52">
        <f>SUM(G9759:G9771)</f>
        <v>530</v>
      </c>
    </row>
    <row r="9773" spans="1:7" x14ac:dyDescent="0.25">
      <c r="A9773" s="56"/>
      <c r="B9773" s="57"/>
      <c r="C9773" s="57"/>
      <c r="D9773" s="57"/>
      <c r="E9773" s="57"/>
      <c r="F9773" s="57"/>
      <c r="G9773" s="58"/>
    </row>
    <row r="9774" spans="1:7" x14ac:dyDescent="0.25">
      <c r="A9774" s="219" t="s">
        <v>96</v>
      </c>
      <c r="B9774" s="219"/>
      <c r="C9774" s="219"/>
      <c r="D9774" s="219"/>
      <c r="E9774" s="219"/>
      <c r="F9774" s="219"/>
      <c r="G9774" s="219"/>
    </row>
    <row r="9775" spans="1:7" x14ac:dyDescent="0.25">
      <c r="A9775" s="49" t="s">
        <v>35</v>
      </c>
      <c r="B9775" s="225" t="s">
        <v>36</v>
      </c>
      <c r="C9775" s="225"/>
      <c r="D9775" s="49" t="s">
        <v>37</v>
      </c>
      <c r="E9775" s="49" t="s">
        <v>38</v>
      </c>
      <c r="F9775" s="49" t="s">
        <v>39</v>
      </c>
      <c r="G9775" s="49" t="s">
        <v>40</v>
      </c>
    </row>
    <row r="9776" spans="1:7" x14ac:dyDescent="0.25">
      <c r="A9776" s="69" t="s">
        <v>97</v>
      </c>
      <c r="B9776" s="72" t="str">
        <f>VLOOKUP(A9776,'Componentes APUs'!$N$1:$Q$30,2,0)</f>
        <v>Camioneta</v>
      </c>
      <c r="C9776" s="73"/>
      <c r="D9776" s="70" t="str">
        <f>VLOOKUP(A9776,'Componentes APUs'!$N$1:$Q$30,3,0)</f>
        <v>U</v>
      </c>
      <c r="E9776" s="50">
        <v>1</v>
      </c>
      <c r="F9776" s="51">
        <f>VLOOKUP(A9776,'Componentes APUs'!$N$1:$Q$30,4,0)</f>
        <v>5500000</v>
      </c>
      <c r="G9776" s="51">
        <f>IFERROR(ROUNDUP(F9776*(E9776/21)/E9725,0),"-")</f>
        <v>17461</v>
      </c>
    </row>
    <row r="9777" spans="1:7" x14ac:dyDescent="0.25">
      <c r="A9777" s="50" t="s">
        <v>321</v>
      </c>
      <c r="B9777" s="72" t="str">
        <f>VLOOKUP(A9777,'Componentes APUs'!$N$1:$Q$30,2,0)</f>
        <v>Grúa Hidráulica</v>
      </c>
      <c r="C9777" s="73"/>
      <c r="D9777" s="70" t="str">
        <f>VLOOKUP(A9777,'Componentes APUs'!$N$1:$Q$30,3,0)</f>
        <v>U</v>
      </c>
      <c r="E9777" s="50">
        <v>0</v>
      </c>
      <c r="F9777" s="51">
        <f>VLOOKUP(A9777,'Componentes APUs'!$N$1:$Q$30,4,0)</f>
        <v>21000000</v>
      </c>
      <c r="G9777" s="51">
        <f>IFERROR(ROUNDUP(F9777*(E9777/21)/E9725,0),"-")</f>
        <v>0</v>
      </c>
    </row>
    <row r="9778" spans="1:7" x14ac:dyDescent="0.25">
      <c r="A9778" s="69" t="s">
        <v>322</v>
      </c>
      <c r="B9778" s="72" t="str">
        <f>VLOOKUP(A9778,'Componentes APUs'!$N$1:$Q$30,2,0)</f>
        <v>Camabaja</v>
      </c>
      <c r="C9778" s="73"/>
      <c r="D9778" s="70" t="str">
        <f>VLOOKUP(A9778,'Componentes APUs'!$N$1:$Q$30,3,0)</f>
        <v>TON/KM</v>
      </c>
      <c r="E9778" s="50">
        <v>0</v>
      </c>
      <c r="F9778" s="51">
        <f>VLOOKUP(A9778,'Componentes APUs'!$N$1:$Q$30,4,0)</f>
        <v>611</v>
      </c>
      <c r="G9778" s="51">
        <f>IFERROR(ROUNDUP(F9778*(E9778/21)/E9725,0),"-")</f>
        <v>0</v>
      </c>
    </row>
    <row r="9779" spans="1:7" x14ac:dyDescent="0.25">
      <c r="A9779" s="50" t="s">
        <v>323</v>
      </c>
      <c r="B9779" s="72" t="str">
        <f>VLOOKUP(A9779,'Componentes APUs'!$N$1:$Q$30,2,0)</f>
        <v>Volqueta</v>
      </c>
      <c r="C9779" s="73"/>
      <c r="D9779" s="70" t="str">
        <f>VLOOKUP(A9779,'Componentes APUs'!$N$1:$Q$30,3,0)</f>
        <v>U</v>
      </c>
      <c r="E9779" s="50">
        <v>0</v>
      </c>
      <c r="F9779" s="51">
        <f>VLOOKUP(A9779,'Componentes APUs'!$N$1:$Q$30,4,0)</f>
        <v>14828184</v>
      </c>
      <c r="G9779" s="51">
        <f>IFERROR(ROUNDUP(F9779*(E9779/21)/E9725,0),"-")</f>
        <v>0</v>
      </c>
    </row>
    <row r="9780" spans="1:7" x14ac:dyDescent="0.25">
      <c r="A9780" s="69" t="s">
        <v>324</v>
      </c>
      <c r="B9780" s="72" t="str">
        <f>VLOOKUP(A9780,'Componentes APUs'!$N$1:$Q$30,2,0)</f>
        <v>Retroexcavadora</v>
      </c>
      <c r="C9780" s="73"/>
      <c r="D9780" s="70" t="str">
        <f>VLOOKUP(A9780,'Componentes APUs'!$N$1:$Q$30,3,0)</f>
        <v>U</v>
      </c>
      <c r="E9780" s="50">
        <v>0</v>
      </c>
      <c r="F9780" s="51">
        <f>VLOOKUP(A9780,'Componentes APUs'!$N$1:$Q$30,4,0)</f>
        <v>46030656</v>
      </c>
      <c r="G9780" s="51">
        <f>IFERROR(ROUNDUP(F9780*(E9780/21)/E9725,0),"-")</f>
        <v>0</v>
      </c>
    </row>
    <row r="9781" spans="1:7" x14ac:dyDescent="0.25">
      <c r="A9781" s="219" t="s">
        <v>99</v>
      </c>
      <c r="B9781" s="219"/>
      <c r="C9781" s="219"/>
      <c r="D9781" s="219"/>
      <c r="E9781" s="219"/>
      <c r="F9781" s="219"/>
      <c r="G9781" s="52">
        <f>SUM(G9776:G9780)</f>
        <v>17461</v>
      </c>
    </row>
    <row r="9782" spans="1:7" x14ac:dyDescent="0.25">
      <c r="A9782" s="56"/>
      <c r="B9782" s="57"/>
      <c r="C9782" s="57"/>
      <c r="D9782" s="57"/>
      <c r="E9782" s="57"/>
      <c r="F9782" s="57"/>
      <c r="G9782" s="58"/>
    </row>
    <row r="9783" spans="1:7" x14ac:dyDescent="0.25">
      <c r="A9783" s="219" t="s">
        <v>1516</v>
      </c>
      <c r="B9783" s="219"/>
      <c r="C9783" s="219"/>
      <c r="D9783" s="219"/>
      <c r="E9783" s="219"/>
      <c r="F9783" s="219"/>
      <c r="G9783" s="52">
        <f>G9781+G9772+G9755+G9745+G9735</f>
        <v>216900</v>
      </c>
    </row>
    <row r="9784" spans="1:7" x14ac:dyDescent="0.25">
      <c r="A9784" s="59"/>
      <c r="B9784" s="60"/>
      <c r="C9784" s="60"/>
      <c r="D9784" s="60"/>
      <c r="E9784" s="57"/>
      <c r="F9784" s="57"/>
      <c r="G9784" s="58"/>
    </row>
    <row r="9785" spans="1:7" x14ac:dyDescent="0.25">
      <c r="A9785" s="64"/>
      <c r="D9785" s="55"/>
      <c r="E9785" s="49" t="s">
        <v>25</v>
      </c>
      <c r="F9785" s="54">
        <v>0.15</v>
      </c>
      <c r="G9785" s="51">
        <f>G9783*F9785</f>
        <v>32535</v>
      </c>
    </row>
    <row r="9786" spans="1:7" x14ac:dyDescent="0.25">
      <c r="A9786" s="64"/>
      <c r="D9786" s="55"/>
      <c r="E9786" s="49" t="s">
        <v>26</v>
      </c>
      <c r="F9786" s="54">
        <v>0.05</v>
      </c>
      <c r="G9786" s="51">
        <f>G9783*F9786</f>
        <v>10845</v>
      </c>
    </row>
    <row r="9787" spans="1:7" x14ac:dyDescent="0.25">
      <c r="A9787" s="61"/>
      <c r="B9787" s="65"/>
      <c r="C9787" s="65"/>
      <c r="D9787" s="62"/>
      <c r="E9787" s="49" t="s">
        <v>27</v>
      </c>
      <c r="F9787" s="54">
        <v>0.05</v>
      </c>
      <c r="G9787" s="51">
        <f>G9783*F9787</f>
        <v>10845</v>
      </c>
    </row>
    <row r="9788" spans="1:7" x14ac:dyDescent="0.25">
      <c r="A9788" s="61"/>
      <c r="B9788" s="62"/>
      <c r="C9788" s="62"/>
      <c r="D9788" s="62"/>
      <c r="E9788" s="62"/>
      <c r="F9788" s="62"/>
      <c r="G9788" s="63"/>
    </row>
    <row r="9789" spans="1:7" x14ac:dyDescent="0.25">
      <c r="A9789" s="219" t="s">
        <v>1517</v>
      </c>
      <c r="B9789" s="219"/>
      <c r="C9789" s="219"/>
      <c r="D9789" s="219"/>
      <c r="E9789" s="219"/>
      <c r="F9789" s="219"/>
      <c r="G9789" s="52">
        <f>G9783+G9785+G9786+G9787</f>
        <v>271125</v>
      </c>
    </row>
    <row r="9790" spans="1:7" x14ac:dyDescent="0.25">
      <c r="A9790" s="59"/>
      <c r="B9790" s="60"/>
      <c r="C9790" s="60"/>
      <c r="D9790" s="60"/>
      <c r="E9790" s="57"/>
      <c r="F9790" s="57"/>
      <c r="G9790" s="58"/>
    </row>
    <row r="9791" spans="1:7" x14ac:dyDescent="0.25">
      <c r="A9791" s="64"/>
      <c r="D9791" s="55"/>
      <c r="E9791" s="49" t="s">
        <v>102</v>
      </c>
      <c r="F9791" s="49" t="s">
        <v>103</v>
      </c>
      <c r="G9791" s="51">
        <f>G9787*19%</f>
        <v>2060.5500000000002</v>
      </c>
    </row>
    <row r="9792" spans="1:7" x14ac:dyDescent="0.25">
      <c r="A9792" s="61"/>
      <c r="B9792" s="62"/>
      <c r="C9792" s="62"/>
      <c r="D9792" s="62"/>
      <c r="E9792" s="57"/>
      <c r="F9792" s="57"/>
      <c r="G9792" s="58"/>
    </row>
    <row r="9793" spans="1:7" x14ac:dyDescent="0.25">
      <c r="A9793" s="219" t="s">
        <v>104</v>
      </c>
      <c r="B9793" s="219"/>
      <c r="C9793" s="219"/>
      <c r="D9793" s="219"/>
      <c r="E9793" s="219"/>
      <c r="F9793" s="219"/>
      <c r="G9793" s="52">
        <f>G9791+G9789</f>
        <v>273185.55</v>
      </c>
    </row>
    <row r="9795" spans="1:7" x14ac:dyDescent="0.25">
      <c r="A9795" s="74" t="s">
        <v>29</v>
      </c>
      <c r="B9795" s="226" t="s">
        <v>30</v>
      </c>
      <c r="C9795" s="226"/>
      <c r="D9795" s="74" t="s">
        <v>31</v>
      </c>
      <c r="E9795" s="74" t="s">
        <v>32</v>
      </c>
      <c r="F9795" s="74" t="s">
        <v>189</v>
      </c>
      <c r="G9795" s="74" t="s">
        <v>33</v>
      </c>
    </row>
    <row r="9796" spans="1:7" ht="49.5" customHeight="1" x14ac:dyDescent="0.25">
      <c r="A9796" s="50" t="str">
        <f>Presupuesto!B180</f>
        <v>004_CA</v>
      </c>
      <c r="B9796" s="220" t="str">
        <f>Presupuesto!C180</f>
        <v>SUMINISTRO E INSTALACIÓN DE BANDEJA PORTACABLES 15X20 CM TIPO DUCTO CERRADO Y TAPA. INCLUYE CURVAS Y SISTEMA DE FIJACIÓN EN TECHO ( PARA SISTEMA DE COMUNICACIÓN)</v>
      </c>
      <c r="C9796" s="220"/>
      <c r="D9796" s="50" t="s">
        <v>108</v>
      </c>
      <c r="E9796" s="50">
        <v>15</v>
      </c>
      <c r="F9796" s="50"/>
      <c r="G9796" s="51">
        <f>G9864</f>
        <v>281044.83</v>
      </c>
    </row>
    <row r="9797" spans="1:7" x14ac:dyDescent="0.25">
      <c r="A9797" s="219" t="s">
        <v>34</v>
      </c>
      <c r="B9797" s="219"/>
      <c r="C9797" s="219"/>
      <c r="D9797" s="219"/>
      <c r="E9797" s="219"/>
      <c r="F9797" s="219"/>
      <c r="G9797" s="219"/>
    </row>
    <row r="9798" spans="1:7" x14ac:dyDescent="0.25">
      <c r="A9798" s="49" t="s">
        <v>35</v>
      </c>
      <c r="B9798" s="219" t="s">
        <v>36</v>
      </c>
      <c r="C9798" s="219"/>
      <c r="D9798" s="49" t="s">
        <v>37</v>
      </c>
      <c r="E9798" s="49" t="s">
        <v>38</v>
      </c>
      <c r="F9798" s="49" t="s">
        <v>39</v>
      </c>
      <c r="G9798" s="49" t="s">
        <v>40</v>
      </c>
    </row>
    <row r="9799" spans="1:7" ht="24.75" customHeight="1" x14ac:dyDescent="0.25">
      <c r="A9799" s="17" t="str">
        <f>Material!A59</f>
        <v>MA-58</v>
      </c>
      <c r="B9799" s="221" t="str">
        <f>IFERROR(VLOOKUP(A9799,Material!$A:$H,2,0),"-")</f>
        <v>BANDEJA PORTACABLES EN ACERO GALVANIZADO RECTO ALTO: 15 CM, ANCHO: 20 CM. TIPO DUCTO CERRADO</v>
      </c>
      <c r="C9799" s="222"/>
      <c r="D9799" s="50" t="str">
        <f>IFERROR(VLOOKUP(A9799,Material!$A:$H,4,0),"-")</f>
        <v>ML</v>
      </c>
      <c r="E9799" s="93">
        <v>1</v>
      </c>
      <c r="F9799" s="51">
        <f>IFERROR(VLOOKUP(A9799,Material!$A:$H,3,0),"-")</f>
        <v>137074.70833333334</v>
      </c>
      <c r="G9799" s="51">
        <f t="shared" ref="G9799:G9805" si="138">IFERROR(ROUNDUP(F9799*E9799,0),"-")</f>
        <v>137075</v>
      </c>
    </row>
    <row r="9800" spans="1:7" ht="24.75" customHeight="1" x14ac:dyDescent="0.25">
      <c r="A9800" s="17" t="str">
        <f>Material!A60</f>
        <v>MA-59</v>
      </c>
      <c r="B9800" s="221" t="str">
        <f>IFERROR(VLOOKUP(A9800,Material!$A:$H,2,0),"-")</f>
        <v>CURVA BANDEJA PORTACABLES EN ACERO GALVANIZADO A 90° ALTO: 15 CM, ANCHO: 20 CM. TIPO DUCTO CERRADO</v>
      </c>
      <c r="C9800" s="222"/>
      <c r="D9800" s="50" t="str">
        <f>IFERROR(VLOOKUP(A9800,Material!$A:$H,4,0),"-")</f>
        <v>ML</v>
      </c>
      <c r="E9800" s="93">
        <v>0.05</v>
      </c>
      <c r="F9800" s="51">
        <f>IFERROR(VLOOKUP(A9800,Material!$A:$H,3,0),"-")</f>
        <v>59785.916666666672</v>
      </c>
      <c r="G9800" s="51">
        <f t="shared" si="138"/>
        <v>2990</v>
      </c>
    </row>
    <row r="9801" spans="1:7" x14ac:dyDescent="0.25">
      <c r="A9801" s="17" t="str">
        <f>Material!A195</f>
        <v>MA-194</v>
      </c>
      <c r="B9801" s="72" t="str">
        <f>IFERROR(VLOOKUP(A9801,Material!$A:$H,2,0),"-")</f>
        <v>CHAZO EXPANSIVO RL 3/8"</v>
      </c>
      <c r="C9801" s="73"/>
      <c r="D9801" s="50" t="str">
        <f>IFERROR(VLOOKUP(A9801,Material!$A:$H,4,0),"-")</f>
        <v>UN</v>
      </c>
      <c r="E9801" s="93">
        <v>2</v>
      </c>
      <c r="F9801" s="51">
        <f>IFERROR(VLOOKUP(A9801,Material!$A:$H,3,0),"-")</f>
        <v>455</v>
      </c>
      <c r="G9801" s="51">
        <f t="shared" si="138"/>
        <v>910</v>
      </c>
    </row>
    <row r="9802" spans="1:7" x14ac:dyDescent="0.25">
      <c r="A9802" s="17" t="str">
        <f>Material!A196</f>
        <v>MA-195</v>
      </c>
      <c r="B9802" s="72" t="str">
        <f>IFERROR(VLOOKUP(A9802,Material!$A:$H,2,0),"-")</f>
        <v>VARILLA ROSCADA DE 3/8"</v>
      </c>
      <c r="C9802" s="73"/>
      <c r="D9802" s="50" t="str">
        <f>IFERROR(VLOOKUP(A9802,Material!$A:$H,4,0),"-")</f>
        <v>UN</v>
      </c>
      <c r="E9802" s="93">
        <v>2</v>
      </c>
      <c r="F9802" s="51">
        <f>IFERROR(VLOOKUP(A9802,Material!$A:$H,3,0),"-")</f>
        <v>3466.6666666666665</v>
      </c>
      <c r="G9802" s="51">
        <f t="shared" si="138"/>
        <v>6934</v>
      </c>
    </row>
    <row r="9803" spans="1:7" x14ac:dyDescent="0.25">
      <c r="A9803" s="17" t="str">
        <f>Material!A197</f>
        <v>MA-196</v>
      </c>
      <c r="B9803" s="72" t="str">
        <f>IFERROR(VLOOKUP(A9803,Material!$A:$H,2,0),"-")</f>
        <v>RIEL UNISTRUT RANURADO 2X4 CM</v>
      </c>
      <c r="C9803" s="73"/>
      <c r="D9803" s="50" t="str">
        <f>IFERROR(VLOOKUP(A9803,Material!$A:$H,4,0),"-")</f>
        <v>ML</v>
      </c>
      <c r="E9803" s="93">
        <v>0.3</v>
      </c>
      <c r="F9803" s="51">
        <f>IFERROR(VLOOKUP(A9803,Material!$A:$H,3,0),"-")</f>
        <v>10551.666666666668</v>
      </c>
      <c r="G9803" s="51">
        <f t="shared" si="138"/>
        <v>3166</v>
      </c>
    </row>
    <row r="9804" spans="1:7" x14ac:dyDescent="0.25">
      <c r="A9804" s="17" t="str">
        <f>Material!A198</f>
        <v>MA-197</v>
      </c>
      <c r="B9804" s="72" t="str">
        <f>IFERROR(VLOOKUP(A9804,Material!$A:$H,2,0),"-")</f>
        <v>CABLE DE COBRE DESNUDO NO 8 AWG</v>
      </c>
      <c r="C9804" s="76"/>
      <c r="D9804" s="50" t="str">
        <f>IFERROR(VLOOKUP(A9804,Material!$A:$H,4,0),"-")</f>
        <v>ML</v>
      </c>
      <c r="E9804" s="93">
        <v>1</v>
      </c>
      <c r="F9804" s="51">
        <f>IFERROR(VLOOKUP(A9804,Material!$A:$H,3,0),"-")</f>
        <v>7150</v>
      </c>
      <c r="G9804" s="51">
        <f t="shared" si="138"/>
        <v>7150</v>
      </c>
    </row>
    <row r="9805" spans="1:7" x14ac:dyDescent="0.25">
      <c r="A9805" s="17"/>
      <c r="B9805" s="72" t="str">
        <f>IFERROR(VLOOKUP(A9805,Material!$A:$H,2,0),"-")</f>
        <v>-</v>
      </c>
      <c r="C9805" s="76"/>
      <c r="D9805" s="50" t="str">
        <f>IFERROR(VLOOKUP(A9805,Material!$A:$H,4,0),"-")</f>
        <v>-</v>
      </c>
      <c r="E9805" s="50"/>
      <c r="F9805" s="51" t="str">
        <f>IFERROR(VLOOKUP(A9805,Material!$A:$H,3,0),"-")</f>
        <v>-</v>
      </c>
      <c r="G9805" s="51" t="str">
        <f t="shared" si="138"/>
        <v>-</v>
      </c>
    </row>
    <row r="9806" spans="1:7" x14ac:dyDescent="0.25">
      <c r="A9806" s="219" t="s">
        <v>41</v>
      </c>
      <c r="B9806" s="219"/>
      <c r="C9806" s="219"/>
      <c r="D9806" s="219"/>
      <c r="E9806" s="219"/>
      <c r="F9806" s="219"/>
      <c r="G9806" s="52">
        <f>SUM(G9799:G9805)</f>
        <v>158225</v>
      </c>
    </row>
    <row r="9807" spans="1:7" x14ac:dyDescent="0.25">
      <c r="A9807" s="56"/>
      <c r="B9807" s="57"/>
      <c r="C9807" s="57"/>
      <c r="D9807" s="57"/>
      <c r="E9807" s="57"/>
      <c r="F9807" s="57"/>
      <c r="G9807" s="58"/>
    </row>
    <row r="9808" spans="1:7" x14ac:dyDescent="0.25">
      <c r="A9808" s="219" t="s">
        <v>42</v>
      </c>
      <c r="B9808" s="219"/>
      <c r="C9808" s="219"/>
      <c r="D9808" s="219"/>
      <c r="E9808" s="219"/>
      <c r="F9808" s="219"/>
      <c r="G9808" s="219"/>
    </row>
    <row r="9809" spans="1:7" x14ac:dyDescent="0.25">
      <c r="A9809" s="49" t="s">
        <v>35</v>
      </c>
      <c r="B9809" s="49" t="s">
        <v>36</v>
      </c>
      <c r="C9809" s="49" t="s">
        <v>38</v>
      </c>
      <c r="D9809" s="49" t="s">
        <v>43</v>
      </c>
      <c r="E9809" s="49" t="s">
        <v>44</v>
      </c>
      <c r="F9809" s="49" t="s">
        <v>45</v>
      </c>
      <c r="G9809" s="49" t="s">
        <v>40</v>
      </c>
    </row>
    <row r="9810" spans="1:7" x14ac:dyDescent="0.25">
      <c r="A9810" s="50" t="s">
        <v>319</v>
      </c>
      <c r="B9810" s="68" t="str">
        <f>VLOOKUP(A9810,'Componentes APUs'!$H$1:$L$25,2,0)</f>
        <v>Ingeniero Residente de Obra</v>
      </c>
      <c r="C9810" s="93">
        <v>0.25</v>
      </c>
      <c r="D9810" s="50">
        <f>VLOOKUP(A9810,'Componentes APUs'!$H$1:$L$25,3,0)</f>
        <v>4</v>
      </c>
      <c r="E9810" s="51">
        <f>VLOOKUP(A9810,'Componentes APUs'!$H$1:$L$25,4,0)</f>
        <v>271142.85714285716</v>
      </c>
      <c r="F9810" s="51">
        <f>VLOOKUP(A9810,'Componentes APUs'!$H$1:$L$25,5,0)</f>
        <v>162685.71428571429</v>
      </c>
      <c r="G9810" s="51">
        <f>ROUNDUP((E9810+F9810)*C9810/E9796,0)</f>
        <v>7231</v>
      </c>
    </row>
    <row r="9811" spans="1:7" x14ac:dyDescent="0.25">
      <c r="A9811" s="50" t="s">
        <v>320</v>
      </c>
      <c r="B9811" s="68" t="str">
        <f>VLOOKUP(A9811,'Componentes APUs'!$H$1:$L$25,2,0)</f>
        <v>Tecnico Supervisor</v>
      </c>
      <c r="C9811" s="93">
        <v>0.25</v>
      </c>
      <c r="D9811" s="50">
        <f>VLOOKUP(A9811,'Componentes APUs'!$H$1:$L$25,3,0)</f>
        <v>2.2999999999999998</v>
      </c>
      <c r="E9811" s="51">
        <f>VLOOKUP(A9811,'Componentes APUs'!$H$1:$L$25,4,0)</f>
        <v>155907.14285714284</v>
      </c>
      <c r="F9811" s="51">
        <f>VLOOKUP(A9811,'Componentes APUs'!$H$1:$L$25,5,0)</f>
        <v>93544.285714285696</v>
      </c>
      <c r="G9811" s="51">
        <f>ROUNDUP((E9811+F9811)*C9811/E9796,0)</f>
        <v>4158</v>
      </c>
    </row>
    <row r="9812" spans="1:7" x14ac:dyDescent="0.25">
      <c r="A9812" s="50" t="s">
        <v>46</v>
      </c>
      <c r="B9812" s="68" t="str">
        <f>VLOOKUP(A9812,'Componentes APUs'!$H$1:$L$25,2,0)</f>
        <v>Tecnico Liniero</v>
      </c>
      <c r="C9812" s="93">
        <v>1</v>
      </c>
      <c r="D9812" s="50">
        <f>VLOOKUP(A9812,'Componentes APUs'!$H$1:$L$25,3,0)</f>
        <v>2</v>
      </c>
      <c r="E9812" s="51">
        <f>VLOOKUP(A9812,'Componentes APUs'!$H$1:$L$25,4,0)</f>
        <v>154619.04761904763</v>
      </c>
      <c r="F9812" s="51">
        <f>VLOOKUP(A9812,'Componentes APUs'!$H$1:$L$25,5,0)</f>
        <v>92771.42857142858</v>
      </c>
      <c r="G9812" s="51">
        <f>ROUNDUP((E9812+F9812)*C9812/E9796,0)</f>
        <v>16493</v>
      </c>
    </row>
    <row r="9813" spans="1:7" x14ac:dyDescent="0.25">
      <c r="A9813" s="50" t="s">
        <v>48</v>
      </c>
      <c r="B9813" s="68" t="str">
        <f>VLOOKUP(A9813,'Componentes APUs'!$H$1:$L$25,2,0)</f>
        <v>Ayudante Calificado</v>
      </c>
      <c r="C9813" s="93">
        <v>1</v>
      </c>
      <c r="D9813" s="50">
        <f>VLOOKUP(A9813,'Componentes APUs'!$H$1:$L$25,3,0)</f>
        <v>1.5</v>
      </c>
      <c r="E9813" s="51">
        <f>VLOOKUP(A9813,'Componentes APUs'!$H$1:$L$25,4,0)</f>
        <v>115964.28571428571</v>
      </c>
      <c r="F9813" s="51">
        <f>VLOOKUP(A9813,'Componentes APUs'!$H$1:$L$25,5,0)</f>
        <v>69578.57142857142</v>
      </c>
      <c r="G9813" s="51">
        <f>ROUNDUP((E9813+F9813)*C9813/E9796,0)</f>
        <v>12370</v>
      </c>
    </row>
    <row r="9814" spans="1:7" x14ac:dyDescent="0.25">
      <c r="A9814" s="50" t="s">
        <v>50</v>
      </c>
      <c r="B9814" s="68" t="str">
        <f>VLOOKUP(A9814,'Componentes APUs'!$H$1:$L$25,2,0)</f>
        <v>Profesional en SST</v>
      </c>
      <c r="C9814" s="93">
        <v>0.25</v>
      </c>
      <c r="D9814" s="50">
        <f>VLOOKUP(A9814,'Componentes APUs'!$H$1:$L$25,3,0)</f>
        <v>2.5</v>
      </c>
      <c r="E9814" s="51">
        <f>VLOOKUP(A9814,'Componentes APUs'!$H$1:$L$25,4,0)</f>
        <v>169464.28571428571</v>
      </c>
      <c r="F9814" s="51">
        <f>VLOOKUP(A9814,'Componentes APUs'!$H$1:$L$25,5,0)</f>
        <v>101678.57142857142</v>
      </c>
      <c r="G9814" s="51">
        <f>ROUNDUP((E9814+F9814)*C9814/E9796,0)</f>
        <v>4520</v>
      </c>
    </row>
    <row r="9815" spans="1:7" x14ac:dyDescent="0.25">
      <c r="A9815" s="50" t="s">
        <v>52</v>
      </c>
      <c r="B9815" s="68" t="str">
        <f>VLOOKUP(A9815,'Componentes APUs'!$H$1:$L$25,2,0)</f>
        <v>Ayudante No Calificado</v>
      </c>
      <c r="C9815" s="93">
        <v>0</v>
      </c>
      <c r="D9815" s="50">
        <f>VLOOKUP(A9815,'Componentes APUs'!$H$1:$L$25,3,0)</f>
        <v>1</v>
      </c>
      <c r="E9815" s="51">
        <f>VLOOKUP(A9815,'Componentes APUs'!$H$1:$L$25,4,0)</f>
        <v>77309.523809523816</v>
      </c>
      <c r="F9815" s="51">
        <f>VLOOKUP(A9815,'Componentes APUs'!$H$1:$L$25,5,0)</f>
        <v>46385.71428571429</v>
      </c>
      <c r="G9815" s="51">
        <f>ROUNDUP((E9815+F9815)*C9815/E9796,0)</f>
        <v>0</v>
      </c>
    </row>
    <row r="9816" spans="1:7" x14ac:dyDescent="0.25">
      <c r="A9816" s="219" t="s">
        <v>56</v>
      </c>
      <c r="B9816" s="219"/>
      <c r="C9816" s="219"/>
      <c r="D9816" s="219"/>
      <c r="E9816" s="219"/>
      <c r="F9816" s="219"/>
      <c r="G9816" s="52">
        <f>SUM(G9810:G9815)</f>
        <v>44772</v>
      </c>
    </row>
    <row r="9817" spans="1:7" x14ac:dyDescent="0.25">
      <c r="A9817" s="56"/>
      <c r="B9817" s="57"/>
      <c r="C9817" s="57"/>
      <c r="D9817" s="57"/>
      <c r="E9817" s="57"/>
      <c r="F9817" s="57"/>
      <c r="G9817" s="58"/>
    </row>
    <row r="9818" spans="1:7" x14ac:dyDescent="0.25">
      <c r="A9818" s="219" t="s">
        <v>57</v>
      </c>
      <c r="B9818" s="219"/>
      <c r="C9818" s="219"/>
      <c r="D9818" s="219"/>
      <c r="E9818" s="219"/>
      <c r="F9818" s="219"/>
      <c r="G9818" s="219"/>
    </row>
    <row r="9819" spans="1:7" x14ac:dyDescent="0.25">
      <c r="A9819" s="49" t="s">
        <v>35</v>
      </c>
      <c r="B9819" s="219" t="s">
        <v>36</v>
      </c>
      <c r="C9819" s="219"/>
      <c r="D9819" s="49" t="s">
        <v>37</v>
      </c>
      <c r="E9819" s="49" t="s">
        <v>38</v>
      </c>
      <c r="F9819" s="49" t="s">
        <v>39</v>
      </c>
      <c r="G9819" s="49" t="s">
        <v>40</v>
      </c>
    </row>
    <row r="9820" spans="1:7" x14ac:dyDescent="0.25">
      <c r="A9820" s="50" t="s">
        <v>326</v>
      </c>
      <c r="B9820" s="220" t="str">
        <f>VLOOKUP(A9820,'Componentes APUs'!$S$1:$V$10,2,0)</f>
        <v>Juego Llaves</v>
      </c>
      <c r="C9820" s="220"/>
      <c r="D9820" s="50" t="s">
        <v>18</v>
      </c>
      <c r="E9820" s="50">
        <v>2</v>
      </c>
      <c r="F9820" s="51">
        <f>VLOOKUP(A9820,'Componentes APUs'!$S$1:$V$10,4,0)</f>
        <v>9167</v>
      </c>
      <c r="G9820" s="51">
        <f>ROUNDUP(F9820*((E9820/21)/E9796),0)</f>
        <v>59</v>
      </c>
    </row>
    <row r="9821" spans="1:7" x14ac:dyDescent="0.25">
      <c r="A9821" s="50" t="s">
        <v>58</v>
      </c>
      <c r="B9821" s="220" t="str">
        <f>VLOOKUP(A9821,'Componentes APUs'!$S$1:$V$10,2,0)</f>
        <v>Manila de servicio</v>
      </c>
      <c r="C9821" s="220"/>
      <c r="D9821" s="50" t="s">
        <v>18</v>
      </c>
      <c r="E9821" s="50">
        <v>2</v>
      </c>
      <c r="F9821" s="51">
        <f>VLOOKUP(A9821,'Componentes APUs'!$S$1:$V$10,4,0)</f>
        <v>2333</v>
      </c>
      <c r="G9821" s="51">
        <f>ROUNDUP(F9821*((E9821/21)/E9796),0)</f>
        <v>15</v>
      </c>
    </row>
    <row r="9822" spans="1:7" x14ac:dyDescent="0.25">
      <c r="A9822" s="50" t="s">
        <v>327</v>
      </c>
      <c r="B9822" s="220" t="str">
        <f>VLOOKUP(A9822,'Componentes APUs'!$S$1:$V$10,2,0)</f>
        <v>Tula portaherramientas</v>
      </c>
      <c r="C9822" s="220"/>
      <c r="D9822" s="50" t="s">
        <v>18</v>
      </c>
      <c r="E9822" s="50">
        <v>2</v>
      </c>
      <c r="F9822" s="51">
        <f>VLOOKUP(A9822,'Componentes APUs'!$S$1:$V$10,4,0)</f>
        <v>1250</v>
      </c>
      <c r="G9822" s="51">
        <f>ROUNDUP(F9822*((E9822/21)/E9796),0)</f>
        <v>8</v>
      </c>
    </row>
    <row r="9823" spans="1:7" x14ac:dyDescent="0.25">
      <c r="A9823" s="50" t="s">
        <v>60</v>
      </c>
      <c r="B9823" s="220" t="str">
        <f>VLOOKUP(A9823,'Componentes APUs'!$S$1:$V$10,2,0)</f>
        <v>Agarradoras</v>
      </c>
      <c r="C9823" s="220"/>
      <c r="D9823" s="50" t="s">
        <v>18</v>
      </c>
      <c r="E9823" s="50">
        <v>2</v>
      </c>
      <c r="F9823" s="51">
        <f>VLOOKUP(A9823,'Componentes APUs'!$S$1:$V$10,4,0)</f>
        <v>125000</v>
      </c>
      <c r="G9823" s="51">
        <f>ROUNDUP(F9823*((E9823/21)/E9796),0)</f>
        <v>794</v>
      </c>
    </row>
    <row r="9824" spans="1:7" x14ac:dyDescent="0.25">
      <c r="A9824" s="50" t="s">
        <v>62</v>
      </c>
      <c r="B9824" s="220" t="str">
        <f>VLOOKUP(A9824,'Componentes APUs'!$S$1:$V$10,2,0)</f>
        <v>Templadoras</v>
      </c>
      <c r="C9824" s="220"/>
      <c r="D9824" s="50" t="s">
        <v>18</v>
      </c>
      <c r="E9824" s="50">
        <v>1</v>
      </c>
      <c r="F9824" s="51">
        <f>VLOOKUP(A9824,'Componentes APUs'!$S$1:$V$10,4,0)</f>
        <v>250000</v>
      </c>
      <c r="G9824" s="51">
        <f>ROUNDUP(F9824*((E9824/21)/E9796),0)</f>
        <v>794</v>
      </c>
    </row>
    <row r="9825" spans="1:7" x14ac:dyDescent="0.25">
      <c r="A9825" s="50" t="s">
        <v>328</v>
      </c>
      <c r="B9825" s="220" t="str">
        <f>VLOOKUP(A9825,'Componentes APUs'!$S$1:$V$10,2,0)</f>
        <v>Herramienta Menor</v>
      </c>
      <c r="C9825" s="220"/>
      <c r="D9825" s="50" t="s">
        <v>18</v>
      </c>
      <c r="E9825" s="50">
        <v>2</v>
      </c>
      <c r="F9825" s="51">
        <f>VLOOKUP(A9825,'Componentes APUs'!$S$1:$V$10,4,0)</f>
        <v>75758</v>
      </c>
      <c r="G9825" s="51">
        <f>ROUNDUP(F9825*((E9825/21)/E9796),0)</f>
        <v>482</v>
      </c>
    </row>
    <row r="9826" spans="1:7" x14ac:dyDescent="0.25">
      <c r="A9826" s="219" t="s">
        <v>69</v>
      </c>
      <c r="B9826" s="219"/>
      <c r="C9826" s="219"/>
      <c r="D9826" s="219"/>
      <c r="E9826" s="219"/>
      <c r="F9826" s="219"/>
      <c r="G9826" s="52">
        <f>SUM(G9820:G9825)</f>
        <v>2152</v>
      </c>
    </row>
    <row r="9827" spans="1:7" x14ac:dyDescent="0.25">
      <c r="A9827" s="56"/>
      <c r="B9827" s="57"/>
      <c r="C9827" s="57"/>
      <c r="D9827" s="57"/>
      <c r="E9827" s="57"/>
      <c r="F9827" s="57"/>
      <c r="G9827" s="58"/>
    </row>
    <row r="9828" spans="1:7" x14ac:dyDescent="0.25">
      <c r="A9828" s="219" t="s">
        <v>70</v>
      </c>
      <c r="B9828" s="219"/>
      <c r="C9828" s="219"/>
      <c r="D9828" s="219"/>
      <c r="E9828" s="219"/>
      <c r="F9828" s="219"/>
      <c r="G9828" s="219"/>
    </row>
    <row r="9829" spans="1:7" x14ac:dyDescent="0.25">
      <c r="A9829" s="49" t="s">
        <v>35</v>
      </c>
      <c r="B9829" s="219" t="s">
        <v>36</v>
      </c>
      <c r="C9829" s="219"/>
      <c r="D9829" s="49" t="s">
        <v>37</v>
      </c>
      <c r="E9829" s="49" t="s">
        <v>38</v>
      </c>
      <c r="F9829" s="49" t="s">
        <v>39</v>
      </c>
      <c r="G9829" s="49" t="s">
        <v>40</v>
      </c>
    </row>
    <row r="9830" spans="1:7" x14ac:dyDescent="0.25">
      <c r="A9830" s="50" t="s">
        <v>71</v>
      </c>
      <c r="B9830" s="71" t="str">
        <f>VLOOKUP(A9830,'Componentes APUs'!$A$1:$D$14,2,0)</f>
        <v>Camisa indigo sin partes metalicas</v>
      </c>
      <c r="C9830" s="71"/>
      <c r="D9830" s="50" t="str">
        <f>VLOOKUP(A9830,'Componentes APUs'!$A$1:$D$14,3,0)</f>
        <v>U</v>
      </c>
      <c r="E9830" s="50">
        <f>SUM(C9810:C9815)</f>
        <v>2.75</v>
      </c>
      <c r="F9830" s="51">
        <f>VLOOKUP(A9830,'Componentes APUs'!$A$1:$D$14,4,0)</f>
        <v>8585.8585858585866</v>
      </c>
      <c r="G9830" s="51">
        <f>ROUNDUP(F9830*(E9830/21)/E9796,0)</f>
        <v>75</v>
      </c>
    </row>
    <row r="9831" spans="1:7" x14ac:dyDescent="0.25">
      <c r="A9831" s="69" t="s">
        <v>73</v>
      </c>
      <c r="B9831" s="72" t="str">
        <f>VLOOKUP(A9831,'Componentes APUs'!$A$1:$D$14,2,0)</f>
        <v>Bota de seguridad dielectrica</v>
      </c>
      <c r="C9831" s="73"/>
      <c r="D9831" s="70" t="str">
        <f>VLOOKUP(A9831,'Componentes APUs'!$A$1:$D$14,3,0)</f>
        <v>Par</v>
      </c>
      <c r="E9831" s="50">
        <f>SUM(C9810:C9815)</f>
        <v>2.75</v>
      </c>
      <c r="F9831" s="51">
        <f>VLOOKUP(A9831,'Componentes APUs'!$A$1:$D$14,4,0)</f>
        <v>7500</v>
      </c>
      <c r="G9831" s="51">
        <f>ROUNDUP(F9831*(E9831/21)/E9796,0)</f>
        <v>66</v>
      </c>
    </row>
    <row r="9832" spans="1:7" x14ac:dyDescent="0.25">
      <c r="A9832" s="50" t="s">
        <v>76</v>
      </c>
      <c r="B9832" s="72" t="str">
        <f>VLOOKUP(A9832,'Componentes APUs'!$A$1:$D$14,2,0)</f>
        <v>Casco dielectrico Tipo 1 Clase E con barbuquejo</v>
      </c>
      <c r="C9832" s="73"/>
      <c r="D9832" s="50" t="str">
        <f>VLOOKUP(A9832,'Componentes APUs'!$A$1:$D$14,3,0)</f>
        <v>U</v>
      </c>
      <c r="E9832" s="50">
        <f>C9810+C9813+C9814+C9811+C9815+IF(A9812&lt;&gt;"MO-3",C9812,0)</f>
        <v>1.75</v>
      </c>
      <c r="F9832" s="51">
        <f>VLOOKUP(A9832,'Componentes APUs'!$A$1:$D$14,4,0)</f>
        <v>10101.010101010101</v>
      </c>
      <c r="G9832" s="51">
        <f>ROUNDUP(F9832*(E9832/21)/E9796,0)</f>
        <v>57</v>
      </c>
    </row>
    <row r="9833" spans="1:7" x14ac:dyDescent="0.25">
      <c r="A9833" s="69" t="s">
        <v>77</v>
      </c>
      <c r="B9833" s="72" t="str">
        <f>VLOOKUP(A9833,'Componentes APUs'!$A$1:$D$14,2,0)</f>
        <v>Correa plastica y antiflama</v>
      </c>
      <c r="C9833" s="73"/>
      <c r="D9833" s="50" t="str">
        <f>VLOOKUP(A9833,'Componentes APUs'!$A$1:$D$14,3,0)</f>
        <v>U</v>
      </c>
      <c r="E9833" s="50">
        <f>SUM(C9810:C9815)</f>
        <v>2.75</v>
      </c>
      <c r="F9833" s="51">
        <f>VLOOKUP(A9833,'Componentes APUs'!$A$1:$D$14,4,0)</f>
        <v>3787.878787878788</v>
      </c>
      <c r="G9833" s="51">
        <f>ROUNDUP(F9833*(E9833/21)/E9796,0)</f>
        <v>34</v>
      </c>
    </row>
    <row r="9834" spans="1:7" x14ac:dyDescent="0.25">
      <c r="A9834" s="50" t="s">
        <v>79</v>
      </c>
      <c r="B9834" s="72" t="str">
        <f>VLOOKUP(A9834,'Componentes APUs'!$A$1:$D$14,2,0)</f>
        <v>Gafas protectoras filtro UV</v>
      </c>
      <c r="C9834" s="73"/>
      <c r="D9834" s="50" t="str">
        <f>VLOOKUP(A9834,'Componentes APUs'!$A$1:$D$14,3,0)</f>
        <v>U</v>
      </c>
      <c r="E9834" s="50">
        <f>SUM(C9810:C9815)</f>
        <v>2.75</v>
      </c>
      <c r="F9834" s="51">
        <f>VLOOKUP(A9834,'Componentes APUs'!$A$1:$D$14,4,0)</f>
        <v>2777.7777777777778</v>
      </c>
      <c r="G9834" s="51">
        <f>ROUNDUP(F9834*(E9834/21)/E9796,0)</f>
        <v>25</v>
      </c>
    </row>
    <row r="9835" spans="1:7" x14ac:dyDescent="0.25">
      <c r="A9835" s="69" t="s">
        <v>402</v>
      </c>
      <c r="B9835" s="72" t="str">
        <f>VLOOKUP(A9835,'Componentes APUs'!$A$1:$D$14,2,0)</f>
        <v>Bota de seguridad PVC dielectrica</v>
      </c>
      <c r="C9835" s="73"/>
      <c r="D9835" s="50" t="str">
        <f>VLOOKUP(A9835,'Componentes APUs'!$A$1:$D$14,3,0)</f>
        <v>Par</v>
      </c>
      <c r="E9835" s="50">
        <f>SUM(C9810:C9815)</f>
        <v>2.75</v>
      </c>
      <c r="F9835" s="51">
        <f>VLOOKUP(A9835,'Componentes APUs'!$A$1:$D$14,4,0)</f>
        <v>2916.6666666666665</v>
      </c>
      <c r="G9835" s="51">
        <f>ROUNDUP(F9835*(E9835/21)/E9796,0)</f>
        <v>26</v>
      </c>
    </row>
    <row r="9836" spans="1:7" x14ac:dyDescent="0.25">
      <c r="A9836" s="50" t="s">
        <v>403</v>
      </c>
      <c r="B9836" s="72" t="str">
        <f>VLOOKUP(A9836,'Componentes APUs'!$A$1:$D$14,2,0)</f>
        <v>Capuchon</v>
      </c>
      <c r="C9836" s="73"/>
      <c r="D9836" s="50" t="str">
        <f>VLOOKUP(A9836,'Componentes APUs'!$A$1:$D$14,3,0)</f>
        <v>U</v>
      </c>
      <c r="E9836" s="50">
        <f>SUM(C9810:C9815)</f>
        <v>2.75</v>
      </c>
      <c r="F9836" s="51">
        <f>VLOOKUP(A9836,'Componentes APUs'!$A$1:$D$14,4,0)</f>
        <v>2525.2525252525252</v>
      </c>
      <c r="G9836" s="51">
        <f>ROUNDUP(F9836*(E9836/21)/E9796,0)</f>
        <v>23</v>
      </c>
    </row>
    <row r="9837" spans="1:7" x14ac:dyDescent="0.25">
      <c r="A9837" s="69" t="s">
        <v>81</v>
      </c>
      <c r="B9837" s="72" t="str">
        <f>VLOOKUP(A9837,'Componentes APUs'!$A$1:$D$14,2,0)</f>
        <v>Guantes Protectores  - ingeniero reforzados</v>
      </c>
      <c r="C9837" s="73"/>
      <c r="D9837" s="50" t="str">
        <f>VLOOKUP(A9837,'Componentes APUs'!$A$1:$D$14,3,0)</f>
        <v>Par</v>
      </c>
      <c r="E9837" s="50">
        <f>C9812+C9813+C9815</f>
        <v>2</v>
      </c>
      <c r="F9837" s="51">
        <f>VLOOKUP(A9837,'Componentes APUs'!$A$1:$D$14,4,0)</f>
        <v>2525.2525252525252</v>
      </c>
      <c r="G9837" s="51">
        <f>ROUNDUP(F9837*(E9837/21)/E9796,0)</f>
        <v>17</v>
      </c>
    </row>
    <row r="9838" spans="1:7" x14ac:dyDescent="0.25">
      <c r="A9838" s="50" t="s">
        <v>83</v>
      </c>
      <c r="B9838" s="72" t="str">
        <f>VLOOKUP(A9838,'Componentes APUs'!$A$1:$D$14,2,0)</f>
        <v>Impermeable (pantalon camisa)</v>
      </c>
      <c r="C9838" s="73"/>
      <c r="D9838" s="50" t="str">
        <f>VLOOKUP(A9838,'Componentes APUs'!$A$1:$D$14,3,0)</f>
        <v>U</v>
      </c>
      <c r="E9838" s="50">
        <f>SUM(C9810:C9815)</f>
        <v>2.75</v>
      </c>
      <c r="F9838" s="51">
        <f>VLOOKUP(A9838,'Componentes APUs'!$A$1:$D$14,4,0)</f>
        <v>3750</v>
      </c>
      <c r="G9838" s="51">
        <f>ROUNDUP(F9838*(E9838/21)/E9796,0)</f>
        <v>33</v>
      </c>
    </row>
    <row r="9839" spans="1:7" x14ac:dyDescent="0.25">
      <c r="A9839" s="69" t="s">
        <v>85</v>
      </c>
      <c r="B9839" s="72" t="str">
        <f>VLOOKUP(A9839,'Componentes APUs'!$A$1:$D$14,2,0)</f>
        <v>Jean Dielectrico</v>
      </c>
      <c r="C9839" s="73"/>
      <c r="D9839" s="50" t="str">
        <f>VLOOKUP(A9839,'Componentes APUs'!$A$1:$D$14,3,0)</f>
        <v>U</v>
      </c>
      <c r="E9839" s="50">
        <f>SUM(C9810:C9815)</f>
        <v>2.75</v>
      </c>
      <c r="F9839" s="51">
        <f>VLOOKUP(A9839,'Componentes APUs'!$A$1:$D$14,4,0)</f>
        <v>7575.757575757576</v>
      </c>
      <c r="G9839" s="51">
        <f>ROUNDUP(F9839*(E9839/21)/E9796,0)</f>
        <v>67</v>
      </c>
    </row>
    <row r="9840" spans="1:7" x14ac:dyDescent="0.25">
      <c r="A9840" s="50" t="s">
        <v>87</v>
      </c>
      <c r="B9840" s="72" t="str">
        <f>VLOOKUP(A9840,'Componentes APUs'!$A$1:$D$14,2,0)</f>
        <v>Casco dielectrico Tipo 2 Clase E con barboquejo</v>
      </c>
      <c r="C9840" s="73"/>
      <c r="D9840" s="50" t="str">
        <f>VLOOKUP(A9840,'Componentes APUs'!$A$1:$D$14,3,0)</f>
        <v>U</v>
      </c>
      <c r="E9840" s="53">
        <f>IF(A9812="MO-3",C9812,0)</f>
        <v>1</v>
      </c>
      <c r="F9840" s="51">
        <f>VLOOKUP(A9840,'Componentes APUs'!$A$1:$D$14,4,0)</f>
        <v>7500</v>
      </c>
      <c r="G9840" s="51">
        <f>ROUNDUP(F9840*(E9840/21)/E9796,0)</f>
        <v>24</v>
      </c>
    </row>
    <row r="9841" spans="1:7" x14ac:dyDescent="0.25">
      <c r="A9841" s="69" t="s">
        <v>89</v>
      </c>
      <c r="B9841" s="72" t="str">
        <f>VLOOKUP(A9841,'Componentes APUs'!$A$1:$D$14,2,0)</f>
        <v>Kit de rescate para trabajo en alturas</v>
      </c>
      <c r="C9841" s="73"/>
      <c r="D9841" s="50" t="str">
        <f>VLOOKUP(A9841,'Componentes APUs'!$A$1:$D$14,3,0)</f>
        <v>U</v>
      </c>
      <c r="E9841" s="50">
        <f>IF(AND(A9812="MO-3",C9812=2),1,0)</f>
        <v>0</v>
      </c>
      <c r="F9841" s="51">
        <f>VLOOKUP(A9841,'Componentes APUs'!$A$1:$D$14,4,0)</f>
        <v>37500</v>
      </c>
      <c r="G9841" s="51">
        <f>ROUNDUP(F9841*(E9841/21)/E9796,0)</f>
        <v>0</v>
      </c>
    </row>
    <row r="9842" spans="1:7" x14ac:dyDescent="0.25">
      <c r="A9842" s="50" t="s">
        <v>91</v>
      </c>
      <c r="B9842" s="72" t="str">
        <f>VLOOKUP(A9842,'Componentes APUs'!$A$1:$D$14,2,0)</f>
        <v>Equipo completo para trabajo en alturas con pretales (Arnes dielectrico, 1 mosqueton de seguridad, tie off dielectrico, eslinga de posicionamiento, juego de pretales)</v>
      </c>
      <c r="C9842" s="73"/>
      <c r="D9842" s="50" t="str">
        <f>VLOOKUP(A9842,'Componentes APUs'!$A$1:$D$14,3,0)</f>
        <v>U</v>
      </c>
      <c r="E9842" s="50">
        <f>IF(A9812="MO-3",C9812,0)</f>
        <v>1</v>
      </c>
      <c r="F9842" s="51">
        <f>VLOOKUP(A9842,'Componentes APUs'!$A$1:$D$14,4,0)</f>
        <v>26041.666666666668</v>
      </c>
      <c r="G9842" s="51">
        <f>ROUNDUP(F9842*(E9842/21)/E9796,0)</f>
        <v>83</v>
      </c>
    </row>
    <row r="9843" spans="1:7" x14ac:dyDescent="0.25">
      <c r="A9843" s="219" t="s">
        <v>95</v>
      </c>
      <c r="B9843" s="219"/>
      <c r="C9843" s="219"/>
      <c r="D9843" s="219"/>
      <c r="E9843" s="219"/>
      <c r="F9843" s="219"/>
      <c r="G9843" s="52">
        <f>SUM(G9830:G9842)</f>
        <v>530</v>
      </c>
    </row>
    <row r="9844" spans="1:7" x14ac:dyDescent="0.25">
      <c r="A9844" s="56"/>
      <c r="B9844" s="57"/>
      <c r="C9844" s="57"/>
      <c r="D9844" s="57"/>
      <c r="E9844" s="57"/>
      <c r="F9844" s="57"/>
      <c r="G9844" s="58"/>
    </row>
    <row r="9845" spans="1:7" x14ac:dyDescent="0.25">
      <c r="A9845" s="219" t="s">
        <v>96</v>
      </c>
      <c r="B9845" s="219"/>
      <c r="C9845" s="219"/>
      <c r="D9845" s="219"/>
      <c r="E9845" s="219"/>
      <c r="F9845" s="219"/>
      <c r="G9845" s="219"/>
    </row>
    <row r="9846" spans="1:7" x14ac:dyDescent="0.25">
      <c r="A9846" s="49" t="s">
        <v>35</v>
      </c>
      <c r="B9846" s="225" t="s">
        <v>36</v>
      </c>
      <c r="C9846" s="225"/>
      <c r="D9846" s="49" t="s">
        <v>37</v>
      </c>
      <c r="E9846" s="49" t="s">
        <v>38</v>
      </c>
      <c r="F9846" s="49" t="s">
        <v>39</v>
      </c>
      <c r="G9846" s="49" t="s">
        <v>40</v>
      </c>
    </row>
    <row r="9847" spans="1:7" x14ac:dyDescent="0.25">
      <c r="A9847" s="69" t="s">
        <v>97</v>
      </c>
      <c r="B9847" s="72" t="str">
        <f>VLOOKUP(A9847,'Componentes APUs'!$N$1:$Q$30,2,0)</f>
        <v>Camioneta</v>
      </c>
      <c r="C9847" s="73"/>
      <c r="D9847" s="70" t="str">
        <f>VLOOKUP(A9847,'Componentes APUs'!$N$1:$Q$30,3,0)</f>
        <v>U</v>
      </c>
      <c r="E9847" s="50">
        <v>1</v>
      </c>
      <c r="F9847" s="51">
        <f>VLOOKUP(A9847,'Componentes APUs'!$N$1:$Q$30,4,0)</f>
        <v>5500000</v>
      </c>
      <c r="G9847" s="51">
        <f>IFERROR(ROUNDUP(F9847*(E9847/21)/E9796,0),"-")</f>
        <v>17461</v>
      </c>
    </row>
    <row r="9848" spans="1:7" x14ac:dyDescent="0.25">
      <c r="A9848" s="50" t="s">
        <v>321</v>
      </c>
      <c r="B9848" s="72" t="str">
        <f>VLOOKUP(A9848,'Componentes APUs'!$N$1:$Q$30,2,0)</f>
        <v>Grúa Hidráulica</v>
      </c>
      <c r="C9848" s="73"/>
      <c r="D9848" s="70" t="str">
        <f>VLOOKUP(A9848,'Componentes APUs'!$N$1:$Q$30,3,0)</f>
        <v>U</v>
      </c>
      <c r="E9848" s="50">
        <v>0</v>
      </c>
      <c r="F9848" s="51">
        <f>VLOOKUP(A9848,'Componentes APUs'!$N$1:$Q$30,4,0)</f>
        <v>21000000</v>
      </c>
      <c r="G9848" s="51">
        <f>IFERROR(ROUNDUP(F9848*(E9848/21)/E9796,0),"-")</f>
        <v>0</v>
      </c>
    </row>
    <row r="9849" spans="1:7" x14ac:dyDescent="0.25">
      <c r="A9849" s="69" t="s">
        <v>322</v>
      </c>
      <c r="B9849" s="72" t="str">
        <f>VLOOKUP(A9849,'Componentes APUs'!$N$1:$Q$30,2,0)</f>
        <v>Camabaja</v>
      </c>
      <c r="C9849" s="73"/>
      <c r="D9849" s="70" t="str">
        <f>VLOOKUP(A9849,'Componentes APUs'!$N$1:$Q$30,3,0)</f>
        <v>TON/KM</v>
      </c>
      <c r="E9849" s="50">
        <v>0</v>
      </c>
      <c r="F9849" s="51">
        <f>VLOOKUP(A9849,'Componentes APUs'!$N$1:$Q$30,4,0)</f>
        <v>611</v>
      </c>
      <c r="G9849" s="51">
        <f>IFERROR(ROUNDUP(F9849*(E9849/21)/E9796,0),"-")</f>
        <v>0</v>
      </c>
    </row>
    <row r="9850" spans="1:7" x14ac:dyDescent="0.25">
      <c r="A9850" s="50" t="s">
        <v>323</v>
      </c>
      <c r="B9850" s="72" t="str">
        <f>VLOOKUP(A9850,'Componentes APUs'!$N$1:$Q$30,2,0)</f>
        <v>Volqueta</v>
      </c>
      <c r="C9850" s="73"/>
      <c r="D9850" s="70" t="str">
        <f>VLOOKUP(A9850,'Componentes APUs'!$N$1:$Q$30,3,0)</f>
        <v>U</v>
      </c>
      <c r="E9850" s="50">
        <v>0</v>
      </c>
      <c r="F9850" s="51">
        <f>VLOOKUP(A9850,'Componentes APUs'!$N$1:$Q$30,4,0)</f>
        <v>14828184</v>
      </c>
      <c r="G9850" s="51">
        <f>IFERROR(ROUNDUP(F9850*(E9850/21)/E9796,0),"-")</f>
        <v>0</v>
      </c>
    </row>
    <row r="9851" spans="1:7" x14ac:dyDescent="0.25">
      <c r="A9851" s="69" t="s">
        <v>324</v>
      </c>
      <c r="B9851" s="72" t="str">
        <f>VLOOKUP(A9851,'Componentes APUs'!$N$1:$Q$30,2,0)</f>
        <v>Retroexcavadora</v>
      </c>
      <c r="C9851" s="73"/>
      <c r="D9851" s="70" t="str">
        <f>VLOOKUP(A9851,'Componentes APUs'!$N$1:$Q$30,3,0)</f>
        <v>U</v>
      </c>
      <c r="E9851" s="50">
        <v>0</v>
      </c>
      <c r="F9851" s="51">
        <f>VLOOKUP(A9851,'Componentes APUs'!$N$1:$Q$30,4,0)</f>
        <v>46030656</v>
      </c>
      <c r="G9851" s="51">
        <f>IFERROR(ROUNDUP(F9851*(E9851/21)/E9796,0),"-")</f>
        <v>0</v>
      </c>
    </row>
    <row r="9852" spans="1:7" x14ac:dyDescent="0.25">
      <c r="A9852" s="219" t="s">
        <v>99</v>
      </c>
      <c r="B9852" s="219"/>
      <c r="C9852" s="219"/>
      <c r="D9852" s="219"/>
      <c r="E9852" s="219"/>
      <c r="F9852" s="219"/>
      <c r="G9852" s="52">
        <f>SUM(G9847:G9851)</f>
        <v>17461</v>
      </c>
    </row>
    <row r="9853" spans="1:7" x14ac:dyDescent="0.25">
      <c r="A9853" s="56"/>
      <c r="B9853" s="57"/>
      <c r="C9853" s="57"/>
      <c r="D9853" s="57"/>
      <c r="E9853" s="57"/>
      <c r="F9853" s="57"/>
      <c r="G9853" s="58"/>
    </row>
    <row r="9854" spans="1:7" x14ac:dyDescent="0.25">
      <c r="A9854" s="219" t="s">
        <v>1516</v>
      </c>
      <c r="B9854" s="219"/>
      <c r="C9854" s="219"/>
      <c r="D9854" s="219"/>
      <c r="E9854" s="219"/>
      <c r="F9854" s="219"/>
      <c r="G9854" s="52">
        <f>G9852+G9843+G9826+G9816+G9806</f>
        <v>223140</v>
      </c>
    </row>
    <row r="9855" spans="1:7" x14ac:dyDescent="0.25">
      <c r="A9855" s="59"/>
      <c r="B9855" s="60"/>
      <c r="C9855" s="60"/>
      <c r="D9855" s="60"/>
      <c r="E9855" s="57"/>
      <c r="F9855" s="57"/>
      <c r="G9855" s="58"/>
    </row>
    <row r="9856" spans="1:7" x14ac:dyDescent="0.25">
      <c r="A9856" s="64"/>
      <c r="D9856" s="55"/>
      <c r="E9856" s="49" t="s">
        <v>25</v>
      </c>
      <c r="F9856" s="54">
        <v>0.15</v>
      </c>
      <c r="G9856" s="51">
        <f>G9854*F9856</f>
        <v>33471</v>
      </c>
    </row>
    <row r="9857" spans="1:7" x14ac:dyDescent="0.25">
      <c r="A9857" s="64"/>
      <c r="D9857" s="55"/>
      <c r="E9857" s="49" t="s">
        <v>26</v>
      </c>
      <c r="F9857" s="54">
        <v>0.05</v>
      </c>
      <c r="G9857" s="51">
        <f>G9854*F9857</f>
        <v>11157</v>
      </c>
    </row>
    <row r="9858" spans="1:7" x14ac:dyDescent="0.25">
      <c r="A9858" s="61"/>
      <c r="B9858" s="65"/>
      <c r="C9858" s="65"/>
      <c r="D9858" s="62"/>
      <c r="E9858" s="49" t="s">
        <v>27</v>
      </c>
      <c r="F9858" s="54">
        <v>0.05</v>
      </c>
      <c r="G9858" s="51">
        <f>G9854*F9858</f>
        <v>11157</v>
      </c>
    </row>
    <row r="9859" spans="1:7" x14ac:dyDescent="0.25">
      <c r="A9859" s="61"/>
      <c r="B9859" s="62"/>
      <c r="C9859" s="62"/>
      <c r="D9859" s="62"/>
      <c r="E9859" s="62"/>
      <c r="F9859" s="62"/>
      <c r="G9859" s="63"/>
    </row>
    <row r="9860" spans="1:7" x14ac:dyDescent="0.25">
      <c r="A9860" s="219" t="s">
        <v>1517</v>
      </c>
      <c r="B9860" s="219"/>
      <c r="C9860" s="219"/>
      <c r="D9860" s="219"/>
      <c r="E9860" s="219"/>
      <c r="F9860" s="219"/>
      <c r="G9860" s="52">
        <f>G9854+G9856+G9857+G9858</f>
        <v>278925</v>
      </c>
    </row>
    <row r="9861" spans="1:7" x14ac:dyDescent="0.25">
      <c r="A9861" s="59"/>
      <c r="B9861" s="60"/>
      <c r="C9861" s="60"/>
      <c r="D9861" s="60"/>
      <c r="E9861" s="57"/>
      <c r="F9861" s="57"/>
      <c r="G9861" s="58"/>
    </row>
    <row r="9862" spans="1:7" x14ac:dyDescent="0.25">
      <c r="A9862" s="64"/>
      <c r="D9862" s="55"/>
      <c r="E9862" s="49" t="s">
        <v>102</v>
      </c>
      <c r="F9862" s="49" t="s">
        <v>103</v>
      </c>
      <c r="G9862" s="51">
        <f>G9858*19%</f>
        <v>2119.83</v>
      </c>
    </row>
    <row r="9863" spans="1:7" x14ac:dyDescent="0.25">
      <c r="A9863" s="61"/>
      <c r="B9863" s="62"/>
      <c r="C9863" s="62"/>
      <c r="D9863" s="62"/>
      <c r="E9863" s="57"/>
      <c r="F9863" s="57"/>
      <c r="G9863" s="58"/>
    </row>
    <row r="9864" spans="1:7" x14ac:dyDescent="0.25">
      <c r="A9864" s="219" t="s">
        <v>104</v>
      </c>
      <c r="B9864" s="219"/>
      <c r="C9864" s="219"/>
      <c r="D9864" s="219"/>
      <c r="E9864" s="219"/>
      <c r="F9864" s="219"/>
      <c r="G9864" s="52">
        <f>G9862+G9860</f>
        <v>281044.83</v>
      </c>
    </row>
    <row r="9866" spans="1:7" x14ac:dyDescent="0.25">
      <c r="A9866" s="74" t="s">
        <v>29</v>
      </c>
      <c r="B9866" s="226" t="s">
        <v>30</v>
      </c>
      <c r="C9866" s="226"/>
      <c r="D9866" s="74" t="s">
        <v>31</v>
      </c>
      <c r="E9866" s="74" t="s">
        <v>32</v>
      </c>
      <c r="F9866" s="74" t="s">
        <v>189</v>
      </c>
      <c r="G9866" s="74" t="s">
        <v>33</v>
      </c>
    </row>
    <row r="9867" spans="1:7" ht="34.5" customHeight="1" x14ac:dyDescent="0.25">
      <c r="A9867" s="50" t="str">
        <f>Presupuesto!B181</f>
        <v>005_CA</v>
      </c>
      <c r="B9867" s="220" t="str">
        <f>Presupuesto!C181</f>
        <v>ESTRUCTURA METÁLICA DE AFLORAMIENTO PARA CONEXIÓN DE BORNES 13,8kV  TRANSFORMADOR EN PATIO. INCLUYE AISLADORES TIPO PIN POLIMÉRICOS</v>
      </c>
      <c r="C9867" s="220"/>
      <c r="D9867" s="50" t="s">
        <v>18</v>
      </c>
      <c r="E9867" s="50">
        <v>0.9</v>
      </c>
      <c r="F9867" s="50"/>
      <c r="G9867" s="51">
        <f>G9936</f>
        <v>6691480.4164999994</v>
      </c>
    </row>
    <row r="9868" spans="1:7" x14ac:dyDescent="0.25">
      <c r="A9868" s="219" t="s">
        <v>34</v>
      </c>
      <c r="B9868" s="219"/>
      <c r="C9868" s="219"/>
      <c r="D9868" s="219"/>
      <c r="E9868" s="219"/>
      <c r="F9868" s="219"/>
      <c r="G9868" s="219"/>
    </row>
    <row r="9869" spans="1:7" x14ac:dyDescent="0.25">
      <c r="A9869" s="49" t="s">
        <v>35</v>
      </c>
      <c r="B9869" s="219" t="s">
        <v>36</v>
      </c>
      <c r="C9869" s="219"/>
      <c r="D9869" s="49" t="s">
        <v>37</v>
      </c>
      <c r="E9869" s="49" t="s">
        <v>38</v>
      </c>
      <c r="F9869" s="49" t="s">
        <v>39</v>
      </c>
      <c r="G9869" s="49" t="s">
        <v>40</v>
      </c>
    </row>
    <row r="9870" spans="1:7" x14ac:dyDescent="0.25">
      <c r="A9870" s="17" t="str">
        <f>Material!A429</f>
        <v>MA-428</v>
      </c>
      <c r="B9870" s="72" t="str">
        <f>IFERROR(VLOOKUP(A9870,Material!$A:$H,2,0),"-")</f>
        <v>BARRA PLATINA COBRE 30*3 MM X 1 MT</v>
      </c>
      <c r="C9870" s="73"/>
      <c r="D9870" s="50" t="str">
        <f>IFERROR(VLOOKUP(A9870,Material!$A:$H,4,0),"-")</f>
        <v>UN</v>
      </c>
      <c r="E9870" s="50">
        <v>3</v>
      </c>
      <c r="F9870" s="51">
        <f>IFERROR(VLOOKUP(A9870,Material!$A:$H,3,0),"-")</f>
        <v>438122.80701754382</v>
      </c>
      <c r="G9870" s="51">
        <f t="shared" ref="G9870:G9877" si="139">IFERROR(ROUNDUP(F9870*E9870,0),"-")</f>
        <v>1314369</v>
      </c>
    </row>
    <row r="9871" spans="1:7" x14ac:dyDescent="0.25">
      <c r="A9871" s="17" t="str">
        <f>Material!A430</f>
        <v>MA-429</v>
      </c>
      <c r="B9871" s="72" t="str">
        <f>IFERROR(VLOOKUP(A9871,Material!$A:$H,2,0),"-")</f>
        <v>PLATINA 1/2 X 3/8"</v>
      </c>
      <c r="C9871" s="73"/>
      <c r="D9871" s="50" t="s">
        <v>108</v>
      </c>
      <c r="E9871" s="50">
        <v>56</v>
      </c>
      <c r="F9871" s="51">
        <f>IFERROR(VLOOKUP(A9871,Material!$A:$H,3,0),"-")</f>
        <v>30938.483333333334</v>
      </c>
      <c r="G9871" s="51">
        <f t="shared" si="139"/>
        <v>1732556</v>
      </c>
    </row>
    <row r="9872" spans="1:7" x14ac:dyDescent="0.25">
      <c r="A9872" s="17" t="str">
        <f>Material!A431</f>
        <v>MA-430</v>
      </c>
      <c r="B9872" s="72" t="str">
        <f>IFERROR(VLOOKUP(A9872,Material!$A:$H,2,0),"-")</f>
        <v>PÉRNO DE MÁQUINA 1/2"</v>
      </c>
      <c r="C9872" s="73"/>
      <c r="D9872" s="50" t="str">
        <f>IFERROR(VLOOKUP(A9872,Material!$A:$H,4,0),"-")</f>
        <v>UN</v>
      </c>
      <c r="E9872" s="50">
        <v>50</v>
      </c>
      <c r="F9872" s="51">
        <f>IFERROR(VLOOKUP(A9872,Material!$A:$H,3,0),"-")</f>
        <v>2080</v>
      </c>
      <c r="G9872" s="51">
        <f t="shared" si="139"/>
        <v>104000</v>
      </c>
    </row>
    <row r="9873" spans="1:7" x14ac:dyDescent="0.25">
      <c r="A9873" s="17" t="str">
        <f>Material!A15</f>
        <v>MA-14</v>
      </c>
      <c r="B9873" s="72" t="str">
        <f>IFERROR(VLOOKUP(A9873,Material!$A:$H,2,0),"-")</f>
        <v>CONCRETO DE 3000 PSI</v>
      </c>
      <c r="C9873" s="73"/>
      <c r="D9873" s="50" t="str">
        <f>IFERROR(VLOOKUP(A9873,Material!$A:$H,4,0),"-")</f>
        <v>M3</v>
      </c>
      <c r="E9873" s="50">
        <f>0.5^3*4</f>
        <v>0.5</v>
      </c>
      <c r="F9873" s="51">
        <f>IFERROR(VLOOKUP(A9873,Material!$A:$H,3,0),"-")</f>
        <v>620227.23330691375</v>
      </c>
      <c r="G9873" s="51">
        <f t="shared" si="139"/>
        <v>310114</v>
      </c>
    </row>
    <row r="9874" spans="1:7" ht="35.25" customHeight="1" x14ac:dyDescent="0.25">
      <c r="A9874" s="17" t="str">
        <f>Material!A331</f>
        <v>MA-330</v>
      </c>
      <c r="B9874" s="221" t="str">
        <f>IFERROR(VLOOKUP(A9874,Material!$A:$H,2,0),"-")</f>
        <v>ACERO EN BARRAS CORRUGADAS, GRADO 60 DE VARIOS DIÁMETROS</v>
      </c>
      <c r="C9874" s="222"/>
      <c r="D9874" s="50" t="str">
        <f>IFERROR(VLOOKUP(A9874,Material!$A:$H,4,0),"-")</f>
        <v>KG</v>
      </c>
      <c r="E9874" s="50">
        <v>100</v>
      </c>
      <c r="F9874" s="51">
        <f>IFERROR(VLOOKUP(A9874,Material!$A:$H,3,0),"-")</f>
        <v>2742.8049999999998</v>
      </c>
      <c r="G9874" s="51">
        <f t="shared" si="139"/>
        <v>274281</v>
      </c>
    </row>
    <row r="9875" spans="1:7" x14ac:dyDescent="0.25">
      <c r="A9875" s="17" t="str">
        <f>Material!A199</f>
        <v>MA-198</v>
      </c>
      <c r="B9875" s="72" t="str">
        <f>IFERROR(VLOOKUP(A9875,Material!$A:$H,2,0),"-")</f>
        <v>ARENA</v>
      </c>
      <c r="C9875" s="73"/>
      <c r="D9875" s="50" t="str">
        <f>IFERROR(VLOOKUP(A9875,Material!$A:$H,4,0),"-")</f>
        <v>M3</v>
      </c>
      <c r="E9875" s="50">
        <f>E9873*30%</f>
        <v>0.15</v>
      </c>
      <c r="F9875" s="51">
        <f>IFERROR(VLOOKUP(A9875,Material!$A:$H,3,0),"-")</f>
        <v>60000</v>
      </c>
      <c r="G9875" s="51">
        <f t="shared" si="139"/>
        <v>9000</v>
      </c>
    </row>
    <row r="9876" spans="1:7" x14ac:dyDescent="0.25">
      <c r="A9876" s="17" t="str">
        <f>Material!A433</f>
        <v>MA-432</v>
      </c>
      <c r="B9876" s="72" t="str">
        <f>IFERROR(VLOOKUP(A9876,Material!$A:$H,2,0),"-")</f>
        <v>AISLADOR TIPO PIN POLIMERICO 15KV</v>
      </c>
      <c r="C9876" s="73"/>
      <c r="D9876" s="50" t="str">
        <f>IFERROR(VLOOKUP(A9876,Material!$A:$H,4,0),"-")</f>
        <v>UN</v>
      </c>
      <c r="E9876" s="50">
        <v>3</v>
      </c>
      <c r="F9876" s="51">
        <f>IFERROR(VLOOKUP(A9876,Material!$A:$H,3,0),"-")</f>
        <v>68445</v>
      </c>
      <c r="G9876" s="51">
        <f t="shared" si="139"/>
        <v>205335</v>
      </c>
    </row>
    <row r="9877" spans="1:7" x14ac:dyDescent="0.25">
      <c r="A9877" s="17"/>
      <c r="B9877" s="72" t="str">
        <f>IFERROR(VLOOKUP(A9877,Material!$A:$H,2,0),"-")</f>
        <v>-</v>
      </c>
      <c r="C9877" s="73"/>
      <c r="D9877" s="50" t="str">
        <f>IFERROR(VLOOKUP(A9877,Material!$A:$H,4,0),"-")</f>
        <v>-</v>
      </c>
      <c r="E9877" s="50"/>
      <c r="F9877" s="51" t="str">
        <f>IFERROR(VLOOKUP(A9877,Material!$A:$H,3,0),"-")</f>
        <v>-</v>
      </c>
      <c r="G9877" s="51" t="str">
        <f t="shared" si="139"/>
        <v>-</v>
      </c>
    </row>
    <row r="9878" spans="1:7" x14ac:dyDescent="0.25">
      <c r="A9878" s="219" t="s">
        <v>41</v>
      </c>
      <c r="B9878" s="219"/>
      <c r="C9878" s="219"/>
      <c r="D9878" s="219"/>
      <c r="E9878" s="219"/>
      <c r="F9878" s="219"/>
      <c r="G9878" s="52">
        <f>SUM(G9870:G9877)</f>
        <v>3949655</v>
      </c>
    </row>
    <row r="9879" spans="1:7" x14ac:dyDescent="0.25">
      <c r="A9879" s="56"/>
      <c r="B9879" s="57"/>
      <c r="C9879" s="57"/>
      <c r="D9879" s="57"/>
      <c r="E9879" s="57"/>
      <c r="F9879" s="57"/>
      <c r="G9879" s="58"/>
    </row>
    <row r="9880" spans="1:7" x14ac:dyDescent="0.25">
      <c r="A9880" s="219" t="s">
        <v>42</v>
      </c>
      <c r="B9880" s="219"/>
      <c r="C9880" s="219"/>
      <c r="D9880" s="219"/>
      <c r="E9880" s="219"/>
      <c r="F9880" s="219"/>
      <c r="G9880" s="219"/>
    </row>
    <row r="9881" spans="1:7" x14ac:dyDescent="0.25">
      <c r="A9881" s="49" t="s">
        <v>35</v>
      </c>
      <c r="B9881" s="49" t="s">
        <v>36</v>
      </c>
      <c r="C9881" s="49" t="s">
        <v>38</v>
      </c>
      <c r="D9881" s="49" t="s">
        <v>43</v>
      </c>
      <c r="E9881" s="49" t="s">
        <v>44</v>
      </c>
      <c r="F9881" s="49" t="s">
        <v>45</v>
      </c>
      <c r="G9881" s="49" t="s">
        <v>40</v>
      </c>
    </row>
    <row r="9882" spans="1:7" x14ac:dyDescent="0.25">
      <c r="A9882" s="50" t="s">
        <v>319</v>
      </c>
      <c r="B9882" s="68" t="str">
        <f>VLOOKUP(A9882,'Componentes APUs'!$H$1:$L$25,2,0)</f>
        <v>Ingeniero Residente de Obra</v>
      </c>
      <c r="C9882" s="93">
        <v>0.25</v>
      </c>
      <c r="D9882" s="50">
        <f>VLOOKUP(A9882,'Componentes APUs'!$H$1:$L$25,3,0)</f>
        <v>4</v>
      </c>
      <c r="E9882" s="51">
        <f>VLOOKUP(A9882,'Componentes APUs'!$H$1:$L$25,4,0)</f>
        <v>271142.85714285716</v>
      </c>
      <c r="F9882" s="51">
        <f>VLOOKUP(A9882,'Componentes APUs'!$H$1:$L$25,5,0)</f>
        <v>162685.71428571429</v>
      </c>
      <c r="G9882" s="51">
        <f>ROUNDUP((E9882+F9882)*C9882/E9867,0)</f>
        <v>120508</v>
      </c>
    </row>
    <row r="9883" spans="1:7" x14ac:dyDescent="0.25">
      <c r="A9883" s="50" t="s">
        <v>320</v>
      </c>
      <c r="B9883" s="68" t="str">
        <f>VLOOKUP(A9883,'Componentes APUs'!$H$1:$L$25,2,0)</f>
        <v>Tecnico Supervisor</v>
      </c>
      <c r="C9883" s="93">
        <v>0.25</v>
      </c>
      <c r="D9883" s="50">
        <f>VLOOKUP(A9883,'Componentes APUs'!$H$1:$L$25,3,0)</f>
        <v>2.2999999999999998</v>
      </c>
      <c r="E9883" s="51">
        <f>VLOOKUP(A9883,'Componentes APUs'!$H$1:$L$25,4,0)</f>
        <v>155907.14285714284</v>
      </c>
      <c r="F9883" s="51">
        <f>VLOOKUP(A9883,'Componentes APUs'!$H$1:$L$25,5,0)</f>
        <v>93544.285714285696</v>
      </c>
      <c r="G9883" s="51">
        <f>ROUNDUP((E9883+F9883)*C9883/E9867,0)</f>
        <v>69293</v>
      </c>
    </row>
    <row r="9884" spans="1:7" x14ac:dyDescent="0.25">
      <c r="A9884" s="50" t="s">
        <v>1160</v>
      </c>
      <c r="B9884" s="68" t="str">
        <f>VLOOKUP(A9884,'Componentes APUs'!$H$1:$L$25,2,0)</f>
        <v>Oficial Eléctrico</v>
      </c>
      <c r="C9884" s="93">
        <v>1</v>
      </c>
      <c r="D9884" s="50">
        <f>VLOOKUP(A9884,'Componentes APUs'!$H$1:$L$25,3,0)</f>
        <v>2</v>
      </c>
      <c r="E9884" s="51">
        <f>VLOOKUP(A9884,'Componentes APUs'!$H$1:$L$25,4,0)</f>
        <v>154619.04761904763</v>
      </c>
      <c r="F9884" s="51">
        <f>VLOOKUP(A9884,'Componentes APUs'!$H$1:$L$25,5,0)</f>
        <v>92771.42857142858</v>
      </c>
      <c r="G9884" s="51">
        <f>ROUNDUP((E9884+F9884)*C9884/E9867,0)</f>
        <v>274879</v>
      </c>
    </row>
    <row r="9885" spans="1:7" x14ac:dyDescent="0.25">
      <c r="A9885" s="50" t="s">
        <v>48</v>
      </c>
      <c r="B9885" s="68" t="str">
        <f>VLOOKUP(A9885,'Componentes APUs'!$H$1:$L$25,2,0)</f>
        <v>Ayudante Calificado</v>
      </c>
      <c r="C9885" s="93">
        <v>1</v>
      </c>
      <c r="D9885" s="50">
        <f>VLOOKUP(A9885,'Componentes APUs'!$H$1:$L$25,3,0)</f>
        <v>1.5</v>
      </c>
      <c r="E9885" s="51">
        <f>VLOOKUP(A9885,'Componentes APUs'!$H$1:$L$25,4,0)</f>
        <v>115964.28571428571</v>
      </c>
      <c r="F9885" s="51">
        <f>VLOOKUP(A9885,'Componentes APUs'!$H$1:$L$25,5,0)</f>
        <v>69578.57142857142</v>
      </c>
      <c r="G9885" s="51">
        <f>ROUNDUP((E9885+F9885)*C9885/E9867,0)</f>
        <v>206159</v>
      </c>
    </row>
    <row r="9886" spans="1:7" x14ac:dyDescent="0.25">
      <c r="A9886" s="50" t="s">
        <v>50</v>
      </c>
      <c r="B9886" s="68" t="str">
        <f>VLOOKUP(A9886,'Componentes APUs'!$H$1:$L$25,2,0)</f>
        <v>Profesional en SST</v>
      </c>
      <c r="C9886" s="93">
        <v>0.25</v>
      </c>
      <c r="D9886" s="50">
        <f>VLOOKUP(A9886,'Componentes APUs'!$H$1:$L$25,3,0)</f>
        <v>2.5</v>
      </c>
      <c r="E9886" s="51">
        <f>VLOOKUP(A9886,'Componentes APUs'!$H$1:$L$25,4,0)</f>
        <v>169464.28571428571</v>
      </c>
      <c r="F9886" s="51">
        <f>VLOOKUP(A9886,'Componentes APUs'!$H$1:$L$25,5,0)</f>
        <v>101678.57142857142</v>
      </c>
      <c r="G9886" s="51">
        <f>ROUNDUP((E9886+F9886)*C9886/E9867,0)</f>
        <v>75318</v>
      </c>
    </row>
    <row r="9887" spans="1:7" x14ac:dyDescent="0.25">
      <c r="A9887" s="50" t="s">
        <v>52</v>
      </c>
      <c r="B9887" s="68" t="str">
        <f>VLOOKUP(A9887,'Componentes APUs'!$H$1:$L$25,2,0)</f>
        <v>Ayudante No Calificado</v>
      </c>
      <c r="C9887" s="93">
        <v>2</v>
      </c>
      <c r="D9887" s="50">
        <f>VLOOKUP(A9887,'Componentes APUs'!$H$1:$L$25,3,0)</f>
        <v>1</v>
      </c>
      <c r="E9887" s="51">
        <f>VLOOKUP(A9887,'Componentes APUs'!$H$1:$L$25,4,0)</f>
        <v>77309.523809523816</v>
      </c>
      <c r="F9887" s="51">
        <f>VLOOKUP(A9887,'Componentes APUs'!$H$1:$L$25,5,0)</f>
        <v>46385.71428571429</v>
      </c>
      <c r="G9887" s="51">
        <f>ROUNDUP((E9887+F9887)*C9887/E9867,0)</f>
        <v>274879</v>
      </c>
    </row>
    <row r="9888" spans="1:7" x14ac:dyDescent="0.25">
      <c r="A9888" s="219" t="s">
        <v>56</v>
      </c>
      <c r="B9888" s="219"/>
      <c r="C9888" s="219"/>
      <c r="D9888" s="219"/>
      <c r="E9888" s="219"/>
      <c r="F9888" s="219"/>
      <c r="G9888" s="52">
        <f>SUM(G9882:G9887)</f>
        <v>1021036</v>
      </c>
    </row>
    <row r="9889" spans="1:7" x14ac:dyDescent="0.25">
      <c r="A9889" s="56"/>
      <c r="B9889" s="57"/>
      <c r="C9889" s="57"/>
      <c r="D9889" s="57"/>
      <c r="E9889" s="57"/>
      <c r="F9889" s="57"/>
      <c r="G9889" s="58"/>
    </row>
    <row r="9890" spans="1:7" x14ac:dyDescent="0.25">
      <c r="A9890" s="219" t="s">
        <v>57</v>
      </c>
      <c r="B9890" s="219"/>
      <c r="C9890" s="219"/>
      <c r="D9890" s="219"/>
      <c r="E9890" s="219"/>
      <c r="F9890" s="219"/>
      <c r="G9890" s="219"/>
    </row>
    <row r="9891" spans="1:7" x14ac:dyDescent="0.25">
      <c r="A9891" s="49" t="s">
        <v>35</v>
      </c>
      <c r="B9891" s="219" t="s">
        <v>36</v>
      </c>
      <c r="C9891" s="219"/>
      <c r="D9891" s="49" t="s">
        <v>37</v>
      </c>
      <c r="E9891" s="49" t="s">
        <v>38</v>
      </c>
      <c r="F9891" s="49" t="s">
        <v>39</v>
      </c>
      <c r="G9891" s="49" t="s">
        <v>40</v>
      </c>
    </row>
    <row r="9892" spans="1:7" x14ac:dyDescent="0.25">
      <c r="A9892" s="50" t="s">
        <v>326</v>
      </c>
      <c r="B9892" s="220" t="str">
        <f>VLOOKUP(A9892,'Componentes APUs'!$S$1:$V$10,2,0)</f>
        <v>Juego Llaves</v>
      </c>
      <c r="C9892" s="220"/>
      <c r="D9892" s="50" t="s">
        <v>18</v>
      </c>
      <c r="E9892" s="50">
        <v>2</v>
      </c>
      <c r="F9892" s="51">
        <f>VLOOKUP(A9892,'Componentes APUs'!$S$1:$V$10,4,0)</f>
        <v>9167</v>
      </c>
      <c r="G9892" s="51">
        <f>ROUNDUP(F9892*((E9892/21)/E9867),0)</f>
        <v>971</v>
      </c>
    </row>
    <row r="9893" spans="1:7" x14ac:dyDescent="0.25">
      <c r="A9893" s="50" t="s">
        <v>58</v>
      </c>
      <c r="B9893" s="220" t="str">
        <f>VLOOKUP(A9893,'Componentes APUs'!$S$1:$V$10,2,0)</f>
        <v>Manila de servicio</v>
      </c>
      <c r="C9893" s="220"/>
      <c r="D9893" s="50" t="s">
        <v>18</v>
      </c>
      <c r="E9893" s="50">
        <v>0</v>
      </c>
      <c r="F9893" s="51">
        <f>VLOOKUP(A9893,'Componentes APUs'!$S$1:$V$10,4,0)</f>
        <v>2333</v>
      </c>
      <c r="G9893" s="51">
        <f>ROUNDUP(F9893*((E9893/21)/E9867),0)</f>
        <v>0</v>
      </c>
    </row>
    <row r="9894" spans="1:7" x14ac:dyDescent="0.25">
      <c r="A9894" s="50" t="s">
        <v>327</v>
      </c>
      <c r="B9894" s="220" t="str">
        <f>VLOOKUP(A9894,'Componentes APUs'!$S$1:$V$10,2,0)</f>
        <v>Tula portaherramientas</v>
      </c>
      <c r="C9894" s="220"/>
      <c r="D9894" s="50" t="s">
        <v>18</v>
      </c>
      <c r="E9894" s="50">
        <v>0</v>
      </c>
      <c r="F9894" s="51">
        <f>VLOOKUP(A9894,'Componentes APUs'!$S$1:$V$10,4,0)</f>
        <v>1250</v>
      </c>
      <c r="G9894" s="51">
        <f>ROUNDUP(F9894*((E9894/21)/E9867),0)</f>
        <v>0</v>
      </c>
    </row>
    <row r="9895" spans="1:7" x14ac:dyDescent="0.25">
      <c r="A9895" s="50" t="s">
        <v>60</v>
      </c>
      <c r="B9895" s="220" t="str">
        <f>VLOOKUP(A9895,'Componentes APUs'!$S$1:$V$10,2,0)</f>
        <v>Agarradoras</v>
      </c>
      <c r="C9895" s="220"/>
      <c r="D9895" s="50" t="s">
        <v>18</v>
      </c>
      <c r="E9895" s="50">
        <v>0</v>
      </c>
      <c r="F9895" s="51">
        <f>VLOOKUP(A9895,'Componentes APUs'!$S$1:$V$10,4,0)</f>
        <v>125000</v>
      </c>
      <c r="G9895" s="51">
        <f>ROUNDUP(F9895*((E9895/21)/E9867),0)</f>
        <v>0</v>
      </c>
    </row>
    <row r="9896" spans="1:7" x14ac:dyDescent="0.25">
      <c r="A9896" s="50" t="s">
        <v>62</v>
      </c>
      <c r="B9896" s="220" t="str">
        <f>VLOOKUP(A9896,'Componentes APUs'!$S$1:$V$10,2,0)</f>
        <v>Templadoras</v>
      </c>
      <c r="C9896" s="220"/>
      <c r="D9896" s="50" t="s">
        <v>18</v>
      </c>
      <c r="E9896" s="50">
        <v>0</v>
      </c>
      <c r="F9896" s="51">
        <f>VLOOKUP(A9896,'Componentes APUs'!$S$1:$V$10,4,0)</f>
        <v>250000</v>
      </c>
      <c r="G9896" s="51">
        <f>ROUNDUP(F9896*((E9896/21)/E9867),0)</f>
        <v>0</v>
      </c>
    </row>
    <row r="9897" spans="1:7" x14ac:dyDescent="0.25">
      <c r="A9897" s="50" t="s">
        <v>328</v>
      </c>
      <c r="B9897" s="220" t="str">
        <f>VLOOKUP(A9897,'Componentes APUs'!$S$1:$V$10,2,0)</f>
        <v>Herramienta Menor</v>
      </c>
      <c r="C9897" s="220"/>
      <c r="D9897" s="50" t="s">
        <v>18</v>
      </c>
      <c r="E9897" s="50">
        <v>2</v>
      </c>
      <c r="F9897" s="51">
        <f>VLOOKUP(A9897,'Componentes APUs'!$S$1:$V$10,4,0)</f>
        <v>75758</v>
      </c>
      <c r="G9897" s="51">
        <f>ROUNDUP(F9897*((E9897/21)/E9867),0)</f>
        <v>8017</v>
      </c>
    </row>
    <row r="9898" spans="1:7" x14ac:dyDescent="0.25">
      <c r="A9898" s="219" t="s">
        <v>69</v>
      </c>
      <c r="B9898" s="219"/>
      <c r="C9898" s="219"/>
      <c r="D9898" s="219"/>
      <c r="E9898" s="219"/>
      <c r="F9898" s="219"/>
      <c r="G9898" s="52">
        <f>SUM(G9892:G9897)</f>
        <v>8988</v>
      </c>
    </row>
    <row r="9899" spans="1:7" x14ac:dyDescent="0.25">
      <c r="A9899" s="56"/>
      <c r="B9899" s="57"/>
      <c r="C9899" s="57"/>
      <c r="D9899" s="57"/>
      <c r="E9899" s="57"/>
      <c r="F9899" s="57"/>
      <c r="G9899" s="58"/>
    </row>
    <row r="9900" spans="1:7" x14ac:dyDescent="0.25">
      <c r="A9900" s="219" t="s">
        <v>70</v>
      </c>
      <c r="B9900" s="219"/>
      <c r="C9900" s="219"/>
      <c r="D9900" s="219"/>
      <c r="E9900" s="219"/>
      <c r="F9900" s="219"/>
      <c r="G9900" s="219"/>
    </row>
    <row r="9901" spans="1:7" x14ac:dyDescent="0.25">
      <c r="A9901" s="49" t="s">
        <v>35</v>
      </c>
      <c r="B9901" s="219" t="s">
        <v>36</v>
      </c>
      <c r="C9901" s="219"/>
      <c r="D9901" s="49" t="s">
        <v>37</v>
      </c>
      <c r="E9901" s="49" t="s">
        <v>38</v>
      </c>
      <c r="F9901" s="49" t="s">
        <v>39</v>
      </c>
      <c r="G9901" s="49" t="s">
        <v>40</v>
      </c>
    </row>
    <row r="9902" spans="1:7" x14ac:dyDescent="0.25">
      <c r="A9902" s="50" t="s">
        <v>71</v>
      </c>
      <c r="B9902" s="71" t="str">
        <f>VLOOKUP(A9902,'Componentes APUs'!$A$1:$D$14,2,0)</f>
        <v>Camisa indigo sin partes metalicas</v>
      </c>
      <c r="C9902" s="71"/>
      <c r="D9902" s="50" t="str">
        <f>VLOOKUP(A9902,'Componentes APUs'!$A$1:$D$14,3,0)</f>
        <v>U</v>
      </c>
      <c r="E9902" s="50">
        <f>SUM(C9882:C9887)</f>
        <v>4.75</v>
      </c>
      <c r="F9902" s="51">
        <f>VLOOKUP(A9902,'Componentes APUs'!$A$1:$D$14,4,0)</f>
        <v>8585.8585858585866</v>
      </c>
      <c r="G9902" s="51">
        <f>ROUNDUP(F9902*(E9902/21)/E9867,0)</f>
        <v>2158</v>
      </c>
    </row>
    <row r="9903" spans="1:7" x14ac:dyDescent="0.25">
      <c r="A9903" s="69" t="s">
        <v>73</v>
      </c>
      <c r="B9903" s="72" t="str">
        <f>VLOOKUP(A9903,'Componentes APUs'!$A$1:$D$14,2,0)</f>
        <v>Bota de seguridad dielectrica</v>
      </c>
      <c r="C9903" s="73"/>
      <c r="D9903" s="70" t="str">
        <f>VLOOKUP(A9903,'Componentes APUs'!$A$1:$D$14,3,0)</f>
        <v>Par</v>
      </c>
      <c r="E9903" s="50">
        <f>SUM(C9882:C9887)</f>
        <v>4.75</v>
      </c>
      <c r="F9903" s="51">
        <f>VLOOKUP(A9903,'Componentes APUs'!$A$1:$D$14,4,0)</f>
        <v>7500</v>
      </c>
      <c r="G9903" s="51">
        <f>ROUNDUP(F9903*(E9903/21)/E9867,0)</f>
        <v>1885</v>
      </c>
    </row>
    <row r="9904" spans="1:7" x14ac:dyDescent="0.25">
      <c r="A9904" s="50" t="s">
        <v>76</v>
      </c>
      <c r="B9904" s="72" t="str">
        <f>VLOOKUP(A9904,'Componentes APUs'!$A$1:$D$14,2,0)</f>
        <v>Casco dielectrico Tipo 1 Clase E con barbuquejo</v>
      </c>
      <c r="C9904" s="73"/>
      <c r="D9904" s="50" t="str">
        <f>VLOOKUP(A9904,'Componentes APUs'!$A$1:$D$14,3,0)</f>
        <v>U</v>
      </c>
      <c r="E9904" s="50">
        <f>C9882+C9885+C9886+C9883+C9887+IF(A9884&lt;&gt;"MO-3",C9884,0)</f>
        <v>4.75</v>
      </c>
      <c r="F9904" s="51">
        <f>VLOOKUP(A9904,'Componentes APUs'!$A$1:$D$14,4,0)</f>
        <v>10101.010101010101</v>
      </c>
      <c r="G9904" s="51">
        <f>ROUNDUP(F9904*(E9904/21)/E9867,0)</f>
        <v>2539</v>
      </c>
    </row>
    <row r="9905" spans="1:7" x14ac:dyDescent="0.25">
      <c r="A9905" s="69" t="s">
        <v>77</v>
      </c>
      <c r="B9905" s="72" t="str">
        <f>VLOOKUP(A9905,'Componentes APUs'!$A$1:$D$14,2,0)</f>
        <v>Correa plastica y antiflama</v>
      </c>
      <c r="C9905" s="73"/>
      <c r="D9905" s="50" t="str">
        <f>VLOOKUP(A9905,'Componentes APUs'!$A$1:$D$14,3,0)</f>
        <v>U</v>
      </c>
      <c r="E9905" s="50">
        <f>SUM(C9882:C9887)</f>
        <v>4.75</v>
      </c>
      <c r="F9905" s="51">
        <f>VLOOKUP(A9905,'Componentes APUs'!$A$1:$D$14,4,0)</f>
        <v>3787.878787878788</v>
      </c>
      <c r="G9905" s="51">
        <f>ROUNDUP(F9905*(E9905/21)/E9867,0)</f>
        <v>952</v>
      </c>
    </row>
    <row r="9906" spans="1:7" x14ac:dyDescent="0.25">
      <c r="A9906" s="50" t="s">
        <v>79</v>
      </c>
      <c r="B9906" s="72" t="str">
        <f>VLOOKUP(A9906,'Componentes APUs'!$A$1:$D$14,2,0)</f>
        <v>Gafas protectoras filtro UV</v>
      </c>
      <c r="C9906" s="73"/>
      <c r="D9906" s="50" t="str">
        <f>VLOOKUP(A9906,'Componentes APUs'!$A$1:$D$14,3,0)</f>
        <v>U</v>
      </c>
      <c r="E9906" s="50">
        <f>SUM(C9882:C9887)</f>
        <v>4.75</v>
      </c>
      <c r="F9906" s="51">
        <f>VLOOKUP(A9906,'Componentes APUs'!$A$1:$D$14,4,0)</f>
        <v>2777.7777777777778</v>
      </c>
      <c r="G9906" s="51">
        <f>ROUNDUP(F9906*(E9906/21)/E9867,0)</f>
        <v>699</v>
      </c>
    </row>
    <row r="9907" spans="1:7" x14ac:dyDescent="0.25">
      <c r="A9907" s="69" t="s">
        <v>402</v>
      </c>
      <c r="B9907" s="72" t="str">
        <f>VLOOKUP(A9907,'Componentes APUs'!$A$1:$D$14,2,0)</f>
        <v>Bota de seguridad PVC dielectrica</v>
      </c>
      <c r="C9907" s="73"/>
      <c r="D9907" s="50" t="str">
        <f>VLOOKUP(A9907,'Componentes APUs'!$A$1:$D$14,3,0)</f>
        <v>Par</v>
      </c>
      <c r="E9907" s="50">
        <f>SUM(C9882:C9887)</f>
        <v>4.75</v>
      </c>
      <c r="F9907" s="51">
        <f>VLOOKUP(A9907,'Componentes APUs'!$A$1:$D$14,4,0)</f>
        <v>2916.6666666666665</v>
      </c>
      <c r="G9907" s="51">
        <f>ROUNDUP(F9907*(E9907/21)/E9867,0)</f>
        <v>734</v>
      </c>
    </row>
    <row r="9908" spans="1:7" x14ac:dyDescent="0.25">
      <c r="A9908" s="50" t="s">
        <v>403</v>
      </c>
      <c r="B9908" s="72" t="str">
        <f>VLOOKUP(A9908,'Componentes APUs'!$A$1:$D$14,2,0)</f>
        <v>Capuchon</v>
      </c>
      <c r="C9908" s="73"/>
      <c r="D9908" s="50" t="str">
        <f>VLOOKUP(A9908,'Componentes APUs'!$A$1:$D$14,3,0)</f>
        <v>U</v>
      </c>
      <c r="E9908" s="50">
        <f>SUM(C9882:C9887)</f>
        <v>4.75</v>
      </c>
      <c r="F9908" s="51">
        <f>VLOOKUP(A9908,'Componentes APUs'!$A$1:$D$14,4,0)</f>
        <v>2525.2525252525252</v>
      </c>
      <c r="G9908" s="51">
        <f>ROUNDUP(F9908*(E9908/21)/E9867,0)</f>
        <v>635</v>
      </c>
    </row>
    <row r="9909" spans="1:7" x14ac:dyDescent="0.25">
      <c r="A9909" s="69" t="s">
        <v>81</v>
      </c>
      <c r="B9909" s="72" t="str">
        <f>VLOOKUP(A9909,'Componentes APUs'!$A$1:$D$14,2,0)</f>
        <v>Guantes Protectores  - ingeniero reforzados</v>
      </c>
      <c r="C9909" s="73"/>
      <c r="D9909" s="50" t="str">
        <f>VLOOKUP(A9909,'Componentes APUs'!$A$1:$D$14,3,0)</f>
        <v>Par</v>
      </c>
      <c r="E9909" s="50">
        <f>C9884+C9885+C9887</f>
        <v>4</v>
      </c>
      <c r="F9909" s="51">
        <f>VLOOKUP(A9909,'Componentes APUs'!$A$1:$D$14,4,0)</f>
        <v>2525.2525252525252</v>
      </c>
      <c r="G9909" s="51">
        <f>ROUNDUP(F9909*(E9909/21)/E9867,0)</f>
        <v>535</v>
      </c>
    </row>
    <row r="9910" spans="1:7" x14ac:dyDescent="0.25">
      <c r="A9910" s="50" t="s">
        <v>83</v>
      </c>
      <c r="B9910" s="72" t="str">
        <f>VLOOKUP(A9910,'Componentes APUs'!$A$1:$D$14,2,0)</f>
        <v>Impermeable (pantalon camisa)</v>
      </c>
      <c r="C9910" s="73"/>
      <c r="D9910" s="50" t="str">
        <f>VLOOKUP(A9910,'Componentes APUs'!$A$1:$D$14,3,0)</f>
        <v>U</v>
      </c>
      <c r="E9910" s="50">
        <f>SUM(C9882:C9887)</f>
        <v>4.75</v>
      </c>
      <c r="F9910" s="51">
        <f>VLOOKUP(A9910,'Componentes APUs'!$A$1:$D$14,4,0)</f>
        <v>3750</v>
      </c>
      <c r="G9910" s="51">
        <f>ROUNDUP(F9910*(E9910/21)/E9867,0)</f>
        <v>943</v>
      </c>
    </row>
    <row r="9911" spans="1:7" x14ac:dyDescent="0.25">
      <c r="A9911" s="69" t="s">
        <v>85</v>
      </c>
      <c r="B9911" s="72" t="str">
        <f>VLOOKUP(A9911,'Componentes APUs'!$A$1:$D$14,2,0)</f>
        <v>Jean Dielectrico</v>
      </c>
      <c r="C9911" s="73"/>
      <c r="D9911" s="50" t="str">
        <f>VLOOKUP(A9911,'Componentes APUs'!$A$1:$D$14,3,0)</f>
        <v>U</v>
      </c>
      <c r="E9911" s="50">
        <f>SUM(C9882:C9887)</f>
        <v>4.75</v>
      </c>
      <c r="F9911" s="51">
        <f>VLOOKUP(A9911,'Componentes APUs'!$A$1:$D$14,4,0)</f>
        <v>7575.757575757576</v>
      </c>
      <c r="G9911" s="51">
        <f>ROUNDUP(F9911*(E9911/21)/E9867,0)</f>
        <v>1904</v>
      </c>
    </row>
    <row r="9912" spans="1:7" x14ac:dyDescent="0.25">
      <c r="A9912" s="50" t="s">
        <v>87</v>
      </c>
      <c r="B9912" s="72" t="str">
        <f>VLOOKUP(A9912,'Componentes APUs'!$A$1:$D$14,2,0)</f>
        <v>Casco dielectrico Tipo 2 Clase E con barboquejo</v>
      </c>
      <c r="C9912" s="73"/>
      <c r="D9912" s="50" t="str">
        <f>VLOOKUP(A9912,'Componentes APUs'!$A$1:$D$14,3,0)</f>
        <v>U</v>
      </c>
      <c r="E9912" s="53">
        <f>IF(A9884="MO-3",C9884,0)</f>
        <v>0</v>
      </c>
      <c r="F9912" s="51">
        <f>VLOOKUP(A9912,'Componentes APUs'!$A$1:$D$14,4,0)</f>
        <v>7500</v>
      </c>
      <c r="G9912" s="51">
        <f>ROUNDUP(F9912*(E9912/21)/E9867,0)</f>
        <v>0</v>
      </c>
    </row>
    <row r="9913" spans="1:7" x14ac:dyDescent="0.25">
      <c r="A9913" s="69" t="s">
        <v>89</v>
      </c>
      <c r="B9913" s="72" t="str">
        <f>VLOOKUP(A9913,'Componentes APUs'!$A$1:$D$14,2,0)</f>
        <v>Kit de rescate para trabajo en alturas</v>
      </c>
      <c r="C9913" s="73"/>
      <c r="D9913" s="50" t="str">
        <f>VLOOKUP(A9913,'Componentes APUs'!$A$1:$D$14,3,0)</f>
        <v>U</v>
      </c>
      <c r="E9913" s="50">
        <f>IF(AND(A9884="MO-3",C9884=2),1,0)</f>
        <v>0</v>
      </c>
      <c r="F9913" s="51">
        <f>VLOOKUP(A9913,'Componentes APUs'!$A$1:$D$14,4,0)</f>
        <v>37500</v>
      </c>
      <c r="G9913" s="51">
        <f>ROUNDUP(F9913*(E9913/21)/E9867,0)</f>
        <v>0</v>
      </c>
    </row>
    <row r="9914" spans="1:7" x14ac:dyDescent="0.25">
      <c r="A9914" s="50" t="s">
        <v>91</v>
      </c>
      <c r="B9914" s="72" t="str">
        <f>VLOOKUP(A9914,'Componentes APUs'!$A$1:$D$14,2,0)</f>
        <v>Equipo completo para trabajo en alturas con pretales (Arnes dielectrico, 1 mosqueton de seguridad, tie off dielectrico, eslinga de posicionamiento, juego de pretales)</v>
      </c>
      <c r="C9914" s="73"/>
      <c r="D9914" s="50" t="str">
        <f>VLOOKUP(A9914,'Componentes APUs'!$A$1:$D$14,3,0)</f>
        <v>U</v>
      </c>
      <c r="E9914" s="50">
        <f>IF(A9884="MO-3",C9884,0)</f>
        <v>0</v>
      </c>
      <c r="F9914" s="51">
        <f>VLOOKUP(A9914,'Componentes APUs'!$A$1:$D$14,4,0)</f>
        <v>26041.666666666668</v>
      </c>
      <c r="G9914" s="51">
        <f>ROUNDUP(F9914*(E9914/21)/E9867,0)</f>
        <v>0</v>
      </c>
    </row>
    <row r="9915" spans="1:7" x14ac:dyDescent="0.25">
      <c r="A9915" s="219" t="s">
        <v>95</v>
      </c>
      <c r="B9915" s="219"/>
      <c r="C9915" s="219"/>
      <c r="D9915" s="219"/>
      <c r="E9915" s="219"/>
      <c r="F9915" s="219"/>
      <c r="G9915" s="52">
        <f>SUM(G9902:G9914)</f>
        <v>12984</v>
      </c>
    </row>
    <row r="9916" spans="1:7" x14ac:dyDescent="0.25">
      <c r="A9916" s="56"/>
      <c r="B9916" s="57"/>
      <c r="C9916" s="57"/>
      <c r="D9916" s="57"/>
      <c r="E9916" s="57"/>
      <c r="F9916" s="57"/>
      <c r="G9916" s="58"/>
    </row>
    <row r="9917" spans="1:7" x14ac:dyDescent="0.25">
      <c r="A9917" s="219" t="s">
        <v>96</v>
      </c>
      <c r="B9917" s="219"/>
      <c r="C9917" s="219"/>
      <c r="D9917" s="219"/>
      <c r="E9917" s="219"/>
      <c r="F9917" s="219"/>
      <c r="G9917" s="219"/>
    </row>
    <row r="9918" spans="1:7" x14ac:dyDescent="0.25">
      <c r="A9918" s="49" t="s">
        <v>35</v>
      </c>
      <c r="B9918" s="225" t="s">
        <v>36</v>
      </c>
      <c r="C9918" s="225"/>
      <c r="D9918" s="49" t="s">
        <v>37</v>
      </c>
      <c r="E9918" s="49" t="s">
        <v>38</v>
      </c>
      <c r="F9918" s="49" t="s">
        <v>39</v>
      </c>
      <c r="G9918" s="49" t="s">
        <v>40</v>
      </c>
    </row>
    <row r="9919" spans="1:7" x14ac:dyDescent="0.25">
      <c r="A9919" s="69" t="s">
        <v>97</v>
      </c>
      <c r="B9919" s="72" t="str">
        <f>VLOOKUP(A9919,'Componentes APUs'!$N$1:$Q$30,2,0)</f>
        <v>Camioneta</v>
      </c>
      <c r="C9919" s="73"/>
      <c r="D9919" s="70" t="str">
        <f>VLOOKUP(A9919,'Componentes APUs'!$N$1:$Q$30,3,0)</f>
        <v>U</v>
      </c>
      <c r="E9919" s="50">
        <v>1</v>
      </c>
      <c r="F9919" s="51">
        <f>VLOOKUP(A9919,'Componentes APUs'!$N$1:$Q$30,4,0)</f>
        <v>5500000</v>
      </c>
      <c r="G9919" s="51">
        <f>IFERROR(ROUNDUP(F9919*(E9919/21)/E9867,0),"-")</f>
        <v>291006</v>
      </c>
    </row>
    <row r="9920" spans="1:7" x14ac:dyDescent="0.25">
      <c r="A9920" s="50" t="s">
        <v>1473</v>
      </c>
      <c r="B9920" s="72" t="str">
        <f>VLOOKUP(A9920,'Componentes APUs'!$N$1:$Q$30,2,0)</f>
        <v>Concretera</v>
      </c>
      <c r="C9920" s="73"/>
      <c r="D9920" s="70" t="str">
        <f>VLOOKUP(A9920,'Componentes APUs'!$N$1:$Q$30,3,0)</f>
        <v>U</v>
      </c>
      <c r="E9920" s="50">
        <v>1</v>
      </c>
      <c r="F9920" s="51">
        <f>VLOOKUP(A9920,'Componentes APUs'!$N$1:$Q$30,4,0)</f>
        <v>550704</v>
      </c>
      <c r="G9920" s="51">
        <f>IFERROR(ROUNDUP(F9920*(E9920/21)/E9867,0),"-")</f>
        <v>29138</v>
      </c>
    </row>
    <row r="9921" spans="1:7" x14ac:dyDescent="0.25">
      <c r="A9921" s="69" t="s">
        <v>322</v>
      </c>
      <c r="B9921" s="72" t="str">
        <f>VLOOKUP(A9921,'Componentes APUs'!$N$1:$Q$30,2,0)</f>
        <v>Camabaja</v>
      </c>
      <c r="C9921" s="73"/>
      <c r="D9921" s="70" t="str">
        <f>VLOOKUP(A9921,'Componentes APUs'!$N$1:$Q$30,3,0)</f>
        <v>TON/KM</v>
      </c>
      <c r="E9921" s="50">
        <v>0</v>
      </c>
      <c r="F9921" s="51">
        <f>VLOOKUP(A9921,'Componentes APUs'!$N$1:$Q$30,4,0)</f>
        <v>611</v>
      </c>
      <c r="G9921" s="51">
        <f>IFERROR(ROUNDUP(F9921*(E9921/21)/E9867,0),"-")</f>
        <v>0</v>
      </c>
    </row>
    <row r="9922" spans="1:7" x14ac:dyDescent="0.25">
      <c r="A9922" s="50" t="s">
        <v>323</v>
      </c>
      <c r="B9922" s="72" t="str">
        <f>VLOOKUP(A9922,'Componentes APUs'!$N$1:$Q$30,2,0)</f>
        <v>Volqueta</v>
      </c>
      <c r="C9922" s="73"/>
      <c r="D9922" s="70" t="str">
        <f>VLOOKUP(A9922,'Componentes APUs'!$N$1:$Q$30,3,0)</f>
        <v>U</v>
      </c>
      <c r="E9922" s="50">
        <v>0</v>
      </c>
      <c r="F9922" s="51">
        <f>VLOOKUP(A9922,'Componentes APUs'!$N$1:$Q$30,4,0)</f>
        <v>14828184</v>
      </c>
      <c r="G9922" s="51">
        <f>IFERROR(ROUNDUP(F9922*(E9922/21)/E9867,0),"-")</f>
        <v>0</v>
      </c>
    </row>
    <row r="9923" spans="1:7" x14ac:dyDescent="0.25">
      <c r="A9923" s="69" t="s">
        <v>324</v>
      </c>
      <c r="B9923" s="72" t="str">
        <f>VLOOKUP(A9923,'Componentes APUs'!$N$1:$Q$30,2,0)</f>
        <v>Retroexcavadora</v>
      </c>
      <c r="C9923" s="73"/>
      <c r="D9923" s="70" t="str">
        <f>VLOOKUP(A9923,'Componentes APUs'!$N$1:$Q$30,3,0)</f>
        <v>U</v>
      </c>
      <c r="E9923" s="50">
        <v>0</v>
      </c>
      <c r="F9923" s="51">
        <f>VLOOKUP(A9923,'Componentes APUs'!$N$1:$Q$30,4,0)</f>
        <v>46030656</v>
      </c>
      <c r="G9923" s="51">
        <f>IFERROR(ROUNDUP(F9923*(E9923/21)/E9867,0),"-")</f>
        <v>0</v>
      </c>
    </row>
    <row r="9924" spans="1:7" x14ac:dyDescent="0.25">
      <c r="A9924" s="219" t="s">
        <v>99</v>
      </c>
      <c r="B9924" s="219"/>
      <c r="C9924" s="219"/>
      <c r="D9924" s="219"/>
      <c r="E9924" s="219"/>
      <c r="F9924" s="219"/>
      <c r="G9924" s="52">
        <f>SUM(G9919:G9923)</f>
        <v>320144</v>
      </c>
    </row>
    <row r="9925" spans="1:7" x14ac:dyDescent="0.25">
      <c r="A9925" s="56"/>
      <c r="B9925" s="57"/>
      <c r="C9925" s="57"/>
      <c r="D9925" s="57"/>
      <c r="E9925" s="57"/>
      <c r="F9925" s="57"/>
      <c r="G9925" s="58"/>
    </row>
    <row r="9926" spans="1:7" x14ac:dyDescent="0.25">
      <c r="A9926" s="219" t="s">
        <v>1516</v>
      </c>
      <c r="B9926" s="219"/>
      <c r="C9926" s="219"/>
      <c r="D9926" s="219"/>
      <c r="E9926" s="219"/>
      <c r="F9926" s="219"/>
      <c r="G9926" s="52">
        <f>G9924+G9915+G9898+G9888+G9878</f>
        <v>5312807</v>
      </c>
    </row>
    <row r="9927" spans="1:7" x14ac:dyDescent="0.25">
      <c r="A9927" s="59"/>
      <c r="B9927" s="60"/>
      <c r="C9927" s="60"/>
      <c r="D9927" s="60"/>
      <c r="E9927" s="57"/>
      <c r="F9927" s="57"/>
      <c r="G9927" s="58"/>
    </row>
    <row r="9928" spans="1:7" x14ac:dyDescent="0.25">
      <c r="A9928" s="64"/>
      <c r="D9928" s="55"/>
      <c r="E9928" s="49" t="s">
        <v>25</v>
      </c>
      <c r="F9928" s="54">
        <v>0.15</v>
      </c>
      <c r="G9928" s="51">
        <f>G9926*F9928</f>
        <v>796921.04999999993</v>
      </c>
    </row>
    <row r="9929" spans="1:7" x14ac:dyDescent="0.25">
      <c r="A9929" s="64"/>
      <c r="D9929" s="55"/>
      <c r="E9929" s="49" t="s">
        <v>26</v>
      </c>
      <c r="F9929" s="54">
        <v>0.05</v>
      </c>
      <c r="G9929" s="51">
        <f>G9926*F9929</f>
        <v>265640.35000000003</v>
      </c>
    </row>
    <row r="9930" spans="1:7" x14ac:dyDescent="0.25">
      <c r="A9930" s="61"/>
      <c r="B9930" s="65"/>
      <c r="C9930" s="65"/>
      <c r="D9930" s="62"/>
      <c r="E9930" s="49" t="s">
        <v>27</v>
      </c>
      <c r="F9930" s="54">
        <v>0.05</v>
      </c>
      <c r="G9930" s="51">
        <f>G9926*F9930</f>
        <v>265640.35000000003</v>
      </c>
    </row>
    <row r="9931" spans="1:7" x14ac:dyDescent="0.25">
      <c r="A9931" s="61"/>
      <c r="B9931" s="62"/>
      <c r="C9931" s="62"/>
      <c r="D9931" s="62"/>
      <c r="E9931" s="62"/>
      <c r="F9931" s="62"/>
      <c r="G9931" s="63"/>
    </row>
    <row r="9932" spans="1:7" x14ac:dyDescent="0.25">
      <c r="A9932" s="219" t="s">
        <v>1517</v>
      </c>
      <c r="B9932" s="219"/>
      <c r="C9932" s="219"/>
      <c r="D9932" s="219"/>
      <c r="E9932" s="219"/>
      <c r="F9932" s="219"/>
      <c r="G9932" s="52">
        <f>G9926+G9928+G9929+G9930</f>
        <v>6641008.7499999991</v>
      </c>
    </row>
    <row r="9933" spans="1:7" x14ac:dyDescent="0.25">
      <c r="A9933" s="59"/>
      <c r="B9933" s="60"/>
      <c r="C9933" s="60"/>
      <c r="D9933" s="60"/>
      <c r="E9933" s="57"/>
      <c r="F9933" s="57"/>
      <c r="G9933" s="58"/>
    </row>
    <row r="9934" spans="1:7" x14ac:dyDescent="0.25">
      <c r="A9934" s="64"/>
      <c r="D9934" s="55"/>
      <c r="E9934" s="49" t="s">
        <v>102</v>
      </c>
      <c r="F9934" s="49" t="s">
        <v>103</v>
      </c>
      <c r="G9934" s="51">
        <f>G9930*19%</f>
        <v>50471.666500000007</v>
      </c>
    </row>
    <row r="9935" spans="1:7" x14ac:dyDescent="0.25">
      <c r="A9935" s="61"/>
      <c r="B9935" s="62"/>
      <c r="C9935" s="62"/>
      <c r="D9935" s="62"/>
      <c r="E9935" s="57"/>
      <c r="F9935" s="57"/>
      <c r="G9935" s="58"/>
    </row>
    <row r="9936" spans="1:7" x14ac:dyDescent="0.25">
      <c r="A9936" s="219" t="s">
        <v>104</v>
      </c>
      <c r="B9936" s="219"/>
      <c r="C9936" s="219"/>
      <c r="D9936" s="219"/>
      <c r="E9936" s="219"/>
      <c r="F9936" s="219"/>
      <c r="G9936" s="52">
        <f>G9934+G9932</f>
        <v>6691480.4164999994</v>
      </c>
    </row>
    <row r="9937" spans="1:11" s="55" customFormat="1" x14ac:dyDescent="0.25">
      <c r="A9937" s="60"/>
      <c r="B9937" s="60"/>
      <c r="C9937" s="60"/>
      <c r="D9937" s="60"/>
      <c r="E9937" s="60"/>
      <c r="F9937" s="60"/>
      <c r="G9937" s="60"/>
      <c r="H9937"/>
      <c r="I9937"/>
      <c r="J9937"/>
      <c r="K9937"/>
    </row>
    <row r="9938" spans="1:11" x14ac:dyDescent="0.25">
      <c r="A9938" s="74" t="s">
        <v>29</v>
      </c>
      <c r="B9938" s="226" t="s">
        <v>30</v>
      </c>
      <c r="C9938" s="226"/>
      <c r="D9938" s="74" t="s">
        <v>31</v>
      </c>
      <c r="E9938" s="74" t="s">
        <v>32</v>
      </c>
      <c r="F9938" s="74" t="s">
        <v>189</v>
      </c>
      <c r="G9938" s="74" t="s">
        <v>33</v>
      </c>
    </row>
    <row r="9939" spans="1:11" ht="34.5" customHeight="1" x14ac:dyDescent="0.25">
      <c r="A9939" s="50" t="str">
        <f>Presupuesto!B182</f>
        <v>006_CA</v>
      </c>
      <c r="B9939" s="220" t="str">
        <f>Presupuesto!C182</f>
        <v>ESTRUCTURA METÁLICA DE AFLORAMIENTO PARA CONEXIÓN DE BORNES 34,5kV  TRANSFORMADOR EN PATIO. INCLUYE AISLADORES TIPO PIN POLIMÉRICOS</v>
      </c>
      <c r="C9939" s="220"/>
      <c r="D9939" s="50" t="s">
        <v>18</v>
      </c>
      <c r="E9939" s="50">
        <v>0.9</v>
      </c>
      <c r="F9939" s="50"/>
      <c r="G9939" s="51">
        <f>G10008</f>
        <v>6827544.2014999995</v>
      </c>
    </row>
    <row r="9940" spans="1:11" x14ac:dyDescent="0.25">
      <c r="A9940" s="219" t="s">
        <v>34</v>
      </c>
      <c r="B9940" s="219"/>
      <c r="C9940" s="219"/>
      <c r="D9940" s="219"/>
      <c r="E9940" s="219"/>
      <c r="F9940" s="219"/>
      <c r="G9940" s="219"/>
    </row>
    <row r="9941" spans="1:11" x14ac:dyDescent="0.25">
      <c r="A9941" s="49" t="s">
        <v>35</v>
      </c>
      <c r="B9941" s="219" t="s">
        <v>36</v>
      </c>
      <c r="C9941" s="219"/>
      <c r="D9941" s="49" t="s">
        <v>37</v>
      </c>
      <c r="E9941" s="49" t="s">
        <v>38</v>
      </c>
      <c r="F9941" s="49" t="s">
        <v>39</v>
      </c>
      <c r="G9941" s="49" t="s">
        <v>40</v>
      </c>
    </row>
    <row r="9942" spans="1:11" x14ac:dyDescent="0.25">
      <c r="A9942" s="17" t="str">
        <f>Material!A429</f>
        <v>MA-428</v>
      </c>
      <c r="B9942" s="72" t="str">
        <f>IFERROR(VLOOKUP(A9942,Material!$A:$H,2,0),"-")</f>
        <v>BARRA PLATINA COBRE 30*3 MM X 1 MT</v>
      </c>
      <c r="C9942" s="73"/>
      <c r="D9942" s="50" t="str">
        <f>IFERROR(VLOOKUP(A9942,Material!$A:$H,4,0),"-")</f>
        <v>UN</v>
      </c>
      <c r="E9942" s="50">
        <v>3</v>
      </c>
      <c r="F9942" s="51">
        <f>IFERROR(VLOOKUP(A9942,Material!$A:$H,3,0),"-")</f>
        <v>438122.80701754382</v>
      </c>
      <c r="G9942" s="51">
        <f t="shared" ref="G9942:G9949" si="140">IFERROR(ROUNDUP(F9942*E9942,0),"-")</f>
        <v>1314369</v>
      </c>
    </row>
    <row r="9943" spans="1:11" x14ac:dyDescent="0.25">
      <c r="A9943" s="17" t="str">
        <f>Material!A430</f>
        <v>MA-429</v>
      </c>
      <c r="B9943" s="72" t="str">
        <f>IFERROR(VLOOKUP(A9943,Material!$A:$H,2,0),"-")</f>
        <v>PLATINA 1/2 X 3/8"</v>
      </c>
      <c r="C9943" s="73"/>
      <c r="D9943" s="50" t="s">
        <v>108</v>
      </c>
      <c r="E9943" s="50">
        <v>56</v>
      </c>
      <c r="F9943" s="51">
        <f>IFERROR(VLOOKUP(A9943,Material!$A:$H,3,0),"-")</f>
        <v>30938.483333333334</v>
      </c>
      <c r="G9943" s="51">
        <f t="shared" si="140"/>
        <v>1732556</v>
      </c>
    </row>
    <row r="9944" spans="1:11" x14ac:dyDescent="0.25">
      <c r="A9944" s="17" t="str">
        <f>Material!A431</f>
        <v>MA-430</v>
      </c>
      <c r="B9944" s="72" t="str">
        <f>IFERROR(VLOOKUP(A9944,Material!$A:$H,2,0),"-")</f>
        <v>PÉRNO DE MÁQUINA 1/2"</v>
      </c>
      <c r="C9944" s="73"/>
      <c r="D9944" s="50" t="str">
        <f>IFERROR(VLOOKUP(A9944,Material!$A:$H,4,0),"-")</f>
        <v>UN</v>
      </c>
      <c r="E9944" s="50">
        <v>50</v>
      </c>
      <c r="F9944" s="51">
        <f>IFERROR(VLOOKUP(A9944,Material!$A:$H,3,0),"-")</f>
        <v>2080</v>
      </c>
      <c r="G9944" s="51">
        <f t="shared" si="140"/>
        <v>104000</v>
      </c>
    </row>
    <row r="9945" spans="1:11" x14ac:dyDescent="0.25">
      <c r="A9945" s="17" t="str">
        <f>Material!A15</f>
        <v>MA-14</v>
      </c>
      <c r="B9945" s="72" t="str">
        <f>IFERROR(VLOOKUP(A9945,Material!$A:$H,2,0),"-")</f>
        <v>CONCRETO DE 3000 PSI</v>
      </c>
      <c r="C9945" s="73"/>
      <c r="D9945" s="50" t="str">
        <f>IFERROR(VLOOKUP(A9945,Material!$A:$H,4,0),"-")</f>
        <v>M3</v>
      </c>
      <c r="E9945" s="50">
        <f>0.5^3*4</f>
        <v>0.5</v>
      </c>
      <c r="F9945" s="51">
        <f>IFERROR(VLOOKUP(A9945,Material!$A:$H,3,0),"-")</f>
        <v>620227.23330691375</v>
      </c>
      <c r="G9945" s="51">
        <f t="shared" si="140"/>
        <v>310114</v>
      </c>
    </row>
    <row r="9946" spans="1:11" ht="24.75" customHeight="1" x14ac:dyDescent="0.25">
      <c r="A9946" s="17" t="str">
        <f>Material!A331</f>
        <v>MA-330</v>
      </c>
      <c r="B9946" s="221" t="str">
        <f>IFERROR(VLOOKUP(A9946,Material!$A:$H,2,0),"-")</f>
        <v>ACERO EN BARRAS CORRUGADAS, GRADO 60 DE VARIOS DIÁMETROS</v>
      </c>
      <c r="C9946" s="222"/>
      <c r="D9946" s="50" t="str">
        <f>IFERROR(VLOOKUP(A9946,Material!$A:$H,4,0),"-")</f>
        <v>KG</v>
      </c>
      <c r="E9946" s="50">
        <v>100</v>
      </c>
      <c r="F9946" s="51">
        <f>IFERROR(VLOOKUP(A9946,Material!$A:$H,3,0),"-")</f>
        <v>2742.8049999999998</v>
      </c>
      <c r="G9946" s="51">
        <f t="shared" si="140"/>
        <v>274281</v>
      </c>
    </row>
    <row r="9947" spans="1:11" x14ac:dyDescent="0.25">
      <c r="A9947" s="17" t="str">
        <f>Material!A199</f>
        <v>MA-198</v>
      </c>
      <c r="B9947" s="72" t="str">
        <f>IFERROR(VLOOKUP(A9947,Material!$A:$H,2,0),"-")</f>
        <v>ARENA</v>
      </c>
      <c r="C9947" s="73"/>
      <c r="D9947" s="50" t="str">
        <f>IFERROR(VLOOKUP(A9947,Material!$A:$H,4,0),"-")</f>
        <v>M3</v>
      </c>
      <c r="E9947" s="50">
        <f>E9945*30%</f>
        <v>0.15</v>
      </c>
      <c r="F9947" s="51">
        <f>IFERROR(VLOOKUP(A9947,Material!$A:$H,3,0),"-")</f>
        <v>60000</v>
      </c>
      <c r="G9947" s="51">
        <f t="shared" si="140"/>
        <v>9000</v>
      </c>
    </row>
    <row r="9948" spans="1:11" x14ac:dyDescent="0.25">
      <c r="A9948" s="17" t="str">
        <f>Material!A432</f>
        <v>MA-431</v>
      </c>
      <c r="B9948" s="72" t="str">
        <f>IFERROR(VLOOKUP(A9948,Material!$A:$H,2,0),"-")</f>
        <v>AISLADOR TIPO PIN POLIMERICO 35KV</v>
      </c>
      <c r="C9948" s="73"/>
      <c r="D9948" s="50" t="str">
        <f>IFERROR(VLOOKUP(A9948,Material!$A:$H,4,0),"-")</f>
        <v>UN</v>
      </c>
      <c r="E9948" s="50">
        <v>3</v>
      </c>
      <c r="F9948" s="51">
        <f>IFERROR(VLOOKUP(A9948,Material!$A:$H,3,0),"-")</f>
        <v>104455</v>
      </c>
      <c r="G9948" s="51">
        <f t="shared" si="140"/>
        <v>313365</v>
      </c>
    </row>
    <row r="9949" spans="1:11" x14ac:dyDescent="0.25">
      <c r="A9949" s="17"/>
      <c r="B9949" s="72" t="str">
        <f>IFERROR(VLOOKUP(A9949,Material!$A:$H,2,0),"-")</f>
        <v>-</v>
      </c>
      <c r="C9949" s="73"/>
      <c r="D9949" s="50" t="str">
        <f>IFERROR(VLOOKUP(A9949,Material!$A:$H,4,0),"-")</f>
        <v>-</v>
      </c>
      <c r="E9949" s="50"/>
      <c r="F9949" s="51" t="str">
        <f>IFERROR(VLOOKUP(A9949,Material!$A:$H,3,0),"-")</f>
        <v>-</v>
      </c>
      <c r="G9949" s="51" t="str">
        <f t="shared" si="140"/>
        <v>-</v>
      </c>
    </row>
    <row r="9950" spans="1:11" x14ac:dyDescent="0.25">
      <c r="A9950" s="219" t="s">
        <v>41</v>
      </c>
      <c r="B9950" s="219"/>
      <c r="C9950" s="219"/>
      <c r="D9950" s="219"/>
      <c r="E9950" s="219"/>
      <c r="F9950" s="219"/>
      <c r="G9950" s="52">
        <f>SUM(G9942:G9949)</f>
        <v>4057685</v>
      </c>
    </row>
    <row r="9951" spans="1:11" x14ac:dyDescent="0.25">
      <c r="A9951" s="56"/>
      <c r="B9951" s="57"/>
      <c r="C9951" s="57"/>
      <c r="D9951" s="57"/>
      <c r="E9951" s="57"/>
      <c r="F9951" s="57"/>
      <c r="G9951" s="58"/>
    </row>
    <row r="9952" spans="1:11" x14ac:dyDescent="0.25">
      <c r="A9952" s="219" t="s">
        <v>42</v>
      </c>
      <c r="B9952" s="219"/>
      <c r="C9952" s="219"/>
      <c r="D9952" s="219"/>
      <c r="E9952" s="219"/>
      <c r="F9952" s="219"/>
      <c r="G9952" s="219"/>
    </row>
    <row r="9953" spans="1:7" x14ac:dyDescent="0.25">
      <c r="A9953" s="49" t="s">
        <v>35</v>
      </c>
      <c r="B9953" s="49" t="s">
        <v>36</v>
      </c>
      <c r="C9953" s="49" t="s">
        <v>38</v>
      </c>
      <c r="D9953" s="49" t="s">
        <v>43</v>
      </c>
      <c r="E9953" s="49" t="s">
        <v>44</v>
      </c>
      <c r="F9953" s="49" t="s">
        <v>45</v>
      </c>
      <c r="G9953" s="49" t="s">
        <v>40</v>
      </c>
    </row>
    <row r="9954" spans="1:7" x14ac:dyDescent="0.25">
      <c r="A9954" s="50" t="s">
        <v>319</v>
      </c>
      <c r="B9954" s="68" t="str">
        <f>VLOOKUP(A9954,'Componentes APUs'!$H$1:$L$25,2,0)</f>
        <v>Ingeniero Residente de Obra</v>
      </c>
      <c r="C9954" s="93">
        <v>0.25</v>
      </c>
      <c r="D9954" s="50">
        <f>VLOOKUP(A9954,'Componentes APUs'!$H$1:$L$25,3,0)</f>
        <v>4</v>
      </c>
      <c r="E9954" s="51">
        <f>VLOOKUP(A9954,'Componentes APUs'!$H$1:$L$25,4,0)</f>
        <v>271142.85714285716</v>
      </c>
      <c r="F9954" s="51">
        <f>VLOOKUP(A9954,'Componentes APUs'!$H$1:$L$25,5,0)</f>
        <v>162685.71428571429</v>
      </c>
      <c r="G9954" s="51">
        <f>ROUNDUP((E9954+F9954)*C9954/E9939,0)</f>
        <v>120508</v>
      </c>
    </row>
    <row r="9955" spans="1:7" x14ac:dyDescent="0.25">
      <c r="A9955" s="50" t="s">
        <v>320</v>
      </c>
      <c r="B9955" s="68" t="str">
        <f>VLOOKUP(A9955,'Componentes APUs'!$H$1:$L$25,2,0)</f>
        <v>Tecnico Supervisor</v>
      </c>
      <c r="C9955" s="93">
        <v>0.25</v>
      </c>
      <c r="D9955" s="50">
        <f>VLOOKUP(A9955,'Componentes APUs'!$H$1:$L$25,3,0)</f>
        <v>2.2999999999999998</v>
      </c>
      <c r="E9955" s="51">
        <f>VLOOKUP(A9955,'Componentes APUs'!$H$1:$L$25,4,0)</f>
        <v>155907.14285714284</v>
      </c>
      <c r="F9955" s="51">
        <f>VLOOKUP(A9955,'Componentes APUs'!$H$1:$L$25,5,0)</f>
        <v>93544.285714285696</v>
      </c>
      <c r="G9955" s="51">
        <f>ROUNDUP((E9955+F9955)*C9955/E9939,0)</f>
        <v>69293</v>
      </c>
    </row>
    <row r="9956" spans="1:7" x14ac:dyDescent="0.25">
      <c r="A9956" s="50" t="s">
        <v>1160</v>
      </c>
      <c r="B9956" s="68" t="str">
        <f>VLOOKUP(A9956,'Componentes APUs'!$H$1:$L$25,2,0)</f>
        <v>Oficial Eléctrico</v>
      </c>
      <c r="C9956" s="93">
        <v>1</v>
      </c>
      <c r="D9956" s="50">
        <f>VLOOKUP(A9956,'Componentes APUs'!$H$1:$L$25,3,0)</f>
        <v>2</v>
      </c>
      <c r="E9956" s="51">
        <f>VLOOKUP(A9956,'Componentes APUs'!$H$1:$L$25,4,0)</f>
        <v>154619.04761904763</v>
      </c>
      <c r="F9956" s="51">
        <f>VLOOKUP(A9956,'Componentes APUs'!$H$1:$L$25,5,0)</f>
        <v>92771.42857142858</v>
      </c>
      <c r="G9956" s="51">
        <f>ROUNDUP((E9956+F9956)*C9956/E9939,0)</f>
        <v>274879</v>
      </c>
    </row>
    <row r="9957" spans="1:7" x14ac:dyDescent="0.25">
      <c r="A9957" s="50" t="s">
        <v>48</v>
      </c>
      <c r="B9957" s="68" t="str">
        <f>VLOOKUP(A9957,'Componentes APUs'!$H$1:$L$25,2,0)</f>
        <v>Ayudante Calificado</v>
      </c>
      <c r="C9957" s="93">
        <v>1</v>
      </c>
      <c r="D9957" s="50">
        <f>VLOOKUP(A9957,'Componentes APUs'!$H$1:$L$25,3,0)</f>
        <v>1.5</v>
      </c>
      <c r="E9957" s="51">
        <f>VLOOKUP(A9957,'Componentes APUs'!$H$1:$L$25,4,0)</f>
        <v>115964.28571428571</v>
      </c>
      <c r="F9957" s="51">
        <f>VLOOKUP(A9957,'Componentes APUs'!$H$1:$L$25,5,0)</f>
        <v>69578.57142857142</v>
      </c>
      <c r="G9957" s="51">
        <f>ROUNDUP((E9957+F9957)*C9957/E9939,0)</f>
        <v>206159</v>
      </c>
    </row>
    <row r="9958" spans="1:7" x14ac:dyDescent="0.25">
      <c r="A9958" s="50" t="s">
        <v>50</v>
      </c>
      <c r="B9958" s="68" t="str">
        <f>VLOOKUP(A9958,'Componentes APUs'!$H$1:$L$25,2,0)</f>
        <v>Profesional en SST</v>
      </c>
      <c r="C9958" s="93">
        <v>0.25</v>
      </c>
      <c r="D9958" s="50">
        <f>VLOOKUP(A9958,'Componentes APUs'!$H$1:$L$25,3,0)</f>
        <v>2.5</v>
      </c>
      <c r="E9958" s="51">
        <f>VLOOKUP(A9958,'Componentes APUs'!$H$1:$L$25,4,0)</f>
        <v>169464.28571428571</v>
      </c>
      <c r="F9958" s="51">
        <f>VLOOKUP(A9958,'Componentes APUs'!$H$1:$L$25,5,0)</f>
        <v>101678.57142857142</v>
      </c>
      <c r="G9958" s="51">
        <f>ROUNDUP((E9958+F9958)*C9958/E9939,0)</f>
        <v>75318</v>
      </c>
    </row>
    <row r="9959" spans="1:7" x14ac:dyDescent="0.25">
      <c r="A9959" s="50" t="s">
        <v>52</v>
      </c>
      <c r="B9959" s="68" t="str">
        <f>VLOOKUP(A9959,'Componentes APUs'!$H$1:$L$25,2,0)</f>
        <v>Ayudante No Calificado</v>
      </c>
      <c r="C9959" s="93">
        <v>2</v>
      </c>
      <c r="D9959" s="50">
        <f>VLOOKUP(A9959,'Componentes APUs'!$H$1:$L$25,3,0)</f>
        <v>1</v>
      </c>
      <c r="E9959" s="51">
        <f>VLOOKUP(A9959,'Componentes APUs'!$H$1:$L$25,4,0)</f>
        <v>77309.523809523816</v>
      </c>
      <c r="F9959" s="51">
        <f>VLOOKUP(A9959,'Componentes APUs'!$H$1:$L$25,5,0)</f>
        <v>46385.71428571429</v>
      </c>
      <c r="G9959" s="51">
        <f>ROUNDUP((E9959+F9959)*C9959/E9939,0)</f>
        <v>274879</v>
      </c>
    </row>
    <row r="9960" spans="1:7" x14ac:dyDescent="0.25">
      <c r="A9960" s="219" t="s">
        <v>56</v>
      </c>
      <c r="B9960" s="219"/>
      <c r="C9960" s="219"/>
      <c r="D9960" s="219"/>
      <c r="E9960" s="219"/>
      <c r="F9960" s="219"/>
      <c r="G9960" s="52">
        <f>SUM(G9954:G9959)</f>
        <v>1021036</v>
      </c>
    </row>
    <row r="9961" spans="1:7" x14ac:dyDescent="0.25">
      <c r="A9961" s="56"/>
      <c r="B9961" s="57"/>
      <c r="C9961" s="57"/>
      <c r="D9961" s="57"/>
      <c r="E9961" s="57"/>
      <c r="F9961" s="57"/>
      <c r="G9961" s="58"/>
    </row>
    <row r="9962" spans="1:7" x14ac:dyDescent="0.25">
      <c r="A9962" s="219" t="s">
        <v>57</v>
      </c>
      <c r="B9962" s="219"/>
      <c r="C9962" s="219"/>
      <c r="D9962" s="219"/>
      <c r="E9962" s="219"/>
      <c r="F9962" s="219"/>
      <c r="G9962" s="219"/>
    </row>
    <row r="9963" spans="1:7" x14ac:dyDescent="0.25">
      <c r="A9963" s="49" t="s">
        <v>35</v>
      </c>
      <c r="B9963" s="219" t="s">
        <v>36</v>
      </c>
      <c r="C9963" s="219"/>
      <c r="D9963" s="49" t="s">
        <v>37</v>
      </c>
      <c r="E9963" s="49" t="s">
        <v>38</v>
      </c>
      <c r="F9963" s="49" t="s">
        <v>39</v>
      </c>
      <c r="G9963" s="49" t="s">
        <v>40</v>
      </c>
    </row>
    <row r="9964" spans="1:7" x14ac:dyDescent="0.25">
      <c r="A9964" s="50" t="s">
        <v>326</v>
      </c>
      <c r="B9964" s="220" t="str">
        <f>VLOOKUP(A9964,'Componentes APUs'!$S$1:$V$10,2,0)</f>
        <v>Juego Llaves</v>
      </c>
      <c r="C9964" s="220"/>
      <c r="D9964" s="50" t="s">
        <v>18</v>
      </c>
      <c r="E9964" s="50">
        <v>2</v>
      </c>
      <c r="F9964" s="51">
        <f>VLOOKUP(A9964,'Componentes APUs'!$S$1:$V$10,4,0)</f>
        <v>9167</v>
      </c>
      <c r="G9964" s="51">
        <f>ROUNDUP(F9964*((E9964/21)/E9939),0)</f>
        <v>971</v>
      </c>
    </row>
    <row r="9965" spans="1:7" x14ac:dyDescent="0.25">
      <c r="A9965" s="50" t="s">
        <v>58</v>
      </c>
      <c r="B9965" s="220" t="str">
        <f>VLOOKUP(A9965,'Componentes APUs'!$S$1:$V$10,2,0)</f>
        <v>Manila de servicio</v>
      </c>
      <c r="C9965" s="220"/>
      <c r="D9965" s="50" t="s">
        <v>18</v>
      </c>
      <c r="E9965" s="50">
        <v>0</v>
      </c>
      <c r="F9965" s="51">
        <f>VLOOKUP(A9965,'Componentes APUs'!$S$1:$V$10,4,0)</f>
        <v>2333</v>
      </c>
      <c r="G9965" s="51">
        <f>ROUNDUP(F9965*((E9965/21)/E9939),0)</f>
        <v>0</v>
      </c>
    </row>
    <row r="9966" spans="1:7" x14ac:dyDescent="0.25">
      <c r="A9966" s="50" t="s">
        <v>327</v>
      </c>
      <c r="B9966" s="220" t="str">
        <f>VLOOKUP(A9966,'Componentes APUs'!$S$1:$V$10,2,0)</f>
        <v>Tula portaherramientas</v>
      </c>
      <c r="C9966" s="220"/>
      <c r="D9966" s="50" t="s">
        <v>18</v>
      </c>
      <c r="E9966" s="50">
        <v>0</v>
      </c>
      <c r="F9966" s="51">
        <f>VLOOKUP(A9966,'Componentes APUs'!$S$1:$V$10,4,0)</f>
        <v>1250</v>
      </c>
      <c r="G9966" s="51">
        <f>ROUNDUP(F9966*((E9966/21)/E9939),0)</f>
        <v>0</v>
      </c>
    </row>
    <row r="9967" spans="1:7" x14ac:dyDescent="0.25">
      <c r="A9967" s="50" t="s">
        <v>60</v>
      </c>
      <c r="B9967" s="220" t="str">
        <f>VLOOKUP(A9967,'Componentes APUs'!$S$1:$V$10,2,0)</f>
        <v>Agarradoras</v>
      </c>
      <c r="C9967" s="220"/>
      <c r="D9967" s="50" t="s">
        <v>18</v>
      </c>
      <c r="E9967" s="50">
        <v>0</v>
      </c>
      <c r="F9967" s="51">
        <f>VLOOKUP(A9967,'Componentes APUs'!$S$1:$V$10,4,0)</f>
        <v>125000</v>
      </c>
      <c r="G9967" s="51">
        <f>ROUNDUP(F9967*((E9967/21)/E9939),0)</f>
        <v>0</v>
      </c>
    </row>
    <row r="9968" spans="1:7" x14ac:dyDescent="0.25">
      <c r="A9968" s="50" t="s">
        <v>62</v>
      </c>
      <c r="B9968" s="220" t="str">
        <f>VLOOKUP(A9968,'Componentes APUs'!$S$1:$V$10,2,0)</f>
        <v>Templadoras</v>
      </c>
      <c r="C9968" s="220"/>
      <c r="D9968" s="50" t="s">
        <v>18</v>
      </c>
      <c r="E9968" s="50">
        <v>0</v>
      </c>
      <c r="F9968" s="51">
        <f>VLOOKUP(A9968,'Componentes APUs'!$S$1:$V$10,4,0)</f>
        <v>250000</v>
      </c>
      <c r="G9968" s="51">
        <f>ROUNDUP(F9968*((E9968/21)/E9939),0)</f>
        <v>0</v>
      </c>
    </row>
    <row r="9969" spans="1:7" x14ac:dyDescent="0.25">
      <c r="A9969" s="50" t="s">
        <v>328</v>
      </c>
      <c r="B9969" s="220" t="str">
        <f>VLOOKUP(A9969,'Componentes APUs'!$S$1:$V$10,2,0)</f>
        <v>Herramienta Menor</v>
      </c>
      <c r="C9969" s="220"/>
      <c r="D9969" s="50" t="s">
        <v>18</v>
      </c>
      <c r="E9969" s="50">
        <v>2</v>
      </c>
      <c r="F9969" s="51">
        <f>VLOOKUP(A9969,'Componentes APUs'!$S$1:$V$10,4,0)</f>
        <v>75758</v>
      </c>
      <c r="G9969" s="51">
        <f>ROUNDUP(F9969*((E9969/21)/E9939),0)</f>
        <v>8017</v>
      </c>
    </row>
    <row r="9970" spans="1:7" x14ac:dyDescent="0.25">
      <c r="A9970" s="219" t="s">
        <v>69</v>
      </c>
      <c r="B9970" s="219"/>
      <c r="C9970" s="219"/>
      <c r="D9970" s="219"/>
      <c r="E9970" s="219"/>
      <c r="F9970" s="219"/>
      <c r="G9970" s="52">
        <f>SUM(G9964:G9969)</f>
        <v>8988</v>
      </c>
    </row>
    <row r="9971" spans="1:7" x14ac:dyDescent="0.25">
      <c r="A9971" s="56"/>
      <c r="B9971" s="57"/>
      <c r="C9971" s="57"/>
      <c r="D9971" s="57"/>
      <c r="E9971" s="57"/>
      <c r="F9971" s="57"/>
      <c r="G9971" s="58"/>
    </row>
    <row r="9972" spans="1:7" x14ac:dyDescent="0.25">
      <c r="A9972" s="219" t="s">
        <v>70</v>
      </c>
      <c r="B9972" s="219"/>
      <c r="C9972" s="219"/>
      <c r="D9972" s="219"/>
      <c r="E9972" s="219"/>
      <c r="F9972" s="219"/>
      <c r="G9972" s="219"/>
    </row>
    <row r="9973" spans="1:7" x14ac:dyDescent="0.25">
      <c r="A9973" s="49" t="s">
        <v>35</v>
      </c>
      <c r="B9973" s="219" t="s">
        <v>36</v>
      </c>
      <c r="C9973" s="219"/>
      <c r="D9973" s="49" t="s">
        <v>37</v>
      </c>
      <c r="E9973" s="49" t="s">
        <v>38</v>
      </c>
      <c r="F9973" s="49" t="s">
        <v>39</v>
      </c>
      <c r="G9973" s="49" t="s">
        <v>40</v>
      </c>
    </row>
    <row r="9974" spans="1:7" x14ac:dyDescent="0.25">
      <c r="A9974" s="50" t="s">
        <v>71</v>
      </c>
      <c r="B9974" s="71" t="str">
        <f>VLOOKUP(A9974,'Componentes APUs'!$A$1:$D$14,2,0)</f>
        <v>Camisa indigo sin partes metalicas</v>
      </c>
      <c r="C9974" s="71"/>
      <c r="D9974" s="50" t="str">
        <f>VLOOKUP(A9974,'Componentes APUs'!$A$1:$D$14,3,0)</f>
        <v>U</v>
      </c>
      <c r="E9974" s="50">
        <f>SUM(C9954:C9959)</f>
        <v>4.75</v>
      </c>
      <c r="F9974" s="51">
        <f>VLOOKUP(A9974,'Componentes APUs'!$A$1:$D$14,4,0)</f>
        <v>8585.8585858585866</v>
      </c>
      <c r="G9974" s="51">
        <f>ROUNDUP(F9974*(E9974/21)/E9939,0)</f>
        <v>2158</v>
      </c>
    </row>
    <row r="9975" spans="1:7" x14ac:dyDescent="0.25">
      <c r="A9975" s="69" t="s">
        <v>73</v>
      </c>
      <c r="B9975" s="72" t="str">
        <f>VLOOKUP(A9975,'Componentes APUs'!$A$1:$D$14,2,0)</f>
        <v>Bota de seguridad dielectrica</v>
      </c>
      <c r="C9975" s="73"/>
      <c r="D9975" s="70" t="str">
        <f>VLOOKUP(A9975,'Componentes APUs'!$A$1:$D$14,3,0)</f>
        <v>Par</v>
      </c>
      <c r="E9975" s="50">
        <f>SUM(C9954:C9959)</f>
        <v>4.75</v>
      </c>
      <c r="F9975" s="51">
        <f>VLOOKUP(A9975,'Componentes APUs'!$A$1:$D$14,4,0)</f>
        <v>7500</v>
      </c>
      <c r="G9975" s="51">
        <f>ROUNDUP(F9975*(E9975/21)/E9939,0)</f>
        <v>1885</v>
      </c>
    </row>
    <row r="9976" spans="1:7" x14ac:dyDescent="0.25">
      <c r="A9976" s="50" t="s">
        <v>76</v>
      </c>
      <c r="B9976" s="72" t="str">
        <f>VLOOKUP(A9976,'Componentes APUs'!$A$1:$D$14,2,0)</f>
        <v>Casco dielectrico Tipo 1 Clase E con barbuquejo</v>
      </c>
      <c r="C9976" s="73"/>
      <c r="D9976" s="50" t="str">
        <f>VLOOKUP(A9976,'Componentes APUs'!$A$1:$D$14,3,0)</f>
        <v>U</v>
      </c>
      <c r="E9976" s="50">
        <f>C9954+C9957+C9958+C9955+C9959+IF(A9956&lt;&gt;"MO-3",C9956,0)</f>
        <v>4.75</v>
      </c>
      <c r="F9976" s="51">
        <f>VLOOKUP(A9976,'Componentes APUs'!$A$1:$D$14,4,0)</f>
        <v>10101.010101010101</v>
      </c>
      <c r="G9976" s="51">
        <f>ROUNDUP(F9976*(E9976/21)/E9939,0)</f>
        <v>2539</v>
      </c>
    </row>
    <row r="9977" spans="1:7" x14ac:dyDescent="0.25">
      <c r="A9977" s="69" t="s">
        <v>77</v>
      </c>
      <c r="B9977" s="72" t="str">
        <f>VLOOKUP(A9977,'Componentes APUs'!$A$1:$D$14,2,0)</f>
        <v>Correa plastica y antiflama</v>
      </c>
      <c r="C9977" s="73"/>
      <c r="D9977" s="50" t="str">
        <f>VLOOKUP(A9977,'Componentes APUs'!$A$1:$D$14,3,0)</f>
        <v>U</v>
      </c>
      <c r="E9977" s="50">
        <f>SUM(C9954:C9959)</f>
        <v>4.75</v>
      </c>
      <c r="F9977" s="51">
        <f>VLOOKUP(A9977,'Componentes APUs'!$A$1:$D$14,4,0)</f>
        <v>3787.878787878788</v>
      </c>
      <c r="G9977" s="51">
        <f>ROUNDUP(F9977*(E9977/21)/E9939,0)</f>
        <v>952</v>
      </c>
    </row>
    <row r="9978" spans="1:7" x14ac:dyDescent="0.25">
      <c r="A9978" s="50" t="s">
        <v>79</v>
      </c>
      <c r="B9978" s="72" t="str">
        <f>VLOOKUP(A9978,'Componentes APUs'!$A$1:$D$14,2,0)</f>
        <v>Gafas protectoras filtro UV</v>
      </c>
      <c r="C9978" s="73"/>
      <c r="D9978" s="50" t="str">
        <f>VLOOKUP(A9978,'Componentes APUs'!$A$1:$D$14,3,0)</f>
        <v>U</v>
      </c>
      <c r="E9978" s="50">
        <f>SUM(C9954:C9959)</f>
        <v>4.75</v>
      </c>
      <c r="F9978" s="51">
        <f>VLOOKUP(A9978,'Componentes APUs'!$A$1:$D$14,4,0)</f>
        <v>2777.7777777777778</v>
      </c>
      <c r="G9978" s="51">
        <f>ROUNDUP(F9978*(E9978/21)/E9939,0)</f>
        <v>699</v>
      </c>
    </row>
    <row r="9979" spans="1:7" x14ac:dyDescent="0.25">
      <c r="A9979" s="69" t="s">
        <v>402</v>
      </c>
      <c r="B9979" s="72" t="str">
        <f>VLOOKUP(A9979,'Componentes APUs'!$A$1:$D$14,2,0)</f>
        <v>Bota de seguridad PVC dielectrica</v>
      </c>
      <c r="C9979" s="73"/>
      <c r="D9979" s="50" t="str">
        <f>VLOOKUP(A9979,'Componentes APUs'!$A$1:$D$14,3,0)</f>
        <v>Par</v>
      </c>
      <c r="E9979" s="50">
        <f>SUM(C9954:C9959)</f>
        <v>4.75</v>
      </c>
      <c r="F9979" s="51">
        <f>VLOOKUP(A9979,'Componentes APUs'!$A$1:$D$14,4,0)</f>
        <v>2916.6666666666665</v>
      </c>
      <c r="G9979" s="51">
        <f>ROUNDUP(F9979*(E9979/21)/E9939,0)</f>
        <v>734</v>
      </c>
    </row>
    <row r="9980" spans="1:7" x14ac:dyDescent="0.25">
      <c r="A9980" s="50" t="s">
        <v>403</v>
      </c>
      <c r="B9980" s="72" t="str">
        <f>VLOOKUP(A9980,'Componentes APUs'!$A$1:$D$14,2,0)</f>
        <v>Capuchon</v>
      </c>
      <c r="C9980" s="73"/>
      <c r="D9980" s="50" t="str">
        <f>VLOOKUP(A9980,'Componentes APUs'!$A$1:$D$14,3,0)</f>
        <v>U</v>
      </c>
      <c r="E9980" s="50">
        <f>SUM(C9954:C9959)</f>
        <v>4.75</v>
      </c>
      <c r="F9980" s="51">
        <f>VLOOKUP(A9980,'Componentes APUs'!$A$1:$D$14,4,0)</f>
        <v>2525.2525252525252</v>
      </c>
      <c r="G9980" s="51">
        <f>ROUNDUP(F9980*(E9980/21)/E9939,0)</f>
        <v>635</v>
      </c>
    </row>
    <row r="9981" spans="1:7" x14ac:dyDescent="0.25">
      <c r="A9981" s="69" t="s">
        <v>81</v>
      </c>
      <c r="B9981" s="72" t="str">
        <f>VLOOKUP(A9981,'Componentes APUs'!$A$1:$D$14,2,0)</f>
        <v>Guantes Protectores  - ingeniero reforzados</v>
      </c>
      <c r="C9981" s="73"/>
      <c r="D9981" s="50" t="str">
        <f>VLOOKUP(A9981,'Componentes APUs'!$A$1:$D$14,3,0)</f>
        <v>Par</v>
      </c>
      <c r="E9981" s="50">
        <f>C9956+C9957+C9959</f>
        <v>4</v>
      </c>
      <c r="F9981" s="51">
        <f>VLOOKUP(A9981,'Componentes APUs'!$A$1:$D$14,4,0)</f>
        <v>2525.2525252525252</v>
      </c>
      <c r="G9981" s="51">
        <f>ROUNDUP(F9981*(E9981/21)/E9939,0)</f>
        <v>535</v>
      </c>
    </row>
    <row r="9982" spans="1:7" x14ac:dyDescent="0.25">
      <c r="A9982" s="50" t="s">
        <v>83</v>
      </c>
      <c r="B9982" s="72" t="str">
        <f>VLOOKUP(A9982,'Componentes APUs'!$A$1:$D$14,2,0)</f>
        <v>Impermeable (pantalon camisa)</v>
      </c>
      <c r="C9982" s="73"/>
      <c r="D9982" s="50" t="str">
        <f>VLOOKUP(A9982,'Componentes APUs'!$A$1:$D$14,3,0)</f>
        <v>U</v>
      </c>
      <c r="E9982" s="50">
        <f>SUM(C9954:C9959)</f>
        <v>4.75</v>
      </c>
      <c r="F9982" s="51">
        <f>VLOOKUP(A9982,'Componentes APUs'!$A$1:$D$14,4,0)</f>
        <v>3750</v>
      </c>
      <c r="G9982" s="51">
        <f>ROUNDUP(F9982*(E9982/21)/E9939,0)</f>
        <v>943</v>
      </c>
    </row>
    <row r="9983" spans="1:7" x14ac:dyDescent="0.25">
      <c r="A9983" s="69" t="s">
        <v>85</v>
      </c>
      <c r="B9983" s="72" t="str">
        <f>VLOOKUP(A9983,'Componentes APUs'!$A$1:$D$14,2,0)</f>
        <v>Jean Dielectrico</v>
      </c>
      <c r="C9983" s="73"/>
      <c r="D9983" s="50" t="str">
        <f>VLOOKUP(A9983,'Componentes APUs'!$A$1:$D$14,3,0)</f>
        <v>U</v>
      </c>
      <c r="E9983" s="50">
        <f>SUM(C9954:C9959)</f>
        <v>4.75</v>
      </c>
      <c r="F9983" s="51">
        <f>VLOOKUP(A9983,'Componentes APUs'!$A$1:$D$14,4,0)</f>
        <v>7575.757575757576</v>
      </c>
      <c r="G9983" s="51">
        <f>ROUNDUP(F9983*(E9983/21)/E9939,0)</f>
        <v>1904</v>
      </c>
    </row>
    <row r="9984" spans="1:7" x14ac:dyDescent="0.25">
      <c r="A9984" s="50" t="s">
        <v>87</v>
      </c>
      <c r="B9984" s="72" t="str">
        <f>VLOOKUP(A9984,'Componentes APUs'!$A$1:$D$14,2,0)</f>
        <v>Casco dielectrico Tipo 2 Clase E con barboquejo</v>
      </c>
      <c r="C9984" s="73"/>
      <c r="D9984" s="50" t="str">
        <f>VLOOKUP(A9984,'Componentes APUs'!$A$1:$D$14,3,0)</f>
        <v>U</v>
      </c>
      <c r="E9984" s="53">
        <f>IF(A9956="MO-3",C9956,0)</f>
        <v>0</v>
      </c>
      <c r="F9984" s="51">
        <f>VLOOKUP(A9984,'Componentes APUs'!$A$1:$D$14,4,0)</f>
        <v>7500</v>
      </c>
      <c r="G9984" s="51">
        <f>ROUNDUP(F9984*(E9984/21)/E9939,0)</f>
        <v>0</v>
      </c>
    </row>
    <row r="9985" spans="1:7" x14ac:dyDescent="0.25">
      <c r="A9985" s="69" t="s">
        <v>89</v>
      </c>
      <c r="B9985" s="72" t="str">
        <f>VLOOKUP(A9985,'Componentes APUs'!$A$1:$D$14,2,0)</f>
        <v>Kit de rescate para trabajo en alturas</v>
      </c>
      <c r="C9985" s="73"/>
      <c r="D9985" s="50" t="str">
        <f>VLOOKUP(A9985,'Componentes APUs'!$A$1:$D$14,3,0)</f>
        <v>U</v>
      </c>
      <c r="E9985" s="50">
        <f>IF(AND(A9956="MO-3",C9956=2),1,0)</f>
        <v>0</v>
      </c>
      <c r="F9985" s="51">
        <f>VLOOKUP(A9985,'Componentes APUs'!$A$1:$D$14,4,0)</f>
        <v>37500</v>
      </c>
      <c r="G9985" s="51">
        <f>ROUNDUP(F9985*(E9985/21)/E9939,0)</f>
        <v>0</v>
      </c>
    </row>
    <row r="9986" spans="1:7" x14ac:dyDescent="0.25">
      <c r="A9986" s="50" t="s">
        <v>91</v>
      </c>
      <c r="B9986" s="72" t="str">
        <f>VLOOKUP(A9986,'Componentes APUs'!$A$1:$D$14,2,0)</f>
        <v>Equipo completo para trabajo en alturas con pretales (Arnes dielectrico, 1 mosqueton de seguridad, tie off dielectrico, eslinga de posicionamiento, juego de pretales)</v>
      </c>
      <c r="C9986" s="73"/>
      <c r="D9986" s="50" t="str">
        <f>VLOOKUP(A9986,'Componentes APUs'!$A$1:$D$14,3,0)</f>
        <v>U</v>
      </c>
      <c r="E9986" s="50">
        <f>IF(A9956="MO-3",C9956,0)</f>
        <v>0</v>
      </c>
      <c r="F9986" s="51">
        <f>VLOOKUP(A9986,'Componentes APUs'!$A$1:$D$14,4,0)</f>
        <v>26041.666666666668</v>
      </c>
      <c r="G9986" s="51">
        <f>ROUNDUP(F9986*(E9986/21)/E9939,0)</f>
        <v>0</v>
      </c>
    </row>
    <row r="9987" spans="1:7" x14ac:dyDescent="0.25">
      <c r="A9987" s="219" t="s">
        <v>95</v>
      </c>
      <c r="B9987" s="219"/>
      <c r="C9987" s="219"/>
      <c r="D9987" s="219"/>
      <c r="E9987" s="219"/>
      <c r="F9987" s="219"/>
      <c r="G9987" s="52">
        <f>SUM(G9974:G9986)</f>
        <v>12984</v>
      </c>
    </row>
    <row r="9988" spans="1:7" x14ac:dyDescent="0.25">
      <c r="A9988" s="56"/>
      <c r="B9988" s="57"/>
      <c r="C9988" s="57"/>
      <c r="D9988" s="57"/>
      <c r="E9988" s="57"/>
      <c r="F9988" s="57"/>
      <c r="G9988" s="58"/>
    </row>
    <row r="9989" spans="1:7" x14ac:dyDescent="0.25">
      <c r="A9989" s="219" t="s">
        <v>96</v>
      </c>
      <c r="B9989" s="219"/>
      <c r="C9989" s="219"/>
      <c r="D9989" s="219"/>
      <c r="E9989" s="219"/>
      <c r="F9989" s="219"/>
      <c r="G9989" s="219"/>
    </row>
    <row r="9990" spans="1:7" x14ac:dyDescent="0.25">
      <c r="A9990" s="49" t="s">
        <v>35</v>
      </c>
      <c r="B9990" s="225" t="s">
        <v>36</v>
      </c>
      <c r="C9990" s="225"/>
      <c r="D9990" s="49" t="s">
        <v>37</v>
      </c>
      <c r="E9990" s="49" t="s">
        <v>38</v>
      </c>
      <c r="F9990" s="49" t="s">
        <v>39</v>
      </c>
      <c r="G9990" s="49" t="s">
        <v>40</v>
      </c>
    </row>
    <row r="9991" spans="1:7" x14ac:dyDescent="0.25">
      <c r="A9991" s="69" t="s">
        <v>97</v>
      </c>
      <c r="B9991" s="72" t="str">
        <f>VLOOKUP(A9991,'Componentes APUs'!$N$1:$Q$30,2,0)</f>
        <v>Camioneta</v>
      </c>
      <c r="C9991" s="73"/>
      <c r="D9991" s="70" t="str">
        <f>VLOOKUP(A9991,'Componentes APUs'!$N$1:$Q$30,3,0)</f>
        <v>U</v>
      </c>
      <c r="E9991" s="50">
        <v>1</v>
      </c>
      <c r="F9991" s="51">
        <f>VLOOKUP(A9991,'Componentes APUs'!$N$1:$Q$30,4,0)</f>
        <v>5500000</v>
      </c>
      <c r="G9991" s="51">
        <f>IFERROR(ROUNDUP(F9991*(E9991/21)/E9939,0),"-")</f>
        <v>291006</v>
      </c>
    </row>
    <row r="9992" spans="1:7" x14ac:dyDescent="0.25">
      <c r="A9992" s="50" t="s">
        <v>1473</v>
      </c>
      <c r="B9992" s="72" t="str">
        <f>VLOOKUP(A9992,'Componentes APUs'!$N$1:$Q$30,2,0)</f>
        <v>Concretera</v>
      </c>
      <c r="C9992" s="73"/>
      <c r="D9992" s="70" t="str">
        <f>VLOOKUP(A9992,'Componentes APUs'!$N$1:$Q$30,3,0)</f>
        <v>U</v>
      </c>
      <c r="E9992" s="50">
        <v>1</v>
      </c>
      <c r="F9992" s="51">
        <f>VLOOKUP(A9992,'Componentes APUs'!$N$1:$Q$30,4,0)</f>
        <v>550704</v>
      </c>
      <c r="G9992" s="51">
        <f>IFERROR(ROUNDUP(F9992*(E9992/21)/E9939,0),"-")</f>
        <v>29138</v>
      </c>
    </row>
    <row r="9993" spans="1:7" x14ac:dyDescent="0.25">
      <c r="A9993" s="69" t="s">
        <v>322</v>
      </c>
      <c r="B9993" s="72" t="str">
        <f>VLOOKUP(A9993,'Componentes APUs'!$N$1:$Q$30,2,0)</f>
        <v>Camabaja</v>
      </c>
      <c r="C9993" s="73"/>
      <c r="D9993" s="70" t="str">
        <f>VLOOKUP(A9993,'Componentes APUs'!$N$1:$Q$30,3,0)</f>
        <v>TON/KM</v>
      </c>
      <c r="E9993" s="50">
        <v>0</v>
      </c>
      <c r="F9993" s="51">
        <f>VLOOKUP(A9993,'Componentes APUs'!$N$1:$Q$30,4,0)</f>
        <v>611</v>
      </c>
      <c r="G9993" s="51">
        <f>IFERROR(ROUNDUP(F9993*(E9993/21)/E9939,0),"-")</f>
        <v>0</v>
      </c>
    </row>
    <row r="9994" spans="1:7" x14ac:dyDescent="0.25">
      <c r="A9994" s="50" t="s">
        <v>323</v>
      </c>
      <c r="B9994" s="72" t="str">
        <f>VLOOKUP(A9994,'Componentes APUs'!$N$1:$Q$30,2,0)</f>
        <v>Volqueta</v>
      </c>
      <c r="C9994" s="73"/>
      <c r="D9994" s="70" t="str">
        <f>VLOOKUP(A9994,'Componentes APUs'!$N$1:$Q$30,3,0)</f>
        <v>U</v>
      </c>
      <c r="E9994" s="50">
        <v>0</v>
      </c>
      <c r="F9994" s="51">
        <f>VLOOKUP(A9994,'Componentes APUs'!$N$1:$Q$30,4,0)</f>
        <v>14828184</v>
      </c>
      <c r="G9994" s="51">
        <f>IFERROR(ROUNDUP(F9994*(E9994/21)/E9939,0),"-")</f>
        <v>0</v>
      </c>
    </row>
    <row r="9995" spans="1:7" x14ac:dyDescent="0.25">
      <c r="A9995" s="69" t="s">
        <v>324</v>
      </c>
      <c r="B9995" s="72" t="str">
        <f>VLOOKUP(A9995,'Componentes APUs'!$N$1:$Q$30,2,0)</f>
        <v>Retroexcavadora</v>
      </c>
      <c r="C9995" s="73"/>
      <c r="D9995" s="70" t="str">
        <f>VLOOKUP(A9995,'Componentes APUs'!$N$1:$Q$30,3,0)</f>
        <v>U</v>
      </c>
      <c r="E9995" s="50">
        <v>0</v>
      </c>
      <c r="F9995" s="51">
        <f>VLOOKUP(A9995,'Componentes APUs'!$N$1:$Q$30,4,0)</f>
        <v>46030656</v>
      </c>
      <c r="G9995" s="51">
        <f>IFERROR(ROUNDUP(F9995*(E9995/21)/E9939,0),"-")</f>
        <v>0</v>
      </c>
    </row>
    <row r="9996" spans="1:7" x14ac:dyDescent="0.25">
      <c r="A9996" s="219" t="s">
        <v>99</v>
      </c>
      <c r="B9996" s="219"/>
      <c r="C9996" s="219"/>
      <c r="D9996" s="219"/>
      <c r="E9996" s="219"/>
      <c r="F9996" s="219"/>
      <c r="G9996" s="52">
        <f>SUM(G9991:G9995)</f>
        <v>320144</v>
      </c>
    </row>
    <row r="9997" spans="1:7" x14ac:dyDescent="0.25">
      <c r="A9997" s="56"/>
      <c r="B9997" s="57"/>
      <c r="C9997" s="57"/>
      <c r="D9997" s="57"/>
      <c r="E9997" s="57"/>
      <c r="F9997" s="57"/>
      <c r="G9997" s="58"/>
    </row>
    <row r="9998" spans="1:7" x14ac:dyDescent="0.25">
      <c r="A9998" s="219" t="s">
        <v>1516</v>
      </c>
      <c r="B9998" s="219"/>
      <c r="C9998" s="219"/>
      <c r="D9998" s="219"/>
      <c r="E9998" s="219"/>
      <c r="F9998" s="219"/>
      <c r="G9998" s="52">
        <f>G9996+G9987+G9970+G9960+G9950</f>
        <v>5420837</v>
      </c>
    </row>
    <row r="9999" spans="1:7" x14ac:dyDescent="0.25">
      <c r="A9999" s="59"/>
      <c r="B9999" s="60"/>
      <c r="C9999" s="60"/>
      <c r="D9999" s="60"/>
      <c r="E9999" s="57"/>
      <c r="F9999" s="57"/>
      <c r="G9999" s="58"/>
    </row>
    <row r="10000" spans="1:7" x14ac:dyDescent="0.25">
      <c r="A10000" s="64"/>
      <c r="D10000" s="55"/>
      <c r="E10000" s="49" t="s">
        <v>25</v>
      </c>
      <c r="F10000" s="54">
        <v>0.15</v>
      </c>
      <c r="G10000" s="51">
        <f>G9998*F10000</f>
        <v>813125.54999999993</v>
      </c>
    </row>
    <row r="10001" spans="1:7" x14ac:dyDescent="0.25">
      <c r="A10001" s="64"/>
      <c r="D10001" s="55"/>
      <c r="E10001" s="49" t="s">
        <v>26</v>
      </c>
      <c r="F10001" s="54">
        <v>0.05</v>
      </c>
      <c r="G10001" s="51">
        <f>G9998*F10001</f>
        <v>271041.85000000003</v>
      </c>
    </row>
    <row r="10002" spans="1:7" x14ac:dyDescent="0.25">
      <c r="A10002" s="61"/>
      <c r="B10002" s="65"/>
      <c r="C10002" s="65"/>
      <c r="D10002" s="62"/>
      <c r="E10002" s="49" t="s">
        <v>27</v>
      </c>
      <c r="F10002" s="54">
        <v>0.05</v>
      </c>
      <c r="G10002" s="51">
        <f>G9998*F10002</f>
        <v>271041.85000000003</v>
      </c>
    </row>
    <row r="10003" spans="1:7" x14ac:dyDescent="0.25">
      <c r="A10003" s="61"/>
      <c r="B10003" s="62"/>
      <c r="C10003" s="62"/>
      <c r="D10003" s="62"/>
      <c r="E10003" s="62"/>
      <c r="F10003" s="62"/>
      <c r="G10003" s="63"/>
    </row>
    <row r="10004" spans="1:7" x14ac:dyDescent="0.25">
      <c r="A10004" s="219" t="s">
        <v>1517</v>
      </c>
      <c r="B10004" s="219"/>
      <c r="C10004" s="219"/>
      <c r="D10004" s="219"/>
      <c r="E10004" s="219"/>
      <c r="F10004" s="219"/>
      <c r="G10004" s="52">
        <f>G9998+G10000+G10001+G10002</f>
        <v>6776046.2499999991</v>
      </c>
    </row>
    <row r="10005" spans="1:7" x14ac:dyDescent="0.25">
      <c r="A10005" s="59"/>
      <c r="B10005" s="60"/>
      <c r="C10005" s="60"/>
      <c r="D10005" s="60"/>
      <c r="E10005" s="57"/>
      <c r="F10005" s="57"/>
      <c r="G10005" s="58"/>
    </row>
    <row r="10006" spans="1:7" x14ac:dyDescent="0.25">
      <c r="A10006" s="64"/>
      <c r="D10006" s="55"/>
      <c r="E10006" s="49" t="s">
        <v>102</v>
      </c>
      <c r="F10006" s="49" t="s">
        <v>103</v>
      </c>
      <c r="G10006" s="51">
        <f>G10002*19%</f>
        <v>51497.95150000001</v>
      </c>
    </row>
    <row r="10007" spans="1:7" x14ac:dyDescent="0.25">
      <c r="A10007" s="61"/>
      <c r="B10007" s="62"/>
      <c r="C10007" s="62"/>
      <c r="D10007" s="62"/>
      <c r="E10007" s="57"/>
      <c r="F10007" s="57"/>
      <c r="G10007" s="58"/>
    </row>
    <row r="10008" spans="1:7" x14ac:dyDescent="0.25">
      <c r="A10008" s="219" t="s">
        <v>104</v>
      </c>
      <c r="B10008" s="219"/>
      <c r="C10008" s="219"/>
      <c r="D10008" s="219"/>
      <c r="E10008" s="219"/>
      <c r="F10008" s="219"/>
      <c r="G10008" s="52">
        <f>G10006+G10004</f>
        <v>6827544.2014999995</v>
      </c>
    </row>
    <row r="10010" spans="1:7" x14ac:dyDescent="0.25">
      <c r="A10010" s="74" t="s">
        <v>29</v>
      </c>
      <c r="B10010" s="226" t="s">
        <v>30</v>
      </c>
      <c r="C10010" s="226"/>
      <c r="D10010" s="74" t="s">
        <v>31</v>
      </c>
      <c r="E10010" s="74" t="s">
        <v>32</v>
      </c>
      <c r="F10010" s="74" t="s">
        <v>189</v>
      </c>
      <c r="G10010" s="74" t="s">
        <v>33</v>
      </c>
    </row>
    <row r="10011" spans="1:7" ht="34.5" customHeight="1" x14ac:dyDescent="0.25">
      <c r="A10011" s="50" t="str">
        <f>Presupuesto!B183</f>
        <v>007_CA</v>
      </c>
      <c r="B10011" s="220" t="str">
        <f>Presupuesto!C183</f>
        <v>SUMINISTRO E INSTALACIÓN DE BANDEJA PORTACABLES 15X40 CM. INCLUYE CURVAS Y SISTEMA DE FIJACIÓN</v>
      </c>
      <c r="C10011" s="220"/>
      <c r="D10011" s="50" t="s">
        <v>108</v>
      </c>
      <c r="E10011" s="50">
        <v>15</v>
      </c>
      <c r="F10011" s="50"/>
      <c r="G10011" s="51">
        <f>G10078</f>
        <v>299718.17700000003</v>
      </c>
    </row>
    <row r="10012" spans="1:7" x14ac:dyDescent="0.25">
      <c r="A10012" s="219" t="s">
        <v>34</v>
      </c>
      <c r="B10012" s="219"/>
      <c r="C10012" s="219"/>
      <c r="D10012" s="219"/>
      <c r="E10012" s="219"/>
      <c r="F10012" s="219"/>
      <c r="G10012" s="219"/>
    </row>
    <row r="10013" spans="1:7" x14ac:dyDescent="0.25">
      <c r="A10013" s="49" t="s">
        <v>35</v>
      </c>
      <c r="B10013" s="219" t="s">
        <v>36</v>
      </c>
      <c r="C10013" s="219"/>
      <c r="D10013" s="49" t="s">
        <v>37</v>
      </c>
      <c r="E10013" s="49" t="s">
        <v>38</v>
      </c>
      <c r="F10013" s="49" t="s">
        <v>39</v>
      </c>
      <c r="G10013" s="49" t="s">
        <v>40</v>
      </c>
    </row>
    <row r="10014" spans="1:7" ht="30" customHeight="1" x14ac:dyDescent="0.25">
      <c r="A10014" s="17" t="str">
        <f>Material!A53</f>
        <v>MA-52</v>
      </c>
      <c r="B10014" s="232" t="str">
        <f>IFERROR(VLOOKUP(A10014,Material!$A:$H,2,0),"-")</f>
        <v>BANDEJA PORTACABLES EN ACERO GALVANIZADO RECTO ALTO: 15 CM, ANCHO: 40 CM</v>
      </c>
      <c r="C10014" s="233"/>
      <c r="D10014" s="50" t="str">
        <f>IFERROR(VLOOKUP(A10014,Material!$A:$H,4,0),"-")</f>
        <v>ML</v>
      </c>
      <c r="E10014" s="50">
        <v>1</v>
      </c>
      <c r="F10014" s="51">
        <f>IFERROR(VLOOKUP(A10014,Material!$A:$H,3,0),"-")</f>
        <v>157268.58333333334</v>
      </c>
      <c r="G10014" s="51">
        <f t="shared" ref="G10014:G10018" si="141">IFERROR(ROUNDUP(F10014*E10014,0),"-")</f>
        <v>157269</v>
      </c>
    </row>
    <row r="10015" spans="1:7" ht="30" customHeight="1" x14ac:dyDescent="0.25">
      <c r="A10015" s="17" t="str">
        <f>Material!A54</f>
        <v>MA-53</v>
      </c>
      <c r="B10015" s="232" t="str">
        <f>IFERROR(VLOOKUP(A10015,Material!$A:$H,2,0),"-")</f>
        <v>CURVA BANDEJA PORTACABLES EN ACERO GALVANIZADO A 90° ALTO: 15 CM, ANCHO: 40 CM</v>
      </c>
      <c r="C10015" s="233"/>
      <c r="D10015" s="50" t="str">
        <f>IFERROR(VLOOKUP(A10015,Material!$A:$H,4,0),"-")</f>
        <v>ML</v>
      </c>
      <c r="E10015" s="50">
        <v>0.05</v>
      </c>
      <c r="F10015" s="51">
        <f>IFERROR(VLOOKUP(A10015,Material!$A:$H,3,0),"-")</f>
        <v>68593.416666666672</v>
      </c>
      <c r="G10015" s="51">
        <f t="shared" si="141"/>
        <v>3430</v>
      </c>
    </row>
    <row r="10016" spans="1:7" x14ac:dyDescent="0.25">
      <c r="A10016" s="17" t="str">
        <f>Material!A195</f>
        <v>MA-194</v>
      </c>
      <c r="B10016" s="72" t="str">
        <f>IFERROR(VLOOKUP(A10016,Material!$A:$H,2,0),"-")</f>
        <v>CHAZO EXPANSIVO RL 3/8"</v>
      </c>
      <c r="C10016" s="73"/>
      <c r="D10016" s="50" t="s">
        <v>108</v>
      </c>
      <c r="E10016" s="107">
        <v>2</v>
      </c>
      <c r="F10016" s="51">
        <f>IFERROR(VLOOKUP(A10016,Material!$A:$H,3,0),"-")</f>
        <v>455</v>
      </c>
      <c r="G10016" s="51">
        <f t="shared" si="141"/>
        <v>910</v>
      </c>
    </row>
    <row r="10017" spans="1:7" x14ac:dyDescent="0.25">
      <c r="A10017" s="17" t="str">
        <f>Material!A196</f>
        <v>MA-195</v>
      </c>
      <c r="B10017" s="72" t="str">
        <f>IFERROR(VLOOKUP(A10017,Material!$A:$H,2,0),"-")</f>
        <v>VARILLA ROSCADA DE 3/8"</v>
      </c>
      <c r="C10017" s="73"/>
      <c r="D10017" s="50" t="str">
        <f>IFERROR(VLOOKUP(A10017,Material!$A:$H,4,0),"-")</f>
        <v>UN</v>
      </c>
      <c r="E10017" s="50">
        <v>0.2</v>
      </c>
      <c r="F10017" s="51">
        <f>IFERROR(VLOOKUP(A10017,Material!$A:$H,3,0),"-")</f>
        <v>3466.6666666666665</v>
      </c>
      <c r="G10017" s="51">
        <f t="shared" si="141"/>
        <v>694</v>
      </c>
    </row>
    <row r="10018" spans="1:7" x14ac:dyDescent="0.25">
      <c r="A10018" s="17" t="str">
        <f>Material!A197</f>
        <v>MA-196</v>
      </c>
      <c r="B10018" s="72" t="str">
        <f>IFERROR(VLOOKUP(A10018,Material!$A:$H,2,0),"-")</f>
        <v>RIEL UNISTRUT RANURADO 2X4 CM</v>
      </c>
      <c r="C10018" s="73"/>
      <c r="D10018" s="50" t="str">
        <f>IFERROR(VLOOKUP(A10018,Material!$A:$H,4,0),"-")</f>
        <v>ML</v>
      </c>
      <c r="E10018" s="50">
        <v>0.5</v>
      </c>
      <c r="F10018" s="51">
        <f>IFERROR(VLOOKUP(A10018,Material!$A:$H,3,0),"-")</f>
        <v>10551.666666666668</v>
      </c>
      <c r="G10018" s="51">
        <f t="shared" si="141"/>
        <v>5276</v>
      </c>
    </row>
    <row r="10019" spans="1:7" x14ac:dyDescent="0.25">
      <c r="A10019" s="17" t="str">
        <f>Material!A198</f>
        <v>MA-197</v>
      </c>
      <c r="B10019" s="72" t="str">
        <f>IFERROR(VLOOKUP(A10019,Material!$A:$H,2,0),"-")</f>
        <v>CABLE DE COBRE DESNUDO NO 8 AWG</v>
      </c>
      <c r="C10019" s="73"/>
      <c r="D10019" s="50" t="str">
        <f>IFERROR(VLOOKUP(A10019,Material!$A:$H,4,0),"-")</f>
        <v>ML</v>
      </c>
      <c r="E10019" s="50">
        <v>1</v>
      </c>
      <c r="F10019" s="51">
        <f>IFERROR(VLOOKUP(A10019,Material!$A:$H,3,0),"-")</f>
        <v>7150</v>
      </c>
      <c r="G10019" s="51">
        <f t="shared" ref="G10019" si="142">IFERROR(ROUNDUP(F10019*E10019,0),"-")</f>
        <v>7150</v>
      </c>
    </row>
    <row r="10020" spans="1:7" x14ac:dyDescent="0.25">
      <c r="A10020" s="219" t="s">
        <v>41</v>
      </c>
      <c r="B10020" s="219"/>
      <c r="C10020" s="219"/>
      <c r="D10020" s="219"/>
      <c r="E10020" s="219"/>
      <c r="F10020" s="219"/>
      <c r="G10020" s="52">
        <f>SUM(G10014:G10019)</f>
        <v>174729</v>
      </c>
    </row>
    <row r="10021" spans="1:7" x14ac:dyDescent="0.25">
      <c r="A10021" s="56"/>
      <c r="B10021" s="57"/>
      <c r="C10021" s="57"/>
      <c r="D10021" s="57"/>
      <c r="E10021" s="57"/>
      <c r="F10021" s="57"/>
      <c r="G10021" s="58"/>
    </row>
    <row r="10022" spans="1:7" x14ac:dyDescent="0.25">
      <c r="A10022" s="219" t="s">
        <v>42</v>
      </c>
      <c r="B10022" s="219"/>
      <c r="C10022" s="219"/>
      <c r="D10022" s="219"/>
      <c r="E10022" s="219"/>
      <c r="F10022" s="219"/>
      <c r="G10022" s="219"/>
    </row>
    <row r="10023" spans="1:7" x14ac:dyDescent="0.25">
      <c r="A10023" s="49" t="s">
        <v>35</v>
      </c>
      <c r="B10023" s="49" t="s">
        <v>36</v>
      </c>
      <c r="C10023" s="49" t="s">
        <v>38</v>
      </c>
      <c r="D10023" s="49" t="s">
        <v>43</v>
      </c>
      <c r="E10023" s="49" t="s">
        <v>44</v>
      </c>
      <c r="F10023" s="49" t="s">
        <v>45</v>
      </c>
      <c r="G10023" s="49" t="s">
        <v>40</v>
      </c>
    </row>
    <row r="10024" spans="1:7" x14ac:dyDescent="0.25">
      <c r="A10024" s="50" t="s">
        <v>319</v>
      </c>
      <c r="B10024" s="68" t="str">
        <f>VLOOKUP(A10024,'Componentes APUs'!$H$1:$L$25,2,0)</f>
        <v>Ingeniero Residente de Obra</v>
      </c>
      <c r="C10024" s="93">
        <v>0.25</v>
      </c>
      <c r="D10024" s="50">
        <f>VLOOKUP(A10024,'Componentes APUs'!$H$1:$L$25,3,0)</f>
        <v>4</v>
      </c>
      <c r="E10024" s="51">
        <f>VLOOKUP(A10024,'Componentes APUs'!$H$1:$L$25,4,0)</f>
        <v>271142.85714285716</v>
      </c>
      <c r="F10024" s="51">
        <f>VLOOKUP(A10024,'Componentes APUs'!$H$1:$L$25,5,0)</f>
        <v>162685.71428571429</v>
      </c>
      <c r="G10024" s="51">
        <f>ROUNDUP((E10024+F10024)*C10024/E10011,0)</f>
        <v>7231</v>
      </c>
    </row>
    <row r="10025" spans="1:7" x14ac:dyDescent="0.25">
      <c r="A10025" s="50" t="s">
        <v>320</v>
      </c>
      <c r="B10025" s="68" t="str">
        <f>VLOOKUP(A10025,'Componentes APUs'!$H$1:$L$25,2,0)</f>
        <v>Tecnico Supervisor</v>
      </c>
      <c r="C10025" s="93">
        <v>0.25</v>
      </c>
      <c r="D10025" s="50">
        <f>VLOOKUP(A10025,'Componentes APUs'!$H$1:$L$25,3,0)</f>
        <v>2.2999999999999998</v>
      </c>
      <c r="E10025" s="51">
        <f>VLOOKUP(A10025,'Componentes APUs'!$H$1:$L$25,4,0)</f>
        <v>155907.14285714284</v>
      </c>
      <c r="F10025" s="51">
        <f>VLOOKUP(A10025,'Componentes APUs'!$H$1:$L$25,5,0)</f>
        <v>93544.285714285696</v>
      </c>
      <c r="G10025" s="51">
        <f>ROUNDUP((E10025+F10025)*C10025/E10011,0)</f>
        <v>4158</v>
      </c>
    </row>
    <row r="10026" spans="1:7" x14ac:dyDescent="0.25">
      <c r="A10026" s="50" t="s">
        <v>1160</v>
      </c>
      <c r="B10026" s="68" t="str">
        <f>VLOOKUP(A10026,'Componentes APUs'!$H$1:$L$25,2,0)</f>
        <v>Oficial Eléctrico</v>
      </c>
      <c r="C10026" s="93">
        <v>1</v>
      </c>
      <c r="D10026" s="50">
        <f>VLOOKUP(A10026,'Componentes APUs'!$H$1:$L$25,3,0)</f>
        <v>2</v>
      </c>
      <c r="E10026" s="51">
        <f>VLOOKUP(A10026,'Componentes APUs'!$H$1:$L$25,4,0)</f>
        <v>154619.04761904763</v>
      </c>
      <c r="F10026" s="51">
        <f>VLOOKUP(A10026,'Componentes APUs'!$H$1:$L$25,5,0)</f>
        <v>92771.42857142858</v>
      </c>
      <c r="G10026" s="51">
        <f>ROUNDUP((E10026+F10026)*C10026/E10011,0)</f>
        <v>16493</v>
      </c>
    </row>
    <row r="10027" spans="1:7" x14ac:dyDescent="0.25">
      <c r="A10027" s="50" t="s">
        <v>48</v>
      </c>
      <c r="B10027" s="68" t="str">
        <f>VLOOKUP(A10027,'Componentes APUs'!$H$1:$L$25,2,0)</f>
        <v>Ayudante Calificado</v>
      </c>
      <c r="C10027" s="93">
        <v>1</v>
      </c>
      <c r="D10027" s="50">
        <f>VLOOKUP(A10027,'Componentes APUs'!$H$1:$L$25,3,0)</f>
        <v>1.5</v>
      </c>
      <c r="E10027" s="51">
        <f>VLOOKUP(A10027,'Componentes APUs'!$H$1:$L$25,4,0)</f>
        <v>115964.28571428571</v>
      </c>
      <c r="F10027" s="51">
        <f>VLOOKUP(A10027,'Componentes APUs'!$H$1:$L$25,5,0)</f>
        <v>69578.57142857142</v>
      </c>
      <c r="G10027" s="51">
        <f>ROUNDUP((E10027+F10027)*C10027/E10011,0)</f>
        <v>12370</v>
      </c>
    </row>
    <row r="10028" spans="1:7" x14ac:dyDescent="0.25">
      <c r="A10028" s="50" t="s">
        <v>50</v>
      </c>
      <c r="B10028" s="68" t="str">
        <f>VLOOKUP(A10028,'Componentes APUs'!$H$1:$L$25,2,0)</f>
        <v>Profesional en SST</v>
      </c>
      <c r="C10028" s="93">
        <v>0.25</v>
      </c>
      <c r="D10028" s="50">
        <f>VLOOKUP(A10028,'Componentes APUs'!$H$1:$L$25,3,0)</f>
        <v>2.5</v>
      </c>
      <c r="E10028" s="51">
        <f>VLOOKUP(A10028,'Componentes APUs'!$H$1:$L$25,4,0)</f>
        <v>169464.28571428571</v>
      </c>
      <c r="F10028" s="51">
        <f>VLOOKUP(A10028,'Componentes APUs'!$H$1:$L$25,5,0)</f>
        <v>101678.57142857142</v>
      </c>
      <c r="G10028" s="51">
        <f>ROUNDUP((E10028+F10028)*C10028/E10011,0)</f>
        <v>4520</v>
      </c>
    </row>
    <row r="10029" spans="1:7" x14ac:dyDescent="0.25">
      <c r="A10029" s="50" t="s">
        <v>52</v>
      </c>
      <c r="B10029" s="68" t="str">
        <f>VLOOKUP(A10029,'Componentes APUs'!$H$1:$L$25,2,0)</f>
        <v>Ayudante No Calificado</v>
      </c>
      <c r="C10029" s="93">
        <v>0</v>
      </c>
      <c r="D10029" s="50">
        <f>VLOOKUP(A10029,'Componentes APUs'!$H$1:$L$25,3,0)</f>
        <v>1</v>
      </c>
      <c r="E10029" s="51">
        <f>VLOOKUP(A10029,'Componentes APUs'!$H$1:$L$25,4,0)</f>
        <v>77309.523809523816</v>
      </c>
      <c r="F10029" s="51">
        <f>VLOOKUP(A10029,'Componentes APUs'!$H$1:$L$25,5,0)</f>
        <v>46385.71428571429</v>
      </c>
      <c r="G10029" s="51">
        <f>ROUNDUP((E10029+F10029)*C10029/E10011,0)</f>
        <v>0</v>
      </c>
    </row>
    <row r="10030" spans="1:7" x14ac:dyDescent="0.25">
      <c r="A10030" s="219" t="s">
        <v>56</v>
      </c>
      <c r="B10030" s="219"/>
      <c r="C10030" s="219"/>
      <c r="D10030" s="219"/>
      <c r="E10030" s="219"/>
      <c r="F10030" s="219"/>
      <c r="G10030" s="52">
        <f>SUM(G10024:G10029)</f>
        <v>44772</v>
      </c>
    </row>
    <row r="10031" spans="1:7" x14ac:dyDescent="0.25">
      <c r="A10031" s="56"/>
      <c r="B10031" s="57"/>
      <c r="C10031" s="57"/>
      <c r="D10031" s="57"/>
      <c r="E10031" s="57"/>
      <c r="F10031" s="57"/>
      <c r="G10031" s="58"/>
    </row>
    <row r="10032" spans="1:7" x14ac:dyDescent="0.25">
      <c r="A10032" s="219" t="s">
        <v>57</v>
      </c>
      <c r="B10032" s="219"/>
      <c r="C10032" s="219"/>
      <c r="D10032" s="219"/>
      <c r="E10032" s="219"/>
      <c r="F10032" s="219"/>
      <c r="G10032" s="219"/>
    </row>
    <row r="10033" spans="1:7" x14ac:dyDescent="0.25">
      <c r="A10033" s="49" t="s">
        <v>35</v>
      </c>
      <c r="B10033" s="219" t="s">
        <v>36</v>
      </c>
      <c r="C10033" s="219"/>
      <c r="D10033" s="49" t="s">
        <v>37</v>
      </c>
      <c r="E10033" s="49" t="s">
        <v>38</v>
      </c>
      <c r="F10033" s="49" t="s">
        <v>39</v>
      </c>
      <c r="G10033" s="49" t="s">
        <v>40</v>
      </c>
    </row>
    <row r="10034" spans="1:7" x14ac:dyDescent="0.25">
      <c r="A10034" s="50" t="s">
        <v>326</v>
      </c>
      <c r="B10034" s="220" t="str">
        <f>VLOOKUP(A10034,'Componentes APUs'!$S$1:$V$10,2,0)</f>
        <v>Juego Llaves</v>
      </c>
      <c r="C10034" s="220"/>
      <c r="D10034" s="50" t="s">
        <v>18</v>
      </c>
      <c r="E10034" s="50">
        <v>2</v>
      </c>
      <c r="F10034" s="51">
        <f>VLOOKUP(A10034,'Componentes APUs'!$S$1:$V$10,4,0)</f>
        <v>9167</v>
      </c>
      <c r="G10034" s="51">
        <f>ROUNDUP(F10034*((E10034/21)/E10011),0)</f>
        <v>59</v>
      </c>
    </row>
    <row r="10035" spans="1:7" x14ac:dyDescent="0.25">
      <c r="A10035" s="50" t="s">
        <v>58</v>
      </c>
      <c r="B10035" s="220" t="str">
        <f>VLOOKUP(A10035,'Componentes APUs'!$S$1:$V$10,2,0)</f>
        <v>Manila de servicio</v>
      </c>
      <c r="C10035" s="220"/>
      <c r="D10035" s="50" t="s">
        <v>18</v>
      </c>
      <c r="E10035" s="50">
        <v>0</v>
      </c>
      <c r="F10035" s="51">
        <f>VLOOKUP(A10035,'Componentes APUs'!$S$1:$V$10,4,0)</f>
        <v>2333</v>
      </c>
      <c r="G10035" s="51">
        <f>ROUNDUP(F10035*((E10035/21)/E10011),0)</f>
        <v>0</v>
      </c>
    </row>
    <row r="10036" spans="1:7" x14ac:dyDescent="0.25">
      <c r="A10036" s="50" t="s">
        <v>327</v>
      </c>
      <c r="B10036" s="220" t="str">
        <f>VLOOKUP(A10036,'Componentes APUs'!$S$1:$V$10,2,0)</f>
        <v>Tula portaherramientas</v>
      </c>
      <c r="C10036" s="220"/>
      <c r="D10036" s="50" t="s">
        <v>18</v>
      </c>
      <c r="E10036" s="50">
        <v>2</v>
      </c>
      <c r="F10036" s="51">
        <f>VLOOKUP(A10036,'Componentes APUs'!$S$1:$V$10,4,0)</f>
        <v>1250</v>
      </c>
      <c r="G10036" s="51">
        <f>ROUNDUP(F10036*((E10036/21)/E10011),0)</f>
        <v>8</v>
      </c>
    </row>
    <row r="10037" spans="1:7" x14ac:dyDescent="0.25">
      <c r="A10037" s="50" t="s">
        <v>60</v>
      </c>
      <c r="B10037" s="220" t="str">
        <f>VLOOKUP(A10037,'Componentes APUs'!$S$1:$V$10,2,0)</f>
        <v>Agarradoras</v>
      </c>
      <c r="C10037" s="220"/>
      <c r="D10037" s="50" t="s">
        <v>18</v>
      </c>
      <c r="E10037" s="50">
        <v>0</v>
      </c>
      <c r="F10037" s="51">
        <f>VLOOKUP(A10037,'Componentes APUs'!$S$1:$V$10,4,0)</f>
        <v>125000</v>
      </c>
      <c r="G10037" s="51">
        <f>ROUNDUP(F10037*((E10037/21)/E10011),0)</f>
        <v>0</v>
      </c>
    </row>
    <row r="10038" spans="1:7" x14ac:dyDescent="0.25">
      <c r="A10038" s="50" t="s">
        <v>62</v>
      </c>
      <c r="B10038" s="220" t="str">
        <f>VLOOKUP(A10038,'Componentes APUs'!$S$1:$V$10,2,0)</f>
        <v>Templadoras</v>
      </c>
      <c r="C10038" s="220"/>
      <c r="D10038" s="50" t="s">
        <v>18</v>
      </c>
      <c r="E10038" s="50">
        <v>0</v>
      </c>
      <c r="F10038" s="51">
        <f>VLOOKUP(A10038,'Componentes APUs'!$S$1:$V$10,4,0)</f>
        <v>250000</v>
      </c>
      <c r="G10038" s="51">
        <f>ROUNDUP(F10038*((E10038/21)/E10011),0)</f>
        <v>0</v>
      </c>
    </row>
    <row r="10039" spans="1:7" x14ac:dyDescent="0.25">
      <c r="A10039" s="50" t="s">
        <v>328</v>
      </c>
      <c r="B10039" s="220" t="str">
        <f>VLOOKUP(A10039,'Componentes APUs'!$S$1:$V$10,2,0)</f>
        <v>Herramienta Menor</v>
      </c>
      <c r="C10039" s="220"/>
      <c r="D10039" s="50" t="s">
        <v>18</v>
      </c>
      <c r="E10039" s="50">
        <v>2</v>
      </c>
      <c r="F10039" s="51">
        <f>VLOOKUP(A10039,'Componentes APUs'!$S$1:$V$10,4,0)</f>
        <v>75758</v>
      </c>
      <c r="G10039" s="51">
        <f>ROUNDUP(F10039*((E10039/21)/E10011),0)</f>
        <v>482</v>
      </c>
    </row>
    <row r="10040" spans="1:7" x14ac:dyDescent="0.25">
      <c r="A10040" s="219" t="s">
        <v>69</v>
      </c>
      <c r="B10040" s="219"/>
      <c r="C10040" s="219"/>
      <c r="D10040" s="219"/>
      <c r="E10040" s="219"/>
      <c r="F10040" s="219"/>
      <c r="G10040" s="52">
        <f>SUM(G10034:G10039)</f>
        <v>549</v>
      </c>
    </row>
    <row r="10041" spans="1:7" x14ac:dyDescent="0.25">
      <c r="A10041" s="56"/>
      <c r="B10041" s="57"/>
      <c r="C10041" s="57"/>
      <c r="D10041" s="57"/>
      <c r="E10041" s="57"/>
      <c r="F10041" s="57"/>
      <c r="G10041" s="58"/>
    </row>
    <row r="10042" spans="1:7" x14ac:dyDescent="0.25">
      <c r="A10042" s="219" t="s">
        <v>70</v>
      </c>
      <c r="B10042" s="219"/>
      <c r="C10042" s="219"/>
      <c r="D10042" s="219"/>
      <c r="E10042" s="219"/>
      <c r="F10042" s="219"/>
      <c r="G10042" s="219"/>
    </row>
    <row r="10043" spans="1:7" x14ac:dyDescent="0.25">
      <c r="A10043" s="49" t="s">
        <v>35</v>
      </c>
      <c r="B10043" s="219" t="s">
        <v>36</v>
      </c>
      <c r="C10043" s="219"/>
      <c r="D10043" s="49" t="s">
        <v>37</v>
      </c>
      <c r="E10043" s="49" t="s">
        <v>38</v>
      </c>
      <c r="F10043" s="49" t="s">
        <v>39</v>
      </c>
      <c r="G10043" s="49" t="s">
        <v>40</v>
      </c>
    </row>
    <row r="10044" spans="1:7" x14ac:dyDescent="0.25">
      <c r="A10044" s="50" t="s">
        <v>71</v>
      </c>
      <c r="B10044" s="71" t="str">
        <f>VLOOKUP(A10044,'Componentes APUs'!$A$1:$D$14,2,0)</f>
        <v>Camisa indigo sin partes metalicas</v>
      </c>
      <c r="C10044" s="71"/>
      <c r="D10044" s="50" t="str">
        <f>VLOOKUP(A10044,'Componentes APUs'!$A$1:$D$14,3,0)</f>
        <v>U</v>
      </c>
      <c r="E10044" s="50">
        <f>SUM(C10024:C10029)</f>
        <v>2.75</v>
      </c>
      <c r="F10044" s="51">
        <f>VLOOKUP(A10044,'Componentes APUs'!$A$1:$D$14,4,0)</f>
        <v>8585.8585858585866</v>
      </c>
      <c r="G10044" s="51">
        <f>ROUNDUP(F10044*(E10044/21)/E10011,0)</f>
        <v>75</v>
      </c>
    </row>
    <row r="10045" spans="1:7" x14ac:dyDescent="0.25">
      <c r="A10045" s="69" t="s">
        <v>73</v>
      </c>
      <c r="B10045" s="72" t="str">
        <f>VLOOKUP(A10045,'Componentes APUs'!$A$1:$D$14,2,0)</f>
        <v>Bota de seguridad dielectrica</v>
      </c>
      <c r="C10045" s="73"/>
      <c r="D10045" s="70" t="str">
        <f>VLOOKUP(A10045,'Componentes APUs'!$A$1:$D$14,3,0)</f>
        <v>Par</v>
      </c>
      <c r="E10045" s="50">
        <f>SUM(C10024:C10029)</f>
        <v>2.75</v>
      </c>
      <c r="F10045" s="51">
        <f>VLOOKUP(A10045,'Componentes APUs'!$A$1:$D$14,4,0)</f>
        <v>7500</v>
      </c>
      <c r="G10045" s="51">
        <f>ROUNDUP(F10045*(E10045/21)/E10011,0)</f>
        <v>66</v>
      </c>
    </row>
    <row r="10046" spans="1:7" x14ac:dyDescent="0.25">
      <c r="A10046" s="50" t="s">
        <v>76</v>
      </c>
      <c r="B10046" s="72" t="str">
        <f>VLOOKUP(A10046,'Componentes APUs'!$A$1:$D$14,2,0)</f>
        <v>Casco dielectrico Tipo 1 Clase E con barbuquejo</v>
      </c>
      <c r="C10046" s="73"/>
      <c r="D10046" s="50" t="str">
        <f>VLOOKUP(A10046,'Componentes APUs'!$A$1:$D$14,3,0)</f>
        <v>U</v>
      </c>
      <c r="E10046" s="50">
        <f>C10024+C10027+C10028+C10025+C10029+IF(A10026&lt;&gt;"MO-3",C10026,0)</f>
        <v>2.75</v>
      </c>
      <c r="F10046" s="51">
        <f>VLOOKUP(A10046,'Componentes APUs'!$A$1:$D$14,4,0)</f>
        <v>10101.010101010101</v>
      </c>
      <c r="G10046" s="51">
        <f>ROUNDUP(F10046*(E10046/21)/E10011,0)</f>
        <v>89</v>
      </c>
    </row>
    <row r="10047" spans="1:7" x14ac:dyDescent="0.25">
      <c r="A10047" s="69" t="s">
        <v>77</v>
      </c>
      <c r="B10047" s="72" t="str">
        <f>VLOOKUP(A10047,'Componentes APUs'!$A$1:$D$14,2,0)</f>
        <v>Correa plastica y antiflama</v>
      </c>
      <c r="C10047" s="73"/>
      <c r="D10047" s="50" t="str">
        <f>VLOOKUP(A10047,'Componentes APUs'!$A$1:$D$14,3,0)</f>
        <v>U</v>
      </c>
      <c r="E10047" s="50">
        <f>SUM(C10024:C10029)</f>
        <v>2.75</v>
      </c>
      <c r="F10047" s="51">
        <f>VLOOKUP(A10047,'Componentes APUs'!$A$1:$D$14,4,0)</f>
        <v>3787.878787878788</v>
      </c>
      <c r="G10047" s="51">
        <f>ROUNDUP(F10047*(E10047/21)/E10011,0)</f>
        <v>34</v>
      </c>
    </row>
    <row r="10048" spans="1:7" x14ac:dyDescent="0.25">
      <c r="A10048" s="50" t="s">
        <v>79</v>
      </c>
      <c r="B10048" s="72" t="str">
        <f>VLOOKUP(A10048,'Componentes APUs'!$A$1:$D$14,2,0)</f>
        <v>Gafas protectoras filtro UV</v>
      </c>
      <c r="C10048" s="73"/>
      <c r="D10048" s="50" t="str">
        <f>VLOOKUP(A10048,'Componentes APUs'!$A$1:$D$14,3,0)</f>
        <v>U</v>
      </c>
      <c r="E10048" s="50">
        <f>SUM(C10024:C10029)</f>
        <v>2.75</v>
      </c>
      <c r="F10048" s="51">
        <f>VLOOKUP(A10048,'Componentes APUs'!$A$1:$D$14,4,0)</f>
        <v>2777.7777777777778</v>
      </c>
      <c r="G10048" s="51">
        <f>ROUNDUP(F10048*(E10048/21)/E10011,0)</f>
        <v>25</v>
      </c>
    </row>
    <row r="10049" spans="1:7" x14ac:dyDescent="0.25">
      <c r="A10049" s="69" t="s">
        <v>402</v>
      </c>
      <c r="B10049" s="72" t="str">
        <f>VLOOKUP(A10049,'Componentes APUs'!$A$1:$D$14,2,0)</f>
        <v>Bota de seguridad PVC dielectrica</v>
      </c>
      <c r="C10049" s="73"/>
      <c r="D10049" s="50" t="str">
        <f>VLOOKUP(A10049,'Componentes APUs'!$A$1:$D$14,3,0)</f>
        <v>Par</v>
      </c>
      <c r="E10049" s="50">
        <f>SUM(C10024:C10029)</f>
        <v>2.75</v>
      </c>
      <c r="F10049" s="51">
        <f>VLOOKUP(A10049,'Componentes APUs'!$A$1:$D$14,4,0)</f>
        <v>2916.6666666666665</v>
      </c>
      <c r="G10049" s="51">
        <f>ROUNDUP(F10049*(E10049/21)/E10011,0)</f>
        <v>26</v>
      </c>
    </row>
    <row r="10050" spans="1:7" x14ac:dyDescent="0.25">
      <c r="A10050" s="50" t="s">
        <v>403</v>
      </c>
      <c r="B10050" s="72" t="str">
        <f>VLOOKUP(A10050,'Componentes APUs'!$A$1:$D$14,2,0)</f>
        <v>Capuchon</v>
      </c>
      <c r="C10050" s="73"/>
      <c r="D10050" s="50" t="str">
        <f>VLOOKUP(A10050,'Componentes APUs'!$A$1:$D$14,3,0)</f>
        <v>U</v>
      </c>
      <c r="E10050" s="50">
        <f>SUM(C10024:C10029)</f>
        <v>2.75</v>
      </c>
      <c r="F10050" s="51">
        <f>VLOOKUP(A10050,'Componentes APUs'!$A$1:$D$14,4,0)</f>
        <v>2525.2525252525252</v>
      </c>
      <c r="G10050" s="51">
        <f>ROUNDUP(F10050*(E10050/21)/E10011,0)</f>
        <v>23</v>
      </c>
    </row>
    <row r="10051" spans="1:7" x14ac:dyDescent="0.25">
      <c r="A10051" s="69" t="s">
        <v>81</v>
      </c>
      <c r="B10051" s="72" t="str">
        <f>VLOOKUP(A10051,'Componentes APUs'!$A$1:$D$14,2,0)</f>
        <v>Guantes Protectores  - ingeniero reforzados</v>
      </c>
      <c r="C10051" s="73"/>
      <c r="D10051" s="50" t="str">
        <f>VLOOKUP(A10051,'Componentes APUs'!$A$1:$D$14,3,0)</f>
        <v>Par</v>
      </c>
      <c r="E10051" s="50">
        <f>C10026+C10027+C10029</f>
        <v>2</v>
      </c>
      <c r="F10051" s="51">
        <f>VLOOKUP(A10051,'Componentes APUs'!$A$1:$D$14,4,0)</f>
        <v>2525.2525252525252</v>
      </c>
      <c r="G10051" s="51">
        <f>ROUNDUP(F10051*(E10051/21)/E10011,0)</f>
        <v>17</v>
      </c>
    </row>
    <row r="10052" spans="1:7" x14ac:dyDescent="0.25">
      <c r="A10052" s="50" t="s">
        <v>83</v>
      </c>
      <c r="B10052" s="72" t="str">
        <f>VLOOKUP(A10052,'Componentes APUs'!$A$1:$D$14,2,0)</f>
        <v>Impermeable (pantalon camisa)</v>
      </c>
      <c r="C10052" s="73"/>
      <c r="D10052" s="50" t="str">
        <f>VLOOKUP(A10052,'Componentes APUs'!$A$1:$D$14,3,0)</f>
        <v>U</v>
      </c>
      <c r="E10052" s="50">
        <f>SUM(C10024:C10029)</f>
        <v>2.75</v>
      </c>
      <c r="F10052" s="51">
        <f>VLOOKUP(A10052,'Componentes APUs'!$A$1:$D$14,4,0)</f>
        <v>3750</v>
      </c>
      <c r="G10052" s="51">
        <f>ROUNDUP(F10052*(E10052/21)/E10011,0)</f>
        <v>33</v>
      </c>
    </row>
    <row r="10053" spans="1:7" x14ac:dyDescent="0.25">
      <c r="A10053" s="69" t="s">
        <v>85</v>
      </c>
      <c r="B10053" s="72" t="str">
        <f>VLOOKUP(A10053,'Componentes APUs'!$A$1:$D$14,2,0)</f>
        <v>Jean Dielectrico</v>
      </c>
      <c r="C10053" s="73"/>
      <c r="D10053" s="50" t="str">
        <f>VLOOKUP(A10053,'Componentes APUs'!$A$1:$D$14,3,0)</f>
        <v>U</v>
      </c>
      <c r="E10053" s="50">
        <f>SUM(C10024:C10029)</f>
        <v>2.75</v>
      </c>
      <c r="F10053" s="51">
        <f>VLOOKUP(A10053,'Componentes APUs'!$A$1:$D$14,4,0)</f>
        <v>7575.757575757576</v>
      </c>
      <c r="G10053" s="51">
        <f>ROUNDUP(F10053*(E10053/21)/E10011,0)</f>
        <v>67</v>
      </c>
    </row>
    <row r="10054" spans="1:7" x14ac:dyDescent="0.25">
      <c r="A10054" s="50" t="s">
        <v>87</v>
      </c>
      <c r="B10054" s="72" t="str">
        <f>VLOOKUP(A10054,'Componentes APUs'!$A$1:$D$14,2,0)</f>
        <v>Casco dielectrico Tipo 2 Clase E con barboquejo</v>
      </c>
      <c r="C10054" s="73"/>
      <c r="D10054" s="50" t="str">
        <f>VLOOKUP(A10054,'Componentes APUs'!$A$1:$D$14,3,0)</f>
        <v>U</v>
      </c>
      <c r="E10054" s="53">
        <f>IF(A10026="MO-3",C10026,0)</f>
        <v>0</v>
      </c>
      <c r="F10054" s="51">
        <f>VLOOKUP(A10054,'Componentes APUs'!$A$1:$D$14,4,0)</f>
        <v>7500</v>
      </c>
      <c r="G10054" s="51">
        <f>ROUNDUP(F10054*(E10054/21)/E10011,0)</f>
        <v>0</v>
      </c>
    </row>
    <row r="10055" spans="1:7" x14ac:dyDescent="0.25">
      <c r="A10055" s="69" t="s">
        <v>89</v>
      </c>
      <c r="B10055" s="72" t="str">
        <f>VLOOKUP(A10055,'Componentes APUs'!$A$1:$D$14,2,0)</f>
        <v>Kit de rescate para trabajo en alturas</v>
      </c>
      <c r="C10055" s="73"/>
      <c r="D10055" s="50" t="str">
        <f>VLOOKUP(A10055,'Componentes APUs'!$A$1:$D$14,3,0)</f>
        <v>U</v>
      </c>
      <c r="E10055" s="50">
        <f>IF(AND(A10026="MO-3",C10026=2),1,0)</f>
        <v>0</v>
      </c>
      <c r="F10055" s="51">
        <f>VLOOKUP(A10055,'Componentes APUs'!$A$1:$D$14,4,0)</f>
        <v>37500</v>
      </c>
      <c r="G10055" s="51">
        <f>ROUNDUP(F10055*(E10055/21)/E10011,0)</f>
        <v>0</v>
      </c>
    </row>
    <row r="10056" spans="1:7" x14ac:dyDescent="0.25">
      <c r="A10056" s="50" t="s">
        <v>91</v>
      </c>
      <c r="B10056" s="72" t="str">
        <f>VLOOKUP(A10056,'Componentes APUs'!$A$1:$D$14,2,0)</f>
        <v>Equipo completo para trabajo en alturas con pretales (Arnes dielectrico, 1 mosqueton de seguridad, tie off dielectrico, eslinga de posicionamiento, juego de pretales)</v>
      </c>
      <c r="C10056" s="73"/>
      <c r="D10056" s="50" t="str">
        <f>VLOOKUP(A10056,'Componentes APUs'!$A$1:$D$14,3,0)</f>
        <v>U</v>
      </c>
      <c r="E10056" s="50">
        <f>IF(A10026="MO-3",C10026,0)</f>
        <v>0</v>
      </c>
      <c r="F10056" s="51">
        <f>VLOOKUP(A10056,'Componentes APUs'!$A$1:$D$14,4,0)</f>
        <v>26041.666666666668</v>
      </c>
      <c r="G10056" s="51">
        <f>ROUNDUP(F10056*(E10056/21)/E10011,0)</f>
        <v>0</v>
      </c>
    </row>
    <row r="10057" spans="1:7" x14ac:dyDescent="0.25">
      <c r="A10057" s="219" t="s">
        <v>95</v>
      </c>
      <c r="B10057" s="219"/>
      <c r="C10057" s="219"/>
      <c r="D10057" s="219"/>
      <c r="E10057" s="219"/>
      <c r="F10057" s="219"/>
      <c r="G10057" s="52">
        <f>SUM(G10044:G10056)</f>
        <v>455</v>
      </c>
    </row>
    <row r="10058" spans="1:7" x14ac:dyDescent="0.25">
      <c r="A10058" s="56"/>
      <c r="B10058" s="57"/>
      <c r="C10058" s="57"/>
      <c r="D10058" s="57"/>
      <c r="E10058" s="57"/>
      <c r="F10058" s="57"/>
      <c r="G10058" s="58"/>
    </row>
    <row r="10059" spans="1:7" x14ac:dyDescent="0.25">
      <c r="A10059" s="219" t="s">
        <v>96</v>
      </c>
      <c r="B10059" s="219"/>
      <c r="C10059" s="219"/>
      <c r="D10059" s="219"/>
      <c r="E10059" s="219"/>
      <c r="F10059" s="219"/>
      <c r="G10059" s="219"/>
    </row>
    <row r="10060" spans="1:7" x14ac:dyDescent="0.25">
      <c r="A10060" s="49" t="s">
        <v>35</v>
      </c>
      <c r="B10060" s="225" t="s">
        <v>36</v>
      </c>
      <c r="C10060" s="225"/>
      <c r="D10060" s="49" t="s">
        <v>37</v>
      </c>
      <c r="E10060" s="49" t="s">
        <v>38</v>
      </c>
      <c r="F10060" s="49" t="s">
        <v>39</v>
      </c>
      <c r="G10060" s="49" t="s">
        <v>40</v>
      </c>
    </row>
    <row r="10061" spans="1:7" x14ac:dyDescent="0.25">
      <c r="A10061" s="69" t="s">
        <v>97</v>
      </c>
      <c r="B10061" s="72" t="str">
        <f>VLOOKUP(A10061,'Componentes APUs'!$N$1:$Q$30,2,0)</f>
        <v>Camioneta</v>
      </c>
      <c r="C10061" s="73"/>
      <c r="D10061" s="70" t="str">
        <f>VLOOKUP(A10061,'Componentes APUs'!$N$1:$Q$30,3,0)</f>
        <v>U</v>
      </c>
      <c r="E10061" s="50">
        <v>1</v>
      </c>
      <c r="F10061" s="51">
        <f>VLOOKUP(A10061,'Componentes APUs'!$N$1:$Q$30,4,0)</f>
        <v>5500000</v>
      </c>
      <c r="G10061" s="51">
        <f>IFERROR(ROUNDUP(F10061*(E10061/21)/E10011,0),"-")</f>
        <v>17461</v>
      </c>
    </row>
    <row r="10062" spans="1:7" x14ac:dyDescent="0.25">
      <c r="A10062" s="50" t="s">
        <v>321</v>
      </c>
      <c r="B10062" s="72" t="str">
        <f>VLOOKUP(A10062,'Componentes APUs'!$N$1:$Q$30,2,0)</f>
        <v>Grúa Hidráulica</v>
      </c>
      <c r="C10062" s="73"/>
      <c r="D10062" s="70" t="str">
        <f>VLOOKUP(A10062,'Componentes APUs'!$N$1:$Q$30,3,0)</f>
        <v>U</v>
      </c>
      <c r="E10062" s="50">
        <v>0</v>
      </c>
      <c r="F10062" s="51">
        <f>VLOOKUP(A10062,'Componentes APUs'!$N$1:$Q$30,4,0)</f>
        <v>21000000</v>
      </c>
      <c r="G10062" s="51">
        <f>IFERROR(ROUNDUP(F10062*(E10062/21)/E10011,0),"-")</f>
        <v>0</v>
      </c>
    </row>
    <row r="10063" spans="1:7" x14ac:dyDescent="0.25">
      <c r="A10063" s="69" t="s">
        <v>322</v>
      </c>
      <c r="B10063" s="72" t="str">
        <f>VLOOKUP(A10063,'Componentes APUs'!$N$1:$Q$30,2,0)</f>
        <v>Camabaja</v>
      </c>
      <c r="C10063" s="73"/>
      <c r="D10063" s="70" t="str">
        <f>VLOOKUP(A10063,'Componentes APUs'!$N$1:$Q$30,3,0)</f>
        <v>TON/KM</v>
      </c>
      <c r="E10063" s="50">
        <v>0</v>
      </c>
      <c r="F10063" s="51">
        <f>VLOOKUP(A10063,'Componentes APUs'!$N$1:$Q$30,4,0)</f>
        <v>611</v>
      </c>
      <c r="G10063" s="51">
        <f>IFERROR(ROUNDUP(F10063*(E10063/21)/E10011,0),"-")</f>
        <v>0</v>
      </c>
    </row>
    <row r="10064" spans="1:7" x14ac:dyDescent="0.25">
      <c r="A10064" s="50" t="s">
        <v>323</v>
      </c>
      <c r="B10064" s="72" t="str">
        <f>VLOOKUP(A10064,'Componentes APUs'!$N$1:$Q$30,2,0)</f>
        <v>Volqueta</v>
      </c>
      <c r="C10064" s="73"/>
      <c r="D10064" s="70" t="str">
        <f>VLOOKUP(A10064,'Componentes APUs'!$N$1:$Q$30,3,0)</f>
        <v>U</v>
      </c>
      <c r="E10064" s="50">
        <v>0</v>
      </c>
      <c r="F10064" s="51">
        <f>VLOOKUP(A10064,'Componentes APUs'!$N$1:$Q$30,4,0)</f>
        <v>14828184</v>
      </c>
      <c r="G10064" s="51">
        <f>IFERROR(ROUNDUP(F10064*(E10064/21)/E10011,0),"-")</f>
        <v>0</v>
      </c>
    </row>
    <row r="10065" spans="1:7" x14ac:dyDescent="0.25">
      <c r="A10065" s="69" t="s">
        <v>324</v>
      </c>
      <c r="B10065" s="72" t="str">
        <f>VLOOKUP(A10065,'Componentes APUs'!$N$1:$Q$30,2,0)</f>
        <v>Retroexcavadora</v>
      </c>
      <c r="C10065" s="73"/>
      <c r="D10065" s="70" t="str">
        <f>VLOOKUP(A10065,'Componentes APUs'!$N$1:$Q$30,3,0)</f>
        <v>U</v>
      </c>
      <c r="E10065" s="50">
        <v>0</v>
      </c>
      <c r="F10065" s="51">
        <f>VLOOKUP(A10065,'Componentes APUs'!$N$1:$Q$30,4,0)</f>
        <v>46030656</v>
      </c>
      <c r="G10065" s="51">
        <f>IFERROR(ROUNDUP(F10065*(E10065/21)/E10011,0),"-")</f>
        <v>0</v>
      </c>
    </row>
    <row r="10066" spans="1:7" x14ac:dyDescent="0.25">
      <c r="A10066" s="219" t="s">
        <v>99</v>
      </c>
      <c r="B10066" s="219"/>
      <c r="C10066" s="219"/>
      <c r="D10066" s="219"/>
      <c r="E10066" s="219"/>
      <c r="F10066" s="219"/>
      <c r="G10066" s="52">
        <f>SUM(G10061:G10065)</f>
        <v>17461</v>
      </c>
    </row>
    <row r="10067" spans="1:7" x14ac:dyDescent="0.25">
      <c r="A10067" s="56"/>
      <c r="B10067" s="57"/>
      <c r="C10067" s="57"/>
      <c r="D10067" s="57"/>
      <c r="E10067" s="57"/>
      <c r="F10067" s="57"/>
      <c r="G10067" s="58"/>
    </row>
    <row r="10068" spans="1:7" x14ac:dyDescent="0.25">
      <c r="A10068" s="219" t="s">
        <v>1516</v>
      </c>
      <c r="B10068" s="219"/>
      <c r="C10068" s="219"/>
      <c r="D10068" s="219"/>
      <c r="E10068" s="219"/>
      <c r="F10068" s="219"/>
      <c r="G10068" s="52">
        <f>G10066+G10057+G10040+G10030+G10020</f>
        <v>237966</v>
      </c>
    </row>
    <row r="10069" spans="1:7" x14ac:dyDescent="0.25">
      <c r="A10069" s="59"/>
      <c r="B10069" s="60"/>
      <c r="C10069" s="60"/>
      <c r="D10069" s="60"/>
      <c r="E10069" s="57"/>
      <c r="F10069" s="57"/>
      <c r="G10069" s="58"/>
    </row>
    <row r="10070" spans="1:7" x14ac:dyDescent="0.25">
      <c r="A10070" s="64"/>
      <c r="D10070" s="55"/>
      <c r="E10070" s="49" t="s">
        <v>25</v>
      </c>
      <c r="F10070" s="54">
        <v>0.15</v>
      </c>
      <c r="G10070" s="51">
        <f>G10068*F10070</f>
        <v>35694.9</v>
      </c>
    </row>
    <row r="10071" spans="1:7" x14ac:dyDescent="0.25">
      <c r="A10071" s="64"/>
      <c r="D10071" s="55"/>
      <c r="E10071" s="49" t="s">
        <v>26</v>
      </c>
      <c r="F10071" s="54">
        <v>0.05</v>
      </c>
      <c r="G10071" s="51">
        <f>G10068*F10071</f>
        <v>11898.300000000001</v>
      </c>
    </row>
    <row r="10072" spans="1:7" x14ac:dyDescent="0.25">
      <c r="A10072" s="61"/>
      <c r="B10072" s="65"/>
      <c r="C10072" s="65"/>
      <c r="D10072" s="62"/>
      <c r="E10072" s="49" t="s">
        <v>27</v>
      </c>
      <c r="F10072" s="54">
        <v>0.05</v>
      </c>
      <c r="G10072" s="51">
        <f>G10068*F10072</f>
        <v>11898.300000000001</v>
      </c>
    </row>
    <row r="10073" spans="1:7" x14ac:dyDescent="0.25">
      <c r="A10073" s="61"/>
      <c r="B10073" s="62"/>
      <c r="C10073" s="62"/>
      <c r="D10073" s="62"/>
      <c r="E10073" s="62"/>
      <c r="F10073" s="62"/>
      <c r="G10073" s="63"/>
    </row>
    <row r="10074" spans="1:7" x14ac:dyDescent="0.25">
      <c r="A10074" s="219" t="s">
        <v>1517</v>
      </c>
      <c r="B10074" s="219"/>
      <c r="C10074" s="219"/>
      <c r="D10074" s="219"/>
      <c r="E10074" s="219"/>
      <c r="F10074" s="219"/>
      <c r="G10074" s="52">
        <f>G10068+G10070+G10071+G10072</f>
        <v>297457.5</v>
      </c>
    </row>
    <row r="10075" spans="1:7" x14ac:dyDescent="0.25">
      <c r="A10075" s="59"/>
      <c r="B10075" s="60"/>
      <c r="C10075" s="60"/>
      <c r="D10075" s="60"/>
      <c r="E10075" s="57"/>
      <c r="F10075" s="57"/>
      <c r="G10075" s="58"/>
    </row>
    <row r="10076" spans="1:7" x14ac:dyDescent="0.25">
      <c r="A10076" s="64"/>
      <c r="D10076" s="55"/>
      <c r="E10076" s="49" t="s">
        <v>102</v>
      </c>
      <c r="F10076" s="49" t="s">
        <v>103</v>
      </c>
      <c r="G10076" s="51">
        <f>G10072*19%</f>
        <v>2260.6770000000001</v>
      </c>
    </row>
    <row r="10077" spans="1:7" x14ac:dyDescent="0.25">
      <c r="A10077" s="61"/>
      <c r="B10077" s="62"/>
      <c r="C10077" s="62"/>
      <c r="D10077" s="62"/>
      <c r="E10077" s="57"/>
      <c r="F10077" s="57"/>
      <c r="G10077" s="58"/>
    </row>
    <row r="10078" spans="1:7" x14ac:dyDescent="0.25">
      <c r="A10078" s="219" t="s">
        <v>104</v>
      </c>
      <c r="B10078" s="219"/>
      <c r="C10078" s="219"/>
      <c r="D10078" s="219"/>
      <c r="E10078" s="219"/>
      <c r="F10078" s="219"/>
      <c r="G10078" s="52">
        <f>G10076+G10074</f>
        <v>299718.17700000003</v>
      </c>
    </row>
    <row r="10080" spans="1:7" x14ac:dyDescent="0.25">
      <c r="A10080" s="74" t="s">
        <v>29</v>
      </c>
      <c r="B10080" s="226" t="s">
        <v>30</v>
      </c>
      <c r="C10080" s="226"/>
      <c r="D10080" s="74" t="s">
        <v>31</v>
      </c>
      <c r="E10080" s="74" t="s">
        <v>32</v>
      </c>
      <c r="F10080" s="74" t="s">
        <v>189</v>
      </c>
      <c r="G10080" s="74" t="s">
        <v>33</v>
      </c>
    </row>
    <row r="10081" spans="1:7" ht="34.5" customHeight="1" x14ac:dyDescent="0.25">
      <c r="A10081" s="50" t="str">
        <f>Presupuesto!B184</f>
        <v>008_CA</v>
      </c>
      <c r="B10081" s="220" t="str">
        <f>Presupuesto!C184</f>
        <v>SUMINISTRO E INSTALACIÓN DE BANDEJA PORTACABLES 15X20 CM. INCLUYE CURVAS Y SISTEMA DE FIJACIÓN</v>
      </c>
      <c r="C10081" s="220"/>
      <c r="D10081" s="50" t="s">
        <v>108</v>
      </c>
      <c r="E10081" s="50">
        <v>15</v>
      </c>
      <c r="F10081" s="50"/>
      <c r="G10081" s="51">
        <f>G10148</f>
        <v>271072.109</v>
      </c>
    </row>
    <row r="10082" spans="1:7" x14ac:dyDescent="0.25">
      <c r="A10082" s="219" t="s">
        <v>34</v>
      </c>
      <c r="B10082" s="219"/>
      <c r="C10082" s="219"/>
      <c r="D10082" s="219"/>
      <c r="E10082" s="219"/>
      <c r="F10082" s="219"/>
      <c r="G10082" s="219"/>
    </row>
    <row r="10083" spans="1:7" x14ac:dyDescent="0.25">
      <c r="A10083" s="49" t="s">
        <v>35</v>
      </c>
      <c r="B10083" s="219" t="s">
        <v>36</v>
      </c>
      <c r="C10083" s="219"/>
      <c r="D10083" s="49" t="s">
        <v>37</v>
      </c>
      <c r="E10083" s="49" t="s">
        <v>38</v>
      </c>
      <c r="F10083" s="49" t="s">
        <v>39</v>
      </c>
      <c r="G10083" s="49" t="s">
        <v>40</v>
      </c>
    </row>
    <row r="10084" spans="1:7" ht="28.5" customHeight="1" x14ac:dyDescent="0.25">
      <c r="A10084" s="17" t="str">
        <f>Material!A55</f>
        <v>MA-54</v>
      </c>
      <c r="B10084" s="221" t="str">
        <f>IFERROR(VLOOKUP(A10084,Material!$A:$H,2,0),"-")</f>
        <v>BANDEJA PORTACABLES EN ACERO GALVANIZADO RECTO ALTO: 15 CM, ANCHO: 20 CM</v>
      </c>
      <c r="C10084" s="222"/>
      <c r="D10084" s="50" t="str">
        <f>IFERROR(VLOOKUP(A10084,Material!$A:$H,4,0),"-")</f>
        <v>ML</v>
      </c>
      <c r="E10084" s="50">
        <v>1</v>
      </c>
      <c r="F10084" s="51">
        <f>IFERROR(VLOOKUP(A10084,Material!$A:$H,3,0),"-")</f>
        <v>137074.70833333334</v>
      </c>
      <c r="G10084" s="51">
        <f t="shared" ref="G10084:G10089" si="143">IFERROR(ROUNDUP(F10084*E10084,0),"-")</f>
        <v>137075</v>
      </c>
    </row>
    <row r="10085" spans="1:7" ht="28.5" customHeight="1" x14ac:dyDescent="0.25">
      <c r="A10085" s="17" t="str">
        <f>Material!A58</f>
        <v>MA-57</v>
      </c>
      <c r="B10085" s="221" t="str">
        <f>IFERROR(VLOOKUP(A10085,Material!$A:$H,2,0),"-")</f>
        <v>CURVA BANDEJA PORTACABLES EN ACERO GALVANIZADO A 90° ALTO: 15 CM, ANCHO: 20 CM.</v>
      </c>
      <c r="C10085" s="222"/>
      <c r="D10085" s="50" t="str">
        <f>IFERROR(VLOOKUP(A10085,Material!$A:$H,4,0),"-")</f>
        <v>ML</v>
      </c>
      <c r="E10085" s="50">
        <v>0.05</v>
      </c>
      <c r="F10085" s="51">
        <f>IFERROR(VLOOKUP(A10085,Material!$A:$H,3,0),"-")</f>
        <v>59785.916666666672</v>
      </c>
      <c r="G10085" s="51">
        <f t="shared" si="143"/>
        <v>2990</v>
      </c>
    </row>
    <row r="10086" spans="1:7" x14ac:dyDescent="0.25">
      <c r="A10086" s="17" t="str">
        <f>Material!A195</f>
        <v>MA-194</v>
      </c>
      <c r="B10086" s="72" t="str">
        <f>IFERROR(VLOOKUP(A10086,Material!$A:$H,2,0),"-")</f>
        <v>CHAZO EXPANSIVO RL 3/8"</v>
      </c>
      <c r="C10086" s="73"/>
      <c r="D10086" s="50" t="s">
        <v>108</v>
      </c>
      <c r="E10086" s="107">
        <v>2</v>
      </c>
      <c r="F10086" s="51">
        <f>IFERROR(VLOOKUP(A10086,Material!$A:$H,3,0),"-")</f>
        <v>455</v>
      </c>
      <c r="G10086" s="51">
        <f t="shared" si="143"/>
        <v>910</v>
      </c>
    </row>
    <row r="10087" spans="1:7" x14ac:dyDescent="0.25">
      <c r="A10087" s="17" t="str">
        <f>Material!A196</f>
        <v>MA-195</v>
      </c>
      <c r="B10087" s="72" t="str">
        <f>IFERROR(VLOOKUP(A10087,Material!$A:$H,2,0),"-")</f>
        <v>VARILLA ROSCADA DE 3/8"</v>
      </c>
      <c r="C10087" s="73"/>
      <c r="D10087" s="50" t="str">
        <f>IFERROR(VLOOKUP(A10087,Material!$A:$H,4,0),"-")</f>
        <v>UN</v>
      </c>
      <c r="E10087" s="50">
        <v>0.2</v>
      </c>
      <c r="F10087" s="51">
        <f>IFERROR(VLOOKUP(A10087,Material!$A:$H,3,0),"-")</f>
        <v>3466.6666666666665</v>
      </c>
      <c r="G10087" s="51">
        <f t="shared" si="143"/>
        <v>694</v>
      </c>
    </row>
    <row r="10088" spans="1:7" x14ac:dyDescent="0.25">
      <c r="A10088" s="17" t="str">
        <f>Material!A197</f>
        <v>MA-196</v>
      </c>
      <c r="B10088" s="72" t="str">
        <f>IFERROR(VLOOKUP(A10088,Material!$A:$H,2,0),"-")</f>
        <v>RIEL UNISTRUT RANURADO 2X4 CM</v>
      </c>
      <c r="C10088" s="73"/>
      <c r="D10088" s="50" t="str">
        <f>IFERROR(VLOOKUP(A10088,Material!$A:$H,4,0),"-")</f>
        <v>ML</v>
      </c>
      <c r="E10088" s="50">
        <v>0.3</v>
      </c>
      <c r="F10088" s="51">
        <f>IFERROR(VLOOKUP(A10088,Material!$A:$H,3,0),"-")</f>
        <v>10551.666666666668</v>
      </c>
      <c r="G10088" s="51">
        <f t="shared" si="143"/>
        <v>3166</v>
      </c>
    </row>
    <row r="10089" spans="1:7" x14ac:dyDescent="0.25">
      <c r="A10089" s="17" t="str">
        <f>Material!A198</f>
        <v>MA-197</v>
      </c>
      <c r="B10089" s="72" t="str">
        <f>IFERROR(VLOOKUP(A10089,Material!$A:$H,2,0),"-")</f>
        <v>CABLE DE COBRE DESNUDO NO 8 AWG</v>
      </c>
      <c r="C10089" s="73"/>
      <c r="D10089" s="50" t="str">
        <f>IFERROR(VLOOKUP(A10089,Material!$A:$H,4,0),"-")</f>
        <v>ML</v>
      </c>
      <c r="E10089" s="50">
        <v>1</v>
      </c>
      <c r="F10089" s="51">
        <f>IFERROR(VLOOKUP(A10089,Material!$A:$H,3,0),"-")</f>
        <v>7150</v>
      </c>
      <c r="G10089" s="51">
        <f t="shared" si="143"/>
        <v>7150</v>
      </c>
    </row>
    <row r="10090" spans="1:7" x14ac:dyDescent="0.25">
      <c r="A10090" s="219" t="s">
        <v>41</v>
      </c>
      <c r="B10090" s="219"/>
      <c r="C10090" s="219"/>
      <c r="D10090" s="219"/>
      <c r="E10090" s="219"/>
      <c r="F10090" s="219"/>
      <c r="G10090" s="52">
        <f>SUM(G10084:G10089)</f>
        <v>151985</v>
      </c>
    </row>
    <row r="10091" spans="1:7" x14ac:dyDescent="0.25">
      <c r="A10091" s="56"/>
      <c r="B10091" s="57"/>
      <c r="C10091" s="57"/>
      <c r="D10091" s="57"/>
      <c r="E10091" s="57"/>
      <c r="F10091" s="57"/>
      <c r="G10091" s="58"/>
    </row>
    <row r="10092" spans="1:7" x14ac:dyDescent="0.25">
      <c r="A10092" s="219" t="s">
        <v>42</v>
      </c>
      <c r="B10092" s="219"/>
      <c r="C10092" s="219"/>
      <c r="D10092" s="219"/>
      <c r="E10092" s="219"/>
      <c r="F10092" s="219"/>
      <c r="G10092" s="219"/>
    </row>
    <row r="10093" spans="1:7" x14ac:dyDescent="0.25">
      <c r="A10093" s="49" t="s">
        <v>35</v>
      </c>
      <c r="B10093" s="49" t="s">
        <v>36</v>
      </c>
      <c r="C10093" s="49" t="s">
        <v>38</v>
      </c>
      <c r="D10093" s="49" t="s">
        <v>43</v>
      </c>
      <c r="E10093" s="49" t="s">
        <v>44</v>
      </c>
      <c r="F10093" s="49" t="s">
        <v>45</v>
      </c>
      <c r="G10093" s="49" t="s">
        <v>40</v>
      </c>
    </row>
    <row r="10094" spans="1:7" x14ac:dyDescent="0.25">
      <c r="A10094" s="50" t="s">
        <v>319</v>
      </c>
      <c r="B10094" s="68" t="str">
        <f>VLOOKUP(A10094,'Componentes APUs'!$H$1:$L$25,2,0)</f>
        <v>Ingeniero Residente de Obra</v>
      </c>
      <c r="C10094" s="93">
        <v>0.25</v>
      </c>
      <c r="D10094" s="50">
        <f>VLOOKUP(A10094,'Componentes APUs'!$H$1:$L$25,3,0)</f>
        <v>4</v>
      </c>
      <c r="E10094" s="51">
        <f>VLOOKUP(A10094,'Componentes APUs'!$H$1:$L$25,4,0)</f>
        <v>271142.85714285716</v>
      </c>
      <c r="F10094" s="51">
        <f>VLOOKUP(A10094,'Componentes APUs'!$H$1:$L$25,5,0)</f>
        <v>162685.71428571429</v>
      </c>
      <c r="G10094" s="51">
        <f>ROUNDUP((E10094+F10094)*C10094/E10081,0)</f>
        <v>7231</v>
      </c>
    </row>
    <row r="10095" spans="1:7" x14ac:dyDescent="0.25">
      <c r="A10095" s="50" t="s">
        <v>320</v>
      </c>
      <c r="B10095" s="68" t="str">
        <f>VLOOKUP(A10095,'Componentes APUs'!$H$1:$L$25,2,0)</f>
        <v>Tecnico Supervisor</v>
      </c>
      <c r="C10095" s="93">
        <v>0.25</v>
      </c>
      <c r="D10095" s="50">
        <f>VLOOKUP(A10095,'Componentes APUs'!$H$1:$L$25,3,0)</f>
        <v>2.2999999999999998</v>
      </c>
      <c r="E10095" s="51">
        <f>VLOOKUP(A10095,'Componentes APUs'!$H$1:$L$25,4,0)</f>
        <v>155907.14285714284</v>
      </c>
      <c r="F10095" s="51">
        <f>VLOOKUP(A10095,'Componentes APUs'!$H$1:$L$25,5,0)</f>
        <v>93544.285714285696</v>
      </c>
      <c r="G10095" s="51">
        <f>ROUNDUP((E10095+F10095)*C10095/E10081,0)</f>
        <v>4158</v>
      </c>
    </row>
    <row r="10096" spans="1:7" x14ac:dyDescent="0.25">
      <c r="A10096" s="50" t="s">
        <v>1160</v>
      </c>
      <c r="B10096" s="68" t="str">
        <f>VLOOKUP(A10096,'Componentes APUs'!$H$1:$L$25,2,0)</f>
        <v>Oficial Eléctrico</v>
      </c>
      <c r="C10096" s="93">
        <v>1</v>
      </c>
      <c r="D10096" s="50">
        <f>VLOOKUP(A10096,'Componentes APUs'!$H$1:$L$25,3,0)</f>
        <v>2</v>
      </c>
      <c r="E10096" s="51">
        <f>VLOOKUP(A10096,'Componentes APUs'!$H$1:$L$25,4,0)</f>
        <v>154619.04761904763</v>
      </c>
      <c r="F10096" s="51">
        <f>VLOOKUP(A10096,'Componentes APUs'!$H$1:$L$25,5,0)</f>
        <v>92771.42857142858</v>
      </c>
      <c r="G10096" s="51">
        <f>ROUNDUP((E10096+F10096)*C10096/E10081,0)</f>
        <v>16493</v>
      </c>
    </row>
    <row r="10097" spans="1:7" x14ac:dyDescent="0.25">
      <c r="A10097" s="50" t="s">
        <v>48</v>
      </c>
      <c r="B10097" s="68" t="str">
        <f>VLOOKUP(A10097,'Componentes APUs'!$H$1:$L$25,2,0)</f>
        <v>Ayudante Calificado</v>
      </c>
      <c r="C10097" s="93">
        <v>1</v>
      </c>
      <c r="D10097" s="50">
        <f>VLOOKUP(A10097,'Componentes APUs'!$H$1:$L$25,3,0)</f>
        <v>1.5</v>
      </c>
      <c r="E10097" s="51">
        <f>VLOOKUP(A10097,'Componentes APUs'!$H$1:$L$25,4,0)</f>
        <v>115964.28571428571</v>
      </c>
      <c r="F10097" s="51">
        <f>VLOOKUP(A10097,'Componentes APUs'!$H$1:$L$25,5,0)</f>
        <v>69578.57142857142</v>
      </c>
      <c r="G10097" s="51">
        <f>ROUNDUP((E10097+F10097)*C10097/E10081,0)</f>
        <v>12370</v>
      </c>
    </row>
    <row r="10098" spans="1:7" x14ac:dyDescent="0.25">
      <c r="A10098" s="50" t="s">
        <v>50</v>
      </c>
      <c r="B10098" s="68" t="str">
        <f>VLOOKUP(A10098,'Componentes APUs'!$H$1:$L$25,2,0)</f>
        <v>Profesional en SST</v>
      </c>
      <c r="C10098" s="93">
        <v>0.25</v>
      </c>
      <c r="D10098" s="50">
        <f>VLOOKUP(A10098,'Componentes APUs'!$H$1:$L$25,3,0)</f>
        <v>2.5</v>
      </c>
      <c r="E10098" s="51">
        <f>VLOOKUP(A10098,'Componentes APUs'!$H$1:$L$25,4,0)</f>
        <v>169464.28571428571</v>
      </c>
      <c r="F10098" s="51">
        <f>VLOOKUP(A10098,'Componentes APUs'!$H$1:$L$25,5,0)</f>
        <v>101678.57142857142</v>
      </c>
      <c r="G10098" s="51">
        <f>ROUNDUP((E10098+F10098)*C10098/E10081,0)</f>
        <v>4520</v>
      </c>
    </row>
    <row r="10099" spans="1:7" x14ac:dyDescent="0.25">
      <c r="A10099" s="50" t="s">
        <v>52</v>
      </c>
      <c r="B10099" s="68" t="str">
        <f>VLOOKUP(A10099,'Componentes APUs'!$H$1:$L$25,2,0)</f>
        <v>Ayudante No Calificado</v>
      </c>
      <c r="C10099" s="93">
        <v>0</v>
      </c>
      <c r="D10099" s="50">
        <f>VLOOKUP(A10099,'Componentes APUs'!$H$1:$L$25,3,0)</f>
        <v>1</v>
      </c>
      <c r="E10099" s="51">
        <f>VLOOKUP(A10099,'Componentes APUs'!$H$1:$L$25,4,0)</f>
        <v>77309.523809523816</v>
      </c>
      <c r="F10099" s="51">
        <f>VLOOKUP(A10099,'Componentes APUs'!$H$1:$L$25,5,0)</f>
        <v>46385.71428571429</v>
      </c>
      <c r="G10099" s="51">
        <f>ROUNDUP((E10099+F10099)*C10099/E10081,0)</f>
        <v>0</v>
      </c>
    </row>
    <row r="10100" spans="1:7" x14ac:dyDescent="0.25">
      <c r="A10100" s="219" t="s">
        <v>56</v>
      </c>
      <c r="B10100" s="219"/>
      <c r="C10100" s="219"/>
      <c r="D10100" s="219"/>
      <c r="E10100" s="219"/>
      <c r="F10100" s="219"/>
      <c r="G10100" s="52">
        <f>SUM(G10094:G10099)</f>
        <v>44772</v>
      </c>
    </row>
    <row r="10101" spans="1:7" x14ac:dyDescent="0.25">
      <c r="A10101" s="56"/>
      <c r="B10101" s="57"/>
      <c r="C10101" s="57"/>
      <c r="D10101" s="57"/>
      <c r="E10101" s="57"/>
      <c r="F10101" s="57"/>
      <c r="G10101" s="58"/>
    </row>
    <row r="10102" spans="1:7" x14ac:dyDescent="0.25">
      <c r="A10102" s="219" t="s">
        <v>57</v>
      </c>
      <c r="B10102" s="219"/>
      <c r="C10102" s="219"/>
      <c r="D10102" s="219"/>
      <c r="E10102" s="219"/>
      <c r="F10102" s="219"/>
      <c r="G10102" s="219"/>
    </row>
    <row r="10103" spans="1:7" x14ac:dyDescent="0.25">
      <c r="A10103" s="49" t="s">
        <v>35</v>
      </c>
      <c r="B10103" s="219" t="s">
        <v>36</v>
      </c>
      <c r="C10103" s="219"/>
      <c r="D10103" s="49" t="s">
        <v>37</v>
      </c>
      <c r="E10103" s="49" t="s">
        <v>38</v>
      </c>
      <c r="F10103" s="49" t="s">
        <v>39</v>
      </c>
      <c r="G10103" s="49" t="s">
        <v>40</v>
      </c>
    </row>
    <row r="10104" spans="1:7" x14ac:dyDescent="0.25">
      <c r="A10104" s="50" t="s">
        <v>326</v>
      </c>
      <c r="B10104" s="220" t="str">
        <f>VLOOKUP(A10104,'Componentes APUs'!$S$1:$V$10,2,0)</f>
        <v>Juego Llaves</v>
      </c>
      <c r="C10104" s="220"/>
      <c r="D10104" s="50" t="s">
        <v>18</v>
      </c>
      <c r="E10104" s="50">
        <v>2</v>
      </c>
      <c r="F10104" s="51">
        <f>VLOOKUP(A10104,'Componentes APUs'!$S$1:$V$10,4,0)</f>
        <v>9167</v>
      </c>
      <c r="G10104" s="51">
        <f>ROUNDUP(F10104*((E10104/21)/E10081),0)</f>
        <v>59</v>
      </c>
    </row>
    <row r="10105" spans="1:7" x14ac:dyDescent="0.25">
      <c r="A10105" s="50" t="s">
        <v>58</v>
      </c>
      <c r="B10105" s="220" t="str">
        <f>VLOOKUP(A10105,'Componentes APUs'!$S$1:$V$10,2,0)</f>
        <v>Manila de servicio</v>
      </c>
      <c r="C10105" s="220"/>
      <c r="D10105" s="50" t="s">
        <v>18</v>
      </c>
      <c r="E10105" s="50">
        <v>0</v>
      </c>
      <c r="F10105" s="51">
        <f>VLOOKUP(A10105,'Componentes APUs'!$S$1:$V$10,4,0)</f>
        <v>2333</v>
      </c>
      <c r="G10105" s="51">
        <f>ROUNDUP(F10105*((E10105/21)/E10081),0)</f>
        <v>0</v>
      </c>
    </row>
    <row r="10106" spans="1:7" x14ac:dyDescent="0.25">
      <c r="A10106" s="50" t="s">
        <v>327</v>
      </c>
      <c r="B10106" s="220" t="str">
        <f>VLOOKUP(A10106,'Componentes APUs'!$S$1:$V$10,2,0)</f>
        <v>Tula portaherramientas</v>
      </c>
      <c r="C10106" s="220"/>
      <c r="D10106" s="50" t="s">
        <v>18</v>
      </c>
      <c r="E10106" s="50">
        <v>2</v>
      </c>
      <c r="F10106" s="51">
        <f>VLOOKUP(A10106,'Componentes APUs'!$S$1:$V$10,4,0)</f>
        <v>1250</v>
      </c>
      <c r="G10106" s="51">
        <f>ROUNDUP(F10106*((E10106/21)/E10081),0)</f>
        <v>8</v>
      </c>
    </row>
    <row r="10107" spans="1:7" x14ac:dyDescent="0.25">
      <c r="A10107" s="50" t="s">
        <v>60</v>
      </c>
      <c r="B10107" s="220" t="str">
        <f>VLOOKUP(A10107,'Componentes APUs'!$S$1:$V$10,2,0)</f>
        <v>Agarradoras</v>
      </c>
      <c r="C10107" s="220"/>
      <c r="D10107" s="50" t="s">
        <v>18</v>
      </c>
      <c r="E10107" s="50">
        <v>0</v>
      </c>
      <c r="F10107" s="51">
        <f>VLOOKUP(A10107,'Componentes APUs'!$S$1:$V$10,4,0)</f>
        <v>125000</v>
      </c>
      <c r="G10107" s="51">
        <f>ROUNDUP(F10107*((E10107/21)/E10081),0)</f>
        <v>0</v>
      </c>
    </row>
    <row r="10108" spans="1:7" x14ac:dyDescent="0.25">
      <c r="A10108" s="50" t="s">
        <v>62</v>
      </c>
      <c r="B10108" s="220" t="str">
        <f>VLOOKUP(A10108,'Componentes APUs'!$S$1:$V$10,2,0)</f>
        <v>Templadoras</v>
      </c>
      <c r="C10108" s="220"/>
      <c r="D10108" s="50" t="s">
        <v>18</v>
      </c>
      <c r="E10108" s="50">
        <v>0</v>
      </c>
      <c r="F10108" s="51">
        <f>VLOOKUP(A10108,'Componentes APUs'!$S$1:$V$10,4,0)</f>
        <v>250000</v>
      </c>
      <c r="G10108" s="51">
        <f>ROUNDUP(F10108*((E10108/21)/E10081),0)</f>
        <v>0</v>
      </c>
    </row>
    <row r="10109" spans="1:7" x14ac:dyDescent="0.25">
      <c r="A10109" s="50" t="s">
        <v>328</v>
      </c>
      <c r="B10109" s="220" t="str">
        <f>VLOOKUP(A10109,'Componentes APUs'!$S$1:$V$10,2,0)</f>
        <v>Herramienta Menor</v>
      </c>
      <c r="C10109" s="220"/>
      <c r="D10109" s="50" t="s">
        <v>18</v>
      </c>
      <c r="E10109" s="50">
        <v>2</v>
      </c>
      <c r="F10109" s="51">
        <f>VLOOKUP(A10109,'Componentes APUs'!$S$1:$V$10,4,0)</f>
        <v>75758</v>
      </c>
      <c r="G10109" s="51">
        <f>ROUNDUP(F10109*((E10109/21)/E10081),0)</f>
        <v>482</v>
      </c>
    </row>
    <row r="10110" spans="1:7" x14ac:dyDescent="0.25">
      <c r="A10110" s="219" t="s">
        <v>69</v>
      </c>
      <c r="B10110" s="219"/>
      <c r="C10110" s="219"/>
      <c r="D10110" s="219"/>
      <c r="E10110" s="219"/>
      <c r="F10110" s="219"/>
      <c r="G10110" s="52">
        <f>SUM(G10104:G10109)</f>
        <v>549</v>
      </c>
    </row>
    <row r="10111" spans="1:7" x14ac:dyDescent="0.25">
      <c r="A10111" s="56"/>
      <c r="B10111" s="57"/>
      <c r="C10111" s="57"/>
      <c r="D10111" s="57"/>
      <c r="E10111" s="57"/>
      <c r="F10111" s="57"/>
      <c r="G10111" s="58"/>
    </row>
    <row r="10112" spans="1:7" x14ac:dyDescent="0.25">
      <c r="A10112" s="219" t="s">
        <v>70</v>
      </c>
      <c r="B10112" s="219"/>
      <c r="C10112" s="219"/>
      <c r="D10112" s="219"/>
      <c r="E10112" s="219"/>
      <c r="F10112" s="219"/>
      <c r="G10112" s="219"/>
    </row>
    <row r="10113" spans="1:7" x14ac:dyDescent="0.25">
      <c r="A10113" s="49" t="s">
        <v>35</v>
      </c>
      <c r="B10113" s="219" t="s">
        <v>36</v>
      </c>
      <c r="C10113" s="219"/>
      <c r="D10113" s="49" t="s">
        <v>37</v>
      </c>
      <c r="E10113" s="49" t="s">
        <v>38</v>
      </c>
      <c r="F10113" s="49" t="s">
        <v>39</v>
      </c>
      <c r="G10113" s="49" t="s">
        <v>40</v>
      </c>
    </row>
    <row r="10114" spans="1:7" x14ac:dyDescent="0.25">
      <c r="A10114" s="50" t="s">
        <v>71</v>
      </c>
      <c r="B10114" s="71" t="str">
        <f>VLOOKUP(A10114,'Componentes APUs'!$A$1:$D$14,2,0)</f>
        <v>Camisa indigo sin partes metalicas</v>
      </c>
      <c r="C10114" s="71"/>
      <c r="D10114" s="50" t="str">
        <f>VLOOKUP(A10114,'Componentes APUs'!$A$1:$D$14,3,0)</f>
        <v>U</v>
      </c>
      <c r="E10114" s="50">
        <f>SUM(C10094:C10099)</f>
        <v>2.75</v>
      </c>
      <c r="F10114" s="51">
        <f>VLOOKUP(A10114,'Componentes APUs'!$A$1:$D$14,4,0)</f>
        <v>8585.8585858585866</v>
      </c>
      <c r="G10114" s="51">
        <f>ROUNDUP(F10114*(E10114/21)/E10081,0)</f>
        <v>75</v>
      </c>
    </row>
    <row r="10115" spans="1:7" x14ac:dyDescent="0.25">
      <c r="A10115" s="69" t="s">
        <v>73</v>
      </c>
      <c r="B10115" s="72" t="str">
        <f>VLOOKUP(A10115,'Componentes APUs'!$A$1:$D$14,2,0)</f>
        <v>Bota de seguridad dielectrica</v>
      </c>
      <c r="C10115" s="73"/>
      <c r="D10115" s="70" t="str">
        <f>VLOOKUP(A10115,'Componentes APUs'!$A$1:$D$14,3,0)</f>
        <v>Par</v>
      </c>
      <c r="E10115" s="50">
        <f>SUM(C10094:C10099)</f>
        <v>2.75</v>
      </c>
      <c r="F10115" s="51">
        <f>VLOOKUP(A10115,'Componentes APUs'!$A$1:$D$14,4,0)</f>
        <v>7500</v>
      </c>
      <c r="G10115" s="51">
        <f>ROUNDUP(F10115*(E10115/21)/E10081,0)</f>
        <v>66</v>
      </c>
    </row>
    <row r="10116" spans="1:7" x14ac:dyDescent="0.25">
      <c r="A10116" s="50" t="s">
        <v>76</v>
      </c>
      <c r="B10116" s="72" t="str">
        <f>VLOOKUP(A10116,'Componentes APUs'!$A$1:$D$14,2,0)</f>
        <v>Casco dielectrico Tipo 1 Clase E con barbuquejo</v>
      </c>
      <c r="C10116" s="73"/>
      <c r="D10116" s="50" t="str">
        <f>VLOOKUP(A10116,'Componentes APUs'!$A$1:$D$14,3,0)</f>
        <v>U</v>
      </c>
      <c r="E10116" s="50">
        <f>C10094+C10097+C10098+C10095+C10099+IF(A10096&lt;&gt;"MO-3",C10096,0)</f>
        <v>2.75</v>
      </c>
      <c r="F10116" s="51">
        <f>VLOOKUP(A10116,'Componentes APUs'!$A$1:$D$14,4,0)</f>
        <v>10101.010101010101</v>
      </c>
      <c r="G10116" s="51">
        <f>ROUNDUP(F10116*(E10116/21)/E10081,0)</f>
        <v>89</v>
      </c>
    </row>
    <row r="10117" spans="1:7" x14ac:dyDescent="0.25">
      <c r="A10117" s="69" t="s">
        <v>77</v>
      </c>
      <c r="B10117" s="72" t="str">
        <f>VLOOKUP(A10117,'Componentes APUs'!$A$1:$D$14,2,0)</f>
        <v>Correa plastica y antiflama</v>
      </c>
      <c r="C10117" s="73"/>
      <c r="D10117" s="50" t="str">
        <f>VLOOKUP(A10117,'Componentes APUs'!$A$1:$D$14,3,0)</f>
        <v>U</v>
      </c>
      <c r="E10117" s="50">
        <f>SUM(C10094:C10099)</f>
        <v>2.75</v>
      </c>
      <c r="F10117" s="51">
        <f>VLOOKUP(A10117,'Componentes APUs'!$A$1:$D$14,4,0)</f>
        <v>3787.878787878788</v>
      </c>
      <c r="G10117" s="51">
        <f>ROUNDUP(F10117*(E10117/21)/E10081,0)</f>
        <v>34</v>
      </c>
    </row>
    <row r="10118" spans="1:7" x14ac:dyDescent="0.25">
      <c r="A10118" s="50" t="s">
        <v>79</v>
      </c>
      <c r="B10118" s="72" t="str">
        <f>VLOOKUP(A10118,'Componentes APUs'!$A$1:$D$14,2,0)</f>
        <v>Gafas protectoras filtro UV</v>
      </c>
      <c r="C10118" s="73"/>
      <c r="D10118" s="50" t="str">
        <f>VLOOKUP(A10118,'Componentes APUs'!$A$1:$D$14,3,0)</f>
        <v>U</v>
      </c>
      <c r="E10118" s="50">
        <f>SUM(C10094:C10099)</f>
        <v>2.75</v>
      </c>
      <c r="F10118" s="51">
        <f>VLOOKUP(A10118,'Componentes APUs'!$A$1:$D$14,4,0)</f>
        <v>2777.7777777777778</v>
      </c>
      <c r="G10118" s="51">
        <f>ROUNDUP(F10118*(E10118/21)/E10081,0)</f>
        <v>25</v>
      </c>
    </row>
    <row r="10119" spans="1:7" x14ac:dyDescent="0.25">
      <c r="A10119" s="69" t="s">
        <v>402</v>
      </c>
      <c r="B10119" s="72" t="str">
        <f>VLOOKUP(A10119,'Componentes APUs'!$A$1:$D$14,2,0)</f>
        <v>Bota de seguridad PVC dielectrica</v>
      </c>
      <c r="C10119" s="73"/>
      <c r="D10119" s="50" t="str">
        <f>VLOOKUP(A10119,'Componentes APUs'!$A$1:$D$14,3,0)</f>
        <v>Par</v>
      </c>
      <c r="E10119" s="50">
        <f>SUM(C10094:C10099)</f>
        <v>2.75</v>
      </c>
      <c r="F10119" s="51">
        <f>VLOOKUP(A10119,'Componentes APUs'!$A$1:$D$14,4,0)</f>
        <v>2916.6666666666665</v>
      </c>
      <c r="G10119" s="51">
        <f>ROUNDUP(F10119*(E10119/21)/E10081,0)</f>
        <v>26</v>
      </c>
    </row>
    <row r="10120" spans="1:7" x14ac:dyDescent="0.25">
      <c r="A10120" s="50" t="s">
        <v>403</v>
      </c>
      <c r="B10120" s="72" t="str">
        <f>VLOOKUP(A10120,'Componentes APUs'!$A$1:$D$14,2,0)</f>
        <v>Capuchon</v>
      </c>
      <c r="C10120" s="73"/>
      <c r="D10120" s="50" t="str">
        <f>VLOOKUP(A10120,'Componentes APUs'!$A$1:$D$14,3,0)</f>
        <v>U</v>
      </c>
      <c r="E10120" s="50">
        <f>SUM(C10094:C10099)</f>
        <v>2.75</v>
      </c>
      <c r="F10120" s="51">
        <f>VLOOKUP(A10120,'Componentes APUs'!$A$1:$D$14,4,0)</f>
        <v>2525.2525252525252</v>
      </c>
      <c r="G10120" s="51">
        <f>ROUNDUP(F10120*(E10120/21)/E10081,0)</f>
        <v>23</v>
      </c>
    </row>
    <row r="10121" spans="1:7" x14ac:dyDescent="0.25">
      <c r="A10121" s="69" t="s">
        <v>81</v>
      </c>
      <c r="B10121" s="72" t="str">
        <f>VLOOKUP(A10121,'Componentes APUs'!$A$1:$D$14,2,0)</f>
        <v>Guantes Protectores  - ingeniero reforzados</v>
      </c>
      <c r="C10121" s="73"/>
      <c r="D10121" s="50" t="str">
        <f>VLOOKUP(A10121,'Componentes APUs'!$A$1:$D$14,3,0)</f>
        <v>Par</v>
      </c>
      <c r="E10121" s="50">
        <f>C10096+C10097+C10099</f>
        <v>2</v>
      </c>
      <c r="F10121" s="51">
        <f>VLOOKUP(A10121,'Componentes APUs'!$A$1:$D$14,4,0)</f>
        <v>2525.2525252525252</v>
      </c>
      <c r="G10121" s="51">
        <f>ROUNDUP(F10121*(E10121/21)/E10081,0)</f>
        <v>17</v>
      </c>
    </row>
    <row r="10122" spans="1:7" x14ac:dyDescent="0.25">
      <c r="A10122" s="50" t="s">
        <v>83</v>
      </c>
      <c r="B10122" s="72" t="str">
        <f>VLOOKUP(A10122,'Componentes APUs'!$A$1:$D$14,2,0)</f>
        <v>Impermeable (pantalon camisa)</v>
      </c>
      <c r="C10122" s="73"/>
      <c r="D10122" s="50" t="str">
        <f>VLOOKUP(A10122,'Componentes APUs'!$A$1:$D$14,3,0)</f>
        <v>U</v>
      </c>
      <c r="E10122" s="50">
        <f>SUM(C10094:C10099)</f>
        <v>2.75</v>
      </c>
      <c r="F10122" s="51">
        <f>VLOOKUP(A10122,'Componentes APUs'!$A$1:$D$14,4,0)</f>
        <v>3750</v>
      </c>
      <c r="G10122" s="51">
        <f>ROUNDUP(F10122*(E10122/21)/E10081,0)</f>
        <v>33</v>
      </c>
    </row>
    <row r="10123" spans="1:7" x14ac:dyDescent="0.25">
      <c r="A10123" s="69" t="s">
        <v>85</v>
      </c>
      <c r="B10123" s="72" t="str">
        <f>VLOOKUP(A10123,'Componentes APUs'!$A$1:$D$14,2,0)</f>
        <v>Jean Dielectrico</v>
      </c>
      <c r="C10123" s="73"/>
      <c r="D10123" s="50" t="str">
        <f>VLOOKUP(A10123,'Componentes APUs'!$A$1:$D$14,3,0)</f>
        <v>U</v>
      </c>
      <c r="E10123" s="50">
        <f>SUM(C10094:C10099)</f>
        <v>2.75</v>
      </c>
      <c r="F10123" s="51">
        <f>VLOOKUP(A10123,'Componentes APUs'!$A$1:$D$14,4,0)</f>
        <v>7575.757575757576</v>
      </c>
      <c r="G10123" s="51">
        <f>ROUNDUP(F10123*(E10123/21)/E10081,0)</f>
        <v>67</v>
      </c>
    </row>
    <row r="10124" spans="1:7" x14ac:dyDescent="0.25">
      <c r="A10124" s="50" t="s">
        <v>87</v>
      </c>
      <c r="B10124" s="72" t="str">
        <f>VLOOKUP(A10124,'Componentes APUs'!$A$1:$D$14,2,0)</f>
        <v>Casco dielectrico Tipo 2 Clase E con barboquejo</v>
      </c>
      <c r="C10124" s="73"/>
      <c r="D10124" s="50" t="str">
        <f>VLOOKUP(A10124,'Componentes APUs'!$A$1:$D$14,3,0)</f>
        <v>U</v>
      </c>
      <c r="E10124" s="53">
        <f>IF(A10096="MO-3",C10096,0)</f>
        <v>0</v>
      </c>
      <c r="F10124" s="51">
        <f>VLOOKUP(A10124,'Componentes APUs'!$A$1:$D$14,4,0)</f>
        <v>7500</v>
      </c>
      <c r="G10124" s="51">
        <f>ROUNDUP(F10124*(E10124/21)/E10081,0)</f>
        <v>0</v>
      </c>
    </row>
    <row r="10125" spans="1:7" x14ac:dyDescent="0.25">
      <c r="A10125" s="69" t="s">
        <v>89</v>
      </c>
      <c r="B10125" s="72" t="str">
        <f>VLOOKUP(A10125,'Componentes APUs'!$A$1:$D$14,2,0)</f>
        <v>Kit de rescate para trabajo en alturas</v>
      </c>
      <c r="C10125" s="73"/>
      <c r="D10125" s="50" t="str">
        <f>VLOOKUP(A10125,'Componentes APUs'!$A$1:$D$14,3,0)</f>
        <v>U</v>
      </c>
      <c r="E10125" s="50">
        <f>IF(AND(A10096="MO-3",C10096=2),1,0)</f>
        <v>0</v>
      </c>
      <c r="F10125" s="51">
        <f>VLOOKUP(A10125,'Componentes APUs'!$A$1:$D$14,4,0)</f>
        <v>37500</v>
      </c>
      <c r="G10125" s="51">
        <f>ROUNDUP(F10125*(E10125/21)/E10081,0)</f>
        <v>0</v>
      </c>
    </row>
    <row r="10126" spans="1:7" x14ac:dyDescent="0.25">
      <c r="A10126" s="50" t="s">
        <v>91</v>
      </c>
      <c r="B10126" s="72" t="str">
        <f>VLOOKUP(A10126,'Componentes APUs'!$A$1:$D$14,2,0)</f>
        <v>Equipo completo para trabajo en alturas con pretales (Arnes dielectrico, 1 mosqueton de seguridad, tie off dielectrico, eslinga de posicionamiento, juego de pretales)</v>
      </c>
      <c r="C10126" s="73"/>
      <c r="D10126" s="50" t="str">
        <f>VLOOKUP(A10126,'Componentes APUs'!$A$1:$D$14,3,0)</f>
        <v>U</v>
      </c>
      <c r="E10126" s="50">
        <f>IF(A10096="MO-3",C10096,0)</f>
        <v>0</v>
      </c>
      <c r="F10126" s="51">
        <f>VLOOKUP(A10126,'Componentes APUs'!$A$1:$D$14,4,0)</f>
        <v>26041.666666666668</v>
      </c>
      <c r="G10126" s="51">
        <f>ROUNDUP(F10126*(E10126/21)/E10081,0)</f>
        <v>0</v>
      </c>
    </row>
    <row r="10127" spans="1:7" x14ac:dyDescent="0.25">
      <c r="A10127" s="219" t="s">
        <v>95</v>
      </c>
      <c r="B10127" s="219"/>
      <c r="C10127" s="219"/>
      <c r="D10127" s="219"/>
      <c r="E10127" s="219"/>
      <c r="F10127" s="219"/>
      <c r="G10127" s="52">
        <f>SUM(G10114:G10126)</f>
        <v>455</v>
      </c>
    </row>
    <row r="10128" spans="1:7" x14ac:dyDescent="0.25">
      <c r="A10128" s="56"/>
      <c r="B10128" s="57"/>
      <c r="C10128" s="57"/>
      <c r="D10128" s="57"/>
      <c r="E10128" s="57"/>
      <c r="F10128" s="57"/>
      <c r="G10128" s="58"/>
    </row>
    <row r="10129" spans="1:7" x14ac:dyDescent="0.25">
      <c r="A10129" s="219" t="s">
        <v>96</v>
      </c>
      <c r="B10129" s="219"/>
      <c r="C10129" s="219"/>
      <c r="D10129" s="219"/>
      <c r="E10129" s="219"/>
      <c r="F10129" s="219"/>
      <c r="G10129" s="219"/>
    </row>
    <row r="10130" spans="1:7" x14ac:dyDescent="0.25">
      <c r="A10130" s="49" t="s">
        <v>35</v>
      </c>
      <c r="B10130" s="225" t="s">
        <v>36</v>
      </c>
      <c r="C10130" s="225"/>
      <c r="D10130" s="49" t="s">
        <v>37</v>
      </c>
      <c r="E10130" s="49" t="s">
        <v>38</v>
      </c>
      <c r="F10130" s="49" t="s">
        <v>39</v>
      </c>
      <c r="G10130" s="49" t="s">
        <v>40</v>
      </c>
    </row>
    <row r="10131" spans="1:7" x14ac:dyDescent="0.25">
      <c r="A10131" s="69" t="s">
        <v>97</v>
      </c>
      <c r="B10131" s="72" t="str">
        <f>VLOOKUP(A10131,'Componentes APUs'!$N$1:$Q$30,2,0)</f>
        <v>Camioneta</v>
      </c>
      <c r="C10131" s="73"/>
      <c r="D10131" s="70" t="str">
        <f>VLOOKUP(A10131,'Componentes APUs'!$N$1:$Q$30,3,0)</f>
        <v>U</v>
      </c>
      <c r="E10131" s="50">
        <v>1</v>
      </c>
      <c r="F10131" s="51">
        <f>VLOOKUP(A10131,'Componentes APUs'!$N$1:$Q$30,4,0)</f>
        <v>5500000</v>
      </c>
      <c r="G10131" s="51">
        <f>IFERROR(ROUNDUP(F10131*(E10131/21)/E10081,0),"-")</f>
        <v>17461</v>
      </c>
    </row>
    <row r="10132" spans="1:7" x14ac:dyDescent="0.25">
      <c r="A10132" s="50" t="s">
        <v>321</v>
      </c>
      <c r="B10132" s="72" t="str">
        <f>VLOOKUP(A10132,'Componentes APUs'!$N$1:$Q$30,2,0)</f>
        <v>Grúa Hidráulica</v>
      </c>
      <c r="C10132" s="73"/>
      <c r="D10132" s="70" t="str">
        <f>VLOOKUP(A10132,'Componentes APUs'!$N$1:$Q$30,3,0)</f>
        <v>U</v>
      </c>
      <c r="E10132" s="50">
        <v>0</v>
      </c>
      <c r="F10132" s="51">
        <f>VLOOKUP(A10132,'Componentes APUs'!$N$1:$Q$30,4,0)</f>
        <v>21000000</v>
      </c>
      <c r="G10132" s="51">
        <f>IFERROR(ROUNDUP(F10132*(E10132/21)/E10081,0),"-")</f>
        <v>0</v>
      </c>
    </row>
    <row r="10133" spans="1:7" x14ac:dyDescent="0.25">
      <c r="A10133" s="69" t="s">
        <v>322</v>
      </c>
      <c r="B10133" s="72" t="str">
        <f>VLOOKUP(A10133,'Componentes APUs'!$N$1:$Q$30,2,0)</f>
        <v>Camabaja</v>
      </c>
      <c r="C10133" s="73"/>
      <c r="D10133" s="70" t="str">
        <f>VLOOKUP(A10133,'Componentes APUs'!$N$1:$Q$30,3,0)</f>
        <v>TON/KM</v>
      </c>
      <c r="E10133" s="50">
        <v>0</v>
      </c>
      <c r="F10133" s="51">
        <f>VLOOKUP(A10133,'Componentes APUs'!$N$1:$Q$30,4,0)</f>
        <v>611</v>
      </c>
      <c r="G10133" s="51">
        <f>IFERROR(ROUNDUP(F10133*(E10133/21)/E10081,0),"-")</f>
        <v>0</v>
      </c>
    </row>
    <row r="10134" spans="1:7" x14ac:dyDescent="0.25">
      <c r="A10134" s="50" t="s">
        <v>323</v>
      </c>
      <c r="B10134" s="72" t="str">
        <f>VLOOKUP(A10134,'Componentes APUs'!$N$1:$Q$30,2,0)</f>
        <v>Volqueta</v>
      </c>
      <c r="C10134" s="73"/>
      <c r="D10134" s="70" t="str">
        <f>VLOOKUP(A10134,'Componentes APUs'!$N$1:$Q$30,3,0)</f>
        <v>U</v>
      </c>
      <c r="E10134" s="50">
        <v>0</v>
      </c>
      <c r="F10134" s="51">
        <f>VLOOKUP(A10134,'Componentes APUs'!$N$1:$Q$30,4,0)</f>
        <v>14828184</v>
      </c>
      <c r="G10134" s="51">
        <f>IFERROR(ROUNDUP(F10134*(E10134/21)/E10081,0),"-")</f>
        <v>0</v>
      </c>
    </row>
    <row r="10135" spans="1:7" x14ac:dyDescent="0.25">
      <c r="A10135" s="69" t="s">
        <v>324</v>
      </c>
      <c r="B10135" s="72" t="str">
        <f>VLOOKUP(A10135,'Componentes APUs'!$N$1:$Q$30,2,0)</f>
        <v>Retroexcavadora</v>
      </c>
      <c r="C10135" s="73"/>
      <c r="D10135" s="70" t="str">
        <f>VLOOKUP(A10135,'Componentes APUs'!$N$1:$Q$30,3,0)</f>
        <v>U</v>
      </c>
      <c r="E10135" s="50">
        <v>0</v>
      </c>
      <c r="F10135" s="51">
        <f>VLOOKUP(A10135,'Componentes APUs'!$N$1:$Q$30,4,0)</f>
        <v>46030656</v>
      </c>
      <c r="G10135" s="51">
        <f>IFERROR(ROUNDUP(F10135*(E10135/21)/E10081,0),"-")</f>
        <v>0</v>
      </c>
    </row>
    <row r="10136" spans="1:7" x14ac:dyDescent="0.25">
      <c r="A10136" s="219" t="s">
        <v>99</v>
      </c>
      <c r="B10136" s="219"/>
      <c r="C10136" s="219"/>
      <c r="D10136" s="219"/>
      <c r="E10136" s="219"/>
      <c r="F10136" s="219"/>
      <c r="G10136" s="52">
        <f>SUM(G10131:G10135)</f>
        <v>17461</v>
      </c>
    </row>
    <row r="10137" spans="1:7" x14ac:dyDescent="0.25">
      <c r="A10137" s="56"/>
      <c r="B10137" s="57"/>
      <c r="C10137" s="57"/>
      <c r="D10137" s="57"/>
      <c r="E10137" s="57"/>
      <c r="F10137" s="57"/>
      <c r="G10137" s="58"/>
    </row>
    <row r="10138" spans="1:7" x14ac:dyDescent="0.25">
      <c r="A10138" s="219" t="s">
        <v>1516</v>
      </c>
      <c r="B10138" s="219"/>
      <c r="C10138" s="219"/>
      <c r="D10138" s="219"/>
      <c r="E10138" s="219"/>
      <c r="F10138" s="219"/>
      <c r="G10138" s="52">
        <f>G10136+G10127+G10110+G10100+G10090</f>
        <v>215222</v>
      </c>
    </row>
    <row r="10139" spans="1:7" x14ac:dyDescent="0.25">
      <c r="A10139" s="59"/>
      <c r="B10139" s="60"/>
      <c r="C10139" s="60"/>
      <c r="D10139" s="60"/>
      <c r="E10139" s="57"/>
      <c r="F10139" s="57"/>
      <c r="G10139" s="58"/>
    </row>
    <row r="10140" spans="1:7" x14ac:dyDescent="0.25">
      <c r="A10140" s="64"/>
      <c r="D10140" s="55"/>
      <c r="E10140" s="49" t="s">
        <v>25</v>
      </c>
      <c r="F10140" s="54">
        <v>0.15</v>
      </c>
      <c r="G10140" s="51">
        <f>G10138*F10140</f>
        <v>32283.3</v>
      </c>
    </row>
    <row r="10141" spans="1:7" x14ac:dyDescent="0.25">
      <c r="A10141" s="64"/>
      <c r="D10141" s="55"/>
      <c r="E10141" s="49" t="s">
        <v>26</v>
      </c>
      <c r="F10141" s="54">
        <v>0.05</v>
      </c>
      <c r="G10141" s="51">
        <f>G10138*F10141</f>
        <v>10761.1</v>
      </c>
    </row>
    <row r="10142" spans="1:7" x14ac:dyDescent="0.25">
      <c r="A10142" s="61"/>
      <c r="B10142" s="65"/>
      <c r="C10142" s="65"/>
      <c r="D10142" s="62"/>
      <c r="E10142" s="49" t="s">
        <v>27</v>
      </c>
      <c r="F10142" s="54">
        <v>0.05</v>
      </c>
      <c r="G10142" s="51">
        <f>G10138*F10142</f>
        <v>10761.1</v>
      </c>
    </row>
    <row r="10143" spans="1:7" x14ac:dyDescent="0.25">
      <c r="A10143" s="61"/>
      <c r="B10143" s="62"/>
      <c r="C10143" s="62"/>
      <c r="D10143" s="62"/>
      <c r="E10143" s="62"/>
      <c r="F10143" s="62"/>
      <c r="G10143" s="63"/>
    </row>
    <row r="10144" spans="1:7" x14ac:dyDescent="0.25">
      <c r="A10144" s="219" t="s">
        <v>1517</v>
      </c>
      <c r="B10144" s="219"/>
      <c r="C10144" s="219"/>
      <c r="D10144" s="219"/>
      <c r="E10144" s="219"/>
      <c r="F10144" s="219"/>
      <c r="G10144" s="52">
        <f>G10138+G10140+G10141+G10142</f>
        <v>269027.5</v>
      </c>
    </row>
    <row r="10145" spans="1:7" x14ac:dyDescent="0.25">
      <c r="A10145" s="59"/>
      <c r="B10145" s="60"/>
      <c r="C10145" s="60"/>
      <c r="D10145" s="60"/>
      <c r="E10145" s="57"/>
      <c r="F10145" s="57"/>
      <c r="G10145" s="58"/>
    </row>
    <row r="10146" spans="1:7" x14ac:dyDescent="0.25">
      <c r="A10146" s="64"/>
      <c r="D10146" s="55"/>
      <c r="E10146" s="49" t="s">
        <v>102</v>
      </c>
      <c r="F10146" s="49" t="s">
        <v>103</v>
      </c>
      <c r="G10146" s="51">
        <f>G10142*19%</f>
        <v>2044.6090000000002</v>
      </c>
    </row>
    <row r="10147" spans="1:7" x14ac:dyDescent="0.25">
      <c r="A10147" s="61"/>
      <c r="B10147" s="62"/>
      <c r="C10147" s="62"/>
      <c r="D10147" s="62"/>
      <c r="E10147" s="57"/>
      <c r="F10147" s="57"/>
      <c r="G10147" s="58"/>
    </row>
    <row r="10148" spans="1:7" x14ac:dyDescent="0.25">
      <c r="A10148" s="219" t="s">
        <v>104</v>
      </c>
      <c r="B10148" s="219"/>
      <c r="C10148" s="219"/>
      <c r="D10148" s="219"/>
      <c r="E10148" s="219"/>
      <c r="F10148" s="219"/>
      <c r="G10148" s="52">
        <f>G10146+G10144</f>
        <v>271072.109</v>
      </c>
    </row>
    <row r="10150" spans="1:7" x14ac:dyDescent="0.25">
      <c r="A10150" s="74" t="s">
        <v>29</v>
      </c>
      <c r="B10150" s="226" t="s">
        <v>30</v>
      </c>
      <c r="C10150" s="226"/>
      <c r="D10150" s="74" t="s">
        <v>31</v>
      </c>
      <c r="E10150" s="74" t="s">
        <v>32</v>
      </c>
      <c r="F10150" s="74" t="s">
        <v>189</v>
      </c>
      <c r="G10150" s="74" t="s">
        <v>33</v>
      </c>
    </row>
    <row r="10151" spans="1:7" ht="42" customHeight="1" x14ac:dyDescent="0.25">
      <c r="A10151" s="50" t="str">
        <f>Presupuesto!B185</f>
        <v>009_CA</v>
      </c>
      <c r="B10151" s="220" t="str">
        <f>Presupuesto!C185</f>
        <v>SUMINISTRO E INSTALACIÓN DE BANDEJA PORTACABLES 15X20 CM TIPO DUCTO CERRADO Y TAPA. INCLUYE CURVAS Y SISTEMA DE FIJACIÓN EN TECHO (CUARTO DE CONTROL)</v>
      </c>
      <c r="C10151" s="220"/>
      <c r="D10151" s="50" t="s">
        <v>108</v>
      </c>
      <c r="E10151" s="50">
        <v>15</v>
      </c>
      <c r="F10151" s="50"/>
      <c r="G10151" s="51">
        <f>G10218</f>
        <v>271166.57150000002</v>
      </c>
    </row>
    <row r="10152" spans="1:7" x14ac:dyDescent="0.25">
      <c r="A10152" s="219" t="s">
        <v>34</v>
      </c>
      <c r="B10152" s="219"/>
      <c r="C10152" s="219"/>
      <c r="D10152" s="219"/>
      <c r="E10152" s="219"/>
      <c r="F10152" s="219"/>
      <c r="G10152" s="219"/>
    </row>
    <row r="10153" spans="1:7" x14ac:dyDescent="0.25">
      <c r="A10153" s="49" t="s">
        <v>35</v>
      </c>
      <c r="B10153" s="219" t="s">
        <v>36</v>
      </c>
      <c r="C10153" s="219"/>
      <c r="D10153" s="49" t="s">
        <v>37</v>
      </c>
      <c r="E10153" s="49" t="s">
        <v>38</v>
      </c>
      <c r="F10153" s="49" t="s">
        <v>39</v>
      </c>
      <c r="G10153" s="49" t="s">
        <v>40</v>
      </c>
    </row>
    <row r="10154" spans="1:7" ht="27.75" customHeight="1" x14ac:dyDescent="0.25">
      <c r="A10154" s="17" t="str">
        <f>Material!A59</f>
        <v>MA-58</v>
      </c>
      <c r="B10154" s="221" t="str">
        <f>IFERROR(VLOOKUP(A10154,Material!$A:$H,2,0),"-")</f>
        <v>BANDEJA PORTACABLES EN ACERO GALVANIZADO RECTO ALTO: 15 CM, ANCHO: 20 CM. TIPO DUCTO CERRADO</v>
      </c>
      <c r="C10154" s="222"/>
      <c r="D10154" s="50" t="str">
        <f>IFERROR(VLOOKUP(A10154,Material!$A:$H,4,0),"-")</f>
        <v>ML</v>
      </c>
      <c r="E10154" s="50">
        <v>1</v>
      </c>
      <c r="F10154" s="51">
        <f>IFERROR(VLOOKUP(A10154,Material!$A:$H,3,0),"-")</f>
        <v>137074.70833333334</v>
      </c>
      <c r="G10154" s="51">
        <f t="shared" ref="G10154:G10159" si="144">IFERROR(ROUNDUP(F10154*E10154,0),"-")</f>
        <v>137075</v>
      </c>
    </row>
    <row r="10155" spans="1:7" ht="27.75" customHeight="1" x14ac:dyDescent="0.25">
      <c r="A10155" s="17" t="str">
        <f>Material!A60</f>
        <v>MA-59</v>
      </c>
      <c r="B10155" s="221" t="str">
        <f>IFERROR(VLOOKUP(A10155,Material!$A:$H,2,0),"-")</f>
        <v>CURVA BANDEJA PORTACABLES EN ACERO GALVANIZADO A 90° ALTO: 15 CM, ANCHO: 20 CM. TIPO DUCTO CERRADO</v>
      </c>
      <c r="C10155" s="222"/>
      <c r="D10155" s="50" t="str">
        <f>IFERROR(VLOOKUP(A10155,Material!$A:$H,4,0),"-")</f>
        <v>ML</v>
      </c>
      <c r="E10155" s="50">
        <v>0.05</v>
      </c>
      <c r="F10155" s="51">
        <f>IFERROR(VLOOKUP(A10155,Material!$A:$H,3,0),"-")</f>
        <v>59785.916666666672</v>
      </c>
      <c r="G10155" s="51">
        <f t="shared" si="144"/>
        <v>2990</v>
      </c>
    </row>
    <row r="10156" spans="1:7" x14ac:dyDescent="0.25">
      <c r="A10156" s="17" t="str">
        <f>Material!A195</f>
        <v>MA-194</v>
      </c>
      <c r="B10156" s="72" t="str">
        <f>IFERROR(VLOOKUP(A10156,Material!$A:$H,2,0),"-")</f>
        <v>CHAZO EXPANSIVO RL 3/8"</v>
      </c>
      <c r="C10156" s="73"/>
      <c r="D10156" s="50" t="s">
        <v>108</v>
      </c>
      <c r="E10156" s="107">
        <v>2</v>
      </c>
      <c r="F10156" s="51">
        <f>IFERROR(VLOOKUP(A10156,Material!$A:$H,3,0),"-")</f>
        <v>455</v>
      </c>
      <c r="G10156" s="51">
        <f t="shared" si="144"/>
        <v>910</v>
      </c>
    </row>
    <row r="10157" spans="1:7" x14ac:dyDescent="0.25">
      <c r="A10157" s="17" t="str">
        <f>Material!A196</f>
        <v>MA-195</v>
      </c>
      <c r="B10157" s="72" t="str">
        <f>IFERROR(VLOOKUP(A10157,Material!$A:$H,2,0),"-")</f>
        <v>VARILLA ROSCADA DE 3/8"</v>
      </c>
      <c r="C10157" s="73"/>
      <c r="D10157" s="50" t="str">
        <f>IFERROR(VLOOKUP(A10157,Material!$A:$H,4,0),"-")</f>
        <v>UN</v>
      </c>
      <c r="E10157" s="50">
        <v>0.2</v>
      </c>
      <c r="F10157" s="51">
        <f>IFERROR(VLOOKUP(A10157,Material!$A:$H,3,0),"-")</f>
        <v>3466.6666666666665</v>
      </c>
      <c r="G10157" s="51">
        <f t="shared" si="144"/>
        <v>694</v>
      </c>
    </row>
    <row r="10158" spans="1:7" x14ac:dyDescent="0.25">
      <c r="A10158" s="17" t="str">
        <f>Material!A197</f>
        <v>MA-196</v>
      </c>
      <c r="B10158" s="72" t="str">
        <f>IFERROR(VLOOKUP(A10158,Material!$A:$H,2,0),"-")</f>
        <v>RIEL UNISTRUT RANURADO 2X4 CM</v>
      </c>
      <c r="C10158" s="73"/>
      <c r="D10158" s="50" t="str">
        <f>IFERROR(VLOOKUP(A10158,Material!$A:$H,4,0),"-")</f>
        <v>ML</v>
      </c>
      <c r="E10158" s="50">
        <v>0.3</v>
      </c>
      <c r="F10158" s="51">
        <f>IFERROR(VLOOKUP(A10158,Material!$A:$H,3,0),"-")</f>
        <v>10551.666666666668</v>
      </c>
      <c r="G10158" s="51">
        <f t="shared" si="144"/>
        <v>3166</v>
      </c>
    </row>
    <row r="10159" spans="1:7" x14ac:dyDescent="0.25">
      <c r="A10159" s="17" t="str">
        <f>Material!A198</f>
        <v>MA-197</v>
      </c>
      <c r="B10159" s="72" t="str">
        <f>IFERROR(VLOOKUP(A10159,Material!$A:$H,2,0),"-")</f>
        <v>CABLE DE COBRE DESNUDO NO 8 AWG</v>
      </c>
      <c r="C10159" s="73"/>
      <c r="D10159" s="50" t="str">
        <f>IFERROR(VLOOKUP(A10159,Material!$A:$H,4,0),"-")</f>
        <v>ML</v>
      </c>
      <c r="E10159" s="50">
        <v>1</v>
      </c>
      <c r="F10159" s="51">
        <f>IFERROR(VLOOKUP(A10159,Material!$A:$H,3,0),"-")</f>
        <v>7150</v>
      </c>
      <c r="G10159" s="51">
        <f t="shared" si="144"/>
        <v>7150</v>
      </c>
    </row>
    <row r="10160" spans="1:7" x14ac:dyDescent="0.25">
      <c r="A10160" s="219" t="s">
        <v>41</v>
      </c>
      <c r="B10160" s="219"/>
      <c r="C10160" s="219"/>
      <c r="D10160" s="219"/>
      <c r="E10160" s="219"/>
      <c r="F10160" s="219"/>
      <c r="G10160" s="52">
        <f>SUM(G10154:G10159)</f>
        <v>151985</v>
      </c>
    </row>
    <row r="10161" spans="1:7" x14ac:dyDescent="0.25">
      <c r="A10161" s="56"/>
      <c r="B10161" s="57"/>
      <c r="C10161" s="57"/>
      <c r="D10161" s="57"/>
      <c r="E10161" s="57"/>
      <c r="F10161" s="57"/>
      <c r="G10161" s="58"/>
    </row>
    <row r="10162" spans="1:7" x14ac:dyDescent="0.25">
      <c r="A10162" s="219" t="s">
        <v>42</v>
      </c>
      <c r="B10162" s="219"/>
      <c r="C10162" s="219"/>
      <c r="D10162" s="219"/>
      <c r="E10162" s="219"/>
      <c r="F10162" s="219"/>
      <c r="G10162" s="219"/>
    </row>
    <row r="10163" spans="1:7" x14ac:dyDescent="0.25">
      <c r="A10163" s="49" t="s">
        <v>35</v>
      </c>
      <c r="B10163" s="49" t="s">
        <v>36</v>
      </c>
      <c r="C10163" s="49" t="s">
        <v>38</v>
      </c>
      <c r="D10163" s="49" t="s">
        <v>43</v>
      </c>
      <c r="E10163" s="49" t="s">
        <v>44</v>
      </c>
      <c r="F10163" s="49" t="s">
        <v>45</v>
      </c>
      <c r="G10163" s="49" t="s">
        <v>40</v>
      </c>
    </row>
    <row r="10164" spans="1:7" x14ac:dyDescent="0.25">
      <c r="A10164" s="50" t="s">
        <v>319</v>
      </c>
      <c r="B10164" s="68" t="str">
        <f>VLOOKUP(A10164,'Componentes APUs'!$H$1:$L$25,2,0)</f>
        <v>Ingeniero Residente de Obra</v>
      </c>
      <c r="C10164" s="93">
        <v>0.25</v>
      </c>
      <c r="D10164" s="50">
        <f>VLOOKUP(A10164,'Componentes APUs'!$H$1:$L$25,3,0)</f>
        <v>4</v>
      </c>
      <c r="E10164" s="51">
        <f>VLOOKUP(A10164,'Componentes APUs'!$H$1:$L$25,4,0)</f>
        <v>271142.85714285716</v>
      </c>
      <c r="F10164" s="51">
        <f>VLOOKUP(A10164,'Componentes APUs'!$H$1:$L$25,5,0)</f>
        <v>162685.71428571429</v>
      </c>
      <c r="G10164" s="51">
        <f>ROUNDUP((E10164+F10164)*C10164/E10151,0)</f>
        <v>7231</v>
      </c>
    </row>
    <row r="10165" spans="1:7" x14ac:dyDescent="0.25">
      <c r="A10165" s="50" t="s">
        <v>320</v>
      </c>
      <c r="B10165" s="68" t="str">
        <f>VLOOKUP(A10165,'Componentes APUs'!$H$1:$L$25,2,0)</f>
        <v>Tecnico Supervisor</v>
      </c>
      <c r="C10165" s="93">
        <v>0.25</v>
      </c>
      <c r="D10165" s="50">
        <f>VLOOKUP(A10165,'Componentes APUs'!$H$1:$L$25,3,0)</f>
        <v>2.2999999999999998</v>
      </c>
      <c r="E10165" s="51">
        <f>VLOOKUP(A10165,'Componentes APUs'!$H$1:$L$25,4,0)</f>
        <v>155907.14285714284</v>
      </c>
      <c r="F10165" s="51">
        <f>VLOOKUP(A10165,'Componentes APUs'!$H$1:$L$25,5,0)</f>
        <v>93544.285714285696</v>
      </c>
      <c r="G10165" s="51">
        <f>ROUNDUP((E10165+F10165)*C10165/E10151,0)</f>
        <v>4158</v>
      </c>
    </row>
    <row r="10166" spans="1:7" x14ac:dyDescent="0.25">
      <c r="A10166" s="50" t="s">
        <v>46</v>
      </c>
      <c r="B10166" s="68" t="str">
        <f>VLOOKUP(A10166,'Componentes APUs'!$H$1:$L$25,2,0)</f>
        <v>Tecnico Liniero</v>
      </c>
      <c r="C10166" s="93">
        <v>1</v>
      </c>
      <c r="D10166" s="50">
        <f>VLOOKUP(A10166,'Componentes APUs'!$H$1:$L$25,3,0)</f>
        <v>2</v>
      </c>
      <c r="E10166" s="51">
        <f>VLOOKUP(A10166,'Componentes APUs'!$H$1:$L$25,4,0)</f>
        <v>154619.04761904763</v>
      </c>
      <c r="F10166" s="51">
        <f>VLOOKUP(A10166,'Componentes APUs'!$H$1:$L$25,5,0)</f>
        <v>92771.42857142858</v>
      </c>
      <c r="G10166" s="51">
        <f>ROUNDUP((E10166+F10166)*C10166/E10151,0)</f>
        <v>16493</v>
      </c>
    </row>
    <row r="10167" spans="1:7" x14ac:dyDescent="0.25">
      <c r="A10167" s="50" t="s">
        <v>48</v>
      </c>
      <c r="B10167" s="68" t="str">
        <f>VLOOKUP(A10167,'Componentes APUs'!$H$1:$L$25,2,0)</f>
        <v>Ayudante Calificado</v>
      </c>
      <c r="C10167" s="93">
        <v>1</v>
      </c>
      <c r="D10167" s="50">
        <f>VLOOKUP(A10167,'Componentes APUs'!$H$1:$L$25,3,0)</f>
        <v>1.5</v>
      </c>
      <c r="E10167" s="51">
        <f>VLOOKUP(A10167,'Componentes APUs'!$H$1:$L$25,4,0)</f>
        <v>115964.28571428571</v>
      </c>
      <c r="F10167" s="51">
        <f>VLOOKUP(A10167,'Componentes APUs'!$H$1:$L$25,5,0)</f>
        <v>69578.57142857142</v>
      </c>
      <c r="G10167" s="51">
        <f>ROUNDUP((E10167+F10167)*C10167/E10151,0)</f>
        <v>12370</v>
      </c>
    </row>
    <row r="10168" spans="1:7" x14ac:dyDescent="0.25">
      <c r="A10168" s="50" t="s">
        <v>50</v>
      </c>
      <c r="B10168" s="68" t="str">
        <f>VLOOKUP(A10168,'Componentes APUs'!$H$1:$L$25,2,0)</f>
        <v>Profesional en SST</v>
      </c>
      <c r="C10168" s="93">
        <v>0.25</v>
      </c>
      <c r="D10168" s="50">
        <f>VLOOKUP(A10168,'Componentes APUs'!$H$1:$L$25,3,0)</f>
        <v>2.5</v>
      </c>
      <c r="E10168" s="51">
        <f>VLOOKUP(A10168,'Componentes APUs'!$H$1:$L$25,4,0)</f>
        <v>169464.28571428571</v>
      </c>
      <c r="F10168" s="51">
        <f>VLOOKUP(A10168,'Componentes APUs'!$H$1:$L$25,5,0)</f>
        <v>101678.57142857142</v>
      </c>
      <c r="G10168" s="51">
        <f>ROUNDUP((E10168+F10168)*C10168/E10151,0)</f>
        <v>4520</v>
      </c>
    </row>
    <row r="10169" spans="1:7" x14ac:dyDescent="0.25">
      <c r="A10169" s="50" t="s">
        <v>52</v>
      </c>
      <c r="B10169" s="68" t="str">
        <f>VLOOKUP(A10169,'Componentes APUs'!$H$1:$L$25,2,0)</f>
        <v>Ayudante No Calificado</v>
      </c>
      <c r="C10169" s="93">
        <v>0</v>
      </c>
      <c r="D10169" s="50">
        <f>VLOOKUP(A10169,'Componentes APUs'!$H$1:$L$25,3,0)</f>
        <v>1</v>
      </c>
      <c r="E10169" s="51">
        <f>VLOOKUP(A10169,'Componentes APUs'!$H$1:$L$25,4,0)</f>
        <v>77309.523809523816</v>
      </c>
      <c r="F10169" s="51">
        <f>VLOOKUP(A10169,'Componentes APUs'!$H$1:$L$25,5,0)</f>
        <v>46385.71428571429</v>
      </c>
      <c r="G10169" s="51">
        <f>ROUNDUP((E10169+F10169)*C10169/E10151,0)</f>
        <v>0</v>
      </c>
    </row>
    <row r="10170" spans="1:7" x14ac:dyDescent="0.25">
      <c r="A10170" s="219" t="s">
        <v>56</v>
      </c>
      <c r="B10170" s="219"/>
      <c r="C10170" s="219"/>
      <c r="D10170" s="219"/>
      <c r="E10170" s="219"/>
      <c r="F10170" s="219"/>
      <c r="G10170" s="52">
        <f>SUM(G10164:G10169)</f>
        <v>44772</v>
      </c>
    </row>
    <row r="10171" spans="1:7" x14ac:dyDescent="0.25">
      <c r="A10171" s="56"/>
      <c r="B10171" s="57"/>
      <c r="C10171" s="57"/>
      <c r="D10171" s="57"/>
      <c r="E10171" s="57"/>
      <c r="F10171" s="57"/>
      <c r="G10171" s="58"/>
    </row>
    <row r="10172" spans="1:7" x14ac:dyDescent="0.25">
      <c r="A10172" s="219" t="s">
        <v>57</v>
      </c>
      <c r="B10172" s="219"/>
      <c r="C10172" s="219"/>
      <c r="D10172" s="219"/>
      <c r="E10172" s="219"/>
      <c r="F10172" s="219"/>
      <c r="G10172" s="219"/>
    </row>
    <row r="10173" spans="1:7" x14ac:dyDescent="0.25">
      <c r="A10173" s="49" t="s">
        <v>35</v>
      </c>
      <c r="B10173" s="219" t="s">
        <v>36</v>
      </c>
      <c r="C10173" s="219"/>
      <c r="D10173" s="49" t="s">
        <v>37</v>
      </c>
      <c r="E10173" s="49" t="s">
        <v>38</v>
      </c>
      <c r="F10173" s="49" t="s">
        <v>39</v>
      </c>
      <c r="G10173" s="49" t="s">
        <v>40</v>
      </c>
    </row>
    <row r="10174" spans="1:7" x14ac:dyDescent="0.25">
      <c r="A10174" s="50" t="s">
        <v>326</v>
      </c>
      <c r="B10174" s="220" t="str">
        <f>VLOOKUP(A10174,'Componentes APUs'!$S$1:$V$10,2,0)</f>
        <v>Juego Llaves</v>
      </c>
      <c r="C10174" s="220"/>
      <c r="D10174" s="50" t="s">
        <v>18</v>
      </c>
      <c r="E10174" s="50">
        <v>2</v>
      </c>
      <c r="F10174" s="51">
        <f>VLOOKUP(A10174,'Componentes APUs'!$S$1:$V$10,4,0)</f>
        <v>9167</v>
      </c>
      <c r="G10174" s="51">
        <f>ROUNDUP(F10174*((E10174/21)/E10151),0)</f>
        <v>59</v>
      </c>
    </row>
    <row r="10175" spans="1:7" x14ac:dyDescent="0.25">
      <c r="A10175" s="50" t="s">
        <v>58</v>
      </c>
      <c r="B10175" s="220" t="str">
        <f>VLOOKUP(A10175,'Componentes APUs'!$S$1:$V$10,2,0)</f>
        <v>Manila de servicio</v>
      </c>
      <c r="C10175" s="220"/>
      <c r="D10175" s="50" t="s">
        <v>18</v>
      </c>
      <c r="E10175" s="50">
        <v>0</v>
      </c>
      <c r="F10175" s="51">
        <f>VLOOKUP(A10175,'Componentes APUs'!$S$1:$V$10,4,0)</f>
        <v>2333</v>
      </c>
      <c r="G10175" s="51">
        <f>ROUNDUP(F10175*((E10175/21)/E10151),0)</f>
        <v>0</v>
      </c>
    </row>
    <row r="10176" spans="1:7" x14ac:dyDescent="0.25">
      <c r="A10176" s="50" t="s">
        <v>327</v>
      </c>
      <c r="B10176" s="220" t="str">
        <f>VLOOKUP(A10176,'Componentes APUs'!$S$1:$V$10,2,0)</f>
        <v>Tula portaherramientas</v>
      </c>
      <c r="C10176" s="220"/>
      <c r="D10176" s="50" t="s">
        <v>18</v>
      </c>
      <c r="E10176" s="50">
        <v>2</v>
      </c>
      <c r="F10176" s="51">
        <f>VLOOKUP(A10176,'Componentes APUs'!$S$1:$V$10,4,0)</f>
        <v>1250</v>
      </c>
      <c r="G10176" s="51">
        <f>ROUNDUP(F10176*((E10176/21)/E10151),0)</f>
        <v>8</v>
      </c>
    </row>
    <row r="10177" spans="1:7" x14ac:dyDescent="0.25">
      <c r="A10177" s="50" t="s">
        <v>60</v>
      </c>
      <c r="B10177" s="220" t="str">
        <f>VLOOKUP(A10177,'Componentes APUs'!$S$1:$V$10,2,0)</f>
        <v>Agarradoras</v>
      </c>
      <c r="C10177" s="220"/>
      <c r="D10177" s="50" t="s">
        <v>18</v>
      </c>
      <c r="E10177" s="50">
        <v>0</v>
      </c>
      <c r="F10177" s="51">
        <f>VLOOKUP(A10177,'Componentes APUs'!$S$1:$V$10,4,0)</f>
        <v>125000</v>
      </c>
      <c r="G10177" s="51">
        <f>ROUNDUP(F10177*((E10177/21)/E10151),0)</f>
        <v>0</v>
      </c>
    </row>
    <row r="10178" spans="1:7" x14ac:dyDescent="0.25">
      <c r="A10178" s="50" t="s">
        <v>62</v>
      </c>
      <c r="B10178" s="220" t="str">
        <f>VLOOKUP(A10178,'Componentes APUs'!$S$1:$V$10,2,0)</f>
        <v>Templadoras</v>
      </c>
      <c r="C10178" s="220"/>
      <c r="D10178" s="50" t="s">
        <v>18</v>
      </c>
      <c r="E10178" s="50">
        <v>0</v>
      </c>
      <c r="F10178" s="51">
        <f>VLOOKUP(A10178,'Componentes APUs'!$S$1:$V$10,4,0)</f>
        <v>250000</v>
      </c>
      <c r="G10178" s="51">
        <f>ROUNDUP(F10178*((E10178/21)/E10151),0)</f>
        <v>0</v>
      </c>
    </row>
    <row r="10179" spans="1:7" x14ac:dyDescent="0.25">
      <c r="A10179" s="50" t="s">
        <v>328</v>
      </c>
      <c r="B10179" s="220" t="str">
        <f>VLOOKUP(A10179,'Componentes APUs'!$S$1:$V$10,2,0)</f>
        <v>Herramienta Menor</v>
      </c>
      <c r="C10179" s="220"/>
      <c r="D10179" s="50" t="s">
        <v>18</v>
      </c>
      <c r="E10179" s="50">
        <v>2</v>
      </c>
      <c r="F10179" s="51">
        <f>VLOOKUP(A10179,'Componentes APUs'!$S$1:$V$10,4,0)</f>
        <v>75758</v>
      </c>
      <c r="G10179" s="51">
        <f>ROUNDUP(F10179*((E10179/21)/E10151),0)</f>
        <v>482</v>
      </c>
    </row>
    <row r="10180" spans="1:7" x14ac:dyDescent="0.25">
      <c r="A10180" s="219" t="s">
        <v>69</v>
      </c>
      <c r="B10180" s="219"/>
      <c r="C10180" s="219"/>
      <c r="D10180" s="219"/>
      <c r="E10180" s="219"/>
      <c r="F10180" s="219"/>
      <c r="G10180" s="52">
        <f>SUM(G10174:G10179)</f>
        <v>549</v>
      </c>
    </row>
    <row r="10181" spans="1:7" x14ac:dyDescent="0.25">
      <c r="A10181" s="56"/>
      <c r="B10181" s="57"/>
      <c r="C10181" s="57"/>
      <c r="D10181" s="57"/>
      <c r="E10181" s="57"/>
      <c r="F10181" s="57"/>
      <c r="G10181" s="58"/>
    </row>
    <row r="10182" spans="1:7" x14ac:dyDescent="0.25">
      <c r="A10182" s="219" t="s">
        <v>70</v>
      </c>
      <c r="B10182" s="219"/>
      <c r="C10182" s="219"/>
      <c r="D10182" s="219"/>
      <c r="E10182" s="219"/>
      <c r="F10182" s="219"/>
      <c r="G10182" s="219"/>
    </row>
    <row r="10183" spans="1:7" x14ac:dyDescent="0.25">
      <c r="A10183" s="49" t="s">
        <v>35</v>
      </c>
      <c r="B10183" s="219" t="s">
        <v>36</v>
      </c>
      <c r="C10183" s="219"/>
      <c r="D10183" s="49" t="s">
        <v>37</v>
      </c>
      <c r="E10183" s="49" t="s">
        <v>38</v>
      </c>
      <c r="F10183" s="49" t="s">
        <v>39</v>
      </c>
      <c r="G10183" s="49" t="s">
        <v>40</v>
      </c>
    </row>
    <row r="10184" spans="1:7" x14ac:dyDescent="0.25">
      <c r="A10184" s="50" t="s">
        <v>71</v>
      </c>
      <c r="B10184" s="71" t="str">
        <f>VLOOKUP(A10184,'Componentes APUs'!$A$1:$D$14,2,0)</f>
        <v>Camisa indigo sin partes metalicas</v>
      </c>
      <c r="C10184" s="71"/>
      <c r="D10184" s="50" t="str">
        <f>VLOOKUP(A10184,'Componentes APUs'!$A$1:$D$14,3,0)</f>
        <v>U</v>
      </c>
      <c r="E10184" s="50">
        <f>SUM(C10164:C10169)</f>
        <v>2.75</v>
      </c>
      <c r="F10184" s="51">
        <f>VLOOKUP(A10184,'Componentes APUs'!$A$1:$D$14,4,0)</f>
        <v>8585.8585858585866</v>
      </c>
      <c r="G10184" s="51">
        <f>ROUNDUP(F10184*(E10184/21)/E10151,0)</f>
        <v>75</v>
      </c>
    </row>
    <row r="10185" spans="1:7" x14ac:dyDescent="0.25">
      <c r="A10185" s="69" t="s">
        <v>73</v>
      </c>
      <c r="B10185" s="72" t="str">
        <f>VLOOKUP(A10185,'Componentes APUs'!$A$1:$D$14,2,0)</f>
        <v>Bota de seguridad dielectrica</v>
      </c>
      <c r="C10185" s="73"/>
      <c r="D10185" s="70" t="str">
        <f>VLOOKUP(A10185,'Componentes APUs'!$A$1:$D$14,3,0)</f>
        <v>Par</v>
      </c>
      <c r="E10185" s="50">
        <f>SUM(C10164:C10169)</f>
        <v>2.75</v>
      </c>
      <c r="F10185" s="51">
        <f>VLOOKUP(A10185,'Componentes APUs'!$A$1:$D$14,4,0)</f>
        <v>7500</v>
      </c>
      <c r="G10185" s="51">
        <f>ROUNDUP(F10185*(E10185/21)/E10151,0)</f>
        <v>66</v>
      </c>
    </row>
    <row r="10186" spans="1:7" x14ac:dyDescent="0.25">
      <c r="A10186" s="50" t="s">
        <v>76</v>
      </c>
      <c r="B10186" s="72" t="str">
        <f>VLOOKUP(A10186,'Componentes APUs'!$A$1:$D$14,2,0)</f>
        <v>Casco dielectrico Tipo 1 Clase E con barbuquejo</v>
      </c>
      <c r="C10186" s="73"/>
      <c r="D10186" s="50" t="str">
        <f>VLOOKUP(A10186,'Componentes APUs'!$A$1:$D$14,3,0)</f>
        <v>U</v>
      </c>
      <c r="E10186" s="50">
        <f>C10164+C10167+C10168+C10165+C10169+IF(A10166&lt;&gt;"MO-3",C10166,0)</f>
        <v>1.75</v>
      </c>
      <c r="F10186" s="51">
        <f>VLOOKUP(A10186,'Componentes APUs'!$A$1:$D$14,4,0)</f>
        <v>10101.010101010101</v>
      </c>
      <c r="G10186" s="51">
        <f>ROUNDUP(F10186*(E10186/21)/E10151,0)</f>
        <v>57</v>
      </c>
    </row>
    <row r="10187" spans="1:7" x14ac:dyDescent="0.25">
      <c r="A10187" s="69" t="s">
        <v>77</v>
      </c>
      <c r="B10187" s="72" t="str">
        <f>VLOOKUP(A10187,'Componentes APUs'!$A$1:$D$14,2,0)</f>
        <v>Correa plastica y antiflama</v>
      </c>
      <c r="C10187" s="73"/>
      <c r="D10187" s="50" t="str">
        <f>VLOOKUP(A10187,'Componentes APUs'!$A$1:$D$14,3,0)</f>
        <v>U</v>
      </c>
      <c r="E10187" s="50">
        <f>SUM(C10164:C10169)</f>
        <v>2.75</v>
      </c>
      <c r="F10187" s="51">
        <f>VLOOKUP(A10187,'Componentes APUs'!$A$1:$D$14,4,0)</f>
        <v>3787.878787878788</v>
      </c>
      <c r="G10187" s="51">
        <f>ROUNDUP(F10187*(E10187/21)/E10151,0)</f>
        <v>34</v>
      </c>
    </row>
    <row r="10188" spans="1:7" x14ac:dyDescent="0.25">
      <c r="A10188" s="50" t="s">
        <v>79</v>
      </c>
      <c r="B10188" s="72" t="str">
        <f>VLOOKUP(A10188,'Componentes APUs'!$A$1:$D$14,2,0)</f>
        <v>Gafas protectoras filtro UV</v>
      </c>
      <c r="C10188" s="73"/>
      <c r="D10188" s="50" t="str">
        <f>VLOOKUP(A10188,'Componentes APUs'!$A$1:$D$14,3,0)</f>
        <v>U</v>
      </c>
      <c r="E10188" s="50">
        <f>SUM(C10164:C10169)</f>
        <v>2.75</v>
      </c>
      <c r="F10188" s="51">
        <f>VLOOKUP(A10188,'Componentes APUs'!$A$1:$D$14,4,0)</f>
        <v>2777.7777777777778</v>
      </c>
      <c r="G10188" s="51">
        <f>ROUNDUP(F10188*(E10188/21)/E10151,0)</f>
        <v>25</v>
      </c>
    </row>
    <row r="10189" spans="1:7" x14ac:dyDescent="0.25">
      <c r="A10189" s="69" t="s">
        <v>402</v>
      </c>
      <c r="B10189" s="72" t="str">
        <f>VLOOKUP(A10189,'Componentes APUs'!$A$1:$D$14,2,0)</f>
        <v>Bota de seguridad PVC dielectrica</v>
      </c>
      <c r="C10189" s="73"/>
      <c r="D10189" s="50" t="str">
        <f>VLOOKUP(A10189,'Componentes APUs'!$A$1:$D$14,3,0)</f>
        <v>Par</v>
      </c>
      <c r="E10189" s="50">
        <f>SUM(C10164:C10169)</f>
        <v>2.75</v>
      </c>
      <c r="F10189" s="51">
        <f>VLOOKUP(A10189,'Componentes APUs'!$A$1:$D$14,4,0)</f>
        <v>2916.6666666666665</v>
      </c>
      <c r="G10189" s="51">
        <f>ROUNDUP(F10189*(E10189/21)/E10151,0)</f>
        <v>26</v>
      </c>
    </row>
    <row r="10190" spans="1:7" x14ac:dyDescent="0.25">
      <c r="A10190" s="50" t="s">
        <v>403</v>
      </c>
      <c r="B10190" s="72" t="str">
        <f>VLOOKUP(A10190,'Componentes APUs'!$A$1:$D$14,2,0)</f>
        <v>Capuchon</v>
      </c>
      <c r="C10190" s="73"/>
      <c r="D10190" s="50" t="str">
        <f>VLOOKUP(A10190,'Componentes APUs'!$A$1:$D$14,3,0)</f>
        <v>U</v>
      </c>
      <c r="E10190" s="50">
        <f>SUM(C10164:C10169)</f>
        <v>2.75</v>
      </c>
      <c r="F10190" s="51">
        <f>VLOOKUP(A10190,'Componentes APUs'!$A$1:$D$14,4,0)</f>
        <v>2525.2525252525252</v>
      </c>
      <c r="G10190" s="51">
        <f>ROUNDUP(F10190*(E10190/21)/E10151,0)</f>
        <v>23</v>
      </c>
    </row>
    <row r="10191" spans="1:7" x14ac:dyDescent="0.25">
      <c r="A10191" s="69" t="s">
        <v>81</v>
      </c>
      <c r="B10191" s="72" t="str">
        <f>VLOOKUP(A10191,'Componentes APUs'!$A$1:$D$14,2,0)</f>
        <v>Guantes Protectores  - ingeniero reforzados</v>
      </c>
      <c r="C10191" s="73"/>
      <c r="D10191" s="50" t="str">
        <f>VLOOKUP(A10191,'Componentes APUs'!$A$1:$D$14,3,0)</f>
        <v>Par</v>
      </c>
      <c r="E10191" s="50">
        <f>C10166+C10167+C10169</f>
        <v>2</v>
      </c>
      <c r="F10191" s="51">
        <f>VLOOKUP(A10191,'Componentes APUs'!$A$1:$D$14,4,0)</f>
        <v>2525.2525252525252</v>
      </c>
      <c r="G10191" s="51">
        <f>ROUNDUP(F10191*(E10191/21)/E10151,0)</f>
        <v>17</v>
      </c>
    </row>
    <row r="10192" spans="1:7" x14ac:dyDescent="0.25">
      <c r="A10192" s="50" t="s">
        <v>83</v>
      </c>
      <c r="B10192" s="72" t="str">
        <f>VLOOKUP(A10192,'Componentes APUs'!$A$1:$D$14,2,0)</f>
        <v>Impermeable (pantalon camisa)</v>
      </c>
      <c r="C10192" s="73"/>
      <c r="D10192" s="50" t="str">
        <f>VLOOKUP(A10192,'Componentes APUs'!$A$1:$D$14,3,0)</f>
        <v>U</v>
      </c>
      <c r="E10192" s="50">
        <f>SUM(C10164:C10169)</f>
        <v>2.75</v>
      </c>
      <c r="F10192" s="51">
        <f>VLOOKUP(A10192,'Componentes APUs'!$A$1:$D$14,4,0)</f>
        <v>3750</v>
      </c>
      <c r="G10192" s="51">
        <f>ROUNDUP(F10192*(E10192/21)/E10151,0)</f>
        <v>33</v>
      </c>
    </row>
    <row r="10193" spans="1:7" x14ac:dyDescent="0.25">
      <c r="A10193" s="69" t="s">
        <v>85</v>
      </c>
      <c r="B10193" s="72" t="str">
        <f>VLOOKUP(A10193,'Componentes APUs'!$A$1:$D$14,2,0)</f>
        <v>Jean Dielectrico</v>
      </c>
      <c r="C10193" s="73"/>
      <c r="D10193" s="50" t="str">
        <f>VLOOKUP(A10193,'Componentes APUs'!$A$1:$D$14,3,0)</f>
        <v>U</v>
      </c>
      <c r="E10193" s="50">
        <f>SUM(C10164:C10169)</f>
        <v>2.75</v>
      </c>
      <c r="F10193" s="51">
        <f>VLOOKUP(A10193,'Componentes APUs'!$A$1:$D$14,4,0)</f>
        <v>7575.757575757576</v>
      </c>
      <c r="G10193" s="51">
        <f>ROUNDUP(F10193*(E10193/21)/E10151,0)</f>
        <v>67</v>
      </c>
    </row>
    <row r="10194" spans="1:7" x14ac:dyDescent="0.25">
      <c r="A10194" s="50" t="s">
        <v>87</v>
      </c>
      <c r="B10194" s="72" t="str">
        <f>VLOOKUP(A10194,'Componentes APUs'!$A$1:$D$14,2,0)</f>
        <v>Casco dielectrico Tipo 2 Clase E con barboquejo</v>
      </c>
      <c r="C10194" s="73"/>
      <c r="D10194" s="50" t="str">
        <f>VLOOKUP(A10194,'Componentes APUs'!$A$1:$D$14,3,0)</f>
        <v>U</v>
      </c>
      <c r="E10194" s="53">
        <f>IF(A10166="MO-3",C10166,0)</f>
        <v>1</v>
      </c>
      <c r="F10194" s="51">
        <f>VLOOKUP(A10194,'Componentes APUs'!$A$1:$D$14,4,0)</f>
        <v>7500</v>
      </c>
      <c r="G10194" s="51">
        <f>ROUNDUP(F10194*(E10194/21)/E10151,0)</f>
        <v>24</v>
      </c>
    </row>
    <row r="10195" spans="1:7" x14ac:dyDescent="0.25">
      <c r="A10195" s="69" t="s">
        <v>89</v>
      </c>
      <c r="B10195" s="72" t="str">
        <f>VLOOKUP(A10195,'Componentes APUs'!$A$1:$D$14,2,0)</f>
        <v>Kit de rescate para trabajo en alturas</v>
      </c>
      <c r="C10195" s="73"/>
      <c r="D10195" s="50" t="str">
        <f>VLOOKUP(A10195,'Componentes APUs'!$A$1:$D$14,3,0)</f>
        <v>U</v>
      </c>
      <c r="E10195" s="50">
        <f>IF(AND(A10166="MO-3",C10166=2),1,0)</f>
        <v>0</v>
      </c>
      <c r="F10195" s="51">
        <f>VLOOKUP(A10195,'Componentes APUs'!$A$1:$D$14,4,0)</f>
        <v>37500</v>
      </c>
      <c r="G10195" s="51">
        <f>ROUNDUP(F10195*(E10195/21)/E10151,0)</f>
        <v>0</v>
      </c>
    </row>
    <row r="10196" spans="1:7" x14ac:dyDescent="0.25">
      <c r="A10196" s="50" t="s">
        <v>91</v>
      </c>
      <c r="B10196" s="72" t="str">
        <f>VLOOKUP(A10196,'Componentes APUs'!$A$1:$D$14,2,0)</f>
        <v>Equipo completo para trabajo en alturas con pretales (Arnes dielectrico, 1 mosqueton de seguridad, tie off dielectrico, eslinga de posicionamiento, juego de pretales)</v>
      </c>
      <c r="C10196" s="73"/>
      <c r="D10196" s="50" t="str">
        <f>VLOOKUP(A10196,'Componentes APUs'!$A$1:$D$14,3,0)</f>
        <v>U</v>
      </c>
      <c r="E10196" s="50">
        <f>IF(A10166="MO-3",C10166,0)</f>
        <v>1</v>
      </c>
      <c r="F10196" s="51">
        <f>VLOOKUP(A10196,'Componentes APUs'!$A$1:$D$14,4,0)</f>
        <v>26041.666666666668</v>
      </c>
      <c r="G10196" s="51">
        <f>ROUNDUP(F10196*(E10196/21)/E10151,0)</f>
        <v>83</v>
      </c>
    </row>
    <row r="10197" spans="1:7" x14ac:dyDescent="0.25">
      <c r="A10197" s="219" t="s">
        <v>95</v>
      </c>
      <c r="B10197" s="219"/>
      <c r="C10197" s="219"/>
      <c r="D10197" s="219"/>
      <c r="E10197" s="219"/>
      <c r="F10197" s="219"/>
      <c r="G10197" s="52">
        <f>SUM(G10184:G10196)</f>
        <v>530</v>
      </c>
    </row>
    <row r="10198" spans="1:7" x14ac:dyDescent="0.25">
      <c r="A10198" s="56"/>
      <c r="B10198" s="57"/>
      <c r="C10198" s="57"/>
      <c r="D10198" s="57"/>
      <c r="E10198" s="57"/>
      <c r="F10198" s="57"/>
      <c r="G10198" s="58"/>
    </row>
    <row r="10199" spans="1:7" x14ac:dyDescent="0.25">
      <c r="A10199" s="219" t="s">
        <v>96</v>
      </c>
      <c r="B10199" s="219"/>
      <c r="C10199" s="219"/>
      <c r="D10199" s="219"/>
      <c r="E10199" s="219"/>
      <c r="F10199" s="219"/>
      <c r="G10199" s="219"/>
    </row>
    <row r="10200" spans="1:7" x14ac:dyDescent="0.25">
      <c r="A10200" s="49" t="s">
        <v>35</v>
      </c>
      <c r="B10200" s="225" t="s">
        <v>36</v>
      </c>
      <c r="C10200" s="225"/>
      <c r="D10200" s="49" t="s">
        <v>37</v>
      </c>
      <c r="E10200" s="49" t="s">
        <v>38</v>
      </c>
      <c r="F10200" s="49" t="s">
        <v>39</v>
      </c>
      <c r="G10200" s="49" t="s">
        <v>40</v>
      </c>
    </row>
    <row r="10201" spans="1:7" x14ac:dyDescent="0.25">
      <c r="A10201" s="69" t="s">
        <v>97</v>
      </c>
      <c r="B10201" s="72" t="str">
        <f>VLOOKUP(A10201,'Componentes APUs'!$N$1:$Q$30,2,0)</f>
        <v>Camioneta</v>
      </c>
      <c r="C10201" s="73"/>
      <c r="D10201" s="70" t="str">
        <f>VLOOKUP(A10201,'Componentes APUs'!$N$1:$Q$30,3,0)</f>
        <v>U</v>
      </c>
      <c r="E10201" s="50">
        <v>1</v>
      </c>
      <c r="F10201" s="51">
        <f>VLOOKUP(A10201,'Componentes APUs'!$N$1:$Q$30,4,0)</f>
        <v>5500000</v>
      </c>
      <c r="G10201" s="51">
        <f>IFERROR(ROUNDUP(F10201*(E10201/21)/E10151,0),"-")</f>
        <v>17461</v>
      </c>
    </row>
    <row r="10202" spans="1:7" x14ac:dyDescent="0.25">
      <c r="A10202" s="50" t="s">
        <v>321</v>
      </c>
      <c r="B10202" s="72" t="str">
        <f>VLOOKUP(A10202,'Componentes APUs'!$N$1:$Q$30,2,0)</f>
        <v>Grúa Hidráulica</v>
      </c>
      <c r="C10202" s="73"/>
      <c r="D10202" s="70" t="str">
        <f>VLOOKUP(A10202,'Componentes APUs'!$N$1:$Q$30,3,0)</f>
        <v>U</v>
      </c>
      <c r="E10202" s="50">
        <v>0</v>
      </c>
      <c r="F10202" s="51">
        <f>VLOOKUP(A10202,'Componentes APUs'!$N$1:$Q$30,4,0)</f>
        <v>21000000</v>
      </c>
      <c r="G10202" s="51">
        <f>IFERROR(ROUNDUP(F10202*(E10202/21)/E10151,0),"-")</f>
        <v>0</v>
      </c>
    </row>
    <row r="10203" spans="1:7" x14ac:dyDescent="0.25">
      <c r="A10203" s="69" t="s">
        <v>322</v>
      </c>
      <c r="B10203" s="72" t="str">
        <f>VLOOKUP(A10203,'Componentes APUs'!$N$1:$Q$30,2,0)</f>
        <v>Camabaja</v>
      </c>
      <c r="C10203" s="73"/>
      <c r="D10203" s="70" t="str">
        <f>VLOOKUP(A10203,'Componentes APUs'!$N$1:$Q$30,3,0)</f>
        <v>TON/KM</v>
      </c>
      <c r="E10203" s="50">
        <v>0</v>
      </c>
      <c r="F10203" s="51">
        <f>VLOOKUP(A10203,'Componentes APUs'!$N$1:$Q$30,4,0)</f>
        <v>611</v>
      </c>
      <c r="G10203" s="51">
        <f>IFERROR(ROUNDUP(F10203*(E10203/21)/E10151,0),"-")</f>
        <v>0</v>
      </c>
    </row>
    <row r="10204" spans="1:7" x14ac:dyDescent="0.25">
      <c r="A10204" s="50" t="s">
        <v>323</v>
      </c>
      <c r="B10204" s="72" t="str">
        <f>VLOOKUP(A10204,'Componentes APUs'!$N$1:$Q$30,2,0)</f>
        <v>Volqueta</v>
      </c>
      <c r="C10204" s="73"/>
      <c r="D10204" s="70" t="str">
        <f>VLOOKUP(A10204,'Componentes APUs'!$N$1:$Q$30,3,0)</f>
        <v>U</v>
      </c>
      <c r="E10204" s="50">
        <v>0</v>
      </c>
      <c r="F10204" s="51">
        <f>VLOOKUP(A10204,'Componentes APUs'!$N$1:$Q$30,4,0)</f>
        <v>14828184</v>
      </c>
      <c r="G10204" s="51">
        <f>IFERROR(ROUNDUP(F10204*(E10204/21)/E10151,0),"-")</f>
        <v>0</v>
      </c>
    </row>
    <row r="10205" spans="1:7" x14ac:dyDescent="0.25">
      <c r="A10205" s="69" t="s">
        <v>324</v>
      </c>
      <c r="B10205" s="72" t="str">
        <f>VLOOKUP(A10205,'Componentes APUs'!$N$1:$Q$30,2,0)</f>
        <v>Retroexcavadora</v>
      </c>
      <c r="C10205" s="73"/>
      <c r="D10205" s="70" t="str">
        <f>VLOOKUP(A10205,'Componentes APUs'!$N$1:$Q$30,3,0)</f>
        <v>U</v>
      </c>
      <c r="E10205" s="50">
        <v>0</v>
      </c>
      <c r="F10205" s="51">
        <f>VLOOKUP(A10205,'Componentes APUs'!$N$1:$Q$30,4,0)</f>
        <v>46030656</v>
      </c>
      <c r="G10205" s="51">
        <f>IFERROR(ROUNDUP(F10205*(E10205/21)/E10151,0),"-")</f>
        <v>0</v>
      </c>
    </row>
    <row r="10206" spans="1:7" x14ac:dyDescent="0.25">
      <c r="A10206" s="219" t="s">
        <v>99</v>
      </c>
      <c r="B10206" s="219"/>
      <c r="C10206" s="219"/>
      <c r="D10206" s="219"/>
      <c r="E10206" s="219"/>
      <c r="F10206" s="219"/>
      <c r="G10206" s="52">
        <f>SUM(G10201:G10205)</f>
        <v>17461</v>
      </c>
    </row>
    <row r="10207" spans="1:7" x14ac:dyDescent="0.25">
      <c r="A10207" s="56"/>
      <c r="B10207" s="57"/>
      <c r="C10207" s="57"/>
      <c r="D10207" s="57"/>
      <c r="E10207" s="57"/>
      <c r="F10207" s="57"/>
      <c r="G10207" s="58"/>
    </row>
    <row r="10208" spans="1:7" x14ac:dyDescent="0.25">
      <c r="A10208" s="219" t="s">
        <v>1516</v>
      </c>
      <c r="B10208" s="219"/>
      <c r="C10208" s="219"/>
      <c r="D10208" s="219"/>
      <c r="E10208" s="219"/>
      <c r="F10208" s="219"/>
      <c r="G10208" s="52">
        <f>G10206+G10197+G10180+G10170+G10160</f>
        <v>215297</v>
      </c>
    </row>
    <row r="10209" spans="1:7" x14ac:dyDescent="0.25">
      <c r="A10209" s="59"/>
      <c r="B10209" s="60"/>
      <c r="C10209" s="60"/>
      <c r="D10209" s="60"/>
      <c r="E10209" s="57"/>
      <c r="F10209" s="57"/>
      <c r="G10209" s="58"/>
    </row>
    <row r="10210" spans="1:7" x14ac:dyDescent="0.25">
      <c r="A10210" s="64"/>
      <c r="D10210" s="55"/>
      <c r="E10210" s="49" t="s">
        <v>25</v>
      </c>
      <c r="F10210" s="54">
        <v>0.15</v>
      </c>
      <c r="G10210" s="51">
        <f>G10208*F10210</f>
        <v>32294.55</v>
      </c>
    </row>
    <row r="10211" spans="1:7" x14ac:dyDescent="0.25">
      <c r="A10211" s="64"/>
      <c r="D10211" s="55"/>
      <c r="E10211" s="49" t="s">
        <v>26</v>
      </c>
      <c r="F10211" s="54">
        <v>0.05</v>
      </c>
      <c r="G10211" s="51">
        <f>G10208*F10211</f>
        <v>10764.85</v>
      </c>
    </row>
    <row r="10212" spans="1:7" x14ac:dyDescent="0.25">
      <c r="A10212" s="61"/>
      <c r="B10212" s="65"/>
      <c r="C10212" s="65"/>
      <c r="D10212" s="62"/>
      <c r="E10212" s="49" t="s">
        <v>27</v>
      </c>
      <c r="F10212" s="54">
        <v>0.05</v>
      </c>
      <c r="G10212" s="51">
        <f>G10208*F10212</f>
        <v>10764.85</v>
      </c>
    </row>
    <row r="10213" spans="1:7" x14ac:dyDescent="0.25">
      <c r="A10213" s="61"/>
      <c r="B10213" s="62"/>
      <c r="C10213" s="62"/>
      <c r="D10213" s="62"/>
      <c r="E10213" s="62"/>
      <c r="F10213" s="62"/>
      <c r="G10213" s="63"/>
    </row>
    <row r="10214" spans="1:7" x14ac:dyDescent="0.25">
      <c r="A10214" s="219" t="s">
        <v>1517</v>
      </c>
      <c r="B10214" s="219"/>
      <c r="C10214" s="219"/>
      <c r="D10214" s="219"/>
      <c r="E10214" s="219"/>
      <c r="F10214" s="219"/>
      <c r="G10214" s="52">
        <f>G10208+G10210+G10211+G10212</f>
        <v>269121.25</v>
      </c>
    </row>
    <row r="10215" spans="1:7" x14ac:dyDescent="0.25">
      <c r="A10215" s="59"/>
      <c r="B10215" s="60"/>
      <c r="C10215" s="60"/>
      <c r="D10215" s="60"/>
      <c r="E10215" s="57"/>
      <c r="F10215" s="57"/>
      <c r="G10215" s="58"/>
    </row>
    <row r="10216" spans="1:7" x14ac:dyDescent="0.25">
      <c r="A10216" s="64"/>
      <c r="D10216" s="55"/>
      <c r="E10216" s="49" t="s">
        <v>102</v>
      </c>
      <c r="F10216" s="49" t="s">
        <v>103</v>
      </c>
      <c r="G10216" s="51">
        <f>G10212*19%</f>
        <v>2045.3215</v>
      </c>
    </row>
    <row r="10217" spans="1:7" x14ac:dyDescent="0.25">
      <c r="A10217" s="61"/>
      <c r="B10217" s="62"/>
      <c r="C10217" s="62"/>
      <c r="D10217" s="62"/>
      <c r="E10217" s="57"/>
      <c r="F10217" s="57"/>
      <c r="G10217" s="58"/>
    </row>
    <row r="10218" spans="1:7" x14ac:dyDescent="0.25">
      <c r="A10218" s="219" t="s">
        <v>104</v>
      </c>
      <c r="B10218" s="219"/>
      <c r="C10218" s="219"/>
      <c r="D10218" s="219"/>
      <c r="E10218" s="219"/>
      <c r="F10218" s="219"/>
      <c r="G10218" s="52">
        <f>G10216+G10214</f>
        <v>271166.57150000002</v>
      </c>
    </row>
    <row r="10220" spans="1:7" x14ac:dyDescent="0.25">
      <c r="A10220" s="74" t="s">
        <v>29</v>
      </c>
      <c r="B10220" s="226" t="s">
        <v>30</v>
      </c>
      <c r="C10220" s="226"/>
      <c r="D10220" s="74" t="s">
        <v>31</v>
      </c>
      <c r="E10220" s="74" t="s">
        <v>32</v>
      </c>
      <c r="F10220" s="74" t="s">
        <v>189</v>
      </c>
      <c r="G10220" s="74" t="s">
        <v>33</v>
      </c>
    </row>
    <row r="10221" spans="1:7" ht="34.5" customHeight="1" x14ac:dyDescent="0.25">
      <c r="A10221" s="50" t="str">
        <f>Presupuesto!B186</f>
        <v>010_CA</v>
      </c>
      <c r="B10221" s="220" t="str">
        <f>Presupuesto!C186</f>
        <v>SUMINISTRO E INSTALACIÓN DE PROTECCIÓN EN CONCRETO DE 2500 PSI DE 100 X 5 CM PARA CRUCES DE CONDUCTORES EN VIA</v>
      </c>
      <c r="C10221" s="220"/>
      <c r="D10221" s="50" t="s">
        <v>108</v>
      </c>
      <c r="E10221" s="50">
        <v>30</v>
      </c>
      <c r="F10221" s="50"/>
      <c r="G10221" s="51">
        <f>G10284</f>
        <v>87722.915500000003</v>
      </c>
    </row>
    <row r="10222" spans="1:7" x14ac:dyDescent="0.25">
      <c r="A10222" s="219" t="s">
        <v>34</v>
      </c>
      <c r="B10222" s="219"/>
      <c r="C10222" s="219"/>
      <c r="D10222" s="219"/>
      <c r="E10222" s="219"/>
      <c r="F10222" s="219"/>
      <c r="G10222" s="219"/>
    </row>
    <row r="10223" spans="1:7" x14ac:dyDescent="0.25">
      <c r="A10223" s="49" t="s">
        <v>35</v>
      </c>
      <c r="B10223" s="219" t="s">
        <v>36</v>
      </c>
      <c r="C10223" s="219"/>
      <c r="D10223" s="49" t="s">
        <v>37</v>
      </c>
      <c r="E10223" s="49" t="s">
        <v>38</v>
      </c>
      <c r="F10223" s="49" t="s">
        <v>39</v>
      </c>
      <c r="G10223" s="49" t="s">
        <v>40</v>
      </c>
    </row>
    <row r="10224" spans="1:7" x14ac:dyDescent="0.25">
      <c r="A10224" s="17" t="str">
        <f>Material!A191</f>
        <v>MA-190</v>
      </c>
      <c r="B10224" s="72" t="str">
        <f>IFERROR(VLOOKUP(A10224,Material!$A:$H,2,0),"-")</f>
        <v>CONCRETO PARA SOLADO 2500 PSI</v>
      </c>
      <c r="C10224" s="73"/>
      <c r="D10224" s="50" t="str">
        <f>IFERROR(VLOOKUP(A10224,Material!$A:$H,4,0),"-")</f>
        <v>M3</v>
      </c>
      <c r="E10224" s="96">
        <f>1*0.05</f>
        <v>0.05</v>
      </c>
      <c r="F10224" s="51">
        <f>IFERROR(VLOOKUP(A10224,Material!$A:$H,3,0),"-")</f>
        <v>760500</v>
      </c>
      <c r="G10224" s="51">
        <f t="shared" ref="G10224" si="145">IFERROR(ROUNDUP(F10224*E10224,0),"-")</f>
        <v>38025</v>
      </c>
    </row>
    <row r="10225" spans="1:7" x14ac:dyDescent="0.25">
      <c r="A10225" s="17"/>
      <c r="B10225" s="139"/>
      <c r="C10225" s="73"/>
      <c r="D10225" s="50"/>
      <c r="E10225" s="96"/>
      <c r="F10225" s="51"/>
      <c r="G10225" s="51"/>
    </row>
    <row r="10226" spans="1:7" x14ac:dyDescent="0.25">
      <c r="A10226" s="219" t="s">
        <v>41</v>
      </c>
      <c r="B10226" s="219"/>
      <c r="C10226" s="219"/>
      <c r="D10226" s="219"/>
      <c r="E10226" s="219"/>
      <c r="F10226" s="219"/>
      <c r="G10226" s="52">
        <f>SUM(G10224:G10225)</f>
        <v>38025</v>
      </c>
    </row>
    <row r="10227" spans="1:7" x14ac:dyDescent="0.25">
      <c r="A10227" s="56"/>
      <c r="B10227" s="57"/>
      <c r="C10227" s="57"/>
      <c r="D10227" s="57"/>
      <c r="E10227" s="57"/>
      <c r="F10227" s="57"/>
      <c r="G10227" s="58"/>
    </row>
    <row r="10228" spans="1:7" x14ac:dyDescent="0.25">
      <c r="A10228" s="219" t="s">
        <v>42</v>
      </c>
      <c r="B10228" s="219"/>
      <c r="C10228" s="219"/>
      <c r="D10228" s="219"/>
      <c r="E10228" s="219"/>
      <c r="F10228" s="219"/>
      <c r="G10228" s="219"/>
    </row>
    <row r="10229" spans="1:7" x14ac:dyDescent="0.25">
      <c r="A10229" s="49" t="s">
        <v>35</v>
      </c>
      <c r="B10229" s="49" t="s">
        <v>36</v>
      </c>
      <c r="C10229" s="49" t="s">
        <v>38</v>
      </c>
      <c r="D10229" s="49" t="s">
        <v>43</v>
      </c>
      <c r="E10229" s="49" t="s">
        <v>44</v>
      </c>
      <c r="F10229" s="49" t="s">
        <v>45</v>
      </c>
      <c r="G10229" s="49" t="s">
        <v>40</v>
      </c>
    </row>
    <row r="10230" spans="1:7" x14ac:dyDescent="0.25">
      <c r="A10230" s="50" t="s">
        <v>319</v>
      </c>
      <c r="B10230" s="68" t="str">
        <f>VLOOKUP(A10230,'Componentes APUs'!$H$1:$L$25,2,0)</f>
        <v>Ingeniero Residente de Obra</v>
      </c>
      <c r="C10230" s="93">
        <v>0.25</v>
      </c>
      <c r="D10230" s="50">
        <f>VLOOKUP(A10230,'Componentes APUs'!$H$1:$L$25,3,0)</f>
        <v>4</v>
      </c>
      <c r="E10230" s="51">
        <f>VLOOKUP(A10230,'Componentes APUs'!$H$1:$L$25,4,0)</f>
        <v>271142.85714285716</v>
      </c>
      <c r="F10230" s="51">
        <f>VLOOKUP(A10230,'Componentes APUs'!$H$1:$L$25,5,0)</f>
        <v>162685.71428571429</v>
      </c>
      <c r="G10230" s="51">
        <f>ROUNDUP((E10230+F10230)*C10230/E10221,0)</f>
        <v>3616</v>
      </c>
    </row>
    <row r="10231" spans="1:7" x14ac:dyDescent="0.25">
      <c r="A10231" s="50" t="s">
        <v>320</v>
      </c>
      <c r="B10231" s="68" t="str">
        <f>VLOOKUP(A10231,'Componentes APUs'!$H$1:$L$25,2,0)</f>
        <v>Tecnico Supervisor</v>
      </c>
      <c r="C10231" s="93">
        <v>0.25</v>
      </c>
      <c r="D10231" s="50">
        <f>VLOOKUP(A10231,'Componentes APUs'!$H$1:$L$25,3,0)</f>
        <v>2.2999999999999998</v>
      </c>
      <c r="E10231" s="51">
        <f>VLOOKUP(A10231,'Componentes APUs'!$H$1:$L$25,4,0)</f>
        <v>155907.14285714284</v>
      </c>
      <c r="F10231" s="51">
        <f>VLOOKUP(A10231,'Componentes APUs'!$H$1:$L$25,5,0)</f>
        <v>93544.285714285696</v>
      </c>
      <c r="G10231" s="51">
        <f>ROUNDUP((E10231+F10231)*C10231/E10221,0)</f>
        <v>2079</v>
      </c>
    </row>
    <row r="10232" spans="1:7" x14ac:dyDescent="0.25">
      <c r="A10232" s="50" t="s">
        <v>1160</v>
      </c>
      <c r="B10232" s="68" t="str">
        <f>VLOOKUP(A10232,'Componentes APUs'!$H$1:$L$25,2,0)</f>
        <v>Oficial Eléctrico</v>
      </c>
      <c r="C10232" s="93">
        <v>1</v>
      </c>
      <c r="D10232" s="50">
        <f>VLOOKUP(A10232,'Componentes APUs'!$H$1:$L$25,3,0)</f>
        <v>2</v>
      </c>
      <c r="E10232" s="51">
        <f>VLOOKUP(A10232,'Componentes APUs'!$H$1:$L$25,4,0)</f>
        <v>154619.04761904763</v>
      </c>
      <c r="F10232" s="51">
        <f>VLOOKUP(A10232,'Componentes APUs'!$H$1:$L$25,5,0)</f>
        <v>92771.42857142858</v>
      </c>
      <c r="G10232" s="51">
        <f>ROUNDUP((E10232+F10232)*C10232/E10221,0)</f>
        <v>8247</v>
      </c>
    </row>
    <row r="10233" spans="1:7" x14ac:dyDescent="0.25">
      <c r="A10233" s="50" t="s">
        <v>48</v>
      </c>
      <c r="B10233" s="68" t="str">
        <f>VLOOKUP(A10233,'Componentes APUs'!$H$1:$L$25,2,0)</f>
        <v>Ayudante Calificado</v>
      </c>
      <c r="C10233" s="93">
        <v>1</v>
      </c>
      <c r="D10233" s="50">
        <f>VLOOKUP(A10233,'Componentes APUs'!$H$1:$L$25,3,0)</f>
        <v>1.5</v>
      </c>
      <c r="E10233" s="51">
        <f>VLOOKUP(A10233,'Componentes APUs'!$H$1:$L$25,4,0)</f>
        <v>115964.28571428571</v>
      </c>
      <c r="F10233" s="51">
        <f>VLOOKUP(A10233,'Componentes APUs'!$H$1:$L$25,5,0)</f>
        <v>69578.57142857142</v>
      </c>
      <c r="G10233" s="51">
        <f>ROUNDUP((E10233+F10233)*C10233/E10221,0)</f>
        <v>6185</v>
      </c>
    </row>
    <row r="10234" spans="1:7" x14ac:dyDescent="0.25">
      <c r="A10234" s="50" t="s">
        <v>50</v>
      </c>
      <c r="B10234" s="68" t="str">
        <f>VLOOKUP(A10234,'Componentes APUs'!$H$1:$L$25,2,0)</f>
        <v>Profesional en SST</v>
      </c>
      <c r="C10234" s="93">
        <v>0.25</v>
      </c>
      <c r="D10234" s="50">
        <f>VLOOKUP(A10234,'Componentes APUs'!$H$1:$L$25,3,0)</f>
        <v>2.5</v>
      </c>
      <c r="E10234" s="51">
        <f>VLOOKUP(A10234,'Componentes APUs'!$H$1:$L$25,4,0)</f>
        <v>169464.28571428571</v>
      </c>
      <c r="F10234" s="51">
        <f>VLOOKUP(A10234,'Componentes APUs'!$H$1:$L$25,5,0)</f>
        <v>101678.57142857142</v>
      </c>
      <c r="G10234" s="51">
        <f>ROUNDUP((E10234+F10234)*C10234/E10221,0)</f>
        <v>2260</v>
      </c>
    </row>
    <row r="10235" spans="1:7" x14ac:dyDescent="0.25">
      <c r="A10235" s="50" t="s">
        <v>52</v>
      </c>
      <c r="B10235" s="68" t="str">
        <f>VLOOKUP(A10235,'Componentes APUs'!$H$1:$L$25,2,0)</f>
        <v>Ayudante No Calificado</v>
      </c>
      <c r="C10235" s="93">
        <v>0</v>
      </c>
      <c r="D10235" s="50">
        <f>VLOOKUP(A10235,'Componentes APUs'!$H$1:$L$25,3,0)</f>
        <v>1</v>
      </c>
      <c r="E10235" s="51">
        <f>VLOOKUP(A10235,'Componentes APUs'!$H$1:$L$25,4,0)</f>
        <v>77309.523809523816</v>
      </c>
      <c r="F10235" s="51">
        <f>VLOOKUP(A10235,'Componentes APUs'!$H$1:$L$25,5,0)</f>
        <v>46385.71428571429</v>
      </c>
      <c r="G10235" s="51">
        <f>ROUNDUP((E10235+F10235)*C10235/E10221,0)</f>
        <v>0</v>
      </c>
    </row>
    <row r="10236" spans="1:7" x14ac:dyDescent="0.25">
      <c r="A10236" s="219" t="s">
        <v>56</v>
      </c>
      <c r="B10236" s="219"/>
      <c r="C10236" s="219"/>
      <c r="D10236" s="219"/>
      <c r="E10236" s="219"/>
      <c r="F10236" s="219"/>
      <c r="G10236" s="52">
        <f>SUM(G10230:G10235)</f>
        <v>22387</v>
      </c>
    </row>
    <row r="10237" spans="1:7" x14ac:dyDescent="0.25">
      <c r="A10237" s="56"/>
      <c r="B10237" s="57"/>
      <c r="C10237" s="57"/>
      <c r="D10237" s="57"/>
      <c r="E10237" s="57"/>
      <c r="F10237" s="57"/>
      <c r="G10237" s="58"/>
    </row>
    <row r="10238" spans="1:7" x14ac:dyDescent="0.25">
      <c r="A10238" s="219" t="s">
        <v>57</v>
      </c>
      <c r="B10238" s="219"/>
      <c r="C10238" s="219"/>
      <c r="D10238" s="219"/>
      <c r="E10238" s="219"/>
      <c r="F10238" s="219"/>
      <c r="G10238" s="219"/>
    </row>
    <row r="10239" spans="1:7" x14ac:dyDescent="0.25">
      <c r="A10239" s="49" t="s">
        <v>35</v>
      </c>
      <c r="B10239" s="219" t="s">
        <v>36</v>
      </c>
      <c r="C10239" s="219"/>
      <c r="D10239" s="49" t="s">
        <v>37</v>
      </c>
      <c r="E10239" s="49" t="s">
        <v>38</v>
      </c>
      <c r="F10239" s="49" t="s">
        <v>39</v>
      </c>
      <c r="G10239" s="49" t="s">
        <v>40</v>
      </c>
    </row>
    <row r="10240" spans="1:7" x14ac:dyDescent="0.25">
      <c r="A10240" s="50" t="s">
        <v>326</v>
      </c>
      <c r="B10240" s="220" t="str">
        <f>VLOOKUP(A10240,'Componentes APUs'!$S$1:$V$10,2,0)</f>
        <v>Juego Llaves</v>
      </c>
      <c r="C10240" s="220"/>
      <c r="D10240" s="50" t="s">
        <v>18</v>
      </c>
      <c r="E10240" s="50">
        <v>2</v>
      </c>
      <c r="F10240" s="51">
        <f>VLOOKUP(A10240,'Componentes APUs'!$S$1:$V$10,4,0)</f>
        <v>9167</v>
      </c>
      <c r="G10240" s="51">
        <f>ROUNDUP(F10240*((E10240/21)/E10221),0)</f>
        <v>30</v>
      </c>
    </row>
    <row r="10241" spans="1:7" x14ac:dyDescent="0.25">
      <c r="A10241" s="50" t="s">
        <v>58</v>
      </c>
      <c r="B10241" s="220" t="str">
        <f>VLOOKUP(A10241,'Componentes APUs'!$S$1:$V$10,2,0)</f>
        <v>Manila de servicio</v>
      </c>
      <c r="C10241" s="220"/>
      <c r="D10241" s="50" t="s">
        <v>18</v>
      </c>
      <c r="E10241" s="50">
        <v>0</v>
      </c>
      <c r="F10241" s="51">
        <f>VLOOKUP(A10241,'Componentes APUs'!$S$1:$V$10,4,0)</f>
        <v>2333</v>
      </c>
      <c r="G10241" s="51">
        <f>ROUNDUP(F10241*((E10241/21)/E10221),0)</f>
        <v>0</v>
      </c>
    </row>
    <row r="10242" spans="1:7" x14ac:dyDescent="0.25">
      <c r="A10242" s="50" t="s">
        <v>327</v>
      </c>
      <c r="B10242" s="220" t="str">
        <f>VLOOKUP(A10242,'Componentes APUs'!$S$1:$V$10,2,0)</f>
        <v>Tula portaherramientas</v>
      </c>
      <c r="C10242" s="220"/>
      <c r="D10242" s="50" t="s">
        <v>18</v>
      </c>
      <c r="E10242" s="50">
        <v>2</v>
      </c>
      <c r="F10242" s="51">
        <f>VLOOKUP(A10242,'Componentes APUs'!$S$1:$V$10,4,0)</f>
        <v>1250</v>
      </c>
      <c r="G10242" s="51">
        <f>ROUNDUP(F10242*((E10242/21)/E10221),0)</f>
        <v>4</v>
      </c>
    </row>
    <row r="10243" spans="1:7" x14ac:dyDescent="0.25">
      <c r="A10243" s="50" t="s">
        <v>60</v>
      </c>
      <c r="B10243" s="220" t="str">
        <f>VLOOKUP(A10243,'Componentes APUs'!$S$1:$V$10,2,0)</f>
        <v>Agarradoras</v>
      </c>
      <c r="C10243" s="220"/>
      <c r="D10243" s="50" t="s">
        <v>18</v>
      </c>
      <c r="E10243" s="50">
        <v>0</v>
      </c>
      <c r="F10243" s="51">
        <f>VLOOKUP(A10243,'Componentes APUs'!$S$1:$V$10,4,0)</f>
        <v>125000</v>
      </c>
      <c r="G10243" s="51">
        <f>ROUNDUP(F10243*((E10243/21)/E10221),0)</f>
        <v>0</v>
      </c>
    </row>
    <row r="10244" spans="1:7" x14ac:dyDescent="0.25">
      <c r="A10244" s="50" t="s">
        <v>62</v>
      </c>
      <c r="B10244" s="220" t="str">
        <f>VLOOKUP(A10244,'Componentes APUs'!$S$1:$V$10,2,0)</f>
        <v>Templadoras</v>
      </c>
      <c r="C10244" s="220"/>
      <c r="D10244" s="50" t="s">
        <v>18</v>
      </c>
      <c r="E10244" s="50">
        <v>0</v>
      </c>
      <c r="F10244" s="51">
        <f>VLOOKUP(A10244,'Componentes APUs'!$S$1:$V$10,4,0)</f>
        <v>250000</v>
      </c>
      <c r="G10244" s="51">
        <f>ROUNDUP(F10244*((E10244/21)/E10221),0)</f>
        <v>0</v>
      </c>
    </row>
    <row r="10245" spans="1:7" x14ac:dyDescent="0.25">
      <c r="A10245" s="50" t="s">
        <v>328</v>
      </c>
      <c r="B10245" s="220" t="str">
        <f>VLOOKUP(A10245,'Componentes APUs'!$S$1:$V$10,2,0)</f>
        <v>Herramienta Menor</v>
      </c>
      <c r="C10245" s="220"/>
      <c r="D10245" s="50" t="s">
        <v>18</v>
      </c>
      <c r="E10245" s="50">
        <v>2</v>
      </c>
      <c r="F10245" s="51">
        <f>VLOOKUP(A10245,'Componentes APUs'!$S$1:$V$10,4,0)</f>
        <v>75758</v>
      </c>
      <c r="G10245" s="51">
        <f>ROUNDUP(F10245*((E10245/21)/E10221),0)</f>
        <v>241</v>
      </c>
    </row>
    <row r="10246" spans="1:7" x14ac:dyDescent="0.25">
      <c r="A10246" s="219" t="s">
        <v>69</v>
      </c>
      <c r="B10246" s="219"/>
      <c r="C10246" s="219"/>
      <c r="D10246" s="219"/>
      <c r="E10246" s="219"/>
      <c r="F10246" s="219"/>
      <c r="G10246" s="52">
        <f>SUM(G10240:G10245)</f>
        <v>275</v>
      </c>
    </row>
    <row r="10247" spans="1:7" x14ac:dyDescent="0.25">
      <c r="A10247" s="56"/>
      <c r="B10247" s="57"/>
      <c r="C10247" s="57"/>
      <c r="D10247" s="57"/>
      <c r="E10247" s="57"/>
      <c r="F10247" s="57"/>
      <c r="G10247" s="58"/>
    </row>
    <row r="10248" spans="1:7" x14ac:dyDescent="0.25">
      <c r="A10248" s="219" t="s">
        <v>70</v>
      </c>
      <c r="B10248" s="219"/>
      <c r="C10248" s="219"/>
      <c r="D10248" s="219"/>
      <c r="E10248" s="219"/>
      <c r="F10248" s="219"/>
      <c r="G10248" s="219"/>
    </row>
    <row r="10249" spans="1:7" x14ac:dyDescent="0.25">
      <c r="A10249" s="49" t="s">
        <v>35</v>
      </c>
      <c r="B10249" s="219" t="s">
        <v>36</v>
      </c>
      <c r="C10249" s="219"/>
      <c r="D10249" s="49" t="s">
        <v>37</v>
      </c>
      <c r="E10249" s="49" t="s">
        <v>38</v>
      </c>
      <c r="F10249" s="49" t="s">
        <v>39</v>
      </c>
      <c r="G10249" s="49" t="s">
        <v>40</v>
      </c>
    </row>
    <row r="10250" spans="1:7" x14ac:dyDescent="0.25">
      <c r="A10250" s="50" t="s">
        <v>71</v>
      </c>
      <c r="B10250" s="71" t="str">
        <f>VLOOKUP(A10250,'Componentes APUs'!$A$1:$D$14,2,0)</f>
        <v>Camisa indigo sin partes metalicas</v>
      </c>
      <c r="C10250" s="71"/>
      <c r="D10250" s="50" t="str">
        <f>VLOOKUP(A10250,'Componentes APUs'!$A$1:$D$14,3,0)</f>
        <v>U</v>
      </c>
      <c r="E10250" s="50">
        <f>SUM(C10230:C10235)</f>
        <v>2.75</v>
      </c>
      <c r="F10250" s="51">
        <f>VLOOKUP(A10250,'Componentes APUs'!$A$1:$D$14,4,0)</f>
        <v>8585.8585858585866</v>
      </c>
      <c r="G10250" s="51">
        <f>ROUNDUP(F10250*(E10250/21)/E10221,0)</f>
        <v>38</v>
      </c>
    </row>
    <row r="10251" spans="1:7" x14ac:dyDescent="0.25">
      <c r="A10251" s="69" t="s">
        <v>73</v>
      </c>
      <c r="B10251" s="72" t="str">
        <f>VLOOKUP(A10251,'Componentes APUs'!$A$1:$D$14,2,0)</f>
        <v>Bota de seguridad dielectrica</v>
      </c>
      <c r="C10251" s="73"/>
      <c r="D10251" s="70" t="str">
        <f>VLOOKUP(A10251,'Componentes APUs'!$A$1:$D$14,3,0)</f>
        <v>Par</v>
      </c>
      <c r="E10251" s="50">
        <f>SUM(C10230:C10235)</f>
        <v>2.75</v>
      </c>
      <c r="F10251" s="51">
        <f>VLOOKUP(A10251,'Componentes APUs'!$A$1:$D$14,4,0)</f>
        <v>7500</v>
      </c>
      <c r="G10251" s="51">
        <f>ROUNDUP(F10251*(E10251/21)/E10221,0)</f>
        <v>33</v>
      </c>
    </row>
    <row r="10252" spans="1:7" x14ac:dyDescent="0.25">
      <c r="A10252" s="50" t="s">
        <v>76</v>
      </c>
      <c r="B10252" s="72" t="str">
        <f>VLOOKUP(A10252,'Componentes APUs'!$A$1:$D$14,2,0)</f>
        <v>Casco dielectrico Tipo 1 Clase E con barbuquejo</v>
      </c>
      <c r="C10252" s="73"/>
      <c r="D10252" s="50" t="str">
        <f>VLOOKUP(A10252,'Componentes APUs'!$A$1:$D$14,3,0)</f>
        <v>U</v>
      </c>
      <c r="E10252" s="50">
        <f>C10230+C10233+C10234+C10231+C10235+IF(A10232&lt;&gt;"MO-3",C10232,0)</f>
        <v>2.75</v>
      </c>
      <c r="F10252" s="51">
        <f>VLOOKUP(A10252,'Componentes APUs'!$A$1:$D$14,4,0)</f>
        <v>10101.010101010101</v>
      </c>
      <c r="G10252" s="51">
        <f>ROUNDUP(F10252*(E10252/21)/E10221,0)</f>
        <v>45</v>
      </c>
    </row>
    <row r="10253" spans="1:7" x14ac:dyDescent="0.25">
      <c r="A10253" s="69" t="s">
        <v>77</v>
      </c>
      <c r="B10253" s="72" t="str">
        <f>VLOOKUP(A10253,'Componentes APUs'!$A$1:$D$14,2,0)</f>
        <v>Correa plastica y antiflama</v>
      </c>
      <c r="C10253" s="73"/>
      <c r="D10253" s="50" t="str">
        <f>VLOOKUP(A10253,'Componentes APUs'!$A$1:$D$14,3,0)</f>
        <v>U</v>
      </c>
      <c r="E10253" s="50">
        <f>SUM(C10230:C10235)</f>
        <v>2.75</v>
      </c>
      <c r="F10253" s="51">
        <f>VLOOKUP(A10253,'Componentes APUs'!$A$1:$D$14,4,0)</f>
        <v>3787.878787878788</v>
      </c>
      <c r="G10253" s="51">
        <f>ROUNDUP(F10253*(E10253/21)/E10221,0)</f>
        <v>17</v>
      </c>
    </row>
    <row r="10254" spans="1:7" x14ac:dyDescent="0.25">
      <c r="A10254" s="50" t="s">
        <v>79</v>
      </c>
      <c r="B10254" s="72" t="str">
        <f>VLOOKUP(A10254,'Componentes APUs'!$A$1:$D$14,2,0)</f>
        <v>Gafas protectoras filtro UV</v>
      </c>
      <c r="C10254" s="73"/>
      <c r="D10254" s="50" t="str">
        <f>VLOOKUP(A10254,'Componentes APUs'!$A$1:$D$14,3,0)</f>
        <v>U</v>
      </c>
      <c r="E10254" s="50">
        <f>SUM(C10230:C10235)</f>
        <v>2.75</v>
      </c>
      <c r="F10254" s="51">
        <f>VLOOKUP(A10254,'Componentes APUs'!$A$1:$D$14,4,0)</f>
        <v>2777.7777777777778</v>
      </c>
      <c r="G10254" s="51">
        <f>ROUNDUP(F10254*(E10254/21)/E10221,0)</f>
        <v>13</v>
      </c>
    </row>
    <row r="10255" spans="1:7" x14ac:dyDescent="0.25">
      <c r="A10255" s="69" t="s">
        <v>402</v>
      </c>
      <c r="B10255" s="72" t="str">
        <f>VLOOKUP(A10255,'Componentes APUs'!$A$1:$D$14,2,0)</f>
        <v>Bota de seguridad PVC dielectrica</v>
      </c>
      <c r="C10255" s="73"/>
      <c r="D10255" s="50" t="str">
        <f>VLOOKUP(A10255,'Componentes APUs'!$A$1:$D$14,3,0)</f>
        <v>Par</v>
      </c>
      <c r="E10255" s="50">
        <f>SUM(C10230:C10235)</f>
        <v>2.75</v>
      </c>
      <c r="F10255" s="51">
        <f>VLOOKUP(A10255,'Componentes APUs'!$A$1:$D$14,4,0)</f>
        <v>2916.6666666666665</v>
      </c>
      <c r="G10255" s="51">
        <f>ROUNDUP(F10255*(E10255/21)/E10221,0)</f>
        <v>13</v>
      </c>
    </row>
    <row r="10256" spans="1:7" x14ac:dyDescent="0.25">
      <c r="A10256" s="50" t="s">
        <v>403</v>
      </c>
      <c r="B10256" s="72" t="str">
        <f>VLOOKUP(A10256,'Componentes APUs'!$A$1:$D$14,2,0)</f>
        <v>Capuchon</v>
      </c>
      <c r="C10256" s="73"/>
      <c r="D10256" s="50" t="str">
        <f>VLOOKUP(A10256,'Componentes APUs'!$A$1:$D$14,3,0)</f>
        <v>U</v>
      </c>
      <c r="E10256" s="50">
        <f>SUM(C10230:C10235)</f>
        <v>2.75</v>
      </c>
      <c r="F10256" s="51">
        <f>VLOOKUP(A10256,'Componentes APUs'!$A$1:$D$14,4,0)</f>
        <v>2525.2525252525252</v>
      </c>
      <c r="G10256" s="51">
        <f>ROUNDUP(F10256*(E10256/21)/E10221,0)</f>
        <v>12</v>
      </c>
    </row>
    <row r="10257" spans="1:7" x14ac:dyDescent="0.25">
      <c r="A10257" s="69" t="s">
        <v>81</v>
      </c>
      <c r="B10257" s="72" t="str">
        <f>VLOOKUP(A10257,'Componentes APUs'!$A$1:$D$14,2,0)</f>
        <v>Guantes Protectores  - ingeniero reforzados</v>
      </c>
      <c r="C10257" s="73"/>
      <c r="D10257" s="50" t="str">
        <f>VLOOKUP(A10257,'Componentes APUs'!$A$1:$D$14,3,0)</f>
        <v>Par</v>
      </c>
      <c r="E10257" s="50">
        <f>C10232+C10233+C10235</f>
        <v>2</v>
      </c>
      <c r="F10257" s="51">
        <f>VLOOKUP(A10257,'Componentes APUs'!$A$1:$D$14,4,0)</f>
        <v>2525.2525252525252</v>
      </c>
      <c r="G10257" s="51">
        <f>ROUNDUP(F10257*(E10257/21)/E10221,0)</f>
        <v>9</v>
      </c>
    </row>
    <row r="10258" spans="1:7" x14ac:dyDescent="0.25">
      <c r="A10258" s="50" t="s">
        <v>83</v>
      </c>
      <c r="B10258" s="72" t="str">
        <f>VLOOKUP(A10258,'Componentes APUs'!$A$1:$D$14,2,0)</f>
        <v>Impermeable (pantalon camisa)</v>
      </c>
      <c r="C10258" s="73"/>
      <c r="D10258" s="50" t="str">
        <f>VLOOKUP(A10258,'Componentes APUs'!$A$1:$D$14,3,0)</f>
        <v>U</v>
      </c>
      <c r="E10258" s="50">
        <f>SUM(C10230:C10235)</f>
        <v>2.75</v>
      </c>
      <c r="F10258" s="51">
        <f>VLOOKUP(A10258,'Componentes APUs'!$A$1:$D$14,4,0)</f>
        <v>3750</v>
      </c>
      <c r="G10258" s="51">
        <f>ROUNDUP(F10258*(E10258/21)/E10221,0)</f>
        <v>17</v>
      </c>
    </row>
    <row r="10259" spans="1:7" x14ac:dyDescent="0.25">
      <c r="A10259" s="69" t="s">
        <v>85</v>
      </c>
      <c r="B10259" s="72" t="str">
        <f>VLOOKUP(A10259,'Componentes APUs'!$A$1:$D$14,2,0)</f>
        <v>Jean Dielectrico</v>
      </c>
      <c r="C10259" s="73"/>
      <c r="D10259" s="50" t="str">
        <f>VLOOKUP(A10259,'Componentes APUs'!$A$1:$D$14,3,0)</f>
        <v>U</v>
      </c>
      <c r="E10259" s="50">
        <f>SUM(C10230:C10235)</f>
        <v>2.75</v>
      </c>
      <c r="F10259" s="51">
        <f>VLOOKUP(A10259,'Componentes APUs'!$A$1:$D$14,4,0)</f>
        <v>7575.757575757576</v>
      </c>
      <c r="G10259" s="51">
        <f>ROUNDUP(F10259*(E10259/21)/E10221,0)</f>
        <v>34</v>
      </c>
    </row>
    <row r="10260" spans="1:7" x14ac:dyDescent="0.25">
      <c r="A10260" s="50" t="s">
        <v>87</v>
      </c>
      <c r="B10260" s="72" t="str">
        <f>VLOOKUP(A10260,'Componentes APUs'!$A$1:$D$14,2,0)</f>
        <v>Casco dielectrico Tipo 2 Clase E con barboquejo</v>
      </c>
      <c r="C10260" s="73"/>
      <c r="D10260" s="50" t="str">
        <f>VLOOKUP(A10260,'Componentes APUs'!$A$1:$D$14,3,0)</f>
        <v>U</v>
      </c>
      <c r="E10260" s="53">
        <f>IF(A10232="MO-3",C10232,0)</f>
        <v>0</v>
      </c>
      <c r="F10260" s="51">
        <f>VLOOKUP(A10260,'Componentes APUs'!$A$1:$D$14,4,0)</f>
        <v>7500</v>
      </c>
      <c r="G10260" s="51">
        <f>ROUNDUP(F10260*(E10260/21)/E10221,0)</f>
        <v>0</v>
      </c>
    </row>
    <row r="10261" spans="1:7" x14ac:dyDescent="0.25">
      <c r="A10261" s="69" t="s">
        <v>89</v>
      </c>
      <c r="B10261" s="72" t="str">
        <f>VLOOKUP(A10261,'Componentes APUs'!$A$1:$D$14,2,0)</f>
        <v>Kit de rescate para trabajo en alturas</v>
      </c>
      <c r="C10261" s="73"/>
      <c r="D10261" s="50" t="str">
        <f>VLOOKUP(A10261,'Componentes APUs'!$A$1:$D$14,3,0)</f>
        <v>U</v>
      </c>
      <c r="E10261" s="50">
        <f>IF(AND(A10232="MO-3",C10232=2),1,0)</f>
        <v>0</v>
      </c>
      <c r="F10261" s="51">
        <f>VLOOKUP(A10261,'Componentes APUs'!$A$1:$D$14,4,0)</f>
        <v>37500</v>
      </c>
      <c r="G10261" s="51">
        <f>ROUNDUP(F10261*(E10261/21)/E10221,0)</f>
        <v>0</v>
      </c>
    </row>
    <row r="10262" spans="1:7" x14ac:dyDescent="0.25">
      <c r="A10262" s="50" t="s">
        <v>91</v>
      </c>
      <c r="B10262" s="72" t="str">
        <f>VLOOKUP(A10262,'Componentes APUs'!$A$1:$D$14,2,0)</f>
        <v>Equipo completo para trabajo en alturas con pretales (Arnes dielectrico, 1 mosqueton de seguridad, tie off dielectrico, eslinga de posicionamiento, juego de pretales)</v>
      </c>
      <c r="C10262" s="73"/>
      <c r="D10262" s="50" t="str">
        <f>VLOOKUP(A10262,'Componentes APUs'!$A$1:$D$14,3,0)</f>
        <v>U</v>
      </c>
      <c r="E10262" s="50">
        <f>IF(A10232="MO-3",C10232,0)</f>
        <v>0</v>
      </c>
      <c r="F10262" s="51">
        <f>VLOOKUP(A10262,'Componentes APUs'!$A$1:$D$14,4,0)</f>
        <v>26041.666666666668</v>
      </c>
      <c r="G10262" s="51">
        <f>ROUNDUP(F10262*(E10262/21)/E10221,0)</f>
        <v>0</v>
      </c>
    </row>
    <row r="10263" spans="1:7" x14ac:dyDescent="0.25">
      <c r="A10263" s="219" t="s">
        <v>95</v>
      </c>
      <c r="B10263" s="219"/>
      <c r="C10263" s="219"/>
      <c r="D10263" s="219"/>
      <c r="E10263" s="219"/>
      <c r="F10263" s="219"/>
      <c r="G10263" s="52">
        <f>SUM(G10250:G10262)</f>
        <v>231</v>
      </c>
    </row>
    <row r="10264" spans="1:7" x14ac:dyDescent="0.25">
      <c r="A10264" s="56"/>
      <c r="B10264" s="57"/>
      <c r="C10264" s="57"/>
      <c r="D10264" s="57"/>
      <c r="E10264" s="57"/>
      <c r="F10264" s="57"/>
      <c r="G10264" s="58"/>
    </row>
    <row r="10265" spans="1:7" x14ac:dyDescent="0.25">
      <c r="A10265" s="219" t="s">
        <v>96</v>
      </c>
      <c r="B10265" s="219"/>
      <c r="C10265" s="219"/>
      <c r="D10265" s="219"/>
      <c r="E10265" s="219"/>
      <c r="F10265" s="219"/>
      <c r="G10265" s="219"/>
    </row>
    <row r="10266" spans="1:7" x14ac:dyDescent="0.25">
      <c r="A10266" s="49" t="s">
        <v>35</v>
      </c>
      <c r="B10266" s="225" t="s">
        <v>36</v>
      </c>
      <c r="C10266" s="225"/>
      <c r="D10266" s="49" t="s">
        <v>37</v>
      </c>
      <c r="E10266" s="49" t="s">
        <v>38</v>
      </c>
      <c r="F10266" s="49" t="s">
        <v>39</v>
      </c>
      <c r="G10266" s="49" t="s">
        <v>40</v>
      </c>
    </row>
    <row r="10267" spans="1:7" x14ac:dyDescent="0.25">
      <c r="A10267" s="69" t="s">
        <v>97</v>
      </c>
      <c r="B10267" s="72" t="str">
        <f>VLOOKUP(A10267,'Componentes APUs'!$N$1:$Q$30,2,0)</f>
        <v>Camioneta</v>
      </c>
      <c r="C10267" s="73"/>
      <c r="D10267" s="70" t="str">
        <f>VLOOKUP(A10267,'Componentes APUs'!$N$1:$Q$30,3,0)</f>
        <v>U</v>
      </c>
      <c r="E10267" s="50">
        <v>1</v>
      </c>
      <c r="F10267" s="51">
        <f>VLOOKUP(A10267,'Componentes APUs'!$N$1:$Q$30,4,0)</f>
        <v>5500000</v>
      </c>
      <c r="G10267" s="51">
        <f>IFERROR(ROUNDUP(F10267*(E10267/21)/E10221,0),"-")</f>
        <v>8731</v>
      </c>
    </row>
    <row r="10268" spans="1:7" x14ac:dyDescent="0.25">
      <c r="A10268" s="50" t="s">
        <v>321</v>
      </c>
      <c r="B10268" s="72" t="str">
        <f>VLOOKUP(A10268,'Componentes APUs'!$N$1:$Q$30,2,0)</f>
        <v>Grúa Hidráulica</v>
      </c>
      <c r="C10268" s="73"/>
      <c r="D10268" s="70" t="str">
        <f>VLOOKUP(A10268,'Componentes APUs'!$N$1:$Q$30,3,0)</f>
        <v>U</v>
      </c>
      <c r="E10268" s="50">
        <v>0</v>
      </c>
      <c r="F10268" s="51">
        <f>VLOOKUP(A10268,'Componentes APUs'!$N$1:$Q$30,4,0)</f>
        <v>21000000</v>
      </c>
      <c r="G10268" s="51">
        <f>IFERROR(ROUNDUP(F10268*(E10268/21)/E10221,0),"-")</f>
        <v>0</v>
      </c>
    </row>
    <row r="10269" spans="1:7" x14ac:dyDescent="0.25">
      <c r="A10269" s="69" t="s">
        <v>322</v>
      </c>
      <c r="B10269" s="72" t="str">
        <f>VLOOKUP(A10269,'Componentes APUs'!$N$1:$Q$30,2,0)</f>
        <v>Camabaja</v>
      </c>
      <c r="C10269" s="73"/>
      <c r="D10269" s="70" t="str">
        <f>VLOOKUP(A10269,'Componentes APUs'!$N$1:$Q$30,3,0)</f>
        <v>TON/KM</v>
      </c>
      <c r="E10269" s="50">
        <v>0</v>
      </c>
      <c r="F10269" s="51">
        <f>VLOOKUP(A10269,'Componentes APUs'!$N$1:$Q$30,4,0)</f>
        <v>611</v>
      </c>
      <c r="G10269" s="51">
        <f>IFERROR(ROUNDUP(F10269*(E10269/21)/E10221,0),"-")</f>
        <v>0</v>
      </c>
    </row>
    <row r="10270" spans="1:7" x14ac:dyDescent="0.25">
      <c r="A10270" s="50" t="s">
        <v>323</v>
      </c>
      <c r="B10270" s="72" t="str">
        <f>VLOOKUP(A10270,'Componentes APUs'!$N$1:$Q$30,2,0)</f>
        <v>Volqueta</v>
      </c>
      <c r="C10270" s="73"/>
      <c r="D10270" s="70" t="str">
        <f>VLOOKUP(A10270,'Componentes APUs'!$N$1:$Q$30,3,0)</f>
        <v>U</v>
      </c>
      <c r="E10270" s="50">
        <v>0</v>
      </c>
      <c r="F10270" s="51">
        <f>VLOOKUP(A10270,'Componentes APUs'!$N$1:$Q$30,4,0)</f>
        <v>14828184</v>
      </c>
      <c r="G10270" s="51">
        <f>IFERROR(ROUNDUP(F10270*(E10270/21)/E10221,0),"-")</f>
        <v>0</v>
      </c>
    </row>
    <row r="10271" spans="1:7" x14ac:dyDescent="0.25">
      <c r="A10271" s="69" t="s">
        <v>324</v>
      </c>
      <c r="B10271" s="72" t="str">
        <f>VLOOKUP(A10271,'Componentes APUs'!$N$1:$Q$30,2,0)</f>
        <v>Retroexcavadora</v>
      </c>
      <c r="C10271" s="73"/>
      <c r="D10271" s="70" t="str">
        <f>VLOOKUP(A10271,'Componentes APUs'!$N$1:$Q$30,3,0)</f>
        <v>U</v>
      </c>
      <c r="E10271" s="50">
        <v>0</v>
      </c>
      <c r="F10271" s="51">
        <f>VLOOKUP(A10271,'Componentes APUs'!$N$1:$Q$30,4,0)</f>
        <v>46030656</v>
      </c>
      <c r="G10271" s="51">
        <f>IFERROR(ROUNDUP(F10271*(E10271/21)/E10221,0),"-")</f>
        <v>0</v>
      </c>
    </row>
    <row r="10272" spans="1:7" x14ac:dyDescent="0.25">
      <c r="A10272" s="219" t="s">
        <v>99</v>
      </c>
      <c r="B10272" s="219"/>
      <c r="C10272" s="219"/>
      <c r="D10272" s="219"/>
      <c r="E10272" s="219"/>
      <c r="F10272" s="219"/>
      <c r="G10272" s="52">
        <f>SUM(G10267:G10271)</f>
        <v>8731</v>
      </c>
    </row>
    <row r="10273" spans="1:7" x14ac:dyDescent="0.25">
      <c r="A10273" s="56"/>
      <c r="B10273" s="57"/>
      <c r="C10273" s="57"/>
      <c r="D10273" s="57"/>
      <c r="E10273" s="57"/>
      <c r="F10273" s="57"/>
      <c r="G10273" s="58"/>
    </row>
    <row r="10274" spans="1:7" x14ac:dyDescent="0.25">
      <c r="A10274" s="219" t="s">
        <v>1516</v>
      </c>
      <c r="B10274" s="219"/>
      <c r="C10274" s="219"/>
      <c r="D10274" s="219"/>
      <c r="E10274" s="219"/>
      <c r="F10274" s="219"/>
      <c r="G10274" s="52">
        <f>G10272+G10263+G10246+G10236+G10226</f>
        <v>69649</v>
      </c>
    </row>
    <row r="10275" spans="1:7" x14ac:dyDescent="0.25">
      <c r="A10275" s="59"/>
      <c r="B10275" s="60"/>
      <c r="C10275" s="60"/>
      <c r="D10275" s="60"/>
      <c r="E10275" s="57"/>
      <c r="F10275" s="57"/>
      <c r="G10275" s="58"/>
    </row>
    <row r="10276" spans="1:7" x14ac:dyDescent="0.25">
      <c r="A10276" s="64"/>
      <c r="D10276" s="55"/>
      <c r="E10276" s="49" t="s">
        <v>25</v>
      </c>
      <c r="F10276" s="54">
        <v>0.15</v>
      </c>
      <c r="G10276" s="51">
        <f>G10274*F10276</f>
        <v>10447.35</v>
      </c>
    </row>
    <row r="10277" spans="1:7" x14ac:dyDescent="0.25">
      <c r="A10277" s="64"/>
      <c r="D10277" s="55"/>
      <c r="E10277" s="49" t="s">
        <v>26</v>
      </c>
      <c r="F10277" s="54">
        <v>0.05</v>
      </c>
      <c r="G10277" s="51">
        <f>G10274*F10277</f>
        <v>3482.4500000000003</v>
      </c>
    </row>
    <row r="10278" spans="1:7" x14ac:dyDescent="0.25">
      <c r="A10278" s="61"/>
      <c r="B10278" s="65"/>
      <c r="C10278" s="65"/>
      <c r="D10278" s="62"/>
      <c r="E10278" s="49" t="s">
        <v>27</v>
      </c>
      <c r="F10278" s="54">
        <v>0.05</v>
      </c>
      <c r="G10278" s="51">
        <f>G10274*F10278</f>
        <v>3482.4500000000003</v>
      </c>
    </row>
    <row r="10279" spans="1:7" x14ac:dyDescent="0.25">
      <c r="A10279" s="61"/>
      <c r="B10279" s="62"/>
      <c r="C10279" s="62"/>
      <c r="D10279" s="62"/>
      <c r="E10279" s="62"/>
      <c r="F10279" s="62"/>
      <c r="G10279" s="63"/>
    </row>
    <row r="10280" spans="1:7" x14ac:dyDescent="0.25">
      <c r="A10280" s="219" t="s">
        <v>1517</v>
      </c>
      <c r="B10280" s="219"/>
      <c r="C10280" s="219"/>
      <c r="D10280" s="219"/>
      <c r="E10280" s="219"/>
      <c r="F10280" s="219"/>
      <c r="G10280" s="52">
        <f>G10274+G10276+G10277+G10278</f>
        <v>87061.25</v>
      </c>
    </row>
    <row r="10281" spans="1:7" x14ac:dyDescent="0.25">
      <c r="A10281" s="59"/>
      <c r="B10281" s="60"/>
      <c r="C10281" s="60"/>
      <c r="D10281" s="60"/>
      <c r="E10281" s="57"/>
      <c r="F10281" s="57"/>
      <c r="G10281" s="58"/>
    </row>
    <row r="10282" spans="1:7" x14ac:dyDescent="0.25">
      <c r="A10282" s="64"/>
      <c r="D10282" s="55"/>
      <c r="E10282" s="49" t="s">
        <v>102</v>
      </c>
      <c r="F10282" s="49" t="s">
        <v>103</v>
      </c>
      <c r="G10282" s="51">
        <f>G10278*19%</f>
        <v>661.66550000000007</v>
      </c>
    </row>
    <row r="10283" spans="1:7" x14ac:dyDescent="0.25">
      <c r="A10283" s="61"/>
      <c r="B10283" s="62"/>
      <c r="C10283" s="62"/>
      <c r="D10283" s="62"/>
      <c r="E10283" s="57"/>
      <c r="F10283" s="57"/>
      <c r="G10283" s="58"/>
    </row>
    <row r="10284" spans="1:7" x14ac:dyDescent="0.25">
      <c r="A10284" s="219" t="s">
        <v>104</v>
      </c>
      <c r="B10284" s="219"/>
      <c r="C10284" s="219"/>
      <c r="D10284" s="219"/>
      <c r="E10284" s="219"/>
      <c r="F10284" s="219"/>
      <c r="G10284" s="52">
        <f>G10282+G10280</f>
        <v>87722.915500000003</v>
      </c>
    </row>
    <row r="10286" spans="1:7" x14ac:dyDescent="0.25">
      <c r="A10286" s="74" t="s">
        <v>29</v>
      </c>
      <c r="B10286" s="226" t="s">
        <v>30</v>
      </c>
      <c r="C10286" s="226"/>
      <c r="D10286" s="74" t="s">
        <v>31</v>
      </c>
      <c r="E10286" s="74" t="s">
        <v>32</v>
      </c>
      <c r="F10286" s="74" t="s">
        <v>189</v>
      </c>
      <c r="G10286" s="74" t="s">
        <v>33</v>
      </c>
    </row>
    <row r="10287" spans="1:7" ht="27.75" customHeight="1" x14ac:dyDescent="0.25">
      <c r="A10287" s="50" t="str">
        <f>Presupuesto!B189</f>
        <v>001_N3</v>
      </c>
      <c r="B10287" s="232" t="str">
        <f>Presupuesto!C189</f>
        <v>SUMINISTRO E INSTALACIÓN DE HERRAJES PARA LA ESTRUCTURA PRINCIPAL DEL PÓRTICO</v>
      </c>
      <c r="C10287" s="233"/>
      <c r="D10287" s="50" t="s">
        <v>18</v>
      </c>
      <c r="E10287" s="133">
        <f>1/6</f>
        <v>0.16666666666666666</v>
      </c>
      <c r="F10287" s="50"/>
      <c r="G10287" s="51">
        <f>G10354</f>
        <v>84839810.423500016</v>
      </c>
    </row>
    <row r="10288" spans="1:7" x14ac:dyDescent="0.25">
      <c r="A10288" s="219" t="s">
        <v>34</v>
      </c>
      <c r="B10288" s="219"/>
      <c r="C10288" s="219"/>
      <c r="D10288" s="219"/>
      <c r="E10288" s="219"/>
      <c r="F10288" s="219"/>
      <c r="G10288" s="219"/>
    </row>
    <row r="10289" spans="1:8" x14ac:dyDescent="0.25">
      <c r="A10289" s="49" t="s">
        <v>35</v>
      </c>
      <c r="B10289" s="219" t="s">
        <v>36</v>
      </c>
      <c r="C10289" s="219"/>
      <c r="D10289" s="49" t="s">
        <v>37</v>
      </c>
      <c r="E10289" s="49" t="s">
        <v>38</v>
      </c>
      <c r="F10289" s="49" t="s">
        <v>39</v>
      </c>
      <c r="G10289" s="49" t="s">
        <v>40</v>
      </c>
    </row>
    <row r="10290" spans="1:8" ht="28.5" customHeight="1" x14ac:dyDescent="0.25">
      <c r="A10290" s="50" t="str">
        <f>Material!A10</f>
        <v>MA-09</v>
      </c>
      <c r="B10290" s="221" t="str">
        <f>IFERROR(VLOOKUP(A10290,Material!$A:$J,2,0),"-")</f>
        <v>ESPARRAGO DE HIERRO GALVANIZADO ROSCADO EN TODA SU LONGITUD, 4 TUERCAS. DIAMETRO 16 MM LONGITUD 458  MM</v>
      </c>
      <c r="C10290" s="222"/>
      <c r="D10290" s="50" t="str">
        <f>IFERROR(VLOOKUP(A10290,Material!$A:$J,4,0),"-")</f>
        <v>UN</v>
      </c>
      <c r="E10290" s="50">
        <f>12*3*5</f>
        <v>180</v>
      </c>
      <c r="F10290" s="51">
        <f>IFERROR(VLOOKUP(A10290,Material!$A:$J,3,0),"-")</f>
        <v>10920</v>
      </c>
      <c r="G10290" s="51">
        <f>IFERROR(ROUNDUP(F10290*E10290,0),"-")</f>
        <v>1965600</v>
      </c>
    </row>
    <row r="10291" spans="1:8" ht="26.25" customHeight="1" x14ac:dyDescent="0.25">
      <c r="A10291" s="50" t="str">
        <f>Material!A5</f>
        <v>MA-04</v>
      </c>
      <c r="B10291" s="221" t="str">
        <f>IFERROR(VLOOKUP(A10291,Material!$A:$J,2,0),"-")</f>
        <v>COLLARIN DE DOS SALIDAS EN PLATINA DE HIERRO GALVANIZADO. DIAMETRO (6-8 IN) (17 - 22 CM)</v>
      </c>
      <c r="C10291" s="222"/>
      <c r="D10291" s="50" t="str">
        <f>IFERROR(VLOOKUP(A10291,Material!$A:$J,4,0),"-")</f>
        <v>UN</v>
      </c>
      <c r="E10291" s="50">
        <f>2*12</f>
        <v>24</v>
      </c>
      <c r="F10291" s="51">
        <f>IFERROR(VLOOKUP(A10291,Material!$A:$J,3,0),"-")</f>
        <v>24505</v>
      </c>
      <c r="G10291" s="51">
        <f>IFERROR(ROUNDUP(F10291*E10291,0),"-")</f>
        <v>588120</v>
      </c>
    </row>
    <row r="10292" spans="1:8" ht="26.25" customHeight="1" x14ac:dyDescent="0.25">
      <c r="A10292" s="50" t="str">
        <f>Material!A6</f>
        <v>MA-05</v>
      </c>
      <c r="B10292" s="221" t="str">
        <f>IFERROR(VLOOKUP(A10292,Material!$A:$J,2,0),"-")</f>
        <v>COLLARIN DE DOS SALIDAS EN PLATINA DE HIERRO GALVANIZADO. DIAMETRO (7-10 IN) (20 - 25 CM)</v>
      </c>
      <c r="C10292" s="222"/>
      <c r="D10292" s="50" t="str">
        <f>IFERROR(VLOOKUP(A10292,Material!$A:$J,4,0),"-")</f>
        <v>UN</v>
      </c>
      <c r="E10292" s="50">
        <f>2*12</f>
        <v>24</v>
      </c>
      <c r="F10292" s="51">
        <f>IFERROR(VLOOKUP(A10292,Material!$A:$J,3,0),"-")</f>
        <v>27755</v>
      </c>
      <c r="G10292" s="51">
        <f>IFERROR(ROUNDUP(F10292*E10292,0),"-")</f>
        <v>666120</v>
      </c>
    </row>
    <row r="10293" spans="1:8" ht="26.25" customHeight="1" x14ac:dyDescent="0.25">
      <c r="A10293" s="50" t="str">
        <f>Material!A7</f>
        <v>MA-06</v>
      </c>
      <c r="B10293" s="221" t="str">
        <f>IFERROR(VLOOKUP(A10293,Material!$A:$J,2,0),"-")</f>
        <v>COLLARIN DE DOS SALIDAS EN PLATINA DE HIERRO GALVANIZADO. DIAMETRO (10-12 IN) (25 - 30 CM)</v>
      </c>
      <c r="C10293" s="222"/>
      <c r="D10293" s="50" t="str">
        <f>IFERROR(VLOOKUP(A10293,Material!$A:$J,4,0),"-")</f>
        <v>UN</v>
      </c>
      <c r="E10293" s="50">
        <f>2*12</f>
        <v>24</v>
      </c>
      <c r="F10293" s="51">
        <f>IFERROR(VLOOKUP(A10293,Material!$A:$J,3,0),"-")</f>
        <v>33150</v>
      </c>
      <c r="G10293" s="51">
        <f>IFERROR(ROUNDUP(F10293*E10293,0),"-")</f>
        <v>795600</v>
      </c>
    </row>
    <row r="10294" spans="1:8" ht="26.25" customHeight="1" x14ac:dyDescent="0.25">
      <c r="A10294" s="50" t="str">
        <f>Material!A9</f>
        <v>MA-08</v>
      </c>
      <c r="B10294" s="221" t="str">
        <f>IFERROR(VLOOKUP(A10294,Material!$A:$J,2,0),"-")</f>
        <v>CRUCETA METÁLICA DE ANGULO GALVANIZADO DE 6 M DE LONGITUD. CALIBRE (76*76*6) MM</v>
      </c>
      <c r="C10294" s="222"/>
      <c r="D10294" s="50" t="str">
        <f>IFERROR(VLOOKUP(A10294,Material!$A:$J,4,0),"-")</f>
        <v>UN</v>
      </c>
      <c r="E10294" s="50">
        <f>6*12</f>
        <v>72</v>
      </c>
      <c r="F10294" s="51">
        <f>IFERROR(VLOOKUP(A10294,Material!$A:$J,3,0),"-")</f>
        <v>763908.6</v>
      </c>
      <c r="G10294" s="51">
        <f>IFERROR(ROUNDUP(F10294*E10294,0),"-")</f>
        <v>55001420</v>
      </c>
    </row>
    <row r="10295" spans="1:8" x14ac:dyDescent="0.25">
      <c r="A10295" s="50"/>
      <c r="B10295" s="72"/>
      <c r="C10295" s="76"/>
      <c r="D10295" s="50"/>
      <c r="E10295" s="50"/>
      <c r="F10295" s="51"/>
      <c r="G10295" s="51"/>
    </row>
    <row r="10296" spans="1:8" x14ac:dyDescent="0.25">
      <c r="A10296" s="219" t="s">
        <v>41</v>
      </c>
      <c r="B10296" s="219"/>
      <c r="C10296" s="219"/>
      <c r="D10296" s="219"/>
      <c r="E10296" s="219"/>
      <c r="F10296" s="219"/>
      <c r="G10296" s="52">
        <f>SUM(G10290:G10294)</f>
        <v>59016860</v>
      </c>
    </row>
    <row r="10297" spans="1:8" x14ac:dyDescent="0.25">
      <c r="A10297" s="56"/>
      <c r="B10297" s="57"/>
      <c r="C10297" s="57"/>
      <c r="D10297" s="57"/>
      <c r="E10297" s="57"/>
      <c r="F10297" s="57"/>
      <c r="G10297" s="58"/>
    </row>
    <row r="10298" spans="1:8" x14ac:dyDescent="0.25">
      <c r="A10298" s="219" t="s">
        <v>42</v>
      </c>
      <c r="B10298" s="219"/>
      <c r="C10298" s="219"/>
      <c r="D10298" s="219"/>
      <c r="E10298" s="219"/>
      <c r="F10298" s="219"/>
      <c r="G10298" s="219"/>
    </row>
    <row r="10299" spans="1:8" x14ac:dyDescent="0.25">
      <c r="A10299" s="49" t="s">
        <v>35</v>
      </c>
      <c r="B10299" s="49" t="s">
        <v>36</v>
      </c>
      <c r="C10299" s="49" t="s">
        <v>38</v>
      </c>
      <c r="D10299" s="49" t="s">
        <v>43</v>
      </c>
      <c r="E10299" s="49" t="s">
        <v>44</v>
      </c>
      <c r="F10299" s="49" t="s">
        <v>45</v>
      </c>
      <c r="G10299" s="49" t="s">
        <v>40</v>
      </c>
    </row>
    <row r="10300" spans="1:8" x14ac:dyDescent="0.25">
      <c r="A10300" s="50" t="s">
        <v>319</v>
      </c>
      <c r="B10300" s="68" t="str">
        <f>VLOOKUP(A10300,'[1]Componentes APUs'!$H$1:$L$25,2,0)</f>
        <v>Ingeniero Residente de Obra</v>
      </c>
      <c r="C10300" s="93">
        <v>0.25</v>
      </c>
      <c r="D10300" s="50">
        <f>VLOOKUP(A10300,'[1]Componentes APUs'!$H$1:$L$25,3,0)</f>
        <v>4</v>
      </c>
      <c r="E10300" s="51">
        <f>VLOOKUP(A10300,'[1]Componentes APUs'!$H$1:$L$25,4,0)</f>
        <v>271142.85714285716</v>
      </c>
      <c r="F10300" s="51">
        <f>VLOOKUP(A10300,'[1]Componentes APUs'!$H$1:$L$25,5,0)</f>
        <v>162685.71428571429</v>
      </c>
      <c r="G10300" s="51">
        <f>ROUNDUP((E10300+F10300)*C10300/E10287,0)</f>
        <v>650743</v>
      </c>
      <c r="H10300" s="66"/>
    </row>
    <row r="10301" spans="1:8" x14ac:dyDescent="0.25">
      <c r="A10301" s="50" t="s">
        <v>320</v>
      </c>
      <c r="B10301" s="68" t="str">
        <f>VLOOKUP(A10301,'[1]Componentes APUs'!$H$1:$L$25,2,0)</f>
        <v>Tecnico Supervisor</v>
      </c>
      <c r="C10301" s="93">
        <v>0.25</v>
      </c>
      <c r="D10301" s="50">
        <f>VLOOKUP(A10301,'[1]Componentes APUs'!$H$1:$L$25,3,0)</f>
        <v>2.2999999999999998</v>
      </c>
      <c r="E10301" s="51">
        <f>VLOOKUP(A10301,'[1]Componentes APUs'!$H$1:$L$25,4,0)</f>
        <v>155907.14285714284</v>
      </c>
      <c r="F10301" s="51">
        <f>VLOOKUP(A10301,'[1]Componentes APUs'!$H$1:$L$25,5,0)</f>
        <v>93544.285714285696</v>
      </c>
      <c r="G10301" s="51">
        <f>ROUNDUP((E10301+F10301)*C10301/E10287,0)</f>
        <v>374178</v>
      </c>
    </row>
    <row r="10302" spans="1:8" x14ac:dyDescent="0.25">
      <c r="A10302" s="50" t="s">
        <v>46</v>
      </c>
      <c r="B10302" s="68" t="str">
        <f>VLOOKUP(A10302,'[1]Componentes APUs'!$H$1:$L$25,2,0)</f>
        <v>Tecnico Liniero</v>
      </c>
      <c r="C10302" s="93">
        <v>2</v>
      </c>
      <c r="D10302" s="50">
        <f>VLOOKUP(A10302,'[1]Componentes APUs'!$H$1:$L$25,3,0)</f>
        <v>2</v>
      </c>
      <c r="E10302" s="51">
        <f>VLOOKUP(A10302,'[1]Componentes APUs'!$H$1:$L$25,4,0)</f>
        <v>154619.04761904763</v>
      </c>
      <c r="F10302" s="51">
        <f>VLOOKUP(A10302,'[1]Componentes APUs'!$H$1:$L$25,5,0)</f>
        <v>92771.42857142858</v>
      </c>
      <c r="G10302" s="51">
        <f>ROUNDUP((E10302+F10302)*C10302/E10287,0)</f>
        <v>2968686</v>
      </c>
    </row>
    <row r="10303" spans="1:8" x14ac:dyDescent="0.25">
      <c r="A10303" s="50" t="s">
        <v>48</v>
      </c>
      <c r="B10303" s="68" t="str">
        <f>VLOOKUP(A10303,'[1]Componentes APUs'!$H$1:$L$25,2,0)</f>
        <v>Ayudante Calificado</v>
      </c>
      <c r="C10303" s="93">
        <v>2</v>
      </c>
      <c r="D10303" s="50">
        <f>VLOOKUP(A10303,'[1]Componentes APUs'!$H$1:$L$25,3,0)</f>
        <v>1.5</v>
      </c>
      <c r="E10303" s="51">
        <f>VLOOKUP(A10303,'[1]Componentes APUs'!$H$1:$L$25,4,0)</f>
        <v>115964.28571428571</v>
      </c>
      <c r="F10303" s="51">
        <f>VLOOKUP(A10303,'[1]Componentes APUs'!$H$1:$L$25,5,0)</f>
        <v>69578.57142857142</v>
      </c>
      <c r="G10303" s="51">
        <f>ROUNDUP((E10303+F10303)*C10303/E10287,0)</f>
        <v>2226515</v>
      </c>
    </row>
    <row r="10304" spans="1:8" x14ac:dyDescent="0.25">
      <c r="A10304" s="50" t="s">
        <v>50</v>
      </c>
      <c r="B10304" s="68" t="str">
        <f>VLOOKUP(A10304,'[1]Componentes APUs'!$H$1:$L$25,2,0)</f>
        <v>Profesional en SST</v>
      </c>
      <c r="C10304" s="93">
        <v>0.25</v>
      </c>
      <c r="D10304" s="50">
        <f>VLOOKUP(A10304,'[1]Componentes APUs'!$H$1:$L$25,3,0)</f>
        <v>2.5</v>
      </c>
      <c r="E10304" s="51">
        <f>VLOOKUP(A10304,'[1]Componentes APUs'!$H$1:$L$25,4,0)</f>
        <v>169464.28571428571</v>
      </c>
      <c r="F10304" s="51">
        <f>VLOOKUP(A10304,'[1]Componentes APUs'!$H$1:$L$25,5,0)</f>
        <v>101678.57142857142</v>
      </c>
      <c r="G10304" s="51">
        <f>ROUNDUP((E10304+F10304)*C10304/E10287,0)</f>
        <v>406715</v>
      </c>
    </row>
    <row r="10305" spans="1:9" x14ac:dyDescent="0.25">
      <c r="A10305" s="50" t="s">
        <v>52</v>
      </c>
      <c r="B10305" s="68" t="str">
        <f>VLOOKUP(A10305,'[1]Componentes APUs'!$H$1:$L$25,2,0)</f>
        <v>Ayudante No Calificado</v>
      </c>
      <c r="C10305" s="93">
        <v>0</v>
      </c>
      <c r="D10305" s="50">
        <f>VLOOKUP(A10305,'[1]Componentes APUs'!$H$1:$L$25,3,0)</f>
        <v>1</v>
      </c>
      <c r="E10305" s="51">
        <f>VLOOKUP(A10305,'[1]Componentes APUs'!$H$1:$L$25,4,0)</f>
        <v>77309.523809523816</v>
      </c>
      <c r="F10305" s="51">
        <f>VLOOKUP(A10305,'[1]Componentes APUs'!$H$1:$L$25,5,0)</f>
        <v>46385.71428571429</v>
      </c>
      <c r="G10305" s="51">
        <f>ROUNDUP((E10305+F10305)*C10305/E10287,0)</f>
        <v>0</v>
      </c>
    </row>
    <row r="10306" spans="1:9" x14ac:dyDescent="0.25">
      <c r="A10306" s="219" t="s">
        <v>56</v>
      </c>
      <c r="B10306" s="219"/>
      <c r="C10306" s="219"/>
      <c r="D10306" s="219"/>
      <c r="E10306" s="219"/>
      <c r="F10306" s="219"/>
      <c r="G10306" s="52">
        <f>SUM(G10300:G10305)</f>
        <v>6626837</v>
      </c>
    </row>
    <row r="10307" spans="1:9" x14ac:dyDescent="0.25">
      <c r="A10307" s="56"/>
      <c r="B10307" s="57"/>
      <c r="C10307" s="57"/>
      <c r="D10307" s="57"/>
      <c r="E10307" s="57"/>
      <c r="F10307" s="57"/>
      <c r="G10307" s="58"/>
    </row>
    <row r="10308" spans="1:9" x14ac:dyDescent="0.25">
      <c r="A10308" s="219" t="s">
        <v>57</v>
      </c>
      <c r="B10308" s="219"/>
      <c r="C10308" s="219"/>
      <c r="D10308" s="219"/>
      <c r="E10308" s="219"/>
      <c r="F10308" s="219"/>
      <c r="G10308" s="219"/>
    </row>
    <row r="10309" spans="1:9" x14ac:dyDescent="0.25">
      <c r="A10309" s="49" t="s">
        <v>35</v>
      </c>
      <c r="B10309" s="219" t="s">
        <v>36</v>
      </c>
      <c r="C10309" s="219"/>
      <c r="D10309" s="49" t="s">
        <v>37</v>
      </c>
      <c r="E10309" s="49" t="s">
        <v>38</v>
      </c>
      <c r="F10309" s="49" t="s">
        <v>39</v>
      </c>
      <c r="G10309" s="49" t="s">
        <v>40</v>
      </c>
    </row>
    <row r="10310" spans="1:9" x14ac:dyDescent="0.25">
      <c r="A10310" s="50" t="s">
        <v>326</v>
      </c>
      <c r="B10310" s="220" t="str">
        <f>VLOOKUP(A10310,'[1]Componentes APUs'!$S$1:$V$10,2,0)</f>
        <v>Juego Llaves</v>
      </c>
      <c r="C10310" s="220"/>
      <c r="D10310" s="50" t="s">
        <v>18</v>
      </c>
      <c r="E10310" s="50">
        <v>2</v>
      </c>
      <c r="F10310" s="51">
        <f>VLOOKUP(A10310,'[1]Componentes APUs'!$S$1:$V$10,4,0)</f>
        <v>9167</v>
      </c>
      <c r="G10310" s="51">
        <f>ROUNDUP(F10310*((E10310/21)/E10287),0)</f>
        <v>5239</v>
      </c>
      <c r="I10310" s="91"/>
    </row>
    <row r="10311" spans="1:9" x14ac:dyDescent="0.25">
      <c r="A10311" s="50" t="s">
        <v>58</v>
      </c>
      <c r="B10311" s="220" t="str">
        <f>VLOOKUP(A10311,'[1]Componentes APUs'!$S$1:$V$10,2,0)</f>
        <v>Manila de servicio</v>
      </c>
      <c r="C10311" s="220"/>
      <c r="D10311" s="50" t="s">
        <v>18</v>
      </c>
      <c r="E10311" s="50">
        <v>2</v>
      </c>
      <c r="F10311" s="51">
        <f>VLOOKUP(A10311,'[1]Componentes APUs'!$S$1:$V$10,4,0)</f>
        <v>2333</v>
      </c>
      <c r="G10311" s="51">
        <f>ROUNDUP(F10311*((E10311/21)/E10287),0)</f>
        <v>1334</v>
      </c>
    </row>
    <row r="10312" spans="1:9" x14ac:dyDescent="0.25">
      <c r="A10312" s="50" t="s">
        <v>327</v>
      </c>
      <c r="B10312" s="220" t="str">
        <f>VLOOKUP(A10312,'[1]Componentes APUs'!$S$1:$V$10,2,0)</f>
        <v>Tula portaherramientas</v>
      </c>
      <c r="C10312" s="220"/>
      <c r="D10312" s="50" t="s">
        <v>18</v>
      </c>
      <c r="E10312" s="50">
        <v>2</v>
      </c>
      <c r="F10312" s="51">
        <f>VLOOKUP(A10312,'[1]Componentes APUs'!$S$1:$V$10,4,0)</f>
        <v>1250</v>
      </c>
      <c r="G10312" s="51">
        <f>ROUNDUP(F10312*((E10312/21)/E10287),0)</f>
        <v>715</v>
      </c>
    </row>
    <row r="10313" spans="1:9" x14ac:dyDescent="0.25">
      <c r="A10313" s="50" t="s">
        <v>60</v>
      </c>
      <c r="B10313" s="220" t="str">
        <f>VLOOKUP(A10313,'[1]Componentes APUs'!$S$1:$V$10,2,0)</f>
        <v>Agarradoras</v>
      </c>
      <c r="C10313" s="220"/>
      <c r="D10313" s="50" t="s">
        <v>18</v>
      </c>
      <c r="E10313" s="50">
        <v>0</v>
      </c>
      <c r="F10313" s="51">
        <f>VLOOKUP(A10313,'[1]Componentes APUs'!$S$1:$V$10,4,0)</f>
        <v>125000</v>
      </c>
      <c r="G10313" s="51">
        <f>ROUNDUP(F10313*((E10313/21)/E10287),0)</f>
        <v>0</v>
      </c>
    </row>
    <row r="10314" spans="1:9" x14ac:dyDescent="0.25">
      <c r="A10314" s="50" t="s">
        <v>62</v>
      </c>
      <c r="B10314" s="220" t="str">
        <f>VLOOKUP(A10314,'[1]Componentes APUs'!$S$1:$V$10,2,0)</f>
        <v>Templadoras</v>
      </c>
      <c r="C10314" s="220"/>
      <c r="D10314" s="50" t="s">
        <v>18</v>
      </c>
      <c r="E10314" s="50">
        <v>0</v>
      </c>
      <c r="F10314" s="51">
        <f>VLOOKUP(A10314,'[1]Componentes APUs'!$S$1:$V$10,4,0)</f>
        <v>250000</v>
      </c>
      <c r="G10314" s="51">
        <f>ROUNDUP(F10314*((E10314/21)/E10287),0)</f>
        <v>0</v>
      </c>
    </row>
    <row r="10315" spans="1:9" x14ac:dyDescent="0.25">
      <c r="A10315" s="50" t="s">
        <v>328</v>
      </c>
      <c r="B10315" s="220" t="str">
        <f>VLOOKUP(A10315,'[1]Componentes APUs'!$S$1:$V$10,2,0)</f>
        <v>Herramienta Menor</v>
      </c>
      <c r="C10315" s="220"/>
      <c r="D10315" s="50" t="s">
        <v>18</v>
      </c>
      <c r="E10315" s="50">
        <v>2</v>
      </c>
      <c r="F10315" s="51">
        <f>VLOOKUP(A10315,'[1]Componentes APUs'!$S$1:$V$10,4,0)</f>
        <v>75758</v>
      </c>
      <c r="G10315" s="51">
        <f>ROUNDUP(F10315*((E10315/21)/E10287),0)</f>
        <v>43291</v>
      </c>
    </row>
    <row r="10316" spans="1:9" x14ac:dyDescent="0.25">
      <c r="A10316" s="219" t="s">
        <v>69</v>
      </c>
      <c r="B10316" s="219"/>
      <c r="C10316" s="219"/>
      <c r="D10316" s="219"/>
      <c r="E10316" s="219"/>
      <c r="F10316" s="219"/>
      <c r="G10316" s="52">
        <f>SUM(G10310:G10315)</f>
        <v>50579</v>
      </c>
    </row>
    <row r="10317" spans="1:9" x14ac:dyDescent="0.25">
      <c r="A10317" s="56"/>
      <c r="B10317" s="57"/>
      <c r="C10317" s="57"/>
      <c r="D10317" s="57"/>
      <c r="E10317" s="57"/>
      <c r="F10317" s="57"/>
      <c r="G10317" s="58"/>
    </row>
    <row r="10318" spans="1:9" x14ac:dyDescent="0.25">
      <c r="A10318" s="219" t="s">
        <v>70</v>
      </c>
      <c r="B10318" s="219"/>
      <c r="C10318" s="219"/>
      <c r="D10318" s="219"/>
      <c r="E10318" s="219"/>
      <c r="F10318" s="219"/>
      <c r="G10318" s="219"/>
    </row>
    <row r="10319" spans="1:9" x14ac:dyDescent="0.25">
      <c r="A10319" s="49" t="s">
        <v>35</v>
      </c>
      <c r="B10319" s="219" t="s">
        <v>36</v>
      </c>
      <c r="C10319" s="219"/>
      <c r="D10319" s="49" t="s">
        <v>37</v>
      </c>
      <c r="E10319" s="49" t="s">
        <v>38</v>
      </c>
      <c r="F10319" s="49" t="s">
        <v>39</v>
      </c>
      <c r="G10319" s="49" t="s">
        <v>40</v>
      </c>
    </row>
    <row r="10320" spans="1:9" x14ac:dyDescent="0.25">
      <c r="A10320" s="50" t="s">
        <v>71</v>
      </c>
      <c r="B10320" s="71" t="str">
        <f>VLOOKUP(A10320,'[1]Componentes APUs'!$A$1:$D$14,2,0)</f>
        <v>Camisa indigo sin partes metalicas</v>
      </c>
      <c r="C10320" s="71"/>
      <c r="D10320" s="50" t="str">
        <f>VLOOKUP(A10320,'[1]Componentes APUs'!$A$1:$D$14,3,0)</f>
        <v>U</v>
      </c>
      <c r="E10320" s="50">
        <f>SUM(C10300:C10305)</f>
        <v>4.75</v>
      </c>
      <c r="F10320" s="51">
        <f>VLOOKUP(A10320,'[1]Componentes APUs'!$A$1:$D$14,4,0)</f>
        <v>8585.8585858585866</v>
      </c>
      <c r="G10320" s="51">
        <f>ROUNDUP(F10320*(E10320/21)/E10287,0)</f>
        <v>11653</v>
      </c>
      <c r="I10320" s="91"/>
    </row>
    <row r="10321" spans="1:7" x14ac:dyDescent="0.25">
      <c r="A10321" s="69" t="s">
        <v>73</v>
      </c>
      <c r="B10321" s="72" t="str">
        <f>VLOOKUP(A10321,'[1]Componentes APUs'!$A$1:$D$14,2,0)</f>
        <v>Bota de seguridad dielectrica</v>
      </c>
      <c r="C10321" s="73"/>
      <c r="D10321" s="70" t="str">
        <f>VLOOKUP(A10321,'[1]Componentes APUs'!$A$1:$D$14,3,0)</f>
        <v>Par</v>
      </c>
      <c r="E10321" s="50">
        <f>SUM(C10300:C10305)</f>
        <v>4.75</v>
      </c>
      <c r="F10321" s="51">
        <f>VLOOKUP(A10321,'[1]Componentes APUs'!$A$1:$D$14,4,0)</f>
        <v>7500</v>
      </c>
      <c r="G10321" s="51">
        <f>ROUNDUP(F10321*(E10321/21)/E10287,0)</f>
        <v>10179</v>
      </c>
    </row>
    <row r="10322" spans="1:7" x14ac:dyDescent="0.25">
      <c r="A10322" s="50" t="s">
        <v>76</v>
      </c>
      <c r="B10322" s="72" t="str">
        <f>VLOOKUP(A10322,'[1]Componentes APUs'!$A$1:$D$14,2,0)</f>
        <v>Casco dielectrico Tipo 1 Clase E con barbuquejo</v>
      </c>
      <c r="C10322" s="73"/>
      <c r="D10322" s="50" t="str">
        <f>VLOOKUP(A10322,'[1]Componentes APUs'!$A$1:$D$14,3,0)</f>
        <v>U</v>
      </c>
      <c r="E10322" s="50">
        <f>C10300+C10301+C10303+C10304+C10305+IF(A10302&lt;&gt;"MO-3",C10302,0)</f>
        <v>2.75</v>
      </c>
      <c r="F10322" s="51">
        <f>VLOOKUP(A10322,'[1]Componentes APUs'!$A$1:$D$14,4,0)</f>
        <v>10101.010101010101</v>
      </c>
      <c r="G10322" s="51">
        <f>ROUNDUP(F10322*(E10322/21)/E10287,0)</f>
        <v>7937</v>
      </c>
    </row>
    <row r="10323" spans="1:7" x14ac:dyDescent="0.25">
      <c r="A10323" s="69" t="s">
        <v>77</v>
      </c>
      <c r="B10323" s="72" t="str">
        <f>VLOOKUP(A10323,'[1]Componentes APUs'!$A$1:$D$14,2,0)</f>
        <v>Correa plastica y antiflama</v>
      </c>
      <c r="C10323" s="73"/>
      <c r="D10323" s="50" t="str">
        <f>VLOOKUP(A10323,'[1]Componentes APUs'!$A$1:$D$14,3,0)</f>
        <v>U</v>
      </c>
      <c r="E10323" s="50">
        <f>SUM(C10300:C10305)</f>
        <v>4.75</v>
      </c>
      <c r="F10323" s="51">
        <f>VLOOKUP(A10323,'[1]Componentes APUs'!$A$1:$D$14,4,0)</f>
        <v>3787.878787878788</v>
      </c>
      <c r="G10323" s="51">
        <f>ROUNDUP(F10323*(E10323/21)/E10287,0)</f>
        <v>5141</v>
      </c>
    </row>
    <row r="10324" spans="1:7" x14ac:dyDescent="0.25">
      <c r="A10324" s="50" t="s">
        <v>79</v>
      </c>
      <c r="B10324" s="72" t="str">
        <f>VLOOKUP(A10324,'[1]Componentes APUs'!$A$1:$D$14,2,0)</f>
        <v>Gafas protectoras filtro UV</v>
      </c>
      <c r="C10324" s="73"/>
      <c r="D10324" s="50" t="str">
        <f>VLOOKUP(A10324,'[1]Componentes APUs'!$A$1:$D$14,3,0)</f>
        <v>U</v>
      </c>
      <c r="E10324" s="50">
        <f>SUM(C10300:C10305)</f>
        <v>4.75</v>
      </c>
      <c r="F10324" s="51">
        <f>VLOOKUP(A10324,'[1]Componentes APUs'!$A$1:$D$14,4,0)</f>
        <v>2777.7777777777778</v>
      </c>
      <c r="G10324" s="51">
        <f>ROUNDUP(F10324*(E10324/21)/E10287,0)</f>
        <v>3770</v>
      </c>
    </row>
    <row r="10325" spans="1:7" x14ac:dyDescent="0.25">
      <c r="A10325" s="69" t="s">
        <v>402</v>
      </c>
      <c r="B10325" s="72" t="str">
        <f>VLOOKUP(A10325,'[1]Componentes APUs'!$A$1:$D$14,2,0)</f>
        <v>Bota de seguridad PVC dielectrica</v>
      </c>
      <c r="C10325" s="73"/>
      <c r="D10325" s="50" t="str">
        <f>VLOOKUP(A10325,'[1]Componentes APUs'!$A$1:$D$14,3,0)</f>
        <v>Par</v>
      </c>
      <c r="E10325" s="50">
        <f>SUM(C10300:C10305)</f>
        <v>4.75</v>
      </c>
      <c r="F10325" s="51">
        <f>VLOOKUP(A10325,'[1]Componentes APUs'!$A$1:$D$14,4,0)</f>
        <v>2916.6666666666665</v>
      </c>
      <c r="G10325" s="51">
        <f>ROUNDUP(F10325*(E10325/21)/E10287,0)</f>
        <v>3959</v>
      </c>
    </row>
    <row r="10326" spans="1:7" x14ac:dyDescent="0.25">
      <c r="A10326" s="50" t="s">
        <v>403</v>
      </c>
      <c r="B10326" s="72" t="str">
        <f>VLOOKUP(A10326,'[1]Componentes APUs'!$A$1:$D$14,2,0)</f>
        <v>Capuchon</v>
      </c>
      <c r="C10326" s="73"/>
      <c r="D10326" s="50" t="str">
        <f>VLOOKUP(A10326,'[1]Componentes APUs'!$A$1:$D$14,3,0)</f>
        <v>U</v>
      </c>
      <c r="E10326" s="50">
        <f>SUM(C10300:C10305)</f>
        <v>4.75</v>
      </c>
      <c r="F10326" s="51">
        <f>VLOOKUP(A10326,'[1]Componentes APUs'!$A$1:$D$14,4,0)</f>
        <v>2525.2525252525252</v>
      </c>
      <c r="G10326" s="51">
        <f>ROUNDUP(F10326*(E10326/21)/E10287,0)</f>
        <v>3428</v>
      </c>
    </row>
    <row r="10327" spans="1:7" x14ac:dyDescent="0.25">
      <c r="A10327" s="69" t="s">
        <v>81</v>
      </c>
      <c r="B10327" s="72" t="str">
        <f>VLOOKUP(A10327,'[1]Componentes APUs'!$A$1:$D$14,2,0)</f>
        <v>Guantes Protectores  - ingeniero reforzados</v>
      </c>
      <c r="C10327" s="73"/>
      <c r="D10327" s="50" t="str">
        <f>VLOOKUP(A10327,'[1]Componentes APUs'!$A$1:$D$14,3,0)</f>
        <v>Par</v>
      </c>
      <c r="E10327" s="50">
        <f>C10302+C10303+C10305</f>
        <v>4</v>
      </c>
      <c r="F10327" s="51">
        <f>VLOOKUP(A10327,'[1]Componentes APUs'!$A$1:$D$14,4,0)</f>
        <v>2525.2525252525252</v>
      </c>
      <c r="G10327" s="51">
        <f>ROUNDUP(F10327*(E10327/21)/E10287,0)</f>
        <v>2887</v>
      </c>
    </row>
    <row r="10328" spans="1:7" x14ac:dyDescent="0.25">
      <c r="A10328" s="50" t="s">
        <v>83</v>
      </c>
      <c r="B10328" s="72" t="str">
        <f>VLOOKUP(A10328,'[1]Componentes APUs'!$A$1:$D$14,2,0)</f>
        <v>Impermeable (pantalon camisa)</v>
      </c>
      <c r="C10328" s="73"/>
      <c r="D10328" s="50" t="str">
        <f>VLOOKUP(A10328,'[1]Componentes APUs'!$A$1:$D$14,3,0)</f>
        <v>U</v>
      </c>
      <c r="E10328" s="50">
        <f>SUM(C10300:C10305)</f>
        <v>4.75</v>
      </c>
      <c r="F10328" s="51">
        <f>VLOOKUP(A10328,'[1]Componentes APUs'!$A$1:$D$14,4,0)</f>
        <v>3750</v>
      </c>
      <c r="G10328" s="51">
        <f>ROUNDUP(F10328*(E10328/21)/E10287,0)</f>
        <v>5090</v>
      </c>
    </row>
    <row r="10329" spans="1:7" x14ac:dyDescent="0.25">
      <c r="A10329" s="69" t="s">
        <v>85</v>
      </c>
      <c r="B10329" s="72" t="str">
        <f>VLOOKUP(A10329,'[1]Componentes APUs'!$A$1:$D$14,2,0)</f>
        <v>Jean Dielectrico</v>
      </c>
      <c r="C10329" s="73"/>
      <c r="D10329" s="50" t="str">
        <f>VLOOKUP(A10329,'[1]Componentes APUs'!$A$1:$D$14,3,0)</f>
        <v>U</v>
      </c>
      <c r="E10329" s="50">
        <f>SUM(C10300:C10305)</f>
        <v>4.75</v>
      </c>
      <c r="F10329" s="51">
        <f>VLOOKUP(A10329,'[1]Componentes APUs'!$A$1:$D$14,4,0)</f>
        <v>7575.757575757576</v>
      </c>
      <c r="G10329" s="51">
        <f>ROUNDUP(F10329*(E10329/21)/E10287,0)</f>
        <v>10282</v>
      </c>
    </row>
    <row r="10330" spans="1:7" x14ac:dyDescent="0.25">
      <c r="A10330" s="50" t="s">
        <v>87</v>
      </c>
      <c r="B10330" s="72" t="str">
        <f>VLOOKUP(A10330,'[1]Componentes APUs'!$A$1:$D$14,2,0)</f>
        <v>Casco dielectrico Tipo 2 Clase E con barboquejo</v>
      </c>
      <c r="C10330" s="73"/>
      <c r="D10330" s="50" t="str">
        <f>VLOOKUP(A10330,'[1]Componentes APUs'!$A$1:$D$14,3,0)</f>
        <v>U</v>
      </c>
      <c r="E10330" s="53">
        <f>IF(A10302="MO-3",C10302,0)</f>
        <v>2</v>
      </c>
      <c r="F10330" s="51">
        <f>VLOOKUP(A10330,'[1]Componentes APUs'!$A$1:$D$14,4,0)</f>
        <v>7500</v>
      </c>
      <c r="G10330" s="51">
        <f>ROUNDUP(F10330*(E10330/21)/E10287,0)</f>
        <v>4286</v>
      </c>
    </row>
    <row r="10331" spans="1:7" x14ac:dyDescent="0.25">
      <c r="A10331" s="69" t="s">
        <v>89</v>
      </c>
      <c r="B10331" s="72" t="str">
        <f>VLOOKUP(A10331,'[1]Componentes APUs'!$A$1:$D$14,2,0)</f>
        <v>Kit de rescate para trabajo en alturas</v>
      </c>
      <c r="C10331" s="73"/>
      <c r="D10331" s="50" t="str">
        <f>VLOOKUP(A10331,'[1]Componentes APUs'!$A$1:$D$14,3,0)</f>
        <v>U</v>
      </c>
      <c r="E10331" s="50">
        <f>IF(AND(A10302="MO-3",C10302=2),1,0)</f>
        <v>1</v>
      </c>
      <c r="F10331" s="51">
        <f>VLOOKUP(A10331,'[1]Componentes APUs'!$A$1:$D$14,4,0)</f>
        <v>37500</v>
      </c>
      <c r="G10331" s="51">
        <f>ROUNDUP(F10331*(E10331/21)/E10287,0)</f>
        <v>10715</v>
      </c>
    </row>
    <row r="10332" spans="1:7" x14ac:dyDescent="0.25">
      <c r="A10332" s="50" t="s">
        <v>91</v>
      </c>
      <c r="B10332" s="72" t="str">
        <f>VLOOKUP(A10332,'[1]Componentes APUs'!$A$1:$D$14,2,0)</f>
        <v>Equipo completo para trabajo en alturas con pretales (Arnes dielectrico, 1 mosqueton de seguridad, tie off dielectrico, eslinga de posicionamiento, juego de pretales)</v>
      </c>
      <c r="C10332" s="73"/>
      <c r="D10332" s="50" t="str">
        <f>VLOOKUP(A10332,'[1]Componentes APUs'!$A$1:$D$14,3,0)</f>
        <v>U</v>
      </c>
      <c r="E10332" s="50">
        <f>IF(A10302="MO-3",C10302,0)</f>
        <v>2</v>
      </c>
      <c r="F10332" s="51">
        <f>VLOOKUP(A10332,'[1]Componentes APUs'!$A$1:$D$14,4,0)</f>
        <v>26041.666666666668</v>
      </c>
      <c r="G10332" s="51">
        <f>ROUNDUP(F10332*(E10332/21)/E10287,0)</f>
        <v>14881</v>
      </c>
    </row>
    <row r="10333" spans="1:7" x14ac:dyDescent="0.25">
      <c r="A10333" s="219" t="s">
        <v>95</v>
      </c>
      <c r="B10333" s="219"/>
      <c r="C10333" s="219"/>
      <c r="D10333" s="219"/>
      <c r="E10333" s="219"/>
      <c r="F10333" s="219"/>
      <c r="G10333" s="52">
        <f>SUM(G10320:G10332)</f>
        <v>94208</v>
      </c>
    </row>
    <row r="10334" spans="1:7" x14ac:dyDescent="0.25">
      <c r="A10334" s="56"/>
      <c r="B10334" s="57"/>
      <c r="C10334" s="57"/>
      <c r="D10334" s="57"/>
      <c r="E10334" s="57"/>
      <c r="F10334" s="57"/>
      <c r="G10334" s="58"/>
    </row>
    <row r="10335" spans="1:7" x14ac:dyDescent="0.25">
      <c r="A10335" s="219" t="s">
        <v>96</v>
      </c>
      <c r="B10335" s="219"/>
      <c r="C10335" s="219"/>
      <c r="D10335" s="219"/>
      <c r="E10335" s="219"/>
      <c r="F10335" s="219"/>
      <c r="G10335" s="219"/>
    </row>
    <row r="10336" spans="1:7" x14ac:dyDescent="0.25">
      <c r="A10336" s="49" t="s">
        <v>35</v>
      </c>
      <c r="B10336" s="225" t="s">
        <v>36</v>
      </c>
      <c r="C10336" s="225"/>
      <c r="D10336" s="49" t="s">
        <v>37</v>
      </c>
      <c r="E10336" s="49" t="s">
        <v>38</v>
      </c>
      <c r="F10336" s="49" t="s">
        <v>39</v>
      </c>
      <c r="G10336" s="49" t="s">
        <v>40</v>
      </c>
    </row>
    <row r="10337" spans="1:7" x14ac:dyDescent="0.25">
      <c r="A10337" s="69" t="s">
        <v>97</v>
      </c>
      <c r="B10337" s="72" t="str">
        <f>VLOOKUP(A10337,'[1]Componentes APUs'!$N$1:$Q$30,2,0)</f>
        <v>Camioneta</v>
      </c>
      <c r="C10337" s="73"/>
      <c r="D10337" s="70" t="str">
        <f>VLOOKUP(A10337,'[1]Componentes APUs'!$N$1:$Q$30,3,0)</f>
        <v>U</v>
      </c>
      <c r="E10337" s="50">
        <v>1</v>
      </c>
      <c r="F10337" s="51">
        <f>VLOOKUP(A10337,'[1]Componentes APUs'!$N$1:$Q$30,4,0)</f>
        <v>5500000</v>
      </c>
      <c r="G10337" s="51">
        <f>IFERROR(ROUNDUP(F10337*(E10337/21)/E10287,0),"-")</f>
        <v>1571429</v>
      </c>
    </row>
    <row r="10338" spans="1:7" x14ac:dyDescent="0.25">
      <c r="A10338" s="50" t="s">
        <v>321</v>
      </c>
      <c r="B10338" s="72" t="str">
        <f>VLOOKUP(A10338,'[1]Componentes APUs'!$N$1:$Q$30,2,0)</f>
        <v>Grúa Hidráulica</v>
      </c>
      <c r="C10338" s="73"/>
      <c r="D10338" s="70" t="str">
        <f>VLOOKUP(A10338,'[1]Componentes APUs'!$N$1:$Q$30,3,0)</f>
        <v>U</v>
      </c>
      <c r="E10338" s="50">
        <v>0</v>
      </c>
      <c r="F10338" s="51">
        <f>VLOOKUP(A10338,'[1]Componentes APUs'!$N$1:$Q$30,4,0)</f>
        <v>21000000</v>
      </c>
      <c r="G10338" s="51">
        <f>IFERROR(ROUNDUP(F10338*(E10338/21)/E10287,0),"-")</f>
        <v>0</v>
      </c>
    </row>
    <row r="10339" spans="1:7" x14ac:dyDescent="0.25">
      <c r="A10339" s="69" t="s">
        <v>322</v>
      </c>
      <c r="B10339" s="72" t="str">
        <f>VLOOKUP(A10339,'[1]Componentes APUs'!$N$1:$Q$30,2,0)</f>
        <v>Camabaja</v>
      </c>
      <c r="C10339" s="73"/>
      <c r="D10339" s="70" t="str">
        <f>VLOOKUP(A10339,'[1]Componentes APUs'!$N$1:$Q$30,3,0)</f>
        <v>TON/KM</v>
      </c>
      <c r="E10339" s="50">
        <v>0</v>
      </c>
      <c r="F10339" s="51">
        <f>VLOOKUP(A10339,'[1]Componentes APUs'!$N$1:$Q$30,4,0)</f>
        <v>611</v>
      </c>
      <c r="G10339" s="51">
        <f>IFERROR(ROUNDUP(F10339*(E10339/21)/E10287,0),"-")</f>
        <v>0</v>
      </c>
    </row>
    <row r="10340" spans="1:7" x14ac:dyDescent="0.25">
      <c r="A10340" s="50" t="s">
        <v>323</v>
      </c>
      <c r="B10340" s="72" t="str">
        <f>VLOOKUP(A10340,'[1]Componentes APUs'!$N$1:$Q$30,2,0)</f>
        <v>Volqueta</v>
      </c>
      <c r="C10340" s="73"/>
      <c r="D10340" s="70" t="str">
        <f>VLOOKUP(A10340,'[1]Componentes APUs'!$N$1:$Q$30,3,0)</f>
        <v>U</v>
      </c>
      <c r="E10340" s="50">
        <v>0</v>
      </c>
      <c r="F10340" s="51">
        <f>VLOOKUP(A10340,'[1]Componentes APUs'!$N$1:$Q$30,4,0)</f>
        <v>18900000</v>
      </c>
      <c r="G10340" s="51">
        <f>IFERROR(ROUNDUP(F10340*(E10340/21)/E10287,0),"-")</f>
        <v>0</v>
      </c>
    </row>
    <row r="10341" spans="1:7" x14ac:dyDescent="0.25">
      <c r="A10341" s="69" t="s">
        <v>324</v>
      </c>
      <c r="B10341" s="72" t="str">
        <f>VLOOKUP(A10341,'[1]Componentes APUs'!$N$1:$Q$30,2,0)</f>
        <v>Retroexcavadora</v>
      </c>
      <c r="C10341" s="73"/>
      <c r="D10341" s="70" t="str">
        <f>VLOOKUP(A10341,'[1]Componentes APUs'!$N$1:$Q$30,3,0)</f>
        <v>U</v>
      </c>
      <c r="E10341" s="50">
        <v>0</v>
      </c>
      <c r="F10341" s="51">
        <f>VLOOKUP(A10341,'[1]Componentes APUs'!$N$1:$Q$30,4,0)</f>
        <v>1494459.54</v>
      </c>
      <c r="G10341" s="51">
        <f>IFERROR(ROUNDUP(F10341*(E10341/21)/E10287,0),"-")</f>
        <v>0</v>
      </c>
    </row>
    <row r="10342" spans="1:7" x14ac:dyDescent="0.25">
      <c r="A10342" s="219" t="s">
        <v>99</v>
      </c>
      <c r="B10342" s="219"/>
      <c r="C10342" s="219"/>
      <c r="D10342" s="219"/>
      <c r="E10342" s="219"/>
      <c r="F10342" s="219"/>
      <c r="G10342" s="52">
        <f>SUM(G10337:G10341)</f>
        <v>1571429</v>
      </c>
    </row>
    <row r="10343" spans="1:7" x14ac:dyDescent="0.25">
      <c r="A10343" s="56"/>
      <c r="B10343" s="57"/>
      <c r="C10343" s="57"/>
      <c r="D10343" s="57"/>
      <c r="E10343" s="57"/>
      <c r="F10343" s="57"/>
      <c r="G10343" s="58"/>
    </row>
    <row r="10344" spans="1:7" x14ac:dyDescent="0.25">
      <c r="A10344" s="219" t="s">
        <v>1516</v>
      </c>
      <c r="B10344" s="219"/>
      <c r="C10344" s="219"/>
      <c r="D10344" s="219"/>
      <c r="E10344" s="219"/>
      <c r="F10344" s="219"/>
      <c r="G10344" s="52">
        <f>G10342+G10333+G10316+G10306+G10296</f>
        <v>67359913</v>
      </c>
    </row>
    <row r="10345" spans="1:7" x14ac:dyDescent="0.25">
      <c r="A10345" s="59"/>
      <c r="B10345" s="60"/>
      <c r="C10345" s="60"/>
      <c r="D10345" s="60"/>
      <c r="E10345" s="57"/>
      <c r="F10345" s="57"/>
      <c r="G10345" s="58"/>
    </row>
    <row r="10346" spans="1:7" x14ac:dyDescent="0.25">
      <c r="A10346" s="64"/>
      <c r="D10346" s="55"/>
      <c r="E10346" s="49" t="s">
        <v>25</v>
      </c>
      <c r="F10346" s="54">
        <v>0.15</v>
      </c>
      <c r="G10346" s="51">
        <f>G10344*F10346</f>
        <v>10103986.949999999</v>
      </c>
    </row>
    <row r="10347" spans="1:7" x14ac:dyDescent="0.25">
      <c r="A10347" s="64"/>
      <c r="D10347" s="55"/>
      <c r="E10347" s="49" t="s">
        <v>26</v>
      </c>
      <c r="F10347" s="54">
        <v>0.05</v>
      </c>
      <c r="G10347" s="51">
        <f>G10344*F10347</f>
        <v>3367995.6500000004</v>
      </c>
    </row>
    <row r="10348" spans="1:7" x14ac:dyDescent="0.25">
      <c r="A10348" s="61"/>
      <c r="B10348" s="65"/>
      <c r="C10348" s="65"/>
      <c r="D10348" s="62"/>
      <c r="E10348" s="49" t="s">
        <v>27</v>
      </c>
      <c r="F10348" s="54">
        <v>0.05</v>
      </c>
      <c r="G10348" s="51">
        <f>G10344*F10348</f>
        <v>3367995.6500000004</v>
      </c>
    </row>
    <row r="10349" spans="1:7" x14ac:dyDescent="0.25">
      <c r="A10349" s="61"/>
      <c r="B10349" s="62"/>
      <c r="C10349" s="62"/>
      <c r="D10349" s="62"/>
      <c r="E10349" s="62"/>
      <c r="F10349" s="62"/>
      <c r="G10349" s="63"/>
    </row>
    <row r="10350" spans="1:7" x14ac:dyDescent="0.25">
      <c r="A10350" s="219" t="s">
        <v>1517</v>
      </c>
      <c r="B10350" s="219"/>
      <c r="C10350" s="219"/>
      <c r="D10350" s="219"/>
      <c r="E10350" s="219"/>
      <c r="F10350" s="219"/>
      <c r="G10350" s="52">
        <f>G10344+G10346+G10347+G10348</f>
        <v>84199891.250000015</v>
      </c>
    </row>
    <row r="10351" spans="1:7" x14ac:dyDescent="0.25">
      <c r="A10351" s="59"/>
      <c r="B10351" s="60"/>
      <c r="C10351" s="60"/>
      <c r="D10351" s="60"/>
      <c r="E10351" s="57"/>
      <c r="F10351" s="57"/>
      <c r="G10351" s="58"/>
    </row>
    <row r="10352" spans="1:7" x14ac:dyDescent="0.25">
      <c r="A10352" s="64"/>
      <c r="D10352" s="55"/>
      <c r="E10352" s="49" t="s">
        <v>102</v>
      </c>
      <c r="F10352" s="49" t="s">
        <v>103</v>
      </c>
      <c r="G10352" s="51">
        <f>G10348*19%</f>
        <v>639919.17350000003</v>
      </c>
    </row>
    <row r="10353" spans="1:7" x14ac:dyDescent="0.25">
      <c r="A10353" s="61"/>
      <c r="B10353" s="62"/>
      <c r="C10353" s="62"/>
      <c r="D10353" s="62"/>
      <c r="E10353" s="57"/>
      <c r="F10353" s="57"/>
      <c r="G10353" s="58"/>
    </row>
    <row r="10354" spans="1:7" x14ac:dyDescent="0.25">
      <c r="A10354" s="219" t="s">
        <v>104</v>
      </c>
      <c r="B10354" s="219"/>
      <c r="C10354" s="219"/>
      <c r="D10354" s="219"/>
      <c r="E10354" s="219"/>
      <c r="F10354" s="219"/>
      <c r="G10354" s="52">
        <f>G10352+G10350</f>
        <v>84839810.423500016</v>
      </c>
    </row>
    <row r="10356" spans="1:7" x14ac:dyDescent="0.25">
      <c r="A10356" s="74" t="s">
        <v>29</v>
      </c>
      <c r="B10356" s="226" t="s">
        <v>30</v>
      </c>
      <c r="C10356" s="226"/>
      <c r="D10356" s="74" t="s">
        <v>31</v>
      </c>
      <c r="E10356" s="74" t="s">
        <v>32</v>
      </c>
      <c r="F10356" s="74" t="s">
        <v>189</v>
      </c>
      <c r="G10356" s="74" t="s">
        <v>33</v>
      </c>
    </row>
    <row r="10357" spans="1:7" ht="32.25" customHeight="1" x14ac:dyDescent="0.25">
      <c r="A10357" s="50" t="str">
        <f>Presupuesto!B190</f>
        <v>002_N3</v>
      </c>
      <c r="B10357" s="220" t="str">
        <f>Presupuesto!C190</f>
        <v>SUMINISTRO E INSTALACIÓN DE HERRAJES PARA BAHÍA DE LÍNEA TIPO A o B N3. INCLUYE HERRAJES PARA SECCIONADOR</v>
      </c>
      <c r="C10357" s="220"/>
      <c r="D10357" s="50" t="s">
        <v>18</v>
      </c>
      <c r="E10357" s="93">
        <v>0.5</v>
      </c>
      <c r="F10357" s="50"/>
      <c r="G10357" s="51">
        <f>G10423</f>
        <v>11281058.112500001</v>
      </c>
    </row>
    <row r="10358" spans="1:7" x14ac:dyDescent="0.25">
      <c r="A10358" s="219" t="s">
        <v>34</v>
      </c>
      <c r="B10358" s="219"/>
      <c r="C10358" s="219"/>
      <c r="D10358" s="219"/>
      <c r="E10358" s="219"/>
      <c r="F10358" s="219"/>
      <c r="G10358" s="219"/>
    </row>
    <row r="10359" spans="1:7" x14ac:dyDescent="0.25">
      <c r="A10359" s="49" t="s">
        <v>35</v>
      </c>
      <c r="B10359" s="219" t="s">
        <v>36</v>
      </c>
      <c r="C10359" s="219"/>
      <c r="D10359" s="49" t="s">
        <v>37</v>
      </c>
      <c r="E10359" s="49" t="s">
        <v>38</v>
      </c>
      <c r="F10359" s="49" t="s">
        <v>39</v>
      </c>
      <c r="G10359" s="49" t="s">
        <v>40</v>
      </c>
    </row>
    <row r="10360" spans="1:7" ht="28.5" customHeight="1" x14ac:dyDescent="0.25">
      <c r="A10360" s="17" t="str">
        <f>Material!A10</f>
        <v>MA-09</v>
      </c>
      <c r="B10360" s="221" t="str">
        <f>IFERROR(VLOOKUP(A10360,Material!$A:$J,2,0),"-")</f>
        <v>ESPARRAGO DE HIERRO GALVANIZADO ROSCADO EN TODA SU LONGITUD, 4 TUERCAS. DIAMETRO 16 MM LONGITUD 458  MM</v>
      </c>
      <c r="C10360" s="222"/>
      <c r="D10360" s="50" t="str">
        <f>IFERROR(VLOOKUP(A10360,Material!$A:$J,4,0),"-")</f>
        <v>UN</v>
      </c>
      <c r="E10360" s="50">
        <f>3*5</f>
        <v>15</v>
      </c>
      <c r="F10360" s="51">
        <f>IFERROR(VLOOKUP(A10360,Material!$A:$J,3,0),"-")</f>
        <v>10920</v>
      </c>
      <c r="G10360" s="51">
        <f t="shared" ref="G10360:G10368" si="146">IFERROR(ROUNDUP(F10360*E10360,0),"-")</f>
        <v>163800</v>
      </c>
    </row>
    <row r="10361" spans="1:7" ht="28.5" customHeight="1" x14ac:dyDescent="0.25">
      <c r="A10361" s="17" t="str">
        <f>Material!A11</f>
        <v>MA-10</v>
      </c>
      <c r="B10361" s="221" t="str">
        <f>IFERROR(VLOOKUP(A10361,Material!$A:$J,2,0),"-")</f>
        <v>GRAPA DE OPERAR EN CALIENTE CONDUCTOR AWG-MCM 6 - 400 DIÁMETRO 4 - 13,5 MM</v>
      </c>
      <c r="C10361" s="222"/>
      <c r="D10361" s="50" t="str">
        <f>IFERROR(VLOOKUP(A10361,Material!$A:$J,4,0),"-")</f>
        <v>UN</v>
      </c>
      <c r="E10361" s="50">
        <f>3</f>
        <v>3</v>
      </c>
      <c r="F10361" s="51">
        <f>IFERROR(VLOOKUP(A10361,Material!$A:$J,3,0),"-")</f>
        <v>37155.300000000003</v>
      </c>
      <c r="G10361" s="51">
        <f t="shared" si="146"/>
        <v>111466</v>
      </c>
    </row>
    <row r="10362" spans="1:7" x14ac:dyDescent="0.25">
      <c r="A10362" s="17" t="str">
        <f>Material!A12</f>
        <v>MA-11</v>
      </c>
      <c r="B10362" s="221" t="str">
        <f>IFERROR(VLOOKUP(A10362,Material!$A:$J,2,0),"-")</f>
        <v>TUERCA DE OJO ALARGADO PARA PERNO 16 MM</v>
      </c>
      <c r="C10362" s="222"/>
      <c r="D10362" s="50" t="str">
        <f>IFERROR(VLOOKUP(A10362,Material!$A:$J,4,0),"-")</f>
        <v>UN</v>
      </c>
      <c r="E10362" s="50">
        <f>3</f>
        <v>3</v>
      </c>
      <c r="F10362" s="51">
        <f>IFERROR(VLOOKUP(A10362,Material!$A:$J,3,0),"-")</f>
        <v>18200</v>
      </c>
      <c r="G10362" s="51">
        <f t="shared" si="146"/>
        <v>54600</v>
      </c>
    </row>
    <row r="10363" spans="1:7" x14ac:dyDescent="0.25">
      <c r="A10363" s="17" t="str">
        <f>Material!A2</f>
        <v>MA-01</v>
      </c>
      <c r="B10363" s="221" t="str">
        <f>IFERROR(VLOOKUP(A10363,Material!$A:$J,2,0),"-")</f>
        <v>GRAPA DE RETENCIÓN TIPO PISTOLA DE 6-4/0 DE 3 UES EN ALUMINIO</v>
      </c>
      <c r="C10363" s="222"/>
      <c r="D10363" s="50" t="str">
        <f>IFERROR(VLOOKUP(A10363,Material!$A:$J,4,0),"-")</f>
        <v>UN</v>
      </c>
      <c r="E10363" s="50">
        <f>3</f>
        <v>3</v>
      </c>
      <c r="F10363" s="51">
        <f>IFERROR(VLOOKUP(A10363,Material!$A:$J,3,0),"-")</f>
        <v>104000</v>
      </c>
      <c r="G10363" s="51">
        <f t="shared" si="146"/>
        <v>312000</v>
      </c>
    </row>
    <row r="10364" spans="1:7" x14ac:dyDescent="0.25">
      <c r="A10364" s="17" t="str">
        <f>Material!A3</f>
        <v>MA-02</v>
      </c>
      <c r="B10364" s="221" t="str">
        <f>IFERROR(VLOOKUP(A10364,Material!$A:$J,2,0),"-")</f>
        <v xml:space="preserve">AISLADOR TIPO DISCO DE HORQUILLA. DIAMETRO 254 MM 34.5 KV ANSI 52-4 </v>
      </c>
      <c r="C10364" s="222"/>
      <c r="D10364" s="50" t="str">
        <f>IFERROR(VLOOKUP(A10364,Material!$A:$J,4,0),"-")</f>
        <v>UN</v>
      </c>
      <c r="E10364" s="50">
        <f>2*3</f>
        <v>6</v>
      </c>
      <c r="F10364" s="51">
        <f>IFERROR(VLOOKUP(A10364,Material!$A:$J,3,0),"-")</f>
        <v>107835</v>
      </c>
      <c r="G10364" s="51">
        <f t="shared" si="146"/>
        <v>647010</v>
      </c>
    </row>
    <row r="10365" spans="1:7" ht="28.5" customHeight="1" x14ac:dyDescent="0.25">
      <c r="A10365" s="17" t="str">
        <f>Material!A5</f>
        <v>MA-04</v>
      </c>
      <c r="B10365" s="221" t="str">
        <f>IFERROR(VLOOKUP(A10365,Material!$A:$J,2,0),"-")</f>
        <v>COLLARIN DE DOS SALIDAS EN PLATINA DE HIERRO GALVANIZADO. DIAMETRO (6-8 IN) (17 - 22 CM)</v>
      </c>
      <c r="C10365" s="222"/>
      <c r="D10365" s="50" t="str">
        <f>IFERROR(VLOOKUP(A10365,Material!$A:$J,4,0),"-")</f>
        <v>UN</v>
      </c>
      <c r="E10365" s="50">
        <f>2</f>
        <v>2</v>
      </c>
      <c r="F10365" s="51">
        <f>IFERROR(VLOOKUP(A10365,Material!$A:$J,3,0),"-")</f>
        <v>24505</v>
      </c>
      <c r="G10365" s="51">
        <f t="shared" si="146"/>
        <v>49010</v>
      </c>
    </row>
    <row r="10366" spans="1:7" ht="28.5" customHeight="1" x14ac:dyDescent="0.25">
      <c r="A10366" s="17" t="str">
        <f>Material!A6</f>
        <v>MA-05</v>
      </c>
      <c r="B10366" s="221" t="str">
        <f>IFERROR(VLOOKUP(A10366,Material!$A:$J,2,0),"-")</f>
        <v>COLLARIN DE DOS SALIDAS EN PLATINA DE HIERRO GALVANIZADO. DIAMETRO (7-10 IN) (20 - 25 CM)</v>
      </c>
      <c r="C10366" s="222"/>
      <c r="D10366" s="50" t="str">
        <f>IFERROR(VLOOKUP(A10366,Material!$A:$J,4,0),"-")</f>
        <v>UN</v>
      </c>
      <c r="E10366" s="50">
        <f>2</f>
        <v>2</v>
      </c>
      <c r="F10366" s="51">
        <f>IFERROR(VLOOKUP(A10366,Material!$A:$J,3,0),"-")</f>
        <v>27755</v>
      </c>
      <c r="G10366" s="51">
        <f t="shared" si="146"/>
        <v>55510</v>
      </c>
    </row>
    <row r="10367" spans="1:7" ht="28.5" customHeight="1" x14ac:dyDescent="0.25">
      <c r="A10367" s="17" t="str">
        <f>Material!A7</f>
        <v>MA-06</v>
      </c>
      <c r="B10367" s="221" t="str">
        <f>IFERROR(VLOOKUP(A10367,Material!$A:$J,2,0),"-")</f>
        <v>COLLARIN DE DOS SALIDAS EN PLATINA DE HIERRO GALVANIZADO. DIAMETRO (10-12 IN) (25 - 30 CM)</v>
      </c>
      <c r="C10367" s="222"/>
      <c r="D10367" s="50" t="str">
        <f>IFERROR(VLOOKUP(A10367,Material!$A:$J,4,0),"-")</f>
        <v>UN</v>
      </c>
      <c r="E10367" s="50">
        <f>2+4</f>
        <v>6</v>
      </c>
      <c r="F10367" s="51">
        <f>IFERROR(VLOOKUP(A10367,Material!$A:$J,3,0),"-")</f>
        <v>33150</v>
      </c>
      <c r="G10367" s="51">
        <f t="shared" si="146"/>
        <v>198900</v>
      </c>
    </row>
    <row r="10368" spans="1:7" ht="28.5" customHeight="1" x14ac:dyDescent="0.25">
      <c r="A10368" s="17" t="str">
        <f>Material!A9</f>
        <v>MA-08</v>
      </c>
      <c r="B10368" s="221" t="str">
        <f>IFERROR(VLOOKUP(A10368,Material!$A:$J,2,0),"-")</f>
        <v>CRUCETA METÁLICA DE ANGULO GALVANIZADO DE 6 M DE LONGITUD. CALIBRE (76*76*6) MM</v>
      </c>
      <c r="C10368" s="222"/>
      <c r="D10368" s="50" t="str">
        <f>IFERROR(VLOOKUP(A10368,Material!$A:$J,4,0),"-")</f>
        <v>UN</v>
      </c>
      <c r="E10368" s="50">
        <f>6</f>
        <v>6</v>
      </c>
      <c r="F10368" s="51">
        <f>IFERROR(VLOOKUP(A10368,Material!$A:$J,3,0),"-")</f>
        <v>763908.6</v>
      </c>
      <c r="G10368" s="51">
        <f t="shared" si="146"/>
        <v>4583452</v>
      </c>
    </row>
    <row r="10369" spans="1:7" x14ac:dyDescent="0.25">
      <c r="A10369" s="219" t="s">
        <v>41</v>
      </c>
      <c r="B10369" s="219"/>
      <c r="C10369" s="219"/>
      <c r="D10369" s="219"/>
      <c r="E10369" s="219"/>
      <c r="F10369" s="219"/>
      <c r="G10369" s="52">
        <f>SUM(G10360:G10368)</f>
        <v>6175748</v>
      </c>
    </row>
    <row r="10370" spans="1:7" x14ac:dyDescent="0.25">
      <c r="A10370" s="56"/>
      <c r="B10370" s="57"/>
      <c r="C10370" s="57"/>
      <c r="D10370" s="57"/>
      <c r="E10370" s="57"/>
      <c r="F10370" s="57"/>
      <c r="G10370" s="58"/>
    </row>
    <row r="10371" spans="1:7" x14ac:dyDescent="0.25">
      <c r="A10371" s="219" t="s">
        <v>42</v>
      </c>
      <c r="B10371" s="219"/>
      <c r="C10371" s="219"/>
      <c r="D10371" s="219"/>
      <c r="E10371" s="219"/>
      <c r="F10371" s="219"/>
      <c r="G10371" s="219"/>
    </row>
    <row r="10372" spans="1:7" x14ac:dyDescent="0.25">
      <c r="A10372" s="49" t="s">
        <v>35</v>
      </c>
      <c r="B10372" s="49" t="s">
        <v>36</v>
      </c>
      <c r="C10372" s="49" t="s">
        <v>38</v>
      </c>
      <c r="D10372" s="49" t="s">
        <v>43</v>
      </c>
      <c r="E10372" s="49" t="s">
        <v>44</v>
      </c>
      <c r="F10372" s="49" t="s">
        <v>45</v>
      </c>
      <c r="G10372" s="49" t="s">
        <v>40</v>
      </c>
    </row>
    <row r="10373" spans="1:7" x14ac:dyDescent="0.25">
      <c r="A10373" s="50" t="s">
        <v>319</v>
      </c>
      <c r="B10373" s="68" t="str">
        <f>VLOOKUP(A10373,'[1]Componentes APUs'!$H$1:$L$25,2,0)</f>
        <v>Ingeniero Residente de Obra</v>
      </c>
      <c r="C10373" s="93">
        <v>0.25</v>
      </c>
      <c r="D10373" s="50">
        <f>VLOOKUP(A10373,'[1]Componentes APUs'!$H$1:$L$25,3,0)</f>
        <v>4</v>
      </c>
      <c r="E10373" s="51">
        <f>VLOOKUP(A10373,'[1]Componentes APUs'!$H$1:$L$25,4,0)</f>
        <v>271142.85714285716</v>
      </c>
      <c r="F10373" s="51">
        <f>VLOOKUP(A10373,'[1]Componentes APUs'!$H$1:$L$25,5,0)</f>
        <v>162685.71428571429</v>
      </c>
      <c r="G10373" s="51">
        <f>ROUNDUP((E10373+F10373)*C10373/E10357,0)</f>
        <v>216915</v>
      </c>
    </row>
    <row r="10374" spans="1:7" x14ac:dyDescent="0.25">
      <c r="A10374" s="50" t="s">
        <v>320</v>
      </c>
      <c r="B10374" s="68" t="str">
        <f>VLOOKUP(A10374,'[1]Componentes APUs'!$H$1:$L$25,2,0)</f>
        <v>Tecnico Supervisor</v>
      </c>
      <c r="C10374" s="93">
        <v>0.25</v>
      </c>
      <c r="D10374" s="50">
        <f>VLOOKUP(A10374,'[1]Componentes APUs'!$H$1:$L$25,3,0)</f>
        <v>2.2999999999999998</v>
      </c>
      <c r="E10374" s="51">
        <f>VLOOKUP(A10374,'[1]Componentes APUs'!$H$1:$L$25,4,0)</f>
        <v>155907.14285714284</v>
      </c>
      <c r="F10374" s="51">
        <f>VLOOKUP(A10374,'[1]Componentes APUs'!$H$1:$L$25,5,0)</f>
        <v>93544.285714285696</v>
      </c>
      <c r="G10374" s="51">
        <f>ROUNDUP((E10374+F10374)*C10374/E10357,0)</f>
        <v>124726</v>
      </c>
    </row>
    <row r="10375" spans="1:7" x14ac:dyDescent="0.25">
      <c r="A10375" s="50" t="s">
        <v>46</v>
      </c>
      <c r="B10375" s="68" t="str">
        <f>VLOOKUP(A10375,'[1]Componentes APUs'!$H$1:$L$25,2,0)</f>
        <v>Tecnico Liniero</v>
      </c>
      <c r="C10375" s="93">
        <v>2</v>
      </c>
      <c r="D10375" s="50">
        <f>VLOOKUP(A10375,'[1]Componentes APUs'!$H$1:$L$25,3,0)</f>
        <v>2</v>
      </c>
      <c r="E10375" s="51">
        <f>VLOOKUP(A10375,'[1]Componentes APUs'!$H$1:$L$25,4,0)</f>
        <v>154619.04761904763</v>
      </c>
      <c r="F10375" s="51">
        <f>VLOOKUP(A10375,'[1]Componentes APUs'!$H$1:$L$25,5,0)</f>
        <v>92771.42857142858</v>
      </c>
      <c r="G10375" s="51">
        <f>ROUNDUP((E10375+F10375)*C10375/E10357,0)</f>
        <v>989562</v>
      </c>
    </row>
    <row r="10376" spans="1:7" x14ac:dyDescent="0.25">
      <c r="A10376" s="50" t="s">
        <v>48</v>
      </c>
      <c r="B10376" s="68" t="str">
        <f>VLOOKUP(A10376,'[1]Componentes APUs'!$H$1:$L$25,2,0)</f>
        <v>Ayudante Calificado</v>
      </c>
      <c r="C10376" s="93">
        <v>2</v>
      </c>
      <c r="D10376" s="50">
        <f>VLOOKUP(A10376,'[1]Componentes APUs'!$H$1:$L$25,3,0)</f>
        <v>1.5</v>
      </c>
      <c r="E10376" s="51">
        <f>VLOOKUP(A10376,'[1]Componentes APUs'!$H$1:$L$25,4,0)</f>
        <v>115964.28571428571</v>
      </c>
      <c r="F10376" s="51">
        <f>VLOOKUP(A10376,'[1]Componentes APUs'!$H$1:$L$25,5,0)</f>
        <v>69578.57142857142</v>
      </c>
      <c r="G10376" s="51">
        <f>ROUNDUP((E10376+F10376)*C10376/E10357,0)</f>
        <v>742172</v>
      </c>
    </row>
    <row r="10377" spans="1:7" x14ac:dyDescent="0.25">
      <c r="A10377" s="50" t="s">
        <v>50</v>
      </c>
      <c r="B10377" s="68" t="str">
        <f>VLOOKUP(A10377,'[1]Componentes APUs'!$H$1:$L$25,2,0)</f>
        <v>Profesional en SST</v>
      </c>
      <c r="C10377" s="93">
        <v>0.25</v>
      </c>
      <c r="D10377" s="50">
        <f>VLOOKUP(A10377,'[1]Componentes APUs'!$H$1:$L$25,3,0)</f>
        <v>2.5</v>
      </c>
      <c r="E10377" s="51">
        <f>VLOOKUP(A10377,'[1]Componentes APUs'!$H$1:$L$25,4,0)</f>
        <v>169464.28571428571</v>
      </c>
      <c r="F10377" s="51">
        <f>VLOOKUP(A10377,'[1]Componentes APUs'!$H$1:$L$25,5,0)</f>
        <v>101678.57142857142</v>
      </c>
      <c r="G10377" s="51">
        <f>ROUNDUP((E10377+F10377)*C10377/E10357,0)</f>
        <v>135572</v>
      </c>
    </row>
    <row r="10378" spans="1:7" x14ac:dyDescent="0.25">
      <c r="A10378" s="50" t="s">
        <v>52</v>
      </c>
      <c r="B10378" s="68" t="str">
        <f>VLOOKUP(A10378,'[1]Componentes APUs'!$H$1:$L$25,2,0)</f>
        <v>Ayudante No Calificado</v>
      </c>
      <c r="C10378" s="93">
        <v>0</v>
      </c>
      <c r="D10378" s="50">
        <f>VLOOKUP(A10378,'[1]Componentes APUs'!$H$1:$L$25,3,0)</f>
        <v>1</v>
      </c>
      <c r="E10378" s="51">
        <f>VLOOKUP(A10378,'[1]Componentes APUs'!$H$1:$L$25,4,0)</f>
        <v>77309.523809523816</v>
      </c>
      <c r="F10378" s="51">
        <f>VLOOKUP(A10378,'[1]Componentes APUs'!$H$1:$L$25,5,0)</f>
        <v>46385.71428571429</v>
      </c>
      <c r="G10378" s="51">
        <f>ROUNDUP((E10378+F10378)*C10378/E10357,0)</f>
        <v>0</v>
      </c>
    </row>
    <row r="10379" spans="1:7" x14ac:dyDescent="0.25">
      <c r="A10379" s="219" t="s">
        <v>56</v>
      </c>
      <c r="B10379" s="219"/>
      <c r="C10379" s="219"/>
      <c r="D10379" s="219"/>
      <c r="E10379" s="219"/>
      <c r="F10379" s="219"/>
      <c r="G10379" s="52">
        <f>SUM(G10373:G10378)</f>
        <v>2208947</v>
      </c>
    </row>
    <row r="10380" spans="1:7" x14ac:dyDescent="0.25">
      <c r="A10380" s="56"/>
      <c r="B10380" s="57"/>
      <c r="C10380" s="57"/>
      <c r="D10380" s="57"/>
      <c r="E10380" s="57"/>
      <c r="F10380" s="57"/>
      <c r="G10380" s="58"/>
    </row>
    <row r="10381" spans="1:7" x14ac:dyDescent="0.25">
      <c r="A10381" s="219" t="s">
        <v>57</v>
      </c>
      <c r="B10381" s="219"/>
      <c r="C10381" s="219"/>
      <c r="D10381" s="219"/>
      <c r="E10381" s="219"/>
      <c r="F10381" s="219"/>
      <c r="G10381" s="219"/>
    </row>
    <row r="10382" spans="1:7" x14ac:dyDescent="0.25">
      <c r="A10382" s="49" t="s">
        <v>35</v>
      </c>
      <c r="B10382" s="219" t="s">
        <v>36</v>
      </c>
      <c r="C10382" s="219"/>
      <c r="D10382" s="49" t="s">
        <v>37</v>
      </c>
      <c r="E10382" s="49" t="s">
        <v>38</v>
      </c>
      <c r="F10382" s="49" t="s">
        <v>39</v>
      </c>
      <c r="G10382" s="49" t="s">
        <v>40</v>
      </c>
    </row>
    <row r="10383" spans="1:7" x14ac:dyDescent="0.25">
      <c r="A10383" s="50" t="s">
        <v>326</v>
      </c>
      <c r="B10383" s="220" t="str">
        <f>VLOOKUP(A10383,'[1]Componentes APUs'!$S$1:$V$10,2,0)</f>
        <v>Juego Llaves</v>
      </c>
      <c r="C10383" s="220"/>
      <c r="D10383" s="50" t="s">
        <v>18</v>
      </c>
      <c r="E10383" s="50">
        <v>2</v>
      </c>
      <c r="F10383" s="51">
        <f>VLOOKUP(A10383,'[1]Componentes APUs'!$S$1:$V$10,4,0)</f>
        <v>9167</v>
      </c>
      <c r="G10383" s="51">
        <f>ROUNDUP(F10383*((E10383/21)/E10357),0)</f>
        <v>1747</v>
      </c>
    </row>
    <row r="10384" spans="1:7" x14ac:dyDescent="0.25">
      <c r="A10384" s="50" t="s">
        <v>58</v>
      </c>
      <c r="B10384" s="220" t="str">
        <f>VLOOKUP(A10384,'[1]Componentes APUs'!$S$1:$V$10,2,0)</f>
        <v>Manila de servicio</v>
      </c>
      <c r="C10384" s="220"/>
      <c r="D10384" s="50" t="s">
        <v>18</v>
      </c>
      <c r="E10384" s="50">
        <v>2</v>
      </c>
      <c r="F10384" s="51">
        <f>VLOOKUP(A10384,'[1]Componentes APUs'!$S$1:$V$10,4,0)</f>
        <v>2333</v>
      </c>
      <c r="G10384" s="51">
        <f>ROUNDUP(F10384*((E10384/21)/E10357),0)</f>
        <v>445</v>
      </c>
    </row>
    <row r="10385" spans="1:7" x14ac:dyDescent="0.25">
      <c r="A10385" s="50" t="s">
        <v>327</v>
      </c>
      <c r="B10385" s="220" t="str">
        <f>VLOOKUP(A10385,'[1]Componentes APUs'!$S$1:$V$10,2,0)</f>
        <v>Tula portaherramientas</v>
      </c>
      <c r="C10385" s="220"/>
      <c r="D10385" s="50" t="s">
        <v>18</v>
      </c>
      <c r="E10385" s="50">
        <v>2</v>
      </c>
      <c r="F10385" s="51">
        <f>VLOOKUP(A10385,'[1]Componentes APUs'!$S$1:$V$10,4,0)</f>
        <v>1250</v>
      </c>
      <c r="G10385" s="51">
        <f>ROUNDUP(F10385*((E10385/21)/E10357),0)</f>
        <v>239</v>
      </c>
    </row>
    <row r="10386" spans="1:7" x14ac:dyDescent="0.25">
      <c r="A10386" s="50" t="s">
        <v>60</v>
      </c>
      <c r="B10386" s="220" t="str">
        <f>VLOOKUP(A10386,'[1]Componentes APUs'!$S$1:$V$10,2,0)</f>
        <v>Agarradoras</v>
      </c>
      <c r="C10386" s="220"/>
      <c r="D10386" s="50" t="s">
        <v>18</v>
      </c>
      <c r="E10386" s="50">
        <v>0</v>
      </c>
      <c r="F10386" s="51">
        <f>VLOOKUP(A10386,'[1]Componentes APUs'!$S$1:$V$10,4,0)</f>
        <v>125000</v>
      </c>
      <c r="G10386" s="51">
        <f>ROUNDUP(F10386*((E10386/21)/E10357),0)</f>
        <v>0</v>
      </c>
    </row>
    <row r="10387" spans="1:7" x14ac:dyDescent="0.25">
      <c r="A10387" s="50" t="s">
        <v>62</v>
      </c>
      <c r="B10387" s="220" t="str">
        <f>VLOOKUP(A10387,'[1]Componentes APUs'!$S$1:$V$10,2,0)</f>
        <v>Templadoras</v>
      </c>
      <c r="C10387" s="220"/>
      <c r="D10387" s="50" t="s">
        <v>18</v>
      </c>
      <c r="E10387" s="50">
        <v>0</v>
      </c>
      <c r="F10387" s="51">
        <f>VLOOKUP(A10387,'[1]Componentes APUs'!$S$1:$V$10,4,0)</f>
        <v>250000</v>
      </c>
      <c r="G10387" s="51">
        <f>ROUNDUP(F10387*((E10387/21)/E10357),0)</f>
        <v>0</v>
      </c>
    </row>
    <row r="10388" spans="1:7" x14ac:dyDescent="0.25">
      <c r="A10388" s="50" t="s">
        <v>328</v>
      </c>
      <c r="B10388" s="220" t="str">
        <f>VLOOKUP(A10388,'[1]Componentes APUs'!$S$1:$V$10,2,0)</f>
        <v>Herramienta Menor</v>
      </c>
      <c r="C10388" s="220"/>
      <c r="D10388" s="50" t="s">
        <v>18</v>
      </c>
      <c r="E10388" s="50">
        <v>2</v>
      </c>
      <c r="F10388" s="51">
        <f>VLOOKUP(A10388,'[1]Componentes APUs'!$S$1:$V$10,4,0)</f>
        <v>75758</v>
      </c>
      <c r="G10388" s="51">
        <f>ROUNDUP(F10388*((E10388/21)/E10357),0)</f>
        <v>14431</v>
      </c>
    </row>
    <row r="10389" spans="1:7" x14ac:dyDescent="0.25">
      <c r="A10389" s="219" t="s">
        <v>69</v>
      </c>
      <c r="B10389" s="219"/>
      <c r="C10389" s="219"/>
      <c r="D10389" s="219"/>
      <c r="E10389" s="219"/>
      <c r="F10389" s="219"/>
      <c r="G10389" s="52">
        <f>SUM(G10383:G10388)</f>
        <v>16862</v>
      </c>
    </row>
    <row r="10390" spans="1:7" x14ac:dyDescent="0.25">
      <c r="A10390" s="56"/>
      <c r="B10390" s="57"/>
      <c r="C10390" s="57"/>
      <c r="D10390" s="57"/>
      <c r="E10390" s="57"/>
      <c r="F10390" s="57"/>
      <c r="G10390" s="58"/>
    </row>
    <row r="10391" spans="1:7" x14ac:dyDescent="0.25">
      <c r="A10391" s="219" t="s">
        <v>70</v>
      </c>
      <c r="B10391" s="219"/>
      <c r="C10391" s="219"/>
      <c r="D10391" s="219"/>
      <c r="E10391" s="219"/>
      <c r="F10391" s="219"/>
      <c r="G10391" s="219"/>
    </row>
    <row r="10392" spans="1:7" x14ac:dyDescent="0.25">
      <c r="A10392" s="49" t="s">
        <v>35</v>
      </c>
      <c r="B10392" s="219" t="s">
        <v>36</v>
      </c>
      <c r="C10392" s="219"/>
      <c r="D10392" s="49" t="s">
        <v>37</v>
      </c>
      <c r="E10392" s="49" t="s">
        <v>38</v>
      </c>
      <c r="F10392" s="49" t="s">
        <v>39</v>
      </c>
      <c r="G10392" s="49" t="s">
        <v>40</v>
      </c>
    </row>
    <row r="10393" spans="1:7" x14ac:dyDescent="0.25">
      <c r="A10393" s="50" t="s">
        <v>71</v>
      </c>
      <c r="B10393" s="71" t="str">
        <f>VLOOKUP(A10393,'[1]Componentes APUs'!$A$1:$D$14,2,0)</f>
        <v>Camisa indigo sin partes metalicas</v>
      </c>
      <c r="C10393" s="71"/>
      <c r="D10393" s="50" t="str">
        <f>VLOOKUP(A10393,'[1]Componentes APUs'!$A$1:$D$14,3,0)</f>
        <v>U</v>
      </c>
      <c r="E10393" s="50">
        <f>SUM(C10373:C10378)</f>
        <v>4.75</v>
      </c>
      <c r="F10393" s="51">
        <f>VLOOKUP(A10393,'[1]Componentes APUs'!$A$1:$D$14,4,0)</f>
        <v>8585.8585858585866</v>
      </c>
      <c r="G10393" s="51">
        <f>ROUNDUP(F10393*(E10393/21)/E10357,0)</f>
        <v>3885</v>
      </c>
    </row>
    <row r="10394" spans="1:7" x14ac:dyDescent="0.25">
      <c r="A10394" s="69" t="s">
        <v>73</v>
      </c>
      <c r="B10394" s="72" t="str">
        <f>VLOOKUP(A10394,'[1]Componentes APUs'!$A$1:$D$14,2,0)</f>
        <v>Bota de seguridad dielectrica</v>
      </c>
      <c r="C10394" s="73"/>
      <c r="D10394" s="70" t="str">
        <f>VLOOKUP(A10394,'[1]Componentes APUs'!$A$1:$D$14,3,0)</f>
        <v>Par</v>
      </c>
      <c r="E10394" s="50">
        <f>SUM(C10373:C10378)</f>
        <v>4.75</v>
      </c>
      <c r="F10394" s="51">
        <f>VLOOKUP(A10394,'[1]Componentes APUs'!$A$1:$D$14,4,0)</f>
        <v>7500</v>
      </c>
      <c r="G10394" s="51">
        <f>ROUNDUP(F10394*(E10394/21)/E10357,0)</f>
        <v>3393</v>
      </c>
    </row>
    <row r="10395" spans="1:7" x14ac:dyDescent="0.25">
      <c r="A10395" s="50" t="s">
        <v>76</v>
      </c>
      <c r="B10395" s="72" t="str">
        <f>VLOOKUP(A10395,'[1]Componentes APUs'!$A$1:$D$14,2,0)</f>
        <v>Casco dielectrico Tipo 1 Clase E con barbuquejo</v>
      </c>
      <c r="C10395" s="73"/>
      <c r="D10395" s="50" t="str">
        <f>VLOOKUP(A10395,'[1]Componentes APUs'!$A$1:$D$14,3,0)</f>
        <v>U</v>
      </c>
      <c r="E10395" s="50">
        <f>C10373+C10374+C10376+C10377+C10378+IF(A10375&lt;&gt;"MO-3",C10375,0)</f>
        <v>2.75</v>
      </c>
      <c r="F10395" s="51">
        <f>VLOOKUP(A10395,'[1]Componentes APUs'!$A$1:$D$14,4,0)</f>
        <v>10101.010101010101</v>
      </c>
      <c r="G10395" s="51">
        <f>ROUNDUP(F10395*(E10395/21)/E10357,0)</f>
        <v>2646</v>
      </c>
    </row>
    <row r="10396" spans="1:7" x14ac:dyDescent="0.25">
      <c r="A10396" s="69" t="s">
        <v>77</v>
      </c>
      <c r="B10396" s="72" t="str">
        <f>VLOOKUP(A10396,'[1]Componentes APUs'!$A$1:$D$14,2,0)</f>
        <v>Correa plastica y antiflama</v>
      </c>
      <c r="C10396" s="73"/>
      <c r="D10396" s="50" t="str">
        <f>VLOOKUP(A10396,'[1]Componentes APUs'!$A$1:$D$14,3,0)</f>
        <v>U</v>
      </c>
      <c r="E10396" s="50">
        <f>SUM(C10373:C10378)</f>
        <v>4.75</v>
      </c>
      <c r="F10396" s="51">
        <f>VLOOKUP(A10396,'[1]Componentes APUs'!$A$1:$D$14,4,0)</f>
        <v>3787.878787878788</v>
      </c>
      <c r="G10396" s="51">
        <f>ROUNDUP(F10396*(E10396/21)/E10357,0)</f>
        <v>1714</v>
      </c>
    </row>
    <row r="10397" spans="1:7" x14ac:dyDescent="0.25">
      <c r="A10397" s="50" t="s">
        <v>79</v>
      </c>
      <c r="B10397" s="72" t="str">
        <f>VLOOKUP(A10397,'[1]Componentes APUs'!$A$1:$D$14,2,0)</f>
        <v>Gafas protectoras filtro UV</v>
      </c>
      <c r="C10397" s="73"/>
      <c r="D10397" s="50" t="str">
        <f>VLOOKUP(A10397,'[1]Componentes APUs'!$A$1:$D$14,3,0)</f>
        <v>U</v>
      </c>
      <c r="E10397" s="50">
        <f>SUM(C10373:C10378)</f>
        <v>4.75</v>
      </c>
      <c r="F10397" s="51">
        <f>VLOOKUP(A10397,'[1]Componentes APUs'!$A$1:$D$14,4,0)</f>
        <v>2777.7777777777778</v>
      </c>
      <c r="G10397" s="51">
        <f>ROUNDUP(F10397*(E10397/21)/E10357,0)</f>
        <v>1257</v>
      </c>
    </row>
    <row r="10398" spans="1:7" x14ac:dyDescent="0.25">
      <c r="A10398" s="69" t="s">
        <v>402</v>
      </c>
      <c r="B10398" s="72" t="str">
        <f>VLOOKUP(A10398,'[1]Componentes APUs'!$A$1:$D$14,2,0)</f>
        <v>Bota de seguridad PVC dielectrica</v>
      </c>
      <c r="C10398" s="73"/>
      <c r="D10398" s="50" t="str">
        <f>VLOOKUP(A10398,'[1]Componentes APUs'!$A$1:$D$14,3,0)</f>
        <v>Par</v>
      </c>
      <c r="E10398" s="50">
        <f>SUM(C10373:C10378)</f>
        <v>4.75</v>
      </c>
      <c r="F10398" s="51">
        <f>VLOOKUP(A10398,'[1]Componentes APUs'!$A$1:$D$14,4,0)</f>
        <v>2916.6666666666665</v>
      </c>
      <c r="G10398" s="51">
        <f>ROUNDUP(F10398*(E10398/21)/E10357,0)</f>
        <v>1320</v>
      </c>
    </row>
    <row r="10399" spans="1:7" x14ac:dyDescent="0.25">
      <c r="A10399" s="50" t="s">
        <v>403</v>
      </c>
      <c r="B10399" s="72" t="str">
        <f>VLOOKUP(A10399,'[1]Componentes APUs'!$A$1:$D$14,2,0)</f>
        <v>Capuchon</v>
      </c>
      <c r="C10399" s="73"/>
      <c r="D10399" s="50" t="str">
        <f>VLOOKUP(A10399,'[1]Componentes APUs'!$A$1:$D$14,3,0)</f>
        <v>U</v>
      </c>
      <c r="E10399" s="50">
        <f>SUM(C10373:C10378)</f>
        <v>4.75</v>
      </c>
      <c r="F10399" s="51">
        <f>VLOOKUP(A10399,'[1]Componentes APUs'!$A$1:$D$14,4,0)</f>
        <v>2525.2525252525252</v>
      </c>
      <c r="G10399" s="51">
        <f>ROUNDUP(F10399*(E10399/21)/E10357,0)</f>
        <v>1143</v>
      </c>
    </row>
    <row r="10400" spans="1:7" x14ac:dyDescent="0.25">
      <c r="A10400" s="69" t="s">
        <v>81</v>
      </c>
      <c r="B10400" s="72" t="str">
        <f>VLOOKUP(A10400,'[1]Componentes APUs'!$A$1:$D$14,2,0)</f>
        <v>Guantes Protectores  - ingeniero reforzados</v>
      </c>
      <c r="C10400" s="73"/>
      <c r="D10400" s="50" t="str">
        <f>VLOOKUP(A10400,'[1]Componentes APUs'!$A$1:$D$14,3,0)</f>
        <v>Par</v>
      </c>
      <c r="E10400" s="50">
        <f>C10375+C10376+C10378</f>
        <v>4</v>
      </c>
      <c r="F10400" s="51">
        <f>VLOOKUP(A10400,'[1]Componentes APUs'!$A$1:$D$14,4,0)</f>
        <v>2525.2525252525252</v>
      </c>
      <c r="G10400" s="51">
        <f>ROUNDUP(F10400*(E10400/21)/E10357,0)</f>
        <v>963</v>
      </c>
    </row>
    <row r="10401" spans="1:7" x14ac:dyDescent="0.25">
      <c r="A10401" s="50" t="s">
        <v>83</v>
      </c>
      <c r="B10401" s="72" t="str">
        <f>VLOOKUP(A10401,'[1]Componentes APUs'!$A$1:$D$14,2,0)</f>
        <v>Impermeable (pantalon camisa)</v>
      </c>
      <c r="C10401" s="73"/>
      <c r="D10401" s="50" t="str">
        <f>VLOOKUP(A10401,'[1]Componentes APUs'!$A$1:$D$14,3,0)</f>
        <v>U</v>
      </c>
      <c r="E10401" s="50">
        <f>SUM(C10373:C10378)</f>
        <v>4.75</v>
      </c>
      <c r="F10401" s="51">
        <f>VLOOKUP(A10401,'[1]Componentes APUs'!$A$1:$D$14,4,0)</f>
        <v>3750</v>
      </c>
      <c r="G10401" s="51">
        <f>ROUNDUP(F10401*(E10401/21)/E10357,0)</f>
        <v>1697</v>
      </c>
    </row>
    <row r="10402" spans="1:7" x14ac:dyDescent="0.25">
      <c r="A10402" s="69" t="s">
        <v>85</v>
      </c>
      <c r="B10402" s="72" t="str">
        <f>VLOOKUP(A10402,'[1]Componentes APUs'!$A$1:$D$14,2,0)</f>
        <v>Jean Dielectrico</v>
      </c>
      <c r="C10402" s="73"/>
      <c r="D10402" s="50" t="str">
        <f>VLOOKUP(A10402,'[1]Componentes APUs'!$A$1:$D$14,3,0)</f>
        <v>U</v>
      </c>
      <c r="E10402" s="50">
        <f>SUM(C10373:C10378)</f>
        <v>4.75</v>
      </c>
      <c r="F10402" s="51">
        <f>VLOOKUP(A10402,'[1]Componentes APUs'!$A$1:$D$14,4,0)</f>
        <v>7575.757575757576</v>
      </c>
      <c r="G10402" s="51">
        <f>ROUNDUP(F10402*(E10402/21)/E10357,0)</f>
        <v>3428</v>
      </c>
    </row>
    <row r="10403" spans="1:7" x14ac:dyDescent="0.25">
      <c r="A10403" s="50" t="s">
        <v>87</v>
      </c>
      <c r="B10403" s="72" t="str">
        <f>VLOOKUP(A10403,'[1]Componentes APUs'!$A$1:$D$14,2,0)</f>
        <v>Casco dielectrico Tipo 2 Clase E con barboquejo</v>
      </c>
      <c r="C10403" s="73"/>
      <c r="D10403" s="50" t="str">
        <f>VLOOKUP(A10403,'[1]Componentes APUs'!$A$1:$D$14,3,0)</f>
        <v>U</v>
      </c>
      <c r="E10403" s="53">
        <f>IF(A10375="MO-3",C10375,0)</f>
        <v>2</v>
      </c>
      <c r="F10403" s="51">
        <f>VLOOKUP(A10403,'[1]Componentes APUs'!$A$1:$D$14,4,0)</f>
        <v>7500</v>
      </c>
      <c r="G10403" s="51">
        <f>ROUNDUP(F10403*(E10403/21)/E10357,0)</f>
        <v>1429</v>
      </c>
    </row>
    <row r="10404" spans="1:7" x14ac:dyDescent="0.25">
      <c r="A10404" s="69" t="s">
        <v>89</v>
      </c>
      <c r="B10404" s="72" t="str">
        <f>VLOOKUP(A10404,'[1]Componentes APUs'!$A$1:$D$14,2,0)</f>
        <v>Kit de rescate para trabajo en alturas</v>
      </c>
      <c r="C10404" s="73"/>
      <c r="D10404" s="50" t="str">
        <f>VLOOKUP(A10404,'[1]Componentes APUs'!$A$1:$D$14,3,0)</f>
        <v>U</v>
      </c>
      <c r="E10404" s="50">
        <f>IF(AND(A10375="MO-3",C10375=2),1,0)</f>
        <v>1</v>
      </c>
      <c r="F10404" s="51">
        <f>VLOOKUP(A10404,'[1]Componentes APUs'!$A$1:$D$14,4,0)</f>
        <v>37500</v>
      </c>
      <c r="G10404" s="51">
        <f>ROUNDUP(F10404*(E10404/21)/E10357,0)</f>
        <v>3572</v>
      </c>
    </row>
    <row r="10405" spans="1:7" x14ac:dyDescent="0.25">
      <c r="A10405" s="50" t="s">
        <v>91</v>
      </c>
      <c r="B10405" s="72" t="str">
        <f>VLOOKUP(A10405,'[1]Componentes APUs'!$A$1:$D$14,2,0)</f>
        <v>Equipo completo para trabajo en alturas con pretales (Arnes dielectrico, 1 mosqueton de seguridad, tie off dielectrico, eslinga de posicionamiento, juego de pretales)</v>
      </c>
      <c r="C10405" s="73"/>
      <c r="D10405" s="50" t="str">
        <f>VLOOKUP(A10405,'[1]Componentes APUs'!$A$1:$D$14,3,0)</f>
        <v>U</v>
      </c>
      <c r="E10405" s="50">
        <f>IF(A10375="MO-3",C10375,0)</f>
        <v>2</v>
      </c>
      <c r="F10405" s="51">
        <f>VLOOKUP(A10405,'[1]Componentes APUs'!$A$1:$D$14,4,0)</f>
        <v>26041.666666666668</v>
      </c>
      <c r="G10405" s="51">
        <f>ROUNDUP(F10405*(E10405/21)/E10357,0)</f>
        <v>4961</v>
      </c>
    </row>
    <row r="10406" spans="1:7" x14ac:dyDescent="0.25">
      <c r="A10406" s="219" t="s">
        <v>95</v>
      </c>
      <c r="B10406" s="219"/>
      <c r="C10406" s="219"/>
      <c r="D10406" s="219"/>
      <c r="E10406" s="219"/>
      <c r="F10406" s="219"/>
      <c r="G10406" s="52">
        <f>SUM(G10393:G10405)</f>
        <v>31408</v>
      </c>
    </row>
    <row r="10407" spans="1:7" x14ac:dyDescent="0.25">
      <c r="A10407" s="56"/>
      <c r="B10407" s="57"/>
      <c r="C10407" s="57"/>
      <c r="D10407" s="57"/>
      <c r="E10407" s="57"/>
      <c r="F10407" s="57"/>
      <c r="G10407" s="58"/>
    </row>
    <row r="10408" spans="1:7" x14ac:dyDescent="0.25">
      <c r="A10408" s="219" t="s">
        <v>96</v>
      </c>
      <c r="B10408" s="219"/>
      <c r="C10408" s="219"/>
      <c r="D10408" s="219"/>
      <c r="E10408" s="219"/>
      <c r="F10408" s="219"/>
      <c r="G10408" s="219"/>
    </row>
    <row r="10409" spans="1:7" x14ac:dyDescent="0.25">
      <c r="A10409" s="49" t="s">
        <v>35</v>
      </c>
      <c r="B10409" s="225" t="s">
        <v>36</v>
      </c>
      <c r="C10409" s="225"/>
      <c r="D10409" s="49" t="s">
        <v>37</v>
      </c>
      <c r="E10409" s="49" t="s">
        <v>38</v>
      </c>
      <c r="F10409" s="49" t="s">
        <v>39</v>
      </c>
      <c r="G10409" s="49" t="s">
        <v>40</v>
      </c>
    </row>
    <row r="10410" spans="1:7" x14ac:dyDescent="0.25">
      <c r="A10410" s="69" t="s">
        <v>97</v>
      </c>
      <c r="B10410" s="72" t="str">
        <f>VLOOKUP(A10410,'[1]Componentes APUs'!$N$1:$Q$30,2,0)</f>
        <v>Camioneta</v>
      </c>
      <c r="C10410" s="73"/>
      <c r="D10410" s="70" t="str">
        <f>VLOOKUP(A10410,'[1]Componentes APUs'!$N$1:$Q$30,3,0)</f>
        <v>U</v>
      </c>
      <c r="E10410" s="50">
        <v>1</v>
      </c>
      <c r="F10410" s="51">
        <f>VLOOKUP(A10410,'[1]Componentes APUs'!$N$1:$Q$30,4,0)</f>
        <v>5500000</v>
      </c>
      <c r="G10410" s="51">
        <f>IFERROR(ROUNDUP(F10410*(E10410/21)/E10357,0),"-")</f>
        <v>523810</v>
      </c>
    </row>
    <row r="10411" spans="1:7" x14ac:dyDescent="0.25">
      <c r="A10411" s="219" t="s">
        <v>99</v>
      </c>
      <c r="B10411" s="219"/>
      <c r="C10411" s="219"/>
      <c r="D10411" s="219"/>
      <c r="E10411" s="219"/>
      <c r="F10411" s="219"/>
      <c r="G10411" s="52">
        <f>SUM(G10410:G10410)</f>
        <v>523810</v>
      </c>
    </row>
    <row r="10412" spans="1:7" x14ac:dyDescent="0.25">
      <c r="A10412" s="56"/>
      <c r="B10412" s="57"/>
      <c r="C10412" s="57"/>
      <c r="D10412" s="57"/>
      <c r="E10412" s="57"/>
      <c r="F10412" s="57"/>
      <c r="G10412" s="58"/>
    </row>
    <row r="10413" spans="1:7" x14ac:dyDescent="0.25">
      <c r="A10413" s="219" t="s">
        <v>1516</v>
      </c>
      <c r="B10413" s="219"/>
      <c r="C10413" s="219"/>
      <c r="D10413" s="219"/>
      <c r="E10413" s="219"/>
      <c r="F10413" s="219"/>
      <c r="G10413" s="52">
        <f>G10411+G10406+G10389+G10379+G10369</f>
        <v>8956775</v>
      </c>
    </row>
    <row r="10414" spans="1:7" x14ac:dyDescent="0.25">
      <c r="A10414" s="59"/>
      <c r="B10414" s="60"/>
      <c r="C10414" s="60"/>
      <c r="D10414" s="60"/>
      <c r="E10414" s="57"/>
      <c r="F10414" s="57"/>
      <c r="G10414" s="58"/>
    </row>
    <row r="10415" spans="1:7" x14ac:dyDescent="0.25">
      <c r="A10415" s="64"/>
      <c r="D10415" s="55"/>
      <c r="E10415" s="49" t="s">
        <v>25</v>
      </c>
      <c r="F10415" s="54">
        <v>0.15</v>
      </c>
      <c r="G10415" s="51">
        <f>G10413*F10415</f>
        <v>1343516.25</v>
      </c>
    </row>
    <row r="10416" spans="1:7" x14ac:dyDescent="0.25">
      <c r="A10416" s="64"/>
      <c r="D10416" s="55"/>
      <c r="E10416" s="49" t="s">
        <v>26</v>
      </c>
      <c r="F10416" s="54">
        <v>0.05</v>
      </c>
      <c r="G10416" s="51">
        <f>G10413*F10416</f>
        <v>447838.75</v>
      </c>
    </row>
    <row r="10417" spans="1:7" x14ac:dyDescent="0.25">
      <c r="A10417" s="61"/>
      <c r="B10417" s="65"/>
      <c r="C10417" s="65"/>
      <c r="D10417" s="62"/>
      <c r="E10417" s="49" t="s">
        <v>27</v>
      </c>
      <c r="F10417" s="54">
        <v>0.05</v>
      </c>
      <c r="G10417" s="51">
        <f>G10413*F10417</f>
        <v>447838.75</v>
      </c>
    </row>
    <row r="10418" spans="1:7" x14ac:dyDescent="0.25">
      <c r="A10418" s="61"/>
      <c r="B10418" s="62"/>
      <c r="C10418" s="62"/>
      <c r="D10418" s="62"/>
      <c r="E10418" s="62"/>
      <c r="F10418" s="62"/>
      <c r="G10418" s="63"/>
    </row>
    <row r="10419" spans="1:7" x14ac:dyDescent="0.25">
      <c r="A10419" s="219" t="s">
        <v>1517</v>
      </c>
      <c r="B10419" s="219"/>
      <c r="C10419" s="219"/>
      <c r="D10419" s="219"/>
      <c r="E10419" s="219"/>
      <c r="F10419" s="219"/>
      <c r="G10419" s="52">
        <f>G10413+G10415+G10416+G10417</f>
        <v>11195968.75</v>
      </c>
    </row>
    <row r="10420" spans="1:7" x14ac:dyDescent="0.25">
      <c r="A10420" s="59"/>
      <c r="B10420" s="60"/>
      <c r="C10420" s="60"/>
      <c r="D10420" s="60"/>
      <c r="E10420" s="57"/>
      <c r="F10420" s="57"/>
      <c r="G10420" s="58"/>
    </row>
    <row r="10421" spans="1:7" x14ac:dyDescent="0.25">
      <c r="A10421" s="64"/>
      <c r="D10421" s="55"/>
      <c r="E10421" s="49" t="s">
        <v>102</v>
      </c>
      <c r="F10421" s="49" t="s">
        <v>103</v>
      </c>
      <c r="G10421" s="51">
        <f>G10417*19%</f>
        <v>85089.362500000003</v>
      </c>
    </row>
    <row r="10422" spans="1:7" x14ac:dyDescent="0.25">
      <c r="A10422" s="61"/>
      <c r="B10422" s="62"/>
      <c r="C10422" s="62"/>
      <c r="D10422" s="62"/>
      <c r="E10422" s="57"/>
      <c r="F10422" s="57"/>
      <c r="G10422" s="58"/>
    </row>
    <row r="10423" spans="1:7" x14ac:dyDescent="0.25">
      <c r="A10423" s="219" t="s">
        <v>104</v>
      </c>
      <c r="B10423" s="219"/>
      <c r="C10423" s="219"/>
      <c r="D10423" s="219"/>
      <c r="E10423" s="219"/>
      <c r="F10423" s="219"/>
      <c r="G10423" s="52">
        <f>G10421+G10419</f>
        <v>11281058.112500001</v>
      </c>
    </row>
    <row r="10425" spans="1:7" x14ac:dyDescent="0.25">
      <c r="A10425" s="74" t="s">
        <v>29</v>
      </c>
      <c r="B10425" s="226" t="s">
        <v>30</v>
      </c>
      <c r="C10425" s="226"/>
      <c r="D10425" s="74" t="s">
        <v>31</v>
      </c>
      <c r="E10425" s="74" t="s">
        <v>32</v>
      </c>
      <c r="F10425" s="74" t="s">
        <v>189</v>
      </c>
      <c r="G10425" s="74" t="s">
        <v>33</v>
      </c>
    </row>
    <row r="10426" spans="1:7" ht="28.5" customHeight="1" x14ac:dyDescent="0.25">
      <c r="A10426" s="50" t="str">
        <f>Presupuesto!B191</f>
        <v>003_N3</v>
      </c>
      <c r="B10426" s="220" t="str">
        <f>Presupuesto!C191</f>
        <v>SUMINISTRO E INSTALACIÓN DE HERRAJES PARA BAHÍA DE TRANSFORMADOR AUXILIAR N3</v>
      </c>
      <c r="C10426" s="220"/>
      <c r="D10426" s="50" t="s">
        <v>18</v>
      </c>
      <c r="E10426" s="93">
        <v>0.5</v>
      </c>
      <c r="F10426" s="50"/>
      <c r="G10426" s="51">
        <f>G10494</f>
        <v>9273605.8007999994</v>
      </c>
    </row>
    <row r="10427" spans="1:7" x14ac:dyDescent="0.25">
      <c r="A10427" s="219" t="s">
        <v>34</v>
      </c>
      <c r="B10427" s="219"/>
      <c r="C10427" s="219"/>
      <c r="D10427" s="219"/>
      <c r="E10427" s="219"/>
      <c r="F10427" s="219"/>
      <c r="G10427" s="219"/>
    </row>
    <row r="10428" spans="1:7" x14ac:dyDescent="0.25">
      <c r="A10428" s="49" t="s">
        <v>35</v>
      </c>
      <c r="B10428" s="219" t="s">
        <v>36</v>
      </c>
      <c r="C10428" s="219"/>
      <c r="D10428" s="49" t="s">
        <v>37</v>
      </c>
      <c r="E10428" s="49" t="s">
        <v>38</v>
      </c>
      <c r="F10428" s="49" t="s">
        <v>39</v>
      </c>
      <c r="G10428" s="49" t="s">
        <v>40</v>
      </c>
    </row>
    <row r="10429" spans="1:7" ht="31.5" customHeight="1" x14ac:dyDescent="0.25">
      <c r="A10429" s="17" t="str">
        <f>Material!A10</f>
        <v>MA-09</v>
      </c>
      <c r="B10429" s="221" t="str">
        <f>IFERROR(VLOOKUP(A10429,Material!$A:$J,2,0),"-")</f>
        <v>ESPARRAGO DE HIERRO GALVANIZADO ROSCADO EN TODA SU LONGITUD, 4 TUERCAS. DIAMETRO 16 MM LONGITUD 458  MM</v>
      </c>
      <c r="C10429" s="222"/>
      <c r="D10429" s="50" t="str">
        <f>IFERROR(VLOOKUP(A10429,Material!$A:$J,4,0),"-")</f>
        <v>UN</v>
      </c>
      <c r="E10429" s="50">
        <f>1*2*5</f>
        <v>10</v>
      </c>
      <c r="F10429" s="51">
        <f>IFERROR(VLOOKUP(A10429,Material!$A:$J,3,0),"-")</f>
        <v>10920</v>
      </c>
      <c r="G10429" s="51">
        <f t="shared" ref="G10429:G10437" si="147">IFERROR(F10429*E10429,"-")</f>
        <v>109200</v>
      </c>
    </row>
    <row r="10430" spans="1:7" ht="24.75" customHeight="1" x14ac:dyDescent="0.25">
      <c r="A10430" s="17" t="str">
        <f>Material!A5</f>
        <v>MA-04</v>
      </c>
      <c r="B10430" s="221" t="str">
        <f>IFERROR(VLOOKUP(A10430,Material!$A:$J,2,0),"-")</f>
        <v>COLLARIN DE DOS SALIDAS EN PLATINA DE HIERRO GALVANIZADO. DIAMETRO (6-8 IN) (17 - 22 CM)</v>
      </c>
      <c r="C10430" s="222"/>
      <c r="D10430" s="50" t="str">
        <f>IFERROR(VLOOKUP(A10430,Material!$A:$J,4,0),"-")</f>
        <v>UN</v>
      </c>
      <c r="E10430" s="50">
        <f>2*1</f>
        <v>2</v>
      </c>
      <c r="F10430" s="51">
        <f>IFERROR(VLOOKUP(A10430,Material!$A:$J,3,0),"-")</f>
        <v>24505</v>
      </c>
      <c r="G10430" s="51">
        <f t="shared" si="147"/>
        <v>49010</v>
      </c>
    </row>
    <row r="10431" spans="1:7" ht="24.75" customHeight="1" x14ac:dyDescent="0.25">
      <c r="A10431" s="17" t="str">
        <f>Material!A6</f>
        <v>MA-05</v>
      </c>
      <c r="B10431" s="221" t="str">
        <f>IFERROR(VLOOKUP(A10431,Material!$A:$J,2,0),"-")</f>
        <v>COLLARIN DE DOS SALIDAS EN PLATINA DE HIERRO GALVANIZADO. DIAMETRO (7-10 IN) (20 - 25 CM)</v>
      </c>
      <c r="C10431" s="222"/>
      <c r="D10431" s="50" t="str">
        <f>IFERROR(VLOOKUP(A10431,Material!$A:$J,4,0),"-")</f>
        <v>UN</v>
      </c>
      <c r="E10431" s="50">
        <f>2</f>
        <v>2</v>
      </c>
      <c r="F10431" s="51">
        <f>IFERROR(VLOOKUP(A10431,Material!$A:$J,3,0),"-")</f>
        <v>27755</v>
      </c>
      <c r="G10431" s="51">
        <f t="shared" si="147"/>
        <v>55510</v>
      </c>
    </row>
    <row r="10432" spans="1:7" ht="24.75" customHeight="1" x14ac:dyDescent="0.25">
      <c r="A10432" s="17" t="str">
        <f>Material!A7</f>
        <v>MA-06</v>
      </c>
      <c r="B10432" s="221" t="str">
        <f>IFERROR(VLOOKUP(A10432,Material!$A:$J,2,0),"-")</f>
        <v>COLLARIN DE DOS SALIDAS EN PLATINA DE HIERRO GALVANIZADO. DIAMETRO (10-12 IN) (25 - 30 CM)</v>
      </c>
      <c r="C10432" s="222"/>
      <c r="D10432" s="50" t="str">
        <f>IFERROR(VLOOKUP(A10432,Material!$A:$J,4,0),"-")</f>
        <v>UN</v>
      </c>
      <c r="E10432" s="50">
        <v>0</v>
      </c>
      <c r="F10432" s="51">
        <f>IFERROR(VLOOKUP(A10432,Material!$A:$J,3,0),"-")</f>
        <v>33150</v>
      </c>
      <c r="G10432" s="51">
        <f t="shared" si="147"/>
        <v>0</v>
      </c>
    </row>
    <row r="10433" spans="1:7" ht="24.75" customHeight="1" x14ac:dyDescent="0.25">
      <c r="A10433" s="17" t="str">
        <f>Material!A9</f>
        <v>MA-08</v>
      </c>
      <c r="B10433" s="221" t="str">
        <f>IFERROR(VLOOKUP(A10433,Material!$A:$J,2,0),"-")</f>
        <v>CRUCETA METÁLICA DE ANGULO GALVANIZADO DE 6 M DE LONGITUD. CALIBRE (76*76*6) MM</v>
      </c>
      <c r="C10433" s="222"/>
      <c r="D10433" s="50" t="str">
        <f>IFERROR(VLOOKUP(A10433,Material!$A:$J,4,0),"-")</f>
        <v>UN</v>
      </c>
      <c r="E10433" s="50">
        <f>4*1</f>
        <v>4</v>
      </c>
      <c r="F10433" s="51">
        <f>IFERROR(VLOOKUP(A10433,Material!$A:$J,3,0),"-")</f>
        <v>763908.6</v>
      </c>
      <c r="G10433" s="51">
        <f t="shared" si="147"/>
        <v>3055634.4</v>
      </c>
    </row>
    <row r="10434" spans="1:7" x14ac:dyDescent="0.25">
      <c r="A10434" s="17" t="str">
        <f>Material!A12</f>
        <v>MA-11</v>
      </c>
      <c r="B10434" s="223" t="str">
        <f>IFERROR(VLOOKUP(A10434,Material!$A:$J,2,0),"-")</f>
        <v>TUERCA DE OJO ALARGADO PARA PERNO 16 MM</v>
      </c>
      <c r="C10434" s="224"/>
      <c r="D10434" s="50" t="str">
        <f>IFERROR(VLOOKUP(A10434,Material!$A:$J,4,0),"-")</f>
        <v>UN</v>
      </c>
      <c r="E10434" s="50">
        <v>3</v>
      </c>
      <c r="F10434" s="51">
        <f>IFERROR(VLOOKUP(A10434,Material!$A:$J,3,0),"-")</f>
        <v>18200</v>
      </c>
      <c r="G10434" s="51">
        <f t="shared" si="147"/>
        <v>54600</v>
      </c>
    </row>
    <row r="10435" spans="1:7" x14ac:dyDescent="0.25">
      <c r="A10435" s="17" t="str">
        <f>Material!A2</f>
        <v>MA-01</v>
      </c>
      <c r="B10435" s="223" t="str">
        <f>IFERROR(VLOOKUP(A10435,Material!$A:$J,2,0),"-")</f>
        <v>GRAPA DE RETENCIÓN TIPO PISTOLA DE 6-4/0 DE 3 UES EN ALUMINIO</v>
      </c>
      <c r="C10435" s="224"/>
      <c r="D10435" s="50" t="str">
        <f>IFERROR(VLOOKUP(A10435,Material!$A:$J,4,0),"-")</f>
        <v>UN</v>
      </c>
      <c r="E10435" s="50">
        <v>3</v>
      </c>
      <c r="F10435" s="51">
        <f>IFERROR(VLOOKUP(A10435,Material!$A:$J,3,0),"-")</f>
        <v>104000</v>
      </c>
      <c r="G10435" s="51">
        <f t="shared" si="147"/>
        <v>312000</v>
      </c>
    </row>
    <row r="10436" spans="1:7" x14ac:dyDescent="0.25">
      <c r="A10436" s="17" t="str">
        <f>Material!A4</f>
        <v>MA-03</v>
      </c>
      <c r="B10436" s="223" t="str">
        <f>IFERROR(VLOOKUP(A10436,Material!$A:$J,2,0),"-")</f>
        <v>AISLADOR TIPO PIN DE PORCELANA PARA 34.5 KV ANSI 56-3</v>
      </c>
      <c r="C10436" s="224"/>
      <c r="D10436" s="50" t="str">
        <f>IFERROR(VLOOKUP(A10436,Material!$A:$J,4,0),"-")</f>
        <v>UN</v>
      </c>
      <c r="E10436" s="50">
        <f>3</f>
        <v>3</v>
      </c>
      <c r="F10436" s="51">
        <f>IFERROR(VLOOKUP(A10436,Material!$A:$J,3,0),"-")</f>
        <v>99645</v>
      </c>
      <c r="G10436" s="51">
        <f t="shared" si="147"/>
        <v>298935</v>
      </c>
    </row>
    <row r="10437" spans="1:7" x14ac:dyDescent="0.25">
      <c r="A10437" s="17" t="str">
        <f>Material!A3</f>
        <v>MA-02</v>
      </c>
      <c r="B10437" s="223" t="str">
        <f>IFERROR(VLOOKUP(A10437,Material!$A:$J,2,0),"-")</f>
        <v xml:space="preserve">AISLADOR TIPO DISCO DE HORQUILLA. DIAMETRO 254 MM 34.5 KV ANSI 52-4 </v>
      </c>
      <c r="C10437" s="224"/>
      <c r="D10437" s="50" t="str">
        <f>IFERROR(VLOOKUP(A10437,Material!$A:$J,4,0),"-")</f>
        <v>UN</v>
      </c>
      <c r="E10437" s="50">
        <f>3*2</f>
        <v>6</v>
      </c>
      <c r="F10437" s="51">
        <f>IFERROR(VLOOKUP(A10437,Material!$A:$J,3,0),"-")</f>
        <v>107835</v>
      </c>
      <c r="G10437" s="51">
        <f t="shared" si="147"/>
        <v>647010</v>
      </c>
    </row>
    <row r="10438" spans="1:7" x14ac:dyDescent="0.25">
      <c r="A10438" s="219" t="s">
        <v>41</v>
      </c>
      <c r="B10438" s="219"/>
      <c r="C10438" s="219"/>
      <c r="D10438" s="219"/>
      <c r="E10438" s="219"/>
      <c r="F10438" s="219"/>
      <c r="G10438" s="52">
        <f>SUM(G10429:G10437)</f>
        <v>4581899.4000000004</v>
      </c>
    </row>
    <row r="10439" spans="1:7" x14ac:dyDescent="0.25">
      <c r="A10439" s="56"/>
      <c r="B10439" s="57"/>
      <c r="C10439" s="57"/>
      <c r="D10439" s="57"/>
      <c r="E10439" s="57"/>
      <c r="F10439" s="57"/>
      <c r="G10439" s="58"/>
    </row>
    <row r="10440" spans="1:7" x14ac:dyDescent="0.25">
      <c r="A10440" s="219" t="s">
        <v>42</v>
      </c>
      <c r="B10440" s="219"/>
      <c r="C10440" s="219"/>
      <c r="D10440" s="219"/>
      <c r="E10440" s="219"/>
      <c r="F10440" s="219"/>
      <c r="G10440" s="219"/>
    </row>
    <row r="10441" spans="1:7" x14ac:dyDescent="0.25">
      <c r="A10441" s="49" t="s">
        <v>35</v>
      </c>
      <c r="B10441" s="49" t="s">
        <v>36</v>
      </c>
      <c r="C10441" s="49" t="s">
        <v>38</v>
      </c>
      <c r="D10441" s="49" t="s">
        <v>43</v>
      </c>
      <c r="E10441" s="49" t="s">
        <v>44</v>
      </c>
      <c r="F10441" s="49" t="s">
        <v>45</v>
      </c>
      <c r="G10441" s="49" t="s">
        <v>40</v>
      </c>
    </row>
    <row r="10442" spans="1:7" x14ac:dyDescent="0.25">
      <c r="A10442" s="50" t="s">
        <v>319</v>
      </c>
      <c r="B10442" s="68" t="str">
        <f>VLOOKUP(A10442,'[1]Componentes APUs'!$H$1:$L$25,2,0)</f>
        <v>Ingeniero Residente de Obra</v>
      </c>
      <c r="C10442" s="93">
        <v>0.25</v>
      </c>
      <c r="D10442" s="50">
        <f>VLOOKUP(A10442,'[1]Componentes APUs'!$H$1:$L$25,3,0)</f>
        <v>4</v>
      </c>
      <c r="E10442" s="51">
        <f>VLOOKUP(A10442,'[1]Componentes APUs'!$H$1:$L$25,4,0)</f>
        <v>271142.85714285716</v>
      </c>
      <c r="F10442" s="51">
        <f>VLOOKUP(A10442,'[1]Componentes APUs'!$H$1:$L$25,5,0)</f>
        <v>162685.71428571429</v>
      </c>
      <c r="G10442" s="51">
        <f>ROUNDUP((E10442+F10442)*C10442/E10426,0)</f>
        <v>216915</v>
      </c>
    </row>
    <row r="10443" spans="1:7" x14ac:dyDescent="0.25">
      <c r="A10443" s="50" t="s">
        <v>320</v>
      </c>
      <c r="B10443" s="68" t="str">
        <f>VLOOKUP(A10443,'[1]Componentes APUs'!$H$1:$L$25,2,0)</f>
        <v>Tecnico Supervisor</v>
      </c>
      <c r="C10443" s="93">
        <v>0.25</v>
      </c>
      <c r="D10443" s="50">
        <f>VLOOKUP(A10443,'[1]Componentes APUs'!$H$1:$L$25,3,0)</f>
        <v>2.2999999999999998</v>
      </c>
      <c r="E10443" s="51">
        <f>VLOOKUP(A10443,'[1]Componentes APUs'!$H$1:$L$25,4,0)</f>
        <v>155907.14285714284</v>
      </c>
      <c r="F10443" s="51">
        <f>VLOOKUP(A10443,'[1]Componentes APUs'!$H$1:$L$25,5,0)</f>
        <v>93544.285714285696</v>
      </c>
      <c r="G10443" s="51">
        <f>ROUNDUP((E10443+F10443)*C10443/E10426,0)</f>
        <v>124726</v>
      </c>
    </row>
    <row r="10444" spans="1:7" x14ac:dyDescent="0.25">
      <c r="A10444" s="50" t="s">
        <v>46</v>
      </c>
      <c r="B10444" s="68" t="str">
        <f>VLOOKUP(A10444,'[1]Componentes APUs'!$H$1:$L$25,2,0)</f>
        <v>Tecnico Liniero</v>
      </c>
      <c r="C10444" s="93">
        <v>2</v>
      </c>
      <c r="D10444" s="50">
        <f>VLOOKUP(A10444,'[1]Componentes APUs'!$H$1:$L$25,3,0)</f>
        <v>2</v>
      </c>
      <c r="E10444" s="51">
        <f>VLOOKUP(A10444,'[1]Componentes APUs'!$H$1:$L$25,4,0)</f>
        <v>154619.04761904763</v>
      </c>
      <c r="F10444" s="51">
        <f>VLOOKUP(A10444,'[1]Componentes APUs'!$H$1:$L$25,5,0)</f>
        <v>92771.42857142858</v>
      </c>
      <c r="G10444" s="51">
        <f>ROUNDUP((E10444+F10444)*C10444/E10426,0)</f>
        <v>989562</v>
      </c>
    </row>
    <row r="10445" spans="1:7" x14ac:dyDescent="0.25">
      <c r="A10445" s="50" t="s">
        <v>48</v>
      </c>
      <c r="B10445" s="68" t="str">
        <f>VLOOKUP(A10445,'[1]Componentes APUs'!$H$1:$L$25,2,0)</f>
        <v>Ayudante Calificado</v>
      </c>
      <c r="C10445" s="93">
        <v>2</v>
      </c>
      <c r="D10445" s="50">
        <f>VLOOKUP(A10445,'[1]Componentes APUs'!$H$1:$L$25,3,0)</f>
        <v>1.5</v>
      </c>
      <c r="E10445" s="51">
        <f>VLOOKUP(A10445,'[1]Componentes APUs'!$H$1:$L$25,4,0)</f>
        <v>115964.28571428571</v>
      </c>
      <c r="F10445" s="51">
        <f>VLOOKUP(A10445,'[1]Componentes APUs'!$H$1:$L$25,5,0)</f>
        <v>69578.57142857142</v>
      </c>
      <c r="G10445" s="51">
        <f>ROUNDUP((E10445+F10445)*C10445/E10426,0)</f>
        <v>742172</v>
      </c>
    </row>
    <row r="10446" spans="1:7" x14ac:dyDescent="0.25">
      <c r="A10446" s="50" t="s">
        <v>50</v>
      </c>
      <c r="B10446" s="68" t="str">
        <f>VLOOKUP(A10446,'[1]Componentes APUs'!$H$1:$L$25,2,0)</f>
        <v>Profesional en SST</v>
      </c>
      <c r="C10446" s="93">
        <v>0.25</v>
      </c>
      <c r="D10446" s="50">
        <f>VLOOKUP(A10446,'[1]Componentes APUs'!$H$1:$L$25,3,0)</f>
        <v>2.5</v>
      </c>
      <c r="E10446" s="51">
        <f>VLOOKUP(A10446,'[1]Componentes APUs'!$H$1:$L$25,4,0)</f>
        <v>169464.28571428571</v>
      </c>
      <c r="F10446" s="51">
        <f>VLOOKUP(A10446,'[1]Componentes APUs'!$H$1:$L$25,5,0)</f>
        <v>101678.57142857142</v>
      </c>
      <c r="G10446" s="51">
        <f>ROUNDUP((E10446+F10446)*C10446/E10426,0)</f>
        <v>135572</v>
      </c>
    </row>
    <row r="10447" spans="1:7" x14ac:dyDescent="0.25">
      <c r="A10447" s="50" t="s">
        <v>52</v>
      </c>
      <c r="B10447" s="68" t="str">
        <f>VLOOKUP(A10447,'[1]Componentes APUs'!$H$1:$L$25,2,0)</f>
        <v>Ayudante No Calificado</v>
      </c>
      <c r="C10447" s="93">
        <v>0</v>
      </c>
      <c r="D10447" s="50">
        <f>VLOOKUP(A10447,'[1]Componentes APUs'!$H$1:$L$25,3,0)</f>
        <v>1</v>
      </c>
      <c r="E10447" s="51">
        <f>VLOOKUP(A10447,'[1]Componentes APUs'!$H$1:$L$25,4,0)</f>
        <v>77309.523809523816</v>
      </c>
      <c r="F10447" s="51">
        <f>VLOOKUP(A10447,'[1]Componentes APUs'!$H$1:$L$25,5,0)</f>
        <v>46385.71428571429</v>
      </c>
      <c r="G10447" s="51">
        <f>ROUNDUP((E10447+F10447)*C10447/E10426,0)</f>
        <v>0</v>
      </c>
    </row>
    <row r="10448" spans="1:7" x14ac:dyDescent="0.25">
      <c r="A10448" s="219" t="s">
        <v>56</v>
      </c>
      <c r="B10448" s="219"/>
      <c r="C10448" s="219"/>
      <c r="D10448" s="219"/>
      <c r="E10448" s="219"/>
      <c r="F10448" s="219"/>
      <c r="G10448" s="52">
        <f>SUM(G10442:G10447)</f>
        <v>2208947</v>
      </c>
    </row>
    <row r="10449" spans="1:7" x14ac:dyDescent="0.25">
      <c r="A10449" s="56"/>
      <c r="B10449" s="57"/>
      <c r="C10449" s="57"/>
      <c r="D10449" s="57"/>
      <c r="E10449" s="57"/>
      <c r="F10449" s="57"/>
      <c r="G10449" s="58"/>
    </row>
    <row r="10450" spans="1:7" x14ac:dyDescent="0.25">
      <c r="A10450" s="219" t="s">
        <v>57</v>
      </c>
      <c r="B10450" s="219"/>
      <c r="C10450" s="219"/>
      <c r="D10450" s="219"/>
      <c r="E10450" s="219"/>
      <c r="F10450" s="219"/>
      <c r="G10450" s="219"/>
    </row>
    <row r="10451" spans="1:7" x14ac:dyDescent="0.25">
      <c r="A10451" s="49" t="s">
        <v>35</v>
      </c>
      <c r="B10451" s="219" t="s">
        <v>36</v>
      </c>
      <c r="C10451" s="219"/>
      <c r="D10451" s="49" t="s">
        <v>37</v>
      </c>
      <c r="E10451" s="49" t="s">
        <v>38</v>
      </c>
      <c r="F10451" s="49" t="s">
        <v>39</v>
      </c>
      <c r="G10451" s="49" t="s">
        <v>40</v>
      </c>
    </row>
    <row r="10452" spans="1:7" x14ac:dyDescent="0.25">
      <c r="A10452" s="50" t="s">
        <v>326</v>
      </c>
      <c r="B10452" s="220" t="str">
        <f>VLOOKUP(A10452,'[1]Componentes APUs'!$S$1:$V$10,2,0)</f>
        <v>Juego Llaves</v>
      </c>
      <c r="C10452" s="220"/>
      <c r="D10452" s="50" t="s">
        <v>18</v>
      </c>
      <c r="E10452" s="50">
        <v>2</v>
      </c>
      <c r="F10452" s="51">
        <f>VLOOKUP(A10452,'[1]Componentes APUs'!$S$1:$V$10,4,0)</f>
        <v>9167</v>
      </c>
      <c r="G10452" s="51">
        <f>ROUNDUP(F10452*((E10452/21)/E10426),0)</f>
        <v>1747</v>
      </c>
    </row>
    <row r="10453" spans="1:7" x14ac:dyDescent="0.25">
      <c r="A10453" s="50" t="s">
        <v>58</v>
      </c>
      <c r="B10453" s="220" t="str">
        <f>VLOOKUP(A10453,'[1]Componentes APUs'!$S$1:$V$10,2,0)</f>
        <v>Manila de servicio</v>
      </c>
      <c r="C10453" s="220"/>
      <c r="D10453" s="50" t="s">
        <v>18</v>
      </c>
      <c r="E10453" s="50">
        <v>2</v>
      </c>
      <c r="F10453" s="51">
        <f>VLOOKUP(A10453,'[1]Componentes APUs'!$S$1:$V$10,4,0)</f>
        <v>2333</v>
      </c>
      <c r="G10453" s="51">
        <f>ROUNDUP(F10453*((E10453/21)/E10426),0)</f>
        <v>445</v>
      </c>
    </row>
    <row r="10454" spans="1:7" x14ac:dyDescent="0.25">
      <c r="A10454" s="50" t="s">
        <v>327</v>
      </c>
      <c r="B10454" s="220" t="str">
        <f>VLOOKUP(A10454,'[1]Componentes APUs'!$S$1:$V$10,2,0)</f>
        <v>Tula portaherramientas</v>
      </c>
      <c r="C10454" s="220"/>
      <c r="D10454" s="50" t="s">
        <v>18</v>
      </c>
      <c r="E10454" s="50">
        <v>2</v>
      </c>
      <c r="F10454" s="51">
        <f>VLOOKUP(A10454,'[1]Componentes APUs'!$S$1:$V$10,4,0)</f>
        <v>1250</v>
      </c>
      <c r="G10454" s="51">
        <f>ROUNDUP(F10454*((E10454/21)/E10426),0)</f>
        <v>239</v>
      </c>
    </row>
    <row r="10455" spans="1:7" x14ac:dyDescent="0.25">
      <c r="A10455" s="50" t="s">
        <v>60</v>
      </c>
      <c r="B10455" s="220" t="str">
        <f>VLOOKUP(A10455,'[1]Componentes APUs'!$S$1:$V$10,2,0)</f>
        <v>Agarradoras</v>
      </c>
      <c r="C10455" s="220"/>
      <c r="D10455" s="50" t="s">
        <v>18</v>
      </c>
      <c r="E10455" s="50">
        <v>0</v>
      </c>
      <c r="F10455" s="51">
        <f>VLOOKUP(A10455,'[1]Componentes APUs'!$S$1:$V$10,4,0)</f>
        <v>125000</v>
      </c>
      <c r="G10455" s="51">
        <f>ROUNDUP(F10455*((E10455/21)/E10426),0)</f>
        <v>0</v>
      </c>
    </row>
    <row r="10456" spans="1:7" x14ac:dyDescent="0.25">
      <c r="A10456" s="50" t="s">
        <v>62</v>
      </c>
      <c r="B10456" s="220" t="str">
        <f>VLOOKUP(A10456,'[1]Componentes APUs'!$S$1:$V$10,2,0)</f>
        <v>Templadoras</v>
      </c>
      <c r="C10456" s="220"/>
      <c r="D10456" s="50" t="s">
        <v>18</v>
      </c>
      <c r="E10456" s="50">
        <v>0</v>
      </c>
      <c r="F10456" s="51">
        <f>VLOOKUP(A10456,'[1]Componentes APUs'!$S$1:$V$10,4,0)</f>
        <v>250000</v>
      </c>
      <c r="G10456" s="51">
        <f>ROUNDUP(F10456*((E10456/21)/E10426),0)</f>
        <v>0</v>
      </c>
    </row>
    <row r="10457" spans="1:7" x14ac:dyDescent="0.25">
      <c r="A10457" s="50" t="s">
        <v>328</v>
      </c>
      <c r="B10457" s="220" t="str">
        <f>VLOOKUP(A10457,'[1]Componentes APUs'!$S$1:$V$10,2,0)</f>
        <v>Herramienta Menor</v>
      </c>
      <c r="C10457" s="220"/>
      <c r="D10457" s="50" t="s">
        <v>18</v>
      </c>
      <c r="E10457" s="50">
        <v>2</v>
      </c>
      <c r="F10457" s="51">
        <f>VLOOKUP(A10457,'[1]Componentes APUs'!$S$1:$V$10,4,0)</f>
        <v>75758</v>
      </c>
      <c r="G10457" s="51">
        <f>ROUNDUP(F10457*((E10457/21)/E10426),0)</f>
        <v>14431</v>
      </c>
    </row>
    <row r="10458" spans="1:7" x14ac:dyDescent="0.25">
      <c r="A10458" s="219" t="s">
        <v>69</v>
      </c>
      <c r="B10458" s="219"/>
      <c r="C10458" s="219"/>
      <c r="D10458" s="219"/>
      <c r="E10458" s="219"/>
      <c r="F10458" s="219"/>
      <c r="G10458" s="52">
        <f>SUM(G10452:G10457)</f>
        <v>16862</v>
      </c>
    </row>
    <row r="10459" spans="1:7" x14ac:dyDescent="0.25">
      <c r="A10459" s="56"/>
      <c r="B10459" s="57"/>
      <c r="C10459" s="57"/>
      <c r="D10459" s="57"/>
      <c r="E10459" s="57"/>
      <c r="F10459" s="57"/>
      <c r="G10459" s="58"/>
    </row>
    <row r="10460" spans="1:7" x14ac:dyDescent="0.25">
      <c r="A10460" s="219" t="s">
        <v>70</v>
      </c>
      <c r="B10460" s="219"/>
      <c r="C10460" s="219"/>
      <c r="D10460" s="219"/>
      <c r="E10460" s="219"/>
      <c r="F10460" s="219"/>
      <c r="G10460" s="219"/>
    </row>
    <row r="10461" spans="1:7" x14ac:dyDescent="0.25">
      <c r="A10461" s="49" t="s">
        <v>35</v>
      </c>
      <c r="B10461" s="219" t="s">
        <v>36</v>
      </c>
      <c r="C10461" s="219"/>
      <c r="D10461" s="49" t="s">
        <v>37</v>
      </c>
      <c r="E10461" s="49" t="s">
        <v>38</v>
      </c>
      <c r="F10461" s="49" t="s">
        <v>39</v>
      </c>
      <c r="G10461" s="49" t="s">
        <v>40</v>
      </c>
    </row>
    <row r="10462" spans="1:7" x14ac:dyDescent="0.25">
      <c r="A10462" s="50" t="s">
        <v>71</v>
      </c>
      <c r="B10462" s="71" t="str">
        <f>VLOOKUP(A10462,'[1]Componentes APUs'!$A$1:$D$14,2,0)</f>
        <v>Camisa indigo sin partes metalicas</v>
      </c>
      <c r="C10462" s="71"/>
      <c r="D10462" s="50" t="str">
        <f>VLOOKUP(A10462,'[1]Componentes APUs'!$A$1:$D$14,3,0)</f>
        <v>U</v>
      </c>
      <c r="E10462" s="50">
        <f>SUM(C10442:C10447)</f>
        <v>4.75</v>
      </c>
      <c r="F10462" s="51">
        <f>VLOOKUP(A10462,'[1]Componentes APUs'!$A$1:$D$14,4,0)</f>
        <v>8585.8585858585866</v>
      </c>
      <c r="G10462" s="51">
        <f>ROUNDUP(F10462*(E10462/21)/E10426,0)</f>
        <v>3885</v>
      </c>
    </row>
    <row r="10463" spans="1:7" x14ac:dyDescent="0.25">
      <c r="A10463" s="69" t="s">
        <v>73</v>
      </c>
      <c r="B10463" s="72" t="str">
        <f>VLOOKUP(A10463,'[1]Componentes APUs'!$A$1:$D$14,2,0)</f>
        <v>Bota de seguridad dielectrica</v>
      </c>
      <c r="C10463" s="73"/>
      <c r="D10463" s="70" t="str">
        <f>VLOOKUP(A10463,'[1]Componentes APUs'!$A$1:$D$14,3,0)</f>
        <v>Par</v>
      </c>
      <c r="E10463" s="50">
        <f>SUM(C10442:C10447)</f>
        <v>4.75</v>
      </c>
      <c r="F10463" s="51">
        <f>VLOOKUP(A10463,'[1]Componentes APUs'!$A$1:$D$14,4,0)</f>
        <v>7500</v>
      </c>
      <c r="G10463" s="51">
        <f>ROUNDUP(F10463*(E10463/21)/E10426,0)</f>
        <v>3393</v>
      </c>
    </row>
    <row r="10464" spans="1:7" x14ac:dyDescent="0.25">
      <c r="A10464" s="50" t="s">
        <v>76</v>
      </c>
      <c r="B10464" s="72" t="str">
        <f>VLOOKUP(A10464,'[1]Componentes APUs'!$A$1:$D$14,2,0)</f>
        <v>Casco dielectrico Tipo 1 Clase E con barbuquejo</v>
      </c>
      <c r="C10464" s="73"/>
      <c r="D10464" s="50" t="str">
        <f>VLOOKUP(A10464,'[1]Componentes APUs'!$A$1:$D$14,3,0)</f>
        <v>U</v>
      </c>
      <c r="E10464" s="50">
        <f>C10442+C10443+C10445+C10446+C10447+IF(A10444&lt;&gt;"MO-3",C10444,0)</f>
        <v>2.75</v>
      </c>
      <c r="F10464" s="51">
        <f>VLOOKUP(A10464,'[1]Componentes APUs'!$A$1:$D$14,4,0)</f>
        <v>10101.010101010101</v>
      </c>
      <c r="G10464" s="51">
        <f>ROUNDUP(F10464*(E10464/21)/E10426,0)</f>
        <v>2646</v>
      </c>
    </row>
    <row r="10465" spans="1:7" x14ac:dyDescent="0.25">
      <c r="A10465" s="69" t="s">
        <v>77</v>
      </c>
      <c r="B10465" s="72" t="str">
        <f>VLOOKUP(A10465,'[1]Componentes APUs'!$A$1:$D$14,2,0)</f>
        <v>Correa plastica y antiflama</v>
      </c>
      <c r="C10465" s="73"/>
      <c r="D10465" s="50" t="str">
        <f>VLOOKUP(A10465,'[1]Componentes APUs'!$A$1:$D$14,3,0)</f>
        <v>U</v>
      </c>
      <c r="E10465" s="50">
        <f>SUM(C10442:C10447)</f>
        <v>4.75</v>
      </c>
      <c r="F10465" s="51">
        <f>VLOOKUP(A10465,'[1]Componentes APUs'!$A$1:$D$14,4,0)</f>
        <v>3787.878787878788</v>
      </c>
      <c r="G10465" s="51">
        <f>ROUNDUP(F10465*(E10465/21)/E10426,0)</f>
        <v>1714</v>
      </c>
    </row>
    <row r="10466" spans="1:7" x14ac:dyDescent="0.25">
      <c r="A10466" s="50" t="s">
        <v>79</v>
      </c>
      <c r="B10466" s="72" t="str">
        <f>VLOOKUP(A10466,'[1]Componentes APUs'!$A$1:$D$14,2,0)</f>
        <v>Gafas protectoras filtro UV</v>
      </c>
      <c r="C10466" s="73"/>
      <c r="D10466" s="50" t="str">
        <f>VLOOKUP(A10466,'[1]Componentes APUs'!$A$1:$D$14,3,0)</f>
        <v>U</v>
      </c>
      <c r="E10466" s="50">
        <f>SUM(C10442:C10447)</f>
        <v>4.75</v>
      </c>
      <c r="F10466" s="51">
        <f>VLOOKUP(A10466,'[1]Componentes APUs'!$A$1:$D$14,4,0)</f>
        <v>2777.7777777777778</v>
      </c>
      <c r="G10466" s="51">
        <f>ROUNDUP(F10466*(E10466/21)/E10426,0)</f>
        <v>1257</v>
      </c>
    </row>
    <row r="10467" spans="1:7" x14ac:dyDescent="0.25">
      <c r="A10467" s="69" t="s">
        <v>402</v>
      </c>
      <c r="B10467" s="72" t="str">
        <f>VLOOKUP(A10467,'[1]Componentes APUs'!$A$1:$D$14,2,0)</f>
        <v>Bota de seguridad PVC dielectrica</v>
      </c>
      <c r="C10467" s="73"/>
      <c r="D10467" s="50" t="str">
        <f>VLOOKUP(A10467,'[1]Componentes APUs'!$A$1:$D$14,3,0)</f>
        <v>Par</v>
      </c>
      <c r="E10467" s="50">
        <f>SUM(C10442:C10447)</f>
        <v>4.75</v>
      </c>
      <c r="F10467" s="51">
        <f>VLOOKUP(A10467,'[1]Componentes APUs'!$A$1:$D$14,4,0)</f>
        <v>2916.6666666666665</v>
      </c>
      <c r="G10467" s="51">
        <f>ROUNDUP(F10467*(E10467/21)/E10426,0)</f>
        <v>1320</v>
      </c>
    </row>
    <row r="10468" spans="1:7" x14ac:dyDescent="0.25">
      <c r="A10468" s="50" t="s">
        <v>403</v>
      </c>
      <c r="B10468" s="72" t="str">
        <f>VLOOKUP(A10468,'[1]Componentes APUs'!$A$1:$D$14,2,0)</f>
        <v>Capuchon</v>
      </c>
      <c r="C10468" s="73"/>
      <c r="D10468" s="50" t="str">
        <f>VLOOKUP(A10468,'[1]Componentes APUs'!$A$1:$D$14,3,0)</f>
        <v>U</v>
      </c>
      <c r="E10468" s="50">
        <f>SUM(C10442:C10447)</f>
        <v>4.75</v>
      </c>
      <c r="F10468" s="51">
        <f>VLOOKUP(A10468,'[1]Componentes APUs'!$A$1:$D$14,4,0)</f>
        <v>2525.2525252525252</v>
      </c>
      <c r="G10468" s="51">
        <f>ROUNDUP(F10468*(E10468/21)/E10426,0)</f>
        <v>1143</v>
      </c>
    </row>
    <row r="10469" spans="1:7" x14ac:dyDescent="0.25">
      <c r="A10469" s="69" t="s">
        <v>81</v>
      </c>
      <c r="B10469" s="72" t="str">
        <f>VLOOKUP(A10469,'[1]Componentes APUs'!$A$1:$D$14,2,0)</f>
        <v>Guantes Protectores  - ingeniero reforzados</v>
      </c>
      <c r="C10469" s="73"/>
      <c r="D10469" s="50" t="str">
        <f>VLOOKUP(A10469,'[1]Componentes APUs'!$A$1:$D$14,3,0)</f>
        <v>Par</v>
      </c>
      <c r="E10469" s="50">
        <f>C10444+C10445+C10447</f>
        <v>4</v>
      </c>
      <c r="F10469" s="51">
        <f>VLOOKUP(A10469,'[1]Componentes APUs'!$A$1:$D$14,4,0)</f>
        <v>2525.2525252525252</v>
      </c>
      <c r="G10469" s="51">
        <f>ROUNDUP(F10469*(E10469/21)/E10426,0)</f>
        <v>963</v>
      </c>
    </row>
    <row r="10470" spans="1:7" x14ac:dyDescent="0.25">
      <c r="A10470" s="50" t="s">
        <v>83</v>
      </c>
      <c r="B10470" s="72" t="str">
        <f>VLOOKUP(A10470,'[1]Componentes APUs'!$A$1:$D$14,2,0)</f>
        <v>Impermeable (pantalon camisa)</v>
      </c>
      <c r="C10470" s="73"/>
      <c r="D10470" s="50" t="str">
        <f>VLOOKUP(A10470,'[1]Componentes APUs'!$A$1:$D$14,3,0)</f>
        <v>U</v>
      </c>
      <c r="E10470" s="50">
        <f>SUM(C10442:C10447)</f>
        <v>4.75</v>
      </c>
      <c r="F10470" s="51">
        <f>VLOOKUP(A10470,'[1]Componentes APUs'!$A$1:$D$14,4,0)</f>
        <v>3750</v>
      </c>
      <c r="G10470" s="51">
        <f>ROUNDUP(F10470*(E10470/21)/E10426,0)</f>
        <v>1697</v>
      </c>
    </row>
    <row r="10471" spans="1:7" x14ac:dyDescent="0.25">
      <c r="A10471" s="69" t="s">
        <v>85</v>
      </c>
      <c r="B10471" s="72" t="str">
        <f>VLOOKUP(A10471,'[1]Componentes APUs'!$A$1:$D$14,2,0)</f>
        <v>Jean Dielectrico</v>
      </c>
      <c r="C10471" s="73"/>
      <c r="D10471" s="50" t="str">
        <f>VLOOKUP(A10471,'[1]Componentes APUs'!$A$1:$D$14,3,0)</f>
        <v>U</v>
      </c>
      <c r="E10471" s="50">
        <f>SUM(C10442:C10447)</f>
        <v>4.75</v>
      </c>
      <c r="F10471" s="51">
        <f>VLOOKUP(A10471,'[1]Componentes APUs'!$A$1:$D$14,4,0)</f>
        <v>7575.757575757576</v>
      </c>
      <c r="G10471" s="51">
        <f>ROUNDUP(F10471*(E10471/21)/E10426,0)</f>
        <v>3428</v>
      </c>
    </row>
    <row r="10472" spans="1:7" x14ac:dyDescent="0.25">
      <c r="A10472" s="50" t="s">
        <v>87</v>
      </c>
      <c r="B10472" s="72" t="str">
        <f>VLOOKUP(A10472,'[1]Componentes APUs'!$A$1:$D$14,2,0)</f>
        <v>Casco dielectrico Tipo 2 Clase E con barboquejo</v>
      </c>
      <c r="C10472" s="73"/>
      <c r="D10472" s="50" t="str">
        <f>VLOOKUP(A10472,'[1]Componentes APUs'!$A$1:$D$14,3,0)</f>
        <v>U</v>
      </c>
      <c r="E10472" s="53">
        <f>IF(A10444="MO-3",C10444,0)</f>
        <v>2</v>
      </c>
      <c r="F10472" s="51">
        <f>VLOOKUP(A10472,'[1]Componentes APUs'!$A$1:$D$14,4,0)</f>
        <v>7500</v>
      </c>
      <c r="G10472" s="51">
        <f>ROUNDUP(F10472*(E10472/21)/E10426,0)</f>
        <v>1429</v>
      </c>
    </row>
    <row r="10473" spans="1:7" x14ac:dyDescent="0.25">
      <c r="A10473" s="69" t="s">
        <v>89</v>
      </c>
      <c r="B10473" s="72" t="str">
        <f>VLOOKUP(A10473,'[1]Componentes APUs'!$A$1:$D$14,2,0)</f>
        <v>Kit de rescate para trabajo en alturas</v>
      </c>
      <c r="C10473" s="73"/>
      <c r="D10473" s="50" t="str">
        <f>VLOOKUP(A10473,'[1]Componentes APUs'!$A$1:$D$14,3,0)</f>
        <v>U</v>
      </c>
      <c r="E10473" s="50">
        <f>IF(AND(A10444="MO-3",C10444=2),1,0)</f>
        <v>1</v>
      </c>
      <c r="F10473" s="51">
        <f>VLOOKUP(A10473,'[1]Componentes APUs'!$A$1:$D$14,4,0)</f>
        <v>37500</v>
      </c>
      <c r="G10473" s="51">
        <f>ROUNDUP(F10473*(E10473/21)/E10426,0)</f>
        <v>3572</v>
      </c>
    </row>
    <row r="10474" spans="1:7" x14ac:dyDescent="0.25">
      <c r="A10474" s="50" t="s">
        <v>91</v>
      </c>
      <c r="B10474" s="72" t="str">
        <f>VLOOKUP(A10474,'[1]Componentes APUs'!$A$1:$D$14,2,0)</f>
        <v>Equipo completo para trabajo en alturas con pretales (Arnes dielectrico, 1 mosqueton de seguridad, tie off dielectrico, eslinga de posicionamiento, juego de pretales)</v>
      </c>
      <c r="C10474" s="73"/>
      <c r="D10474" s="50" t="str">
        <f>VLOOKUP(A10474,'[1]Componentes APUs'!$A$1:$D$14,3,0)</f>
        <v>U</v>
      </c>
      <c r="E10474" s="50">
        <f>IF(A10444="MO-3",C10444,0)</f>
        <v>2</v>
      </c>
      <c r="F10474" s="51">
        <f>VLOOKUP(A10474,'[1]Componentes APUs'!$A$1:$D$14,4,0)</f>
        <v>26041.666666666668</v>
      </c>
      <c r="G10474" s="51">
        <f>ROUNDUP(F10474*(E10474/21)/E10426,0)</f>
        <v>4961</v>
      </c>
    </row>
    <row r="10475" spans="1:7" x14ac:dyDescent="0.25">
      <c r="A10475" s="219" t="s">
        <v>95</v>
      </c>
      <c r="B10475" s="219"/>
      <c r="C10475" s="219"/>
      <c r="D10475" s="219"/>
      <c r="E10475" s="219"/>
      <c r="F10475" s="219"/>
      <c r="G10475" s="52">
        <f>SUM(G10462:G10474)</f>
        <v>31408</v>
      </c>
    </row>
    <row r="10476" spans="1:7" x14ac:dyDescent="0.25">
      <c r="A10476" s="56"/>
      <c r="B10476" s="57"/>
      <c r="C10476" s="57"/>
      <c r="D10476" s="57"/>
      <c r="E10476" s="57"/>
      <c r="F10476" s="57"/>
      <c r="G10476" s="58"/>
    </row>
    <row r="10477" spans="1:7" x14ac:dyDescent="0.25">
      <c r="A10477" s="219" t="s">
        <v>96</v>
      </c>
      <c r="B10477" s="219"/>
      <c r="C10477" s="219"/>
      <c r="D10477" s="219"/>
      <c r="E10477" s="219"/>
      <c r="F10477" s="219"/>
      <c r="G10477" s="219"/>
    </row>
    <row r="10478" spans="1:7" x14ac:dyDescent="0.25">
      <c r="A10478" s="49" t="s">
        <v>35</v>
      </c>
      <c r="B10478" s="225" t="s">
        <v>36</v>
      </c>
      <c r="C10478" s="225"/>
      <c r="D10478" s="49" t="s">
        <v>37</v>
      </c>
      <c r="E10478" s="49" t="s">
        <v>38</v>
      </c>
      <c r="F10478" s="49" t="s">
        <v>39</v>
      </c>
      <c r="G10478" s="49" t="s">
        <v>40</v>
      </c>
    </row>
    <row r="10479" spans="1:7" x14ac:dyDescent="0.25">
      <c r="A10479" s="69" t="s">
        <v>97</v>
      </c>
      <c r="B10479" s="72" t="str">
        <f>VLOOKUP(A10479,'[1]Componentes APUs'!$N$1:$Q$30,2,0)</f>
        <v>Camioneta</v>
      </c>
      <c r="C10479" s="73"/>
      <c r="D10479" s="70" t="str">
        <f>VLOOKUP(A10479,'[1]Componentes APUs'!$N$1:$Q$30,3,0)</f>
        <v>U</v>
      </c>
      <c r="E10479" s="50">
        <v>1</v>
      </c>
      <c r="F10479" s="51">
        <f>VLOOKUP(A10479,'[1]Componentes APUs'!$N$1:$Q$30,4,0)</f>
        <v>5500000</v>
      </c>
      <c r="G10479" s="51">
        <f>IFERROR(ROUNDUP(F10479*(E10479/21)/E10426,0),"-")</f>
        <v>523810</v>
      </c>
    </row>
    <row r="10480" spans="1:7" x14ac:dyDescent="0.25">
      <c r="A10480" s="50" t="s">
        <v>321</v>
      </c>
      <c r="B10480" s="72" t="str">
        <f>VLOOKUP(A10480,'[1]Componentes APUs'!$N$1:$Q$30,2,0)</f>
        <v>Grúa Hidráulica</v>
      </c>
      <c r="C10480" s="73"/>
      <c r="D10480" s="70" t="str">
        <f>VLOOKUP(A10480,'[1]Componentes APUs'!$N$1:$Q$30,3,0)</f>
        <v>U</v>
      </c>
      <c r="E10480" s="50">
        <v>0</v>
      </c>
      <c r="F10480" s="51">
        <f>VLOOKUP(A10480,'[1]Componentes APUs'!$N$1:$Q$30,4,0)</f>
        <v>21000000</v>
      </c>
      <c r="G10480" s="51">
        <f>IFERROR(ROUNDUP(F10480*(E10480/21)/E10426,0),"-")</f>
        <v>0</v>
      </c>
    </row>
    <row r="10481" spans="1:7" x14ac:dyDescent="0.25">
      <c r="A10481" s="69" t="s">
        <v>322</v>
      </c>
      <c r="B10481" s="72" t="str">
        <f>VLOOKUP(A10481,'[1]Componentes APUs'!$N$1:$Q$30,2,0)</f>
        <v>Camabaja</v>
      </c>
      <c r="C10481" s="73"/>
      <c r="D10481" s="70" t="str">
        <f>VLOOKUP(A10481,'[1]Componentes APUs'!$N$1:$Q$30,3,0)</f>
        <v>TON/KM</v>
      </c>
      <c r="E10481" s="50">
        <v>0</v>
      </c>
      <c r="F10481" s="51">
        <f>VLOOKUP(A10481,'[1]Componentes APUs'!$N$1:$Q$30,4,0)</f>
        <v>611</v>
      </c>
      <c r="G10481" s="51">
        <f>IFERROR(ROUNDUP(F10481*(E10481/21)/E10426,0),"-")</f>
        <v>0</v>
      </c>
    </row>
    <row r="10482" spans="1:7" x14ac:dyDescent="0.25">
      <c r="A10482" s="219" t="s">
        <v>99</v>
      </c>
      <c r="B10482" s="219"/>
      <c r="C10482" s="219"/>
      <c r="D10482" s="219"/>
      <c r="E10482" s="219"/>
      <c r="F10482" s="219"/>
      <c r="G10482" s="52">
        <f>SUM(G10479:G10481)</f>
        <v>523810</v>
      </c>
    </row>
    <row r="10483" spans="1:7" x14ac:dyDescent="0.25">
      <c r="A10483" s="56"/>
      <c r="B10483" s="57"/>
      <c r="C10483" s="57"/>
      <c r="D10483" s="57"/>
      <c r="E10483" s="57"/>
      <c r="F10483" s="57"/>
      <c r="G10483" s="58"/>
    </row>
    <row r="10484" spans="1:7" x14ac:dyDescent="0.25">
      <c r="A10484" s="219" t="s">
        <v>1516</v>
      </c>
      <c r="B10484" s="219"/>
      <c r="C10484" s="219"/>
      <c r="D10484" s="219"/>
      <c r="E10484" s="219"/>
      <c r="F10484" s="219"/>
      <c r="G10484" s="52">
        <f>G10482+G10475+G10458+G10448+G10438</f>
        <v>7362926.4000000004</v>
      </c>
    </row>
    <row r="10485" spans="1:7" x14ac:dyDescent="0.25">
      <c r="A10485" s="59"/>
      <c r="B10485" s="60"/>
      <c r="C10485" s="60"/>
      <c r="D10485" s="60"/>
      <c r="E10485" s="57"/>
      <c r="F10485" s="57"/>
      <c r="G10485" s="58"/>
    </row>
    <row r="10486" spans="1:7" x14ac:dyDescent="0.25">
      <c r="A10486" s="64"/>
      <c r="D10486" s="55"/>
      <c r="E10486" s="49" t="s">
        <v>25</v>
      </c>
      <c r="F10486" s="54">
        <v>0.15</v>
      </c>
      <c r="G10486" s="51">
        <f>G10484*F10486</f>
        <v>1104438.96</v>
      </c>
    </row>
    <row r="10487" spans="1:7" x14ac:dyDescent="0.25">
      <c r="A10487" s="64"/>
      <c r="D10487" s="55"/>
      <c r="E10487" s="49" t="s">
        <v>26</v>
      </c>
      <c r="F10487" s="54">
        <v>0.05</v>
      </c>
      <c r="G10487" s="51">
        <f>G10484*F10487</f>
        <v>368146.32000000007</v>
      </c>
    </row>
    <row r="10488" spans="1:7" x14ac:dyDescent="0.25">
      <c r="A10488" s="61"/>
      <c r="B10488" s="65"/>
      <c r="C10488" s="65"/>
      <c r="D10488" s="62"/>
      <c r="E10488" s="49" t="s">
        <v>27</v>
      </c>
      <c r="F10488" s="54">
        <v>0.05</v>
      </c>
      <c r="G10488" s="51">
        <f>G10484*F10488</f>
        <v>368146.32000000007</v>
      </c>
    </row>
    <row r="10489" spans="1:7" x14ac:dyDescent="0.25">
      <c r="A10489" s="61"/>
      <c r="B10489" s="62"/>
      <c r="C10489" s="62"/>
      <c r="D10489" s="62"/>
      <c r="E10489" s="62"/>
      <c r="F10489" s="62"/>
      <c r="G10489" s="63"/>
    </row>
    <row r="10490" spans="1:7" x14ac:dyDescent="0.25">
      <c r="A10490" s="219" t="s">
        <v>1517</v>
      </c>
      <c r="B10490" s="219"/>
      <c r="C10490" s="219"/>
      <c r="D10490" s="219"/>
      <c r="E10490" s="219"/>
      <c r="F10490" s="219"/>
      <c r="G10490" s="52">
        <f>G10484+G10486+G10487+G10488</f>
        <v>9203658</v>
      </c>
    </row>
    <row r="10491" spans="1:7" x14ac:dyDescent="0.25">
      <c r="A10491" s="59"/>
      <c r="B10491" s="60"/>
      <c r="C10491" s="60"/>
      <c r="D10491" s="60"/>
      <c r="E10491" s="57"/>
      <c r="F10491" s="57"/>
      <c r="G10491" s="58"/>
    </row>
    <row r="10492" spans="1:7" x14ac:dyDescent="0.25">
      <c r="A10492" s="64"/>
      <c r="D10492" s="55"/>
      <c r="E10492" s="49" t="s">
        <v>102</v>
      </c>
      <c r="F10492" s="49" t="s">
        <v>103</v>
      </c>
      <c r="G10492" s="51">
        <f>G10488*19%</f>
        <v>69947.800800000012</v>
      </c>
    </row>
    <row r="10493" spans="1:7" x14ac:dyDescent="0.25">
      <c r="A10493" s="61"/>
      <c r="B10493" s="62"/>
      <c r="C10493" s="62"/>
      <c r="D10493" s="62"/>
      <c r="E10493" s="57"/>
      <c r="F10493" s="57"/>
      <c r="G10493" s="58"/>
    </row>
    <row r="10494" spans="1:7" x14ac:dyDescent="0.25">
      <c r="A10494" s="219" t="s">
        <v>104</v>
      </c>
      <c r="B10494" s="219"/>
      <c r="C10494" s="219"/>
      <c r="D10494" s="219"/>
      <c r="E10494" s="219"/>
      <c r="F10494" s="219"/>
      <c r="G10494" s="52">
        <f>G10492+G10490</f>
        <v>9273605.8007999994</v>
      </c>
    </row>
    <row r="10496" spans="1:7" x14ac:dyDescent="0.25">
      <c r="A10496" s="74" t="s">
        <v>29</v>
      </c>
      <c r="B10496" s="226" t="s">
        <v>30</v>
      </c>
      <c r="C10496" s="226"/>
      <c r="D10496" s="74" t="s">
        <v>31</v>
      </c>
      <c r="E10496" s="74" t="s">
        <v>32</v>
      </c>
      <c r="F10496" s="74" t="s">
        <v>189</v>
      </c>
      <c r="G10496" s="74" t="s">
        <v>33</v>
      </c>
    </row>
    <row r="10497" spans="1:7" ht="31.5" customHeight="1" x14ac:dyDescent="0.25">
      <c r="A10497" s="50" t="str">
        <f>Presupuesto!B192</f>
        <v>004_N3</v>
      </c>
      <c r="B10497" s="220" t="str">
        <f>Presupuesto!C192</f>
        <v>SUMINISTRO E INSTALACIÓN DE HERRAJES PARA BAHÍA DE TRANSFORMADOR DE POTENCIA N3</v>
      </c>
      <c r="C10497" s="220"/>
      <c r="D10497" s="50" t="s">
        <v>18</v>
      </c>
      <c r="E10497" s="93">
        <v>0.5</v>
      </c>
      <c r="F10497" s="50"/>
      <c r="G10497" s="51">
        <f>G10563</f>
        <v>11905216.940099999</v>
      </c>
    </row>
    <row r="10498" spans="1:7" x14ac:dyDescent="0.25">
      <c r="A10498" s="219" t="s">
        <v>34</v>
      </c>
      <c r="B10498" s="219"/>
      <c r="C10498" s="219"/>
      <c r="D10498" s="219"/>
      <c r="E10498" s="219"/>
      <c r="F10498" s="219"/>
      <c r="G10498" s="219"/>
    </row>
    <row r="10499" spans="1:7" x14ac:dyDescent="0.25">
      <c r="A10499" s="49" t="s">
        <v>35</v>
      </c>
      <c r="B10499" s="219" t="s">
        <v>36</v>
      </c>
      <c r="C10499" s="219"/>
      <c r="D10499" s="49" t="s">
        <v>37</v>
      </c>
      <c r="E10499" s="49" t="s">
        <v>38</v>
      </c>
      <c r="F10499" s="49" t="s">
        <v>39</v>
      </c>
      <c r="G10499" s="49" t="s">
        <v>40</v>
      </c>
    </row>
    <row r="10500" spans="1:7" x14ac:dyDescent="0.25">
      <c r="A10500" s="17" t="str">
        <f>Material!A10</f>
        <v>MA-09</v>
      </c>
      <c r="B10500" s="221" t="str">
        <f>IFERROR(VLOOKUP(A10500,Material!$A:$J,2,0),"-")</f>
        <v>ESPARRAGO DE HIERRO GALVANIZADO ROSCADO EN TODA SU LONGITUD, 4 TUERCAS. DIAMETRO 16 MM LONGITUD 458  MM</v>
      </c>
      <c r="C10500" s="222"/>
      <c r="D10500" s="50" t="str">
        <f>IFERROR(VLOOKUP(A10500,Material!$A:$J,4,0),"-")</f>
        <v>UN</v>
      </c>
      <c r="E10500" s="50">
        <f>1*4*5</f>
        <v>20</v>
      </c>
      <c r="F10500" s="51">
        <f>IFERROR(VLOOKUP(A10500,Material!$A:$J,3,0),"-")</f>
        <v>10920</v>
      </c>
      <c r="G10500" s="51">
        <f t="shared" ref="G10500:G10504" si="148">IFERROR(F10500*E10500,"-")</f>
        <v>218400</v>
      </c>
    </row>
    <row r="10501" spans="1:7" ht="27" customHeight="1" x14ac:dyDescent="0.25">
      <c r="A10501" s="17" t="str">
        <f>Material!A5</f>
        <v>MA-04</v>
      </c>
      <c r="B10501" s="221" t="str">
        <f>IFERROR(VLOOKUP(A10501,Material!$A:$J,2,0),"-")</f>
        <v>COLLARIN DE DOS SALIDAS EN PLATINA DE HIERRO GALVANIZADO. DIAMETRO (6-8 IN) (17 - 22 CM)</v>
      </c>
      <c r="C10501" s="222"/>
      <c r="D10501" s="50" t="str">
        <f>IFERROR(VLOOKUP(A10501,Material!$A:$J,4,0),"-")</f>
        <v>UN</v>
      </c>
      <c r="E10501" s="50">
        <f>4*1</f>
        <v>4</v>
      </c>
      <c r="F10501" s="51">
        <f>IFERROR(VLOOKUP(A10501,Material!$A:$J,3,0),"-")</f>
        <v>24505</v>
      </c>
      <c r="G10501" s="51">
        <f t="shared" si="148"/>
        <v>98020</v>
      </c>
    </row>
    <row r="10502" spans="1:7" ht="27" customHeight="1" x14ac:dyDescent="0.25">
      <c r="A10502" s="17" t="str">
        <f>Material!A6</f>
        <v>MA-05</v>
      </c>
      <c r="B10502" s="221" t="str">
        <f>IFERROR(VLOOKUP(A10502,Material!$A:$J,2,0),"-")</f>
        <v>COLLARIN DE DOS SALIDAS EN PLATINA DE HIERRO GALVANIZADO. DIAMETRO (7-10 IN) (20 - 25 CM)</v>
      </c>
      <c r="C10502" s="222"/>
      <c r="D10502" s="50" t="str">
        <f>IFERROR(VLOOKUP(A10502,Material!$A:$J,4,0),"-")</f>
        <v>UN</v>
      </c>
      <c r="E10502" s="50">
        <f>4</f>
        <v>4</v>
      </c>
      <c r="F10502" s="51">
        <f>IFERROR(VLOOKUP(A10502,Material!$A:$J,3,0),"-")</f>
        <v>27755</v>
      </c>
      <c r="G10502" s="51">
        <f t="shared" si="148"/>
        <v>111020</v>
      </c>
    </row>
    <row r="10503" spans="1:7" ht="27" customHeight="1" x14ac:dyDescent="0.25">
      <c r="A10503" s="17" t="str">
        <f>Material!A7</f>
        <v>MA-06</v>
      </c>
      <c r="B10503" s="221" t="str">
        <f>IFERROR(VLOOKUP(A10503,Material!$A:$J,2,0),"-")</f>
        <v>COLLARIN DE DOS SALIDAS EN PLATINA DE HIERRO GALVANIZADO. DIAMETRO (10-12 IN) (25 - 30 CM)</v>
      </c>
      <c r="C10503" s="222"/>
      <c r="D10503" s="50" t="str">
        <f>IFERROR(VLOOKUP(A10503,Material!$A:$J,4,0),"-")</f>
        <v>UN</v>
      </c>
      <c r="E10503" s="50">
        <v>4</v>
      </c>
      <c r="F10503" s="51">
        <f>IFERROR(VLOOKUP(A10503,Material!$A:$J,3,0),"-")</f>
        <v>33150</v>
      </c>
      <c r="G10503" s="51">
        <f t="shared" si="148"/>
        <v>132600</v>
      </c>
    </row>
    <row r="10504" spans="1:7" ht="27" customHeight="1" x14ac:dyDescent="0.25">
      <c r="A10504" s="17" t="str">
        <f>Material!A9</f>
        <v>MA-08</v>
      </c>
      <c r="B10504" s="221" t="str">
        <f>IFERROR(VLOOKUP(A10504,Material!$A:$J,2,0),"-")</f>
        <v>CRUCETA METÁLICA DE ANGULO GALVANIZADO DE 6 M DE LONGITUD. CALIBRE (76*76*6) MM</v>
      </c>
      <c r="C10504" s="222"/>
      <c r="D10504" s="50" t="str">
        <f>IFERROR(VLOOKUP(A10504,Material!$A:$J,4,0),"-")</f>
        <v>UN</v>
      </c>
      <c r="E10504" s="50">
        <v>8</v>
      </c>
      <c r="F10504" s="51">
        <f>IFERROR(VLOOKUP(A10504,Material!$A:$J,3,0),"-")</f>
        <v>763908.6</v>
      </c>
      <c r="G10504" s="51">
        <f t="shared" si="148"/>
        <v>6111268.7999999998</v>
      </c>
    </row>
    <row r="10505" spans="1:7" x14ac:dyDescent="0.25">
      <c r="A10505" s="219" t="s">
        <v>41</v>
      </c>
      <c r="B10505" s="219"/>
      <c r="C10505" s="219"/>
      <c r="D10505" s="219"/>
      <c r="E10505" s="219"/>
      <c r="F10505" s="219"/>
      <c r="G10505" s="52">
        <f>SUM(G10500:G10504)</f>
        <v>6671308.7999999998</v>
      </c>
    </row>
    <row r="10506" spans="1:7" x14ac:dyDescent="0.25">
      <c r="A10506" s="56"/>
      <c r="B10506" s="57"/>
      <c r="C10506" s="57"/>
      <c r="D10506" s="57"/>
      <c r="E10506" s="57"/>
      <c r="F10506" s="57"/>
      <c r="G10506" s="58"/>
    </row>
    <row r="10507" spans="1:7" x14ac:dyDescent="0.25">
      <c r="A10507" s="219" t="s">
        <v>42</v>
      </c>
      <c r="B10507" s="219"/>
      <c r="C10507" s="219"/>
      <c r="D10507" s="219"/>
      <c r="E10507" s="219"/>
      <c r="F10507" s="219"/>
      <c r="G10507" s="219"/>
    </row>
    <row r="10508" spans="1:7" x14ac:dyDescent="0.25">
      <c r="A10508" s="49" t="s">
        <v>35</v>
      </c>
      <c r="B10508" s="49" t="s">
        <v>36</v>
      </c>
      <c r="C10508" s="49" t="s">
        <v>38</v>
      </c>
      <c r="D10508" s="49" t="s">
        <v>43</v>
      </c>
      <c r="E10508" s="49" t="s">
        <v>44</v>
      </c>
      <c r="F10508" s="49" t="s">
        <v>45</v>
      </c>
      <c r="G10508" s="49" t="s">
        <v>40</v>
      </c>
    </row>
    <row r="10509" spans="1:7" x14ac:dyDescent="0.25">
      <c r="A10509" s="50" t="s">
        <v>319</v>
      </c>
      <c r="B10509" s="68" t="str">
        <f>VLOOKUP(A10509,'[1]Componentes APUs'!$H$1:$L$25,2,0)</f>
        <v>Ingeniero Residente de Obra</v>
      </c>
      <c r="C10509" s="93">
        <v>0.25</v>
      </c>
      <c r="D10509" s="50">
        <f>VLOOKUP(A10509,'[1]Componentes APUs'!$H$1:$L$25,3,0)</f>
        <v>4</v>
      </c>
      <c r="E10509" s="51">
        <f>VLOOKUP(A10509,'[1]Componentes APUs'!$H$1:$L$25,4,0)</f>
        <v>271142.85714285716</v>
      </c>
      <c r="F10509" s="51">
        <f>VLOOKUP(A10509,'[1]Componentes APUs'!$H$1:$L$25,5,0)</f>
        <v>162685.71428571429</v>
      </c>
      <c r="G10509" s="51">
        <f>ROUNDUP((E10509+F10509)*C10509/E10497,0)</f>
        <v>216915</v>
      </c>
    </row>
    <row r="10510" spans="1:7" x14ac:dyDescent="0.25">
      <c r="A10510" s="50" t="s">
        <v>320</v>
      </c>
      <c r="B10510" s="68" t="str">
        <f>VLOOKUP(A10510,'[1]Componentes APUs'!$H$1:$L$25,2,0)</f>
        <v>Tecnico Supervisor</v>
      </c>
      <c r="C10510" s="93">
        <v>0.25</v>
      </c>
      <c r="D10510" s="50">
        <f>VLOOKUP(A10510,'[1]Componentes APUs'!$H$1:$L$25,3,0)</f>
        <v>2.2999999999999998</v>
      </c>
      <c r="E10510" s="51">
        <f>VLOOKUP(A10510,'[1]Componentes APUs'!$H$1:$L$25,4,0)</f>
        <v>155907.14285714284</v>
      </c>
      <c r="F10510" s="51">
        <f>VLOOKUP(A10510,'[1]Componentes APUs'!$H$1:$L$25,5,0)</f>
        <v>93544.285714285696</v>
      </c>
      <c r="G10510" s="51">
        <f>ROUNDUP((E10510+F10510)*C10510/E10497,0)</f>
        <v>124726</v>
      </c>
    </row>
    <row r="10511" spans="1:7" x14ac:dyDescent="0.25">
      <c r="A10511" s="50" t="s">
        <v>46</v>
      </c>
      <c r="B10511" s="68" t="str">
        <f>VLOOKUP(A10511,'[1]Componentes APUs'!$H$1:$L$25,2,0)</f>
        <v>Tecnico Liniero</v>
      </c>
      <c r="C10511" s="93">
        <v>2</v>
      </c>
      <c r="D10511" s="50">
        <f>VLOOKUP(A10511,'[1]Componentes APUs'!$H$1:$L$25,3,0)</f>
        <v>2</v>
      </c>
      <c r="E10511" s="51">
        <f>VLOOKUP(A10511,'[1]Componentes APUs'!$H$1:$L$25,4,0)</f>
        <v>154619.04761904763</v>
      </c>
      <c r="F10511" s="51">
        <f>VLOOKUP(A10511,'[1]Componentes APUs'!$H$1:$L$25,5,0)</f>
        <v>92771.42857142858</v>
      </c>
      <c r="G10511" s="51">
        <f>ROUNDUP((E10511+F10511)*C10511/E10497,0)</f>
        <v>989562</v>
      </c>
    </row>
    <row r="10512" spans="1:7" x14ac:dyDescent="0.25">
      <c r="A10512" s="50" t="s">
        <v>48</v>
      </c>
      <c r="B10512" s="68" t="str">
        <f>VLOOKUP(A10512,'[1]Componentes APUs'!$H$1:$L$25,2,0)</f>
        <v>Ayudante Calificado</v>
      </c>
      <c r="C10512" s="93">
        <v>2</v>
      </c>
      <c r="D10512" s="50">
        <f>VLOOKUP(A10512,'[1]Componentes APUs'!$H$1:$L$25,3,0)</f>
        <v>1.5</v>
      </c>
      <c r="E10512" s="51">
        <f>VLOOKUP(A10512,'[1]Componentes APUs'!$H$1:$L$25,4,0)</f>
        <v>115964.28571428571</v>
      </c>
      <c r="F10512" s="51">
        <f>VLOOKUP(A10512,'[1]Componentes APUs'!$H$1:$L$25,5,0)</f>
        <v>69578.57142857142</v>
      </c>
      <c r="G10512" s="51">
        <f>ROUNDUP((E10512+F10512)*C10512/E10497,0)</f>
        <v>742172</v>
      </c>
    </row>
    <row r="10513" spans="1:7" x14ac:dyDescent="0.25">
      <c r="A10513" s="50" t="s">
        <v>50</v>
      </c>
      <c r="B10513" s="68" t="str">
        <f>VLOOKUP(A10513,'[1]Componentes APUs'!$H$1:$L$25,2,0)</f>
        <v>Profesional en SST</v>
      </c>
      <c r="C10513" s="93">
        <v>0.25</v>
      </c>
      <c r="D10513" s="50">
        <f>VLOOKUP(A10513,'[1]Componentes APUs'!$H$1:$L$25,3,0)</f>
        <v>2.5</v>
      </c>
      <c r="E10513" s="51">
        <f>VLOOKUP(A10513,'[1]Componentes APUs'!$H$1:$L$25,4,0)</f>
        <v>169464.28571428571</v>
      </c>
      <c r="F10513" s="51">
        <f>VLOOKUP(A10513,'[1]Componentes APUs'!$H$1:$L$25,5,0)</f>
        <v>101678.57142857142</v>
      </c>
      <c r="G10513" s="51">
        <f>ROUNDUP((E10513+F10513)*C10513/E10497,0)</f>
        <v>135572</v>
      </c>
    </row>
    <row r="10514" spans="1:7" x14ac:dyDescent="0.25">
      <c r="A10514" s="50" t="s">
        <v>52</v>
      </c>
      <c r="B10514" s="68" t="str">
        <f>VLOOKUP(A10514,'[1]Componentes APUs'!$H$1:$L$25,2,0)</f>
        <v>Ayudante No Calificado</v>
      </c>
      <c r="C10514" s="93">
        <v>0</v>
      </c>
      <c r="D10514" s="50">
        <f>VLOOKUP(A10514,'[1]Componentes APUs'!$H$1:$L$25,3,0)</f>
        <v>1</v>
      </c>
      <c r="E10514" s="51">
        <f>VLOOKUP(A10514,'[1]Componentes APUs'!$H$1:$L$25,4,0)</f>
        <v>77309.523809523816</v>
      </c>
      <c r="F10514" s="51">
        <f>VLOOKUP(A10514,'[1]Componentes APUs'!$H$1:$L$25,5,0)</f>
        <v>46385.71428571429</v>
      </c>
      <c r="G10514" s="51">
        <f>ROUNDUP((E10514+F10514)*C10514/E10497,0)</f>
        <v>0</v>
      </c>
    </row>
    <row r="10515" spans="1:7" x14ac:dyDescent="0.25">
      <c r="A10515" s="219" t="s">
        <v>56</v>
      </c>
      <c r="B10515" s="219"/>
      <c r="C10515" s="219"/>
      <c r="D10515" s="219"/>
      <c r="E10515" s="219"/>
      <c r="F10515" s="219"/>
      <c r="G10515" s="52">
        <f>SUM(G10509:G10514)</f>
        <v>2208947</v>
      </c>
    </row>
    <row r="10516" spans="1:7" x14ac:dyDescent="0.25">
      <c r="A10516" s="56"/>
      <c r="B10516" s="57"/>
      <c r="C10516" s="57"/>
      <c r="D10516" s="57"/>
      <c r="E10516" s="57"/>
      <c r="F10516" s="57"/>
      <c r="G10516" s="58"/>
    </row>
    <row r="10517" spans="1:7" x14ac:dyDescent="0.25">
      <c r="A10517" s="219" t="s">
        <v>57</v>
      </c>
      <c r="B10517" s="219"/>
      <c r="C10517" s="219"/>
      <c r="D10517" s="219"/>
      <c r="E10517" s="219"/>
      <c r="F10517" s="219"/>
      <c r="G10517" s="219"/>
    </row>
    <row r="10518" spans="1:7" x14ac:dyDescent="0.25">
      <c r="A10518" s="49" t="s">
        <v>35</v>
      </c>
      <c r="B10518" s="219" t="s">
        <v>36</v>
      </c>
      <c r="C10518" s="219"/>
      <c r="D10518" s="49" t="s">
        <v>37</v>
      </c>
      <c r="E10518" s="49" t="s">
        <v>38</v>
      </c>
      <c r="F10518" s="49" t="s">
        <v>39</v>
      </c>
      <c r="G10518" s="49" t="s">
        <v>40</v>
      </c>
    </row>
    <row r="10519" spans="1:7" x14ac:dyDescent="0.25">
      <c r="A10519" s="50" t="s">
        <v>326</v>
      </c>
      <c r="B10519" s="220" t="str">
        <f>VLOOKUP(A10519,'[1]Componentes APUs'!$S$1:$V$10,2,0)</f>
        <v>Juego Llaves</v>
      </c>
      <c r="C10519" s="220"/>
      <c r="D10519" s="50" t="s">
        <v>18</v>
      </c>
      <c r="E10519" s="50">
        <v>2</v>
      </c>
      <c r="F10519" s="51">
        <f>VLOOKUP(A10519,'[1]Componentes APUs'!$S$1:$V$10,4,0)</f>
        <v>9167</v>
      </c>
      <c r="G10519" s="51">
        <f>ROUNDUP(F10519*((E10519/21)/E10497),0)</f>
        <v>1747</v>
      </c>
    </row>
    <row r="10520" spans="1:7" x14ac:dyDescent="0.25">
      <c r="A10520" s="50" t="s">
        <v>58</v>
      </c>
      <c r="B10520" s="220" t="str">
        <f>VLOOKUP(A10520,'[1]Componentes APUs'!$S$1:$V$10,2,0)</f>
        <v>Manila de servicio</v>
      </c>
      <c r="C10520" s="220"/>
      <c r="D10520" s="50" t="s">
        <v>18</v>
      </c>
      <c r="E10520" s="50">
        <v>2</v>
      </c>
      <c r="F10520" s="51">
        <f>VLOOKUP(A10520,'[1]Componentes APUs'!$S$1:$V$10,4,0)</f>
        <v>2333</v>
      </c>
      <c r="G10520" s="51">
        <f>ROUNDUP(F10520*((E10520/21)/E10497),0)</f>
        <v>445</v>
      </c>
    </row>
    <row r="10521" spans="1:7" x14ac:dyDescent="0.25">
      <c r="A10521" s="50" t="s">
        <v>327</v>
      </c>
      <c r="B10521" s="220" t="str">
        <f>VLOOKUP(A10521,'[1]Componentes APUs'!$S$1:$V$10,2,0)</f>
        <v>Tula portaherramientas</v>
      </c>
      <c r="C10521" s="220"/>
      <c r="D10521" s="50" t="s">
        <v>18</v>
      </c>
      <c r="E10521" s="50">
        <v>2</v>
      </c>
      <c r="F10521" s="51">
        <f>VLOOKUP(A10521,'[1]Componentes APUs'!$S$1:$V$10,4,0)</f>
        <v>1250</v>
      </c>
      <c r="G10521" s="51">
        <f>ROUNDUP(F10521*((E10521/21)/E10497),0)</f>
        <v>239</v>
      </c>
    </row>
    <row r="10522" spans="1:7" x14ac:dyDescent="0.25">
      <c r="A10522" s="50" t="s">
        <v>60</v>
      </c>
      <c r="B10522" s="220" t="str">
        <f>VLOOKUP(A10522,'[1]Componentes APUs'!$S$1:$V$10,2,0)</f>
        <v>Agarradoras</v>
      </c>
      <c r="C10522" s="220"/>
      <c r="D10522" s="50" t="s">
        <v>18</v>
      </c>
      <c r="E10522" s="50">
        <v>0</v>
      </c>
      <c r="F10522" s="51">
        <f>VLOOKUP(A10522,'[1]Componentes APUs'!$S$1:$V$10,4,0)</f>
        <v>125000</v>
      </c>
      <c r="G10522" s="51">
        <f>ROUNDUP(F10522*((E10522/21)/E10497),0)</f>
        <v>0</v>
      </c>
    </row>
    <row r="10523" spans="1:7" x14ac:dyDescent="0.25">
      <c r="A10523" s="50" t="s">
        <v>62</v>
      </c>
      <c r="B10523" s="220" t="str">
        <f>VLOOKUP(A10523,'[1]Componentes APUs'!$S$1:$V$10,2,0)</f>
        <v>Templadoras</v>
      </c>
      <c r="C10523" s="220"/>
      <c r="D10523" s="50" t="s">
        <v>18</v>
      </c>
      <c r="E10523" s="50">
        <v>0</v>
      </c>
      <c r="F10523" s="51">
        <f>VLOOKUP(A10523,'[1]Componentes APUs'!$S$1:$V$10,4,0)</f>
        <v>250000</v>
      </c>
      <c r="G10523" s="51">
        <f>ROUNDUP(F10523*((E10523/21)/E10497),0)</f>
        <v>0</v>
      </c>
    </row>
    <row r="10524" spans="1:7" x14ac:dyDescent="0.25">
      <c r="A10524" s="50" t="s">
        <v>328</v>
      </c>
      <c r="B10524" s="220" t="str">
        <f>VLOOKUP(A10524,'[1]Componentes APUs'!$S$1:$V$10,2,0)</f>
        <v>Herramienta Menor</v>
      </c>
      <c r="C10524" s="220"/>
      <c r="D10524" s="50" t="s">
        <v>18</v>
      </c>
      <c r="E10524" s="50">
        <v>2</v>
      </c>
      <c r="F10524" s="51">
        <f>VLOOKUP(A10524,'[1]Componentes APUs'!$S$1:$V$10,4,0)</f>
        <v>75758</v>
      </c>
      <c r="G10524" s="51">
        <f>ROUNDUP(F10524*((E10524/21)/E10497),0)</f>
        <v>14431</v>
      </c>
    </row>
    <row r="10525" spans="1:7" x14ac:dyDescent="0.25">
      <c r="A10525" s="219" t="s">
        <v>69</v>
      </c>
      <c r="B10525" s="219"/>
      <c r="C10525" s="219"/>
      <c r="D10525" s="219"/>
      <c r="E10525" s="219"/>
      <c r="F10525" s="219"/>
      <c r="G10525" s="52">
        <f>SUM(G10519:G10524)</f>
        <v>16862</v>
      </c>
    </row>
    <row r="10526" spans="1:7" x14ac:dyDescent="0.25">
      <c r="A10526" s="56"/>
      <c r="B10526" s="57"/>
      <c r="C10526" s="57"/>
      <c r="D10526" s="57"/>
      <c r="E10526" s="57"/>
      <c r="F10526" s="57"/>
      <c r="G10526" s="58"/>
    </row>
    <row r="10527" spans="1:7" x14ac:dyDescent="0.25">
      <c r="A10527" s="219" t="s">
        <v>70</v>
      </c>
      <c r="B10527" s="219"/>
      <c r="C10527" s="219"/>
      <c r="D10527" s="219"/>
      <c r="E10527" s="219"/>
      <c r="F10527" s="219"/>
      <c r="G10527" s="219"/>
    </row>
    <row r="10528" spans="1:7" x14ac:dyDescent="0.25">
      <c r="A10528" s="49" t="s">
        <v>35</v>
      </c>
      <c r="B10528" s="219" t="s">
        <v>36</v>
      </c>
      <c r="C10528" s="219"/>
      <c r="D10528" s="49" t="s">
        <v>37</v>
      </c>
      <c r="E10528" s="49" t="s">
        <v>38</v>
      </c>
      <c r="F10528" s="49" t="s">
        <v>39</v>
      </c>
      <c r="G10528" s="49" t="s">
        <v>40</v>
      </c>
    </row>
    <row r="10529" spans="1:7" x14ac:dyDescent="0.25">
      <c r="A10529" s="50" t="s">
        <v>71</v>
      </c>
      <c r="B10529" s="71" t="str">
        <f>VLOOKUP(A10529,'[1]Componentes APUs'!$A$1:$D$14,2,0)</f>
        <v>Camisa indigo sin partes metalicas</v>
      </c>
      <c r="C10529" s="71"/>
      <c r="D10529" s="50" t="str">
        <f>VLOOKUP(A10529,'[1]Componentes APUs'!$A$1:$D$14,3,0)</f>
        <v>U</v>
      </c>
      <c r="E10529" s="50">
        <f>SUM(C10509:C10514)</f>
        <v>4.75</v>
      </c>
      <c r="F10529" s="51">
        <f>VLOOKUP(A10529,'[1]Componentes APUs'!$A$1:$D$14,4,0)</f>
        <v>8585.8585858585866</v>
      </c>
      <c r="G10529" s="51">
        <f>ROUNDUP(F10529*(E10529/21)/E10497,0)</f>
        <v>3885</v>
      </c>
    </row>
    <row r="10530" spans="1:7" x14ac:dyDescent="0.25">
      <c r="A10530" s="69" t="s">
        <v>73</v>
      </c>
      <c r="B10530" s="72" t="str">
        <f>VLOOKUP(A10530,'[1]Componentes APUs'!$A$1:$D$14,2,0)</f>
        <v>Bota de seguridad dielectrica</v>
      </c>
      <c r="C10530" s="73"/>
      <c r="D10530" s="70" t="str">
        <f>VLOOKUP(A10530,'[1]Componentes APUs'!$A$1:$D$14,3,0)</f>
        <v>Par</v>
      </c>
      <c r="E10530" s="50">
        <f>SUM(C10509:C10514)</f>
        <v>4.75</v>
      </c>
      <c r="F10530" s="51">
        <f>VLOOKUP(A10530,'[1]Componentes APUs'!$A$1:$D$14,4,0)</f>
        <v>7500</v>
      </c>
      <c r="G10530" s="51">
        <f>ROUNDUP(F10530*(E10530/21)/E10497,0)</f>
        <v>3393</v>
      </c>
    </row>
    <row r="10531" spans="1:7" x14ac:dyDescent="0.25">
      <c r="A10531" s="50" t="s">
        <v>76</v>
      </c>
      <c r="B10531" s="72" t="str">
        <f>VLOOKUP(A10531,'[1]Componentes APUs'!$A$1:$D$14,2,0)</f>
        <v>Casco dielectrico Tipo 1 Clase E con barbuquejo</v>
      </c>
      <c r="C10531" s="73"/>
      <c r="D10531" s="50" t="str">
        <f>VLOOKUP(A10531,'[1]Componentes APUs'!$A$1:$D$14,3,0)</f>
        <v>U</v>
      </c>
      <c r="E10531" s="50">
        <f>C10509+C10510+C10512+C10513+C10514+IF(A10511&lt;&gt;"MO-3",C10511,0)</f>
        <v>2.75</v>
      </c>
      <c r="F10531" s="51">
        <f>VLOOKUP(A10531,'[1]Componentes APUs'!$A$1:$D$14,4,0)</f>
        <v>10101.010101010101</v>
      </c>
      <c r="G10531" s="51">
        <f>ROUNDUP(F10531*(E10531/21)/E10497,0)</f>
        <v>2646</v>
      </c>
    </row>
    <row r="10532" spans="1:7" x14ac:dyDescent="0.25">
      <c r="A10532" s="69" t="s">
        <v>77</v>
      </c>
      <c r="B10532" s="72" t="str">
        <f>VLOOKUP(A10532,'[1]Componentes APUs'!$A$1:$D$14,2,0)</f>
        <v>Correa plastica y antiflama</v>
      </c>
      <c r="C10532" s="73"/>
      <c r="D10532" s="50" t="str">
        <f>VLOOKUP(A10532,'[1]Componentes APUs'!$A$1:$D$14,3,0)</f>
        <v>U</v>
      </c>
      <c r="E10532" s="50">
        <f>SUM(C10509:C10514)</f>
        <v>4.75</v>
      </c>
      <c r="F10532" s="51">
        <f>VLOOKUP(A10532,'[1]Componentes APUs'!$A$1:$D$14,4,0)</f>
        <v>3787.878787878788</v>
      </c>
      <c r="G10532" s="51">
        <f>ROUNDUP(F10532*(E10532/21)/E10497,0)</f>
        <v>1714</v>
      </c>
    </row>
    <row r="10533" spans="1:7" x14ac:dyDescent="0.25">
      <c r="A10533" s="50" t="s">
        <v>79</v>
      </c>
      <c r="B10533" s="72" t="str">
        <f>VLOOKUP(A10533,'[1]Componentes APUs'!$A$1:$D$14,2,0)</f>
        <v>Gafas protectoras filtro UV</v>
      </c>
      <c r="C10533" s="73"/>
      <c r="D10533" s="50" t="str">
        <f>VLOOKUP(A10533,'[1]Componentes APUs'!$A$1:$D$14,3,0)</f>
        <v>U</v>
      </c>
      <c r="E10533" s="50">
        <f>SUM(C10509:C10514)</f>
        <v>4.75</v>
      </c>
      <c r="F10533" s="51">
        <f>VLOOKUP(A10533,'[1]Componentes APUs'!$A$1:$D$14,4,0)</f>
        <v>2777.7777777777778</v>
      </c>
      <c r="G10533" s="51">
        <f>ROUNDUP(F10533*(E10533/21)/E10497,0)</f>
        <v>1257</v>
      </c>
    </row>
    <row r="10534" spans="1:7" x14ac:dyDescent="0.25">
      <c r="A10534" s="69" t="s">
        <v>402</v>
      </c>
      <c r="B10534" s="72" t="str">
        <f>VLOOKUP(A10534,'[1]Componentes APUs'!$A$1:$D$14,2,0)</f>
        <v>Bota de seguridad PVC dielectrica</v>
      </c>
      <c r="C10534" s="73"/>
      <c r="D10534" s="50" t="str">
        <f>VLOOKUP(A10534,'[1]Componentes APUs'!$A$1:$D$14,3,0)</f>
        <v>Par</v>
      </c>
      <c r="E10534" s="50">
        <f>SUM(C10509:C10514)</f>
        <v>4.75</v>
      </c>
      <c r="F10534" s="51">
        <f>VLOOKUP(A10534,'[1]Componentes APUs'!$A$1:$D$14,4,0)</f>
        <v>2916.6666666666665</v>
      </c>
      <c r="G10534" s="51">
        <f>ROUNDUP(F10534*(E10534/21)/E10497,0)</f>
        <v>1320</v>
      </c>
    </row>
    <row r="10535" spans="1:7" x14ac:dyDescent="0.25">
      <c r="A10535" s="50" t="s">
        <v>403</v>
      </c>
      <c r="B10535" s="72" t="str">
        <f>VLOOKUP(A10535,'[1]Componentes APUs'!$A$1:$D$14,2,0)</f>
        <v>Capuchon</v>
      </c>
      <c r="C10535" s="73"/>
      <c r="D10535" s="50" t="str">
        <f>VLOOKUP(A10535,'[1]Componentes APUs'!$A$1:$D$14,3,0)</f>
        <v>U</v>
      </c>
      <c r="E10535" s="50">
        <f>SUM(C10509:C10514)</f>
        <v>4.75</v>
      </c>
      <c r="F10535" s="51">
        <f>VLOOKUP(A10535,'[1]Componentes APUs'!$A$1:$D$14,4,0)</f>
        <v>2525.2525252525252</v>
      </c>
      <c r="G10535" s="51">
        <f>ROUNDUP(F10535*(E10535/21)/E10497,0)</f>
        <v>1143</v>
      </c>
    </row>
    <row r="10536" spans="1:7" x14ac:dyDescent="0.25">
      <c r="A10536" s="69" t="s">
        <v>81</v>
      </c>
      <c r="B10536" s="72" t="str">
        <f>VLOOKUP(A10536,'[1]Componentes APUs'!$A$1:$D$14,2,0)</f>
        <v>Guantes Protectores  - ingeniero reforzados</v>
      </c>
      <c r="C10536" s="73"/>
      <c r="D10536" s="50" t="str">
        <f>VLOOKUP(A10536,'[1]Componentes APUs'!$A$1:$D$14,3,0)</f>
        <v>Par</v>
      </c>
      <c r="E10536" s="50">
        <f>C10511+C10512+C10514</f>
        <v>4</v>
      </c>
      <c r="F10536" s="51">
        <f>VLOOKUP(A10536,'[1]Componentes APUs'!$A$1:$D$14,4,0)</f>
        <v>2525.2525252525252</v>
      </c>
      <c r="G10536" s="51">
        <f>ROUNDUP(F10536*(E10536/21)/E10497,0)</f>
        <v>963</v>
      </c>
    </row>
    <row r="10537" spans="1:7" x14ac:dyDescent="0.25">
      <c r="A10537" s="50" t="s">
        <v>83</v>
      </c>
      <c r="B10537" s="72" t="str">
        <f>VLOOKUP(A10537,'[1]Componentes APUs'!$A$1:$D$14,2,0)</f>
        <v>Impermeable (pantalon camisa)</v>
      </c>
      <c r="C10537" s="73"/>
      <c r="D10537" s="50" t="str">
        <f>VLOOKUP(A10537,'[1]Componentes APUs'!$A$1:$D$14,3,0)</f>
        <v>U</v>
      </c>
      <c r="E10537" s="50">
        <f>SUM(C10509:C10514)</f>
        <v>4.75</v>
      </c>
      <c r="F10537" s="51">
        <f>VLOOKUP(A10537,'[1]Componentes APUs'!$A$1:$D$14,4,0)</f>
        <v>3750</v>
      </c>
      <c r="G10537" s="51">
        <f>ROUNDUP(F10537*(E10537/21)/E10497,0)</f>
        <v>1697</v>
      </c>
    </row>
    <row r="10538" spans="1:7" x14ac:dyDescent="0.25">
      <c r="A10538" s="69" t="s">
        <v>85</v>
      </c>
      <c r="B10538" s="72" t="str">
        <f>VLOOKUP(A10538,'[1]Componentes APUs'!$A$1:$D$14,2,0)</f>
        <v>Jean Dielectrico</v>
      </c>
      <c r="C10538" s="73"/>
      <c r="D10538" s="50" t="str">
        <f>VLOOKUP(A10538,'[1]Componentes APUs'!$A$1:$D$14,3,0)</f>
        <v>U</v>
      </c>
      <c r="E10538" s="50">
        <f>SUM(C10509:C10514)</f>
        <v>4.75</v>
      </c>
      <c r="F10538" s="51">
        <f>VLOOKUP(A10538,'[1]Componentes APUs'!$A$1:$D$14,4,0)</f>
        <v>7575.757575757576</v>
      </c>
      <c r="G10538" s="51">
        <f>ROUNDUP(F10538*(E10538/21)/E10497,0)</f>
        <v>3428</v>
      </c>
    </row>
    <row r="10539" spans="1:7" x14ac:dyDescent="0.25">
      <c r="A10539" s="50" t="s">
        <v>87</v>
      </c>
      <c r="B10539" s="72" t="str">
        <f>VLOOKUP(A10539,'[1]Componentes APUs'!$A$1:$D$14,2,0)</f>
        <v>Casco dielectrico Tipo 2 Clase E con barboquejo</v>
      </c>
      <c r="C10539" s="73"/>
      <c r="D10539" s="50" t="str">
        <f>VLOOKUP(A10539,'[1]Componentes APUs'!$A$1:$D$14,3,0)</f>
        <v>U</v>
      </c>
      <c r="E10539" s="53">
        <f>IF(A10511="MO-3",C10511,0)</f>
        <v>2</v>
      </c>
      <c r="F10539" s="51">
        <f>VLOOKUP(A10539,'[1]Componentes APUs'!$A$1:$D$14,4,0)</f>
        <v>7500</v>
      </c>
      <c r="G10539" s="51">
        <f>ROUNDUP(F10539*(E10539/21)/E10497,0)</f>
        <v>1429</v>
      </c>
    </row>
    <row r="10540" spans="1:7" x14ac:dyDescent="0.25">
      <c r="A10540" s="69" t="s">
        <v>89</v>
      </c>
      <c r="B10540" s="72" t="str">
        <f>VLOOKUP(A10540,'[1]Componentes APUs'!$A$1:$D$14,2,0)</f>
        <v>Kit de rescate para trabajo en alturas</v>
      </c>
      <c r="C10540" s="73"/>
      <c r="D10540" s="50" t="str">
        <f>VLOOKUP(A10540,'[1]Componentes APUs'!$A$1:$D$14,3,0)</f>
        <v>U</v>
      </c>
      <c r="E10540" s="50">
        <f>IF(AND(A10511="MO-3",C10511=2),1,0)</f>
        <v>1</v>
      </c>
      <c r="F10540" s="51">
        <f>VLOOKUP(A10540,'[1]Componentes APUs'!$A$1:$D$14,4,0)</f>
        <v>37500</v>
      </c>
      <c r="G10540" s="51">
        <f>ROUNDUP(F10540*(E10540/21)/E10497,0)</f>
        <v>3572</v>
      </c>
    </row>
    <row r="10541" spans="1:7" x14ac:dyDescent="0.25">
      <c r="A10541" s="50" t="s">
        <v>91</v>
      </c>
      <c r="B10541" s="72" t="str">
        <f>VLOOKUP(A10541,'[1]Componentes APUs'!$A$1:$D$14,2,0)</f>
        <v>Equipo completo para trabajo en alturas con pretales (Arnes dielectrico, 1 mosqueton de seguridad, tie off dielectrico, eslinga de posicionamiento, juego de pretales)</v>
      </c>
      <c r="C10541" s="73"/>
      <c r="D10541" s="50" t="str">
        <f>VLOOKUP(A10541,'[1]Componentes APUs'!$A$1:$D$14,3,0)</f>
        <v>U</v>
      </c>
      <c r="E10541" s="50">
        <f>IF(A10511="MO-3",C10511,0)</f>
        <v>2</v>
      </c>
      <c r="F10541" s="51">
        <f>VLOOKUP(A10541,'[1]Componentes APUs'!$A$1:$D$14,4,0)</f>
        <v>26041.666666666668</v>
      </c>
      <c r="G10541" s="51">
        <f>ROUNDUP(F10541*(E10541/21)/E10497,0)</f>
        <v>4961</v>
      </c>
    </row>
    <row r="10542" spans="1:7" x14ac:dyDescent="0.25">
      <c r="A10542" s="219" t="s">
        <v>95</v>
      </c>
      <c r="B10542" s="219"/>
      <c r="C10542" s="219"/>
      <c r="D10542" s="219"/>
      <c r="E10542" s="219"/>
      <c r="F10542" s="219"/>
      <c r="G10542" s="52">
        <f>SUM(G10529:G10541)</f>
        <v>31408</v>
      </c>
    </row>
    <row r="10543" spans="1:7" x14ac:dyDescent="0.25">
      <c r="A10543" s="56"/>
      <c r="B10543" s="57"/>
      <c r="C10543" s="57"/>
      <c r="D10543" s="57"/>
      <c r="E10543" s="57"/>
      <c r="F10543" s="57"/>
      <c r="G10543" s="58"/>
    </row>
    <row r="10544" spans="1:7" x14ac:dyDescent="0.25">
      <c r="A10544" s="219" t="s">
        <v>96</v>
      </c>
      <c r="B10544" s="219"/>
      <c r="C10544" s="219"/>
      <c r="D10544" s="219"/>
      <c r="E10544" s="219"/>
      <c r="F10544" s="219"/>
      <c r="G10544" s="219"/>
    </row>
    <row r="10545" spans="1:7" x14ac:dyDescent="0.25">
      <c r="A10545" s="49" t="s">
        <v>35</v>
      </c>
      <c r="B10545" s="225" t="s">
        <v>36</v>
      </c>
      <c r="C10545" s="225"/>
      <c r="D10545" s="49" t="s">
        <v>37</v>
      </c>
      <c r="E10545" s="49" t="s">
        <v>38</v>
      </c>
      <c r="F10545" s="49" t="s">
        <v>39</v>
      </c>
      <c r="G10545" s="49" t="s">
        <v>40</v>
      </c>
    </row>
    <row r="10546" spans="1:7" x14ac:dyDescent="0.25">
      <c r="A10546" s="69" t="s">
        <v>97</v>
      </c>
      <c r="B10546" s="72" t="str">
        <f>VLOOKUP(A10546,'[1]Componentes APUs'!$N$1:$Q$30,2,0)</f>
        <v>Camioneta</v>
      </c>
      <c r="C10546" s="73"/>
      <c r="D10546" s="70" t="str">
        <f>VLOOKUP(A10546,'[1]Componentes APUs'!$N$1:$Q$30,3,0)</f>
        <v>U</v>
      </c>
      <c r="E10546" s="50">
        <v>1</v>
      </c>
      <c r="F10546" s="51">
        <f>VLOOKUP(A10546,'[1]Componentes APUs'!$N$1:$Q$30,4,0)</f>
        <v>5500000</v>
      </c>
      <c r="G10546" s="51">
        <f>IFERROR(ROUNDUP(F10546*(E10546/21)/E10497,0),"-")</f>
        <v>523810</v>
      </c>
    </row>
    <row r="10547" spans="1:7" x14ac:dyDescent="0.25">
      <c r="A10547" s="50" t="s">
        <v>321</v>
      </c>
      <c r="B10547" s="72" t="str">
        <f>VLOOKUP(A10547,'[1]Componentes APUs'!$N$1:$Q$30,2,0)</f>
        <v>Grúa Hidráulica</v>
      </c>
      <c r="C10547" s="73"/>
      <c r="D10547" s="70" t="str">
        <f>VLOOKUP(A10547,'[1]Componentes APUs'!$N$1:$Q$30,3,0)</f>
        <v>U</v>
      </c>
      <c r="E10547" s="50">
        <v>0</v>
      </c>
      <c r="F10547" s="51">
        <f>VLOOKUP(A10547,'[1]Componentes APUs'!$N$1:$Q$30,4,0)</f>
        <v>21000000</v>
      </c>
      <c r="G10547" s="51">
        <f>IFERROR(ROUNDUP(F10547*(E10547/21)/E10497,0),"-")</f>
        <v>0</v>
      </c>
    </row>
    <row r="10548" spans="1:7" x14ac:dyDescent="0.25">
      <c r="A10548" s="69" t="s">
        <v>322</v>
      </c>
      <c r="B10548" s="72" t="str">
        <f>VLOOKUP(A10548,'[1]Componentes APUs'!$N$1:$Q$30,2,0)</f>
        <v>Camabaja</v>
      </c>
      <c r="C10548" s="73"/>
      <c r="D10548" s="70" t="str">
        <f>VLOOKUP(A10548,'[1]Componentes APUs'!$N$1:$Q$30,3,0)</f>
        <v>TON/KM</v>
      </c>
      <c r="E10548" s="50">
        <v>0</v>
      </c>
      <c r="F10548" s="51">
        <f>VLOOKUP(A10548,'[1]Componentes APUs'!$N$1:$Q$30,4,0)</f>
        <v>611</v>
      </c>
      <c r="G10548" s="51">
        <f>IFERROR(ROUNDUP(F10548*(E10548/21)/E10497,0),"-")</f>
        <v>0</v>
      </c>
    </row>
    <row r="10549" spans="1:7" x14ac:dyDescent="0.25">
      <c r="A10549" s="50" t="s">
        <v>323</v>
      </c>
      <c r="B10549" s="72" t="str">
        <f>VLOOKUP(A10549,'[1]Componentes APUs'!$N$1:$Q$30,2,0)</f>
        <v>Volqueta</v>
      </c>
      <c r="C10549" s="73"/>
      <c r="D10549" s="70" t="str">
        <f>VLOOKUP(A10549,'[1]Componentes APUs'!$N$1:$Q$30,3,0)</f>
        <v>U</v>
      </c>
      <c r="E10549" s="50">
        <v>0</v>
      </c>
      <c r="F10549" s="51">
        <f>VLOOKUP(A10549,'[1]Componentes APUs'!$N$1:$Q$30,4,0)</f>
        <v>18900000</v>
      </c>
      <c r="G10549" s="51">
        <f>IFERROR(ROUNDUP(F10549*(E10549/21)/E10497,0),"-")</f>
        <v>0</v>
      </c>
    </row>
    <row r="10550" spans="1:7" x14ac:dyDescent="0.25">
      <c r="A10550" s="69" t="s">
        <v>324</v>
      </c>
      <c r="B10550" s="72" t="str">
        <f>VLOOKUP(A10550,'[1]Componentes APUs'!$N$1:$Q$30,2,0)</f>
        <v>Retroexcavadora</v>
      </c>
      <c r="C10550" s="73"/>
      <c r="D10550" s="70" t="str">
        <f>VLOOKUP(A10550,'[1]Componentes APUs'!$N$1:$Q$30,3,0)</f>
        <v>U</v>
      </c>
      <c r="E10550" s="50">
        <v>0</v>
      </c>
      <c r="F10550" s="51">
        <f>VLOOKUP(A10550,'[1]Componentes APUs'!$N$1:$Q$30,4,0)</f>
        <v>1494459.54</v>
      </c>
      <c r="G10550" s="51">
        <f>IFERROR(ROUNDUP(F10550*(E10550/21)/E10497,0),"-")</f>
        <v>0</v>
      </c>
    </row>
    <row r="10551" spans="1:7" x14ac:dyDescent="0.25">
      <c r="A10551" s="219" t="s">
        <v>99</v>
      </c>
      <c r="B10551" s="219"/>
      <c r="C10551" s="219"/>
      <c r="D10551" s="219"/>
      <c r="E10551" s="219"/>
      <c r="F10551" s="219"/>
      <c r="G10551" s="52">
        <f>SUM(G10546:G10550)</f>
        <v>523810</v>
      </c>
    </row>
    <row r="10552" spans="1:7" x14ac:dyDescent="0.25">
      <c r="A10552" s="56"/>
      <c r="B10552" s="57"/>
      <c r="C10552" s="57"/>
      <c r="D10552" s="57"/>
      <c r="E10552" s="57"/>
      <c r="F10552" s="57"/>
      <c r="G10552" s="58"/>
    </row>
    <row r="10553" spans="1:7" x14ac:dyDescent="0.25">
      <c r="A10553" s="219" t="s">
        <v>1516</v>
      </c>
      <c r="B10553" s="219"/>
      <c r="C10553" s="219"/>
      <c r="D10553" s="219"/>
      <c r="E10553" s="219"/>
      <c r="F10553" s="219"/>
      <c r="G10553" s="52">
        <f>G10551+G10542+G10525+G10515+G10505</f>
        <v>9452335.8000000007</v>
      </c>
    </row>
    <row r="10554" spans="1:7" x14ac:dyDescent="0.25">
      <c r="A10554" s="59"/>
      <c r="B10554" s="60"/>
      <c r="C10554" s="60"/>
      <c r="D10554" s="60"/>
      <c r="E10554" s="57"/>
      <c r="F10554" s="57"/>
      <c r="G10554" s="58"/>
    </row>
    <row r="10555" spans="1:7" x14ac:dyDescent="0.25">
      <c r="A10555" s="64"/>
      <c r="D10555" s="55"/>
      <c r="E10555" s="49" t="s">
        <v>25</v>
      </c>
      <c r="F10555" s="54">
        <v>0.15</v>
      </c>
      <c r="G10555" s="51">
        <f>G10553*F10555</f>
        <v>1417850.37</v>
      </c>
    </row>
    <row r="10556" spans="1:7" x14ac:dyDescent="0.25">
      <c r="A10556" s="64"/>
      <c r="D10556" s="55"/>
      <c r="E10556" s="49" t="s">
        <v>26</v>
      </c>
      <c r="F10556" s="54">
        <v>0.05</v>
      </c>
      <c r="G10556" s="51">
        <f>G10553*F10556</f>
        <v>472616.79000000004</v>
      </c>
    </row>
    <row r="10557" spans="1:7" x14ac:dyDescent="0.25">
      <c r="A10557" s="61"/>
      <c r="B10557" s="65"/>
      <c r="C10557" s="65"/>
      <c r="D10557" s="62"/>
      <c r="E10557" s="49" t="s">
        <v>27</v>
      </c>
      <c r="F10557" s="54">
        <v>0.05</v>
      </c>
      <c r="G10557" s="51">
        <f>G10553*F10557</f>
        <v>472616.79000000004</v>
      </c>
    </row>
    <row r="10558" spans="1:7" x14ac:dyDescent="0.25">
      <c r="A10558" s="61"/>
      <c r="B10558" s="62"/>
      <c r="C10558" s="62"/>
      <c r="D10558" s="62"/>
      <c r="E10558" s="62"/>
      <c r="F10558" s="62"/>
      <c r="G10558" s="63"/>
    </row>
    <row r="10559" spans="1:7" x14ac:dyDescent="0.25">
      <c r="A10559" s="219" t="s">
        <v>1517</v>
      </c>
      <c r="B10559" s="219"/>
      <c r="C10559" s="219"/>
      <c r="D10559" s="219"/>
      <c r="E10559" s="219"/>
      <c r="F10559" s="219"/>
      <c r="G10559" s="52">
        <f>G10553+G10555+G10556+G10557</f>
        <v>11815419.75</v>
      </c>
    </row>
    <row r="10560" spans="1:7" x14ac:dyDescent="0.25">
      <c r="A10560" s="59"/>
      <c r="B10560" s="60"/>
      <c r="C10560" s="60"/>
      <c r="D10560" s="60"/>
      <c r="E10560" s="57"/>
      <c r="F10560" s="57"/>
      <c r="G10560" s="58"/>
    </row>
    <row r="10561" spans="1:7" x14ac:dyDescent="0.25">
      <c r="A10561" s="64"/>
      <c r="D10561" s="55"/>
      <c r="E10561" s="49" t="s">
        <v>102</v>
      </c>
      <c r="F10561" s="49" t="s">
        <v>103</v>
      </c>
      <c r="G10561" s="51">
        <f>G10557*19%</f>
        <v>89797.190100000007</v>
      </c>
    </row>
    <row r="10562" spans="1:7" x14ac:dyDescent="0.25">
      <c r="A10562" s="61"/>
      <c r="B10562" s="62"/>
      <c r="C10562" s="62"/>
      <c r="D10562" s="62"/>
      <c r="E10562" s="57"/>
      <c r="F10562" s="57"/>
      <c r="G10562" s="58"/>
    </row>
    <row r="10563" spans="1:7" x14ac:dyDescent="0.25">
      <c r="A10563" s="219" t="s">
        <v>104</v>
      </c>
      <c r="B10563" s="219"/>
      <c r="C10563" s="219"/>
      <c r="D10563" s="219"/>
      <c r="E10563" s="219"/>
      <c r="F10563" s="219"/>
      <c r="G10563" s="52">
        <f>G10561+G10559</f>
        <v>11905216.940099999</v>
      </c>
    </row>
    <row r="10565" spans="1:7" x14ac:dyDescent="0.25">
      <c r="A10565" s="74" t="s">
        <v>29</v>
      </c>
      <c r="B10565" s="226" t="s">
        <v>30</v>
      </c>
      <c r="C10565" s="226"/>
      <c r="D10565" s="74" t="s">
        <v>31</v>
      </c>
      <c r="E10565" s="74" t="s">
        <v>32</v>
      </c>
      <c r="F10565" s="74" t="s">
        <v>189</v>
      </c>
      <c r="G10565" s="74" t="s">
        <v>33</v>
      </c>
    </row>
    <row r="10566" spans="1:7" x14ac:dyDescent="0.25">
      <c r="A10566" s="50" t="str">
        <f>Presupuesto!B193</f>
        <v>005_N3</v>
      </c>
      <c r="B10566" s="220" t="str">
        <f>Presupuesto!C193</f>
        <v>SUMINISTRO E INSTALACIÓN DE HERRAJES PARA BAY-PASS N3</v>
      </c>
      <c r="C10566" s="220"/>
      <c r="D10566" s="50" t="s">
        <v>18</v>
      </c>
      <c r="E10566" s="93">
        <v>0.5</v>
      </c>
      <c r="F10566" s="50"/>
      <c r="G10566" s="51">
        <f>G10635</f>
        <v>8931314.7604999989</v>
      </c>
    </row>
    <row r="10567" spans="1:7" x14ac:dyDescent="0.25">
      <c r="A10567" s="219" t="s">
        <v>34</v>
      </c>
      <c r="B10567" s="219"/>
      <c r="C10567" s="219"/>
      <c r="D10567" s="219"/>
      <c r="E10567" s="219"/>
      <c r="F10567" s="219"/>
      <c r="G10567" s="219"/>
    </row>
    <row r="10568" spans="1:7" x14ac:dyDescent="0.25">
      <c r="A10568" s="49" t="s">
        <v>35</v>
      </c>
      <c r="B10568" s="219" t="s">
        <v>36</v>
      </c>
      <c r="C10568" s="219"/>
      <c r="D10568" s="49" t="s">
        <v>37</v>
      </c>
      <c r="E10568" s="49" t="s">
        <v>38</v>
      </c>
      <c r="F10568" s="49" t="s">
        <v>39</v>
      </c>
      <c r="G10568" s="49" t="s">
        <v>40</v>
      </c>
    </row>
    <row r="10569" spans="1:7" ht="27" customHeight="1" x14ac:dyDescent="0.25">
      <c r="A10569" s="17" t="str">
        <f>Material!A11</f>
        <v>MA-10</v>
      </c>
      <c r="B10569" s="221" t="str">
        <f>IFERROR(VLOOKUP(A10569,Material!$A:$J,2,0),"-")</f>
        <v>GRAPA DE OPERAR EN CALIENTE CONDUCTOR AWG-MCM 6 - 400 DIÁMETRO 4 - 13,5 MM</v>
      </c>
      <c r="C10569" s="222"/>
      <c r="D10569" s="50" t="str">
        <f>IFERROR(VLOOKUP(A10569,Material!$A:$J,4,0),"-")</f>
        <v>UN</v>
      </c>
      <c r="E10569" s="50">
        <f>6</f>
        <v>6</v>
      </c>
      <c r="F10569" s="51">
        <f>IFERROR(VLOOKUP(A10569,Material!$A:$J,3,0),"-")</f>
        <v>37155.300000000003</v>
      </c>
      <c r="G10569" s="51">
        <f>IFERROR(ROUNDUP(F10569*E10569,0),"-")</f>
        <v>222932</v>
      </c>
    </row>
    <row r="10570" spans="1:7" x14ac:dyDescent="0.25">
      <c r="A10570" s="17" t="str">
        <f>Material!A12</f>
        <v>MA-11</v>
      </c>
      <c r="B10570" s="72" t="str">
        <f>IFERROR(VLOOKUP(A10570,Material!$A:$J,2,0),"-")</f>
        <v>TUERCA DE OJO ALARGADO PARA PERNO 16 MM</v>
      </c>
      <c r="C10570" s="73"/>
      <c r="D10570" s="50" t="str">
        <f>IFERROR(VLOOKUP(A10570,Material!$A:$J,4,0),"-")</f>
        <v>UN</v>
      </c>
      <c r="E10570" s="50">
        <f>6+6</f>
        <v>12</v>
      </c>
      <c r="F10570" s="51">
        <f>IFERROR(VLOOKUP(A10570,Material!$A:$J,3,0),"-")</f>
        <v>18200</v>
      </c>
      <c r="G10570" s="51">
        <f>IFERROR(ROUNDUP(F10570*E10570,0),"-")</f>
        <v>218400</v>
      </c>
    </row>
    <row r="10571" spans="1:7" x14ac:dyDescent="0.25">
      <c r="A10571" s="17" t="str">
        <f>Material!A2</f>
        <v>MA-01</v>
      </c>
      <c r="B10571" s="72" t="str">
        <f>IFERROR(VLOOKUP(A10571,Material!$A:$J,2,0),"-")</f>
        <v>GRAPA DE RETENCIÓN TIPO PISTOLA DE 6-4/0 DE 3 UES EN ALUMINIO</v>
      </c>
      <c r="C10571" s="73"/>
      <c r="D10571" s="50" t="str">
        <f>IFERROR(VLOOKUP(A10571,Material!$A:$J,4,0),"-")</f>
        <v>UN</v>
      </c>
      <c r="E10571" s="50">
        <f>6+6</f>
        <v>12</v>
      </c>
      <c r="F10571" s="51">
        <f>IFERROR(VLOOKUP(A10571,Material!$A:$J,3,0),"-")</f>
        <v>104000</v>
      </c>
      <c r="G10571" s="51">
        <f>IFERROR(ROUNDUP(F10571*E10571,0),"-")</f>
        <v>1248000</v>
      </c>
    </row>
    <row r="10572" spans="1:7" x14ac:dyDescent="0.25">
      <c r="A10572" s="17" t="str">
        <f>Material!A3</f>
        <v>MA-02</v>
      </c>
      <c r="B10572" s="72" t="str">
        <f>IFERROR(VLOOKUP(A10572,Material!$A:$J,2,0),"-")</f>
        <v xml:space="preserve">AISLADOR TIPO DISCO DE HORQUILLA. DIAMETRO 254 MM 34.5 KV ANSI 52-4 </v>
      </c>
      <c r="C10572" s="73"/>
      <c r="D10572" s="50" t="str">
        <f>IFERROR(VLOOKUP(A10572,Material!$A:$J,4,0),"-")</f>
        <v>UN</v>
      </c>
      <c r="E10572" s="50">
        <f>4*3+12</f>
        <v>24</v>
      </c>
      <c r="F10572" s="51">
        <f>IFERROR(VLOOKUP(A10572,Material!$A:$J,3,0),"-")</f>
        <v>107835</v>
      </c>
      <c r="G10572" s="51">
        <f>IFERROR(ROUNDUP(F10572*E10572,0),"-")</f>
        <v>2588040</v>
      </c>
    </row>
    <row r="10573" spans="1:7" ht="27" customHeight="1" x14ac:dyDescent="0.25">
      <c r="A10573" s="142" t="str">
        <f>Material!A10</f>
        <v>MA-09</v>
      </c>
      <c r="B10573" s="221" t="str">
        <f>IFERROR(VLOOKUP(A10573,Material!$A:$J,2,0),"-")</f>
        <v>ESPARRAGO DE HIERRO GALVANIZADO ROSCADO EN TODA SU LONGITUD, 4 TUERCAS. DIAMETRO 16 MM LONGITUD 458  MM</v>
      </c>
      <c r="C10573" s="222"/>
      <c r="D10573" s="50" t="str">
        <f>IFERROR(VLOOKUP(A10573,Material!$A:$J,4,0),"-")</f>
        <v>UN</v>
      </c>
      <c r="E10573" s="50">
        <f>3</f>
        <v>3</v>
      </c>
      <c r="F10573" s="51">
        <f>IFERROR(VLOOKUP(A10573,Material!$A:$J,3,0),"-")</f>
        <v>10920</v>
      </c>
      <c r="G10573" s="51">
        <f>IFERROR(ROUNDUP(F10573*E10573,0),"-")</f>
        <v>32760</v>
      </c>
    </row>
    <row r="10574" spans="1:7" x14ac:dyDescent="0.25">
      <c r="A10574" s="17"/>
      <c r="B10574" s="72"/>
      <c r="C10574" s="73"/>
      <c r="D10574" s="50"/>
      <c r="E10574" s="50"/>
      <c r="F10574" s="51"/>
      <c r="G10574" s="51"/>
    </row>
    <row r="10575" spans="1:7" x14ac:dyDescent="0.25">
      <c r="A10575" s="17"/>
      <c r="B10575" s="72"/>
      <c r="C10575" s="73"/>
      <c r="D10575" s="50"/>
      <c r="E10575" s="50"/>
      <c r="F10575" s="51"/>
      <c r="G10575" s="51"/>
    </row>
    <row r="10576" spans="1:7" x14ac:dyDescent="0.25">
      <c r="A10576" s="17"/>
      <c r="B10576" s="72"/>
      <c r="C10576" s="73"/>
      <c r="D10576" s="50"/>
      <c r="E10576" s="50"/>
      <c r="F10576" s="51"/>
      <c r="G10576" s="51"/>
    </row>
    <row r="10577" spans="1:7" x14ac:dyDescent="0.25">
      <c r="A10577" s="219" t="s">
        <v>41</v>
      </c>
      <c r="B10577" s="219"/>
      <c r="C10577" s="219"/>
      <c r="D10577" s="219"/>
      <c r="E10577" s="219"/>
      <c r="F10577" s="219"/>
      <c r="G10577" s="52">
        <f>SUM(G10569:G10576)</f>
        <v>4310132</v>
      </c>
    </row>
    <row r="10578" spans="1:7" x14ac:dyDescent="0.25">
      <c r="A10578" s="56"/>
      <c r="B10578" s="57"/>
      <c r="C10578" s="57"/>
      <c r="D10578" s="57"/>
      <c r="E10578" s="57"/>
      <c r="F10578" s="57"/>
      <c r="G10578" s="58"/>
    </row>
    <row r="10579" spans="1:7" x14ac:dyDescent="0.25">
      <c r="A10579" s="219" t="s">
        <v>42</v>
      </c>
      <c r="B10579" s="219"/>
      <c r="C10579" s="219"/>
      <c r="D10579" s="219"/>
      <c r="E10579" s="219"/>
      <c r="F10579" s="219"/>
      <c r="G10579" s="219"/>
    </row>
    <row r="10580" spans="1:7" x14ac:dyDescent="0.25">
      <c r="A10580" s="49" t="s">
        <v>35</v>
      </c>
      <c r="B10580" s="49" t="s">
        <v>36</v>
      </c>
      <c r="C10580" s="49" t="s">
        <v>38</v>
      </c>
      <c r="D10580" s="49" t="s">
        <v>43</v>
      </c>
      <c r="E10580" s="49" t="s">
        <v>44</v>
      </c>
      <c r="F10580" s="49" t="s">
        <v>45</v>
      </c>
      <c r="G10580" s="49" t="s">
        <v>40</v>
      </c>
    </row>
    <row r="10581" spans="1:7" x14ac:dyDescent="0.25">
      <c r="A10581" s="50" t="s">
        <v>319</v>
      </c>
      <c r="B10581" s="68" t="str">
        <f>VLOOKUP(A10581,'[1]Componentes APUs'!$H$1:$L$25,2,0)</f>
        <v>Ingeniero Residente de Obra</v>
      </c>
      <c r="C10581" s="93">
        <v>0.25</v>
      </c>
      <c r="D10581" s="50">
        <f>VLOOKUP(A10581,'[1]Componentes APUs'!$H$1:$L$25,3,0)</f>
        <v>4</v>
      </c>
      <c r="E10581" s="51">
        <f>VLOOKUP(A10581,'[1]Componentes APUs'!$H$1:$L$25,4,0)</f>
        <v>271142.85714285716</v>
      </c>
      <c r="F10581" s="51">
        <f>VLOOKUP(A10581,'[1]Componentes APUs'!$H$1:$L$25,5,0)</f>
        <v>162685.71428571429</v>
      </c>
      <c r="G10581" s="51">
        <f>ROUNDUP((E10581+F10581)*C10581/E10566,0)</f>
        <v>216915</v>
      </c>
    </row>
    <row r="10582" spans="1:7" x14ac:dyDescent="0.25">
      <c r="A10582" s="50" t="s">
        <v>320</v>
      </c>
      <c r="B10582" s="68" t="str">
        <f>VLOOKUP(A10582,'[1]Componentes APUs'!$H$1:$L$25,2,0)</f>
        <v>Tecnico Supervisor</v>
      </c>
      <c r="C10582" s="93">
        <v>0.25</v>
      </c>
      <c r="D10582" s="50">
        <f>VLOOKUP(A10582,'[1]Componentes APUs'!$H$1:$L$25,3,0)</f>
        <v>2.2999999999999998</v>
      </c>
      <c r="E10582" s="51">
        <f>VLOOKUP(A10582,'[1]Componentes APUs'!$H$1:$L$25,4,0)</f>
        <v>155907.14285714284</v>
      </c>
      <c r="F10582" s="51">
        <f>VLOOKUP(A10582,'[1]Componentes APUs'!$H$1:$L$25,5,0)</f>
        <v>93544.285714285696</v>
      </c>
      <c r="G10582" s="51">
        <f>ROUNDUP((E10582+F10582)*C10582/E10566,0)</f>
        <v>124726</v>
      </c>
    </row>
    <row r="10583" spans="1:7" x14ac:dyDescent="0.25">
      <c r="A10583" s="50" t="s">
        <v>46</v>
      </c>
      <c r="B10583" s="68" t="str">
        <f>VLOOKUP(A10583,'[1]Componentes APUs'!$H$1:$L$25,2,0)</f>
        <v>Tecnico Liniero</v>
      </c>
      <c r="C10583" s="93">
        <v>2</v>
      </c>
      <c r="D10583" s="50">
        <f>VLOOKUP(A10583,'[1]Componentes APUs'!$H$1:$L$25,3,0)</f>
        <v>2</v>
      </c>
      <c r="E10583" s="51">
        <f>VLOOKUP(A10583,'[1]Componentes APUs'!$H$1:$L$25,4,0)</f>
        <v>154619.04761904763</v>
      </c>
      <c r="F10583" s="51">
        <f>VLOOKUP(A10583,'[1]Componentes APUs'!$H$1:$L$25,5,0)</f>
        <v>92771.42857142858</v>
      </c>
      <c r="G10583" s="51">
        <f>ROUNDUP((E10583+F10583)*C10583/E10566,0)</f>
        <v>989562</v>
      </c>
    </row>
    <row r="10584" spans="1:7" x14ac:dyDescent="0.25">
      <c r="A10584" s="50" t="s">
        <v>48</v>
      </c>
      <c r="B10584" s="68" t="str">
        <f>VLOOKUP(A10584,'[1]Componentes APUs'!$H$1:$L$25,2,0)</f>
        <v>Ayudante Calificado</v>
      </c>
      <c r="C10584" s="93">
        <v>2</v>
      </c>
      <c r="D10584" s="50">
        <f>VLOOKUP(A10584,'[1]Componentes APUs'!$H$1:$L$25,3,0)</f>
        <v>1.5</v>
      </c>
      <c r="E10584" s="51">
        <f>VLOOKUP(A10584,'[1]Componentes APUs'!$H$1:$L$25,4,0)</f>
        <v>115964.28571428571</v>
      </c>
      <c r="F10584" s="51">
        <f>VLOOKUP(A10584,'[1]Componentes APUs'!$H$1:$L$25,5,0)</f>
        <v>69578.57142857142</v>
      </c>
      <c r="G10584" s="51">
        <f>ROUNDUP((E10584+F10584)*C10584/E10566,0)</f>
        <v>742172</v>
      </c>
    </row>
    <row r="10585" spans="1:7" x14ac:dyDescent="0.25">
      <c r="A10585" s="50" t="s">
        <v>50</v>
      </c>
      <c r="B10585" s="68" t="str">
        <f>VLOOKUP(A10585,'[1]Componentes APUs'!$H$1:$L$25,2,0)</f>
        <v>Profesional en SST</v>
      </c>
      <c r="C10585" s="93">
        <v>0.25</v>
      </c>
      <c r="D10585" s="50">
        <f>VLOOKUP(A10585,'[1]Componentes APUs'!$H$1:$L$25,3,0)</f>
        <v>2.5</v>
      </c>
      <c r="E10585" s="51">
        <f>VLOOKUP(A10585,'[1]Componentes APUs'!$H$1:$L$25,4,0)</f>
        <v>169464.28571428571</v>
      </c>
      <c r="F10585" s="51">
        <f>VLOOKUP(A10585,'[1]Componentes APUs'!$H$1:$L$25,5,0)</f>
        <v>101678.57142857142</v>
      </c>
      <c r="G10585" s="51">
        <f>ROUNDUP((E10585+F10585)*C10585/E10566,0)</f>
        <v>135572</v>
      </c>
    </row>
    <row r="10586" spans="1:7" x14ac:dyDescent="0.25">
      <c r="A10586" s="50" t="s">
        <v>52</v>
      </c>
      <c r="B10586" s="68" t="str">
        <f>VLOOKUP(A10586,'[1]Componentes APUs'!$H$1:$L$25,2,0)</f>
        <v>Ayudante No Calificado</v>
      </c>
      <c r="C10586" s="93">
        <v>0</v>
      </c>
      <c r="D10586" s="50">
        <f>VLOOKUP(A10586,'[1]Componentes APUs'!$H$1:$L$25,3,0)</f>
        <v>1</v>
      </c>
      <c r="E10586" s="51">
        <f>VLOOKUP(A10586,'[1]Componentes APUs'!$H$1:$L$25,4,0)</f>
        <v>77309.523809523816</v>
      </c>
      <c r="F10586" s="51">
        <f>VLOOKUP(A10586,'[1]Componentes APUs'!$H$1:$L$25,5,0)</f>
        <v>46385.71428571429</v>
      </c>
      <c r="G10586" s="51">
        <f>ROUNDUP((E10586+F10586)*C10586/E10566,0)</f>
        <v>0</v>
      </c>
    </row>
    <row r="10587" spans="1:7" x14ac:dyDescent="0.25">
      <c r="A10587" s="219" t="s">
        <v>56</v>
      </c>
      <c r="B10587" s="219"/>
      <c r="C10587" s="219"/>
      <c r="D10587" s="219"/>
      <c r="E10587" s="219"/>
      <c r="F10587" s="219"/>
      <c r="G10587" s="52">
        <f>SUM(G10581:G10586)</f>
        <v>2208947</v>
      </c>
    </row>
    <row r="10588" spans="1:7" x14ac:dyDescent="0.25">
      <c r="A10588" s="56"/>
      <c r="B10588" s="57"/>
      <c r="C10588" s="57"/>
      <c r="D10588" s="57"/>
      <c r="E10588" s="57"/>
      <c r="F10588" s="57"/>
      <c r="G10588" s="58"/>
    </row>
    <row r="10589" spans="1:7" x14ac:dyDescent="0.25">
      <c r="A10589" s="219" t="s">
        <v>57</v>
      </c>
      <c r="B10589" s="219"/>
      <c r="C10589" s="219"/>
      <c r="D10589" s="219"/>
      <c r="E10589" s="219"/>
      <c r="F10589" s="219"/>
      <c r="G10589" s="219"/>
    </row>
    <row r="10590" spans="1:7" x14ac:dyDescent="0.25">
      <c r="A10590" s="49" t="s">
        <v>35</v>
      </c>
      <c r="B10590" s="219" t="s">
        <v>36</v>
      </c>
      <c r="C10590" s="219"/>
      <c r="D10590" s="49" t="s">
        <v>37</v>
      </c>
      <c r="E10590" s="49" t="s">
        <v>38</v>
      </c>
      <c r="F10590" s="49" t="s">
        <v>39</v>
      </c>
      <c r="G10590" s="49" t="s">
        <v>40</v>
      </c>
    </row>
    <row r="10591" spans="1:7" x14ac:dyDescent="0.25">
      <c r="A10591" s="50" t="s">
        <v>326</v>
      </c>
      <c r="B10591" s="220" t="str">
        <f>VLOOKUP(A10591,'[1]Componentes APUs'!$S$1:$V$10,2,0)</f>
        <v>Juego Llaves</v>
      </c>
      <c r="C10591" s="220"/>
      <c r="D10591" s="50" t="s">
        <v>18</v>
      </c>
      <c r="E10591" s="50">
        <v>2</v>
      </c>
      <c r="F10591" s="51">
        <f>VLOOKUP(A10591,'[1]Componentes APUs'!$S$1:$V$10,4,0)</f>
        <v>9167</v>
      </c>
      <c r="G10591" s="51">
        <f>ROUNDUP(F10591*((E10591/21)/E10566),0)</f>
        <v>1747</v>
      </c>
    </row>
    <row r="10592" spans="1:7" x14ac:dyDescent="0.25">
      <c r="A10592" s="50" t="s">
        <v>58</v>
      </c>
      <c r="B10592" s="220" t="str">
        <f>VLOOKUP(A10592,'[1]Componentes APUs'!$S$1:$V$10,2,0)</f>
        <v>Manila de servicio</v>
      </c>
      <c r="C10592" s="220"/>
      <c r="D10592" s="50" t="s">
        <v>18</v>
      </c>
      <c r="E10592" s="50">
        <v>2</v>
      </c>
      <c r="F10592" s="51">
        <f>VLOOKUP(A10592,'[1]Componentes APUs'!$S$1:$V$10,4,0)</f>
        <v>2333</v>
      </c>
      <c r="G10592" s="51">
        <f>ROUNDUP(F10592*((E10592/21)/E10566),0)</f>
        <v>445</v>
      </c>
    </row>
    <row r="10593" spans="1:7" x14ac:dyDescent="0.25">
      <c r="A10593" s="50" t="s">
        <v>327</v>
      </c>
      <c r="B10593" s="220" t="str">
        <f>VLOOKUP(A10593,'[1]Componentes APUs'!$S$1:$V$10,2,0)</f>
        <v>Tula portaherramientas</v>
      </c>
      <c r="C10593" s="220"/>
      <c r="D10593" s="50" t="s">
        <v>18</v>
      </c>
      <c r="E10593" s="50">
        <v>2</v>
      </c>
      <c r="F10593" s="51">
        <f>VLOOKUP(A10593,'[1]Componentes APUs'!$S$1:$V$10,4,0)</f>
        <v>1250</v>
      </c>
      <c r="G10593" s="51">
        <f>ROUNDUP(F10593*((E10593/21)/E10566),0)</f>
        <v>239</v>
      </c>
    </row>
    <row r="10594" spans="1:7" x14ac:dyDescent="0.25">
      <c r="A10594" s="50" t="s">
        <v>60</v>
      </c>
      <c r="B10594" s="220" t="str">
        <f>VLOOKUP(A10594,'[1]Componentes APUs'!$S$1:$V$10,2,0)</f>
        <v>Agarradoras</v>
      </c>
      <c r="C10594" s="220"/>
      <c r="D10594" s="50" t="s">
        <v>18</v>
      </c>
      <c r="E10594" s="50">
        <v>0</v>
      </c>
      <c r="F10594" s="51">
        <f>VLOOKUP(A10594,'[1]Componentes APUs'!$S$1:$V$10,4,0)</f>
        <v>125000</v>
      </c>
      <c r="G10594" s="51">
        <f>ROUNDUP(F10594*((E10594/21)/E10566),0)</f>
        <v>0</v>
      </c>
    </row>
    <row r="10595" spans="1:7" x14ac:dyDescent="0.25">
      <c r="A10595" s="50" t="s">
        <v>62</v>
      </c>
      <c r="B10595" s="220" t="str">
        <f>VLOOKUP(A10595,'[1]Componentes APUs'!$S$1:$V$10,2,0)</f>
        <v>Templadoras</v>
      </c>
      <c r="C10595" s="220"/>
      <c r="D10595" s="50" t="s">
        <v>18</v>
      </c>
      <c r="E10595" s="50">
        <v>0</v>
      </c>
      <c r="F10595" s="51">
        <f>VLOOKUP(A10595,'[1]Componentes APUs'!$S$1:$V$10,4,0)</f>
        <v>250000</v>
      </c>
      <c r="G10595" s="51">
        <f>ROUNDUP(F10595*((E10595/21)/E10566),0)</f>
        <v>0</v>
      </c>
    </row>
    <row r="10596" spans="1:7" x14ac:dyDescent="0.25">
      <c r="A10596" s="50" t="s">
        <v>328</v>
      </c>
      <c r="B10596" s="220" t="str">
        <f>VLOOKUP(A10596,'[1]Componentes APUs'!$S$1:$V$10,2,0)</f>
        <v>Herramienta Menor</v>
      </c>
      <c r="C10596" s="220"/>
      <c r="D10596" s="50" t="s">
        <v>18</v>
      </c>
      <c r="E10596" s="50">
        <v>2</v>
      </c>
      <c r="F10596" s="51">
        <f>VLOOKUP(A10596,'[1]Componentes APUs'!$S$1:$V$10,4,0)</f>
        <v>75758</v>
      </c>
      <c r="G10596" s="51">
        <f>ROUNDUP(F10596*((E10596/21)/E10566),0)</f>
        <v>14431</v>
      </c>
    </row>
    <row r="10597" spans="1:7" x14ac:dyDescent="0.25">
      <c r="A10597" s="219" t="s">
        <v>69</v>
      </c>
      <c r="B10597" s="219"/>
      <c r="C10597" s="219"/>
      <c r="D10597" s="219"/>
      <c r="E10597" s="219"/>
      <c r="F10597" s="219"/>
      <c r="G10597" s="52">
        <f>SUM(G10591:G10596)</f>
        <v>16862</v>
      </c>
    </row>
    <row r="10598" spans="1:7" x14ac:dyDescent="0.25">
      <c r="A10598" s="56"/>
      <c r="B10598" s="57"/>
      <c r="C10598" s="57"/>
      <c r="D10598" s="57"/>
      <c r="E10598" s="57"/>
      <c r="F10598" s="57"/>
      <c r="G10598" s="58"/>
    </row>
    <row r="10599" spans="1:7" x14ac:dyDescent="0.25">
      <c r="A10599" s="219" t="s">
        <v>70</v>
      </c>
      <c r="B10599" s="219"/>
      <c r="C10599" s="219"/>
      <c r="D10599" s="219"/>
      <c r="E10599" s="219"/>
      <c r="F10599" s="219"/>
      <c r="G10599" s="219"/>
    </row>
    <row r="10600" spans="1:7" x14ac:dyDescent="0.25">
      <c r="A10600" s="49" t="s">
        <v>35</v>
      </c>
      <c r="B10600" s="219" t="s">
        <v>36</v>
      </c>
      <c r="C10600" s="219"/>
      <c r="D10600" s="49" t="s">
        <v>37</v>
      </c>
      <c r="E10600" s="49" t="s">
        <v>38</v>
      </c>
      <c r="F10600" s="49" t="s">
        <v>39</v>
      </c>
      <c r="G10600" s="49" t="s">
        <v>40</v>
      </c>
    </row>
    <row r="10601" spans="1:7" x14ac:dyDescent="0.25">
      <c r="A10601" s="50" t="s">
        <v>71</v>
      </c>
      <c r="B10601" s="71" t="str">
        <f>VLOOKUP(A10601,'[1]Componentes APUs'!$A$1:$D$14,2,0)</f>
        <v>Camisa indigo sin partes metalicas</v>
      </c>
      <c r="C10601" s="71"/>
      <c r="D10601" s="50" t="str">
        <f>VLOOKUP(A10601,'[1]Componentes APUs'!$A$1:$D$14,3,0)</f>
        <v>U</v>
      </c>
      <c r="E10601" s="50">
        <f>SUM(C10581:C10586)</f>
        <v>4.75</v>
      </c>
      <c r="F10601" s="51">
        <f>VLOOKUP(A10601,'[1]Componentes APUs'!$A$1:$D$14,4,0)</f>
        <v>8585.8585858585866</v>
      </c>
      <c r="G10601" s="51">
        <f>ROUNDUP(F10601*(E10601/21)/E10566,0)</f>
        <v>3885</v>
      </c>
    </row>
    <row r="10602" spans="1:7" x14ac:dyDescent="0.25">
      <c r="A10602" s="69" t="s">
        <v>73</v>
      </c>
      <c r="B10602" s="72" t="str">
        <f>VLOOKUP(A10602,'[1]Componentes APUs'!$A$1:$D$14,2,0)</f>
        <v>Bota de seguridad dielectrica</v>
      </c>
      <c r="C10602" s="73"/>
      <c r="D10602" s="70" t="str">
        <f>VLOOKUP(A10602,'[1]Componentes APUs'!$A$1:$D$14,3,0)</f>
        <v>Par</v>
      </c>
      <c r="E10602" s="50">
        <f>SUM(C10581:C10586)</f>
        <v>4.75</v>
      </c>
      <c r="F10602" s="51">
        <f>VLOOKUP(A10602,'[1]Componentes APUs'!$A$1:$D$14,4,0)</f>
        <v>7500</v>
      </c>
      <c r="G10602" s="51">
        <f>ROUNDUP(F10602*(E10602/21)/E10566,0)</f>
        <v>3393</v>
      </c>
    </row>
    <row r="10603" spans="1:7" x14ac:dyDescent="0.25">
      <c r="A10603" s="50" t="s">
        <v>76</v>
      </c>
      <c r="B10603" s="72" t="str">
        <f>VLOOKUP(A10603,'[1]Componentes APUs'!$A$1:$D$14,2,0)</f>
        <v>Casco dielectrico Tipo 1 Clase E con barbuquejo</v>
      </c>
      <c r="C10603" s="73"/>
      <c r="D10603" s="50" t="str">
        <f>VLOOKUP(A10603,'[1]Componentes APUs'!$A$1:$D$14,3,0)</f>
        <v>U</v>
      </c>
      <c r="E10603" s="50">
        <f>C10581+C10582+C10584+C10585+C10586+IF(A10583&lt;&gt;"MO-3",C10583,0)</f>
        <v>2.75</v>
      </c>
      <c r="F10603" s="51">
        <f>VLOOKUP(A10603,'[1]Componentes APUs'!$A$1:$D$14,4,0)</f>
        <v>10101.010101010101</v>
      </c>
      <c r="G10603" s="51">
        <f>ROUNDUP(F10603*(E10603/21)/E10566,0)</f>
        <v>2646</v>
      </c>
    </row>
    <row r="10604" spans="1:7" x14ac:dyDescent="0.25">
      <c r="A10604" s="69" t="s">
        <v>77</v>
      </c>
      <c r="B10604" s="72" t="str">
        <f>VLOOKUP(A10604,'[1]Componentes APUs'!$A$1:$D$14,2,0)</f>
        <v>Correa plastica y antiflama</v>
      </c>
      <c r="C10604" s="73"/>
      <c r="D10604" s="50" t="str">
        <f>VLOOKUP(A10604,'[1]Componentes APUs'!$A$1:$D$14,3,0)</f>
        <v>U</v>
      </c>
      <c r="E10604" s="50">
        <f>SUM(C10581:C10586)</f>
        <v>4.75</v>
      </c>
      <c r="F10604" s="51">
        <f>VLOOKUP(A10604,'[1]Componentes APUs'!$A$1:$D$14,4,0)</f>
        <v>3787.878787878788</v>
      </c>
      <c r="G10604" s="51">
        <f>ROUNDUP(F10604*(E10604/21)/E10566,0)</f>
        <v>1714</v>
      </c>
    </row>
    <row r="10605" spans="1:7" x14ac:dyDescent="0.25">
      <c r="A10605" s="50" t="s">
        <v>79</v>
      </c>
      <c r="B10605" s="72" t="str">
        <f>VLOOKUP(A10605,'[1]Componentes APUs'!$A$1:$D$14,2,0)</f>
        <v>Gafas protectoras filtro UV</v>
      </c>
      <c r="C10605" s="73"/>
      <c r="D10605" s="50" t="str">
        <f>VLOOKUP(A10605,'[1]Componentes APUs'!$A$1:$D$14,3,0)</f>
        <v>U</v>
      </c>
      <c r="E10605" s="50">
        <f>SUM(C10581:C10586)</f>
        <v>4.75</v>
      </c>
      <c r="F10605" s="51">
        <f>VLOOKUP(A10605,'[1]Componentes APUs'!$A$1:$D$14,4,0)</f>
        <v>2777.7777777777778</v>
      </c>
      <c r="G10605" s="51">
        <f>ROUNDUP(F10605*(E10605/21)/E10566,0)</f>
        <v>1257</v>
      </c>
    </row>
    <row r="10606" spans="1:7" x14ac:dyDescent="0.25">
      <c r="A10606" s="69" t="s">
        <v>402</v>
      </c>
      <c r="B10606" s="72" t="str">
        <f>VLOOKUP(A10606,'[1]Componentes APUs'!$A$1:$D$14,2,0)</f>
        <v>Bota de seguridad PVC dielectrica</v>
      </c>
      <c r="C10606" s="73"/>
      <c r="D10606" s="50" t="str">
        <f>VLOOKUP(A10606,'[1]Componentes APUs'!$A$1:$D$14,3,0)</f>
        <v>Par</v>
      </c>
      <c r="E10606" s="50">
        <f>SUM(C10581:C10586)</f>
        <v>4.75</v>
      </c>
      <c r="F10606" s="51">
        <f>VLOOKUP(A10606,'[1]Componentes APUs'!$A$1:$D$14,4,0)</f>
        <v>2916.6666666666665</v>
      </c>
      <c r="G10606" s="51">
        <f>ROUNDUP(F10606*(E10606/21)/E10566,0)</f>
        <v>1320</v>
      </c>
    </row>
    <row r="10607" spans="1:7" x14ac:dyDescent="0.25">
      <c r="A10607" s="50" t="s">
        <v>403</v>
      </c>
      <c r="B10607" s="72" t="str">
        <f>VLOOKUP(A10607,'[1]Componentes APUs'!$A$1:$D$14,2,0)</f>
        <v>Capuchon</v>
      </c>
      <c r="C10607" s="73"/>
      <c r="D10607" s="50" t="str">
        <f>VLOOKUP(A10607,'[1]Componentes APUs'!$A$1:$D$14,3,0)</f>
        <v>U</v>
      </c>
      <c r="E10607" s="50">
        <f>SUM(C10581:C10586)</f>
        <v>4.75</v>
      </c>
      <c r="F10607" s="51">
        <f>VLOOKUP(A10607,'[1]Componentes APUs'!$A$1:$D$14,4,0)</f>
        <v>2525.2525252525252</v>
      </c>
      <c r="G10607" s="51">
        <f>ROUNDUP(F10607*(E10607/21)/E10566,0)</f>
        <v>1143</v>
      </c>
    </row>
    <row r="10608" spans="1:7" x14ac:dyDescent="0.25">
      <c r="A10608" s="69" t="s">
        <v>81</v>
      </c>
      <c r="B10608" s="72" t="str">
        <f>VLOOKUP(A10608,'[1]Componentes APUs'!$A$1:$D$14,2,0)</f>
        <v>Guantes Protectores  - ingeniero reforzados</v>
      </c>
      <c r="C10608" s="73"/>
      <c r="D10608" s="50" t="str">
        <f>VLOOKUP(A10608,'[1]Componentes APUs'!$A$1:$D$14,3,0)</f>
        <v>Par</v>
      </c>
      <c r="E10608" s="50">
        <f>C10583+C10584+C10586</f>
        <v>4</v>
      </c>
      <c r="F10608" s="51">
        <f>VLOOKUP(A10608,'[1]Componentes APUs'!$A$1:$D$14,4,0)</f>
        <v>2525.2525252525252</v>
      </c>
      <c r="G10608" s="51">
        <f>ROUNDUP(F10608*(E10608/21)/E10566,0)</f>
        <v>963</v>
      </c>
    </row>
    <row r="10609" spans="1:7" x14ac:dyDescent="0.25">
      <c r="A10609" s="50" t="s">
        <v>83</v>
      </c>
      <c r="B10609" s="72" t="str">
        <f>VLOOKUP(A10609,'[1]Componentes APUs'!$A$1:$D$14,2,0)</f>
        <v>Impermeable (pantalon camisa)</v>
      </c>
      <c r="C10609" s="73"/>
      <c r="D10609" s="50" t="str">
        <f>VLOOKUP(A10609,'[1]Componentes APUs'!$A$1:$D$14,3,0)</f>
        <v>U</v>
      </c>
      <c r="E10609" s="50">
        <f>SUM(C10581:C10586)</f>
        <v>4.75</v>
      </c>
      <c r="F10609" s="51">
        <f>VLOOKUP(A10609,'[1]Componentes APUs'!$A$1:$D$14,4,0)</f>
        <v>3750</v>
      </c>
      <c r="G10609" s="51">
        <f>ROUNDUP(F10609*(E10609/21)/E10566,0)</f>
        <v>1697</v>
      </c>
    </row>
    <row r="10610" spans="1:7" x14ac:dyDescent="0.25">
      <c r="A10610" s="69" t="s">
        <v>85</v>
      </c>
      <c r="B10610" s="72" t="str">
        <f>VLOOKUP(A10610,'[1]Componentes APUs'!$A$1:$D$14,2,0)</f>
        <v>Jean Dielectrico</v>
      </c>
      <c r="C10610" s="73"/>
      <c r="D10610" s="50" t="str">
        <f>VLOOKUP(A10610,'[1]Componentes APUs'!$A$1:$D$14,3,0)</f>
        <v>U</v>
      </c>
      <c r="E10610" s="50">
        <f>SUM(C10581:C10586)</f>
        <v>4.75</v>
      </c>
      <c r="F10610" s="51">
        <f>VLOOKUP(A10610,'[1]Componentes APUs'!$A$1:$D$14,4,0)</f>
        <v>7575.757575757576</v>
      </c>
      <c r="G10610" s="51">
        <f>ROUNDUP(F10610*(E10610/21)/E10566,0)</f>
        <v>3428</v>
      </c>
    </row>
    <row r="10611" spans="1:7" x14ac:dyDescent="0.25">
      <c r="A10611" s="50" t="s">
        <v>87</v>
      </c>
      <c r="B10611" s="72" t="str">
        <f>VLOOKUP(A10611,'[1]Componentes APUs'!$A$1:$D$14,2,0)</f>
        <v>Casco dielectrico Tipo 2 Clase E con barboquejo</v>
      </c>
      <c r="C10611" s="73"/>
      <c r="D10611" s="50" t="str">
        <f>VLOOKUP(A10611,'[1]Componentes APUs'!$A$1:$D$14,3,0)</f>
        <v>U</v>
      </c>
      <c r="E10611" s="53">
        <f>IF(A10583="MO-3",C10583,0)</f>
        <v>2</v>
      </c>
      <c r="F10611" s="51">
        <f>VLOOKUP(A10611,'[1]Componentes APUs'!$A$1:$D$14,4,0)</f>
        <v>7500</v>
      </c>
      <c r="G10611" s="51">
        <f>ROUNDUP(F10611*(E10611/21)/E10566,0)</f>
        <v>1429</v>
      </c>
    </row>
    <row r="10612" spans="1:7" x14ac:dyDescent="0.25">
      <c r="A10612" s="69" t="s">
        <v>89</v>
      </c>
      <c r="B10612" s="72" t="str">
        <f>VLOOKUP(A10612,'[1]Componentes APUs'!$A$1:$D$14,2,0)</f>
        <v>Kit de rescate para trabajo en alturas</v>
      </c>
      <c r="C10612" s="73"/>
      <c r="D10612" s="50" t="str">
        <f>VLOOKUP(A10612,'[1]Componentes APUs'!$A$1:$D$14,3,0)</f>
        <v>U</v>
      </c>
      <c r="E10612" s="50">
        <f>IF(AND(A10583="MO-3",C10583=2),1,0)</f>
        <v>1</v>
      </c>
      <c r="F10612" s="51">
        <f>VLOOKUP(A10612,'[1]Componentes APUs'!$A$1:$D$14,4,0)</f>
        <v>37500</v>
      </c>
      <c r="G10612" s="51">
        <f>ROUNDUP(F10612*(E10612/21)/E10566,0)</f>
        <v>3572</v>
      </c>
    </row>
    <row r="10613" spans="1:7" x14ac:dyDescent="0.25">
      <c r="A10613" s="50" t="s">
        <v>91</v>
      </c>
      <c r="B10613" s="72" t="str">
        <f>VLOOKUP(A10613,'[1]Componentes APUs'!$A$1:$D$14,2,0)</f>
        <v>Equipo completo para trabajo en alturas con pretales (Arnes dielectrico, 1 mosqueton de seguridad, tie off dielectrico, eslinga de posicionamiento, juego de pretales)</v>
      </c>
      <c r="C10613" s="73"/>
      <c r="D10613" s="50" t="str">
        <f>VLOOKUP(A10613,'[1]Componentes APUs'!$A$1:$D$14,3,0)</f>
        <v>U</v>
      </c>
      <c r="E10613" s="50">
        <f>IF(A10583="MO-3",C10583,0)</f>
        <v>2</v>
      </c>
      <c r="F10613" s="51">
        <f>VLOOKUP(A10613,'[1]Componentes APUs'!$A$1:$D$14,4,0)</f>
        <v>26041.666666666668</v>
      </c>
      <c r="G10613" s="51">
        <f>ROUNDUP(F10613*(E10613/21)/E10566,0)</f>
        <v>4961</v>
      </c>
    </row>
    <row r="10614" spans="1:7" x14ac:dyDescent="0.25">
      <c r="A10614" s="219" t="s">
        <v>95</v>
      </c>
      <c r="B10614" s="219"/>
      <c r="C10614" s="219"/>
      <c r="D10614" s="219"/>
      <c r="E10614" s="219"/>
      <c r="F10614" s="219"/>
      <c r="G10614" s="52">
        <f>SUM(G10601:G10613)</f>
        <v>31408</v>
      </c>
    </row>
    <row r="10615" spans="1:7" x14ac:dyDescent="0.25">
      <c r="A10615" s="56"/>
      <c r="B10615" s="57"/>
      <c r="C10615" s="57"/>
      <c r="D10615" s="57"/>
      <c r="E10615" s="57"/>
      <c r="F10615" s="57"/>
      <c r="G10615" s="58"/>
    </row>
    <row r="10616" spans="1:7" x14ac:dyDescent="0.25">
      <c r="A10616" s="219" t="s">
        <v>96</v>
      </c>
      <c r="B10616" s="219"/>
      <c r="C10616" s="219"/>
      <c r="D10616" s="219"/>
      <c r="E10616" s="219"/>
      <c r="F10616" s="219"/>
      <c r="G10616" s="219"/>
    </row>
    <row r="10617" spans="1:7" x14ac:dyDescent="0.25">
      <c r="A10617" s="49" t="s">
        <v>35</v>
      </c>
      <c r="B10617" s="225" t="s">
        <v>36</v>
      </c>
      <c r="C10617" s="225"/>
      <c r="D10617" s="49" t="s">
        <v>37</v>
      </c>
      <c r="E10617" s="49" t="s">
        <v>38</v>
      </c>
      <c r="F10617" s="49" t="s">
        <v>39</v>
      </c>
      <c r="G10617" s="49" t="s">
        <v>40</v>
      </c>
    </row>
    <row r="10618" spans="1:7" x14ac:dyDescent="0.25">
      <c r="A10618" s="69" t="s">
        <v>97</v>
      </c>
      <c r="B10618" s="72" t="str">
        <f>VLOOKUP(A10618,'[1]Componentes APUs'!$N$1:$Q$30,2,0)</f>
        <v>Camioneta</v>
      </c>
      <c r="C10618" s="73"/>
      <c r="D10618" s="70" t="str">
        <f>VLOOKUP(A10618,'[1]Componentes APUs'!$N$1:$Q$30,3,0)</f>
        <v>U</v>
      </c>
      <c r="E10618" s="50">
        <v>1</v>
      </c>
      <c r="F10618" s="51">
        <f>VLOOKUP(A10618,'[1]Componentes APUs'!$N$1:$Q$30,4,0)</f>
        <v>5500000</v>
      </c>
      <c r="G10618" s="51">
        <f>IFERROR(ROUNDUP(F10618*(E10618/21)/E10566,0),"-")</f>
        <v>523810</v>
      </c>
    </row>
    <row r="10619" spans="1:7" x14ac:dyDescent="0.25">
      <c r="A10619" s="50" t="s">
        <v>321</v>
      </c>
      <c r="B10619" s="72" t="str">
        <f>VLOOKUP(A10619,'[1]Componentes APUs'!$N$1:$Q$30,2,0)</f>
        <v>Grúa Hidráulica</v>
      </c>
      <c r="C10619" s="73"/>
      <c r="D10619" s="70" t="str">
        <f>VLOOKUP(A10619,'[1]Componentes APUs'!$N$1:$Q$30,3,0)</f>
        <v>U</v>
      </c>
      <c r="E10619" s="50">
        <v>0</v>
      </c>
      <c r="F10619" s="51">
        <f>VLOOKUP(A10619,'[1]Componentes APUs'!$N$1:$Q$30,4,0)</f>
        <v>21000000</v>
      </c>
      <c r="G10619" s="51">
        <f>IFERROR(ROUNDUP(F10619*(E10619/21)/E10566,0),"-")</f>
        <v>0</v>
      </c>
    </row>
    <row r="10620" spans="1:7" x14ac:dyDescent="0.25">
      <c r="A10620" s="69" t="s">
        <v>322</v>
      </c>
      <c r="B10620" s="72" t="str">
        <f>VLOOKUP(A10620,'[1]Componentes APUs'!$N$1:$Q$30,2,0)</f>
        <v>Camabaja</v>
      </c>
      <c r="C10620" s="73"/>
      <c r="D10620" s="70" t="str">
        <f>VLOOKUP(A10620,'[1]Componentes APUs'!$N$1:$Q$30,3,0)</f>
        <v>TON/KM</v>
      </c>
      <c r="E10620" s="50">
        <v>0</v>
      </c>
      <c r="F10620" s="51">
        <f>VLOOKUP(A10620,'[1]Componentes APUs'!$N$1:$Q$30,4,0)</f>
        <v>611</v>
      </c>
      <c r="G10620" s="51">
        <f>IFERROR(ROUNDUP(F10620*(E10620/21)/E10566,0),"-")</f>
        <v>0</v>
      </c>
    </row>
    <row r="10621" spans="1:7" x14ac:dyDescent="0.25">
      <c r="A10621" s="50" t="s">
        <v>323</v>
      </c>
      <c r="B10621" s="72" t="str">
        <f>VLOOKUP(A10621,'[1]Componentes APUs'!$N$1:$Q$30,2,0)</f>
        <v>Volqueta</v>
      </c>
      <c r="C10621" s="73"/>
      <c r="D10621" s="70" t="str">
        <f>VLOOKUP(A10621,'[1]Componentes APUs'!$N$1:$Q$30,3,0)</f>
        <v>U</v>
      </c>
      <c r="E10621" s="50">
        <v>0</v>
      </c>
      <c r="F10621" s="51">
        <f>VLOOKUP(A10621,'[1]Componentes APUs'!$N$1:$Q$30,4,0)</f>
        <v>18900000</v>
      </c>
      <c r="G10621" s="51">
        <f>IFERROR(ROUNDUP(F10621*(E10621/21)/E10566,0),"-")</f>
        <v>0</v>
      </c>
    </row>
    <row r="10622" spans="1:7" x14ac:dyDescent="0.25">
      <c r="A10622" s="69" t="s">
        <v>324</v>
      </c>
      <c r="B10622" s="72" t="str">
        <f>VLOOKUP(A10622,'[1]Componentes APUs'!$N$1:$Q$30,2,0)</f>
        <v>Retroexcavadora</v>
      </c>
      <c r="C10622" s="73"/>
      <c r="D10622" s="70" t="str">
        <f>VLOOKUP(A10622,'[1]Componentes APUs'!$N$1:$Q$30,3,0)</f>
        <v>U</v>
      </c>
      <c r="E10622" s="50">
        <v>0</v>
      </c>
      <c r="F10622" s="51">
        <f>VLOOKUP(A10622,'[1]Componentes APUs'!$N$1:$Q$30,4,0)</f>
        <v>1494459.54</v>
      </c>
      <c r="G10622" s="51">
        <f>IFERROR(ROUNDUP(F10622*(E10622/21)/E10566,0),"-")</f>
        <v>0</v>
      </c>
    </row>
    <row r="10623" spans="1:7" x14ac:dyDescent="0.25">
      <c r="A10623" s="219" t="s">
        <v>99</v>
      </c>
      <c r="B10623" s="219"/>
      <c r="C10623" s="219"/>
      <c r="D10623" s="219"/>
      <c r="E10623" s="219"/>
      <c r="F10623" s="219"/>
      <c r="G10623" s="52">
        <f>SUM(G10618:G10622)</f>
        <v>523810</v>
      </c>
    </row>
    <row r="10624" spans="1:7" x14ac:dyDescent="0.25">
      <c r="A10624" s="56"/>
      <c r="B10624" s="57"/>
      <c r="C10624" s="57"/>
      <c r="D10624" s="57"/>
      <c r="E10624" s="57"/>
      <c r="F10624" s="57"/>
      <c r="G10624" s="58"/>
    </row>
    <row r="10625" spans="1:7" x14ac:dyDescent="0.25">
      <c r="A10625" s="219" t="s">
        <v>1516</v>
      </c>
      <c r="B10625" s="219"/>
      <c r="C10625" s="219"/>
      <c r="D10625" s="219"/>
      <c r="E10625" s="219"/>
      <c r="F10625" s="219"/>
      <c r="G10625" s="52">
        <f>G10623+G10614+G10597+G10587+G10577</f>
        <v>7091159</v>
      </c>
    </row>
    <row r="10626" spans="1:7" x14ac:dyDescent="0.25">
      <c r="A10626" s="59"/>
      <c r="B10626" s="60"/>
      <c r="C10626" s="60"/>
      <c r="D10626" s="60"/>
      <c r="E10626" s="57"/>
      <c r="F10626" s="57"/>
      <c r="G10626" s="58"/>
    </row>
    <row r="10627" spans="1:7" x14ac:dyDescent="0.25">
      <c r="A10627" s="64"/>
      <c r="D10627" s="55"/>
      <c r="E10627" s="49" t="s">
        <v>25</v>
      </c>
      <c r="F10627" s="54">
        <v>0.15</v>
      </c>
      <c r="G10627" s="51">
        <f>G10625*F10627</f>
        <v>1063673.8499999999</v>
      </c>
    </row>
    <row r="10628" spans="1:7" x14ac:dyDescent="0.25">
      <c r="A10628" s="64"/>
      <c r="D10628" s="55"/>
      <c r="E10628" s="49" t="s">
        <v>26</v>
      </c>
      <c r="F10628" s="54">
        <v>0.05</v>
      </c>
      <c r="G10628" s="51">
        <f>G10625*F10628</f>
        <v>354557.95</v>
      </c>
    </row>
    <row r="10629" spans="1:7" x14ac:dyDescent="0.25">
      <c r="A10629" s="61"/>
      <c r="B10629" s="65"/>
      <c r="C10629" s="65"/>
      <c r="D10629" s="62"/>
      <c r="E10629" s="49" t="s">
        <v>27</v>
      </c>
      <c r="F10629" s="54">
        <v>0.05</v>
      </c>
      <c r="G10629" s="51">
        <f>G10625*F10629</f>
        <v>354557.95</v>
      </c>
    </row>
    <row r="10630" spans="1:7" x14ac:dyDescent="0.25">
      <c r="A10630" s="61"/>
      <c r="B10630" s="62"/>
      <c r="C10630" s="62"/>
      <c r="D10630" s="62"/>
      <c r="E10630" s="62"/>
      <c r="F10630" s="62"/>
      <c r="G10630" s="63"/>
    </row>
    <row r="10631" spans="1:7" x14ac:dyDescent="0.25">
      <c r="A10631" s="219" t="s">
        <v>1517</v>
      </c>
      <c r="B10631" s="219"/>
      <c r="C10631" s="219"/>
      <c r="D10631" s="219"/>
      <c r="E10631" s="219"/>
      <c r="F10631" s="219"/>
      <c r="G10631" s="52">
        <f>G10625+G10627+G10628+G10629</f>
        <v>8863948.7499999981</v>
      </c>
    </row>
    <row r="10632" spans="1:7" x14ac:dyDescent="0.25">
      <c r="A10632" s="59"/>
      <c r="B10632" s="60"/>
      <c r="C10632" s="60"/>
      <c r="D10632" s="60"/>
      <c r="E10632" s="57"/>
      <c r="F10632" s="57"/>
      <c r="G10632" s="58"/>
    </row>
    <row r="10633" spans="1:7" x14ac:dyDescent="0.25">
      <c r="A10633" s="64"/>
      <c r="D10633" s="55"/>
      <c r="E10633" s="49" t="s">
        <v>102</v>
      </c>
      <c r="F10633" s="49" t="s">
        <v>103</v>
      </c>
      <c r="G10633" s="51">
        <f>G10629*19%</f>
        <v>67366.010500000004</v>
      </c>
    </row>
    <row r="10634" spans="1:7" x14ac:dyDescent="0.25">
      <c r="A10634" s="61"/>
      <c r="B10634" s="62"/>
      <c r="C10634" s="62"/>
      <c r="D10634" s="62"/>
      <c r="E10634" s="57"/>
      <c r="F10634" s="57"/>
      <c r="G10634" s="58"/>
    </row>
    <row r="10635" spans="1:7" x14ac:dyDescent="0.25">
      <c r="A10635" s="219" t="s">
        <v>104</v>
      </c>
      <c r="B10635" s="219"/>
      <c r="C10635" s="219"/>
      <c r="D10635" s="219"/>
      <c r="E10635" s="219"/>
      <c r="F10635" s="219"/>
      <c r="G10635" s="52">
        <f>G10633+G10631</f>
        <v>8931314.7604999989</v>
      </c>
    </row>
    <row r="10637" spans="1:7" x14ac:dyDescent="0.25">
      <c r="A10637" s="74" t="s">
        <v>29</v>
      </c>
      <c r="B10637" s="226" t="s">
        <v>30</v>
      </c>
      <c r="C10637" s="226"/>
      <c r="D10637" s="74" t="s">
        <v>31</v>
      </c>
      <c r="E10637" s="74" t="s">
        <v>32</v>
      </c>
      <c r="F10637" s="74" t="s">
        <v>189</v>
      </c>
      <c r="G10637" s="74" t="s">
        <v>33</v>
      </c>
    </row>
    <row r="10638" spans="1:7" x14ac:dyDescent="0.25">
      <c r="A10638" s="50" t="str">
        <f>Presupuesto!B194</f>
        <v>006_N3</v>
      </c>
      <c r="B10638" s="220" t="str">
        <f>Presupuesto!C194</f>
        <v>SUMINISTRO E INSTALACIÓN DE POSTE DE CONCRETO 14 m 1050 KG</v>
      </c>
      <c r="C10638" s="220"/>
      <c r="D10638" s="50" t="s">
        <v>18</v>
      </c>
      <c r="E10638" s="93">
        <v>8</v>
      </c>
      <c r="F10638" s="50"/>
      <c r="G10638" s="51">
        <f>G10697</f>
        <v>3796338.7499999995</v>
      </c>
    </row>
    <row r="10639" spans="1:7" x14ac:dyDescent="0.25">
      <c r="A10639" s="219" t="s">
        <v>34</v>
      </c>
      <c r="B10639" s="219"/>
      <c r="C10639" s="219"/>
      <c r="D10639" s="219"/>
      <c r="E10639" s="219"/>
      <c r="F10639" s="219"/>
      <c r="G10639" s="219"/>
    </row>
    <row r="10640" spans="1:7" x14ac:dyDescent="0.25">
      <c r="A10640" s="49" t="s">
        <v>35</v>
      </c>
      <c r="B10640" s="219" t="s">
        <v>36</v>
      </c>
      <c r="C10640" s="219"/>
      <c r="D10640" s="49" t="s">
        <v>37</v>
      </c>
      <c r="E10640" s="49" t="s">
        <v>38</v>
      </c>
      <c r="F10640" s="49" t="s">
        <v>39</v>
      </c>
      <c r="G10640" s="49" t="s">
        <v>40</v>
      </c>
    </row>
    <row r="10641" spans="1:7" x14ac:dyDescent="0.25">
      <c r="A10641" s="17" t="str">
        <f>Material!A13</f>
        <v>MA-12</v>
      </c>
      <c r="B10641" s="72" t="str">
        <f>IFERROR(VLOOKUP(A10641,Material!$A:$J,2,0),"-")</f>
        <v>POSTE DE CONCRETO 14 m 1050 KG</v>
      </c>
      <c r="C10641" s="73"/>
      <c r="D10641" s="50" t="str">
        <f>IFERROR(VLOOKUP(A10641,Material!$A:$J,4,0),"-")</f>
        <v>UN</v>
      </c>
      <c r="E10641" s="50">
        <v>1</v>
      </c>
      <c r="F10641" s="51">
        <f>IFERROR(VLOOKUP(A10641,Material!$A:$J,3,0),"-")</f>
        <v>2782325</v>
      </c>
      <c r="G10641" s="51">
        <f>IFERROR(ROUNDUP(F10641*E10641,0),"-")</f>
        <v>2782325</v>
      </c>
    </row>
    <row r="10642" spans="1:7" x14ac:dyDescent="0.25">
      <c r="A10642" s="17"/>
      <c r="B10642" s="72"/>
      <c r="C10642" s="73"/>
      <c r="D10642" s="50"/>
      <c r="E10642" s="50"/>
      <c r="F10642" s="51"/>
      <c r="G10642" s="51"/>
    </row>
    <row r="10643" spans="1:7" x14ac:dyDescent="0.25">
      <c r="A10643" s="219" t="s">
        <v>41</v>
      </c>
      <c r="B10643" s="219"/>
      <c r="C10643" s="219"/>
      <c r="D10643" s="219"/>
      <c r="E10643" s="219"/>
      <c r="F10643" s="219"/>
      <c r="G10643" s="52">
        <f>SUM(G10641:G10642)</f>
        <v>2782325</v>
      </c>
    </row>
    <row r="10644" spans="1:7" x14ac:dyDescent="0.25">
      <c r="A10644" s="56"/>
      <c r="B10644" s="57"/>
      <c r="C10644" s="57"/>
      <c r="D10644" s="57"/>
      <c r="E10644" s="57"/>
      <c r="F10644" s="57"/>
      <c r="G10644" s="58"/>
    </row>
    <row r="10645" spans="1:7" x14ac:dyDescent="0.25">
      <c r="A10645" s="219" t="s">
        <v>42</v>
      </c>
      <c r="B10645" s="219"/>
      <c r="C10645" s="219"/>
      <c r="D10645" s="219"/>
      <c r="E10645" s="219"/>
      <c r="F10645" s="219"/>
      <c r="G10645" s="219"/>
    </row>
    <row r="10646" spans="1:7" x14ac:dyDescent="0.25">
      <c r="A10646" s="49" t="s">
        <v>35</v>
      </c>
      <c r="B10646" s="49" t="s">
        <v>36</v>
      </c>
      <c r="C10646" s="49" t="s">
        <v>38</v>
      </c>
      <c r="D10646" s="49" t="s">
        <v>43</v>
      </c>
      <c r="E10646" s="49" t="s">
        <v>44</v>
      </c>
      <c r="F10646" s="49" t="s">
        <v>45</v>
      </c>
      <c r="G10646" s="49" t="s">
        <v>40</v>
      </c>
    </row>
    <row r="10647" spans="1:7" x14ac:dyDescent="0.25">
      <c r="A10647" s="50" t="s">
        <v>319</v>
      </c>
      <c r="B10647" s="68" t="str">
        <f>VLOOKUP(A10647,'[1]Componentes APUs'!$H$1:$L$25,2,0)</f>
        <v>Ingeniero Residente de Obra</v>
      </c>
      <c r="C10647" s="93">
        <v>0.25</v>
      </c>
      <c r="D10647" s="50">
        <f>VLOOKUP(A10647,'[1]Componentes APUs'!$H$1:$L$25,3,0)</f>
        <v>4</v>
      </c>
      <c r="E10647" s="51">
        <f>VLOOKUP(A10647,'[1]Componentes APUs'!$H$1:$L$25,4,0)</f>
        <v>271142.85714285716</v>
      </c>
      <c r="F10647" s="51">
        <f>VLOOKUP(A10647,'[1]Componentes APUs'!$H$1:$L$25,5,0)</f>
        <v>162685.71428571429</v>
      </c>
      <c r="G10647" s="51">
        <f>ROUNDUP((E10647+F10647)*C10647/E10638,0)</f>
        <v>13558</v>
      </c>
    </row>
    <row r="10648" spans="1:7" x14ac:dyDescent="0.25">
      <c r="A10648" s="50" t="s">
        <v>320</v>
      </c>
      <c r="B10648" s="68" t="str">
        <f>VLOOKUP(A10648,'[1]Componentes APUs'!$H$1:$L$25,2,0)</f>
        <v>Tecnico Supervisor</v>
      </c>
      <c r="C10648" s="93">
        <v>0.25</v>
      </c>
      <c r="D10648" s="50">
        <f>VLOOKUP(A10648,'[1]Componentes APUs'!$H$1:$L$25,3,0)</f>
        <v>2.2999999999999998</v>
      </c>
      <c r="E10648" s="51">
        <f>VLOOKUP(A10648,'[1]Componentes APUs'!$H$1:$L$25,4,0)</f>
        <v>155907.14285714284</v>
      </c>
      <c r="F10648" s="51">
        <f>VLOOKUP(A10648,'[1]Componentes APUs'!$H$1:$L$25,5,0)</f>
        <v>93544.285714285696</v>
      </c>
      <c r="G10648" s="51">
        <f>ROUNDUP((E10648+F10648)*C10648/E10638,0)</f>
        <v>7796</v>
      </c>
    </row>
    <row r="10649" spans="1:7" x14ac:dyDescent="0.25">
      <c r="A10649" s="50" t="s">
        <v>46</v>
      </c>
      <c r="B10649" s="68" t="str">
        <f>VLOOKUP(A10649,'[1]Componentes APUs'!$H$1:$L$25,2,0)</f>
        <v>Tecnico Liniero</v>
      </c>
      <c r="C10649" s="93">
        <v>1</v>
      </c>
      <c r="D10649" s="50">
        <f>VLOOKUP(A10649,'[1]Componentes APUs'!$H$1:$L$25,3,0)</f>
        <v>2</v>
      </c>
      <c r="E10649" s="51">
        <f>VLOOKUP(A10649,'[1]Componentes APUs'!$H$1:$L$25,4,0)</f>
        <v>154619.04761904763</v>
      </c>
      <c r="F10649" s="51">
        <f>VLOOKUP(A10649,'[1]Componentes APUs'!$H$1:$L$25,5,0)</f>
        <v>92771.42857142858</v>
      </c>
      <c r="G10649" s="51">
        <f>ROUNDUP((E10649+F10649)*C10649/E10638,0)</f>
        <v>30924</v>
      </c>
    </row>
    <row r="10650" spans="1:7" x14ac:dyDescent="0.25">
      <c r="A10650" s="50" t="s">
        <v>48</v>
      </c>
      <c r="B10650" s="68" t="str">
        <f>VLOOKUP(A10650,'[1]Componentes APUs'!$H$1:$L$25,2,0)</f>
        <v>Ayudante Calificado</v>
      </c>
      <c r="C10650" s="93">
        <v>0</v>
      </c>
      <c r="D10650" s="50">
        <f>VLOOKUP(A10650,'[1]Componentes APUs'!$H$1:$L$25,3,0)</f>
        <v>1.5</v>
      </c>
      <c r="E10650" s="51">
        <f>VLOOKUP(A10650,'[1]Componentes APUs'!$H$1:$L$25,4,0)</f>
        <v>115964.28571428571</v>
      </c>
      <c r="F10650" s="51">
        <f>VLOOKUP(A10650,'[1]Componentes APUs'!$H$1:$L$25,5,0)</f>
        <v>69578.57142857142</v>
      </c>
      <c r="G10650" s="51">
        <f>ROUNDUP((E10650+F10650)*C10650/E10638,0)</f>
        <v>0</v>
      </c>
    </row>
    <row r="10651" spans="1:7" x14ac:dyDescent="0.25">
      <c r="A10651" s="50" t="s">
        <v>50</v>
      </c>
      <c r="B10651" s="68" t="str">
        <f>VLOOKUP(A10651,'[1]Componentes APUs'!$H$1:$L$25,2,0)</f>
        <v>Profesional en SST</v>
      </c>
      <c r="C10651" s="93">
        <v>0.25</v>
      </c>
      <c r="D10651" s="50">
        <f>VLOOKUP(A10651,'[1]Componentes APUs'!$H$1:$L$25,3,0)</f>
        <v>2.5</v>
      </c>
      <c r="E10651" s="51">
        <f>VLOOKUP(A10651,'[1]Componentes APUs'!$H$1:$L$25,4,0)</f>
        <v>169464.28571428571</v>
      </c>
      <c r="F10651" s="51">
        <f>VLOOKUP(A10651,'[1]Componentes APUs'!$H$1:$L$25,5,0)</f>
        <v>101678.57142857142</v>
      </c>
      <c r="G10651" s="51">
        <f>ROUNDUP((E10651+F10651)*C10651/E10638,0)</f>
        <v>8474</v>
      </c>
    </row>
    <row r="10652" spans="1:7" x14ac:dyDescent="0.25">
      <c r="A10652" s="50" t="s">
        <v>52</v>
      </c>
      <c r="B10652" s="68" t="str">
        <f>VLOOKUP(A10652,'[1]Componentes APUs'!$H$1:$L$25,2,0)</f>
        <v>Ayudante No Calificado</v>
      </c>
      <c r="C10652" s="93">
        <v>2</v>
      </c>
      <c r="D10652" s="50">
        <f>VLOOKUP(A10652,'[1]Componentes APUs'!$H$1:$L$25,3,0)</f>
        <v>1</v>
      </c>
      <c r="E10652" s="51">
        <f>VLOOKUP(A10652,'[1]Componentes APUs'!$H$1:$L$25,4,0)</f>
        <v>77309.523809523816</v>
      </c>
      <c r="F10652" s="51">
        <f>VLOOKUP(A10652,'[1]Componentes APUs'!$H$1:$L$25,5,0)</f>
        <v>46385.71428571429</v>
      </c>
      <c r="G10652" s="51">
        <f>ROUNDUP((E10652+F10652)*C10652/E10638,0)</f>
        <v>30924</v>
      </c>
    </row>
    <row r="10653" spans="1:7" x14ac:dyDescent="0.25">
      <c r="A10653" s="219" t="s">
        <v>56</v>
      </c>
      <c r="B10653" s="219"/>
      <c r="C10653" s="219"/>
      <c r="D10653" s="219"/>
      <c r="E10653" s="219"/>
      <c r="F10653" s="219"/>
      <c r="G10653" s="52">
        <f>SUM(G10647:G10652)</f>
        <v>91676</v>
      </c>
    </row>
    <row r="10654" spans="1:7" x14ac:dyDescent="0.25">
      <c r="A10654" s="56"/>
      <c r="B10654" s="57"/>
      <c r="C10654" s="57"/>
      <c r="D10654" s="57"/>
      <c r="E10654" s="57"/>
      <c r="F10654" s="57"/>
      <c r="G10654" s="58"/>
    </row>
    <row r="10655" spans="1:7" x14ac:dyDescent="0.25">
      <c r="A10655" s="219" t="s">
        <v>57</v>
      </c>
      <c r="B10655" s="219"/>
      <c r="C10655" s="219"/>
      <c r="D10655" s="219"/>
      <c r="E10655" s="219"/>
      <c r="F10655" s="219"/>
      <c r="G10655" s="219"/>
    </row>
    <row r="10656" spans="1:7" x14ac:dyDescent="0.25">
      <c r="A10656" s="49" t="s">
        <v>35</v>
      </c>
      <c r="B10656" s="219" t="s">
        <v>36</v>
      </c>
      <c r="C10656" s="219"/>
      <c r="D10656" s="49" t="s">
        <v>37</v>
      </c>
      <c r="E10656" s="49" t="s">
        <v>38</v>
      </c>
      <c r="F10656" s="49" t="s">
        <v>39</v>
      </c>
      <c r="G10656" s="49" t="s">
        <v>40</v>
      </c>
    </row>
    <row r="10657" spans="1:7" x14ac:dyDescent="0.25">
      <c r="A10657" s="50" t="s">
        <v>326</v>
      </c>
      <c r="B10657" s="220" t="str">
        <f>VLOOKUP(A10657,'[1]Componentes APUs'!$S$1:$V$10,2,0)</f>
        <v>Juego Llaves</v>
      </c>
      <c r="C10657" s="220"/>
      <c r="D10657" s="50" t="s">
        <v>18</v>
      </c>
      <c r="E10657" s="50">
        <v>2</v>
      </c>
      <c r="F10657" s="51">
        <f>VLOOKUP(A10657,'[1]Componentes APUs'!$S$1:$V$10,4,0)</f>
        <v>9167</v>
      </c>
      <c r="G10657" s="51">
        <f>ROUNDUP(F10657*((E10657/21)/E10638),0)</f>
        <v>110</v>
      </c>
    </row>
    <row r="10658" spans="1:7" x14ac:dyDescent="0.25">
      <c r="A10658" s="50" t="s">
        <v>58</v>
      </c>
      <c r="B10658" s="220" t="str">
        <f>VLOOKUP(A10658,'[1]Componentes APUs'!$S$1:$V$10,2,0)</f>
        <v>Manila de servicio</v>
      </c>
      <c r="C10658" s="220"/>
      <c r="D10658" s="50" t="s">
        <v>18</v>
      </c>
      <c r="E10658" s="50">
        <v>2</v>
      </c>
      <c r="F10658" s="51">
        <f>VLOOKUP(A10658,'[1]Componentes APUs'!$S$1:$V$10,4,0)</f>
        <v>2333</v>
      </c>
      <c r="G10658" s="51">
        <f>ROUNDUP(F10658*((E10658/21)/E10638),0)</f>
        <v>28</v>
      </c>
    </row>
    <row r="10659" spans="1:7" x14ac:dyDescent="0.25">
      <c r="A10659" s="50" t="s">
        <v>327</v>
      </c>
      <c r="B10659" s="220" t="str">
        <f>VLOOKUP(A10659,'[1]Componentes APUs'!$S$1:$V$10,2,0)</f>
        <v>Tula portaherramientas</v>
      </c>
      <c r="C10659" s="220"/>
      <c r="D10659" s="50" t="s">
        <v>18</v>
      </c>
      <c r="E10659" s="50">
        <v>2</v>
      </c>
      <c r="F10659" s="51">
        <f>VLOOKUP(A10659,'[1]Componentes APUs'!$S$1:$V$10,4,0)</f>
        <v>1250</v>
      </c>
      <c r="G10659" s="51">
        <f>ROUNDUP(F10659*((E10659/21)/E10638),0)</f>
        <v>15</v>
      </c>
    </row>
    <row r="10660" spans="1:7" x14ac:dyDescent="0.25">
      <c r="A10660" s="50" t="s">
        <v>60</v>
      </c>
      <c r="B10660" s="220" t="str">
        <f>VLOOKUP(A10660,'[1]Componentes APUs'!$S$1:$V$10,2,0)</f>
        <v>Agarradoras</v>
      </c>
      <c r="C10660" s="220"/>
      <c r="D10660" s="50" t="s">
        <v>18</v>
      </c>
      <c r="E10660" s="50">
        <v>2</v>
      </c>
      <c r="F10660" s="51">
        <f>VLOOKUP(A10660,'[1]Componentes APUs'!$S$1:$V$10,4,0)</f>
        <v>125000</v>
      </c>
      <c r="G10660" s="51">
        <f>ROUNDUP(F10660*((E10660/21)/E10638),0)</f>
        <v>1489</v>
      </c>
    </row>
    <row r="10661" spans="1:7" x14ac:dyDescent="0.25">
      <c r="A10661" s="50" t="s">
        <v>62</v>
      </c>
      <c r="B10661" s="220" t="str">
        <f>VLOOKUP(A10661,'[1]Componentes APUs'!$S$1:$V$10,2,0)</f>
        <v>Templadoras</v>
      </c>
      <c r="C10661" s="220"/>
      <c r="D10661" s="50" t="s">
        <v>18</v>
      </c>
      <c r="E10661" s="50">
        <v>1</v>
      </c>
      <c r="F10661" s="51">
        <f>VLOOKUP(A10661,'[1]Componentes APUs'!$S$1:$V$10,4,0)</f>
        <v>250000</v>
      </c>
      <c r="G10661" s="51">
        <f>ROUNDUP(F10661*((E10661/21)/E10638),0)</f>
        <v>1489</v>
      </c>
    </row>
    <row r="10662" spans="1:7" x14ac:dyDescent="0.25">
      <c r="A10662" s="50" t="s">
        <v>328</v>
      </c>
      <c r="B10662" s="220" t="str">
        <f>VLOOKUP(A10662,'[1]Componentes APUs'!$S$1:$V$10,2,0)</f>
        <v>Herramienta Menor</v>
      </c>
      <c r="C10662" s="220"/>
      <c r="D10662" s="50" t="s">
        <v>18</v>
      </c>
      <c r="E10662" s="50">
        <v>2</v>
      </c>
      <c r="F10662" s="51">
        <f>VLOOKUP(A10662,'[1]Componentes APUs'!$S$1:$V$10,4,0)</f>
        <v>75758</v>
      </c>
      <c r="G10662" s="51">
        <f>ROUNDUP(F10662*((E10662/21)/E10638),0)</f>
        <v>902</v>
      </c>
    </row>
    <row r="10663" spans="1:7" x14ac:dyDescent="0.25">
      <c r="A10663" s="219" t="s">
        <v>69</v>
      </c>
      <c r="B10663" s="219"/>
      <c r="C10663" s="219"/>
      <c r="D10663" s="219"/>
      <c r="E10663" s="219"/>
      <c r="F10663" s="219"/>
      <c r="G10663" s="52">
        <f>SUM(G10657:G10662)</f>
        <v>4033</v>
      </c>
    </row>
    <row r="10664" spans="1:7" x14ac:dyDescent="0.25">
      <c r="A10664" s="56"/>
      <c r="B10664" s="57"/>
      <c r="C10664" s="57"/>
      <c r="D10664" s="57"/>
      <c r="E10664" s="57"/>
      <c r="F10664" s="57"/>
      <c r="G10664" s="58"/>
    </row>
    <row r="10665" spans="1:7" x14ac:dyDescent="0.25">
      <c r="A10665" s="219" t="s">
        <v>70</v>
      </c>
      <c r="B10665" s="219"/>
      <c r="C10665" s="219"/>
      <c r="D10665" s="219"/>
      <c r="E10665" s="219"/>
      <c r="F10665" s="219"/>
      <c r="G10665" s="219"/>
    </row>
    <row r="10666" spans="1:7" x14ac:dyDescent="0.25">
      <c r="A10666" s="49" t="s">
        <v>35</v>
      </c>
      <c r="B10666" s="219" t="s">
        <v>36</v>
      </c>
      <c r="C10666" s="219"/>
      <c r="D10666" s="49" t="s">
        <v>37</v>
      </c>
      <c r="E10666" s="49" t="s">
        <v>38</v>
      </c>
      <c r="F10666" s="49" t="s">
        <v>39</v>
      </c>
      <c r="G10666" s="49" t="s">
        <v>40</v>
      </c>
    </row>
    <row r="10667" spans="1:7" x14ac:dyDescent="0.25">
      <c r="A10667" s="50" t="s">
        <v>71</v>
      </c>
      <c r="B10667" s="71" t="str">
        <f>VLOOKUP(A10667,'[1]Componentes APUs'!$A$1:$D$14,2,0)</f>
        <v>Camisa indigo sin partes metalicas</v>
      </c>
      <c r="C10667" s="71"/>
      <c r="D10667" s="50" t="str">
        <f>VLOOKUP(A10667,'[1]Componentes APUs'!$A$1:$D$14,3,0)</f>
        <v>U</v>
      </c>
      <c r="E10667" s="50">
        <f>SUM(C10647:C10652)</f>
        <v>3.75</v>
      </c>
      <c r="F10667" s="51">
        <f>VLOOKUP(A10667,'[1]Componentes APUs'!$A$1:$D$14,4,0)</f>
        <v>8585.8585858585866</v>
      </c>
      <c r="G10667" s="51">
        <f>ROUNDUP(F10667*(E10667/21)/E10638,0)</f>
        <v>192</v>
      </c>
    </row>
    <row r="10668" spans="1:7" x14ac:dyDescent="0.25">
      <c r="A10668" s="69" t="s">
        <v>73</v>
      </c>
      <c r="B10668" s="72" t="str">
        <f>VLOOKUP(A10668,'[1]Componentes APUs'!$A$1:$D$14,2,0)</f>
        <v>Bota de seguridad dielectrica</v>
      </c>
      <c r="C10668" s="73"/>
      <c r="D10668" s="70" t="str">
        <f>VLOOKUP(A10668,'[1]Componentes APUs'!$A$1:$D$14,3,0)</f>
        <v>Par</v>
      </c>
      <c r="E10668" s="50">
        <f>SUM(C10647:C10652)</f>
        <v>3.75</v>
      </c>
      <c r="F10668" s="51">
        <f>VLOOKUP(A10668,'[1]Componentes APUs'!$A$1:$D$14,4,0)</f>
        <v>7500</v>
      </c>
      <c r="G10668" s="51">
        <f>ROUNDUP(F10668*(E10668/21)/E10638,0)</f>
        <v>168</v>
      </c>
    </row>
    <row r="10669" spans="1:7" x14ac:dyDescent="0.25">
      <c r="A10669" s="50" t="s">
        <v>76</v>
      </c>
      <c r="B10669" s="72" t="str">
        <f>VLOOKUP(A10669,'[1]Componentes APUs'!$A$1:$D$14,2,0)</f>
        <v>Casco dielectrico Tipo 1 Clase E con barbuquejo</v>
      </c>
      <c r="C10669" s="73"/>
      <c r="D10669" s="50" t="str">
        <f>VLOOKUP(A10669,'[1]Componentes APUs'!$A$1:$D$14,3,0)</f>
        <v>U</v>
      </c>
      <c r="E10669" s="50">
        <f>C10647+C10648+C10650+C10651+C10652+IF(A10649&lt;&gt;"MO-3",C10649,0)</f>
        <v>2.75</v>
      </c>
      <c r="F10669" s="51">
        <f>VLOOKUP(A10669,'[1]Componentes APUs'!$A$1:$D$14,4,0)</f>
        <v>10101.010101010101</v>
      </c>
      <c r="G10669" s="51">
        <f>ROUNDUP(F10669*(E10669/21)/E10638,0)</f>
        <v>166</v>
      </c>
    </row>
    <row r="10670" spans="1:7" x14ac:dyDescent="0.25">
      <c r="A10670" s="69" t="s">
        <v>77</v>
      </c>
      <c r="B10670" s="72" t="str">
        <f>VLOOKUP(A10670,'[1]Componentes APUs'!$A$1:$D$14,2,0)</f>
        <v>Correa plastica y antiflama</v>
      </c>
      <c r="C10670" s="73"/>
      <c r="D10670" s="50" t="str">
        <f>VLOOKUP(A10670,'[1]Componentes APUs'!$A$1:$D$14,3,0)</f>
        <v>U</v>
      </c>
      <c r="E10670" s="50">
        <f>SUM(C10647:C10652)</f>
        <v>3.75</v>
      </c>
      <c r="F10670" s="51">
        <f>VLOOKUP(A10670,'[1]Componentes APUs'!$A$1:$D$14,4,0)</f>
        <v>3787.878787878788</v>
      </c>
      <c r="G10670" s="51">
        <f>ROUNDUP(F10670*(E10670/21)/E10638,0)</f>
        <v>85</v>
      </c>
    </row>
    <row r="10671" spans="1:7" x14ac:dyDescent="0.25">
      <c r="A10671" s="50" t="s">
        <v>79</v>
      </c>
      <c r="B10671" s="72" t="str">
        <f>VLOOKUP(A10671,'[1]Componentes APUs'!$A$1:$D$14,2,0)</f>
        <v>Gafas protectoras filtro UV</v>
      </c>
      <c r="C10671" s="73"/>
      <c r="D10671" s="50" t="str">
        <f>VLOOKUP(A10671,'[1]Componentes APUs'!$A$1:$D$14,3,0)</f>
        <v>U</v>
      </c>
      <c r="E10671" s="50">
        <f>SUM(C10647:C10652)</f>
        <v>3.75</v>
      </c>
      <c r="F10671" s="51">
        <f>VLOOKUP(A10671,'[1]Componentes APUs'!$A$1:$D$14,4,0)</f>
        <v>2777.7777777777778</v>
      </c>
      <c r="G10671" s="51">
        <f>ROUNDUP(F10671*(E10671/21)/E10638,0)</f>
        <v>63</v>
      </c>
    </row>
    <row r="10672" spans="1:7" x14ac:dyDescent="0.25">
      <c r="A10672" s="69" t="s">
        <v>402</v>
      </c>
      <c r="B10672" s="72" t="str">
        <f>VLOOKUP(A10672,'[1]Componentes APUs'!$A$1:$D$14,2,0)</f>
        <v>Bota de seguridad PVC dielectrica</v>
      </c>
      <c r="C10672" s="73"/>
      <c r="D10672" s="50" t="str">
        <f>VLOOKUP(A10672,'[1]Componentes APUs'!$A$1:$D$14,3,0)</f>
        <v>Par</v>
      </c>
      <c r="E10672" s="50">
        <f>SUM(C10647:C10652)</f>
        <v>3.75</v>
      </c>
      <c r="F10672" s="51">
        <f>VLOOKUP(A10672,'[1]Componentes APUs'!$A$1:$D$14,4,0)</f>
        <v>2916.6666666666665</v>
      </c>
      <c r="G10672" s="51">
        <f>ROUNDUP(F10672*(E10672/21)/E10638,0)</f>
        <v>66</v>
      </c>
    </row>
    <row r="10673" spans="1:7" x14ac:dyDescent="0.25">
      <c r="A10673" s="50" t="s">
        <v>403</v>
      </c>
      <c r="B10673" s="72" t="str">
        <f>VLOOKUP(A10673,'[1]Componentes APUs'!$A$1:$D$14,2,0)</f>
        <v>Capuchon</v>
      </c>
      <c r="C10673" s="73"/>
      <c r="D10673" s="50" t="str">
        <f>VLOOKUP(A10673,'[1]Componentes APUs'!$A$1:$D$14,3,0)</f>
        <v>U</v>
      </c>
      <c r="E10673" s="50">
        <f>SUM(C10647:C10652)</f>
        <v>3.75</v>
      </c>
      <c r="F10673" s="51">
        <f>VLOOKUP(A10673,'[1]Componentes APUs'!$A$1:$D$14,4,0)</f>
        <v>2525.2525252525252</v>
      </c>
      <c r="G10673" s="51">
        <f>ROUNDUP(F10673*(E10673/21)/E10638,0)</f>
        <v>57</v>
      </c>
    </row>
    <row r="10674" spans="1:7" x14ac:dyDescent="0.25">
      <c r="A10674" s="69" t="s">
        <v>81</v>
      </c>
      <c r="B10674" s="72" t="str">
        <f>VLOOKUP(A10674,'[1]Componentes APUs'!$A$1:$D$14,2,0)</f>
        <v>Guantes Protectores  - ingeniero reforzados</v>
      </c>
      <c r="C10674" s="73"/>
      <c r="D10674" s="50" t="str">
        <f>VLOOKUP(A10674,'[1]Componentes APUs'!$A$1:$D$14,3,0)</f>
        <v>Par</v>
      </c>
      <c r="E10674" s="50">
        <f>C10649+C10650+C10652</f>
        <v>3</v>
      </c>
      <c r="F10674" s="51">
        <f>VLOOKUP(A10674,'[1]Componentes APUs'!$A$1:$D$14,4,0)</f>
        <v>2525.2525252525252</v>
      </c>
      <c r="G10674" s="51">
        <f>ROUNDUP(F10674*(E10674/21)/E10638,0)</f>
        <v>46</v>
      </c>
    </row>
    <row r="10675" spans="1:7" x14ac:dyDescent="0.25">
      <c r="A10675" s="50" t="s">
        <v>83</v>
      </c>
      <c r="B10675" s="72" t="str">
        <f>VLOOKUP(A10675,'[1]Componentes APUs'!$A$1:$D$14,2,0)</f>
        <v>Impermeable (pantalon camisa)</v>
      </c>
      <c r="C10675" s="73"/>
      <c r="D10675" s="50" t="str">
        <f>VLOOKUP(A10675,'[1]Componentes APUs'!$A$1:$D$14,3,0)</f>
        <v>U</v>
      </c>
      <c r="E10675" s="50">
        <f>SUM(C10647:C10652)</f>
        <v>3.75</v>
      </c>
      <c r="F10675" s="51">
        <f>VLOOKUP(A10675,'[1]Componentes APUs'!$A$1:$D$14,4,0)</f>
        <v>3750</v>
      </c>
      <c r="G10675" s="51">
        <f>ROUNDUP(F10675*(E10675/21)/E10638,0)</f>
        <v>84</v>
      </c>
    </row>
    <row r="10676" spans="1:7" x14ac:dyDescent="0.25">
      <c r="A10676" s="69" t="s">
        <v>85</v>
      </c>
      <c r="B10676" s="72" t="str">
        <f>VLOOKUP(A10676,'[1]Componentes APUs'!$A$1:$D$14,2,0)</f>
        <v>Jean Dielectrico</v>
      </c>
      <c r="C10676" s="73"/>
      <c r="D10676" s="50" t="str">
        <f>VLOOKUP(A10676,'[1]Componentes APUs'!$A$1:$D$14,3,0)</f>
        <v>U</v>
      </c>
      <c r="E10676" s="50">
        <f>SUM(C10647:C10652)</f>
        <v>3.75</v>
      </c>
      <c r="F10676" s="51">
        <f>VLOOKUP(A10676,'[1]Componentes APUs'!$A$1:$D$14,4,0)</f>
        <v>7575.757575757576</v>
      </c>
      <c r="G10676" s="51">
        <f>ROUNDUP(F10676*(E10676/21)/E10638,0)</f>
        <v>170</v>
      </c>
    </row>
    <row r="10677" spans="1:7" x14ac:dyDescent="0.25">
      <c r="A10677" s="50" t="s">
        <v>87</v>
      </c>
      <c r="B10677" s="72" t="str">
        <f>VLOOKUP(A10677,'[1]Componentes APUs'!$A$1:$D$14,2,0)</f>
        <v>Casco dielectrico Tipo 2 Clase E con barboquejo</v>
      </c>
      <c r="C10677" s="73"/>
      <c r="D10677" s="50" t="str">
        <f>VLOOKUP(A10677,'[1]Componentes APUs'!$A$1:$D$14,3,0)</f>
        <v>U</v>
      </c>
      <c r="E10677" s="53">
        <f>IF(A10649="MO-3",C10649,0)</f>
        <v>1</v>
      </c>
      <c r="F10677" s="51">
        <f>VLOOKUP(A10677,'[1]Componentes APUs'!$A$1:$D$14,4,0)</f>
        <v>7500</v>
      </c>
      <c r="G10677" s="51">
        <f>ROUNDUP(F10677*(E10677/21)/E10638,0)</f>
        <v>45</v>
      </c>
    </row>
    <row r="10678" spans="1:7" x14ac:dyDescent="0.25">
      <c r="A10678" s="69" t="s">
        <v>89</v>
      </c>
      <c r="B10678" s="72" t="str">
        <f>VLOOKUP(A10678,'[1]Componentes APUs'!$A$1:$D$14,2,0)</f>
        <v>Kit de rescate para trabajo en alturas</v>
      </c>
      <c r="C10678" s="73"/>
      <c r="D10678" s="50" t="str">
        <f>VLOOKUP(A10678,'[1]Componentes APUs'!$A$1:$D$14,3,0)</f>
        <v>U</v>
      </c>
      <c r="E10678" s="50">
        <f>IF(AND(A10649="MO-3",C10649=2),1,0)</f>
        <v>0</v>
      </c>
      <c r="F10678" s="51">
        <f>VLOOKUP(A10678,'[1]Componentes APUs'!$A$1:$D$14,4,0)</f>
        <v>37500</v>
      </c>
      <c r="G10678" s="51">
        <f>ROUNDUP(F10678*(E10678/21)/E10638,0)</f>
        <v>0</v>
      </c>
    </row>
    <row r="10679" spans="1:7" x14ac:dyDescent="0.25">
      <c r="A10679" s="50" t="s">
        <v>91</v>
      </c>
      <c r="B10679" s="72" t="str">
        <f>VLOOKUP(A10679,'[1]Componentes APUs'!$A$1:$D$14,2,0)</f>
        <v>Equipo completo para trabajo en alturas con pretales (Arnes dielectrico, 1 mosqueton de seguridad, tie off dielectrico, eslinga de posicionamiento, juego de pretales)</v>
      </c>
      <c r="C10679" s="73"/>
      <c r="D10679" s="50" t="str">
        <f>VLOOKUP(A10679,'[1]Componentes APUs'!$A$1:$D$14,3,0)</f>
        <v>U</v>
      </c>
      <c r="E10679" s="50">
        <f>IF(A10649="MO-3",C10649,0)</f>
        <v>1</v>
      </c>
      <c r="F10679" s="51">
        <f>VLOOKUP(A10679,'[1]Componentes APUs'!$A$1:$D$14,4,0)</f>
        <v>26041.666666666668</v>
      </c>
      <c r="G10679" s="51">
        <f>ROUNDUP(F10679*(E10679/21)/E10638,0)</f>
        <v>156</v>
      </c>
    </row>
    <row r="10680" spans="1:7" x14ac:dyDescent="0.25">
      <c r="A10680" s="219" t="s">
        <v>95</v>
      </c>
      <c r="B10680" s="219"/>
      <c r="C10680" s="219"/>
      <c r="D10680" s="219"/>
      <c r="E10680" s="219"/>
      <c r="F10680" s="219"/>
      <c r="G10680" s="52">
        <f>SUM(G10667:G10679)</f>
        <v>1298</v>
      </c>
    </row>
    <row r="10681" spans="1:7" x14ac:dyDescent="0.25">
      <c r="A10681" s="56"/>
      <c r="B10681" s="57"/>
      <c r="C10681" s="57"/>
      <c r="D10681" s="57"/>
      <c r="E10681" s="57"/>
      <c r="F10681" s="57"/>
      <c r="G10681" s="58"/>
    </row>
    <row r="10682" spans="1:7" x14ac:dyDescent="0.25">
      <c r="A10682" s="219" t="s">
        <v>96</v>
      </c>
      <c r="B10682" s="219"/>
      <c r="C10682" s="219"/>
      <c r="D10682" s="219"/>
      <c r="E10682" s="219"/>
      <c r="F10682" s="219"/>
      <c r="G10682" s="219"/>
    </row>
    <row r="10683" spans="1:7" x14ac:dyDescent="0.25">
      <c r="A10683" s="49" t="s">
        <v>35</v>
      </c>
      <c r="B10683" s="225" t="s">
        <v>36</v>
      </c>
      <c r="C10683" s="225"/>
      <c r="D10683" s="49" t="s">
        <v>37</v>
      </c>
      <c r="E10683" s="49" t="s">
        <v>38</v>
      </c>
      <c r="F10683" s="49" t="s">
        <v>39</v>
      </c>
      <c r="G10683" s="49" t="s">
        <v>40</v>
      </c>
    </row>
    <row r="10684" spans="1:7" x14ac:dyDescent="0.25">
      <c r="A10684" s="69" t="s">
        <v>97</v>
      </c>
      <c r="B10684" s="72" t="str">
        <f>VLOOKUP(A10684,'[1]Componentes APUs'!$N$1:$Q$30,2,0)</f>
        <v>Camioneta</v>
      </c>
      <c r="C10684" s="73"/>
      <c r="D10684" s="70" t="str">
        <f>VLOOKUP(A10684,'[1]Componentes APUs'!$N$1:$Q$30,3,0)</f>
        <v>U</v>
      </c>
      <c r="E10684" s="50">
        <v>1</v>
      </c>
      <c r="F10684" s="51">
        <f>VLOOKUP(A10684,'[1]Componentes APUs'!$N$1:$Q$30,4,0)</f>
        <v>5500000</v>
      </c>
      <c r="G10684" s="51">
        <f>IFERROR(ROUNDUP(F10684*(E10684/21)/E10638,0),"-")</f>
        <v>32739</v>
      </c>
    </row>
    <row r="10685" spans="1:7" x14ac:dyDescent="0.25">
      <c r="A10685" s="50" t="s">
        <v>321</v>
      </c>
      <c r="B10685" s="72" t="str">
        <f>VLOOKUP(A10685,'[1]Componentes APUs'!$N$1:$Q$30,2,0)</f>
        <v>Grúa Hidráulica</v>
      </c>
      <c r="C10685" s="73"/>
      <c r="D10685" s="70" t="str">
        <f>VLOOKUP(A10685,'[1]Componentes APUs'!$N$1:$Q$30,3,0)</f>
        <v>U</v>
      </c>
      <c r="E10685" s="50">
        <v>1</v>
      </c>
      <c r="F10685" s="51">
        <f>VLOOKUP(A10685,'[1]Componentes APUs'!$N$1:$Q$30,4,0)</f>
        <v>21000000</v>
      </c>
      <c r="G10685" s="51">
        <f>IFERROR(ROUNDUP(F10685*(E10685/21)/E10638,0),"-")</f>
        <v>125000</v>
      </c>
    </row>
    <row r="10686" spans="1:7" x14ac:dyDescent="0.25">
      <c r="A10686" s="69" t="s">
        <v>322</v>
      </c>
      <c r="B10686" s="72" t="str">
        <f>VLOOKUP(A10686,'[1]Componentes APUs'!$N$1:$Q$30,2,0)</f>
        <v>Camabaja</v>
      </c>
      <c r="C10686" s="73"/>
      <c r="D10686" s="70" t="str">
        <f>VLOOKUP(A10686,'[1]Componentes APUs'!$N$1:$Q$30,3,0)</f>
        <v>TON/KM</v>
      </c>
      <c r="E10686" s="50">
        <v>0</v>
      </c>
      <c r="F10686" s="51">
        <f>VLOOKUP(A10686,'[1]Componentes APUs'!$N$1:$Q$30,4,0)</f>
        <v>611</v>
      </c>
      <c r="G10686" s="51">
        <f>IFERROR(ROUNDUP(F10686*(E10686/21)/E10638,0),"-")</f>
        <v>0</v>
      </c>
    </row>
    <row r="10687" spans="1:7" x14ac:dyDescent="0.25">
      <c r="A10687" s="50" t="s">
        <v>323</v>
      </c>
      <c r="B10687" s="72" t="str">
        <f>VLOOKUP(A10687,'[1]Componentes APUs'!$N$1:$Q$30,2,0)</f>
        <v>Volqueta</v>
      </c>
      <c r="C10687" s="73"/>
      <c r="D10687" s="70" t="str">
        <f>VLOOKUP(A10687,'[1]Componentes APUs'!$N$1:$Q$30,3,0)</f>
        <v>U</v>
      </c>
      <c r="E10687" s="50">
        <v>0</v>
      </c>
      <c r="F10687" s="51">
        <f>VLOOKUP(A10687,'[1]Componentes APUs'!$N$1:$Q$30,4,0)</f>
        <v>18900000</v>
      </c>
      <c r="G10687" s="51">
        <f>IFERROR(ROUNDUP(F10687*(E10687/21)/E10638,0),"-")</f>
        <v>0</v>
      </c>
    </row>
    <row r="10688" spans="1:7" x14ac:dyDescent="0.25">
      <c r="A10688" s="69" t="s">
        <v>324</v>
      </c>
      <c r="B10688" s="72" t="str">
        <f>VLOOKUP(A10688,'[1]Componentes APUs'!$N$1:$Q$30,2,0)</f>
        <v>Retroexcavadora</v>
      </c>
      <c r="C10688" s="73"/>
      <c r="D10688" s="70" t="str">
        <f>VLOOKUP(A10688,'[1]Componentes APUs'!$N$1:$Q$30,3,0)</f>
        <v>U</v>
      </c>
      <c r="E10688" s="50">
        <v>0</v>
      </c>
      <c r="F10688" s="51">
        <f>VLOOKUP(A10688,'[1]Componentes APUs'!$N$1:$Q$30,4,0)</f>
        <v>1494459.54</v>
      </c>
      <c r="G10688" s="51">
        <f>IFERROR(ROUNDUP(F10688*(E10688/21)/E10638,0),"-")</f>
        <v>0</v>
      </c>
    </row>
    <row r="10689" spans="1:7" x14ac:dyDescent="0.25">
      <c r="A10689" s="219" t="s">
        <v>99</v>
      </c>
      <c r="B10689" s="219"/>
      <c r="C10689" s="219"/>
      <c r="D10689" s="219"/>
      <c r="E10689" s="219"/>
      <c r="F10689" s="219"/>
      <c r="G10689" s="52">
        <f>SUM(G10684:G10688)</f>
        <v>157739</v>
      </c>
    </row>
    <row r="10690" spans="1:7" x14ac:dyDescent="0.25">
      <c r="A10690" s="56"/>
      <c r="B10690" s="57"/>
      <c r="C10690" s="57"/>
      <c r="D10690" s="57"/>
      <c r="E10690" s="57"/>
      <c r="F10690" s="57"/>
      <c r="G10690" s="58"/>
    </row>
    <row r="10691" spans="1:7" x14ac:dyDescent="0.25">
      <c r="A10691" s="219" t="s">
        <v>1516</v>
      </c>
      <c r="B10691" s="219"/>
      <c r="C10691" s="219"/>
      <c r="D10691" s="219"/>
      <c r="E10691" s="219"/>
      <c r="F10691" s="219"/>
      <c r="G10691" s="52">
        <f>G10689+G10680+G10663+G10653+G10643</f>
        <v>3037071</v>
      </c>
    </row>
    <row r="10692" spans="1:7" x14ac:dyDescent="0.25">
      <c r="A10692" s="59"/>
      <c r="B10692" s="60"/>
      <c r="C10692" s="60"/>
      <c r="D10692" s="60"/>
      <c r="E10692" s="57"/>
      <c r="F10692" s="57"/>
      <c r="G10692" s="58"/>
    </row>
    <row r="10693" spans="1:7" x14ac:dyDescent="0.25">
      <c r="A10693" s="64"/>
      <c r="D10693" s="55"/>
      <c r="E10693" s="49" t="s">
        <v>25</v>
      </c>
      <c r="F10693" s="54">
        <v>0.15</v>
      </c>
      <c r="G10693" s="51">
        <f>G10691*F10693</f>
        <v>455560.64999999997</v>
      </c>
    </row>
    <row r="10694" spans="1:7" x14ac:dyDescent="0.25">
      <c r="A10694" s="64"/>
      <c r="D10694" s="55"/>
      <c r="E10694" s="49" t="s">
        <v>26</v>
      </c>
      <c r="F10694" s="54">
        <v>0.05</v>
      </c>
      <c r="G10694" s="51">
        <f>G10691*F10694</f>
        <v>151853.55000000002</v>
      </c>
    </row>
    <row r="10695" spans="1:7" x14ac:dyDescent="0.25">
      <c r="A10695" s="61"/>
      <c r="B10695" s="65"/>
      <c r="C10695" s="65"/>
      <c r="D10695" s="62"/>
      <c r="E10695" s="49" t="s">
        <v>27</v>
      </c>
      <c r="F10695" s="54">
        <v>0.05</v>
      </c>
      <c r="G10695" s="51">
        <f>G10691*F10695</f>
        <v>151853.55000000002</v>
      </c>
    </row>
    <row r="10696" spans="1:7" x14ac:dyDescent="0.25">
      <c r="A10696" s="61"/>
      <c r="B10696" s="62"/>
      <c r="C10696" s="62"/>
      <c r="D10696" s="62"/>
      <c r="E10696" s="62"/>
      <c r="F10696" s="62"/>
      <c r="G10696" s="63"/>
    </row>
    <row r="10697" spans="1:7" x14ac:dyDescent="0.25">
      <c r="A10697" s="219" t="s">
        <v>1517</v>
      </c>
      <c r="B10697" s="219"/>
      <c r="C10697" s="219"/>
      <c r="D10697" s="219"/>
      <c r="E10697" s="219"/>
      <c r="F10697" s="219"/>
      <c r="G10697" s="52">
        <f>G10691+G10693+G10694+G10695</f>
        <v>3796338.7499999995</v>
      </c>
    </row>
    <row r="10698" spans="1:7" x14ac:dyDescent="0.25">
      <c r="A10698" s="59"/>
      <c r="B10698" s="60"/>
      <c r="C10698" s="60"/>
      <c r="D10698" s="60"/>
      <c r="E10698" s="57"/>
      <c r="F10698" s="57"/>
      <c r="G10698" s="58"/>
    </row>
    <row r="10699" spans="1:7" x14ac:dyDescent="0.25">
      <c r="A10699" s="64"/>
      <c r="D10699" s="55"/>
      <c r="E10699" s="49" t="s">
        <v>102</v>
      </c>
      <c r="F10699" s="49" t="s">
        <v>103</v>
      </c>
      <c r="G10699" s="51">
        <f>G10695*19%</f>
        <v>28852.174500000005</v>
      </c>
    </row>
    <row r="10700" spans="1:7" ht="22.5" customHeight="1" x14ac:dyDescent="0.25">
      <c r="A10700" s="61"/>
      <c r="B10700" s="62"/>
      <c r="C10700" s="62"/>
      <c r="D10700" s="62"/>
      <c r="E10700" s="57"/>
      <c r="F10700" s="57"/>
      <c r="G10700" s="58"/>
    </row>
    <row r="10701" spans="1:7" x14ac:dyDescent="0.25">
      <c r="A10701" s="219" t="s">
        <v>104</v>
      </c>
      <c r="B10701" s="219"/>
      <c r="C10701" s="219"/>
      <c r="D10701" s="219"/>
      <c r="E10701" s="219"/>
      <c r="F10701" s="219"/>
      <c r="G10701" s="52">
        <f>G10699+G10697</f>
        <v>3825190.9244999997</v>
      </c>
    </row>
    <row r="10703" spans="1:7" x14ac:dyDescent="0.25">
      <c r="A10703" s="74" t="s">
        <v>29</v>
      </c>
      <c r="B10703" s="226" t="s">
        <v>30</v>
      </c>
      <c r="C10703" s="226"/>
      <c r="D10703" s="74" t="s">
        <v>31</v>
      </c>
      <c r="E10703" s="74" t="s">
        <v>32</v>
      </c>
      <c r="F10703" s="74" t="s">
        <v>189</v>
      </c>
      <c r="G10703" s="74" t="s">
        <v>33</v>
      </c>
    </row>
    <row r="10704" spans="1:7" ht="30" customHeight="1" x14ac:dyDescent="0.25">
      <c r="A10704" s="50" t="str">
        <f>Presupuesto!B195</f>
        <v>007_N3</v>
      </c>
      <c r="B10704" s="220" t="str">
        <f>Presupuesto!C195</f>
        <v>BASE EN CONCRETO Y ANCLAJE POSTE DE CONCRETO 14 m 1050 KG</v>
      </c>
      <c r="C10704" s="220"/>
      <c r="D10704" s="50" t="s">
        <v>18</v>
      </c>
      <c r="E10704" s="93">
        <v>2</v>
      </c>
      <c r="F10704" s="50"/>
      <c r="G10704" s="51">
        <f>G10774</f>
        <v>1205550.577</v>
      </c>
    </row>
    <row r="10705" spans="1:7" ht="15" customHeight="1" x14ac:dyDescent="0.25">
      <c r="A10705" s="219" t="s">
        <v>34</v>
      </c>
      <c r="B10705" s="219"/>
      <c r="C10705" s="219"/>
      <c r="D10705" s="219"/>
      <c r="E10705" s="219"/>
      <c r="F10705" s="219"/>
      <c r="G10705" s="219"/>
    </row>
    <row r="10706" spans="1:7" x14ac:dyDescent="0.25">
      <c r="A10706" s="49" t="s">
        <v>35</v>
      </c>
      <c r="B10706" s="219" t="s">
        <v>36</v>
      </c>
      <c r="C10706" s="219"/>
      <c r="D10706" s="49" t="s">
        <v>37</v>
      </c>
      <c r="E10706" s="49" t="s">
        <v>38</v>
      </c>
      <c r="F10706" s="49" t="s">
        <v>39</v>
      </c>
      <c r="G10706" s="49" t="s">
        <v>40</v>
      </c>
    </row>
    <row r="10707" spans="1:7" x14ac:dyDescent="0.25">
      <c r="A10707" s="17" t="str">
        <f>Material!A14</f>
        <v>MA-13</v>
      </c>
      <c r="B10707" s="72" t="str">
        <f>IFERROR(VLOOKUP(A10707,Material!$A:$J,2,0),"-")</f>
        <v>MALLA ELECTROSOLDADA 4 mm</v>
      </c>
      <c r="C10707" s="73"/>
      <c r="D10707" s="50" t="str">
        <f>IFERROR(VLOOKUP(A10707,Material!$A:$J,4,0),"-")</f>
        <v>M2</v>
      </c>
      <c r="E10707" s="50">
        <v>1.7</v>
      </c>
      <c r="F10707" s="51">
        <f>IFERROR(VLOOKUP(A10707,Material!$A:$J,3,0),"-")</f>
        <v>8577</v>
      </c>
      <c r="G10707" s="51">
        <f t="shared" ref="G10707:G10713" si="149">IFERROR(ROUNDUP(F10707*E10707,0),"-")</f>
        <v>14581</v>
      </c>
    </row>
    <row r="10708" spans="1:7" x14ac:dyDescent="0.25">
      <c r="A10708" s="17" t="str">
        <f>Material!A15</f>
        <v>MA-14</v>
      </c>
      <c r="B10708" s="72" t="str">
        <f>IFERROR(VLOOKUP(A10708,Material!$A:$J,2,0),"-")</f>
        <v>CONCRETO DE 3000 PSI</v>
      </c>
      <c r="C10708" s="73"/>
      <c r="D10708" s="50" t="str">
        <f>IFERROR(VLOOKUP(A10708,Material!$A:$J,4,0),"-")</f>
        <v>M3</v>
      </c>
      <c r="E10708" s="50">
        <v>0.38</v>
      </c>
      <c r="F10708" s="51">
        <f>IFERROR(VLOOKUP(A10708,Material!$A:$J,3,0),"-")</f>
        <v>620227.23330691375</v>
      </c>
      <c r="G10708" s="51">
        <f t="shared" si="149"/>
        <v>235687</v>
      </c>
    </row>
    <row r="10709" spans="1:7" x14ac:dyDescent="0.25">
      <c r="A10709" s="17" t="str">
        <f>Material!A191</f>
        <v>MA-190</v>
      </c>
      <c r="B10709" s="72" t="str">
        <f>IFERROR(VLOOKUP(A10709,Material!$A:$J,2,0),"-")</f>
        <v>CONCRETO PARA SOLADO 2500 PSI</v>
      </c>
      <c r="C10709" s="73"/>
      <c r="D10709" s="50" t="str">
        <f>IFERROR(VLOOKUP(A10709,Material!$A:$J,4,0),"-")</f>
        <v>M3</v>
      </c>
      <c r="E10709" s="50">
        <v>0.03</v>
      </c>
      <c r="F10709" s="51">
        <f>IFERROR(VLOOKUP(A10709,Material!$A:$J,3,0),"-")</f>
        <v>760500</v>
      </c>
      <c r="G10709" s="51">
        <f t="shared" si="149"/>
        <v>22815</v>
      </c>
    </row>
    <row r="10710" spans="1:7" x14ac:dyDescent="0.25">
      <c r="A10710" s="17" t="str">
        <f>Material!A192</f>
        <v>MA-191</v>
      </c>
      <c r="B10710" s="72" t="str">
        <f>IFERROR(VLOOKUP(A10710,Material!$A:$J,2,0),"-")</f>
        <v>CONCRETO CICLOPEO DE 3000 PSI</v>
      </c>
      <c r="C10710" s="73"/>
      <c r="D10710" s="50" t="str">
        <f>IFERROR(VLOOKUP(A10710,Material!$A:$J,4,0),"-")</f>
        <v>M3</v>
      </c>
      <c r="E10710" s="50">
        <v>0.39</v>
      </c>
      <c r="F10710" s="51">
        <f>IFERROR(VLOOKUP(A10710,Material!$A:$J,3,0),"-")</f>
        <v>338000</v>
      </c>
      <c r="G10710" s="51">
        <f t="shared" si="149"/>
        <v>131820</v>
      </c>
    </row>
    <row r="10711" spans="1:7" x14ac:dyDescent="0.25">
      <c r="A10711" s="17" t="str">
        <f>Material!A18</f>
        <v>MA-17</v>
      </c>
      <c r="B10711" s="72" t="str">
        <f>IFERROR(VLOOKUP(A10711,Material!$A:$J,2,0),"-")</f>
        <v>EXCAVACIÓN EN MATERIAL COMÚN BAJO AGUA DE 0 - 2 M MANUAL</v>
      </c>
      <c r="C10711" s="73"/>
      <c r="D10711" s="50" t="str">
        <f>IFERROR(VLOOKUP(A10711,Material!$A:$J,4,0),"-")</f>
        <v>M3</v>
      </c>
      <c r="E10711" s="50">
        <v>0.93</v>
      </c>
      <c r="F10711" s="51">
        <f>IFERROR(VLOOKUP(A10711,Material!$A:$J,3,0),"-")</f>
        <v>45663.8</v>
      </c>
      <c r="G10711" s="51">
        <f t="shared" si="149"/>
        <v>42468</v>
      </c>
    </row>
    <row r="10712" spans="1:7" x14ac:dyDescent="0.25">
      <c r="A10712" s="50"/>
      <c r="B10712" s="75" t="str">
        <f>IFERROR(VLOOKUP(A10712,Material!$A:$J,2,0),"-")</f>
        <v>-</v>
      </c>
      <c r="C10712" s="76"/>
      <c r="D10712" s="50" t="str">
        <f>IFERROR(VLOOKUP(A10712,Material!$A:$J,4,0),"-")</f>
        <v>-</v>
      </c>
      <c r="E10712" s="50"/>
      <c r="F10712" s="51" t="str">
        <f>IFERROR(VLOOKUP(A10712,Material!$A:$J,3,0),"-")</f>
        <v>-</v>
      </c>
      <c r="G10712" s="51" t="str">
        <f t="shared" si="149"/>
        <v>-</v>
      </c>
    </row>
    <row r="10713" spans="1:7" x14ac:dyDescent="0.25">
      <c r="A10713" s="50"/>
      <c r="B10713" s="75" t="str">
        <f>IFERROR(VLOOKUP(A10713,Material!$A:$J,2,0),"-")</f>
        <v>-</v>
      </c>
      <c r="C10713" s="76"/>
      <c r="D10713" s="50" t="str">
        <f>IFERROR(VLOOKUP(A10713,Material!$A:$J,4,0),"-")</f>
        <v>-</v>
      </c>
      <c r="E10713" s="50"/>
      <c r="F10713" s="51" t="str">
        <f>IFERROR(VLOOKUP(A10713,Material!$A:$J,3,0),"-")</f>
        <v>-</v>
      </c>
      <c r="G10713" s="51" t="str">
        <f t="shared" si="149"/>
        <v>-</v>
      </c>
    </row>
    <row r="10714" spans="1:7" x14ac:dyDescent="0.25">
      <c r="A10714" s="219" t="s">
        <v>41</v>
      </c>
      <c r="B10714" s="219"/>
      <c r="C10714" s="219"/>
      <c r="D10714" s="219"/>
      <c r="E10714" s="219"/>
      <c r="F10714" s="219"/>
      <c r="G10714" s="52">
        <f>SUM(G10707:G10713)</f>
        <v>447371</v>
      </c>
    </row>
    <row r="10715" spans="1:7" x14ac:dyDescent="0.25">
      <c r="A10715" s="56"/>
      <c r="B10715" s="57"/>
      <c r="C10715" s="57"/>
      <c r="D10715" s="57"/>
      <c r="E10715" s="57"/>
      <c r="F10715" s="57"/>
      <c r="G10715" s="58"/>
    </row>
    <row r="10716" spans="1:7" x14ac:dyDescent="0.25">
      <c r="A10716" s="219" t="s">
        <v>42</v>
      </c>
      <c r="B10716" s="219"/>
      <c r="C10716" s="219"/>
      <c r="D10716" s="219"/>
      <c r="E10716" s="219"/>
      <c r="F10716" s="219"/>
      <c r="G10716" s="219"/>
    </row>
    <row r="10717" spans="1:7" x14ac:dyDescent="0.25">
      <c r="A10717" s="49" t="s">
        <v>35</v>
      </c>
      <c r="B10717" s="49" t="s">
        <v>36</v>
      </c>
      <c r="C10717" s="49" t="s">
        <v>38</v>
      </c>
      <c r="D10717" s="49" t="s">
        <v>43</v>
      </c>
      <c r="E10717" s="49" t="s">
        <v>44</v>
      </c>
      <c r="F10717" s="49" t="s">
        <v>45</v>
      </c>
      <c r="G10717" s="49" t="s">
        <v>40</v>
      </c>
    </row>
    <row r="10718" spans="1:7" x14ac:dyDescent="0.25">
      <c r="A10718" s="50" t="s">
        <v>319</v>
      </c>
      <c r="B10718" s="68" t="str">
        <f>VLOOKUP(A10718,'[1]Componentes APUs'!$H$1:$L$25,2,0)</f>
        <v>Ingeniero Residente de Obra</v>
      </c>
      <c r="C10718" s="93">
        <v>0.25</v>
      </c>
      <c r="D10718" s="50">
        <f>VLOOKUP(A10718,'[1]Componentes APUs'!$H$1:$L$25,3,0)</f>
        <v>4</v>
      </c>
      <c r="E10718" s="51">
        <f>VLOOKUP(A10718,'[1]Componentes APUs'!$H$1:$L$25,4,0)</f>
        <v>271142.85714285716</v>
      </c>
      <c r="F10718" s="51">
        <f>VLOOKUP(A10718,'[1]Componentes APUs'!$H$1:$L$25,5,0)</f>
        <v>162685.71428571429</v>
      </c>
      <c r="G10718" s="51">
        <f>ROUNDUP((E10718+F10718)*C10718/E10704,0)</f>
        <v>54229</v>
      </c>
    </row>
    <row r="10719" spans="1:7" x14ac:dyDescent="0.25">
      <c r="A10719" s="50" t="s">
        <v>54</v>
      </c>
      <c r="B10719" s="68" t="str">
        <f>VLOOKUP(A10719,'[1]Componentes APUs'!$H$1:$L$25,2,0)</f>
        <v>Maestro de obra civil</v>
      </c>
      <c r="C10719" s="93">
        <v>0.25</v>
      </c>
      <c r="D10719" s="50">
        <f>VLOOKUP(A10719,'[1]Componentes APUs'!$H$1:$L$25,3,0)</f>
        <v>2.5</v>
      </c>
      <c r="E10719" s="51">
        <f>VLOOKUP(A10719,'[1]Componentes APUs'!$H$1:$L$25,4,0)</f>
        <v>169464.28571428571</v>
      </c>
      <c r="F10719" s="51">
        <f>VLOOKUP(A10719,'[1]Componentes APUs'!$H$1:$L$25,5,0)</f>
        <v>101678.57142857142</v>
      </c>
      <c r="G10719" s="51">
        <f>ROUNDUP((E10719+F10719)*C10719/E10704,0)</f>
        <v>33893</v>
      </c>
    </row>
    <row r="10720" spans="1:7" x14ac:dyDescent="0.25">
      <c r="A10720" s="50" t="s">
        <v>46</v>
      </c>
      <c r="B10720" s="68" t="str">
        <f>VLOOKUP(A10720,'[1]Componentes APUs'!$H$1:$L$25,2,0)</f>
        <v>Tecnico Liniero</v>
      </c>
      <c r="C10720" s="93">
        <v>0</v>
      </c>
      <c r="D10720" s="50">
        <f>VLOOKUP(A10720,'[1]Componentes APUs'!$H$1:$L$25,3,0)</f>
        <v>2</v>
      </c>
      <c r="E10720" s="51">
        <f>VLOOKUP(A10720,'[1]Componentes APUs'!$H$1:$L$25,4,0)</f>
        <v>154619.04761904763</v>
      </c>
      <c r="F10720" s="51">
        <f>VLOOKUP(A10720,'[1]Componentes APUs'!$H$1:$L$25,5,0)</f>
        <v>92771.42857142858</v>
      </c>
      <c r="G10720" s="51">
        <f>ROUNDUP((E10720+F10720)*C10720/E10704,0)</f>
        <v>0</v>
      </c>
    </row>
    <row r="10721" spans="1:7" x14ac:dyDescent="0.25">
      <c r="A10721" s="50" t="s">
        <v>48</v>
      </c>
      <c r="B10721" s="68" t="str">
        <f>VLOOKUP(A10721,'[1]Componentes APUs'!$H$1:$L$25,2,0)</f>
        <v>Ayudante Calificado</v>
      </c>
      <c r="C10721" s="93">
        <v>0</v>
      </c>
      <c r="D10721" s="50">
        <f>VLOOKUP(A10721,'[1]Componentes APUs'!$H$1:$L$25,3,0)</f>
        <v>1.5</v>
      </c>
      <c r="E10721" s="51">
        <f>VLOOKUP(A10721,'[1]Componentes APUs'!$H$1:$L$25,4,0)</f>
        <v>115964.28571428571</v>
      </c>
      <c r="F10721" s="51">
        <f>VLOOKUP(A10721,'[1]Componentes APUs'!$H$1:$L$25,5,0)</f>
        <v>69578.57142857142</v>
      </c>
      <c r="G10721" s="51">
        <f>ROUNDUP((E10721+F10721)*C10721/E10704,0)</f>
        <v>0</v>
      </c>
    </row>
    <row r="10722" spans="1:7" x14ac:dyDescent="0.25">
      <c r="A10722" s="50" t="s">
        <v>50</v>
      </c>
      <c r="B10722" s="68" t="str">
        <f>VLOOKUP(A10722,'[1]Componentes APUs'!$H$1:$L$25,2,0)</f>
        <v>Profesional en SST</v>
      </c>
      <c r="C10722" s="93">
        <v>0.25</v>
      </c>
      <c r="D10722" s="50">
        <f>VLOOKUP(A10722,'[1]Componentes APUs'!$H$1:$L$25,3,0)</f>
        <v>2.5</v>
      </c>
      <c r="E10722" s="51">
        <f>VLOOKUP(A10722,'[1]Componentes APUs'!$H$1:$L$25,4,0)</f>
        <v>169464.28571428571</v>
      </c>
      <c r="F10722" s="51">
        <f>VLOOKUP(A10722,'[1]Componentes APUs'!$H$1:$L$25,5,0)</f>
        <v>101678.57142857142</v>
      </c>
      <c r="G10722" s="51">
        <f>ROUNDUP((E10722+F10722)*C10722/E10704,0)</f>
        <v>33893</v>
      </c>
    </row>
    <row r="10723" spans="1:7" x14ac:dyDescent="0.25">
      <c r="A10723" s="50" t="s">
        <v>1109</v>
      </c>
      <c r="B10723" s="68" t="str">
        <f>VLOOKUP(A10723,'[1]Componentes APUs'!$H$1:$L$25,2,0)</f>
        <v>Ayudante de Obra Civil</v>
      </c>
      <c r="C10723" s="93">
        <v>2</v>
      </c>
      <c r="D10723" s="50">
        <f>VLOOKUP(A10723,'[1]Componentes APUs'!$H$1:$L$25,3,0)</f>
        <v>1</v>
      </c>
      <c r="E10723" s="51">
        <f>VLOOKUP(A10723,'[1]Componentes APUs'!$H$1:$L$25,4,0)</f>
        <v>77309.523809523816</v>
      </c>
      <c r="F10723" s="51">
        <f>VLOOKUP(A10723,'[1]Componentes APUs'!$H$1:$L$25,5,0)</f>
        <v>46385.71428571429</v>
      </c>
      <c r="G10723" s="51">
        <f>ROUNDUP((E10723+F10723)*C10723/E10704,0)</f>
        <v>123696</v>
      </c>
    </row>
    <row r="10724" spans="1:7" x14ac:dyDescent="0.25">
      <c r="A10724" s="50" t="s">
        <v>1110</v>
      </c>
      <c r="B10724" s="68" t="str">
        <f>VLOOKUP(A10724,'[1]Componentes APUs'!$H$1:$L$25,2,0)</f>
        <v>Oficial de Obra Civil</v>
      </c>
      <c r="C10724" s="93">
        <v>1</v>
      </c>
      <c r="D10724" s="50">
        <f>VLOOKUP(A10724,'[1]Componentes APUs'!$H$1:$L$25,3,0)</f>
        <v>1.5</v>
      </c>
      <c r="E10724" s="51">
        <f>VLOOKUP(A10724,'[1]Componentes APUs'!$H$1:$L$25,4,0)</f>
        <v>115964.28571428571</v>
      </c>
      <c r="F10724" s="51">
        <f>VLOOKUP(A10724,'[1]Componentes APUs'!$H$1:$L$25,5,0)</f>
        <v>69578.57142857142</v>
      </c>
      <c r="G10724" s="51">
        <f>ROUNDUP((E10724+F10724)*C10724/E10704,0)</f>
        <v>92772</v>
      </c>
    </row>
    <row r="10725" spans="1:7" x14ac:dyDescent="0.25">
      <c r="A10725" s="219" t="s">
        <v>56</v>
      </c>
      <c r="B10725" s="219"/>
      <c r="C10725" s="219"/>
      <c r="D10725" s="219"/>
      <c r="E10725" s="219"/>
      <c r="F10725" s="219"/>
      <c r="G10725" s="52">
        <f>SUM(G10718:G10724)</f>
        <v>338483</v>
      </c>
    </row>
    <row r="10726" spans="1:7" x14ac:dyDescent="0.25">
      <c r="A10726" s="56"/>
      <c r="B10726" s="57"/>
      <c r="C10726" s="57"/>
      <c r="D10726" s="57"/>
      <c r="E10726" s="57"/>
      <c r="F10726" s="57"/>
      <c r="G10726" s="58"/>
    </row>
    <row r="10727" spans="1:7" x14ac:dyDescent="0.25">
      <c r="A10727" s="219" t="s">
        <v>57</v>
      </c>
      <c r="B10727" s="219"/>
      <c r="C10727" s="219"/>
      <c r="D10727" s="219"/>
      <c r="E10727" s="219"/>
      <c r="F10727" s="219"/>
      <c r="G10727" s="219"/>
    </row>
    <row r="10728" spans="1:7" x14ac:dyDescent="0.25">
      <c r="A10728" s="49" t="s">
        <v>35</v>
      </c>
      <c r="B10728" s="219" t="s">
        <v>36</v>
      </c>
      <c r="C10728" s="219"/>
      <c r="D10728" s="49" t="s">
        <v>37</v>
      </c>
      <c r="E10728" s="49" t="s">
        <v>38</v>
      </c>
      <c r="F10728" s="49" t="s">
        <v>39</v>
      </c>
      <c r="G10728" s="49" t="s">
        <v>40</v>
      </c>
    </row>
    <row r="10729" spans="1:7" x14ac:dyDescent="0.25">
      <c r="A10729" s="50" t="s">
        <v>326</v>
      </c>
      <c r="B10729" s="220" t="str">
        <f>VLOOKUP(A10729,'[1]Componentes APUs'!$S$1:$V$10,2,0)</f>
        <v>Juego Llaves</v>
      </c>
      <c r="C10729" s="220"/>
      <c r="D10729" s="50" t="s">
        <v>18</v>
      </c>
      <c r="E10729" s="50">
        <v>2</v>
      </c>
      <c r="F10729" s="51">
        <f>VLOOKUP(A10729,'[1]Componentes APUs'!$S$1:$V$10,4,0)</f>
        <v>9167</v>
      </c>
      <c r="G10729" s="51">
        <f>ROUNDUP(F10729*((E10729/21)/E10704),0)</f>
        <v>437</v>
      </c>
    </row>
    <row r="10730" spans="1:7" x14ac:dyDescent="0.25">
      <c r="A10730" s="50" t="s">
        <v>58</v>
      </c>
      <c r="B10730" s="220" t="str">
        <f>VLOOKUP(A10730,'[1]Componentes APUs'!$S$1:$V$10,2,0)</f>
        <v>Manila de servicio</v>
      </c>
      <c r="C10730" s="220"/>
      <c r="D10730" s="50" t="s">
        <v>18</v>
      </c>
      <c r="E10730" s="50">
        <v>2</v>
      </c>
      <c r="F10730" s="51">
        <f>VLOOKUP(A10730,'[1]Componentes APUs'!$S$1:$V$10,4,0)</f>
        <v>2333</v>
      </c>
      <c r="G10730" s="51">
        <f>ROUNDUP(F10730*((E10730/21)/E10704),0)</f>
        <v>112</v>
      </c>
    </row>
    <row r="10731" spans="1:7" x14ac:dyDescent="0.25">
      <c r="A10731" s="50" t="s">
        <v>327</v>
      </c>
      <c r="B10731" s="220" t="str">
        <f>VLOOKUP(A10731,'[1]Componentes APUs'!$S$1:$V$10,2,0)</f>
        <v>Tula portaherramientas</v>
      </c>
      <c r="C10731" s="220"/>
      <c r="D10731" s="50" t="s">
        <v>18</v>
      </c>
      <c r="E10731" s="50">
        <v>2</v>
      </c>
      <c r="F10731" s="51">
        <f>VLOOKUP(A10731,'[1]Componentes APUs'!$S$1:$V$10,4,0)</f>
        <v>1250</v>
      </c>
      <c r="G10731" s="51">
        <f>ROUNDUP(F10731*((E10731/21)/E10704),0)</f>
        <v>60</v>
      </c>
    </row>
    <row r="10732" spans="1:7" x14ac:dyDescent="0.25">
      <c r="A10732" s="50" t="s">
        <v>60</v>
      </c>
      <c r="B10732" s="220" t="str">
        <f>VLOOKUP(A10732,'[1]Componentes APUs'!$S$1:$V$10,2,0)</f>
        <v>Agarradoras</v>
      </c>
      <c r="C10732" s="220"/>
      <c r="D10732" s="50" t="s">
        <v>18</v>
      </c>
      <c r="E10732" s="50">
        <v>0</v>
      </c>
      <c r="F10732" s="51">
        <f>VLOOKUP(A10732,'[1]Componentes APUs'!$S$1:$V$10,4,0)</f>
        <v>125000</v>
      </c>
      <c r="G10732" s="51">
        <f>ROUNDUP(F10732*((E10732/21)/E10704),0)</f>
        <v>0</v>
      </c>
    </row>
    <row r="10733" spans="1:7" x14ac:dyDescent="0.25">
      <c r="A10733" s="50" t="s">
        <v>62</v>
      </c>
      <c r="B10733" s="220" t="str">
        <f>VLOOKUP(A10733,'[1]Componentes APUs'!$S$1:$V$10,2,0)</f>
        <v>Templadoras</v>
      </c>
      <c r="C10733" s="220"/>
      <c r="D10733" s="50" t="s">
        <v>18</v>
      </c>
      <c r="E10733" s="50">
        <v>0</v>
      </c>
      <c r="F10733" s="51">
        <f>VLOOKUP(A10733,'[1]Componentes APUs'!$S$1:$V$10,4,0)</f>
        <v>250000</v>
      </c>
      <c r="G10733" s="51">
        <f>ROUNDUP(F10733*((E10733/21)/E10704),0)</f>
        <v>0</v>
      </c>
    </row>
    <row r="10734" spans="1:7" x14ac:dyDescent="0.25">
      <c r="A10734" s="50" t="s">
        <v>328</v>
      </c>
      <c r="B10734" s="220" t="str">
        <f>VLOOKUP(A10734,'[1]Componentes APUs'!$S$1:$V$10,2,0)</f>
        <v>Herramienta Menor</v>
      </c>
      <c r="C10734" s="220"/>
      <c r="D10734" s="50" t="s">
        <v>18</v>
      </c>
      <c r="E10734" s="50">
        <v>2</v>
      </c>
      <c r="F10734" s="51">
        <f>VLOOKUP(A10734,'[1]Componentes APUs'!$S$1:$V$10,4,0)</f>
        <v>75758</v>
      </c>
      <c r="G10734" s="51">
        <f>ROUNDUP(F10734*((E10734/21)/E10704),0)</f>
        <v>3608</v>
      </c>
    </row>
    <row r="10735" spans="1:7" x14ac:dyDescent="0.25">
      <c r="A10735" s="219" t="s">
        <v>69</v>
      </c>
      <c r="B10735" s="219"/>
      <c r="C10735" s="219"/>
      <c r="D10735" s="219"/>
      <c r="E10735" s="219"/>
      <c r="F10735" s="219"/>
      <c r="G10735" s="52">
        <f>SUM(G10729:G10734)</f>
        <v>4217</v>
      </c>
    </row>
    <row r="10736" spans="1:7" x14ac:dyDescent="0.25">
      <c r="A10736" s="56"/>
      <c r="B10736" s="57"/>
      <c r="C10736" s="57"/>
      <c r="D10736" s="57"/>
      <c r="E10736" s="57"/>
      <c r="F10736" s="57"/>
      <c r="G10736" s="58"/>
    </row>
    <row r="10737" spans="1:7" x14ac:dyDescent="0.25">
      <c r="A10737" s="219" t="s">
        <v>70</v>
      </c>
      <c r="B10737" s="219"/>
      <c r="C10737" s="219"/>
      <c r="D10737" s="219"/>
      <c r="E10737" s="219"/>
      <c r="F10737" s="219"/>
      <c r="G10737" s="219"/>
    </row>
    <row r="10738" spans="1:7" x14ac:dyDescent="0.25">
      <c r="A10738" s="49" t="s">
        <v>35</v>
      </c>
      <c r="B10738" s="219" t="s">
        <v>36</v>
      </c>
      <c r="C10738" s="219"/>
      <c r="D10738" s="49" t="s">
        <v>37</v>
      </c>
      <c r="E10738" s="49" t="s">
        <v>38</v>
      </c>
      <c r="F10738" s="49" t="s">
        <v>39</v>
      </c>
      <c r="G10738" s="49" t="s">
        <v>40</v>
      </c>
    </row>
    <row r="10739" spans="1:7" x14ac:dyDescent="0.25">
      <c r="A10739" s="50" t="s">
        <v>71</v>
      </c>
      <c r="B10739" s="71" t="str">
        <f>VLOOKUP(A10739,'[1]Componentes APUs'!$A$1:$D$14,2,0)</f>
        <v>Camisa indigo sin partes metalicas</v>
      </c>
      <c r="C10739" s="71"/>
      <c r="D10739" s="50" t="str">
        <f>VLOOKUP(A10739,'[1]Componentes APUs'!$A$1:$D$14,3,0)</f>
        <v>U</v>
      </c>
      <c r="E10739" s="50">
        <f>SUM(C10718:C10724)</f>
        <v>3.75</v>
      </c>
      <c r="F10739" s="51">
        <f>VLOOKUP(A10739,'[1]Componentes APUs'!$A$1:$D$14,4,0)</f>
        <v>8585.8585858585866</v>
      </c>
      <c r="G10739" s="51">
        <f>ROUNDUP(F10739*(E10739/21)/E10704,0)</f>
        <v>767</v>
      </c>
    </row>
    <row r="10740" spans="1:7" x14ac:dyDescent="0.25">
      <c r="A10740" s="69" t="s">
        <v>73</v>
      </c>
      <c r="B10740" s="72" t="str">
        <f>VLOOKUP(A10740,'[1]Componentes APUs'!$A$1:$D$14,2,0)</f>
        <v>Bota de seguridad dielectrica</v>
      </c>
      <c r="C10740" s="73"/>
      <c r="D10740" s="70" t="str">
        <f>VLOOKUP(A10740,'[1]Componentes APUs'!$A$1:$D$14,3,0)</f>
        <v>Par</v>
      </c>
      <c r="E10740" s="50">
        <f>SUM(C10718:C10724)</f>
        <v>3.75</v>
      </c>
      <c r="F10740" s="51">
        <f>VLOOKUP(A10740,'[1]Componentes APUs'!$A$1:$D$14,4,0)</f>
        <v>7500</v>
      </c>
      <c r="G10740" s="51">
        <f>ROUNDUP(F10740*(E10740/21)/E10704,0)</f>
        <v>670</v>
      </c>
    </row>
    <row r="10741" spans="1:7" x14ac:dyDescent="0.25">
      <c r="A10741" s="50" t="s">
        <v>76</v>
      </c>
      <c r="B10741" s="72" t="str">
        <f>VLOOKUP(A10741,'[1]Componentes APUs'!$A$1:$D$14,2,0)</f>
        <v>Casco dielectrico Tipo 1 Clase E con barbuquejo</v>
      </c>
      <c r="C10741" s="73"/>
      <c r="D10741" s="50" t="str">
        <f>VLOOKUP(A10741,'[1]Componentes APUs'!$A$1:$D$14,3,0)</f>
        <v>U</v>
      </c>
      <c r="E10741" s="50">
        <f>C10718+C10719+C10720+C10722+C10723+C10724+IF(A10720&lt;&gt;"MO-3",C10720,0)</f>
        <v>3.75</v>
      </c>
      <c r="F10741" s="51">
        <f>VLOOKUP(A10741,'[1]Componentes APUs'!$A$1:$D$14,4,0)</f>
        <v>10101.010101010101</v>
      </c>
      <c r="G10741" s="51">
        <f>ROUNDUP(F10741*(E10741/21)/E10704,0)</f>
        <v>902</v>
      </c>
    </row>
    <row r="10742" spans="1:7" x14ac:dyDescent="0.25">
      <c r="A10742" s="69" t="s">
        <v>77</v>
      </c>
      <c r="B10742" s="72" t="str">
        <f>VLOOKUP(A10742,'[1]Componentes APUs'!$A$1:$D$14,2,0)</f>
        <v>Correa plastica y antiflama</v>
      </c>
      <c r="C10742" s="73"/>
      <c r="D10742" s="50" t="str">
        <f>VLOOKUP(A10742,'[1]Componentes APUs'!$A$1:$D$14,3,0)</f>
        <v>U</v>
      </c>
      <c r="E10742" s="50">
        <f>SUM(C10718:C10724)</f>
        <v>3.75</v>
      </c>
      <c r="F10742" s="51">
        <f>VLOOKUP(A10742,'[1]Componentes APUs'!$A$1:$D$14,4,0)</f>
        <v>3787.878787878788</v>
      </c>
      <c r="G10742" s="51">
        <f>ROUNDUP(F10742*(E10742/21)/E10704,0)</f>
        <v>339</v>
      </c>
    </row>
    <row r="10743" spans="1:7" x14ac:dyDescent="0.25">
      <c r="A10743" s="50" t="s">
        <v>79</v>
      </c>
      <c r="B10743" s="72" t="str">
        <f>VLOOKUP(A10743,'[1]Componentes APUs'!$A$1:$D$14,2,0)</f>
        <v>Gafas protectoras filtro UV</v>
      </c>
      <c r="C10743" s="73"/>
      <c r="D10743" s="50" t="str">
        <f>VLOOKUP(A10743,'[1]Componentes APUs'!$A$1:$D$14,3,0)</f>
        <v>U</v>
      </c>
      <c r="E10743" s="50">
        <f>SUM(C10718:C10724)</f>
        <v>3.75</v>
      </c>
      <c r="F10743" s="51">
        <f>VLOOKUP(A10743,'[1]Componentes APUs'!$A$1:$D$14,4,0)</f>
        <v>2777.7777777777778</v>
      </c>
      <c r="G10743" s="51">
        <f>ROUNDUP(F10743*(E10743/21)/E10704,0)</f>
        <v>249</v>
      </c>
    </row>
    <row r="10744" spans="1:7" x14ac:dyDescent="0.25">
      <c r="A10744" s="69" t="s">
        <v>402</v>
      </c>
      <c r="B10744" s="72" t="str">
        <f>VLOOKUP(A10744,'[1]Componentes APUs'!$A$1:$D$14,2,0)</f>
        <v>Bota de seguridad PVC dielectrica</v>
      </c>
      <c r="C10744" s="73"/>
      <c r="D10744" s="50" t="str">
        <f>VLOOKUP(A10744,'[1]Componentes APUs'!$A$1:$D$14,3,0)</f>
        <v>Par</v>
      </c>
      <c r="E10744" s="50">
        <f>SUM(C10718:C10724)</f>
        <v>3.75</v>
      </c>
      <c r="F10744" s="51">
        <f>VLOOKUP(A10744,'[1]Componentes APUs'!$A$1:$D$14,4,0)</f>
        <v>2916.6666666666665</v>
      </c>
      <c r="G10744" s="51">
        <f>ROUNDUP(F10744*(E10744/21)/E10704,0)</f>
        <v>261</v>
      </c>
    </row>
    <row r="10745" spans="1:7" x14ac:dyDescent="0.25">
      <c r="A10745" s="50" t="s">
        <v>403</v>
      </c>
      <c r="B10745" s="72" t="str">
        <f>VLOOKUP(A10745,'[1]Componentes APUs'!$A$1:$D$14,2,0)</f>
        <v>Capuchon</v>
      </c>
      <c r="C10745" s="73"/>
      <c r="D10745" s="50" t="str">
        <f>VLOOKUP(A10745,'[1]Componentes APUs'!$A$1:$D$14,3,0)</f>
        <v>U</v>
      </c>
      <c r="E10745" s="50">
        <f>SUM(C10718:C10724)</f>
        <v>3.75</v>
      </c>
      <c r="F10745" s="51">
        <f>VLOOKUP(A10745,'[1]Componentes APUs'!$A$1:$D$14,4,0)</f>
        <v>2525.2525252525252</v>
      </c>
      <c r="G10745" s="51">
        <f>ROUNDUP(F10745*(E10745/21)/E10704,0)</f>
        <v>226</v>
      </c>
    </row>
    <row r="10746" spans="1:7" x14ac:dyDescent="0.25">
      <c r="A10746" s="69" t="s">
        <v>81</v>
      </c>
      <c r="B10746" s="72" t="str">
        <f>VLOOKUP(A10746,'[1]Componentes APUs'!$A$1:$D$14,2,0)</f>
        <v>Guantes Protectores  - ingeniero reforzados</v>
      </c>
      <c r="C10746" s="73"/>
      <c r="D10746" s="50" t="str">
        <f>VLOOKUP(A10746,'[1]Componentes APUs'!$A$1:$D$14,3,0)</f>
        <v>Par</v>
      </c>
      <c r="E10746" s="50">
        <f>C10720+C10721+C10723+C10724</f>
        <v>3</v>
      </c>
      <c r="F10746" s="51">
        <f>VLOOKUP(A10746,'[1]Componentes APUs'!$A$1:$D$14,4,0)</f>
        <v>2525.2525252525252</v>
      </c>
      <c r="G10746" s="51">
        <f>ROUNDUP(F10746*(E10746/21)/E10704,0)</f>
        <v>181</v>
      </c>
    </row>
    <row r="10747" spans="1:7" x14ac:dyDescent="0.25">
      <c r="A10747" s="50" t="s">
        <v>83</v>
      </c>
      <c r="B10747" s="72" t="str">
        <f>VLOOKUP(A10747,'[1]Componentes APUs'!$A$1:$D$14,2,0)</f>
        <v>Impermeable (pantalon camisa)</v>
      </c>
      <c r="C10747" s="73"/>
      <c r="D10747" s="50" t="str">
        <f>VLOOKUP(A10747,'[1]Componentes APUs'!$A$1:$D$14,3,0)</f>
        <v>U</v>
      </c>
      <c r="E10747" s="50">
        <f>SUM(C10718:C10724)</f>
        <v>3.75</v>
      </c>
      <c r="F10747" s="51">
        <f>VLOOKUP(A10747,'[1]Componentes APUs'!$A$1:$D$14,4,0)</f>
        <v>3750</v>
      </c>
      <c r="G10747" s="51">
        <f>ROUNDUP(F10747*(E10747/21)/E10704,0)</f>
        <v>335</v>
      </c>
    </row>
    <row r="10748" spans="1:7" x14ac:dyDescent="0.25">
      <c r="A10748" s="69" t="s">
        <v>85</v>
      </c>
      <c r="B10748" s="72" t="str">
        <f>VLOOKUP(A10748,'[1]Componentes APUs'!$A$1:$D$14,2,0)</f>
        <v>Jean Dielectrico</v>
      </c>
      <c r="C10748" s="73"/>
      <c r="D10748" s="50" t="str">
        <f>VLOOKUP(A10748,'[1]Componentes APUs'!$A$1:$D$14,3,0)</f>
        <v>U</v>
      </c>
      <c r="E10748" s="50">
        <f>SUM(C10718:C10724)</f>
        <v>3.75</v>
      </c>
      <c r="F10748" s="51">
        <f>VLOOKUP(A10748,'[1]Componentes APUs'!$A$1:$D$14,4,0)</f>
        <v>7575.757575757576</v>
      </c>
      <c r="G10748" s="51">
        <f>ROUNDUP(F10748*(E10748/21)/E10704,0)</f>
        <v>677</v>
      </c>
    </row>
    <row r="10749" spans="1:7" x14ac:dyDescent="0.25">
      <c r="A10749" s="50" t="s">
        <v>87</v>
      </c>
      <c r="B10749" s="72" t="str">
        <f>VLOOKUP(A10749,'[1]Componentes APUs'!$A$1:$D$14,2,0)</f>
        <v>Casco dielectrico Tipo 2 Clase E con barboquejo</v>
      </c>
      <c r="C10749" s="73"/>
      <c r="D10749" s="50" t="str">
        <f>VLOOKUP(A10749,'[1]Componentes APUs'!$A$1:$D$14,3,0)</f>
        <v>U</v>
      </c>
      <c r="E10749" s="53">
        <f>IF(A10721="MO-3",C10720,0)</f>
        <v>0</v>
      </c>
      <c r="F10749" s="51">
        <f>VLOOKUP(A10749,'[1]Componentes APUs'!$A$1:$D$14,4,0)</f>
        <v>7500</v>
      </c>
      <c r="G10749" s="51">
        <f>ROUNDUP(F10749*(E10749/21)/E10704,0)</f>
        <v>0</v>
      </c>
    </row>
    <row r="10750" spans="1:7" x14ac:dyDescent="0.25">
      <c r="A10750" s="69" t="s">
        <v>89</v>
      </c>
      <c r="B10750" s="72" t="str">
        <f>VLOOKUP(A10750,'[1]Componentes APUs'!$A$1:$D$14,2,0)</f>
        <v>Kit de rescate para trabajo en alturas</v>
      </c>
      <c r="C10750" s="73"/>
      <c r="D10750" s="50" t="str">
        <f>VLOOKUP(A10750,'[1]Componentes APUs'!$A$1:$D$14,3,0)</f>
        <v>U</v>
      </c>
      <c r="E10750" s="50">
        <f>IF(AND(A10720="MO-3",C10720=2),1,0)</f>
        <v>0</v>
      </c>
      <c r="F10750" s="51">
        <f>VLOOKUP(A10750,'[1]Componentes APUs'!$A$1:$D$14,4,0)</f>
        <v>37500</v>
      </c>
      <c r="G10750" s="51">
        <f>ROUNDUP(F10750*(E10750/21)/E10704,0)</f>
        <v>0</v>
      </c>
    </row>
    <row r="10751" spans="1:7" x14ac:dyDescent="0.25">
      <c r="A10751" s="50" t="s">
        <v>91</v>
      </c>
      <c r="B10751" s="72" t="str">
        <f>VLOOKUP(A10751,'[1]Componentes APUs'!$A$1:$D$14,2,0)</f>
        <v>Equipo completo para trabajo en alturas con pretales (Arnes dielectrico, 1 mosqueton de seguridad, tie off dielectrico, eslinga de posicionamiento, juego de pretales)</v>
      </c>
      <c r="C10751" s="73"/>
      <c r="D10751" s="50" t="str">
        <f>VLOOKUP(A10751,'[1]Componentes APUs'!$A$1:$D$14,3,0)</f>
        <v>U</v>
      </c>
      <c r="E10751" s="50">
        <f>IF(A10720="MO-3",C10720,0)</f>
        <v>0</v>
      </c>
      <c r="F10751" s="51">
        <f>VLOOKUP(A10751,'[1]Componentes APUs'!$A$1:$D$14,4,0)</f>
        <v>26041.666666666668</v>
      </c>
      <c r="G10751" s="51">
        <f>ROUNDUP(F10751*(E10751/21)/E10704,0)</f>
        <v>0</v>
      </c>
    </row>
    <row r="10752" spans="1:7" x14ac:dyDescent="0.25">
      <c r="A10752" s="219" t="s">
        <v>95</v>
      </c>
      <c r="B10752" s="219"/>
      <c r="C10752" s="219"/>
      <c r="D10752" s="219"/>
      <c r="E10752" s="219"/>
      <c r="F10752" s="219"/>
      <c r="G10752" s="52">
        <f>SUM(G10739:G10751)</f>
        <v>4607</v>
      </c>
    </row>
    <row r="10753" spans="1:7" x14ac:dyDescent="0.25">
      <c r="A10753" s="56"/>
      <c r="B10753" s="57"/>
      <c r="C10753" s="57"/>
      <c r="D10753" s="57"/>
      <c r="E10753" s="57"/>
      <c r="F10753" s="57"/>
      <c r="G10753" s="58"/>
    </row>
    <row r="10754" spans="1:7" x14ac:dyDescent="0.25">
      <c r="A10754" s="219" t="s">
        <v>96</v>
      </c>
      <c r="B10754" s="219"/>
      <c r="C10754" s="219"/>
      <c r="D10754" s="219"/>
      <c r="E10754" s="219"/>
      <c r="F10754" s="219"/>
      <c r="G10754" s="219"/>
    </row>
    <row r="10755" spans="1:7" x14ac:dyDescent="0.25">
      <c r="A10755" s="49" t="s">
        <v>35</v>
      </c>
      <c r="B10755" s="225" t="s">
        <v>36</v>
      </c>
      <c r="C10755" s="225"/>
      <c r="D10755" s="49" t="s">
        <v>37</v>
      </c>
      <c r="E10755" s="49" t="s">
        <v>38</v>
      </c>
      <c r="F10755" s="49" t="s">
        <v>39</v>
      </c>
      <c r="G10755" s="49" t="s">
        <v>40</v>
      </c>
    </row>
    <row r="10756" spans="1:7" x14ac:dyDescent="0.25">
      <c r="A10756" s="69" t="s">
        <v>97</v>
      </c>
      <c r="B10756" s="72" t="str">
        <f>VLOOKUP(A10756,'[1]Componentes APUs'!$N$1:$Q$30,2,0)</f>
        <v>Camioneta</v>
      </c>
      <c r="C10756" s="73"/>
      <c r="D10756" s="70" t="str">
        <f>VLOOKUP(A10756,'[1]Componentes APUs'!$N$1:$Q$30,3,0)</f>
        <v>U</v>
      </c>
      <c r="E10756" s="50">
        <v>1</v>
      </c>
      <c r="F10756" s="51">
        <f>VLOOKUP(A10756,'[1]Componentes APUs'!$N$1:$Q$30,4,0)</f>
        <v>5500000</v>
      </c>
      <c r="G10756" s="51">
        <f>IFERROR(ROUNDUP(F10756*(E10756/21)/E10704,0),"-")</f>
        <v>130953</v>
      </c>
    </row>
    <row r="10757" spans="1:7" x14ac:dyDescent="0.25">
      <c r="A10757" s="50" t="s">
        <v>321</v>
      </c>
      <c r="B10757" s="72" t="str">
        <f>VLOOKUP(A10757,'[1]Componentes APUs'!$N$1:$Q$30,2,0)</f>
        <v>Grúa Hidráulica</v>
      </c>
      <c r="C10757" s="73"/>
      <c r="D10757" s="70" t="str">
        <f>VLOOKUP(A10757,'[1]Componentes APUs'!$N$1:$Q$30,3,0)</f>
        <v>U</v>
      </c>
      <c r="E10757" s="50">
        <v>0</v>
      </c>
      <c r="F10757" s="51">
        <f>VLOOKUP(A10757,'[1]Componentes APUs'!$N$1:$Q$30,4,0)</f>
        <v>21000000</v>
      </c>
      <c r="G10757" s="51">
        <f>IFERROR(ROUNDUP(F10757*(E10757/21)/E10704,0),"-")</f>
        <v>0</v>
      </c>
    </row>
    <row r="10758" spans="1:7" x14ac:dyDescent="0.25">
      <c r="A10758" s="69" t="s">
        <v>322</v>
      </c>
      <c r="B10758" s="72" t="str">
        <f>VLOOKUP(A10758,'[1]Componentes APUs'!$N$1:$Q$30,2,0)</f>
        <v>Camabaja</v>
      </c>
      <c r="C10758" s="73"/>
      <c r="D10758" s="70" t="str">
        <f>VLOOKUP(A10758,'[1]Componentes APUs'!$N$1:$Q$30,3,0)</f>
        <v>TON/KM</v>
      </c>
      <c r="E10758" s="50">
        <v>0</v>
      </c>
      <c r="F10758" s="51">
        <f>VLOOKUP(A10758,'[1]Componentes APUs'!$N$1:$Q$30,4,0)</f>
        <v>611</v>
      </c>
      <c r="G10758" s="51">
        <f>IFERROR(ROUNDUP(F10758*(E10758/21)/E10704,0),"-")</f>
        <v>0</v>
      </c>
    </row>
    <row r="10759" spans="1:7" x14ac:dyDescent="0.25">
      <c r="A10759" s="50" t="s">
        <v>323</v>
      </c>
      <c r="B10759" s="72" t="str">
        <f>VLOOKUP(A10759,'[1]Componentes APUs'!$N$1:$Q$30,2,0)</f>
        <v>Volqueta</v>
      </c>
      <c r="C10759" s="73"/>
      <c r="D10759" s="70" t="str">
        <f>VLOOKUP(A10759,'[1]Componentes APUs'!$N$1:$Q$30,3,0)</f>
        <v>U</v>
      </c>
      <c r="E10759" s="50">
        <v>0</v>
      </c>
      <c r="F10759" s="51">
        <f>VLOOKUP(A10759,'[1]Componentes APUs'!$N$1:$Q$30,4,0)</f>
        <v>18900000</v>
      </c>
      <c r="G10759" s="51">
        <f>IFERROR(ROUNDUP(F10759*(E10759/21)/E10704,0),"-")</f>
        <v>0</v>
      </c>
    </row>
    <row r="10760" spans="1:7" x14ac:dyDescent="0.25">
      <c r="A10760" s="69" t="s">
        <v>324</v>
      </c>
      <c r="B10760" s="72" t="str">
        <f>VLOOKUP(A10760,'[1]Componentes APUs'!$N$1:$Q$30,2,0)</f>
        <v>Retroexcavadora</v>
      </c>
      <c r="C10760" s="73"/>
      <c r="D10760" s="70" t="str">
        <f>VLOOKUP(A10760,'[1]Componentes APUs'!$N$1:$Q$30,3,0)</f>
        <v>U</v>
      </c>
      <c r="E10760" s="50">
        <v>0</v>
      </c>
      <c r="F10760" s="51">
        <f>VLOOKUP(A10760,'[1]Componentes APUs'!$N$1:$Q$30,4,0)</f>
        <v>1494459.54</v>
      </c>
      <c r="G10760" s="51">
        <f>IFERROR(ROUNDUP(F10760*(E10760/21)/E10704,0),"-")</f>
        <v>0</v>
      </c>
    </row>
    <row r="10761" spans="1:7" x14ac:dyDescent="0.25">
      <c r="A10761" s="69" t="s">
        <v>1119</v>
      </c>
      <c r="B10761" s="72" t="str">
        <f>VLOOKUP(A10761,'[1]Componentes APUs'!$N$1:$Q$30,2,0)</f>
        <v>Vibrador de concreto</v>
      </c>
      <c r="C10761" s="73"/>
      <c r="D10761" s="70" t="str">
        <f>VLOOKUP(A10761,'[1]Componentes APUs'!$N$1:$Q$30,3,0)</f>
        <v>U</v>
      </c>
      <c r="E10761" s="50">
        <v>1</v>
      </c>
      <c r="F10761" s="51">
        <f>VLOOKUP(A10761,'[1]Componentes APUs'!$N$1:$Q$30,4,0)</f>
        <v>1324470</v>
      </c>
      <c r="G10761" s="51">
        <f>IFERROR(ROUNDUP(F10761*(E10761/21)/E10704,0),"-")</f>
        <v>31535</v>
      </c>
    </row>
    <row r="10762" spans="1:7" x14ac:dyDescent="0.25">
      <c r="A10762" s="219" t="s">
        <v>99</v>
      </c>
      <c r="B10762" s="219"/>
      <c r="C10762" s="219"/>
      <c r="D10762" s="219"/>
      <c r="E10762" s="219"/>
      <c r="F10762" s="219"/>
      <c r="G10762" s="52">
        <f>SUM(G10756:G10761)</f>
        <v>162488</v>
      </c>
    </row>
    <row r="10763" spans="1:7" x14ac:dyDescent="0.25">
      <c r="A10763" s="56"/>
      <c r="B10763" s="57"/>
      <c r="C10763" s="57"/>
      <c r="D10763" s="57"/>
      <c r="E10763" s="57"/>
      <c r="F10763" s="57"/>
      <c r="G10763" s="58"/>
    </row>
    <row r="10764" spans="1:7" x14ac:dyDescent="0.25">
      <c r="A10764" s="219" t="s">
        <v>1516</v>
      </c>
      <c r="B10764" s="219"/>
      <c r="C10764" s="219"/>
      <c r="D10764" s="219"/>
      <c r="E10764" s="219"/>
      <c r="F10764" s="219"/>
      <c r="G10764" s="52">
        <f>G10762+G10752+G10735+G10725+G10714</f>
        <v>957166</v>
      </c>
    </row>
    <row r="10765" spans="1:7" x14ac:dyDescent="0.25">
      <c r="A10765" s="59"/>
      <c r="B10765" s="60"/>
      <c r="C10765" s="60"/>
      <c r="D10765" s="60"/>
      <c r="E10765" s="57"/>
      <c r="F10765" s="57"/>
      <c r="G10765" s="58"/>
    </row>
    <row r="10766" spans="1:7" x14ac:dyDescent="0.25">
      <c r="A10766" s="64"/>
      <c r="D10766" s="55"/>
      <c r="E10766" s="49" t="s">
        <v>25</v>
      </c>
      <c r="F10766" s="54">
        <v>0.15</v>
      </c>
      <c r="G10766" s="51">
        <f>G10764*F10766</f>
        <v>143574.9</v>
      </c>
    </row>
    <row r="10767" spans="1:7" x14ac:dyDescent="0.25">
      <c r="A10767" s="64"/>
      <c r="D10767" s="55"/>
      <c r="E10767" s="49" t="s">
        <v>26</v>
      </c>
      <c r="F10767" s="54">
        <v>0.05</v>
      </c>
      <c r="G10767" s="51">
        <f>G10764*F10767</f>
        <v>47858.3</v>
      </c>
    </row>
    <row r="10768" spans="1:7" x14ac:dyDescent="0.25">
      <c r="A10768" s="61"/>
      <c r="B10768" s="65"/>
      <c r="C10768" s="65"/>
      <c r="D10768" s="62"/>
      <c r="E10768" s="49" t="s">
        <v>27</v>
      </c>
      <c r="F10768" s="54">
        <v>0.05</v>
      </c>
      <c r="G10768" s="51">
        <f>G10764*F10768</f>
        <v>47858.3</v>
      </c>
    </row>
    <row r="10769" spans="1:7" x14ac:dyDescent="0.25">
      <c r="A10769" s="61"/>
      <c r="B10769" s="62"/>
      <c r="C10769" s="62"/>
      <c r="D10769" s="62"/>
      <c r="E10769" s="62"/>
      <c r="F10769" s="62"/>
      <c r="G10769" s="63"/>
    </row>
    <row r="10770" spans="1:7" x14ac:dyDescent="0.25">
      <c r="A10770" s="219" t="s">
        <v>1517</v>
      </c>
      <c r="B10770" s="219"/>
      <c r="C10770" s="219"/>
      <c r="D10770" s="219"/>
      <c r="E10770" s="219"/>
      <c r="F10770" s="219"/>
      <c r="G10770" s="52">
        <f>G10764+G10766+G10767+G10768</f>
        <v>1196457.5</v>
      </c>
    </row>
    <row r="10771" spans="1:7" x14ac:dyDescent="0.25">
      <c r="A10771" s="59"/>
      <c r="B10771" s="60"/>
      <c r="C10771" s="60"/>
      <c r="D10771" s="60"/>
      <c r="E10771" s="57"/>
      <c r="F10771" s="57"/>
      <c r="G10771" s="58"/>
    </row>
    <row r="10772" spans="1:7" x14ac:dyDescent="0.25">
      <c r="A10772" s="64"/>
      <c r="D10772" s="55"/>
      <c r="E10772" s="49" t="s">
        <v>102</v>
      </c>
      <c r="F10772" s="49" t="s">
        <v>103</v>
      </c>
      <c r="G10772" s="51">
        <f>G10768*19%</f>
        <v>9093.0770000000011</v>
      </c>
    </row>
    <row r="10773" spans="1:7" x14ac:dyDescent="0.25">
      <c r="A10773" s="61"/>
      <c r="B10773" s="62"/>
      <c r="C10773" s="62"/>
      <c r="D10773" s="62"/>
      <c r="E10773" s="57"/>
      <c r="F10773" s="57"/>
      <c r="G10773" s="58"/>
    </row>
    <row r="10774" spans="1:7" x14ac:dyDescent="0.25">
      <c r="A10774" s="219" t="s">
        <v>104</v>
      </c>
      <c r="B10774" s="219"/>
      <c r="C10774" s="219"/>
      <c r="D10774" s="219"/>
      <c r="E10774" s="219"/>
      <c r="F10774" s="219"/>
      <c r="G10774" s="52">
        <f>G10772+G10770</f>
        <v>1205550.577</v>
      </c>
    </row>
    <row r="10776" spans="1:7" x14ac:dyDescent="0.25">
      <c r="A10776" s="74" t="s">
        <v>29</v>
      </c>
      <c r="B10776" s="226" t="s">
        <v>30</v>
      </c>
      <c r="C10776" s="226"/>
      <c r="D10776" s="74" t="s">
        <v>31</v>
      </c>
      <c r="E10776" s="74" t="s">
        <v>32</v>
      </c>
      <c r="F10776" s="74" t="s">
        <v>189</v>
      </c>
      <c r="G10776" s="74" t="s">
        <v>33</v>
      </c>
    </row>
    <row r="10777" spans="1:7" ht="21.75" customHeight="1" x14ac:dyDescent="0.25">
      <c r="A10777" s="50" t="str">
        <f>Presupuesto!B196</f>
        <v>008_N3</v>
      </c>
      <c r="B10777" s="220" t="str">
        <f>Presupuesto!C196</f>
        <v>SUMINISTRO E INSTALACIÓN DE CABLE ECOLÓGICO ACSR 3X 4/0 AWG 35 KV PARA CONEXIÓN ENTRE EQUIPOS</v>
      </c>
      <c r="C10777" s="220"/>
      <c r="D10777" s="50" t="s">
        <v>108</v>
      </c>
      <c r="E10777" s="50">
        <v>50</v>
      </c>
      <c r="F10777" s="50"/>
      <c r="G10777" s="51">
        <f>G10845</f>
        <v>176984.94</v>
      </c>
    </row>
    <row r="10778" spans="1:7" x14ac:dyDescent="0.25">
      <c r="A10778" s="219" t="s">
        <v>34</v>
      </c>
      <c r="B10778" s="219"/>
      <c r="C10778" s="219"/>
      <c r="D10778" s="219"/>
      <c r="E10778" s="219"/>
      <c r="F10778" s="219"/>
      <c r="G10778" s="219"/>
    </row>
    <row r="10779" spans="1:7" x14ac:dyDescent="0.25">
      <c r="A10779" s="49" t="s">
        <v>35</v>
      </c>
      <c r="B10779" s="219" t="s">
        <v>36</v>
      </c>
      <c r="C10779" s="219"/>
      <c r="D10779" s="49" t="s">
        <v>37</v>
      </c>
      <c r="E10779" s="49" t="s">
        <v>38</v>
      </c>
      <c r="F10779" s="49" t="s">
        <v>39</v>
      </c>
      <c r="G10779" s="49" t="s">
        <v>40</v>
      </c>
    </row>
    <row r="10780" spans="1:7" x14ac:dyDescent="0.25">
      <c r="A10780" s="17" t="str">
        <f>Material!A544</f>
        <v>MA-543</v>
      </c>
      <c r="B10780" s="72" t="str">
        <f>IFERROR(VLOOKUP(A10780,Material!$A:$J,2,0),"-")</f>
        <v>CABLE ECOLOGICO 4/0 AWG 35KV</v>
      </c>
      <c r="C10780" s="73"/>
      <c r="D10780" s="50" t="str">
        <f>IFERROR(VLOOKUP(A10780,Material!$A:$J,4,0),"-")</f>
        <v>ML</v>
      </c>
      <c r="E10780" s="50">
        <v>3</v>
      </c>
      <c r="F10780" s="51">
        <f>IFERROR(VLOOKUP(A10780,Material!$A:$J,3,0),"-")</f>
        <v>37406.46</v>
      </c>
      <c r="G10780" s="51">
        <f t="shared" ref="G10780:G10786" si="150">IFERROR(ROUNDUP(F10780*E10780,0),"-")</f>
        <v>112220</v>
      </c>
    </row>
    <row r="10781" spans="1:7" x14ac:dyDescent="0.25">
      <c r="A10781" s="17"/>
      <c r="B10781" s="72" t="str">
        <f>IFERROR(VLOOKUP(A10781,Material!$A:$J,2,0),"-")</f>
        <v>-</v>
      </c>
      <c r="C10781" s="73"/>
      <c r="D10781" s="50" t="str">
        <f>IFERROR(VLOOKUP(A10781,Material!$A:$J,4,0),"-")</f>
        <v>-</v>
      </c>
      <c r="E10781" s="50"/>
      <c r="F10781" s="51" t="str">
        <f>IFERROR(VLOOKUP(A10781,Material!$A:$J,3,0),"-")</f>
        <v>-</v>
      </c>
      <c r="G10781" s="51" t="str">
        <f t="shared" si="150"/>
        <v>-</v>
      </c>
    </row>
    <row r="10782" spans="1:7" x14ac:dyDescent="0.25">
      <c r="A10782" s="17"/>
      <c r="B10782" s="72" t="str">
        <f>IFERROR(VLOOKUP(A10782,Material!$A:$J,2,0),"-")</f>
        <v>-</v>
      </c>
      <c r="C10782" s="73"/>
      <c r="D10782" s="50" t="str">
        <f>IFERROR(VLOOKUP(A10782,Material!$A:$J,4,0),"-")</f>
        <v>-</v>
      </c>
      <c r="E10782" s="50"/>
      <c r="F10782" s="51" t="str">
        <f>IFERROR(VLOOKUP(A10782,Material!$A:$J,3,0),"-")</f>
        <v>-</v>
      </c>
      <c r="G10782" s="51" t="str">
        <f t="shared" si="150"/>
        <v>-</v>
      </c>
    </row>
    <row r="10783" spans="1:7" x14ac:dyDescent="0.25">
      <c r="A10783" s="17"/>
      <c r="B10783" s="72" t="str">
        <f>IFERROR(VLOOKUP(A10783,Material!$A:$J,2,0),"-")</f>
        <v>-</v>
      </c>
      <c r="C10783" s="73"/>
      <c r="D10783" s="50" t="str">
        <f>IFERROR(VLOOKUP(A10783,Material!$A:$J,4,0),"-")</f>
        <v>-</v>
      </c>
      <c r="E10783" s="50"/>
      <c r="F10783" s="51" t="str">
        <f>IFERROR(VLOOKUP(A10783,Material!$A:$J,3,0),"-")</f>
        <v>-</v>
      </c>
      <c r="G10783" s="51" t="str">
        <f t="shared" si="150"/>
        <v>-</v>
      </c>
    </row>
    <row r="10784" spans="1:7" x14ac:dyDescent="0.25">
      <c r="A10784" s="17"/>
      <c r="B10784" s="72" t="str">
        <f>IFERROR(VLOOKUP(A10784,Material!$A:$J,2,0),"-")</f>
        <v>-</v>
      </c>
      <c r="C10784" s="73"/>
      <c r="D10784" s="50" t="str">
        <f>IFERROR(VLOOKUP(A10784,Material!$A:$J,4,0),"-")</f>
        <v>-</v>
      </c>
      <c r="E10784" s="50"/>
      <c r="F10784" s="51" t="str">
        <f>IFERROR(VLOOKUP(A10784,Material!$A:$J,3,0),"-")</f>
        <v>-</v>
      </c>
      <c r="G10784" s="51" t="str">
        <f t="shared" si="150"/>
        <v>-</v>
      </c>
    </row>
    <row r="10785" spans="1:7" x14ac:dyDescent="0.25">
      <c r="A10785" s="17"/>
      <c r="B10785" s="72" t="str">
        <f>IFERROR(VLOOKUP(A10785,Material!$A:$J,2,0),"-")</f>
        <v>-</v>
      </c>
      <c r="C10785" s="73"/>
      <c r="D10785" s="50" t="str">
        <f>IFERROR(VLOOKUP(A10785,Material!$A:$J,4,0),"-")</f>
        <v>-</v>
      </c>
      <c r="E10785" s="50"/>
      <c r="F10785" s="51" t="str">
        <f>IFERROR(VLOOKUP(A10785,Material!$A:$J,3,0),"-")</f>
        <v>-</v>
      </c>
      <c r="G10785" s="51" t="str">
        <f t="shared" si="150"/>
        <v>-</v>
      </c>
    </row>
    <row r="10786" spans="1:7" x14ac:dyDescent="0.25">
      <c r="A10786" s="17"/>
      <c r="B10786" s="72" t="str">
        <f>IFERROR(VLOOKUP(A10786,Material!$A:$J,2,0),"-")</f>
        <v>-</v>
      </c>
      <c r="C10786" s="73"/>
      <c r="D10786" s="50" t="str">
        <f>IFERROR(VLOOKUP(A10786,Material!$A:$J,4,0),"-")</f>
        <v>-</v>
      </c>
      <c r="E10786" s="50"/>
      <c r="F10786" s="51" t="str">
        <f>IFERROR(VLOOKUP(A10786,Material!$A:$J,3,0),"-")</f>
        <v>-</v>
      </c>
      <c r="G10786" s="51" t="str">
        <f t="shared" si="150"/>
        <v>-</v>
      </c>
    </row>
    <row r="10787" spans="1:7" x14ac:dyDescent="0.25">
      <c r="A10787" s="219" t="s">
        <v>41</v>
      </c>
      <c r="B10787" s="219"/>
      <c r="C10787" s="219"/>
      <c r="D10787" s="219"/>
      <c r="E10787" s="219"/>
      <c r="F10787" s="219"/>
      <c r="G10787" s="52">
        <f>SUM(G10780:G10786)</f>
        <v>112220</v>
      </c>
    </row>
    <row r="10788" spans="1:7" x14ac:dyDescent="0.25">
      <c r="A10788" s="56"/>
      <c r="B10788" s="57"/>
      <c r="C10788" s="57"/>
      <c r="D10788" s="57"/>
      <c r="E10788" s="57"/>
      <c r="F10788" s="57"/>
      <c r="G10788" s="58"/>
    </row>
    <row r="10789" spans="1:7" x14ac:dyDescent="0.25">
      <c r="A10789" s="219" t="s">
        <v>42</v>
      </c>
      <c r="B10789" s="219"/>
      <c r="C10789" s="219"/>
      <c r="D10789" s="219"/>
      <c r="E10789" s="219"/>
      <c r="F10789" s="219"/>
      <c r="G10789" s="219"/>
    </row>
    <row r="10790" spans="1:7" x14ac:dyDescent="0.25">
      <c r="A10790" s="49" t="s">
        <v>35</v>
      </c>
      <c r="B10790" s="49" t="s">
        <v>36</v>
      </c>
      <c r="C10790" s="49" t="s">
        <v>38</v>
      </c>
      <c r="D10790" s="49" t="s">
        <v>43</v>
      </c>
      <c r="E10790" s="49" t="s">
        <v>44</v>
      </c>
      <c r="F10790" s="49" t="s">
        <v>45</v>
      </c>
      <c r="G10790" s="49" t="s">
        <v>40</v>
      </c>
    </row>
    <row r="10791" spans="1:7" x14ac:dyDescent="0.25">
      <c r="A10791" s="50" t="s">
        <v>319</v>
      </c>
      <c r="B10791" s="68" t="str">
        <f>VLOOKUP(A10791,'[1]Componentes APUs'!$H$1:$L$25,2,0)</f>
        <v>Ingeniero Residente de Obra</v>
      </c>
      <c r="C10791" s="93">
        <v>0.25</v>
      </c>
      <c r="D10791" s="50">
        <f>VLOOKUP(A10791,'[1]Componentes APUs'!$H$1:$L$25,3,0)</f>
        <v>4</v>
      </c>
      <c r="E10791" s="51">
        <f>VLOOKUP(A10791,'[1]Componentes APUs'!$H$1:$L$25,4,0)</f>
        <v>271142.85714285716</v>
      </c>
      <c r="F10791" s="51">
        <f>VLOOKUP(A10791,'[1]Componentes APUs'!$H$1:$L$25,5,0)</f>
        <v>162685.71428571429</v>
      </c>
      <c r="G10791" s="51">
        <f>ROUNDUP((E10791+F10791)*C10791/E10777,0)</f>
        <v>2170</v>
      </c>
    </row>
    <row r="10792" spans="1:7" x14ac:dyDescent="0.25">
      <c r="A10792" s="50" t="s">
        <v>320</v>
      </c>
      <c r="B10792" s="68" t="str">
        <f>VLOOKUP(A10792,'[1]Componentes APUs'!$H$1:$L$25,2,0)</f>
        <v>Tecnico Supervisor</v>
      </c>
      <c r="C10792" s="93">
        <v>0.25</v>
      </c>
      <c r="D10792" s="50">
        <f>VLOOKUP(A10792,'[1]Componentes APUs'!$H$1:$L$25,3,0)</f>
        <v>2.2999999999999998</v>
      </c>
      <c r="E10792" s="51">
        <f>VLOOKUP(A10792,'[1]Componentes APUs'!$H$1:$L$25,4,0)</f>
        <v>155907.14285714284</v>
      </c>
      <c r="F10792" s="51">
        <f>VLOOKUP(A10792,'[1]Componentes APUs'!$H$1:$L$25,5,0)</f>
        <v>93544.285714285696</v>
      </c>
      <c r="G10792" s="51">
        <f>ROUNDUP((E10792+F10792)*C10792/E10777,0)</f>
        <v>1248</v>
      </c>
    </row>
    <row r="10793" spans="1:7" x14ac:dyDescent="0.25">
      <c r="A10793" s="50" t="s">
        <v>46</v>
      </c>
      <c r="B10793" s="68" t="str">
        <f>VLOOKUP(A10793,'[1]Componentes APUs'!$H$1:$L$25,2,0)</f>
        <v>Tecnico Liniero</v>
      </c>
      <c r="C10793" s="93">
        <v>2</v>
      </c>
      <c r="D10793" s="50">
        <f>VLOOKUP(A10793,'[1]Componentes APUs'!$H$1:$L$25,3,0)</f>
        <v>2</v>
      </c>
      <c r="E10793" s="51">
        <f>VLOOKUP(A10793,'[1]Componentes APUs'!$H$1:$L$25,4,0)</f>
        <v>154619.04761904763</v>
      </c>
      <c r="F10793" s="51">
        <f>VLOOKUP(A10793,'[1]Componentes APUs'!$H$1:$L$25,5,0)</f>
        <v>92771.42857142858</v>
      </c>
      <c r="G10793" s="51">
        <f>ROUNDUP((E10793+F10793)*C10793/E10777,0)</f>
        <v>9896</v>
      </c>
    </row>
    <row r="10794" spans="1:7" x14ac:dyDescent="0.25">
      <c r="A10794" s="50" t="s">
        <v>48</v>
      </c>
      <c r="B10794" s="68" t="str">
        <f>VLOOKUP(A10794,'[1]Componentes APUs'!$H$1:$L$25,2,0)</f>
        <v>Ayudante Calificado</v>
      </c>
      <c r="C10794" s="93">
        <v>2</v>
      </c>
      <c r="D10794" s="50">
        <f>VLOOKUP(A10794,'[1]Componentes APUs'!$H$1:$L$25,3,0)</f>
        <v>1.5</v>
      </c>
      <c r="E10794" s="51">
        <f>VLOOKUP(A10794,'[1]Componentes APUs'!$H$1:$L$25,4,0)</f>
        <v>115964.28571428571</v>
      </c>
      <c r="F10794" s="51">
        <f>VLOOKUP(A10794,'[1]Componentes APUs'!$H$1:$L$25,5,0)</f>
        <v>69578.57142857142</v>
      </c>
      <c r="G10794" s="51">
        <f>ROUNDUP((E10794+F10794)*C10794/E10777,0)</f>
        <v>7422</v>
      </c>
    </row>
    <row r="10795" spans="1:7" x14ac:dyDescent="0.25">
      <c r="A10795" s="50" t="s">
        <v>50</v>
      </c>
      <c r="B10795" s="68" t="str">
        <f>VLOOKUP(A10795,'[1]Componentes APUs'!$H$1:$L$25,2,0)</f>
        <v>Profesional en SST</v>
      </c>
      <c r="C10795" s="93">
        <v>0.25</v>
      </c>
      <c r="D10795" s="50">
        <f>VLOOKUP(A10795,'[1]Componentes APUs'!$H$1:$L$25,3,0)</f>
        <v>2.5</v>
      </c>
      <c r="E10795" s="51">
        <f>VLOOKUP(A10795,'[1]Componentes APUs'!$H$1:$L$25,4,0)</f>
        <v>169464.28571428571</v>
      </c>
      <c r="F10795" s="51">
        <f>VLOOKUP(A10795,'[1]Componentes APUs'!$H$1:$L$25,5,0)</f>
        <v>101678.57142857142</v>
      </c>
      <c r="G10795" s="51">
        <f>ROUNDUP((E10795+F10795)*C10795/E10777,0)</f>
        <v>1356</v>
      </c>
    </row>
    <row r="10796" spans="1:7" x14ac:dyDescent="0.25">
      <c r="A10796" s="50" t="s">
        <v>52</v>
      </c>
      <c r="B10796" s="68" t="str">
        <f>VLOOKUP(A10796,'[1]Componentes APUs'!$H$1:$L$25,2,0)</f>
        <v>Ayudante No Calificado</v>
      </c>
      <c r="C10796" s="93">
        <v>0</v>
      </c>
      <c r="D10796" s="50">
        <f>VLOOKUP(A10796,'[1]Componentes APUs'!$H$1:$L$25,3,0)</f>
        <v>1</v>
      </c>
      <c r="E10796" s="51">
        <f>VLOOKUP(A10796,'[1]Componentes APUs'!$H$1:$L$25,4,0)</f>
        <v>77309.523809523816</v>
      </c>
      <c r="F10796" s="51">
        <f>VLOOKUP(A10796,'[1]Componentes APUs'!$H$1:$L$25,5,0)</f>
        <v>46385.71428571429</v>
      </c>
      <c r="G10796" s="51">
        <f>ROUNDUP((E10796+F10796)*C10796/E10777,0)</f>
        <v>0</v>
      </c>
    </row>
    <row r="10797" spans="1:7" x14ac:dyDescent="0.25">
      <c r="A10797" s="219" t="s">
        <v>56</v>
      </c>
      <c r="B10797" s="219"/>
      <c r="C10797" s="219"/>
      <c r="D10797" s="219"/>
      <c r="E10797" s="219"/>
      <c r="F10797" s="219"/>
      <c r="G10797" s="52">
        <f>SUM(G10791:G10796)</f>
        <v>22092</v>
      </c>
    </row>
    <row r="10798" spans="1:7" x14ac:dyDescent="0.25">
      <c r="A10798" s="56"/>
      <c r="B10798" s="57"/>
      <c r="C10798" s="57"/>
      <c r="D10798" s="57"/>
      <c r="E10798" s="57"/>
      <c r="F10798" s="57"/>
      <c r="G10798" s="58"/>
    </row>
    <row r="10799" spans="1:7" x14ac:dyDescent="0.25">
      <c r="A10799" s="219" t="s">
        <v>57</v>
      </c>
      <c r="B10799" s="219"/>
      <c r="C10799" s="219"/>
      <c r="D10799" s="219"/>
      <c r="E10799" s="219"/>
      <c r="F10799" s="219"/>
      <c r="G10799" s="219"/>
    </row>
    <row r="10800" spans="1:7" x14ac:dyDescent="0.25">
      <c r="A10800" s="49" t="s">
        <v>35</v>
      </c>
      <c r="B10800" s="219" t="s">
        <v>36</v>
      </c>
      <c r="C10800" s="219"/>
      <c r="D10800" s="49" t="s">
        <v>37</v>
      </c>
      <c r="E10800" s="49" t="s">
        <v>38</v>
      </c>
      <c r="F10800" s="49" t="s">
        <v>39</v>
      </c>
      <c r="G10800" s="49" t="s">
        <v>40</v>
      </c>
    </row>
    <row r="10801" spans="1:7" x14ac:dyDescent="0.25">
      <c r="A10801" s="50" t="s">
        <v>326</v>
      </c>
      <c r="B10801" s="220" t="str">
        <f>VLOOKUP(A10801,'[1]Componentes APUs'!$S$1:$V$10,2,0)</f>
        <v>Juego Llaves</v>
      </c>
      <c r="C10801" s="220"/>
      <c r="D10801" s="50" t="s">
        <v>18</v>
      </c>
      <c r="E10801" s="50">
        <v>2</v>
      </c>
      <c r="F10801" s="51">
        <f>VLOOKUP(A10801,'[1]Componentes APUs'!$S$1:$V$10,4,0)</f>
        <v>9167</v>
      </c>
      <c r="G10801" s="51">
        <f>ROUNDUP(F10801*((E10801/21)/E10777),0)</f>
        <v>18</v>
      </c>
    </row>
    <row r="10802" spans="1:7" x14ac:dyDescent="0.25">
      <c r="A10802" s="50" t="s">
        <v>58</v>
      </c>
      <c r="B10802" s="220" t="str">
        <f>VLOOKUP(A10802,'[1]Componentes APUs'!$S$1:$V$10,2,0)</f>
        <v>Manila de servicio</v>
      </c>
      <c r="C10802" s="220"/>
      <c r="D10802" s="50" t="s">
        <v>18</v>
      </c>
      <c r="E10802" s="50">
        <v>2</v>
      </c>
      <c r="F10802" s="51">
        <f>VLOOKUP(A10802,'[1]Componentes APUs'!$S$1:$V$10,4,0)</f>
        <v>2333</v>
      </c>
      <c r="G10802" s="51">
        <f>ROUNDUP(F10802*((E10802/21)/E10777),0)</f>
        <v>5</v>
      </c>
    </row>
    <row r="10803" spans="1:7" x14ac:dyDescent="0.25">
      <c r="A10803" s="50" t="s">
        <v>327</v>
      </c>
      <c r="B10803" s="220" t="str">
        <f>VLOOKUP(A10803,'[1]Componentes APUs'!$S$1:$V$10,2,0)</f>
        <v>Tula portaherramientas</v>
      </c>
      <c r="C10803" s="220"/>
      <c r="D10803" s="50" t="s">
        <v>18</v>
      </c>
      <c r="E10803" s="50">
        <v>2</v>
      </c>
      <c r="F10803" s="51">
        <f>VLOOKUP(A10803,'[1]Componentes APUs'!$S$1:$V$10,4,0)</f>
        <v>1250</v>
      </c>
      <c r="G10803" s="51">
        <f>ROUNDUP(F10803*((E10803/21)/E10777),0)</f>
        <v>3</v>
      </c>
    </row>
    <row r="10804" spans="1:7" x14ac:dyDescent="0.25">
      <c r="A10804" s="50" t="s">
        <v>60</v>
      </c>
      <c r="B10804" s="220" t="str">
        <f>VLOOKUP(A10804,'[1]Componentes APUs'!$S$1:$V$10,2,0)</f>
        <v>Agarradoras</v>
      </c>
      <c r="C10804" s="220"/>
      <c r="D10804" s="50" t="s">
        <v>18</v>
      </c>
      <c r="E10804" s="50">
        <v>2</v>
      </c>
      <c r="F10804" s="51">
        <f>VLOOKUP(A10804,'[1]Componentes APUs'!$S$1:$V$10,4,0)</f>
        <v>125000</v>
      </c>
      <c r="G10804" s="51">
        <f>ROUNDUP(F10804*((E10804/21)/E10777),0)</f>
        <v>239</v>
      </c>
    </row>
    <row r="10805" spans="1:7" x14ac:dyDescent="0.25">
      <c r="A10805" s="50" t="s">
        <v>62</v>
      </c>
      <c r="B10805" s="220" t="str">
        <f>VLOOKUP(A10805,'[1]Componentes APUs'!$S$1:$V$10,2,0)</f>
        <v>Templadoras</v>
      </c>
      <c r="C10805" s="220"/>
      <c r="D10805" s="50" t="s">
        <v>18</v>
      </c>
      <c r="E10805" s="50">
        <v>1</v>
      </c>
      <c r="F10805" s="51">
        <f>VLOOKUP(A10805,'[1]Componentes APUs'!$S$1:$V$10,4,0)</f>
        <v>250000</v>
      </c>
      <c r="G10805" s="51">
        <f>ROUNDUP(F10805*((E10805/21)/E10777),0)</f>
        <v>239</v>
      </c>
    </row>
    <row r="10806" spans="1:7" x14ac:dyDescent="0.25">
      <c r="A10806" s="50" t="s">
        <v>328</v>
      </c>
      <c r="B10806" s="220" t="str">
        <f>VLOOKUP(A10806,'[1]Componentes APUs'!$S$1:$V$10,2,0)</f>
        <v>Herramienta Menor</v>
      </c>
      <c r="C10806" s="220"/>
      <c r="D10806" s="50" t="s">
        <v>18</v>
      </c>
      <c r="E10806" s="50">
        <v>2</v>
      </c>
      <c r="F10806" s="51">
        <f>VLOOKUP(A10806,'[1]Componentes APUs'!$S$1:$V$10,4,0)</f>
        <v>75758</v>
      </c>
      <c r="G10806" s="51">
        <f>ROUNDUP(F10806*((E10806/21)/E10777),0)</f>
        <v>145</v>
      </c>
    </row>
    <row r="10807" spans="1:7" x14ac:dyDescent="0.25">
      <c r="A10807" s="219" t="s">
        <v>69</v>
      </c>
      <c r="B10807" s="219"/>
      <c r="C10807" s="219"/>
      <c r="D10807" s="219"/>
      <c r="E10807" s="219"/>
      <c r="F10807" s="219"/>
      <c r="G10807" s="52">
        <f>SUM(G10801:G10806)</f>
        <v>649</v>
      </c>
    </row>
    <row r="10808" spans="1:7" x14ac:dyDescent="0.25">
      <c r="A10808" s="56"/>
      <c r="B10808" s="57"/>
      <c r="C10808" s="57"/>
      <c r="D10808" s="57"/>
      <c r="E10808" s="57"/>
      <c r="F10808" s="57"/>
      <c r="G10808" s="58"/>
    </row>
    <row r="10809" spans="1:7" x14ac:dyDescent="0.25">
      <c r="A10809" s="219" t="s">
        <v>70</v>
      </c>
      <c r="B10809" s="219"/>
      <c r="C10809" s="219"/>
      <c r="D10809" s="219"/>
      <c r="E10809" s="219"/>
      <c r="F10809" s="219"/>
      <c r="G10809" s="219"/>
    </row>
    <row r="10810" spans="1:7" x14ac:dyDescent="0.25">
      <c r="A10810" s="49" t="s">
        <v>35</v>
      </c>
      <c r="B10810" s="219" t="s">
        <v>36</v>
      </c>
      <c r="C10810" s="219"/>
      <c r="D10810" s="49" t="s">
        <v>37</v>
      </c>
      <c r="E10810" s="49" t="s">
        <v>38</v>
      </c>
      <c r="F10810" s="49" t="s">
        <v>39</v>
      </c>
      <c r="G10810" s="49" t="s">
        <v>40</v>
      </c>
    </row>
    <row r="10811" spans="1:7" x14ac:dyDescent="0.25">
      <c r="A10811" s="50" t="s">
        <v>71</v>
      </c>
      <c r="B10811" s="71" t="str">
        <f>VLOOKUP(A10811,'[1]Componentes APUs'!$A$1:$D$14,2,0)</f>
        <v>Camisa indigo sin partes metalicas</v>
      </c>
      <c r="C10811" s="71"/>
      <c r="D10811" s="50" t="str">
        <f>VLOOKUP(A10811,'[1]Componentes APUs'!$A$1:$D$14,3,0)</f>
        <v>U</v>
      </c>
      <c r="E10811" s="50">
        <f>SUM(C10791:C10796)</f>
        <v>4.75</v>
      </c>
      <c r="F10811" s="51">
        <f>VLOOKUP(A10811,'[1]Componentes APUs'!$A$1:$D$14,4,0)</f>
        <v>8585.8585858585866</v>
      </c>
      <c r="G10811" s="51">
        <f>ROUNDUP(F10811*(E10811/21)/E10777,0)</f>
        <v>39</v>
      </c>
    </row>
    <row r="10812" spans="1:7" x14ac:dyDescent="0.25">
      <c r="A10812" s="69" t="s">
        <v>73</v>
      </c>
      <c r="B10812" s="72" t="str">
        <f>VLOOKUP(A10812,'[1]Componentes APUs'!$A$1:$D$14,2,0)</f>
        <v>Bota de seguridad dielectrica</v>
      </c>
      <c r="C10812" s="73"/>
      <c r="D10812" s="70" t="str">
        <f>VLOOKUP(A10812,'[1]Componentes APUs'!$A$1:$D$14,3,0)</f>
        <v>Par</v>
      </c>
      <c r="E10812" s="50">
        <f>SUM(C10791:C10796)</f>
        <v>4.75</v>
      </c>
      <c r="F10812" s="51">
        <f>VLOOKUP(A10812,'[1]Componentes APUs'!$A$1:$D$14,4,0)</f>
        <v>7500</v>
      </c>
      <c r="G10812" s="51">
        <f>ROUNDUP(F10812*(E10812/21)/E10777,0)</f>
        <v>34</v>
      </c>
    </row>
    <row r="10813" spans="1:7" x14ac:dyDescent="0.25">
      <c r="A10813" s="50" t="s">
        <v>76</v>
      </c>
      <c r="B10813" s="72" t="str">
        <f>VLOOKUP(A10813,'[1]Componentes APUs'!$A$1:$D$14,2,0)</f>
        <v>Casco dielectrico Tipo 1 Clase E con barbuquejo</v>
      </c>
      <c r="C10813" s="73"/>
      <c r="D10813" s="50" t="str">
        <f>VLOOKUP(A10813,'[1]Componentes APUs'!$A$1:$D$14,3,0)</f>
        <v>U</v>
      </c>
      <c r="E10813" s="50">
        <f>C10791+C10792+C10794+C10795+C10796+IF(A10793&lt;&gt;"MO-3",C10793,0)</f>
        <v>2.75</v>
      </c>
      <c r="F10813" s="51">
        <f>VLOOKUP(A10813,'[1]Componentes APUs'!$A$1:$D$14,4,0)</f>
        <v>10101.010101010101</v>
      </c>
      <c r="G10813" s="51">
        <f>ROUNDUP(F10813*(E10813/21)/E10777,0)</f>
        <v>27</v>
      </c>
    </row>
    <row r="10814" spans="1:7" x14ac:dyDescent="0.25">
      <c r="A10814" s="69" t="s">
        <v>77</v>
      </c>
      <c r="B10814" s="72" t="str">
        <f>VLOOKUP(A10814,'[1]Componentes APUs'!$A$1:$D$14,2,0)</f>
        <v>Correa plastica y antiflama</v>
      </c>
      <c r="C10814" s="73"/>
      <c r="D10814" s="50" t="str">
        <f>VLOOKUP(A10814,'[1]Componentes APUs'!$A$1:$D$14,3,0)</f>
        <v>U</v>
      </c>
      <c r="E10814" s="50">
        <f>SUM(C10791:C10796)</f>
        <v>4.75</v>
      </c>
      <c r="F10814" s="51">
        <f>VLOOKUP(A10814,'[1]Componentes APUs'!$A$1:$D$14,4,0)</f>
        <v>3787.878787878788</v>
      </c>
      <c r="G10814" s="51">
        <f>ROUNDUP(F10814*(E10814/21)/E10777,0)</f>
        <v>18</v>
      </c>
    </row>
    <row r="10815" spans="1:7" x14ac:dyDescent="0.25">
      <c r="A10815" s="50" t="s">
        <v>79</v>
      </c>
      <c r="B10815" s="72" t="str">
        <f>VLOOKUP(A10815,'[1]Componentes APUs'!$A$1:$D$14,2,0)</f>
        <v>Gafas protectoras filtro UV</v>
      </c>
      <c r="C10815" s="73"/>
      <c r="D10815" s="50" t="str">
        <f>VLOOKUP(A10815,'[1]Componentes APUs'!$A$1:$D$14,3,0)</f>
        <v>U</v>
      </c>
      <c r="E10815" s="50">
        <f>SUM(C10791:C10796)</f>
        <v>4.75</v>
      </c>
      <c r="F10815" s="51">
        <f>VLOOKUP(A10815,'[1]Componentes APUs'!$A$1:$D$14,4,0)</f>
        <v>2777.7777777777778</v>
      </c>
      <c r="G10815" s="51">
        <f>ROUNDUP(F10815*(E10815/21)/E10777,0)</f>
        <v>13</v>
      </c>
    </row>
    <row r="10816" spans="1:7" x14ac:dyDescent="0.25">
      <c r="A10816" s="69" t="s">
        <v>402</v>
      </c>
      <c r="B10816" s="72" t="str">
        <f>VLOOKUP(A10816,'[1]Componentes APUs'!$A$1:$D$14,2,0)</f>
        <v>Bota de seguridad PVC dielectrica</v>
      </c>
      <c r="C10816" s="73"/>
      <c r="D10816" s="50" t="str">
        <f>VLOOKUP(A10816,'[1]Componentes APUs'!$A$1:$D$14,3,0)</f>
        <v>Par</v>
      </c>
      <c r="E10816" s="50">
        <f>SUM(C10791:C10796)</f>
        <v>4.75</v>
      </c>
      <c r="F10816" s="51">
        <f>VLOOKUP(A10816,'[1]Componentes APUs'!$A$1:$D$14,4,0)</f>
        <v>2916.6666666666665</v>
      </c>
      <c r="G10816" s="51">
        <f>ROUNDUP(F10816*(E10816/21)/E10777,0)</f>
        <v>14</v>
      </c>
    </row>
    <row r="10817" spans="1:7" x14ac:dyDescent="0.25">
      <c r="A10817" s="50" t="s">
        <v>403</v>
      </c>
      <c r="B10817" s="72" t="str">
        <f>VLOOKUP(A10817,'[1]Componentes APUs'!$A$1:$D$14,2,0)</f>
        <v>Capuchon</v>
      </c>
      <c r="C10817" s="73"/>
      <c r="D10817" s="50" t="str">
        <f>VLOOKUP(A10817,'[1]Componentes APUs'!$A$1:$D$14,3,0)</f>
        <v>U</v>
      </c>
      <c r="E10817" s="50">
        <f>SUM(C10791:C10796)</f>
        <v>4.75</v>
      </c>
      <c r="F10817" s="51">
        <f>VLOOKUP(A10817,'[1]Componentes APUs'!$A$1:$D$14,4,0)</f>
        <v>2525.2525252525252</v>
      </c>
      <c r="G10817" s="51">
        <f>ROUNDUP(F10817*(E10817/21)/E10777,0)</f>
        <v>12</v>
      </c>
    </row>
    <row r="10818" spans="1:7" x14ac:dyDescent="0.25">
      <c r="A10818" s="69" t="s">
        <v>81</v>
      </c>
      <c r="B10818" s="72" t="str">
        <f>VLOOKUP(A10818,'[1]Componentes APUs'!$A$1:$D$14,2,0)</f>
        <v>Guantes Protectores  - ingeniero reforzados</v>
      </c>
      <c r="C10818" s="73"/>
      <c r="D10818" s="50" t="str">
        <f>VLOOKUP(A10818,'[1]Componentes APUs'!$A$1:$D$14,3,0)</f>
        <v>Par</v>
      </c>
      <c r="E10818" s="50">
        <f>C10793+C10794+C10796</f>
        <v>4</v>
      </c>
      <c r="F10818" s="51">
        <f>VLOOKUP(A10818,'[1]Componentes APUs'!$A$1:$D$14,4,0)</f>
        <v>2525.2525252525252</v>
      </c>
      <c r="G10818" s="51">
        <f>ROUNDUP(F10818*(E10818/21)/E10777,0)</f>
        <v>10</v>
      </c>
    </row>
    <row r="10819" spans="1:7" x14ac:dyDescent="0.25">
      <c r="A10819" s="50" t="s">
        <v>83</v>
      </c>
      <c r="B10819" s="72" t="str">
        <f>VLOOKUP(A10819,'[1]Componentes APUs'!$A$1:$D$14,2,0)</f>
        <v>Impermeable (pantalon camisa)</v>
      </c>
      <c r="C10819" s="73"/>
      <c r="D10819" s="50" t="str">
        <f>VLOOKUP(A10819,'[1]Componentes APUs'!$A$1:$D$14,3,0)</f>
        <v>U</v>
      </c>
      <c r="E10819" s="50">
        <f>SUM(C10791:C10796)</f>
        <v>4.75</v>
      </c>
      <c r="F10819" s="51">
        <f>VLOOKUP(A10819,'[1]Componentes APUs'!$A$1:$D$14,4,0)</f>
        <v>3750</v>
      </c>
      <c r="G10819" s="51">
        <f>ROUNDUP(F10819*(E10819/21)/E10777,0)</f>
        <v>17</v>
      </c>
    </row>
    <row r="10820" spans="1:7" x14ac:dyDescent="0.25">
      <c r="A10820" s="69" t="s">
        <v>85</v>
      </c>
      <c r="B10820" s="72" t="str">
        <f>VLOOKUP(A10820,'[1]Componentes APUs'!$A$1:$D$14,2,0)</f>
        <v>Jean Dielectrico</v>
      </c>
      <c r="C10820" s="73"/>
      <c r="D10820" s="50" t="str">
        <f>VLOOKUP(A10820,'[1]Componentes APUs'!$A$1:$D$14,3,0)</f>
        <v>U</v>
      </c>
      <c r="E10820" s="50">
        <f>SUM(C10791:C10796)</f>
        <v>4.75</v>
      </c>
      <c r="F10820" s="51">
        <f>VLOOKUP(A10820,'[1]Componentes APUs'!$A$1:$D$14,4,0)</f>
        <v>7575.757575757576</v>
      </c>
      <c r="G10820" s="51">
        <f>ROUNDUP(F10820*(E10820/21)/E10777,0)</f>
        <v>35</v>
      </c>
    </row>
    <row r="10821" spans="1:7" x14ac:dyDescent="0.25">
      <c r="A10821" s="50" t="s">
        <v>87</v>
      </c>
      <c r="B10821" s="72" t="str">
        <f>VLOOKUP(A10821,'[1]Componentes APUs'!$A$1:$D$14,2,0)</f>
        <v>Casco dielectrico Tipo 2 Clase E con barboquejo</v>
      </c>
      <c r="C10821" s="73"/>
      <c r="D10821" s="50" t="str">
        <f>VLOOKUP(A10821,'[1]Componentes APUs'!$A$1:$D$14,3,0)</f>
        <v>U</v>
      </c>
      <c r="E10821" s="53">
        <f>IF(A10793="MO-3",C10793,0)</f>
        <v>2</v>
      </c>
      <c r="F10821" s="51">
        <f>VLOOKUP(A10821,'[1]Componentes APUs'!$A$1:$D$14,4,0)</f>
        <v>7500</v>
      </c>
      <c r="G10821" s="51">
        <f>ROUNDUP(F10821*(E10821/21)/E10777,0)</f>
        <v>15</v>
      </c>
    </row>
    <row r="10822" spans="1:7" x14ac:dyDescent="0.25">
      <c r="A10822" s="69" t="s">
        <v>89</v>
      </c>
      <c r="B10822" s="72" t="str">
        <f>VLOOKUP(A10822,'[1]Componentes APUs'!$A$1:$D$14,2,0)</f>
        <v>Kit de rescate para trabajo en alturas</v>
      </c>
      <c r="C10822" s="73"/>
      <c r="D10822" s="50" t="str">
        <f>VLOOKUP(A10822,'[1]Componentes APUs'!$A$1:$D$14,3,0)</f>
        <v>U</v>
      </c>
      <c r="E10822" s="50">
        <f>IF(AND(A10793="MO-3",C10793=2),1,0)</f>
        <v>1</v>
      </c>
      <c r="F10822" s="51">
        <f>VLOOKUP(A10822,'[1]Componentes APUs'!$A$1:$D$14,4,0)</f>
        <v>37500</v>
      </c>
      <c r="G10822" s="51">
        <f>ROUNDUP(F10822*(E10822/21)/E10777,0)</f>
        <v>36</v>
      </c>
    </row>
    <row r="10823" spans="1:7" x14ac:dyDescent="0.25">
      <c r="A10823" s="50" t="s">
        <v>91</v>
      </c>
      <c r="B10823" s="72" t="str">
        <f>VLOOKUP(A10823,'[1]Componentes APUs'!$A$1:$D$14,2,0)</f>
        <v>Equipo completo para trabajo en alturas con pretales (Arnes dielectrico, 1 mosqueton de seguridad, tie off dielectrico, eslinga de posicionamiento, juego de pretales)</v>
      </c>
      <c r="C10823" s="73"/>
      <c r="D10823" s="50" t="str">
        <f>VLOOKUP(A10823,'[1]Componentes APUs'!$A$1:$D$14,3,0)</f>
        <v>U</v>
      </c>
      <c r="E10823" s="50">
        <f>IF(A10793="MO-3",C10793,0)</f>
        <v>2</v>
      </c>
      <c r="F10823" s="51">
        <f>VLOOKUP(A10823,'[1]Componentes APUs'!$A$1:$D$14,4,0)</f>
        <v>26041.666666666668</v>
      </c>
      <c r="G10823" s="51">
        <f>ROUNDUP(F10823*(E10823/21)/E10777,0)</f>
        <v>50</v>
      </c>
    </row>
    <row r="10824" spans="1:7" x14ac:dyDescent="0.25">
      <c r="A10824" s="219" t="s">
        <v>95</v>
      </c>
      <c r="B10824" s="219"/>
      <c r="C10824" s="219"/>
      <c r="D10824" s="219"/>
      <c r="E10824" s="219"/>
      <c r="F10824" s="219"/>
      <c r="G10824" s="52">
        <f>SUM(G10811:G10823)</f>
        <v>320</v>
      </c>
    </row>
    <row r="10825" spans="1:7" x14ac:dyDescent="0.25">
      <c r="A10825" s="56"/>
      <c r="B10825" s="57"/>
      <c r="C10825" s="57"/>
      <c r="D10825" s="57"/>
      <c r="E10825" s="57"/>
      <c r="F10825" s="57"/>
      <c r="G10825" s="58"/>
    </row>
    <row r="10826" spans="1:7" x14ac:dyDescent="0.25">
      <c r="A10826" s="219" t="s">
        <v>96</v>
      </c>
      <c r="B10826" s="219"/>
      <c r="C10826" s="219"/>
      <c r="D10826" s="219"/>
      <c r="E10826" s="219"/>
      <c r="F10826" s="219"/>
      <c r="G10826" s="219"/>
    </row>
    <row r="10827" spans="1:7" x14ac:dyDescent="0.25">
      <c r="A10827" s="49" t="s">
        <v>35</v>
      </c>
      <c r="B10827" s="225" t="s">
        <v>36</v>
      </c>
      <c r="C10827" s="225"/>
      <c r="D10827" s="49" t="s">
        <v>37</v>
      </c>
      <c r="E10827" s="49" t="s">
        <v>38</v>
      </c>
      <c r="F10827" s="49" t="s">
        <v>39</v>
      </c>
      <c r="G10827" s="49" t="s">
        <v>40</v>
      </c>
    </row>
    <row r="10828" spans="1:7" x14ac:dyDescent="0.25">
      <c r="A10828" s="69" t="s">
        <v>97</v>
      </c>
      <c r="B10828" s="72" t="str">
        <f>VLOOKUP(A10828,'[1]Componentes APUs'!$N$1:$Q$30,2,0)</f>
        <v>Camioneta</v>
      </c>
      <c r="C10828" s="73"/>
      <c r="D10828" s="70" t="str">
        <f>VLOOKUP(A10828,'[1]Componentes APUs'!$N$1:$Q$30,3,0)</f>
        <v>U</v>
      </c>
      <c r="E10828" s="50">
        <v>1</v>
      </c>
      <c r="F10828" s="51">
        <f>VLOOKUP(A10828,'[1]Componentes APUs'!$N$1:$Q$30,4,0)</f>
        <v>5500000</v>
      </c>
      <c r="G10828" s="51">
        <f>IFERROR(ROUNDUP(F10828*(E10828/21)/E10777,0),"-")</f>
        <v>5239</v>
      </c>
    </row>
    <row r="10829" spans="1:7" x14ac:dyDescent="0.25">
      <c r="A10829" s="50" t="s">
        <v>321</v>
      </c>
      <c r="B10829" s="72" t="str">
        <f>VLOOKUP(A10829,'[1]Componentes APUs'!$N$1:$Q$30,2,0)</f>
        <v>Grúa Hidráulica</v>
      </c>
      <c r="C10829" s="73"/>
      <c r="D10829" s="70" t="str">
        <f>VLOOKUP(A10829,'[1]Componentes APUs'!$N$1:$Q$30,3,0)</f>
        <v>U</v>
      </c>
      <c r="E10829" s="50">
        <v>0</v>
      </c>
      <c r="F10829" s="51">
        <f>VLOOKUP(A10829,'[1]Componentes APUs'!$N$1:$Q$30,4,0)</f>
        <v>21000000</v>
      </c>
      <c r="G10829" s="51">
        <f>IFERROR(ROUNDUP(F10829*(E10829/21)/E10777,0),"-")</f>
        <v>0</v>
      </c>
    </row>
    <row r="10830" spans="1:7" x14ac:dyDescent="0.25">
      <c r="A10830" s="69" t="s">
        <v>322</v>
      </c>
      <c r="B10830" s="72" t="str">
        <f>VLOOKUP(A10830,'[1]Componentes APUs'!$N$1:$Q$30,2,0)</f>
        <v>Camabaja</v>
      </c>
      <c r="C10830" s="73"/>
      <c r="D10830" s="70" t="str">
        <f>VLOOKUP(A10830,'[1]Componentes APUs'!$N$1:$Q$30,3,0)</f>
        <v>TON/KM</v>
      </c>
      <c r="E10830" s="50">
        <v>0</v>
      </c>
      <c r="F10830" s="51">
        <f>VLOOKUP(A10830,'[1]Componentes APUs'!$N$1:$Q$30,4,0)</f>
        <v>611</v>
      </c>
      <c r="G10830" s="51">
        <f>IFERROR(ROUNDUP(F10830*(E10830/21)/E10777,0),"-")</f>
        <v>0</v>
      </c>
    </row>
    <row r="10831" spans="1:7" x14ac:dyDescent="0.25">
      <c r="A10831" s="50" t="s">
        <v>323</v>
      </c>
      <c r="B10831" s="72" t="str">
        <f>VLOOKUP(A10831,'[1]Componentes APUs'!$N$1:$Q$30,2,0)</f>
        <v>Volqueta</v>
      </c>
      <c r="C10831" s="73"/>
      <c r="D10831" s="70" t="str">
        <f>VLOOKUP(A10831,'[1]Componentes APUs'!$N$1:$Q$30,3,0)</f>
        <v>U</v>
      </c>
      <c r="E10831" s="50">
        <v>0</v>
      </c>
      <c r="F10831" s="51">
        <f>VLOOKUP(A10831,'[1]Componentes APUs'!$N$1:$Q$30,4,0)</f>
        <v>18900000</v>
      </c>
      <c r="G10831" s="51">
        <f>IFERROR(ROUNDUP(F10831*(E10831/21)/E10777,0),"-")</f>
        <v>0</v>
      </c>
    </row>
    <row r="10832" spans="1:7" x14ac:dyDescent="0.25">
      <c r="A10832" s="69" t="s">
        <v>324</v>
      </c>
      <c r="B10832" s="72" t="str">
        <f>VLOOKUP(A10832,'[1]Componentes APUs'!$N$1:$Q$30,2,0)</f>
        <v>Retroexcavadora</v>
      </c>
      <c r="C10832" s="73"/>
      <c r="D10832" s="70" t="str">
        <f>VLOOKUP(A10832,'[1]Componentes APUs'!$N$1:$Q$30,3,0)</f>
        <v>U</v>
      </c>
      <c r="E10832" s="50">
        <v>0</v>
      </c>
      <c r="F10832" s="51">
        <f>VLOOKUP(A10832,'[1]Componentes APUs'!$N$1:$Q$30,4,0)</f>
        <v>1494459.54</v>
      </c>
      <c r="G10832" s="51">
        <f>IFERROR(ROUNDUP(F10832*(E10832/21)/E10777,0),"-")</f>
        <v>0</v>
      </c>
    </row>
    <row r="10833" spans="1:7" x14ac:dyDescent="0.25">
      <c r="A10833" s="219" t="s">
        <v>99</v>
      </c>
      <c r="B10833" s="219"/>
      <c r="C10833" s="219"/>
      <c r="D10833" s="219"/>
      <c r="E10833" s="219"/>
      <c r="F10833" s="219"/>
      <c r="G10833" s="52">
        <f>SUM(G10828:G10832)</f>
        <v>5239</v>
      </c>
    </row>
    <row r="10834" spans="1:7" x14ac:dyDescent="0.25">
      <c r="A10834" s="56"/>
      <c r="B10834" s="57"/>
      <c r="C10834" s="57"/>
      <c r="D10834" s="57"/>
      <c r="E10834" s="57"/>
      <c r="F10834" s="57"/>
      <c r="G10834" s="58"/>
    </row>
    <row r="10835" spans="1:7" x14ac:dyDescent="0.25">
      <c r="A10835" s="219" t="s">
        <v>1516</v>
      </c>
      <c r="B10835" s="219"/>
      <c r="C10835" s="219"/>
      <c r="D10835" s="219"/>
      <c r="E10835" s="219"/>
      <c r="F10835" s="219"/>
      <c r="G10835" s="52">
        <f>G10833+G10824+G10807+G10797+G10787</f>
        <v>140520</v>
      </c>
    </row>
    <row r="10836" spans="1:7" x14ac:dyDescent="0.25">
      <c r="A10836" s="59"/>
      <c r="B10836" s="60"/>
      <c r="C10836" s="60"/>
      <c r="D10836" s="60"/>
      <c r="E10836" s="57"/>
      <c r="F10836" s="57"/>
      <c r="G10836" s="58"/>
    </row>
    <row r="10837" spans="1:7" x14ac:dyDescent="0.25">
      <c r="A10837" s="64"/>
      <c r="D10837" s="55"/>
      <c r="E10837" s="49" t="s">
        <v>25</v>
      </c>
      <c r="F10837" s="54">
        <v>0.15</v>
      </c>
      <c r="G10837" s="51">
        <f>G10835*F10837</f>
        <v>21078</v>
      </c>
    </row>
    <row r="10838" spans="1:7" x14ac:dyDescent="0.25">
      <c r="A10838" s="64"/>
      <c r="D10838" s="55"/>
      <c r="E10838" s="49" t="s">
        <v>26</v>
      </c>
      <c r="F10838" s="54">
        <v>0.05</v>
      </c>
      <c r="G10838" s="51">
        <f>G10835*F10838</f>
        <v>7026</v>
      </c>
    </row>
    <row r="10839" spans="1:7" x14ac:dyDescent="0.25">
      <c r="A10839" s="61"/>
      <c r="B10839" s="65"/>
      <c r="C10839" s="65"/>
      <c r="D10839" s="62"/>
      <c r="E10839" s="49" t="s">
        <v>27</v>
      </c>
      <c r="F10839" s="54">
        <v>0.05</v>
      </c>
      <c r="G10839" s="51">
        <f>G10835*F10839</f>
        <v>7026</v>
      </c>
    </row>
    <row r="10840" spans="1:7" x14ac:dyDescent="0.25">
      <c r="A10840" s="61"/>
      <c r="B10840" s="62"/>
      <c r="C10840" s="62"/>
      <c r="D10840" s="62"/>
      <c r="E10840" s="62"/>
      <c r="F10840" s="62"/>
      <c r="G10840" s="63"/>
    </row>
    <row r="10841" spans="1:7" x14ac:dyDescent="0.25">
      <c r="A10841" s="219" t="s">
        <v>1517</v>
      </c>
      <c r="B10841" s="219"/>
      <c r="C10841" s="219"/>
      <c r="D10841" s="219"/>
      <c r="E10841" s="219"/>
      <c r="F10841" s="219"/>
      <c r="G10841" s="52">
        <f>G10835+G10837+G10838+G10839</f>
        <v>175650</v>
      </c>
    </row>
    <row r="10842" spans="1:7" x14ac:dyDescent="0.25">
      <c r="A10842" s="59"/>
      <c r="B10842" s="60"/>
      <c r="C10842" s="60"/>
      <c r="D10842" s="60"/>
      <c r="E10842" s="57"/>
      <c r="F10842" s="57"/>
      <c r="G10842" s="58"/>
    </row>
    <row r="10843" spans="1:7" x14ac:dyDescent="0.25">
      <c r="A10843" s="64"/>
      <c r="D10843" s="55"/>
      <c r="E10843" s="49" t="s">
        <v>102</v>
      </c>
      <c r="F10843" s="49" t="s">
        <v>103</v>
      </c>
      <c r="G10843" s="51">
        <f>G10839*19%</f>
        <v>1334.94</v>
      </c>
    </row>
    <row r="10844" spans="1:7" x14ac:dyDescent="0.25">
      <c r="A10844" s="61"/>
      <c r="B10844" s="62"/>
      <c r="C10844" s="62"/>
      <c r="D10844" s="62"/>
      <c r="E10844" s="57"/>
      <c r="F10844" s="57"/>
      <c r="G10844" s="58"/>
    </row>
    <row r="10845" spans="1:7" x14ac:dyDescent="0.25">
      <c r="A10845" s="219" t="s">
        <v>104</v>
      </c>
      <c r="B10845" s="219"/>
      <c r="C10845" s="219"/>
      <c r="D10845" s="219"/>
      <c r="E10845" s="219"/>
      <c r="F10845" s="219"/>
      <c r="G10845" s="52">
        <f>G10843+G10841</f>
        <v>176984.94</v>
      </c>
    </row>
    <row r="10847" spans="1:7" x14ac:dyDescent="0.25">
      <c r="A10847" s="74" t="s">
        <v>29</v>
      </c>
      <c r="B10847" s="226" t="s">
        <v>30</v>
      </c>
      <c r="C10847" s="226"/>
      <c r="D10847" s="74" t="s">
        <v>31</v>
      </c>
      <c r="E10847" s="74" t="s">
        <v>32</v>
      </c>
      <c r="F10847" s="74" t="s">
        <v>189</v>
      </c>
      <c r="G10847" s="74" t="s">
        <v>33</v>
      </c>
    </row>
    <row r="10848" spans="1:7" ht="30" customHeight="1" x14ac:dyDescent="0.25">
      <c r="A10848" s="50" t="str">
        <f>Presupuesto!B197</f>
        <v>009_N3</v>
      </c>
      <c r="B10848" s="220" t="str">
        <f>Presupuesto!C197</f>
        <v>SUMINISTRO E INSTALACIÓN DE CABLE AAAC 3X465.4Kcmil – CAIRO PARA BARRAJE</v>
      </c>
      <c r="C10848" s="220"/>
      <c r="D10848" s="50" t="s">
        <v>108</v>
      </c>
      <c r="E10848" s="50">
        <v>50</v>
      </c>
      <c r="F10848" s="50"/>
      <c r="G10848" s="51">
        <f>G10911</f>
        <v>276362.00899999996</v>
      </c>
    </row>
    <row r="10849" spans="1:7" x14ac:dyDescent="0.25">
      <c r="A10849" s="219" t="s">
        <v>34</v>
      </c>
      <c r="B10849" s="219"/>
      <c r="C10849" s="219"/>
      <c r="D10849" s="219"/>
      <c r="E10849" s="219"/>
      <c r="F10849" s="219"/>
      <c r="G10849" s="219"/>
    </row>
    <row r="10850" spans="1:7" x14ac:dyDescent="0.25">
      <c r="A10850" s="49" t="s">
        <v>35</v>
      </c>
      <c r="B10850" s="219" t="s">
        <v>36</v>
      </c>
      <c r="C10850" s="219"/>
      <c r="D10850" s="49" t="s">
        <v>37</v>
      </c>
      <c r="E10850" s="49" t="s">
        <v>38</v>
      </c>
      <c r="F10850" s="49" t="s">
        <v>39</v>
      </c>
      <c r="G10850" s="49" t="s">
        <v>40</v>
      </c>
    </row>
    <row r="10851" spans="1:7" x14ac:dyDescent="0.25">
      <c r="A10851" s="17" t="str">
        <f>Material!A20</f>
        <v>MA-19</v>
      </c>
      <c r="B10851" s="72" t="str">
        <f>IFERROR(VLOOKUP(A10851,Material!$A:$J,2,0),"-")</f>
        <v>CABLE AAAC 465.4Kcmil – CAIRO PARA BARRAJE</v>
      </c>
      <c r="C10851" s="73"/>
      <c r="D10851" s="50" t="str">
        <f>IFERROR(VLOOKUP(A10851,Material!$A:$J,4,0),"-")</f>
        <v>ML</v>
      </c>
      <c r="E10851" s="50">
        <v>3</v>
      </c>
      <c r="F10851" s="51">
        <f>IFERROR(VLOOKUP(A10851,Material!$A:$J,3,0),"-")</f>
        <v>63707.161699999997</v>
      </c>
      <c r="G10851" s="51">
        <f t="shared" ref="G10851:G10852" si="151">IFERROR(ROUNDUP(F10851*E10851,0),"-")</f>
        <v>191122</v>
      </c>
    </row>
    <row r="10852" spans="1:7" x14ac:dyDescent="0.25">
      <c r="A10852" s="17"/>
      <c r="B10852" s="72" t="str">
        <f>IFERROR(VLOOKUP(A10852,Material!$A:$J,2,0),"-")</f>
        <v>-</v>
      </c>
      <c r="C10852" s="73"/>
      <c r="D10852" s="50" t="str">
        <f>IFERROR(VLOOKUP(A10852,Material!$A:$J,4,0),"-")</f>
        <v>-</v>
      </c>
      <c r="E10852" s="50"/>
      <c r="F10852" s="51" t="str">
        <f>IFERROR(VLOOKUP(A10852,Material!$A:$J,3,0),"-")</f>
        <v>-</v>
      </c>
      <c r="G10852" s="51" t="str">
        <f t="shared" si="151"/>
        <v>-</v>
      </c>
    </row>
    <row r="10853" spans="1:7" x14ac:dyDescent="0.25">
      <c r="A10853" s="219" t="s">
        <v>41</v>
      </c>
      <c r="B10853" s="219"/>
      <c r="C10853" s="219"/>
      <c r="D10853" s="219"/>
      <c r="E10853" s="219"/>
      <c r="F10853" s="219"/>
      <c r="G10853" s="52">
        <f>SUM(G10851:G10852)</f>
        <v>191122</v>
      </c>
    </row>
    <row r="10854" spans="1:7" x14ac:dyDescent="0.25">
      <c r="A10854" s="56"/>
      <c r="B10854" s="57"/>
      <c r="C10854" s="57"/>
      <c r="D10854" s="57"/>
      <c r="E10854" s="57"/>
      <c r="F10854" s="57"/>
      <c r="G10854" s="58"/>
    </row>
    <row r="10855" spans="1:7" x14ac:dyDescent="0.25">
      <c r="A10855" s="219" t="s">
        <v>42</v>
      </c>
      <c r="B10855" s="219"/>
      <c r="C10855" s="219"/>
      <c r="D10855" s="219"/>
      <c r="E10855" s="219"/>
      <c r="F10855" s="219"/>
      <c r="G10855" s="219"/>
    </row>
    <row r="10856" spans="1:7" x14ac:dyDescent="0.25">
      <c r="A10856" s="49" t="s">
        <v>35</v>
      </c>
      <c r="B10856" s="49" t="s">
        <v>36</v>
      </c>
      <c r="C10856" s="49" t="s">
        <v>38</v>
      </c>
      <c r="D10856" s="49" t="s">
        <v>43</v>
      </c>
      <c r="E10856" s="49" t="s">
        <v>44</v>
      </c>
      <c r="F10856" s="49" t="s">
        <v>45</v>
      </c>
      <c r="G10856" s="49" t="s">
        <v>40</v>
      </c>
    </row>
    <row r="10857" spans="1:7" x14ac:dyDescent="0.25">
      <c r="A10857" s="50" t="s">
        <v>319</v>
      </c>
      <c r="B10857" s="68" t="str">
        <f>VLOOKUP(A10857,'[1]Componentes APUs'!$H$1:$L$25,2,0)</f>
        <v>Ingeniero Residente de Obra</v>
      </c>
      <c r="C10857" s="93">
        <v>0.25</v>
      </c>
      <c r="D10857" s="50">
        <f>VLOOKUP(A10857,'[1]Componentes APUs'!$H$1:$L$25,3,0)</f>
        <v>4</v>
      </c>
      <c r="E10857" s="51">
        <f>VLOOKUP(A10857,'[1]Componentes APUs'!$H$1:$L$25,4,0)</f>
        <v>271142.85714285716</v>
      </c>
      <c r="F10857" s="51">
        <f>VLOOKUP(A10857,'[1]Componentes APUs'!$H$1:$L$25,5,0)</f>
        <v>162685.71428571429</v>
      </c>
      <c r="G10857" s="51">
        <f>ROUNDUP((E10857+F10857)*C10857/E10848,0)</f>
        <v>2170</v>
      </c>
    </row>
    <row r="10858" spans="1:7" x14ac:dyDescent="0.25">
      <c r="A10858" s="50" t="s">
        <v>320</v>
      </c>
      <c r="B10858" s="68" t="str">
        <f>VLOOKUP(A10858,'[1]Componentes APUs'!$H$1:$L$25,2,0)</f>
        <v>Tecnico Supervisor</v>
      </c>
      <c r="C10858" s="93">
        <v>0.25</v>
      </c>
      <c r="D10858" s="50">
        <f>VLOOKUP(A10858,'[1]Componentes APUs'!$H$1:$L$25,3,0)</f>
        <v>2.2999999999999998</v>
      </c>
      <c r="E10858" s="51">
        <f>VLOOKUP(A10858,'[1]Componentes APUs'!$H$1:$L$25,4,0)</f>
        <v>155907.14285714284</v>
      </c>
      <c r="F10858" s="51">
        <f>VLOOKUP(A10858,'[1]Componentes APUs'!$H$1:$L$25,5,0)</f>
        <v>93544.285714285696</v>
      </c>
      <c r="G10858" s="51">
        <f>ROUNDUP((E10858+F10858)*C10858/E10848,0)</f>
        <v>1248</v>
      </c>
    </row>
    <row r="10859" spans="1:7" x14ac:dyDescent="0.25">
      <c r="A10859" s="50" t="s">
        <v>46</v>
      </c>
      <c r="B10859" s="68" t="str">
        <f>VLOOKUP(A10859,'[1]Componentes APUs'!$H$1:$L$25,2,0)</f>
        <v>Tecnico Liniero</v>
      </c>
      <c r="C10859" s="93">
        <v>2</v>
      </c>
      <c r="D10859" s="50">
        <f>VLOOKUP(A10859,'[1]Componentes APUs'!$H$1:$L$25,3,0)</f>
        <v>2</v>
      </c>
      <c r="E10859" s="51">
        <f>VLOOKUP(A10859,'[1]Componentes APUs'!$H$1:$L$25,4,0)</f>
        <v>154619.04761904763</v>
      </c>
      <c r="F10859" s="51">
        <f>VLOOKUP(A10859,'[1]Componentes APUs'!$H$1:$L$25,5,0)</f>
        <v>92771.42857142858</v>
      </c>
      <c r="G10859" s="51">
        <f>ROUNDUP((E10859+F10859)*C10859/E10848,0)</f>
        <v>9896</v>
      </c>
    </row>
    <row r="10860" spans="1:7" x14ac:dyDescent="0.25">
      <c r="A10860" s="50" t="s">
        <v>48</v>
      </c>
      <c r="B10860" s="68" t="str">
        <f>VLOOKUP(A10860,'[1]Componentes APUs'!$H$1:$L$25,2,0)</f>
        <v>Ayudante Calificado</v>
      </c>
      <c r="C10860" s="93">
        <v>2</v>
      </c>
      <c r="D10860" s="50">
        <f>VLOOKUP(A10860,'[1]Componentes APUs'!$H$1:$L$25,3,0)</f>
        <v>1.5</v>
      </c>
      <c r="E10860" s="51">
        <f>VLOOKUP(A10860,'[1]Componentes APUs'!$H$1:$L$25,4,0)</f>
        <v>115964.28571428571</v>
      </c>
      <c r="F10860" s="51">
        <f>VLOOKUP(A10860,'[1]Componentes APUs'!$H$1:$L$25,5,0)</f>
        <v>69578.57142857142</v>
      </c>
      <c r="G10860" s="51">
        <f>ROUNDUP((E10860+F10860)*C10860/E10848,0)</f>
        <v>7422</v>
      </c>
    </row>
    <row r="10861" spans="1:7" x14ac:dyDescent="0.25">
      <c r="A10861" s="50" t="s">
        <v>50</v>
      </c>
      <c r="B10861" s="68" t="str">
        <f>VLOOKUP(A10861,'[1]Componentes APUs'!$H$1:$L$25,2,0)</f>
        <v>Profesional en SST</v>
      </c>
      <c r="C10861" s="93">
        <v>0.25</v>
      </c>
      <c r="D10861" s="50">
        <f>VLOOKUP(A10861,'[1]Componentes APUs'!$H$1:$L$25,3,0)</f>
        <v>2.5</v>
      </c>
      <c r="E10861" s="51">
        <f>VLOOKUP(A10861,'[1]Componentes APUs'!$H$1:$L$25,4,0)</f>
        <v>169464.28571428571</v>
      </c>
      <c r="F10861" s="51">
        <f>VLOOKUP(A10861,'[1]Componentes APUs'!$H$1:$L$25,5,0)</f>
        <v>101678.57142857142</v>
      </c>
      <c r="G10861" s="51">
        <f>ROUNDUP((E10861+F10861)*C10861/E10848,0)</f>
        <v>1356</v>
      </c>
    </row>
    <row r="10862" spans="1:7" x14ac:dyDescent="0.25">
      <c r="A10862" s="50" t="s">
        <v>52</v>
      </c>
      <c r="B10862" s="68" t="str">
        <f>VLOOKUP(A10862,'[1]Componentes APUs'!$H$1:$L$25,2,0)</f>
        <v>Ayudante No Calificado</v>
      </c>
      <c r="C10862" s="93">
        <v>0</v>
      </c>
      <c r="D10862" s="50">
        <f>VLOOKUP(A10862,'[1]Componentes APUs'!$H$1:$L$25,3,0)</f>
        <v>1</v>
      </c>
      <c r="E10862" s="51">
        <f>VLOOKUP(A10862,'[1]Componentes APUs'!$H$1:$L$25,4,0)</f>
        <v>77309.523809523816</v>
      </c>
      <c r="F10862" s="51">
        <f>VLOOKUP(A10862,'[1]Componentes APUs'!$H$1:$L$25,5,0)</f>
        <v>46385.71428571429</v>
      </c>
      <c r="G10862" s="51">
        <f>ROUNDUP((E10862+F10862)*C10862/E10848,0)</f>
        <v>0</v>
      </c>
    </row>
    <row r="10863" spans="1:7" x14ac:dyDescent="0.25">
      <c r="A10863" s="219" t="s">
        <v>56</v>
      </c>
      <c r="B10863" s="219"/>
      <c r="C10863" s="219"/>
      <c r="D10863" s="219"/>
      <c r="E10863" s="219"/>
      <c r="F10863" s="219"/>
      <c r="G10863" s="52">
        <f>SUM(G10857:G10862)</f>
        <v>22092</v>
      </c>
    </row>
    <row r="10864" spans="1:7" x14ac:dyDescent="0.25">
      <c r="A10864" s="56"/>
      <c r="B10864" s="57"/>
      <c r="C10864" s="57"/>
      <c r="D10864" s="57"/>
      <c r="E10864" s="57"/>
      <c r="F10864" s="57"/>
      <c r="G10864" s="58"/>
    </row>
    <row r="10865" spans="1:7" x14ac:dyDescent="0.25">
      <c r="A10865" s="219" t="s">
        <v>57</v>
      </c>
      <c r="B10865" s="219"/>
      <c r="C10865" s="219"/>
      <c r="D10865" s="219"/>
      <c r="E10865" s="219"/>
      <c r="F10865" s="219"/>
      <c r="G10865" s="219"/>
    </row>
    <row r="10866" spans="1:7" x14ac:dyDescent="0.25">
      <c r="A10866" s="49" t="s">
        <v>35</v>
      </c>
      <c r="B10866" s="219" t="s">
        <v>36</v>
      </c>
      <c r="C10866" s="219"/>
      <c r="D10866" s="49" t="s">
        <v>37</v>
      </c>
      <c r="E10866" s="49" t="s">
        <v>38</v>
      </c>
      <c r="F10866" s="49" t="s">
        <v>39</v>
      </c>
      <c r="G10866" s="49" t="s">
        <v>40</v>
      </c>
    </row>
    <row r="10867" spans="1:7" x14ac:dyDescent="0.25">
      <c r="A10867" s="50" t="s">
        <v>326</v>
      </c>
      <c r="B10867" s="220" t="str">
        <f>VLOOKUP(A10867,'[1]Componentes APUs'!$S$1:$V$10,2,0)</f>
        <v>Juego Llaves</v>
      </c>
      <c r="C10867" s="220"/>
      <c r="D10867" s="50" t="s">
        <v>18</v>
      </c>
      <c r="E10867" s="50">
        <v>2</v>
      </c>
      <c r="F10867" s="51">
        <f>VLOOKUP(A10867,'[1]Componentes APUs'!$S$1:$V$10,4,0)</f>
        <v>9167</v>
      </c>
      <c r="G10867" s="51">
        <f>ROUNDUP(F10867*((E10867/21)/E10848),0)</f>
        <v>18</v>
      </c>
    </row>
    <row r="10868" spans="1:7" x14ac:dyDescent="0.25">
      <c r="A10868" s="50" t="s">
        <v>58</v>
      </c>
      <c r="B10868" s="220" t="str">
        <f>VLOOKUP(A10868,'[1]Componentes APUs'!$S$1:$V$10,2,0)</f>
        <v>Manila de servicio</v>
      </c>
      <c r="C10868" s="220"/>
      <c r="D10868" s="50" t="s">
        <v>18</v>
      </c>
      <c r="E10868" s="50">
        <v>2</v>
      </c>
      <c r="F10868" s="51">
        <f>VLOOKUP(A10868,'[1]Componentes APUs'!$S$1:$V$10,4,0)</f>
        <v>2333</v>
      </c>
      <c r="G10868" s="51">
        <f>ROUNDUP(F10868*((E10868/21)/E10848),0)</f>
        <v>5</v>
      </c>
    </row>
    <row r="10869" spans="1:7" x14ac:dyDescent="0.25">
      <c r="A10869" s="50" t="s">
        <v>327</v>
      </c>
      <c r="B10869" s="220" t="str">
        <f>VLOOKUP(A10869,'[1]Componentes APUs'!$S$1:$V$10,2,0)</f>
        <v>Tula portaherramientas</v>
      </c>
      <c r="C10869" s="220"/>
      <c r="D10869" s="50" t="s">
        <v>18</v>
      </c>
      <c r="E10869" s="50">
        <v>2</v>
      </c>
      <c r="F10869" s="51">
        <f>VLOOKUP(A10869,'[1]Componentes APUs'!$S$1:$V$10,4,0)</f>
        <v>1250</v>
      </c>
      <c r="G10869" s="51">
        <f>ROUNDUP(F10869*((E10869/21)/E10848),0)</f>
        <v>3</v>
      </c>
    </row>
    <row r="10870" spans="1:7" x14ac:dyDescent="0.25">
      <c r="A10870" s="50" t="s">
        <v>60</v>
      </c>
      <c r="B10870" s="220" t="str">
        <f>VLOOKUP(A10870,'[1]Componentes APUs'!$S$1:$V$10,2,0)</f>
        <v>Agarradoras</v>
      </c>
      <c r="C10870" s="220"/>
      <c r="D10870" s="50" t="s">
        <v>18</v>
      </c>
      <c r="E10870" s="50">
        <v>2</v>
      </c>
      <c r="F10870" s="51">
        <f>VLOOKUP(A10870,'[1]Componentes APUs'!$S$1:$V$10,4,0)</f>
        <v>125000</v>
      </c>
      <c r="G10870" s="51">
        <f>ROUNDUP(F10870*((E10870/21)/E10848),0)</f>
        <v>239</v>
      </c>
    </row>
    <row r="10871" spans="1:7" x14ac:dyDescent="0.25">
      <c r="A10871" s="50" t="s">
        <v>62</v>
      </c>
      <c r="B10871" s="220" t="str">
        <f>VLOOKUP(A10871,'[1]Componentes APUs'!$S$1:$V$10,2,0)</f>
        <v>Templadoras</v>
      </c>
      <c r="C10871" s="220"/>
      <c r="D10871" s="50" t="s">
        <v>18</v>
      </c>
      <c r="E10871" s="50">
        <v>1</v>
      </c>
      <c r="F10871" s="51">
        <f>VLOOKUP(A10871,'[1]Componentes APUs'!$S$1:$V$10,4,0)</f>
        <v>250000</v>
      </c>
      <c r="G10871" s="51">
        <f>ROUNDUP(F10871*((E10871/21)/E10848),0)</f>
        <v>239</v>
      </c>
    </row>
    <row r="10872" spans="1:7" x14ac:dyDescent="0.25">
      <c r="A10872" s="50" t="s">
        <v>328</v>
      </c>
      <c r="B10872" s="220" t="str">
        <f>VLOOKUP(A10872,'[1]Componentes APUs'!$S$1:$V$10,2,0)</f>
        <v>Herramienta Menor</v>
      </c>
      <c r="C10872" s="220"/>
      <c r="D10872" s="50" t="s">
        <v>18</v>
      </c>
      <c r="E10872" s="50">
        <v>2</v>
      </c>
      <c r="F10872" s="51">
        <f>VLOOKUP(A10872,'[1]Componentes APUs'!$S$1:$V$10,4,0)</f>
        <v>75758</v>
      </c>
      <c r="G10872" s="51">
        <f>ROUNDUP(F10872*((E10872/21)/E10848),0)</f>
        <v>145</v>
      </c>
    </row>
    <row r="10873" spans="1:7" x14ac:dyDescent="0.25">
      <c r="A10873" s="219" t="s">
        <v>69</v>
      </c>
      <c r="B10873" s="219"/>
      <c r="C10873" s="219"/>
      <c r="D10873" s="219"/>
      <c r="E10873" s="219"/>
      <c r="F10873" s="219"/>
      <c r="G10873" s="52">
        <f>SUM(G10867:G10872)</f>
        <v>649</v>
      </c>
    </row>
    <row r="10874" spans="1:7" x14ac:dyDescent="0.25">
      <c r="A10874" s="56"/>
      <c r="B10874" s="57"/>
      <c r="C10874" s="57"/>
      <c r="D10874" s="57"/>
      <c r="E10874" s="57"/>
      <c r="F10874" s="57"/>
      <c r="G10874" s="58"/>
    </row>
    <row r="10875" spans="1:7" x14ac:dyDescent="0.25">
      <c r="A10875" s="219" t="s">
        <v>70</v>
      </c>
      <c r="B10875" s="219"/>
      <c r="C10875" s="219"/>
      <c r="D10875" s="219"/>
      <c r="E10875" s="219"/>
      <c r="F10875" s="219"/>
      <c r="G10875" s="219"/>
    </row>
    <row r="10876" spans="1:7" x14ac:dyDescent="0.25">
      <c r="A10876" s="49" t="s">
        <v>35</v>
      </c>
      <c r="B10876" s="219" t="s">
        <v>36</v>
      </c>
      <c r="C10876" s="219"/>
      <c r="D10876" s="49" t="s">
        <v>37</v>
      </c>
      <c r="E10876" s="49" t="s">
        <v>38</v>
      </c>
      <c r="F10876" s="49" t="s">
        <v>39</v>
      </c>
      <c r="G10876" s="49" t="s">
        <v>40</v>
      </c>
    </row>
    <row r="10877" spans="1:7" x14ac:dyDescent="0.25">
      <c r="A10877" s="50" t="s">
        <v>71</v>
      </c>
      <c r="B10877" s="71" t="str">
        <f>VLOOKUP(A10877,'[1]Componentes APUs'!$A$1:$D$14,2,0)</f>
        <v>Camisa indigo sin partes metalicas</v>
      </c>
      <c r="C10877" s="71"/>
      <c r="D10877" s="50" t="str">
        <f>VLOOKUP(A10877,'[1]Componentes APUs'!$A$1:$D$14,3,0)</f>
        <v>U</v>
      </c>
      <c r="E10877" s="50">
        <f>SUM(C10857:C10862)</f>
        <v>4.75</v>
      </c>
      <c r="F10877" s="51">
        <f>VLOOKUP(A10877,'[1]Componentes APUs'!$A$1:$D$14,4,0)</f>
        <v>8585.8585858585866</v>
      </c>
      <c r="G10877" s="51">
        <f>ROUNDUP(F10877*(E10877/21)/E10848,0)</f>
        <v>39</v>
      </c>
    </row>
    <row r="10878" spans="1:7" x14ac:dyDescent="0.25">
      <c r="A10878" s="69" t="s">
        <v>73</v>
      </c>
      <c r="B10878" s="72" t="str">
        <f>VLOOKUP(A10878,'[1]Componentes APUs'!$A$1:$D$14,2,0)</f>
        <v>Bota de seguridad dielectrica</v>
      </c>
      <c r="C10878" s="73"/>
      <c r="D10878" s="70" t="str">
        <f>VLOOKUP(A10878,'[1]Componentes APUs'!$A$1:$D$14,3,0)</f>
        <v>Par</v>
      </c>
      <c r="E10878" s="50">
        <f>SUM(C10857:C10862)</f>
        <v>4.75</v>
      </c>
      <c r="F10878" s="51">
        <f>VLOOKUP(A10878,'[1]Componentes APUs'!$A$1:$D$14,4,0)</f>
        <v>7500</v>
      </c>
      <c r="G10878" s="51">
        <f>ROUNDUP(F10878*(E10878/21)/E10848,0)</f>
        <v>34</v>
      </c>
    </row>
    <row r="10879" spans="1:7" x14ac:dyDescent="0.25">
      <c r="A10879" s="50" t="s">
        <v>76</v>
      </c>
      <c r="B10879" s="72" t="str">
        <f>VLOOKUP(A10879,'[1]Componentes APUs'!$A$1:$D$14,2,0)</f>
        <v>Casco dielectrico Tipo 1 Clase E con barbuquejo</v>
      </c>
      <c r="C10879" s="73"/>
      <c r="D10879" s="50" t="str">
        <f>VLOOKUP(A10879,'[1]Componentes APUs'!$A$1:$D$14,3,0)</f>
        <v>U</v>
      </c>
      <c r="E10879" s="50">
        <f>C10857+C10858+C10860+C10861+C10862+IF(A10859&lt;&gt;"MO-3",C10859,0)</f>
        <v>2.75</v>
      </c>
      <c r="F10879" s="51">
        <f>VLOOKUP(A10879,'[1]Componentes APUs'!$A$1:$D$14,4,0)</f>
        <v>10101.010101010101</v>
      </c>
      <c r="G10879" s="51">
        <f>ROUNDUP(F10879*(E10879/21)/E10848,0)</f>
        <v>27</v>
      </c>
    </row>
    <row r="10880" spans="1:7" x14ac:dyDescent="0.25">
      <c r="A10880" s="69" t="s">
        <v>77</v>
      </c>
      <c r="B10880" s="72" t="str">
        <f>VLOOKUP(A10880,'[1]Componentes APUs'!$A$1:$D$14,2,0)</f>
        <v>Correa plastica y antiflama</v>
      </c>
      <c r="C10880" s="73"/>
      <c r="D10880" s="50" t="str">
        <f>VLOOKUP(A10880,'[1]Componentes APUs'!$A$1:$D$14,3,0)</f>
        <v>U</v>
      </c>
      <c r="E10880" s="50">
        <f>SUM(C10857:C10862)</f>
        <v>4.75</v>
      </c>
      <c r="F10880" s="51">
        <f>VLOOKUP(A10880,'[1]Componentes APUs'!$A$1:$D$14,4,0)</f>
        <v>3787.878787878788</v>
      </c>
      <c r="G10880" s="51">
        <f>ROUNDUP(F10880*(E10880/21)/E10848,0)</f>
        <v>18</v>
      </c>
    </row>
    <row r="10881" spans="1:7" x14ac:dyDescent="0.25">
      <c r="A10881" s="50" t="s">
        <v>79</v>
      </c>
      <c r="B10881" s="72" t="str">
        <f>VLOOKUP(A10881,'[1]Componentes APUs'!$A$1:$D$14,2,0)</f>
        <v>Gafas protectoras filtro UV</v>
      </c>
      <c r="C10881" s="73"/>
      <c r="D10881" s="50" t="str">
        <f>VLOOKUP(A10881,'[1]Componentes APUs'!$A$1:$D$14,3,0)</f>
        <v>U</v>
      </c>
      <c r="E10881" s="50">
        <f>SUM(C10857:C10862)</f>
        <v>4.75</v>
      </c>
      <c r="F10881" s="51">
        <f>VLOOKUP(A10881,'[1]Componentes APUs'!$A$1:$D$14,4,0)</f>
        <v>2777.7777777777778</v>
      </c>
      <c r="G10881" s="51">
        <f>ROUNDUP(F10881*(E10881/21)/E10848,0)</f>
        <v>13</v>
      </c>
    </row>
    <row r="10882" spans="1:7" x14ac:dyDescent="0.25">
      <c r="A10882" s="69" t="s">
        <v>402</v>
      </c>
      <c r="B10882" s="72" t="str">
        <f>VLOOKUP(A10882,'[1]Componentes APUs'!$A$1:$D$14,2,0)</f>
        <v>Bota de seguridad PVC dielectrica</v>
      </c>
      <c r="C10882" s="73"/>
      <c r="D10882" s="50" t="str">
        <f>VLOOKUP(A10882,'[1]Componentes APUs'!$A$1:$D$14,3,0)</f>
        <v>Par</v>
      </c>
      <c r="E10882" s="50">
        <f>SUM(C10857:C10862)</f>
        <v>4.75</v>
      </c>
      <c r="F10882" s="51">
        <f>VLOOKUP(A10882,'[1]Componentes APUs'!$A$1:$D$14,4,0)</f>
        <v>2916.6666666666665</v>
      </c>
      <c r="G10882" s="51">
        <f>ROUNDUP(F10882*(E10882/21)/E10848,0)</f>
        <v>14</v>
      </c>
    </row>
    <row r="10883" spans="1:7" x14ac:dyDescent="0.25">
      <c r="A10883" s="50" t="s">
        <v>403</v>
      </c>
      <c r="B10883" s="72" t="str">
        <f>VLOOKUP(A10883,'[1]Componentes APUs'!$A$1:$D$14,2,0)</f>
        <v>Capuchon</v>
      </c>
      <c r="C10883" s="73"/>
      <c r="D10883" s="50" t="str">
        <f>VLOOKUP(A10883,'[1]Componentes APUs'!$A$1:$D$14,3,0)</f>
        <v>U</v>
      </c>
      <c r="E10883" s="50">
        <f>SUM(C10857:C10862)</f>
        <v>4.75</v>
      </c>
      <c r="F10883" s="51">
        <f>VLOOKUP(A10883,'[1]Componentes APUs'!$A$1:$D$14,4,0)</f>
        <v>2525.2525252525252</v>
      </c>
      <c r="G10883" s="51">
        <f>ROUNDUP(F10883*(E10883/21)/E10848,0)</f>
        <v>12</v>
      </c>
    </row>
    <row r="10884" spans="1:7" x14ac:dyDescent="0.25">
      <c r="A10884" s="69" t="s">
        <v>81</v>
      </c>
      <c r="B10884" s="72" t="str">
        <f>VLOOKUP(A10884,'[1]Componentes APUs'!$A$1:$D$14,2,0)</f>
        <v>Guantes Protectores  - ingeniero reforzados</v>
      </c>
      <c r="C10884" s="73"/>
      <c r="D10884" s="50" t="str">
        <f>VLOOKUP(A10884,'[1]Componentes APUs'!$A$1:$D$14,3,0)</f>
        <v>Par</v>
      </c>
      <c r="E10884" s="50">
        <f>C10859+C10860+C10862</f>
        <v>4</v>
      </c>
      <c r="F10884" s="51">
        <f>VLOOKUP(A10884,'[1]Componentes APUs'!$A$1:$D$14,4,0)</f>
        <v>2525.2525252525252</v>
      </c>
      <c r="G10884" s="51">
        <f>ROUNDUP(F10884*(E10884/21)/E10848,0)</f>
        <v>10</v>
      </c>
    </row>
    <row r="10885" spans="1:7" x14ac:dyDescent="0.25">
      <c r="A10885" s="50" t="s">
        <v>83</v>
      </c>
      <c r="B10885" s="72" t="str">
        <f>VLOOKUP(A10885,'[1]Componentes APUs'!$A$1:$D$14,2,0)</f>
        <v>Impermeable (pantalon camisa)</v>
      </c>
      <c r="C10885" s="73"/>
      <c r="D10885" s="50" t="str">
        <f>VLOOKUP(A10885,'[1]Componentes APUs'!$A$1:$D$14,3,0)</f>
        <v>U</v>
      </c>
      <c r="E10885" s="50">
        <f>SUM(C10857:C10862)</f>
        <v>4.75</v>
      </c>
      <c r="F10885" s="51">
        <f>VLOOKUP(A10885,'[1]Componentes APUs'!$A$1:$D$14,4,0)</f>
        <v>3750</v>
      </c>
      <c r="G10885" s="51">
        <f>ROUNDUP(F10885*(E10885/21)/E10848,0)</f>
        <v>17</v>
      </c>
    </row>
    <row r="10886" spans="1:7" x14ac:dyDescent="0.25">
      <c r="A10886" s="69" t="s">
        <v>85</v>
      </c>
      <c r="B10886" s="72" t="str">
        <f>VLOOKUP(A10886,'[1]Componentes APUs'!$A$1:$D$14,2,0)</f>
        <v>Jean Dielectrico</v>
      </c>
      <c r="C10886" s="73"/>
      <c r="D10886" s="50" t="str">
        <f>VLOOKUP(A10886,'[1]Componentes APUs'!$A$1:$D$14,3,0)</f>
        <v>U</v>
      </c>
      <c r="E10886" s="50">
        <f>SUM(C10857:C10862)</f>
        <v>4.75</v>
      </c>
      <c r="F10886" s="51">
        <f>VLOOKUP(A10886,'[1]Componentes APUs'!$A$1:$D$14,4,0)</f>
        <v>7575.757575757576</v>
      </c>
      <c r="G10886" s="51">
        <f>ROUNDUP(F10886*(E10886/21)/E10848,0)</f>
        <v>35</v>
      </c>
    </row>
    <row r="10887" spans="1:7" x14ac:dyDescent="0.25">
      <c r="A10887" s="50" t="s">
        <v>87</v>
      </c>
      <c r="B10887" s="72" t="str">
        <f>VLOOKUP(A10887,'[1]Componentes APUs'!$A$1:$D$14,2,0)</f>
        <v>Casco dielectrico Tipo 2 Clase E con barboquejo</v>
      </c>
      <c r="C10887" s="73"/>
      <c r="D10887" s="50" t="str">
        <f>VLOOKUP(A10887,'[1]Componentes APUs'!$A$1:$D$14,3,0)</f>
        <v>U</v>
      </c>
      <c r="E10887" s="53">
        <f>IF(A10859="MO-3",C10859,0)</f>
        <v>2</v>
      </c>
      <c r="F10887" s="51">
        <f>VLOOKUP(A10887,'[1]Componentes APUs'!$A$1:$D$14,4,0)</f>
        <v>7500</v>
      </c>
      <c r="G10887" s="51">
        <f>ROUNDUP(F10887*(E10887/21)/E10848,0)</f>
        <v>15</v>
      </c>
    </row>
    <row r="10888" spans="1:7" x14ac:dyDescent="0.25">
      <c r="A10888" s="69" t="s">
        <v>89</v>
      </c>
      <c r="B10888" s="72" t="str">
        <f>VLOOKUP(A10888,'[1]Componentes APUs'!$A$1:$D$14,2,0)</f>
        <v>Kit de rescate para trabajo en alturas</v>
      </c>
      <c r="C10888" s="73"/>
      <c r="D10888" s="50" t="str">
        <f>VLOOKUP(A10888,'[1]Componentes APUs'!$A$1:$D$14,3,0)</f>
        <v>U</v>
      </c>
      <c r="E10888" s="50">
        <f>IF(AND(A10859="MO-3",C10859=2),1,0)</f>
        <v>1</v>
      </c>
      <c r="F10888" s="51">
        <f>VLOOKUP(A10888,'[1]Componentes APUs'!$A$1:$D$14,4,0)</f>
        <v>37500</v>
      </c>
      <c r="G10888" s="51">
        <f>ROUNDUP(F10888*(E10888/21)/E10848,0)</f>
        <v>36</v>
      </c>
    </row>
    <row r="10889" spans="1:7" x14ac:dyDescent="0.25">
      <c r="A10889" s="50" t="s">
        <v>91</v>
      </c>
      <c r="B10889" s="72" t="str">
        <f>VLOOKUP(A10889,'[1]Componentes APUs'!$A$1:$D$14,2,0)</f>
        <v>Equipo completo para trabajo en alturas con pretales (Arnes dielectrico, 1 mosqueton de seguridad, tie off dielectrico, eslinga de posicionamiento, juego de pretales)</v>
      </c>
      <c r="C10889" s="73"/>
      <c r="D10889" s="50" t="str">
        <f>VLOOKUP(A10889,'[1]Componentes APUs'!$A$1:$D$14,3,0)</f>
        <v>U</v>
      </c>
      <c r="E10889" s="50">
        <f>IF(A10859="MO-3",C10859,0)</f>
        <v>2</v>
      </c>
      <c r="F10889" s="51">
        <f>VLOOKUP(A10889,'[1]Componentes APUs'!$A$1:$D$14,4,0)</f>
        <v>26041.666666666668</v>
      </c>
      <c r="G10889" s="51">
        <f>ROUNDUP(F10889*(E10889/21)/E10848,0)</f>
        <v>50</v>
      </c>
    </row>
    <row r="10890" spans="1:7" x14ac:dyDescent="0.25">
      <c r="A10890" s="219" t="s">
        <v>95</v>
      </c>
      <c r="B10890" s="219"/>
      <c r="C10890" s="219"/>
      <c r="D10890" s="219"/>
      <c r="E10890" s="219"/>
      <c r="F10890" s="219"/>
      <c r="G10890" s="52">
        <f>SUM(G10877:G10889)</f>
        <v>320</v>
      </c>
    </row>
    <row r="10891" spans="1:7" x14ac:dyDescent="0.25">
      <c r="A10891" s="56"/>
      <c r="B10891" s="57"/>
      <c r="C10891" s="57"/>
      <c r="D10891" s="57"/>
      <c r="E10891" s="57"/>
      <c r="F10891" s="57"/>
      <c r="G10891" s="58"/>
    </row>
    <row r="10892" spans="1:7" x14ac:dyDescent="0.25">
      <c r="A10892" s="219" t="s">
        <v>96</v>
      </c>
      <c r="B10892" s="219"/>
      <c r="C10892" s="219"/>
      <c r="D10892" s="219"/>
      <c r="E10892" s="219"/>
      <c r="F10892" s="219"/>
      <c r="G10892" s="219"/>
    </row>
    <row r="10893" spans="1:7" x14ac:dyDescent="0.25">
      <c r="A10893" s="49" t="s">
        <v>35</v>
      </c>
      <c r="B10893" s="225" t="s">
        <v>36</v>
      </c>
      <c r="C10893" s="225"/>
      <c r="D10893" s="49" t="s">
        <v>37</v>
      </c>
      <c r="E10893" s="49" t="s">
        <v>38</v>
      </c>
      <c r="F10893" s="49" t="s">
        <v>39</v>
      </c>
      <c r="G10893" s="49" t="s">
        <v>40</v>
      </c>
    </row>
    <row r="10894" spans="1:7" x14ac:dyDescent="0.25">
      <c r="A10894" s="69" t="s">
        <v>97</v>
      </c>
      <c r="B10894" s="72" t="str">
        <f>VLOOKUP(A10894,'[1]Componentes APUs'!$N$1:$Q$30,2,0)</f>
        <v>Camioneta</v>
      </c>
      <c r="C10894" s="73"/>
      <c r="D10894" s="70" t="str">
        <f>VLOOKUP(A10894,'[1]Componentes APUs'!$N$1:$Q$30,3,0)</f>
        <v>U</v>
      </c>
      <c r="E10894" s="50">
        <v>1</v>
      </c>
      <c r="F10894" s="51">
        <f>VLOOKUP(A10894,'[1]Componentes APUs'!$N$1:$Q$30,4,0)</f>
        <v>5500000</v>
      </c>
      <c r="G10894" s="51">
        <f>IFERROR(ROUNDUP(F10894*(E10894/21)/E10848,0),"-")</f>
        <v>5239</v>
      </c>
    </row>
    <row r="10895" spans="1:7" x14ac:dyDescent="0.25">
      <c r="A10895" s="50" t="s">
        <v>321</v>
      </c>
      <c r="B10895" s="72" t="str">
        <f>VLOOKUP(A10895,'[1]Componentes APUs'!$N$1:$Q$30,2,0)</f>
        <v>Grúa Hidráulica</v>
      </c>
      <c r="C10895" s="73"/>
      <c r="D10895" s="70" t="str">
        <f>VLOOKUP(A10895,'[1]Componentes APUs'!$N$1:$Q$30,3,0)</f>
        <v>U</v>
      </c>
      <c r="E10895" s="50">
        <v>0</v>
      </c>
      <c r="F10895" s="51">
        <f>VLOOKUP(A10895,'[1]Componentes APUs'!$N$1:$Q$30,4,0)</f>
        <v>21000000</v>
      </c>
      <c r="G10895" s="51">
        <f>IFERROR(ROUNDUP(F10895*(E10895/21)/E10848,0),"-")</f>
        <v>0</v>
      </c>
    </row>
    <row r="10896" spans="1:7" x14ac:dyDescent="0.25">
      <c r="A10896" s="69" t="s">
        <v>322</v>
      </c>
      <c r="B10896" s="72" t="str">
        <f>VLOOKUP(A10896,'[1]Componentes APUs'!$N$1:$Q$30,2,0)</f>
        <v>Camabaja</v>
      </c>
      <c r="C10896" s="73"/>
      <c r="D10896" s="70" t="str">
        <f>VLOOKUP(A10896,'[1]Componentes APUs'!$N$1:$Q$30,3,0)</f>
        <v>TON/KM</v>
      </c>
      <c r="E10896" s="50">
        <v>0</v>
      </c>
      <c r="F10896" s="51">
        <f>VLOOKUP(A10896,'[1]Componentes APUs'!$N$1:$Q$30,4,0)</f>
        <v>611</v>
      </c>
      <c r="G10896" s="51">
        <f>E10896*F10896</f>
        <v>0</v>
      </c>
    </row>
    <row r="10897" spans="1:7" x14ac:dyDescent="0.25">
      <c r="A10897" s="50" t="s">
        <v>323</v>
      </c>
      <c r="B10897" s="72" t="str">
        <f>VLOOKUP(A10897,'[1]Componentes APUs'!$N$1:$Q$30,2,0)</f>
        <v>Volqueta</v>
      </c>
      <c r="C10897" s="73"/>
      <c r="D10897" s="70" t="str">
        <f>VLOOKUP(A10897,'[1]Componentes APUs'!$N$1:$Q$30,3,0)</f>
        <v>U</v>
      </c>
      <c r="E10897" s="50">
        <v>0</v>
      </c>
      <c r="F10897" s="51">
        <f>VLOOKUP(A10897,'[1]Componentes APUs'!$N$1:$Q$30,4,0)</f>
        <v>18900000</v>
      </c>
      <c r="G10897" s="51">
        <f>IFERROR(ROUNDUP(F10897*(E10897/21)/E10848,0),"-")</f>
        <v>0</v>
      </c>
    </row>
    <row r="10898" spans="1:7" x14ac:dyDescent="0.25">
      <c r="A10898" s="69" t="s">
        <v>324</v>
      </c>
      <c r="B10898" s="72" t="str">
        <f>VLOOKUP(A10898,'[1]Componentes APUs'!$N$1:$Q$30,2,0)</f>
        <v>Retroexcavadora</v>
      </c>
      <c r="C10898" s="73"/>
      <c r="D10898" s="70" t="str">
        <f>VLOOKUP(A10898,'[1]Componentes APUs'!$N$1:$Q$30,3,0)</f>
        <v>U</v>
      </c>
      <c r="E10898" s="50">
        <v>0</v>
      </c>
      <c r="F10898" s="51">
        <f>VLOOKUP(A10898,'[1]Componentes APUs'!$N$1:$Q$30,4,0)</f>
        <v>1494459.54</v>
      </c>
      <c r="G10898" s="51">
        <f>IFERROR(ROUNDUP(F10898*(E10898/21)/E10848,0),"-")</f>
        <v>0</v>
      </c>
    </row>
    <row r="10899" spans="1:7" x14ac:dyDescent="0.25">
      <c r="A10899" s="219" t="s">
        <v>99</v>
      </c>
      <c r="B10899" s="219"/>
      <c r="C10899" s="219"/>
      <c r="D10899" s="219"/>
      <c r="E10899" s="219"/>
      <c r="F10899" s="219"/>
      <c r="G10899" s="52">
        <f>SUM(G10894:G10898)</f>
        <v>5239</v>
      </c>
    </row>
    <row r="10900" spans="1:7" x14ac:dyDescent="0.25">
      <c r="A10900" s="56"/>
      <c r="B10900" s="57"/>
      <c r="C10900" s="57"/>
      <c r="D10900" s="57"/>
      <c r="E10900" s="57"/>
      <c r="F10900" s="57"/>
      <c r="G10900" s="58"/>
    </row>
    <row r="10901" spans="1:7" x14ac:dyDescent="0.25">
      <c r="A10901" s="219" t="s">
        <v>1516</v>
      </c>
      <c r="B10901" s="219"/>
      <c r="C10901" s="219"/>
      <c r="D10901" s="219"/>
      <c r="E10901" s="219"/>
      <c r="F10901" s="219"/>
      <c r="G10901" s="52">
        <f>G10899+G10890+G10873+G10863+G10853</f>
        <v>219422</v>
      </c>
    </row>
    <row r="10902" spans="1:7" x14ac:dyDescent="0.25">
      <c r="A10902" s="59"/>
      <c r="B10902" s="60"/>
      <c r="C10902" s="60"/>
      <c r="D10902" s="60"/>
      <c r="E10902" s="57"/>
      <c r="F10902" s="57"/>
      <c r="G10902" s="58"/>
    </row>
    <row r="10903" spans="1:7" x14ac:dyDescent="0.25">
      <c r="A10903" s="64"/>
      <c r="D10903" s="55"/>
      <c r="E10903" s="49" t="s">
        <v>25</v>
      </c>
      <c r="F10903" s="54">
        <v>0.15</v>
      </c>
      <c r="G10903" s="51">
        <f>G10901*F10903</f>
        <v>32913.299999999996</v>
      </c>
    </row>
    <row r="10904" spans="1:7" x14ac:dyDescent="0.25">
      <c r="A10904" s="64"/>
      <c r="D10904" s="55"/>
      <c r="E10904" s="49" t="s">
        <v>26</v>
      </c>
      <c r="F10904" s="54">
        <v>0.05</v>
      </c>
      <c r="G10904" s="51">
        <f>G10901*F10904</f>
        <v>10971.1</v>
      </c>
    </row>
    <row r="10905" spans="1:7" x14ac:dyDescent="0.25">
      <c r="A10905" s="61"/>
      <c r="B10905" s="65"/>
      <c r="C10905" s="65"/>
      <c r="D10905" s="62"/>
      <c r="E10905" s="49" t="s">
        <v>27</v>
      </c>
      <c r="F10905" s="54">
        <v>0.05</v>
      </c>
      <c r="G10905" s="51">
        <f>G10901*F10905</f>
        <v>10971.1</v>
      </c>
    </row>
    <row r="10906" spans="1:7" x14ac:dyDescent="0.25">
      <c r="A10906" s="61"/>
      <c r="B10906" s="62"/>
      <c r="C10906" s="62"/>
      <c r="D10906" s="62"/>
      <c r="E10906" s="62"/>
      <c r="F10906" s="62"/>
      <c r="G10906" s="63"/>
    </row>
    <row r="10907" spans="1:7" x14ac:dyDescent="0.25">
      <c r="A10907" s="219" t="s">
        <v>1517</v>
      </c>
      <c r="B10907" s="219"/>
      <c r="C10907" s="219"/>
      <c r="D10907" s="219"/>
      <c r="E10907" s="219"/>
      <c r="F10907" s="219"/>
      <c r="G10907" s="52">
        <f>G10901+G10903+G10904+G10905</f>
        <v>274277.49999999994</v>
      </c>
    </row>
    <row r="10908" spans="1:7" x14ac:dyDescent="0.25">
      <c r="A10908" s="59"/>
      <c r="B10908" s="60"/>
      <c r="C10908" s="60"/>
      <c r="D10908" s="60"/>
      <c r="E10908" s="57"/>
      <c r="F10908" s="57"/>
      <c r="G10908" s="58"/>
    </row>
    <row r="10909" spans="1:7" x14ac:dyDescent="0.25">
      <c r="A10909" s="64"/>
      <c r="D10909" s="55"/>
      <c r="E10909" s="49" t="s">
        <v>102</v>
      </c>
      <c r="F10909" s="49" t="s">
        <v>103</v>
      </c>
      <c r="G10909" s="51">
        <f>G10905*19%</f>
        <v>2084.509</v>
      </c>
    </row>
    <row r="10910" spans="1:7" x14ac:dyDescent="0.25">
      <c r="A10910" s="61"/>
      <c r="B10910" s="62"/>
      <c r="C10910" s="62"/>
      <c r="D10910" s="62"/>
      <c r="E10910" s="57"/>
      <c r="F10910" s="57"/>
      <c r="G10910" s="58"/>
    </row>
    <row r="10911" spans="1:7" x14ac:dyDescent="0.25">
      <c r="A10911" s="219" t="s">
        <v>104</v>
      </c>
      <c r="B10911" s="219"/>
      <c r="C10911" s="219"/>
      <c r="D10911" s="219"/>
      <c r="E10911" s="219"/>
      <c r="F10911" s="219"/>
      <c r="G10911" s="52">
        <f>G10909+G10907</f>
        <v>276362.00899999996</v>
      </c>
    </row>
    <row r="10913" spans="1:7" x14ac:dyDescent="0.25">
      <c r="A10913" s="74" t="s">
        <v>29</v>
      </c>
      <c r="B10913" s="226" t="s">
        <v>30</v>
      </c>
      <c r="C10913" s="226"/>
      <c r="D10913" s="74" t="s">
        <v>31</v>
      </c>
      <c r="E10913" s="74" t="s">
        <v>32</v>
      </c>
      <c r="F10913" s="74" t="s">
        <v>189</v>
      </c>
      <c r="G10913" s="74" t="s">
        <v>33</v>
      </c>
    </row>
    <row r="10914" spans="1:7" ht="90.75" customHeight="1" x14ac:dyDescent="0.25">
      <c r="A10914" s="50" t="str">
        <f>Presupuesto!B199</f>
        <v>010_N3</v>
      </c>
      <c r="B10914" s="220" t="str">
        <f>Presupuesto!C199</f>
        <v>SUMINISTRO E INSTALACIÓN TRANSFORMADOR DE POTENCIA DE 5/6.25 MVA, REFRIGERACIÓN ONAN/ONAF, 34.5/13.8 KV, CONEXIÓN DYN5, CON ACCESORIOS DE CONTROL Y PROTECCIÓN INCLUYENDO: TERMÓMETROS CON CONTACTOS, NIVEL DE ACEITE CON CONTACTOS, VÁLVULA QUALITROL, RELÉ DE BUCHHOLZ, TANQUE DE EXPANSIÓN,  VENTILADORES, TABLERO DE CONEXIONES ACOPLADO, CAMBIADOR DE TAP`S DE OPERACIÓN SIN CARGA EN 34.5 KV.</v>
      </c>
      <c r="C10914" s="220"/>
      <c r="D10914" s="50" t="s">
        <v>18</v>
      </c>
      <c r="E10914" s="93">
        <v>1</v>
      </c>
      <c r="F10914" s="50"/>
      <c r="G10914" s="51">
        <f>G10977</f>
        <v>1240272469.2214997</v>
      </c>
    </row>
    <row r="10915" spans="1:7" x14ac:dyDescent="0.25">
      <c r="A10915" s="219" t="s">
        <v>34</v>
      </c>
      <c r="B10915" s="219"/>
      <c r="C10915" s="219"/>
      <c r="D10915" s="219"/>
      <c r="E10915" s="219"/>
      <c r="F10915" s="219"/>
      <c r="G10915" s="219"/>
    </row>
    <row r="10916" spans="1:7" x14ac:dyDescent="0.25">
      <c r="A10916" s="49" t="s">
        <v>35</v>
      </c>
      <c r="B10916" s="219" t="s">
        <v>36</v>
      </c>
      <c r="C10916" s="219"/>
      <c r="D10916" s="49" t="s">
        <v>37</v>
      </c>
      <c r="E10916" s="49" t="s">
        <v>38</v>
      </c>
      <c r="F10916" s="49" t="s">
        <v>39</v>
      </c>
      <c r="G10916" s="49" t="s">
        <v>40</v>
      </c>
    </row>
    <row r="10917" spans="1:7" ht="86.25" customHeight="1" x14ac:dyDescent="0.25">
      <c r="A10917" s="17" t="str">
        <f>Material!A21</f>
        <v>MA-20</v>
      </c>
      <c r="B10917" s="221" t="str">
        <f>IFERROR(VLOOKUP(A10917,Material!$A:$J,2,0),"-")</f>
        <v>TRANSFORMADOR DE POTENCIA DE 5/6.25 MVA, REFRIGERACIÓN ONAN/ONAF, 34.5/13.8 KV, CONEXIÓN DYN5, CON ACCESORIOS DE CONTROL Y PROTECCIÓN INCLUYENDO: TERMÓMETROS CON CONTACTOS, NIVEL DE ACEITE CON CONTACTOS, VÁLVULA QUALITROL, RELÉ DE BUCHHOLZ, TANQUE DE EXPANSIÓN, SECADORES DE AIRE, VENTILADORES, TABLERO DE CONEXIONES ACOPLADO, CAMBIADOR DE TAP`S DE OPERACIÓN SIN CARGA EN 34.5 KV.</v>
      </c>
      <c r="C10917" s="222"/>
      <c r="D10917" s="50" t="str">
        <f>IFERROR(VLOOKUP(A10917,Material!$A:$J,4,0),"-")</f>
        <v>UN</v>
      </c>
      <c r="E10917" s="50">
        <v>1</v>
      </c>
      <c r="F10917" s="51">
        <f>IFERROR(VLOOKUP(A10917,Material!$A:$J,3,0),"-")</f>
        <v>972000000</v>
      </c>
      <c r="G10917" s="51">
        <f t="shared" ref="G10917:G10918" si="152">IFERROR(ROUNDUP(F10917*E10917,0),"-")</f>
        <v>972000000</v>
      </c>
    </row>
    <row r="10918" spans="1:7" x14ac:dyDescent="0.25">
      <c r="A10918" s="17"/>
      <c r="B10918" s="72" t="str">
        <f>IFERROR(VLOOKUP(A10918,Material!$A:$J,2,0),"-")</f>
        <v>-</v>
      </c>
      <c r="C10918" s="73"/>
      <c r="D10918" s="50" t="str">
        <f>IFERROR(VLOOKUP(A10918,Material!$A:$J,4,0),"-")</f>
        <v>-</v>
      </c>
      <c r="E10918" s="50"/>
      <c r="F10918" s="51" t="str">
        <f>IFERROR(VLOOKUP(A10918,Material!$A:$J,3,0),"-")</f>
        <v>-</v>
      </c>
      <c r="G10918" s="51" t="str">
        <f t="shared" si="152"/>
        <v>-</v>
      </c>
    </row>
    <row r="10919" spans="1:7" x14ac:dyDescent="0.25">
      <c r="A10919" s="219" t="s">
        <v>41</v>
      </c>
      <c r="B10919" s="219"/>
      <c r="C10919" s="219"/>
      <c r="D10919" s="219"/>
      <c r="E10919" s="219"/>
      <c r="F10919" s="219"/>
      <c r="G10919" s="52">
        <f>SUM(G10917:G10918)</f>
        <v>972000000</v>
      </c>
    </row>
    <row r="10920" spans="1:7" x14ac:dyDescent="0.25">
      <c r="A10920" s="56"/>
      <c r="B10920" s="57"/>
      <c r="C10920" s="57"/>
      <c r="D10920" s="57"/>
      <c r="E10920" s="57"/>
      <c r="F10920" s="57"/>
      <c r="G10920" s="58"/>
    </row>
    <row r="10921" spans="1:7" x14ac:dyDescent="0.25">
      <c r="A10921" s="219" t="s">
        <v>42</v>
      </c>
      <c r="B10921" s="219"/>
      <c r="C10921" s="219"/>
      <c r="D10921" s="219"/>
      <c r="E10921" s="219"/>
      <c r="F10921" s="219"/>
      <c r="G10921" s="219"/>
    </row>
    <row r="10922" spans="1:7" x14ac:dyDescent="0.25">
      <c r="A10922" s="49" t="s">
        <v>35</v>
      </c>
      <c r="B10922" s="49" t="s">
        <v>36</v>
      </c>
      <c r="C10922" s="49" t="s">
        <v>38</v>
      </c>
      <c r="D10922" s="49" t="s">
        <v>43</v>
      </c>
      <c r="E10922" s="49" t="s">
        <v>44</v>
      </c>
      <c r="F10922" s="49" t="s">
        <v>45</v>
      </c>
      <c r="G10922" s="49" t="s">
        <v>40</v>
      </c>
    </row>
    <row r="10923" spans="1:7" x14ac:dyDescent="0.25">
      <c r="A10923" s="50" t="s">
        <v>319</v>
      </c>
      <c r="B10923" s="68" t="str">
        <f>VLOOKUP(A10923,'[1]Componentes APUs'!$H$1:$L$25,2,0)</f>
        <v>Ingeniero Residente de Obra</v>
      </c>
      <c r="C10923" s="93">
        <v>0.25</v>
      </c>
      <c r="D10923" s="50">
        <f>VLOOKUP(A10923,'[1]Componentes APUs'!$H$1:$L$25,3,0)</f>
        <v>4</v>
      </c>
      <c r="E10923" s="51">
        <f>VLOOKUP(A10923,'[1]Componentes APUs'!$H$1:$L$25,4,0)</f>
        <v>271142.85714285716</v>
      </c>
      <c r="F10923" s="51">
        <f>VLOOKUP(A10923,'[1]Componentes APUs'!$H$1:$L$25,5,0)</f>
        <v>162685.71428571429</v>
      </c>
      <c r="G10923" s="51">
        <f>ROUNDUP((E10923+F10923)*C10923/E10914,0)</f>
        <v>108458</v>
      </c>
    </row>
    <row r="10924" spans="1:7" x14ac:dyDescent="0.25">
      <c r="A10924" s="50" t="s">
        <v>320</v>
      </c>
      <c r="B10924" s="68" t="str">
        <f>VLOOKUP(A10924,'[1]Componentes APUs'!$H$1:$L$25,2,0)</f>
        <v>Tecnico Supervisor</v>
      </c>
      <c r="C10924" s="93">
        <v>1</v>
      </c>
      <c r="D10924" s="50">
        <f>VLOOKUP(A10924,'[1]Componentes APUs'!$H$1:$L$25,3,0)</f>
        <v>2.2999999999999998</v>
      </c>
      <c r="E10924" s="51">
        <f>VLOOKUP(A10924,'[1]Componentes APUs'!$H$1:$L$25,4,0)</f>
        <v>155907.14285714284</v>
      </c>
      <c r="F10924" s="51">
        <f>VLOOKUP(A10924,'[1]Componentes APUs'!$H$1:$L$25,5,0)</f>
        <v>93544.285714285696</v>
      </c>
      <c r="G10924" s="51">
        <f>ROUNDUP((E10924+F10924)*C10924/E10914,0)</f>
        <v>249452</v>
      </c>
    </row>
    <row r="10925" spans="1:7" x14ac:dyDescent="0.25">
      <c r="A10925" s="50" t="s">
        <v>46</v>
      </c>
      <c r="B10925" s="68" t="str">
        <f>VLOOKUP(A10925,'[1]Componentes APUs'!$H$1:$L$25,2,0)</f>
        <v>Tecnico Liniero</v>
      </c>
      <c r="C10925" s="93">
        <v>2</v>
      </c>
      <c r="D10925" s="50">
        <f>VLOOKUP(A10925,'[1]Componentes APUs'!$H$1:$L$25,3,0)</f>
        <v>2</v>
      </c>
      <c r="E10925" s="51">
        <f>VLOOKUP(A10925,'[1]Componentes APUs'!$H$1:$L$25,4,0)</f>
        <v>154619.04761904763</v>
      </c>
      <c r="F10925" s="51">
        <f>VLOOKUP(A10925,'[1]Componentes APUs'!$H$1:$L$25,5,0)</f>
        <v>92771.42857142858</v>
      </c>
      <c r="G10925" s="51">
        <f>ROUNDUP((E10925+F10925)*C10925/E10914,0)</f>
        <v>494781</v>
      </c>
    </row>
    <row r="10926" spans="1:7" x14ac:dyDescent="0.25">
      <c r="A10926" s="50" t="s">
        <v>48</v>
      </c>
      <c r="B10926" s="68" t="str">
        <f>VLOOKUP(A10926,'[1]Componentes APUs'!$H$1:$L$25,2,0)</f>
        <v>Ayudante Calificado</v>
      </c>
      <c r="C10926" s="93">
        <v>0</v>
      </c>
      <c r="D10926" s="50">
        <f>VLOOKUP(A10926,'[1]Componentes APUs'!$H$1:$L$25,3,0)</f>
        <v>1.5</v>
      </c>
      <c r="E10926" s="51">
        <f>VLOOKUP(A10926,'[1]Componentes APUs'!$H$1:$L$25,4,0)</f>
        <v>115964.28571428571</v>
      </c>
      <c r="F10926" s="51">
        <f>VLOOKUP(A10926,'[1]Componentes APUs'!$H$1:$L$25,5,0)</f>
        <v>69578.57142857142</v>
      </c>
      <c r="G10926" s="51">
        <f>ROUNDUP((E10926+F10926)*C10926/E10914,0)</f>
        <v>0</v>
      </c>
    </row>
    <row r="10927" spans="1:7" x14ac:dyDescent="0.25">
      <c r="A10927" s="50" t="s">
        <v>50</v>
      </c>
      <c r="B10927" s="68" t="str">
        <f>VLOOKUP(A10927,'[1]Componentes APUs'!$H$1:$L$25,2,0)</f>
        <v>Profesional en SST</v>
      </c>
      <c r="C10927" s="93">
        <v>0.25</v>
      </c>
      <c r="D10927" s="50">
        <f>VLOOKUP(A10927,'[1]Componentes APUs'!$H$1:$L$25,3,0)</f>
        <v>2.5</v>
      </c>
      <c r="E10927" s="51">
        <f>VLOOKUP(A10927,'[1]Componentes APUs'!$H$1:$L$25,4,0)</f>
        <v>169464.28571428571</v>
      </c>
      <c r="F10927" s="51">
        <f>VLOOKUP(A10927,'[1]Componentes APUs'!$H$1:$L$25,5,0)</f>
        <v>101678.57142857142</v>
      </c>
      <c r="G10927" s="51">
        <f>ROUNDUP((E10927+F10927)*C10927/E10914,0)</f>
        <v>67786</v>
      </c>
    </row>
    <row r="10928" spans="1:7" x14ac:dyDescent="0.25">
      <c r="A10928" s="50" t="s">
        <v>52</v>
      </c>
      <c r="B10928" s="68" t="str">
        <f>VLOOKUP(A10928,'[1]Componentes APUs'!$H$1:$L$25,2,0)</f>
        <v>Ayudante No Calificado</v>
      </c>
      <c r="C10928" s="93">
        <v>8</v>
      </c>
      <c r="D10928" s="50">
        <f>VLOOKUP(A10928,'[1]Componentes APUs'!$H$1:$L$25,3,0)</f>
        <v>1</v>
      </c>
      <c r="E10928" s="51">
        <f>VLOOKUP(A10928,'[1]Componentes APUs'!$H$1:$L$25,4,0)</f>
        <v>77309.523809523816</v>
      </c>
      <c r="F10928" s="51">
        <f>VLOOKUP(A10928,'[1]Componentes APUs'!$H$1:$L$25,5,0)</f>
        <v>46385.71428571429</v>
      </c>
      <c r="G10928" s="51">
        <f>ROUNDUP((E10928+F10928)*C10928/E10914,0)</f>
        <v>989562</v>
      </c>
    </row>
    <row r="10929" spans="1:7" x14ac:dyDescent="0.25">
      <c r="A10929" s="50" t="s">
        <v>54</v>
      </c>
      <c r="B10929" s="68" t="str">
        <f>VLOOKUP(A10929,'[1]Componentes APUs'!$H$1:$L$25,2,0)</f>
        <v>Maestro de obra civil</v>
      </c>
      <c r="C10929" s="93">
        <v>1</v>
      </c>
      <c r="D10929" s="50">
        <f>VLOOKUP(A10929,'[1]Componentes APUs'!$H$1:$L$25,3,0)</f>
        <v>2.5</v>
      </c>
      <c r="E10929" s="51">
        <f>VLOOKUP(A10929,'[1]Componentes APUs'!$H$1:$L$25,4,0)</f>
        <v>169464.28571428571</v>
      </c>
      <c r="F10929" s="51">
        <f>VLOOKUP(A10929,'[1]Componentes APUs'!$H$1:$L$25,5,0)</f>
        <v>101678.57142857142</v>
      </c>
      <c r="G10929" s="51">
        <f>ROUNDUP((E10929+F10929)*C10929/E10914,0)</f>
        <v>271143</v>
      </c>
    </row>
    <row r="10930" spans="1:7" x14ac:dyDescent="0.25">
      <c r="A10930" s="50" t="s">
        <v>1116</v>
      </c>
      <c r="B10930" s="68" t="str">
        <f>VLOOKUP(A10930,'[1]Componentes APUs'!$H$1:$L$25,2,0)</f>
        <v>Ingeniero Civil Residente de Obra</v>
      </c>
      <c r="C10930" s="93">
        <v>0.25</v>
      </c>
      <c r="D10930" s="50">
        <f>VLOOKUP(A10930,'[1]Componentes APUs'!$H$1:$L$25,3,0)</f>
        <v>3</v>
      </c>
      <c r="E10930" s="51">
        <f>VLOOKUP(A10930,'[1]Componentes APUs'!$H$1:$L$25,4,0)</f>
        <v>203357.14285714287</v>
      </c>
      <c r="F10930" s="51">
        <f>VLOOKUP(A10930,'[1]Componentes APUs'!$H$1:$L$25,5,0)</f>
        <v>122014.28571428571</v>
      </c>
      <c r="G10930" s="51">
        <f>ROUNDUP((E10930+F10930)*C10930/E10914,0)</f>
        <v>81343</v>
      </c>
    </row>
    <row r="10931" spans="1:7" x14ac:dyDescent="0.25">
      <c r="A10931" s="219" t="s">
        <v>56</v>
      </c>
      <c r="B10931" s="219"/>
      <c r="C10931" s="219"/>
      <c r="D10931" s="219"/>
      <c r="E10931" s="219"/>
      <c r="F10931" s="219"/>
      <c r="G10931" s="52">
        <f>SUM(G10923:G10930)</f>
        <v>2262525</v>
      </c>
    </row>
    <row r="10932" spans="1:7" x14ac:dyDescent="0.25">
      <c r="A10932" s="56"/>
      <c r="B10932" s="57"/>
      <c r="C10932" s="57"/>
      <c r="D10932" s="57"/>
      <c r="E10932" s="57"/>
      <c r="F10932" s="57"/>
      <c r="G10932" s="58"/>
    </row>
    <row r="10933" spans="1:7" x14ac:dyDescent="0.25">
      <c r="A10933" s="219" t="s">
        <v>57</v>
      </c>
      <c r="B10933" s="219"/>
      <c r="C10933" s="219"/>
      <c r="D10933" s="219"/>
      <c r="E10933" s="219"/>
      <c r="F10933" s="219"/>
      <c r="G10933" s="219"/>
    </row>
    <row r="10934" spans="1:7" x14ac:dyDescent="0.25">
      <c r="A10934" s="49" t="s">
        <v>35</v>
      </c>
      <c r="B10934" s="219" t="s">
        <v>36</v>
      </c>
      <c r="C10934" s="219"/>
      <c r="D10934" s="49" t="s">
        <v>37</v>
      </c>
      <c r="E10934" s="49" t="s">
        <v>38</v>
      </c>
      <c r="F10934" s="49" t="s">
        <v>39</v>
      </c>
      <c r="G10934" s="49" t="s">
        <v>40</v>
      </c>
    </row>
    <row r="10935" spans="1:7" x14ac:dyDescent="0.25">
      <c r="A10935" s="50" t="s">
        <v>326</v>
      </c>
      <c r="B10935" s="220" t="str">
        <f>VLOOKUP(A10935,'[1]Componentes APUs'!$S$1:$V$10,2,0)</f>
        <v>Juego Llaves</v>
      </c>
      <c r="C10935" s="220"/>
      <c r="D10935" s="50" t="s">
        <v>18</v>
      </c>
      <c r="E10935" s="50">
        <v>2</v>
      </c>
      <c r="F10935" s="51">
        <f>VLOOKUP(A10935,'[1]Componentes APUs'!$S$1:$V$10,4,0)</f>
        <v>9167</v>
      </c>
      <c r="G10935" s="51">
        <f>ROUNDUP(F10935*((E10935/21)/E10914),0)</f>
        <v>874</v>
      </c>
    </row>
    <row r="10936" spans="1:7" x14ac:dyDescent="0.25">
      <c r="A10936" s="50" t="s">
        <v>58</v>
      </c>
      <c r="B10936" s="220" t="str">
        <f>VLOOKUP(A10936,'[1]Componentes APUs'!$S$1:$V$10,2,0)</f>
        <v>Manila de servicio</v>
      </c>
      <c r="C10936" s="220"/>
      <c r="D10936" s="50" t="s">
        <v>18</v>
      </c>
      <c r="E10936" s="50">
        <v>2</v>
      </c>
      <c r="F10936" s="51">
        <f>VLOOKUP(A10936,'[1]Componentes APUs'!$S$1:$V$10,4,0)</f>
        <v>2333</v>
      </c>
      <c r="G10936" s="51">
        <f>ROUNDUP(F10936*((E10936/21)/E10914),0)</f>
        <v>223</v>
      </c>
    </row>
    <row r="10937" spans="1:7" x14ac:dyDescent="0.25">
      <c r="A10937" s="50" t="s">
        <v>327</v>
      </c>
      <c r="B10937" s="220" t="str">
        <f>VLOOKUP(A10937,'[1]Componentes APUs'!$S$1:$V$10,2,0)</f>
        <v>Tula portaherramientas</v>
      </c>
      <c r="C10937" s="220"/>
      <c r="D10937" s="50" t="s">
        <v>18</v>
      </c>
      <c r="E10937" s="50">
        <v>2</v>
      </c>
      <c r="F10937" s="51">
        <f>VLOOKUP(A10937,'[1]Componentes APUs'!$S$1:$V$10,4,0)</f>
        <v>1250</v>
      </c>
      <c r="G10937" s="51">
        <f>ROUNDUP(F10937*((E10937/21)/E10914),0)</f>
        <v>120</v>
      </c>
    </row>
    <row r="10938" spans="1:7" x14ac:dyDescent="0.25">
      <c r="A10938" s="50" t="s">
        <v>60</v>
      </c>
      <c r="B10938" s="220" t="str">
        <f>VLOOKUP(A10938,'[1]Componentes APUs'!$S$1:$V$10,2,0)</f>
        <v>Agarradoras</v>
      </c>
      <c r="C10938" s="220"/>
      <c r="D10938" s="50" t="s">
        <v>18</v>
      </c>
      <c r="E10938" s="50">
        <v>0</v>
      </c>
      <c r="F10938" s="51">
        <f>VLOOKUP(A10938,'[1]Componentes APUs'!$S$1:$V$10,4,0)</f>
        <v>125000</v>
      </c>
      <c r="G10938" s="51">
        <f>ROUNDUP(F10938*((E10938/21)/E10914),0)</f>
        <v>0</v>
      </c>
    </row>
    <row r="10939" spans="1:7" x14ac:dyDescent="0.25">
      <c r="A10939" s="50" t="s">
        <v>62</v>
      </c>
      <c r="B10939" s="220" t="str">
        <f>VLOOKUP(A10939,'[1]Componentes APUs'!$S$1:$V$10,2,0)</f>
        <v>Templadoras</v>
      </c>
      <c r="C10939" s="220"/>
      <c r="D10939" s="50" t="s">
        <v>18</v>
      </c>
      <c r="E10939" s="50">
        <v>0</v>
      </c>
      <c r="F10939" s="51">
        <f>VLOOKUP(A10939,'[1]Componentes APUs'!$S$1:$V$10,4,0)</f>
        <v>250000</v>
      </c>
      <c r="G10939" s="51">
        <f>ROUNDUP(F10939*((E10939/21)/E10914),0)</f>
        <v>0</v>
      </c>
    </row>
    <row r="10940" spans="1:7" x14ac:dyDescent="0.25">
      <c r="A10940" s="50" t="s">
        <v>328</v>
      </c>
      <c r="B10940" s="220" t="str">
        <f>VLOOKUP(A10940,'[1]Componentes APUs'!$S$1:$V$10,2,0)</f>
        <v>Herramienta Menor</v>
      </c>
      <c r="C10940" s="220"/>
      <c r="D10940" s="50" t="s">
        <v>18</v>
      </c>
      <c r="E10940" s="50">
        <v>2</v>
      </c>
      <c r="F10940" s="51">
        <f>VLOOKUP(A10940,'[1]Componentes APUs'!$S$1:$V$10,4,0)</f>
        <v>75758</v>
      </c>
      <c r="G10940" s="51">
        <f>ROUNDUP(F10940*((E10940/21)/E10914),0)</f>
        <v>7216</v>
      </c>
    </row>
    <row r="10941" spans="1:7" x14ac:dyDescent="0.25">
      <c r="A10941" s="219" t="s">
        <v>69</v>
      </c>
      <c r="B10941" s="219"/>
      <c r="C10941" s="219"/>
      <c r="D10941" s="219"/>
      <c r="E10941" s="219"/>
      <c r="F10941" s="219"/>
      <c r="G10941" s="52">
        <f>SUM(G10935:G10940)</f>
        <v>8433</v>
      </c>
    </row>
    <row r="10942" spans="1:7" x14ac:dyDescent="0.25">
      <c r="A10942" s="56"/>
      <c r="B10942" s="57"/>
      <c r="C10942" s="57"/>
      <c r="D10942" s="57"/>
      <c r="E10942" s="57"/>
      <c r="F10942" s="57"/>
      <c r="G10942" s="58"/>
    </row>
    <row r="10943" spans="1:7" x14ac:dyDescent="0.25">
      <c r="A10943" s="219" t="s">
        <v>70</v>
      </c>
      <c r="B10943" s="219"/>
      <c r="C10943" s="219"/>
      <c r="D10943" s="219"/>
      <c r="E10943" s="219"/>
      <c r="F10943" s="219"/>
      <c r="G10943" s="219"/>
    </row>
    <row r="10944" spans="1:7" x14ac:dyDescent="0.25">
      <c r="A10944" s="49" t="s">
        <v>35</v>
      </c>
      <c r="B10944" s="219" t="s">
        <v>36</v>
      </c>
      <c r="C10944" s="219"/>
      <c r="D10944" s="49" t="s">
        <v>37</v>
      </c>
      <c r="E10944" s="49" t="s">
        <v>38</v>
      </c>
      <c r="F10944" s="49" t="s">
        <v>39</v>
      </c>
      <c r="G10944" s="49" t="s">
        <v>40</v>
      </c>
    </row>
    <row r="10945" spans="1:7" x14ac:dyDescent="0.25">
      <c r="A10945" s="50" t="s">
        <v>71</v>
      </c>
      <c r="B10945" s="71" t="str">
        <f>VLOOKUP(A10945,'[1]Componentes APUs'!$A$1:$D$14,2,0)</f>
        <v>Camisa indigo sin partes metalicas</v>
      </c>
      <c r="C10945" s="71"/>
      <c r="D10945" s="50" t="str">
        <f>VLOOKUP(A10945,'[1]Componentes APUs'!$A$1:$D$14,3,0)</f>
        <v>U</v>
      </c>
      <c r="E10945" s="50">
        <f>SUM(C10923:C10930)</f>
        <v>12.75</v>
      </c>
      <c r="F10945" s="51">
        <f>VLOOKUP(A10945,'[1]Componentes APUs'!$A$1:$D$14,4,0)</f>
        <v>8585.8585858585866</v>
      </c>
      <c r="G10945" s="51">
        <f>ROUNDUP(F10945*(E10945/21)/E10914,0)</f>
        <v>5213</v>
      </c>
    </row>
    <row r="10946" spans="1:7" x14ac:dyDescent="0.25">
      <c r="A10946" s="69" t="s">
        <v>73</v>
      </c>
      <c r="B10946" s="72" t="str">
        <f>VLOOKUP(A10946,'[1]Componentes APUs'!$A$1:$D$14,2,0)</f>
        <v>Bota de seguridad dielectrica</v>
      </c>
      <c r="C10946" s="73"/>
      <c r="D10946" s="70" t="str">
        <f>VLOOKUP(A10946,'[1]Componentes APUs'!$A$1:$D$14,3,0)</f>
        <v>Par</v>
      </c>
      <c r="E10946" s="50">
        <f>SUM(C10923:C10930)</f>
        <v>12.75</v>
      </c>
      <c r="F10946" s="51">
        <f>VLOOKUP(A10946,'[1]Componentes APUs'!$A$1:$D$14,4,0)</f>
        <v>7500</v>
      </c>
      <c r="G10946" s="51">
        <f>ROUNDUP(F10946*(E10946/21)/E10914,0)</f>
        <v>4554</v>
      </c>
    </row>
    <row r="10947" spans="1:7" x14ac:dyDescent="0.25">
      <c r="A10947" s="50" t="s">
        <v>76</v>
      </c>
      <c r="B10947" s="72" t="str">
        <f>VLOOKUP(A10947,'[1]Componentes APUs'!$A$1:$D$14,2,0)</f>
        <v>Casco dielectrico Tipo 1 Clase E con barbuquejo</v>
      </c>
      <c r="C10947" s="73"/>
      <c r="D10947" s="50" t="str">
        <f>VLOOKUP(A10947,'[1]Componentes APUs'!$A$1:$D$14,3,0)</f>
        <v>U</v>
      </c>
      <c r="E10947" s="50">
        <f>C10923+C10924+C10925+C10926+C10928+C10929+C10930+IF(A10925&lt;&gt;"MO-3",C10925,0)</f>
        <v>12.5</v>
      </c>
      <c r="F10947" s="51">
        <f>VLOOKUP(A10947,'[1]Componentes APUs'!$A$1:$D$14,4,0)</f>
        <v>10101.010101010101</v>
      </c>
      <c r="G10947" s="51">
        <f>ROUNDUP(F10947*(E10947/21)/E10914,0)</f>
        <v>6013</v>
      </c>
    </row>
    <row r="10948" spans="1:7" x14ac:dyDescent="0.25">
      <c r="A10948" s="69" t="s">
        <v>77</v>
      </c>
      <c r="B10948" s="72" t="str">
        <f>VLOOKUP(A10948,'[1]Componentes APUs'!$A$1:$D$14,2,0)</f>
        <v>Correa plastica y antiflama</v>
      </c>
      <c r="C10948" s="73"/>
      <c r="D10948" s="50" t="str">
        <f>VLOOKUP(A10948,'[1]Componentes APUs'!$A$1:$D$14,3,0)</f>
        <v>U</v>
      </c>
      <c r="E10948" s="50">
        <f>SUM(C10923:C10930)</f>
        <v>12.75</v>
      </c>
      <c r="F10948" s="51">
        <f>VLOOKUP(A10948,'[1]Componentes APUs'!$A$1:$D$14,4,0)</f>
        <v>3787.878787878788</v>
      </c>
      <c r="G10948" s="51">
        <f>ROUNDUP(F10948*(E10948/21)/E10914,0)</f>
        <v>2300</v>
      </c>
    </row>
    <row r="10949" spans="1:7" x14ac:dyDescent="0.25">
      <c r="A10949" s="50" t="s">
        <v>79</v>
      </c>
      <c r="B10949" s="72" t="str">
        <f>VLOOKUP(A10949,'[1]Componentes APUs'!$A$1:$D$14,2,0)</f>
        <v>Gafas protectoras filtro UV</v>
      </c>
      <c r="C10949" s="73"/>
      <c r="D10949" s="50" t="str">
        <f>VLOOKUP(A10949,'[1]Componentes APUs'!$A$1:$D$14,3,0)</f>
        <v>U</v>
      </c>
      <c r="E10949" s="50">
        <f>SUM(C10923:C10930)</f>
        <v>12.75</v>
      </c>
      <c r="F10949" s="51">
        <f>VLOOKUP(A10949,'[1]Componentes APUs'!$A$1:$D$14,4,0)</f>
        <v>2777.7777777777778</v>
      </c>
      <c r="G10949" s="51">
        <f>ROUNDUP(F10949*(E10949/21)/E10914,0)</f>
        <v>1687</v>
      </c>
    </row>
    <row r="10950" spans="1:7" x14ac:dyDescent="0.25">
      <c r="A10950" s="69" t="s">
        <v>402</v>
      </c>
      <c r="B10950" s="72" t="str">
        <f>VLOOKUP(A10950,'[1]Componentes APUs'!$A$1:$D$14,2,0)</f>
        <v>Bota de seguridad PVC dielectrica</v>
      </c>
      <c r="C10950" s="73"/>
      <c r="D10950" s="50" t="str">
        <f>VLOOKUP(A10950,'[1]Componentes APUs'!$A$1:$D$14,3,0)</f>
        <v>Par</v>
      </c>
      <c r="E10950" s="50">
        <f>SUM(C10923:C10930)</f>
        <v>12.75</v>
      </c>
      <c r="F10950" s="51">
        <f>VLOOKUP(A10950,'[1]Componentes APUs'!$A$1:$D$14,4,0)</f>
        <v>2916.6666666666665</v>
      </c>
      <c r="G10950" s="51">
        <f>ROUNDUP(F10950*(E10950/21)/E10914,0)</f>
        <v>1771</v>
      </c>
    </row>
    <row r="10951" spans="1:7" x14ac:dyDescent="0.25">
      <c r="A10951" s="50" t="s">
        <v>403</v>
      </c>
      <c r="B10951" s="72" t="str">
        <f>VLOOKUP(A10951,'[1]Componentes APUs'!$A$1:$D$14,2,0)</f>
        <v>Capuchon</v>
      </c>
      <c r="C10951" s="73"/>
      <c r="D10951" s="50" t="str">
        <f>VLOOKUP(A10951,'[1]Componentes APUs'!$A$1:$D$14,3,0)</f>
        <v>U</v>
      </c>
      <c r="E10951" s="50">
        <f>SUM(C10923:C10930)</f>
        <v>12.75</v>
      </c>
      <c r="F10951" s="51">
        <f>VLOOKUP(A10951,'[1]Componentes APUs'!$A$1:$D$14,4,0)</f>
        <v>2525.2525252525252</v>
      </c>
      <c r="G10951" s="51">
        <f>ROUNDUP(F10951*(E10951/21)/E10914,0)</f>
        <v>1534</v>
      </c>
    </row>
    <row r="10952" spans="1:7" x14ac:dyDescent="0.25">
      <c r="A10952" s="69" t="s">
        <v>81</v>
      </c>
      <c r="B10952" s="72" t="str">
        <f>VLOOKUP(A10952,'[1]Componentes APUs'!$A$1:$D$14,2,0)</f>
        <v>Guantes Protectores  - ingeniero reforzados</v>
      </c>
      <c r="C10952" s="73"/>
      <c r="D10952" s="50" t="str">
        <f>VLOOKUP(A10952,'[1]Componentes APUs'!$A$1:$D$14,3,0)</f>
        <v>Par</v>
      </c>
      <c r="E10952" s="50">
        <f>C10925+C10926+C10928</f>
        <v>10</v>
      </c>
      <c r="F10952" s="51">
        <f>VLOOKUP(A10952,'[1]Componentes APUs'!$A$1:$D$14,4,0)</f>
        <v>2525.2525252525252</v>
      </c>
      <c r="G10952" s="51">
        <f>ROUNDUP(F10952*(E10952/21)/E10914,0)</f>
        <v>1203</v>
      </c>
    </row>
    <row r="10953" spans="1:7" x14ac:dyDescent="0.25">
      <c r="A10953" s="50" t="s">
        <v>83</v>
      </c>
      <c r="B10953" s="72" t="str">
        <f>VLOOKUP(A10953,'[1]Componentes APUs'!$A$1:$D$14,2,0)</f>
        <v>Impermeable (pantalon camisa)</v>
      </c>
      <c r="C10953" s="73"/>
      <c r="D10953" s="50" t="str">
        <f>VLOOKUP(A10953,'[1]Componentes APUs'!$A$1:$D$14,3,0)</f>
        <v>U</v>
      </c>
      <c r="E10953" s="50">
        <f>SUM(C10923:C10930)</f>
        <v>12.75</v>
      </c>
      <c r="F10953" s="51">
        <f>VLOOKUP(A10953,'[1]Componentes APUs'!$A$1:$D$14,4,0)</f>
        <v>3750</v>
      </c>
      <c r="G10953" s="51">
        <f>ROUNDUP(F10953*(E10953/21)/E10914,0)</f>
        <v>2277</v>
      </c>
    </row>
    <row r="10954" spans="1:7" x14ac:dyDescent="0.25">
      <c r="A10954" s="69" t="s">
        <v>85</v>
      </c>
      <c r="B10954" s="72" t="str">
        <f>VLOOKUP(A10954,'[1]Componentes APUs'!$A$1:$D$14,2,0)</f>
        <v>Jean Dielectrico</v>
      </c>
      <c r="C10954" s="73"/>
      <c r="D10954" s="50" t="str">
        <f>VLOOKUP(A10954,'[1]Componentes APUs'!$A$1:$D$14,3,0)</f>
        <v>U</v>
      </c>
      <c r="E10954" s="50">
        <f>SUM(C10923:C10930)</f>
        <v>12.75</v>
      </c>
      <c r="F10954" s="51">
        <f>VLOOKUP(A10954,'[1]Componentes APUs'!$A$1:$D$14,4,0)</f>
        <v>7575.757575757576</v>
      </c>
      <c r="G10954" s="51">
        <f>ROUNDUP(F10954*(E10954/21)/E10914,0)</f>
        <v>4600</v>
      </c>
    </row>
    <row r="10955" spans="1:7" x14ac:dyDescent="0.25">
      <c r="A10955" s="50" t="s">
        <v>87</v>
      </c>
      <c r="B10955" s="72" t="str">
        <f>VLOOKUP(A10955,'[1]Componentes APUs'!$A$1:$D$14,2,0)</f>
        <v>Casco dielectrico Tipo 2 Clase E con barboquejo</v>
      </c>
      <c r="C10955" s="73"/>
      <c r="D10955" s="50" t="str">
        <f>VLOOKUP(A10955,'[1]Componentes APUs'!$A$1:$D$14,3,0)</f>
        <v>U</v>
      </c>
      <c r="E10955" s="53">
        <f>IF(A10925="MO-3",C10925,0)</f>
        <v>2</v>
      </c>
      <c r="F10955" s="51">
        <f>VLOOKUP(A10955,'[1]Componentes APUs'!$A$1:$D$14,4,0)</f>
        <v>7500</v>
      </c>
      <c r="G10955" s="51">
        <f>ROUNDUP(F10955*(E10955/21)/E10914,0)</f>
        <v>715</v>
      </c>
    </row>
    <row r="10956" spans="1:7" x14ac:dyDescent="0.25">
      <c r="A10956" s="69" t="s">
        <v>89</v>
      </c>
      <c r="B10956" s="72" t="str">
        <f>VLOOKUP(A10956,'[1]Componentes APUs'!$A$1:$D$14,2,0)</f>
        <v>Kit de rescate para trabajo en alturas</v>
      </c>
      <c r="C10956" s="73"/>
      <c r="D10956" s="50" t="str">
        <f>VLOOKUP(A10956,'[1]Componentes APUs'!$A$1:$D$14,3,0)</f>
        <v>U</v>
      </c>
      <c r="E10956" s="50">
        <f>IF(AND(A10925="MO-3",C10925=2),1,0)</f>
        <v>1</v>
      </c>
      <c r="F10956" s="51">
        <f>VLOOKUP(A10956,'[1]Componentes APUs'!$A$1:$D$14,4,0)</f>
        <v>37500</v>
      </c>
      <c r="G10956" s="51">
        <f>ROUNDUP(F10956*(E10956/21)/E10914,0)</f>
        <v>1786</v>
      </c>
    </row>
    <row r="10957" spans="1:7" x14ac:dyDescent="0.25">
      <c r="A10957" s="50" t="s">
        <v>91</v>
      </c>
      <c r="B10957" s="72" t="str">
        <f>VLOOKUP(A10957,'[1]Componentes APUs'!$A$1:$D$14,2,0)</f>
        <v>Equipo completo para trabajo en alturas con pretales (Arnes dielectrico, 1 mosqueton de seguridad, tie off dielectrico, eslinga de posicionamiento, juego de pretales)</v>
      </c>
      <c r="C10957" s="73"/>
      <c r="D10957" s="50" t="str">
        <f>VLOOKUP(A10957,'[1]Componentes APUs'!$A$1:$D$14,3,0)</f>
        <v>U</v>
      </c>
      <c r="E10957" s="50">
        <f>IF(A10925="MO-3",C10925,0)</f>
        <v>2</v>
      </c>
      <c r="F10957" s="51">
        <f>VLOOKUP(A10957,'[1]Componentes APUs'!$A$1:$D$14,4,0)</f>
        <v>26041.666666666668</v>
      </c>
      <c r="G10957" s="51">
        <f>ROUNDUP(F10957*(E10957/21)/E10914,0)</f>
        <v>2481</v>
      </c>
    </row>
    <row r="10958" spans="1:7" x14ac:dyDescent="0.25">
      <c r="A10958" s="219" t="s">
        <v>95</v>
      </c>
      <c r="B10958" s="219"/>
      <c r="C10958" s="219"/>
      <c r="D10958" s="219"/>
      <c r="E10958" s="219"/>
      <c r="F10958" s="219"/>
      <c r="G10958" s="52">
        <f>SUM(G10945:G10957)</f>
        <v>36134</v>
      </c>
    </row>
    <row r="10959" spans="1:7" x14ac:dyDescent="0.25">
      <c r="A10959" s="56"/>
      <c r="B10959" s="57"/>
      <c r="C10959" s="57"/>
      <c r="D10959" s="57"/>
      <c r="E10959" s="57"/>
      <c r="F10959" s="57"/>
      <c r="G10959" s="58"/>
    </row>
    <row r="10960" spans="1:7" x14ac:dyDescent="0.25">
      <c r="A10960" s="219" t="s">
        <v>96</v>
      </c>
      <c r="B10960" s="219"/>
      <c r="C10960" s="219"/>
      <c r="D10960" s="219"/>
      <c r="E10960" s="219"/>
      <c r="F10960" s="219"/>
      <c r="G10960" s="219"/>
    </row>
    <row r="10961" spans="1:7" x14ac:dyDescent="0.25">
      <c r="A10961" s="49" t="s">
        <v>35</v>
      </c>
      <c r="B10961" s="225" t="s">
        <v>36</v>
      </c>
      <c r="C10961" s="225"/>
      <c r="D10961" s="49" t="s">
        <v>37</v>
      </c>
      <c r="E10961" s="49" t="s">
        <v>38</v>
      </c>
      <c r="F10961" s="49" t="s">
        <v>39</v>
      </c>
      <c r="G10961" s="49" t="s">
        <v>40</v>
      </c>
    </row>
    <row r="10962" spans="1:7" x14ac:dyDescent="0.25">
      <c r="A10962" s="69" t="s">
        <v>97</v>
      </c>
      <c r="B10962" s="72" t="str">
        <f>VLOOKUP(A10962,'[1]Componentes APUs'!$N$1:$Q$30,2,0)</f>
        <v>Camioneta</v>
      </c>
      <c r="C10962" s="73"/>
      <c r="D10962" s="70" t="str">
        <f>VLOOKUP(A10962,'[1]Componentes APUs'!$N$1:$Q$30,3,0)</f>
        <v>U</v>
      </c>
      <c r="E10962" s="50">
        <v>1</v>
      </c>
      <c r="F10962" s="51">
        <f>VLOOKUP(A10962,'[1]Componentes APUs'!$N$1:$Q$30,4,0)</f>
        <v>5500000</v>
      </c>
      <c r="G10962" s="51">
        <f>IFERROR(ROUNDUP(F10962*(E10962/21)/E10914,0),"-")</f>
        <v>261905</v>
      </c>
    </row>
    <row r="10963" spans="1:7" x14ac:dyDescent="0.25">
      <c r="A10963" s="50" t="s">
        <v>321</v>
      </c>
      <c r="B10963" s="72" t="str">
        <f>VLOOKUP(A10963,'[1]Componentes APUs'!$N$1:$Q$30,2,0)</f>
        <v>Grúa Hidráulica</v>
      </c>
      <c r="C10963" s="73"/>
      <c r="D10963" s="70" t="str">
        <f>VLOOKUP(A10963,'[1]Componentes APUs'!$N$1:$Q$30,3,0)</f>
        <v>U</v>
      </c>
      <c r="E10963" s="50">
        <v>1</v>
      </c>
      <c r="F10963" s="51">
        <f>VLOOKUP(A10963,'[1]Componentes APUs'!$N$1:$Q$30,4,0)</f>
        <v>21000000</v>
      </c>
      <c r="G10963" s="51">
        <f>IFERROR(ROUNDUP(F10963*(E10963/21)/E10914,0),"-")</f>
        <v>1000000</v>
      </c>
    </row>
    <row r="10964" spans="1:7" x14ac:dyDescent="0.25">
      <c r="A10964" s="69" t="s">
        <v>322</v>
      </c>
      <c r="B10964" s="72" t="str">
        <f>VLOOKUP(A10964,'[1]Componentes APUs'!$N$1:$Q$30,2,0)</f>
        <v>Camabaja</v>
      </c>
      <c r="C10964" s="73"/>
      <c r="D10964" s="70" t="str">
        <f>VLOOKUP(A10964,'[1]Componentes APUs'!$N$1:$Q$30,3,0)</f>
        <v>TON/KM</v>
      </c>
      <c r="E10964" s="50">
        <v>15000</v>
      </c>
      <c r="F10964" s="51">
        <f>VLOOKUP(A10964,'[1]Componentes APUs'!$N$1:$Q$30,4,0)</f>
        <v>611</v>
      </c>
      <c r="G10964" s="51">
        <f>E10964*F10964</f>
        <v>9165000</v>
      </c>
    </row>
    <row r="10965" spans="1:7" x14ac:dyDescent="0.25">
      <c r="A10965" s="219" t="s">
        <v>99</v>
      </c>
      <c r="B10965" s="219"/>
      <c r="C10965" s="219"/>
      <c r="D10965" s="219"/>
      <c r="E10965" s="219"/>
      <c r="F10965" s="219"/>
      <c r="G10965" s="52">
        <f>SUM(G10962:G10964)</f>
        <v>10426905</v>
      </c>
    </row>
    <row r="10966" spans="1:7" x14ac:dyDescent="0.25">
      <c r="A10966" s="56"/>
      <c r="B10966" s="57"/>
      <c r="C10966" s="57"/>
      <c r="D10966" s="57"/>
      <c r="E10966" s="57"/>
      <c r="F10966" s="57"/>
      <c r="G10966" s="58"/>
    </row>
    <row r="10967" spans="1:7" x14ac:dyDescent="0.25">
      <c r="A10967" s="219" t="s">
        <v>1516</v>
      </c>
      <c r="B10967" s="219"/>
      <c r="C10967" s="219"/>
      <c r="D10967" s="219"/>
      <c r="E10967" s="219"/>
      <c r="F10967" s="219"/>
      <c r="G10967" s="52">
        <f>G10965+G10958+G10941+G10931+G10919</f>
        <v>984733997</v>
      </c>
    </row>
    <row r="10968" spans="1:7" x14ac:dyDescent="0.25">
      <c r="A10968" s="59"/>
      <c r="B10968" s="60"/>
      <c r="C10968" s="60"/>
      <c r="D10968" s="60"/>
      <c r="E10968" s="57"/>
      <c r="F10968" s="57"/>
      <c r="G10968" s="58"/>
    </row>
    <row r="10969" spans="1:7" x14ac:dyDescent="0.25">
      <c r="A10969" s="64"/>
      <c r="D10969" s="55"/>
      <c r="E10969" s="49" t="s">
        <v>25</v>
      </c>
      <c r="F10969" s="54">
        <v>0.15</v>
      </c>
      <c r="G10969" s="51">
        <f>G10967*F10969</f>
        <v>147710099.54999998</v>
      </c>
    </row>
    <row r="10970" spans="1:7" x14ac:dyDescent="0.25">
      <c r="A10970" s="64"/>
      <c r="D10970" s="55"/>
      <c r="E10970" s="49" t="s">
        <v>26</v>
      </c>
      <c r="F10970" s="54">
        <v>0.05</v>
      </c>
      <c r="G10970" s="51">
        <f>G10967*F10970</f>
        <v>49236699.850000001</v>
      </c>
    </row>
    <row r="10971" spans="1:7" x14ac:dyDescent="0.25">
      <c r="A10971" s="61"/>
      <c r="B10971" s="65"/>
      <c r="C10971" s="65"/>
      <c r="D10971" s="62"/>
      <c r="E10971" s="49" t="s">
        <v>27</v>
      </c>
      <c r="F10971" s="54">
        <v>0.05</v>
      </c>
      <c r="G10971" s="51">
        <f>G10967*F10971</f>
        <v>49236699.850000001</v>
      </c>
    </row>
    <row r="10972" spans="1:7" x14ac:dyDescent="0.25">
      <c r="A10972" s="61"/>
      <c r="B10972" s="62"/>
      <c r="C10972" s="62"/>
      <c r="D10972" s="62"/>
      <c r="E10972" s="62"/>
      <c r="F10972" s="62"/>
      <c r="G10972" s="63"/>
    </row>
    <row r="10973" spans="1:7" x14ac:dyDescent="0.25">
      <c r="A10973" s="219" t="s">
        <v>1517</v>
      </c>
      <c r="B10973" s="219"/>
      <c r="C10973" s="219"/>
      <c r="D10973" s="219"/>
      <c r="E10973" s="219"/>
      <c r="F10973" s="219"/>
      <c r="G10973" s="52">
        <f>G10967+G10969+G10970+G10971</f>
        <v>1230917496.2499998</v>
      </c>
    </row>
    <row r="10974" spans="1:7" x14ac:dyDescent="0.25">
      <c r="A10974" s="59"/>
      <c r="B10974" s="60"/>
      <c r="C10974" s="60"/>
      <c r="D10974" s="60"/>
      <c r="E10974" s="57"/>
      <c r="F10974" s="57"/>
      <c r="G10974" s="58"/>
    </row>
    <row r="10975" spans="1:7" x14ac:dyDescent="0.25">
      <c r="A10975" s="64"/>
      <c r="D10975" s="55"/>
      <c r="E10975" s="49" t="s">
        <v>102</v>
      </c>
      <c r="F10975" s="49" t="s">
        <v>103</v>
      </c>
      <c r="G10975" s="51">
        <f>G10971*19%</f>
        <v>9354972.9715</v>
      </c>
    </row>
    <row r="10976" spans="1:7" x14ac:dyDescent="0.25">
      <c r="A10976" s="61"/>
      <c r="B10976" s="62"/>
      <c r="C10976" s="62"/>
      <c r="D10976" s="62"/>
      <c r="E10976" s="57"/>
      <c r="F10976" s="57"/>
      <c r="G10976" s="58"/>
    </row>
    <row r="10977" spans="1:7" x14ac:dyDescent="0.25">
      <c r="A10977" s="219" t="s">
        <v>104</v>
      </c>
      <c r="B10977" s="219"/>
      <c r="C10977" s="219"/>
      <c r="D10977" s="219"/>
      <c r="E10977" s="219"/>
      <c r="F10977" s="219"/>
      <c r="G10977" s="52">
        <f>G10975+G10973</f>
        <v>1240272469.2214997</v>
      </c>
    </row>
    <row r="10979" spans="1:7" x14ac:dyDescent="0.25">
      <c r="A10979" s="74" t="s">
        <v>29</v>
      </c>
      <c r="B10979" s="226" t="s">
        <v>30</v>
      </c>
      <c r="C10979" s="226"/>
      <c r="D10979" s="74" t="s">
        <v>31</v>
      </c>
      <c r="E10979" s="74" t="s">
        <v>32</v>
      </c>
      <c r="F10979" s="74" t="s">
        <v>189</v>
      </c>
      <c r="G10979" s="74" t="s">
        <v>33</v>
      </c>
    </row>
    <row r="10980" spans="1:7" ht="90" customHeight="1" x14ac:dyDescent="0.25">
      <c r="A10980" s="50" t="str">
        <f>Presupuesto!B200</f>
        <v>011_N3</v>
      </c>
      <c r="B10980" s="220" t="str">
        <f>Presupuesto!C200</f>
        <v>SUMINISTRO E INSTALACIÓN DE RECONECTADOR TRIFÁSICO (R). UM:38KV, IN: 630A, ISC:12.5KA MIN, LIWV:170KV. INCLUYE CONTROL MICROPROCESADOR DE ÚLTIMA TECNOLOGÍA, CABLES DE 6M, DPS, Y PRENSACABLES Y TARJETA DE COMUNICACIÓN LAN DUAL ETHERNET RJ45 Y ÓPTICA MTRJ, 6 SENSORES DE TENSIÓN, 3 SENSORES DE CORRIENTE, DPS DE BAJA TENSIÓN BIFÁSICO/TRIFILAR 175VAC - 5KA, UN GABINETE DE COMUNICACIÓN QUE INCLUYA RADIO Y ANTENA, BATERIA DE RESPALDO Y CARGADOR.</v>
      </c>
      <c r="C10980" s="220"/>
      <c r="D10980" s="50" t="s">
        <v>18</v>
      </c>
      <c r="E10980" s="50">
        <v>0.5</v>
      </c>
      <c r="F10980" s="50"/>
      <c r="G10980" s="51">
        <f>G11042</f>
        <v>200684084.96399999</v>
      </c>
    </row>
    <row r="10981" spans="1:7" x14ac:dyDescent="0.25">
      <c r="A10981" s="234" t="s">
        <v>34</v>
      </c>
      <c r="B10981" s="236"/>
      <c r="C10981" s="236"/>
      <c r="D10981" s="236"/>
      <c r="E10981" s="236"/>
      <c r="F10981" s="236"/>
      <c r="G10981" s="235"/>
    </row>
    <row r="10982" spans="1:7" x14ac:dyDescent="0.25">
      <c r="A10982" s="49" t="s">
        <v>35</v>
      </c>
      <c r="B10982" s="234" t="s">
        <v>36</v>
      </c>
      <c r="C10982" s="235"/>
      <c r="D10982" s="49" t="s">
        <v>37</v>
      </c>
      <c r="E10982" s="49" t="s">
        <v>38</v>
      </c>
      <c r="F10982" s="49" t="s">
        <v>39</v>
      </c>
      <c r="G10982" s="49" t="s">
        <v>40</v>
      </c>
    </row>
    <row r="10983" spans="1:7" ht="74.25" customHeight="1" x14ac:dyDescent="0.25">
      <c r="A10983" s="17" t="str">
        <f>Material!A22</f>
        <v>MA-21</v>
      </c>
      <c r="B10983" s="221" t="str">
        <f>IFERROR(VLOOKUP(A10983,Material!$A:$J,2,0),"-")</f>
        <v>RECONECTADOR TRIFÁSICO (R). UM:36KV, IN: 630A, ISC:12.5KA MIN, LIWV:170KV. INCLUYE CONTROL MICROPROCESADOR DE ÚLTIMA TECNOLOGÍA, CABLES DE 6M, PRENSACABLES Y TARJETA DE COMUNICACIÓN LAN DUAL ETHERNET RJ45 Y ÓPTICA MTRJ, 3 SENSORES DE TENSIÓN, 3 SENSORES DE CORRIENTE, UN GABINETE DE COMUNICACIÓN QUE INCLUYA RADIO Y ANTENA, BATERIA DE RESPALDO Y CARGADOR.</v>
      </c>
      <c r="C10983" s="222"/>
      <c r="D10983" s="50" t="str">
        <f>IFERROR(VLOOKUP(A10983,Material!$A:$J,4,0),"-")</f>
        <v>UN</v>
      </c>
      <c r="E10983" s="50">
        <v>1</v>
      </c>
      <c r="F10983" s="51">
        <f>IFERROR(VLOOKUP(A10983,Material!$A:$J,3,0),"-")</f>
        <v>156633750</v>
      </c>
      <c r="G10983" s="51">
        <f t="shared" ref="G10983:G10984" si="153">IFERROR(ROUNDUP(F10983*E10983,0),"-")</f>
        <v>156633750</v>
      </c>
    </row>
    <row r="10984" spans="1:7" x14ac:dyDescent="0.25">
      <c r="A10984" s="17"/>
      <c r="B10984" s="72" t="str">
        <f>IFERROR(VLOOKUP(A10984,Material!$A:$J,2,0),"-")</f>
        <v>-</v>
      </c>
      <c r="C10984" s="73"/>
      <c r="D10984" s="50" t="str">
        <f>IFERROR(VLOOKUP(A10984,Material!$A:$J,4,0),"-")</f>
        <v>-</v>
      </c>
      <c r="E10984" s="50"/>
      <c r="F10984" s="51" t="str">
        <f>IFERROR(VLOOKUP(A10984,Material!$A:$J,3,0),"-")</f>
        <v>-</v>
      </c>
      <c r="G10984" s="51" t="str">
        <f t="shared" si="153"/>
        <v>-</v>
      </c>
    </row>
    <row r="10985" spans="1:7" x14ac:dyDescent="0.25">
      <c r="A10985" s="234" t="s">
        <v>41</v>
      </c>
      <c r="B10985" s="236"/>
      <c r="C10985" s="236"/>
      <c r="D10985" s="236"/>
      <c r="E10985" s="236"/>
      <c r="F10985" s="235"/>
      <c r="G10985" s="52">
        <f>SUM(G10983:G10984)</f>
        <v>156633750</v>
      </c>
    </row>
    <row r="10986" spans="1:7" x14ac:dyDescent="0.25">
      <c r="A10986" s="56"/>
      <c r="B10986" s="57"/>
      <c r="C10986" s="57"/>
      <c r="D10986" s="57"/>
      <c r="E10986" s="57"/>
      <c r="F10986" s="57"/>
      <c r="G10986" s="58"/>
    </row>
    <row r="10987" spans="1:7" x14ac:dyDescent="0.25">
      <c r="A10987" s="219" t="s">
        <v>42</v>
      </c>
      <c r="B10987" s="219"/>
      <c r="C10987" s="219"/>
      <c r="D10987" s="219"/>
      <c r="E10987" s="219"/>
      <c r="F10987" s="219"/>
      <c r="G10987" s="219"/>
    </row>
    <row r="10988" spans="1:7" x14ac:dyDescent="0.25">
      <c r="A10988" s="49" t="s">
        <v>35</v>
      </c>
      <c r="B10988" s="49" t="s">
        <v>36</v>
      </c>
      <c r="C10988" s="49" t="s">
        <v>38</v>
      </c>
      <c r="D10988" s="49" t="s">
        <v>43</v>
      </c>
      <c r="E10988" s="49" t="s">
        <v>44</v>
      </c>
      <c r="F10988" s="49" t="s">
        <v>45</v>
      </c>
      <c r="G10988" s="49" t="s">
        <v>40</v>
      </c>
    </row>
    <row r="10989" spans="1:7" x14ac:dyDescent="0.25">
      <c r="A10989" s="50" t="s">
        <v>319</v>
      </c>
      <c r="B10989" s="68" t="str">
        <f>VLOOKUP(A10989,'[1]Componentes APUs'!$H$1:$L$25,2,0)</f>
        <v>Ingeniero Residente de Obra</v>
      </c>
      <c r="C10989" s="93">
        <v>0.25</v>
      </c>
      <c r="D10989" s="50">
        <f>VLOOKUP(A10989,'[1]Componentes APUs'!$H$1:$L$25,3,0)</f>
        <v>4</v>
      </c>
      <c r="E10989" s="51">
        <f>VLOOKUP(A10989,'[1]Componentes APUs'!$H$1:$L$25,4,0)</f>
        <v>271142.85714285716</v>
      </c>
      <c r="F10989" s="51">
        <f>VLOOKUP(A10989,'[1]Componentes APUs'!$H$1:$L$25,5,0)</f>
        <v>162685.71428571429</v>
      </c>
      <c r="G10989" s="51">
        <f>ROUNDUP((E10989+F10989)*C10989/E10980,0)</f>
        <v>216915</v>
      </c>
    </row>
    <row r="10990" spans="1:7" x14ac:dyDescent="0.25">
      <c r="A10990" s="50" t="s">
        <v>320</v>
      </c>
      <c r="B10990" s="68" t="str">
        <f>VLOOKUP(A10990,'[1]Componentes APUs'!$H$1:$L$25,2,0)</f>
        <v>Tecnico Supervisor</v>
      </c>
      <c r="C10990" s="93">
        <v>0.25</v>
      </c>
      <c r="D10990" s="50">
        <f>VLOOKUP(A10990,'[1]Componentes APUs'!$H$1:$L$25,3,0)</f>
        <v>2.2999999999999998</v>
      </c>
      <c r="E10990" s="51">
        <f>VLOOKUP(A10990,'[1]Componentes APUs'!$H$1:$L$25,4,0)</f>
        <v>155907.14285714284</v>
      </c>
      <c r="F10990" s="51">
        <f>VLOOKUP(A10990,'[1]Componentes APUs'!$H$1:$L$25,5,0)</f>
        <v>93544.285714285696</v>
      </c>
      <c r="G10990" s="51">
        <f>ROUNDUP((E10990+F10990)*C10990/E10980,0)</f>
        <v>124726</v>
      </c>
    </row>
    <row r="10991" spans="1:7" x14ac:dyDescent="0.25">
      <c r="A10991" s="50" t="s">
        <v>46</v>
      </c>
      <c r="B10991" s="68" t="str">
        <f>VLOOKUP(A10991,'[1]Componentes APUs'!$H$1:$L$25,2,0)</f>
        <v>Tecnico Liniero</v>
      </c>
      <c r="C10991" s="93">
        <v>2</v>
      </c>
      <c r="D10991" s="50">
        <f>VLOOKUP(A10991,'[1]Componentes APUs'!$H$1:$L$25,3,0)</f>
        <v>2</v>
      </c>
      <c r="E10991" s="51">
        <f>VLOOKUP(A10991,'[1]Componentes APUs'!$H$1:$L$25,4,0)</f>
        <v>154619.04761904763</v>
      </c>
      <c r="F10991" s="51">
        <f>VLOOKUP(A10991,'[1]Componentes APUs'!$H$1:$L$25,5,0)</f>
        <v>92771.42857142858</v>
      </c>
      <c r="G10991" s="51">
        <f>ROUNDUP((E10991+F10991)*C10991/E10980,0)</f>
        <v>989562</v>
      </c>
    </row>
    <row r="10992" spans="1:7" x14ac:dyDescent="0.25">
      <c r="A10992" s="50" t="s">
        <v>48</v>
      </c>
      <c r="B10992" s="68" t="str">
        <f>VLOOKUP(A10992,'[1]Componentes APUs'!$H$1:$L$25,2,0)</f>
        <v>Ayudante Calificado</v>
      </c>
      <c r="C10992" s="93">
        <v>1</v>
      </c>
      <c r="D10992" s="50">
        <f>VLOOKUP(A10992,'[1]Componentes APUs'!$H$1:$L$25,3,0)</f>
        <v>1.5</v>
      </c>
      <c r="E10992" s="51">
        <f>VLOOKUP(A10992,'[1]Componentes APUs'!$H$1:$L$25,4,0)</f>
        <v>115964.28571428571</v>
      </c>
      <c r="F10992" s="51">
        <f>VLOOKUP(A10992,'[1]Componentes APUs'!$H$1:$L$25,5,0)</f>
        <v>69578.57142857142</v>
      </c>
      <c r="G10992" s="51">
        <f>ROUNDUP((E10992+F10992)*C10992/E10980,0)</f>
        <v>371086</v>
      </c>
    </row>
    <row r="10993" spans="1:7" x14ac:dyDescent="0.25">
      <c r="A10993" s="50" t="s">
        <v>50</v>
      </c>
      <c r="B10993" s="68" t="str">
        <f>VLOOKUP(A10993,'[1]Componentes APUs'!$H$1:$L$25,2,0)</f>
        <v>Profesional en SST</v>
      </c>
      <c r="C10993" s="93">
        <v>0.25</v>
      </c>
      <c r="D10993" s="50">
        <f>VLOOKUP(A10993,'[1]Componentes APUs'!$H$1:$L$25,3,0)</f>
        <v>2.5</v>
      </c>
      <c r="E10993" s="51">
        <f>VLOOKUP(A10993,'[1]Componentes APUs'!$H$1:$L$25,4,0)</f>
        <v>169464.28571428571</v>
      </c>
      <c r="F10993" s="51">
        <f>VLOOKUP(A10993,'[1]Componentes APUs'!$H$1:$L$25,5,0)</f>
        <v>101678.57142857142</v>
      </c>
      <c r="G10993" s="51">
        <f>ROUNDUP((E10993+F10993)*C10993/E10980,0)</f>
        <v>135572</v>
      </c>
    </row>
    <row r="10994" spans="1:7" x14ac:dyDescent="0.25">
      <c r="A10994" s="50" t="s">
        <v>52</v>
      </c>
      <c r="B10994" s="68" t="str">
        <f>VLOOKUP(A10994,'[1]Componentes APUs'!$H$1:$L$25,2,0)</f>
        <v>Ayudante No Calificado</v>
      </c>
      <c r="C10994" s="93">
        <v>1</v>
      </c>
      <c r="D10994" s="50">
        <f>VLOOKUP(A10994,'[1]Componentes APUs'!$H$1:$L$25,3,0)</f>
        <v>1</v>
      </c>
      <c r="E10994" s="51">
        <f>VLOOKUP(A10994,'[1]Componentes APUs'!$H$1:$L$25,4,0)</f>
        <v>77309.523809523816</v>
      </c>
      <c r="F10994" s="51">
        <f>VLOOKUP(A10994,'[1]Componentes APUs'!$H$1:$L$25,5,0)</f>
        <v>46385.71428571429</v>
      </c>
      <c r="G10994" s="51">
        <f>ROUNDUP((E10994+F10994)*C10994/E10980,0)</f>
        <v>247391</v>
      </c>
    </row>
    <row r="10995" spans="1:7" x14ac:dyDescent="0.25">
      <c r="A10995" s="219" t="s">
        <v>56</v>
      </c>
      <c r="B10995" s="219"/>
      <c r="C10995" s="219"/>
      <c r="D10995" s="219"/>
      <c r="E10995" s="219"/>
      <c r="F10995" s="219"/>
      <c r="G10995" s="52">
        <f>SUM(G10989:G10994)</f>
        <v>2085252</v>
      </c>
    </row>
    <row r="10996" spans="1:7" x14ac:dyDescent="0.25">
      <c r="A10996" s="56"/>
      <c r="B10996" s="57"/>
      <c r="C10996" s="57"/>
      <c r="D10996" s="57"/>
      <c r="E10996" s="57"/>
      <c r="F10996" s="57"/>
      <c r="G10996" s="58"/>
    </row>
    <row r="10997" spans="1:7" x14ac:dyDescent="0.25">
      <c r="A10997" s="219" t="s">
        <v>57</v>
      </c>
      <c r="B10997" s="219"/>
      <c r="C10997" s="219"/>
      <c r="D10997" s="219"/>
      <c r="E10997" s="219"/>
      <c r="F10997" s="219"/>
      <c r="G10997" s="219"/>
    </row>
    <row r="10998" spans="1:7" x14ac:dyDescent="0.25">
      <c r="A10998" s="49" t="s">
        <v>35</v>
      </c>
      <c r="B10998" s="219" t="s">
        <v>36</v>
      </c>
      <c r="C10998" s="219"/>
      <c r="D10998" s="49" t="s">
        <v>37</v>
      </c>
      <c r="E10998" s="49" t="s">
        <v>38</v>
      </c>
      <c r="F10998" s="49" t="s">
        <v>39</v>
      </c>
      <c r="G10998" s="49" t="s">
        <v>40</v>
      </c>
    </row>
    <row r="10999" spans="1:7" x14ac:dyDescent="0.25">
      <c r="A10999" s="50" t="s">
        <v>326</v>
      </c>
      <c r="B10999" s="220" t="str">
        <f>VLOOKUP(A10999,'[1]Componentes APUs'!$S$1:$V$10,2,0)</f>
        <v>Juego Llaves</v>
      </c>
      <c r="C10999" s="220"/>
      <c r="D10999" s="50" t="s">
        <v>18</v>
      </c>
      <c r="E10999" s="50">
        <v>2</v>
      </c>
      <c r="F10999" s="51">
        <f>VLOOKUP(A10999,'[1]Componentes APUs'!$S$1:$V$10,4,0)</f>
        <v>9167</v>
      </c>
      <c r="G10999" s="51">
        <f>ROUNDUP(F10999*((E10999/21)/E10980),0)</f>
        <v>1747</v>
      </c>
    </row>
    <row r="11000" spans="1:7" x14ac:dyDescent="0.25">
      <c r="A11000" s="50" t="s">
        <v>58</v>
      </c>
      <c r="B11000" s="220" t="str">
        <f>VLOOKUP(A11000,'[1]Componentes APUs'!$S$1:$V$10,2,0)</f>
        <v>Manila de servicio</v>
      </c>
      <c r="C11000" s="220"/>
      <c r="D11000" s="50" t="s">
        <v>18</v>
      </c>
      <c r="E11000" s="50">
        <v>2</v>
      </c>
      <c r="F11000" s="51">
        <f>VLOOKUP(A11000,'[1]Componentes APUs'!$S$1:$V$10,4,0)</f>
        <v>2333</v>
      </c>
      <c r="G11000" s="51">
        <f>ROUNDUP(F11000*((E11000/21)/E10980),0)</f>
        <v>445</v>
      </c>
    </row>
    <row r="11001" spans="1:7" x14ac:dyDescent="0.25">
      <c r="A11001" s="50" t="s">
        <v>327</v>
      </c>
      <c r="B11001" s="220" t="str">
        <f>VLOOKUP(A11001,'[1]Componentes APUs'!$S$1:$V$10,2,0)</f>
        <v>Tula portaherramientas</v>
      </c>
      <c r="C11001" s="220"/>
      <c r="D11001" s="50" t="s">
        <v>18</v>
      </c>
      <c r="E11001" s="50">
        <v>2</v>
      </c>
      <c r="F11001" s="51">
        <f>VLOOKUP(A11001,'[1]Componentes APUs'!$S$1:$V$10,4,0)</f>
        <v>1250</v>
      </c>
      <c r="G11001" s="51">
        <f>ROUNDUP(F11001*((E11001/21)/E10980),0)</f>
        <v>239</v>
      </c>
    </row>
    <row r="11002" spans="1:7" x14ac:dyDescent="0.25">
      <c r="A11002" s="50" t="s">
        <v>60</v>
      </c>
      <c r="B11002" s="220" t="str">
        <f>VLOOKUP(A11002,'[1]Componentes APUs'!$S$1:$V$10,2,0)</f>
        <v>Agarradoras</v>
      </c>
      <c r="C11002" s="220"/>
      <c r="D11002" s="50" t="s">
        <v>18</v>
      </c>
      <c r="E11002" s="50">
        <v>0</v>
      </c>
      <c r="F11002" s="51">
        <f>VLOOKUP(A11002,'[1]Componentes APUs'!$S$1:$V$10,4,0)</f>
        <v>125000</v>
      </c>
      <c r="G11002" s="51">
        <f>ROUNDUP(F11002*((E11002/21)/E10980),0)</f>
        <v>0</v>
      </c>
    </row>
    <row r="11003" spans="1:7" x14ac:dyDescent="0.25">
      <c r="A11003" s="50" t="s">
        <v>62</v>
      </c>
      <c r="B11003" s="220" t="str">
        <f>VLOOKUP(A11003,'[1]Componentes APUs'!$S$1:$V$10,2,0)</f>
        <v>Templadoras</v>
      </c>
      <c r="C11003" s="220"/>
      <c r="D11003" s="50" t="s">
        <v>18</v>
      </c>
      <c r="E11003" s="50">
        <v>0</v>
      </c>
      <c r="F11003" s="51">
        <f>VLOOKUP(A11003,'[1]Componentes APUs'!$S$1:$V$10,4,0)</f>
        <v>250000</v>
      </c>
      <c r="G11003" s="51">
        <f>ROUNDUP(F11003*((E11003/21)/E10980),0)</f>
        <v>0</v>
      </c>
    </row>
    <row r="11004" spans="1:7" x14ac:dyDescent="0.25">
      <c r="A11004" s="50" t="s">
        <v>328</v>
      </c>
      <c r="B11004" s="220" t="str">
        <f>VLOOKUP(A11004,'[1]Componentes APUs'!$S$1:$V$10,2,0)</f>
        <v>Herramienta Menor</v>
      </c>
      <c r="C11004" s="220"/>
      <c r="D11004" s="50" t="s">
        <v>18</v>
      </c>
      <c r="E11004" s="50">
        <v>2</v>
      </c>
      <c r="F11004" s="51">
        <f>VLOOKUP(A11004,'[1]Componentes APUs'!$S$1:$V$10,4,0)</f>
        <v>75758</v>
      </c>
      <c r="G11004" s="51">
        <f>ROUNDUP(F11004*((E11004/21)/E10980),0)</f>
        <v>14431</v>
      </c>
    </row>
    <row r="11005" spans="1:7" x14ac:dyDescent="0.25">
      <c r="A11005" s="50" t="s">
        <v>66</v>
      </c>
      <c r="B11005" s="220" t="str">
        <f>VLOOKUP(A11005,'[1]Componentes APUs'!$S$1:$V$10,2,0)</f>
        <v>Diferencial 2 Toneladas</v>
      </c>
      <c r="C11005" s="220"/>
      <c r="D11005" s="50" t="s">
        <v>18</v>
      </c>
      <c r="E11005" s="50">
        <v>1</v>
      </c>
      <c r="F11005" s="51">
        <f>VLOOKUP(A11005,'[1]Componentes APUs'!$S$1:$V$10,4,0)</f>
        <v>474905</v>
      </c>
      <c r="G11005" s="51">
        <f>ROUNDUP(F11005*((E11005/21)/E10980),0)</f>
        <v>45230</v>
      </c>
    </row>
    <row r="11006" spans="1:7" x14ac:dyDescent="0.25">
      <c r="A11006" s="219" t="s">
        <v>69</v>
      </c>
      <c r="B11006" s="219"/>
      <c r="C11006" s="219"/>
      <c r="D11006" s="219"/>
      <c r="E11006" s="219"/>
      <c r="F11006" s="219"/>
      <c r="G11006" s="52">
        <f>SUM(G10999:G11005)</f>
        <v>62092</v>
      </c>
    </row>
    <row r="11007" spans="1:7" x14ac:dyDescent="0.25">
      <c r="A11007" s="56"/>
      <c r="B11007" s="57"/>
      <c r="C11007" s="57"/>
      <c r="D11007" s="57"/>
      <c r="E11007" s="57"/>
      <c r="F11007" s="57"/>
      <c r="G11007" s="58"/>
    </row>
    <row r="11008" spans="1:7" x14ac:dyDescent="0.25">
      <c r="A11008" s="219" t="s">
        <v>70</v>
      </c>
      <c r="B11008" s="219"/>
      <c r="C11008" s="219"/>
      <c r="D11008" s="219"/>
      <c r="E11008" s="219"/>
      <c r="F11008" s="219"/>
      <c r="G11008" s="219"/>
    </row>
    <row r="11009" spans="1:7" x14ac:dyDescent="0.25">
      <c r="A11009" s="49" t="s">
        <v>35</v>
      </c>
      <c r="B11009" s="219" t="s">
        <v>36</v>
      </c>
      <c r="C11009" s="219"/>
      <c r="D11009" s="49" t="s">
        <v>37</v>
      </c>
      <c r="E11009" s="49" t="s">
        <v>38</v>
      </c>
      <c r="F11009" s="49" t="s">
        <v>39</v>
      </c>
      <c r="G11009" s="49" t="s">
        <v>40</v>
      </c>
    </row>
    <row r="11010" spans="1:7" x14ac:dyDescent="0.25">
      <c r="A11010" s="50" t="s">
        <v>71</v>
      </c>
      <c r="B11010" s="71" t="str">
        <f>VLOOKUP(A11010,'[1]Componentes APUs'!$A$1:$D$14,2,0)</f>
        <v>Camisa indigo sin partes metalicas</v>
      </c>
      <c r="C11010" s="71"/>
      <c r="D11010" s="50" t="str">
        <f>VLOOKUP(A11010,'[1]Componentes APUs'!$A$1:$D$14,3,0)</f>
        <v>U</v>
      </c>
      <c r="E11010" s="50">
        <f>SUM(C10989:C10994)</f>
        <v>4.75</v>
      </c>
      <c r="F11010" s="51">
        <f>VLOOKUP(A11010,'[1]Componentes APUs'!$A$1:$D$14,4,0)</f>
        <v>8585.8585858585866</v>
      </c>
      <c r="G11010" s="51">
        <f>ROUNDUP(F11010*(E11010/21)/E10980,0)</f>
        <v>3885</v>
      </c>
    </row>
    <row r="11011" spans="1:7" x14ac:dyDescent="0.25">
      <c r="A11011" s="69" t="s">
        <v>73</v>
      </c>
      <c r="B11011" s="72" t="str">
        <f>VLOOKUP(A11011,'[1]Componentes APUs'!$A$1:$D$14,2,0)</f>
        <v>Bota de seguridad dielectrica</v>
      </c>
      <c r="C11011" s="73"/>
      <c r="D11011" s="70" t="str">
        <f>VLOOKUP(A11011,'[1]Componentes APUs'!$A$1:$D$14,3,0)</f>
        <v>Par</v>
      </c>
      <c r="E11011" s="50">
        <f>SUM(C10989:C10994)</f>
        <v>4.75</v>
      </c>
      <c r="F11011" s="51">
        <f>VLOOKUP(A11011,'[1]Componentes APUs'!$A$1:$D$14,4,0)</f>
        <v>7500</v>
      </c>
      <c r="G11011" s="51">
        <f>ROUNDUP(F11011*(E11011/21)/E10980,0)</f>
        <v>3393</v>
      </c>
    </row>
    <row r="11012" spans="1:7" x14ac:dyDescent="0.25">
      <c r="A11012" s="50" t="s">
        <v>76</v>
      </c>
      <c r="B11012" s="72" t="str">
        <f>VLOOKUP(A11012,'[1]Componentes APUs'!$A$1:$D$14,2,0)</f>
        <v>Casco dielectrico Tipo 1 Clase E con barbuquejo</v>
      </c>
      <c r="C11012" s="73"/>
      <c r="D11012" s="50" t="str">
        <f>VLOOKUP(A11012,'[1]Componentes APUs'!$A$1:$D$14,3,0)</f>
        <v>U</v>
      </c>
      <c r="E11012" s="50">
        <f>C10989+C10990+C10993+C10994+C10992+IF(A10991&lt;&gt;"MO-3",C10991,0)</f>
        <v>2.75</v>
      </c>
      <c r="F11012" s="51">
        <f>VLOOKUP(A11012,'[1]Componentes APUs'!$A$1:$D$14,4,0)</f>
        <v>10101.010101010101</v>
      </c>
      <c r="G11012" s="51">
        <f>ROUNDUP(F11012*(E11012/21)/E10980,0)</f>
        <v>2646</v>
      </c>
    </row>
    <row r="11013" spans="1:7" x14ac:dyDescent="0.25">
      <c r="A11013" s="69" t="s">
        <v>77</v>
      </c>
      <c r="B11013" s="72" t="str">
        <f>VLOOKUP(A11013,'[1]Componentes APUs'!$A$1:$D$14,2,0)</f>
        <v>Correa plastica y antiflama</v>
      </c>
      <c r="C11013" s="73"/>
      <c r="D11013" s="50" t="str">
        <f>VLOOKUP(A11013,'[1]Componentes APUs'!$A$1:$D$14,3,0)</f>
        <v>U</v>
      </c>
      <c r="E11013" s="50">
        <f>SUM(C10989:C10994)</f>
        <v>4.75</v>
      </c>
      <c r="F11013" s="51">
        <f>VLOOKUP(A11013,'[1]Componentes APUs'!$A$1:$D$14,4,0)</f>
        <v>3787.878787878788</v>
      </c>
      <c r="G11013" s="51">
        <f>ROUNDUP(F11013*(E11013/21)/E10980,0)</f>
        <v>1714</v>
      </c>
    </row>
    <row r="11014" spans="1:7" x14ac:dyDescent="0.25">
      <c r="A11014" s="50" t="s">
        <v>79</v>
      </c>
      <c r="B11014" s="72" t="str">
        <f>VLOOKUP(A11014,'[1]Componentes APUs'!$A$1:$D$14,2,0)</f>
        <v>Gafas protectoras filtro UV</v>
      </c>
      <c r="C11014" s="73"/>
      <c r="D11014" s="50" t="str">
        <f>VLOOKUP(A11014,'[1]Componentes APUs'!$A$1:$D$14,3,0)</f>
        <v>U</v>
      </c>
      <c r="E11014" s="50">
        <f>SUM(C10989:C10994)</f>
        <v>4.75</v>
      </c>
      <c r="F11014" s="51">
        <f>VLOOKUP(A11014,'[1]Componentes APUs'!$A$1:$D$14,4,0)</f>
        <v>2777.7777777777778</v>
      </c>
      <c r="G11014" s="51">
        <f>ROUNDUP(F11014*(E11014/21)/E10980,0)</f>
        <v>1257</v>
      </c>
    </row>
    <row r="11015" spans="1:7" x14ac:dyDescent="0.25">
      <c r="A11015" s="69" t="s">
        <v>402</v>
      </c>
      <c r="B11015" s="72" t="str">
        <f>VLOOKUP(A11015,'[1]Componentes APUs'!$A$1:$D$14,2,0)</f>
        <v>Bota de seguridad PVC dielectrica</v>
      </c>
      <c r="C11015" s="73"/>
      <c r="D11015" s="50" t="str">
        <f>VLOOKUP(A11015,'[1]Componentes APUs'!$A$1:$D$14,3,0)</f>
        <v>Par</v>
      </c>
      <c r="E11015" s="50">
        <f>SUM(C10989:C10994)</f>
        <v>4.75</v>
      </c>
      <c r="F11015" s="51">
        <f>VLOOKUP(A11015,'[1]Componentes APUs'!$A$1:$D$14,4,0)</f>
        <v>2916.6666666666665</v>
      </c>
      <c r="G11015" s="51">
        <f>ROUNDUP(F11015*(E11015/21)/E10980,0)</f>
        <v>1320</v>
      </c>
    </row>
    <row r="11016" spans="1:7" x14ac:dyDescent="0.25">
      <c r="A11016" s="50" t="s">
        <v>403</v>
      </c>
      <c r="B11016" s="72" t="str">
        <f>VLOOKUP(A11016,'[1]Componentes APUs'!$A$1:$D$14,2,0)</f>
        <v>Capuchon</v>
      </c>
      <c r="C11016" s="73"/>
      <c r="D11016" s="50" t="str">
        <f>VLOOKUP(A11016,'[1]Componentes APUs'!$A$1:$D$14,3,0)</f>
        <v>U</v>
      </c>
      <c r="E11016" s="50">
        <f>SUM(C10989:C10994)</f>
        <v>4.75</v>
      </c>
      <c r="F11016" s="51">
        <f>VLOOKUP(A11016,'[1]Componentes APUs'!$A$1:$D$14,4,0)</f>
        <v>2525.2525252525252</v>
      </c>
      <c r="G11016" s="51">
        <f>ROUNDUP(F11016*(E11016/21)/E10980,0)</f>
        <v>1143</v>
      </c>
    </row>
    <row r="11017" spans="1:7" x14ac:dyDescent="0.25">
      <c r="A11017" s="69" t="s">
        <v>81</v>
      </c>
      <c r="B11017" s="72" t="str">
        <f>VLOOKUP(A11017,'[1]Componentes APUs'!$A$1:$D$14,2,0)</f>
        <v>Guantes Protectores  - ingeniero reforzados</v>
      </c>
      <c r="C11017" s="73"/>
      <c r="D11017" s="50" t="str">
        <f>VLOOKUP(A11017,'[1]Componentes APUs'!$A$1:$D$14,3,0)</f>
        <v>Par</v>
      </c>
      <c r="E11017" s="50">
        <f>C10991+C10992+C10994</f>
        <v>4</v>
      </c>
      <c r="F11017" s="51">
        <f>VLOOKUP(A11017,'[1]Componentes APUs'!$A$1:$D$14,4,0)</f>
        <v>2525.2525252525252</v>
      </c>
      <c r="G11017" s="51">
        <f>ROUNDUP(F11017*(E11017/21)/E10980,0)</f>
        <v>963</v>
      </c>
    </row>
    <row r="11018" spans="1:7" x14ac:dyDescent="0.25">
      <c r="A11018" s="50" t="s">
        <v>83</v>
      </c>
      <c r="B11018" s="72" t="str">
        <f>VLOOKUP(A11018,'[1]Componentes APUs'!$A$1:$D$14,2,0)</f>
        <v>Impermeable (pantalon camisa)</v>
      </c>
      <c r="C11018" s="73"/>
      <c r="D11018" s="50" t="str">
        <f>VLOOKUP(A11018,'[1]Componentes APUs'!$A$1:$D$14,3,0)</f>
        <v>U</v>
      </c>
      <c r="E11018" s="50">
        <f>SUM(C10989:C10994)</f>
        <v>4.75</v>
      </c>
      <c r="F11018" s="51">
        <f>VLOOKUP(A11018,'[1]Componentes APUs'!$A$1:$D$14,4,0)</f>
        <v>3750</v>
      </c>
      <c r="G11018" s="51">
        <f>ROUNDUP(F11018*(E11018/21)/E10980,0)</f>
        <v>1697</v>
      </c>
    </row>
    <row r="11019" spans="1:7" x14ac:dyDescent="0.25">
      <c r="A11019" s="69" t="s">
        <v>85</v>
      </c>
      <c r="B11019" s="72" t="str">
        <f>VLOOKUP(A11019,'[1]Componentes APUs'!$A$1:$D$14,2,0)</f>
        <v>Jean Dielectrico</v>
      </c>
      <c r="C11019" s="73"/>
      <c r="D11019" s="50" t="str">
        <f>VLOOKUP(A11019,'[1]Componentes APUs'!$A$1:$D$14,3,0)</f>
        <v>U</v>
      </c>
      <c r="E11019" s="50">
        <f>SUM(C10989:C10994)</f>
        <v>4.75</v>
      </c>
      <c r="F11019" s="51">
        <f>VLOOKUP(A11019,'[1]Componentes APUs'!$A$1:$D$14,4,0)</f>
        <v>7575.757575757576</v>
      </c>
      <c r="G11019" s="51">
        <f>ROUNDUP(F11019*(E11019/21)/E10980,0)</f>
        <v>3428</v>
      </c>
    </row>
    <row r="11020" spans="1:7" x14ac:dyDescent="0.25">
      <c r="A11020" s="50" t="s">
        <v>87</v>
      </c>
      <c r="B11020" s="72" t="str">
        <f>VLOOKUP(A11020,'[1]Componentes APUs'!$A$1:$D$14,2,0)</f>
        <v>Casco dielectrico Tipo 2 Clase E con barboquejo</v>
      </c>
      <c r="C11020" s="73"/>
      <c r="D11020" s="50" t="str">
        <f>VLOOKUP(A11020,'[1]Componentes APUs'!$A$1:$D$14,3,0)</f>
        <v>U</v>
      </c>
      <c r="E11020" s="53">
        <f>IF(A10991="MO-3",C10991,0)</f>
        <v>2</v>
      </c>
      <c r="F11020" s="51">
        <f>VLOOKUP(A11020,'[1]Componentes APUs'!$A$1:$D$14,4,0)</f>
        <v>7500</v>
      </c>
      <c r="G11020" s="51">
        <f>ROUNDUP(F11020*(E11020/21)/E10980,0)</f>
        <v>1429</v>
      </c>
    </row>
    <row r="11021" spans="1:7" x14ac:dyDescent="0.25">
      <c r="A11021" s="69" t="s">
        <v>89</v>
      </c>
      <c r="B11021" s="72" t="str">
        <f>VLOOKUP(A11021,'[1]Componentes APUs'!$A$1:$D$14,2,0)</f>
        <v>Kit de rescate para trabajo en alturas</v>
      </c>
      <c r="C11021" s="73"/>
      <c r="D11021" s="50" t="str">
        <f>VLOOKUP(A11021,'[1]Componentes APUs'!$A$1:$D$14,3,0)</f>
        <v>U</v>
      </c>
      <c r="E11021" s="50">
        <f>IF(AND(A10991="MO-3",C10991=2),1,0)</f>
        <v>1</v>
      </c>
      <c r="F11021" s="51">
        <f>VLOOKUP(A11021,'[1]Componentes APUs'!$A$1:$D$14,4,0)</f>
        <v>37500</v>
      </c>
      <c r="G11021" s="51">
        <f>ROUNDUP(F11021*(E11021/21)/E10980,0)</f>
        <v>3572</v>
      </c>
    </row>
    <row r="11022" spans="1:7" x14ac:dyDescent="0.25">
      <c r="A11022" s="50" t="s">
        <v>91</v>
      </c>
      <c r="B11022" s="72" t="str">
        <f>VLOOKUP(A11022,'[1]Componentes APUs'!$A$1:$D$14,2,0)</f>
        <v>Equipo completo para trabajo en alturas con pretales (Arnes dielectrico, 1 mosqueton de seguridad, tie off dielectrico, eslinga de posicionamiento, juego de pretales)</v>
      </c>
      <c r="C11022" s="73"/>
      <c r="D11022" s="50" t="str">
        <f>VLOOKUP(A11022,'[1]Componentes APUs'!$A$1:$D$14,3,0)</f>
        <v>U</v>
      </c>
      <c r="E11022" s="50">
        <f>IF(A10991="MO-3",C10991,0)</f>
        <v>2</v>
      </c>
      <c r="F11022" s="51">
        <f>VLOOKUP(A11022,'[1]Componentes APUs'!$A$1:$D$14,4,0)</f>
        <v>26041.666666666668</v>
      </c>
      <c r="G11022" s="51">
        <f>ROUNDUP(F11022*(E11022/21)/E10980,0)</f>
        <v>4961</v>
      </c>
    </row>
    <row r="11023" spans="1:7" x14ac:dyDescent="0.25">
      <c r="A11023" s="219" t="s">
        <v>95</v>
      </c>
      <c r="B11023" s="219"/>
      <c r="C11023" s="219"/>
      <c r="D11023" s="219"/>
      <c r="E11023" s="219"/>
      <c r="F11023" s="219"/>
      <c r="G11023" s="52">
        <f>SUM(G11010:G11022)</f>
        <v>31408</v>
      </c>
    </row>
    <row r="11024" spans="1:7" x14ac:dyDescent="0.25">
      <c r="A11024" s="56"/>
      <c r="B11024" s="57"/>
      <c r="C11024" s="57"/>
      <c r="D11024" s="57"/>
      <c r="E11024" s="57"/>
      <c r="F11024" s="57"/>
      <c r="G11024" s="58"/>
    </row>
    <row r="11025" spans="1:7" x14ac:dyDescent="0.25">
      <c r="A11025" s="219" t="s">
        <v>96</v>
      </c>
      <c r="B11025" s="219"/>
      <c r="C11025" s="219"/>
      <c r="D11025" s="219"/>
      <c r="E11025" s="219"/>
      <c r="F11025" s="219"/>
      <c r="G11025" s="219"/>
    </row>
    <row r="11026" spans="1:7" x14ac:dyDescent="0.25">
      <c r="A11026" s="49" t="s">
        <v>35</v>
      </c>
      <c r="B11026" s="225" t="s">
        <v>36</v>
      </c>
      <c r="C11026" s="225"/>
      <c r="D11026" s="49" t="s">
        <v>37</v>
      </c>
      <c r="E11026" s="49" t="s">
        <v>38</v>
      </c>
      <c r="F11026" s="49" t="s">
        <v>39</v>
      </c>
      <c r="G11026" s="49" t="s">
        <v>40</v>
      </c>
    </row>
    <row r="11027" spans="1:7" x14ac:dyDescent="0.25">
      <c r="A11027" s="69" t="s">
        <v>97</v>
      </c>
      <c r="B11027" s="72" t="str">
        <f>VLOOKUP(A11027,'[1]Componentes APUs'!$N$1:$Q$30,2,0)</f>
        <v>Camioneta</v>
      </c>
      <c r="C11027" s="73"/>
      <c r="D11027" s="70" t="str">
        <f>VLOOKUP(A11027,'[1]Componentes APUs'!$N$1:$Q$30,3,0)</f>
        <v>U</v>
      </c>
      <c r="E11027" s="50">
        <v>1</v>
      </c>
      <c r="F11027" s="51">
        <f>VLOOKUP(A11027,'[1]Componentes APUs'!$N$1:$Q$30,4,0)</f>
        <v>5500000</v>
      </c>
      <c r="G11027" s="51">
        <f>IFERROR(ROUNDUP(F11027*(E11027/21)/E10980,0),"-")</f>
        <v>523810</v>
      </c>
    </row>
    <row r="11028" spans="1:7" x14ac:dyDescent="0.25">
      <c r="A11028" s="50" t="s">
        <v>321</v>
      </c>
      <c r="B11028" s="72" t="str">
        <f>VLOOKUP(A11028,'[1]Componentes APUs'!$N$1:$Q$30,2,0)</f>
        <v>Grúa Hidráulica</v>
      </c>
      <c r="C11028" s="73"/>
      <c r="D11028" s="70" t="str">
        <f>VLOOKUP(A11028,'[1]Componentes APUs'!$N$1:$Q$30,3,0)</f>
        <v>U</v>
      </c>
      <c r="E11028" s="50">
        <v>0</v>
      </c>
      <c r="F11028" s="51">
        <f>VLOOKUP(A11028,'[1]Componentes APUs'!$N$1:$Q$30,4,0)</f>
        <v>21000000</v>
      </c>
      <c r="G11028" s="51">
        <f>IFERROR(ROUNDUP(F11028*(E11028/21)/E10980,0),"-")</f>
        <v>0</v>
      </c>
    </row>
    <row r="11029" spans="1:7" x14ac:dyDescent="0.25">
      <c r="A11029" s="69" t="s">
        <v>322</v>
      </c>
      <c r="B11029" s="72" t="str">
        <f>VLOOKUP(A11029,'[1]Componentes APUs'!$N$1:$Q$30,2,0)</f>
        <v>Camabaja</v>
      </c>
      <c r="C11029" s="73"/>
      <c r="D11029" s="70" t="str">
        <f>VLOOKUP(A11029,'[1]Componentes APUs'!$N$1:$Q$30,3,0)</f>
        <v>TON/KM</v>
      </c>
      <c r="E11029" s="50">
        <v>0</v>
      </c>
      <c r="F11029" s="51">
        <f>VLOOKUP(A11029,'[1]Componentes APUs'!$N$1:$Q$30,4,0)</f>
        <v>611</v>
      </c>
      <c r="G11029" s="51">
        <f>IFERROR(ROUNDUP(F11029*(E11029/21)/E10980,0),"-")</f>
        <v>0</v>
      </c>
    </row>
    <row r="11030" spans="1:7" x14ac:dyDescent="0.25">
      <c r="A11030" s="219" t="s">
        <v>99</v>
      </c>
      <c r="B11030" s="219"/>
      <c r="C11030" s="219"/>
      <c r="D11030" s="219"/>
      <c r="E11030" s="219"/>
      <c r="F11030" s="219"/>
      <c r="G11030" s="52">
        <f>SUM(G11027:G11029)</f>
        <v>523810</v>
      </c>
    </row>
    <row r="11031" spans="1:7" x14ac:dyDescent="0.25">
      <c r="A11031" s="56"/>
      <c r="B11031" s="57"/>
      <c r="C11031" s="57"/>
      <c r="D11031" s="57"/>
      <c r="E11031" s="57"/>
      <c r="F11031" s="57"/>
      <c r="G11031" s="58"/>
    </row>
    <row r="11032" spans="1:7" x14ac:dyDescent="0.25">
      <c r="A11032" s="219" t="s">
        <v>1516</v>
      </c>
      <c r="B11032" s="219"/>
      <c r="C11032" s="219"/>
      <c r="D11032" s="219"/>
      <c r="E11032" s="219"/>
      <c r="F11032" s="219"/>
      <c r="G11032" s="52">
        <f>G11030+G11023+G11006+G10995+G10985</f>
        <v>159336312</v>
      </c>
    </row>
    <row r="11033" spans="1:7" x14ac:dyDescent="0.25">
      <c r="A11033" s="59"/>
      <c r="B11033" s="60"/>
      <c r="C11033" s="60"/>
      <c r="D11033" s="60"/>
      <c r="E11033" s="57"/>
      <c r="F11033" s="57"/>
      <c r="G11033" s="58"/>
    </row>
    <row r="11034" spans="1:7" x14ac:dyDescent="0.25">
      <c r="A11034" s="64"/>
      <c r="D11034" s="55"/>
      <c r="E11034" s="49" t="s">
        <v>25</v>
      </c>
      <c r="F11034" s="54">
        <v>0.15</v>
      </c>
      <c r="G11034" s="51">
        <f>G11032*F11034</f>
        <v>23900446.800000001</v>
      </c>
    </row>
    <row r="11035" spans="1:7" x14ac:dyDescent="0.25">
      <c r="A11035" s="64"/>
      <c r="D11035" s="55"/>
      <c r="E11035" s="49" t="s">
        <v>26</v>
      </c>
      <c r="F11035" s="54">
        <v>0.05</v>
      </c>
      <c r="G11035" s="51">
        <f>G11032*F11035</f>
        <v>7966815.6000000006</v>
      </c>
    </row>
    <row r="11036" spans="1:7" x14ac:dyDescent="0.25">
      <c r="A11036" s="61"/>
      <c r="B11036" s="65"/>
      <c r="C11036" s="65"/>
      <c r="D11036" s="62"/>
      <c r="E11036" s="49" t="s">
        <v>27</v>
      </c>
      <c r="F11036" s="54">
        <v>0.05</v>
      </c>
      <c r="G11036" s="51">
        <f>G11032*F11036</f>
        <v>7966815.6000000006</v>
      </c>
    </row>
    <row r="11037" spans="1:7" x14ac:dyDescent="0.25">
      <c r="A11037" s="61"/>
      <c r="B11037" s="62"/>
      <c r="C11037" s="62"/>
      <c r="D11037" s="62"/>
      <c r="E11037" s="62"/>
      <c r="F11037" s="62"/>
      <c r="G11037" s="63"/>
    </row>
    <row r="11038" spans="1:7" x14ac:dyDescent="0.25">
      <c r="A11038" s="219" t="s">
        <v>1517</v>
      </c>
      <c r="B11038" s="219"/>
      <c r="C11038" s="219"/>
      <c r="D11038" s="219"/>
      <c r="E11038" s="219"/>
      <c r="F11038" s="219"/>
      <c r="G11038" s="52">
        <f>G11032+G11034+G11035+G11036</f>
        <v>199170390</v>
      </c>
    </row>
    <row r="11039" spans="1:7" x14ac:dyDescent="0.25">
      <c r="A11039" s="59"/>
      <c r="B11039" s="60"/>
      <c r="C11039" s="60"/>
      <c r="D11039" s="60"/>
      <c r="E11039" s="57"/>
      <c r="F11039" s="57"/>
      <c r="G11039" s="58"/>
    </row>
    <row r="11040" spans="1:7" x14ac:dyDescent="0.25">
      <c r="A11040" s="64"/>
      <c r="D11040" s="55"/>
      <c r="E11040" s="49" t="s">
        <v>102</v>
      </c>
      <c r="F11040" s="49" t="s">
        <v>103</v>
      </c>
      <c r="G11040" s="51">
        <f>G11036*19%</f>
        <v>1513694.9640000002</v>
      </c>
    </row>
    <row r="11041" spans="1:7" x14ac:dyDescent="0.25">
      <c r="A11041" s="61"/>
      <c r="B11041" s="62"/>
      <c r="C11041" s="62"/>
      <c r="D11041" s="62"/>
      <c r="E11041" s="57"/>
      <c r="F11041" s="57"/>
      <c r="G11041" s="58"/>
    </row>
    <row r="11042" spans="1:7" x14ac:dyDescent="0.25">
      <c r="A11042" s="219" t="s">
        <v>104</v>
      </c>
      <c r="B11042" s="219"/>
      <c r="C11042" s="219"/>
      <c r="D11042" s="219"/>
      <c r="E11042" s="219"/>
      <c r="F11042" s="219"/>
      <c r="G11042" s="52">
        <f>G11040+G11038</f>
        <v>200684084.96399999</v>
      </c>
    </row>
    <row r="11044" spans="1:7" x14ac:dyDescent="0.25">
      <c r="A11044" s="74" t="s">
        <v>29</v>
      </c>
      <c r="B11044" s="226" t="s">
        <v>30</v>
      </c>
      <c r="C11044" s="226"/>
      <c r="D11044" s="74" t="s">
        <v>31</v>
      </c>
      <c r="E11044" s="74" t="s">
        <v>32</v>
      </c>
      <c r="F11044" s="74" t="s">
        <v>189</v>
      </c>
      <c r="G11044" s="74" t="s">
        <v>33</v>
      </c>
    </row>
    <row r="11045" spans="1:7" ht="87.75" customHeight="1" x14ac:dyDescent="0.25">
      <c r="A11045" s="50" t="str">
        <f>Presupuesto!B201</f>
        <v>012_N3</v>
      </c>
      <c r="B11045" s="220" t="str">
        <f>Presupuesto!C201</f>
        <v>INTEGRACIÓN DE RECONECTADOR MEDIANTE EL SISTEMA SCADA AL CENTRO DE CONTROL DE ELECTROHUILA (VISUALIZACIÓN EN PANTALLA, MONITOREO DE VARIABLES Y OPERACIÓN EN TIEMPO REAL) Y AL OMS (REGISTROS DE APERTURAS Y CIERRES CON ESTAMPA DE TIEMPO REAL). INCLUYE LICENCIAMIENTO DE PROTOCOLOS Y PUNTOS A INTEGRAR AL SCADA, PARAMETRIZACIÓN Y AJUSTES DEL CONTROL, PRUEBAS DEL SISTEMA EN TERRENO, DESDE CENTRO DE CONTROL, OMS, Y PUESTA EN SERVICIO</v>
      </c>
      <c r="C11045" s="220"/>
      <c r="D11045" s="50" t="s">
        <v>18</v>
      </c>
      <c r="E11045" s="50">
        <v>1</v>
      </c>
      <c r="F11045" s="50"/>
      <c r="G11045" s="51">
        <f>G11109</f>
        <v>10807816.101500001</v>
      </c>
    </row>
    <row r="11046" spans="1:7" x14ac:dyDescent="0.25">
      <c r="A11046" s="234" t="s">
        <v>34</v>
      </c>
      <c r="B11046" s="236"/>
      <c r="C11046" s="236"/>
      <c r="D11046" s="236"/>
      <c r="E11046" s="236"/>
      <c r="F11046" s="236"/>
      <c r="G11046" s="235"/>
    </row>
    <row r="11047" spans="1:7" x14ac:dyDescent="0.25">
      <c r="A11047" s="49" t="s">
        <v>35</v>
      </c>
      <c r="B11047" s="234" t="s">
        <v>36</v>
      </c>
      <c r="C11047" s="235"/>
      <c r="D11047" s="49" t="s">
        <v>37</v>
      </c>
      <c r="E11047" s="49" t="s">
        <v>38</v>
      </c>
      <c r="F11047" s="49" t="s">
        <v>39</v>
      </c>
      <c r="G11047" s="49" t="s">
        <v>40</v>
      </c>
    </row>
    <row r="11048" spans="1:7" ht="26.25" customHeight="1" x14ac:dyDescent="0.25">
      <c r="A11048" s="17" t="str">
        <f>Material!A541</f>
        <v>MA-540</v>
      </c>
      <c r="B11048" s="221" t="str">
        <f>IFERROR(VLOOKUP(A11048,Material!$A:$J,2,0),"-")</f>
        <v>INTEGRACIÓN DE RECONECTADOR MEDIANTE EL SISTEMA SCADA AL CENTRO DE CONTROL</v>
      </c>
      <c r="C11048" s="222"/>
      <c r="D11048" s="50" t="str">
        <f>IFERROR(VLOOKUP(A11048,Material!$A:$J,4,0),"-")</f>
        <v>UN</v>
      </c>
      <c r="E11048" s="50">
        <v>1</v>
      </c>
      <c r="F11048" s="51">
        <f>IFERROR(VLOOKUP(A11048,Material!$A:$J,3,0),"-")</f>
        <v>8400000</v>
      </c>
      <c r="G11048" s="51">
        <f t="shared" ref="G11048:G11049" si="154">IFERROR(ROUNDUP(F11048*E11048,0),"-")</f>
        <v>8400000</v>
      </c>
    </row>
    <row r="11049" spans="1:7" x14ac:dyDescent="0.25">
      <c r="A11049" s="17"/>
      <c r="B11049" s="72" t="str">
        <f>IFERROR(VLOOKUP(A11049,Material!$A:$J,2,0),"-")</f>
        <v>-</v>
      </c>
      <c r="C11049" s="73"/>
      <c r="D11049" s="50" t="str">
        <f>IFERROR(VLOOKUP(A11049,Material!$A:$J,4,0),"-")</f>
        <v>-</v>
      </c>
      <c r="E11049" s="50"/>
      <c r="F11049" s="51" t="str">
        <f>IFERROR(VLOOKUP(A11049,Material!$A:$J,3,0),"-")</f>
        <v>-</v>
      </c>
      <c r="G11049" s="51" t="str">
        <f t="shared" si="154"/>
        <v>-</v>
      </c>
    </row>
    <row r="11050" spans="1:7" x14ac:dyDescent="0.25">
      <c r="A11050" s="234" t="s">
        <v>41</v>
      </c>
      <c r="B11050" s="236"/>
      <c r="C11050" s="236"/>
      <c r="D11050" s="236"/>
      <c r="E11050" s="236"/>
      <c r="F11050" s="235"/>
      <c r="G11050" s="52">
        <f>SUM(G11048:G11049)</f>
        <v>8400000</v>
      </c>
    </row>
    <row r="11051" spans="1:7" x14ac:dyDescent="0.25">
      <c r="A11051" s="56"/>
      <c r="B11051" s="57"/>
      <c r="C11051" s="57"/>
      <c r="D11051" s="57"/>
      <c r="E11051" s="57"/>
      <c r="F11051" s="57"/>
      <c r="G11051" s="58"/>
    </row>
    <row r="11052" spans="1:7" x14ac:dyDescent="0.25">
      <c r="A11052" s="219" t="s">
        <v>42</v>
      </c>
      <c r="B11052" s="219"/>
      <c r="C11052" s="219"/>
      <c r="D11052" s="219"/>
      <c r="E11052" s="219"/>
      <c r="F11052" s="219"/>
      <c r="G11052" s="219"/>
    </row>
    <row r="11053" spans="1:7" x14ac:dyDescent="0.25">
      <c r="A11053" s="49" t="s">
        <v>35</v>
      </c>
      <c r="B11053" s="49" t="s">
        <v>36</v>
      </c>
      <c r="C11053" s="49" t="s">
        <v>38</v>
      </c>
      <c r="D11053" s="49" t="s">
        <v>43</v>
      </c>
      <c r="E11053" s="49" t="s">
        <v>44</v>
      </c>
      <c r="F11053" s="49" t="s">
        <v>45</v>
      </c>
      <c r="G11053" s="49" t="s">
        <v>40</v>
      </c>
    </row>
    <row r="11054" spans="1:7" x14ac:dyDescent="0.25">
      <c r="A11054" s="50" t="s">
        <v>319</v>
      </c>
      <c r="B11054" s="68" t="str">
        <f>VLOOKUP(A11054,'[1]Componentes APUs'!$H$1:$L$25,2,0)</f>
        <v>Ingeniero Residente de Obra</v>
      </c>
      <c r="C11054" s="93">
        <v>0.25</v>
      </c>
      <c r="D11054" s="50">
        <f>VLOOKUP(A11054,'[1]Componentes APUs'!$H$1:$L$25,3,0)</f>
        <v>4</v>
      </c>
      <c r="E11054" s="51">
        <f>VLOOKUP(A11054,'[1]Componentes APUs'!$H$1:$L$25,4,0)</f>
        <v>271142.85714285716</v>
      </c>
      <c r="F11054" s="51">
        <f>VLOOKUP(A11054,'[1]Componentes APUs'!$H$1:$L$25,5,0)</f>
        <v>162685.71428571429</v>
      </c>
      <c r="G11054" s="51">
        <f>ROUNDUP((E11054+F11054)*C11054/E11045,0)</f>
        <v>108458</v>
      </c>
    </row>
    <row r="11055" spans="1:7" x14ac:dyDescent="0.25">
      <c r="A11055" s="50" t="s">
        <v>320</v>
      </c>
      <c r="B11055" s="68" t="str">
        <f>VLOOKUP(A11055,'[1]Componentes APUs'!$H$1:$L$25,2,0)</f>
        <v>Tecnico Supervisor</v>
      </c>
      <c r="C11055" s="93">
        <v>0</v>
      </c>
      <c r="D11055" s="50">
        <f>VLOOKUP(A11055,'[1]Componentes APUs'!$H$1:$L$25,3,0)</f>
        <v>2.2999999999999998</v>
      </c>
      <c r="E11055" s="51">
        <f>VLOOKUP(A11055,'[1]Componentes APUs'!$H$1:$L$25,4,0)</f>
        <v>155907.14285714284</v>
      </c>
      <c r="F11055" s="51">
        <f>VLOOKUP(A11055,'[1]Componentes APUs'!$H$1:$L$25,5,0)</f>
        <v>93544.285714285696</v>
      </c>
      <c r="G11055" s="51">
        <f>ROUNDUP((E11055+F11055)*C11055/E11045,0)</f>
        <v>0</v>
      </c>
    </row>
    <row r="11056" spans="1:7" x14ac:dyDescent="0.25">
      <c r="A11056" s="50" t="s">
        <v>46</v>
      </c>
      <c r="B11056" s="68" t="str">
        <f>VLOOKUP(A11056,'[1]Componentes APUs'!$H$1:$L$25,2,0)</f>
        <v>Tecnico Liniero</v>
      </c>
      <c r="C11056" s="93">
        <v>0</v>
      </c>
      <c r="D11056" s="50">
        <f>VLOOKUP(A11056,'[1]Componentes APUs'!$H$1:$L$25,3,0)</f>
        <v>2</v>
      </c>
      <c r="E11056" s="51">
        <f>VLOOKUP(A11056,'[1]Componentes APUs'!$H$1:$L$25,4,0)</f>
        <v>154619.04761904763</v>
      </c>
      <c r="F11056" s="51">
        <f>VLOOKUP(A11056,'[1]Componentes APUs'!$H$1:$L$25,5,0)</f>
        <v>92771.42857142858</v>
      </c>
      <c r="G11056" s="51">
        <f>ROUNDUP((E11056+F11056)*C11056/E11045,0)</f>
        <v>0</v>
      </c>
    </row>
    <row r="11057" spans="1:7" x14ac:dyDescent="0.25">
      <c r="A11057" s="50" t="s">
        <v>48</v>
      </c>
      <c r="B11057" s="68" t="str">
        <f>VLOOKUP(A11057,'[1]Componentes APUs'!$H$1:$L$25,2,0)</f>
        <v>Ayudante Calificado</v>
      </c>
      <c r="C11057" s="93">
        <v>0</v>
      </c>
      <c r="D11057" s="50">
        <f>VLOOKUP(A11057,'[1]Componentes APUs'!$H$1:$L$25,3,0)</f>
        <v>1.5</v>
      </c>
      <c r="E11057" s="51">
        <f>VLOOKUP(A11057,'[1]Componentes APUs'!$H$1:$L$25,4,0)</f>
        <v>115964.28571428571</v>
      </c>
      <c r="F11057" s="51">
        <f>VLOOKUP(A11057,'[1]Componentes APUs'!$H$1:$L$25,5,0)</f>
        <v>69578.57142857142</v>
      </c>
      <c r="G11057" s="51">
        <f>ROUNDUP((E11057+F11057)*C11057/E11045,0)</f>
        <v>0</v>
      </c>
    </row>
    <row r="11058" spans="1:7" x14ac:dyDescent="0.25">
      <c r="A11058" s="50" t="s">
        <v>50</v>
      </c>
      <c r="B11058" s="68" t="str">
        <f>VLOOKUP(A11058,'[1]Componentes APUs'!$H$1:$L$25,2,0)</f>
        <v>Profesional en SST</v>
      </c>
      <c r="C11058" s="93">
        <v>0.25</v>
      </c>
      <c r="D11058" s="50">
        <f>VLOOKUP(A11058,'[1]Componentes APUs'!$H$1:$L$25,3,0)</f>
        <v>2.5</v>
      </c>
      <c r="E11058" s="51">
        <f>VLOOKUP(A11058,'[1]Componentes APUs'!$H$1:$L$25,4,0)</f>
        <v>169464.28571428571</v>
      </c>
      <c r="F11058" s="51">
        <f>VLOOKUP(A11058,'[1]Componentes APUs'!$H$1:$L$25,5,0)</f>
        <v>101678.57142857142</v>
      </c>
      <c r="G11058" s="51">
        <f>ROUNDUP((E11058+F11058)*C11058/E11045,0)</f>
        <v>67786</v>
      </c>
    </row>
    <row r="11059" spans="1:7" x14ac:dyDescent="0.25">
      <c r="A11059" s="50" t="s">
        <v>52</v>
      </c>
      <c r="B11059" s="68" t="str">
        <f>VLOOKUP(A11059,'[1]Componentes APUs'!$H$1:$L$25,2,0)</f>
        <v>Ayudante No Calificado</v>
      </c>
      <c r="C11059" s="93">
        <v>0</v>
      </c>
      <c r="D11059" s="50">
        <f>VLOOKUP(A11059,'[1]Componentes APUs'!$H$1:$L$25,3,0)</f>
        <v>1</v>
      </c>
      <c r="E11059" s="51">
        <f>VLOOKUP(A11059,'[1]Componentes APUs'!$H$1:$L$25,4,0)</f>
        <v>77309.523809523816</v>
      </c>
      <c r="F11059" s="51">
        <f>VLOOKUP(A11059,'[1]Componentes APUs'!$H$1:$L$25,5,0)</f>
        <v>46385.71428571429</v>
      </c>
      <c r="G11059" s="51">
        <f>ROUNDUP((E11059+F11059)*C11059/E11045,0)</f>
        <v>0</v>
      </c>
    </row>
    <row r="11060" spans="1:7" x14ac:dyDescent="0.25">
      <c r="A11060" s="219" t="s">
        <v>56</v>
      </c>
      <c r="B11060" s="219"/>
      <c r="C11060" s="219"/>
      <c r="D11060" s="219"/>
      <c r="E11060" s="219"/>
      <c r="F11060" s="219"/>
      <c r="G11060" s="52">
        <f>SUM(G11054:G11059)</f>
        <v>176244</v>
      </c>
    </row>
    <row r="11061" spans="1:7" x14ac:dyDescent="0.25">
      <c r="A11061" s="56"/>
      <c r="B11061" s="57"/>
      <c r="C11061" s="57"/>
      <c r="D11061" s="57"/>
      <c r="E11061" s="57"/>
      <c r="F11061" s="57"/>
      <c r="G11061" s="58"/>
    </row>
    <row r="11062" spans="1:7" x14ac:dyDescent="0.25">
      <c r="A11062" s="219" t="s">
        <v>57</v>
      </c>
      <c r="B11062" s="219"/>
      <c r="C11062" s="219"/>
      <c r="D11062" s="219"/>
      <c r="E11062" s="219"/>
      <c r="F11062" s="219"/>
      <c r="G11062" s="219"/>
    </row>
    <row r="11063" spans="1:7" x14ac:dyDescent="0.25">
      <c r="A11063" s="49" t="s">
        <v>35</v>
      </c>
      <c r="B11063" s="219" t="s">
        <v>36</v>
      </c>
      <c r="C11063" s="219"/>
      <c r="D11063" s="49" t="s">
        <v>37</v>
      </c>
      <c r="E11063" s="49" t="s">
        <v>38</v>
      </c>
      <c r="F11063" s="49" t="s">
        <v>39</v>
      </c>
      <c r="G11063" s="49" t="s">
        <v>40</v>
      </c>
    </row>
    <row r="11064" spans="1:7" x14ac:dyDescent="0.25">
      <c r="A11064" s="50" t="s">
        <v>326</v>
      </c>
      <c r="B11064" s="220" t="str">
        <f>VLOOKUP(A11064,'[1]Componentes APUs'!$S$1:$V$10,2,0)</f>
        <v>Juego Llaves</v>
      </c>
      <c r="C11064" s="220"/>
      <c r="D11064" s="50" t="s">
        <v>18</v>
      </c>
      <c r="E11064" s="50">
        <v>0</v>
      </c>
      <c r="F11064" s="51">
        <f>VLOOKUP(A11064,'[1]Componentes APUs'!$S$1:$V$10,4,0)</f>
        <v>9167</v>
      </c>
      <c r="G11064" s="51">
        <f>ROUNDUP(F11064*((E11064/21)/E11045),0)</f>
        <v>0</v>
      </c>
    </row>
    <row r="11065" spans="1:7" x14ac:dyDescent="0.25">
      <c r="A11065" s="50" t="s">
        <v>58</v>
      </c>
      <c r="B11065" s="220" t="str">
        <f>VLOOKUP(A11065,'[1]Componentes APUs'!$S$1:$V$10,2,0)</f>
        <v>Manila de servicio</v>
      </c>
      <c r="C11065" s="220"/>
      <c r="D11065" s="50" t="s">
        <v>18</v>
      </c>
      <c r="E11065" s="50">
        <v>0</v>
      </c>
      <c r="F11065" s="51">
        <f>VLOOKUP(A11065,'[1]Componentes APUs'!$S$1:$V$10,4,0)</f>
        <v>2333</v>
      </c>
      <c r="G11065" s="51">
        <f>ROUNDUP(F11065*((E11065/21)/E11045),0)</f>
        <v>0</v>
      </c>
    </row>
    <row r="11066" spans="1:7" x14ac:dyDescent="0.25">
      <c r="A11066" s="50" t="s">
        <v>327</v>
      </c>
      <c r="B11066" s="220" t="str">
        <f>VLOOKUP(A11066,'[1]Componentes APUs'!$S$1:$V$10,2,0)</f>
        <v>Tula portaherramientas</v>
      </c>
      <c r="C11066" s="220"/>
      <c r="D11066" s="50" t="s">
        <v>18</v>
      </c>
      <c r="E11066" s="50">
        <v>0</v>
      </c>
      <c r="F11066" s="51">
        <f>VLOOKUP(A11066,'[1]Componentes APUs'!$S$1:$V$10,4,0)</f>
        <v>1250</v>
      </c>
      <c r="G11066" s="51">
        <f>ROUNDUP(F11066*((E11066/21)/E11045),0)</f>
        <v>0</v>
      </c>
    </row>
    <row r="11067" spans="1:7" x14ac:dyDescent="0.25">
      <c r="A11067" s="50" t="s">
        <v>60</v>
      </c>
      <c r="B11067" s="220" t="str">
        <f>VLOOKUP(A11067,'[1]Componentes APUs'!$S$1:$V$10,2,0)</f>
        <v>Agarradoras</v>
      </c>
      <c r="C11067" s="220"/>
      <c r="D11067" s="50" t="s">
        <v>18</v>
      </c>
      <c r="E11067" s="50">
        <v>0</v>
      </c>
      <c r="F11067" s="51">
        <f>VLOOKUP(A11067,'[1]Componentes APUs'!$S$1:$V$10,4,0)</f>
        <v>125000</v>
      </c>
      <c r="G11067" s="51">
        <f>ROUNDUP(F11067*((E11067/21)/E11045),0)</f>
        <v>0</v>
      </c>
    </row>
    <row r="11068" spans="1:7" x14ac:dyDescent="0.25">
      <c r="A11068" s="50" t="s">
        <v>62</v>
      </c>
      <c r="B11068" s="220" t="str">
        <f>VLOOKUP(A11068,'[1]Componentes APUs'!$S$1:$V$10,2,0)</f>
        <v>Templadoras</v>
      </c>
      <c r="C11068" s="220"/>
      <c r="D11068" s="50" t="s">
        <v>18</v>
      </c>
      <c r="E11068" s="50">
        <v>0</v>
      </c>
      <c r="F11068" s="51">
        <f>VLOOKUP(A11068,'[1]Componentes APUs'!$S$1:$V$10,4,0)</f>
        <v>250000</v>
      </c>
      <c r="G11068" s="51">
        <f>ROUNDUP(F11068*((E11068/21)/E11045),0)</f>
        <v>0</v>
      </c>
    </row>
    <row r="11069" spans="1:7" x14ac:dyDescent="0.25">
      <c r="A11069" s="50" t="s">
        <v>328</v>
      </c>
      <c r="B11069" s="220" t="str">
        <f>VLOOKUP(A11069,'[1]Componentes APUs'!$S$1:$V$10,2,0)</f>
        <v>Herramienta Menor</v>
      </c>
      <c r="C11069" s="220"/>
      <c r="D11069" s="50" t="s">
        <v>18</v>
      </c>
      <c r="E11069" s="50">
        <v>1</v>
      </c>
      <c r="F11069" s="51">
        <f>VLOOKUP(A11069,'[1]Componentes APUs'!$S$1:$V$10,4,0)</f>
        <v>75758</v>
      </c>
      <c r="G11069" s="51">
        <f>ROUNDUP(F11069*((E11069/21)/E11045),0)</f>
        <v>3608</v>
      </c>
    </row>
    <row r="11070" spans="1:7" x14ac:dyDescent="0.25">
      <c r="A11070" s="50" t="s">
        <v>66</v>
      </c>
      <c r="B11070" s="220" t="str">
        <f>VLOOKUP(A11070,'[1]Componentes APUs'!$S$1:$V$10,2,0)</f>
        <v>Diferencial 2 Toneladas</v>
      </c>
      <c r="C11070" s="220"/>
      <c r="D11070" s="50" t="s">
        <v>18</v>
      </c>
      <c r="E11070" s="50">
        <v>0</v>
      </c>
      <c r="F11070" s="51">
        <f>VLOOKUP(A11070,'[1]Componentes APUs'!$S$1:$V$10,4,0)</f>
        <v>474905</v>
      </c>
      <c r="G11070" s="51">
        <f>ROUNDUP(F11070*((E11070/21)/E11045),0)</f>
        <v>0</v>
      </c>
    </row>
    <row r="11071" spans="1:7" x14ac:dyDescent="0.25">
      <c r="A11071" s="219" t="s">
        <v>69</v>
      </c>
      <c r="B11071" s="219"/>
      <c r="C11071" s="219"/>
      <c r="D11071" s="219"/>
      <c r="E11071" s="219"/>
      <c r="F11071" s="219"/>
      <c r="G11071" s="52">
        <f>SUM(G11064:G11070)</f>
        <v>3608</v>
      </c>
    </row>
    <row r="11072" spans="1:7" x14ac:dyDescent="0.25">
      <c r="A11072" s="56"/>
      <c r="B11072" s="57"/>
      <c r="C11072" s="57"/>
      <c r="D11072" s="57"/>
      <c r="E11072" s="57"/>
      <c r="F11072" s="57"/>
      <c r="G11072" s="58"/>
    </row>
    <row r="11073" spans="1:7" x14ac:dyDescent="0.25">
      <c r="A11073" s="219" t="s">
        <v>70</v>
      </c>
      <c r="B11073" s="219"/>
      <c r="C11073" s="219"/>
      <c r="D11073" s="219"/>
      <c r="E11073" s="219"/>
      <c r="F11073" s="219"/>
      <c r="G11073" s="219"/>
    </row>
    <row r="11074" spans="1:7" x14ac:dyDescent="0.25">
      <c r="A11074" s="49" t="s">
        <v>35</v>
      </c>
      <c r="B11074" s="219" t="s">
        <v>36</v>
      </c>
      <c r="C11074" s="219"/>
      <c r="D11074" s="49" t="s">
        <v>37</v>
      </c>
      <c r="E11074" s="49" t="s">
        <v>38</v>
      </c>
      <c r="F11074" s="49" t="s">
        <v>39</v>
      </c>
      <c r="G11074" s="49" t="s">
        <v>40</v>
      </c>
    </row>
    <row r="11075" spans="1:7" x14ac:dyDescent="0.25">
      <c r="A11075" s="50" t="s">
        <v>71</v>
      </c>
      <c r="B11075" s="71" t="str">
        <f>VLOOKUP(A11075,'[1]Componentes APUs'!$A$1:$D$14,2,0)</f>
        <v>Camisa indigo sin partes metalicas</v>
      </c>
      <c r="C11075" s="71"/>
      <c r="D11075" s="50" t="str">
        <f>VLOOKUP(A11075,'[1]Componentes APUs'!$A$1:$D$14,3,0)</f>
        <v>U</v>
      </c>
      <c r="E11075" s="50">
        <f>SUM(C11054:C11059)</f>
        <v>0.5</v>
      </c>
      <c r="F11075" s="51">
        <f>VLOOKUP(A11075,'[1]Componentes APUs'!$A$1:$D$14,4,0)</f>
        <v>8585.8585858585866</v>
      </c>
      <c r="G11075" s="51">
        <f>ROUNDUP(F11075*(E11075/21)/E11045,0)</f>
        <v>205</v>
      </c>
    </row>
    <row r="11076" spans="1:7" x14ac:dyDescent="0.25">
      <c r="A11076" s="69" t="s">
        <v>73</v>
      </c>
      <c r="B11076" s="72" t="str">
        <f>VLOOKUP(A11076,'[1]Componentes APUs'!$A$1:$D$14,2,0)</f>
        <v>Bota de seguridad dielectrica</v>
      </c>
      <c r="C11076" s="73"/>
      <c r="D11076" s="70" t="str">
        <f>VLOOKUP(A11076,'[1]Componentes APUs'!$A$1:$D$14,3,0)</f>
        <v>Par</v>
      </c>
      <c r="E11076" s="50">
        <f>SUM(C11054:C11059)</f>
        <v>0.5</v>
      </c>
      <c r="F11076" s="51">
        <f>VLOOKUP(A11076,'[1]Componentes APUs'!$A$1:$D$14,4,0)</f>
        <v>7500</v>
      </c>
      <c r="G11076" s="51">
        <f>ROUNDUP(F11076*(E11076/21)/E11045,0)</f>
        <v>179</v>
      </c>
    </row>
    <row r="11077" spans="1:7" x14ac:dyDescent="0.25">
      <c r="A11077" s="50" t="s">
        <v>76</v>
      </c>
      <c r="B11077" s="72" t="str">
        <f>VLOOKUP(A11077,'[1]Componentes APUs'!$A$1:$D$14,2,0)</f>
        <v>Casco dielectrico Tipo 1 Clase E con barbuquejo</v>
      </c>
      <c r="C11077" s="73"/>
      <c r="D11077" s="50" t="str">
        <f>VLOOKUP(A11077,'[1]Componentes APUs'!$A$1:$D$14,3,0)</f>
        <v>U</v>
      </c>
      <c r="E11077" s="50">
        <f>C11054+C11055+C11058+C11059+C11057+IF(A11056&lt;&gt;"MO-3",C11056,0)</f>
        <v>0.5</v>
      </c>
      <c r="F11077" s="51">
        <f>VLOOKUP(A11077,'[1]Componentes APUs'!$A$1:$D$14,4,0)</f>
        <v>10101.010101010101</v>
      </c>
      <c r="G11077" s="51">
        <f>ROUNDUP(F11077*(E11077/21)/E11045,0)</f>
        <v>241</v>
      </c>
    </row>
    <row r="11078" spans="1:7" x14ac:dyDescent="0.25">
      <c r="A11078" s="69" t="s">
        <v>77</v>
      </c>
      <c r="B11078" s="72" t="str">
        <f>VLOOKUP(A11078,'[1]Componentes APUs'!$A$1:$D$14,2,0)</f>
        <v>Correa plastica y antiflama</v>
      </c>
      <c r="C11078" s="73"/>
      <c r="D11078" s="50" t="str">
        <f>VLOOKUP(A11078,'[1]Componentes APUs'!$A$1:$D$14,3,0)</f>
        <v>U</v>
      </c>
      <c r="E11078" s="50">
        <f>SUM(C11054:C11059)</f>
        <v>0.5</v>
      </c>
      <c r="F11078" s="51">
        <f>VLOOKUP(A11078,'[1]Componentes APUs'!$A$1:$D$14,4,0)</f>
        <v>3787.878787878788</v>
      </c>
      <c r="G11078" s="51">
        <f>ROUNDUP(F11078*(E11078/21)/E11045,0)</f>
        <v>91</v>
      </c>
    </row>
    <row r="11079" spans="1:7" x14ac:dyDescent="0.25">
      <c r="A11079" s="50" t="s">
        <v>79</v>
      </c>
      <c r="B11079" s="72" t="str">
        <f>VLOOKUP(A11079,'[1]Componentes APUs'!$A$1:$D$14,2,0)</f>
        <v>Gafas protectoras filtro UV</v>
      </c>
      <c r="C11079" s="73"/>
      <c r="D11079" s="50" t="str">
        <f>VLOOKUP(A11079,'[1]Componentes APUs'!$A$1:$D$14,3,0)</f>
        <v>U</v>
      </c>
      <c r="E11079" s="50">
        <f>SUM(C11054:C11059)</f>
        <v>0.5</v>
      </c>
      <c r="F11079" s="51">
        <f>VLOOKUP(A11079,'[1]Componentes APUs'!$A$1:$D$14,4,0)</f>
        <v>2777.7777777777778</v>
      </c>
      <c r="G11079" s="51">
        <f>ROUNDUP(F11079*(E11079/21)/E11045,0)</f>
        <v>67</v>
      </c>
    </row>
    <row r="11080" spans="1:7" x14ac:dyDescent="0.25">
      <c r="A11080" s="69" t="s">
        <v>402</v>
      </c>
      <c r="B11080" s="72" t="str">
        <f>VLOOKUP(A11080,'[1]Componentes APUs'!$A$1:$D$14,2,0)</f>
        <v>Bota de seguridad PVC dielectrica</v>
      </c>
      <c r="C11080" s="73"/>
      <c r="D11080" s="50" t="str">
        <f>VLOOKUP(A11080,'[1]Componentes APUs'!$A$1:$D$14,3,0)</f>
        <v>Par</v>
      </c>
      <c r="E11080" s="50">
        <f>SUM(C11054:C11059)</f>
        <v>0.5</v>
      </c>
      <c r="F11080" s="51">
        <f>VLOOKUP(A11080,'[1]Componentes APUs'!$A$1:$D$14,4,0)</f>
        <v>2916.6666666666665</v>
      </c>
      <c r="G11080" s="51">
        <f>ROUNDUP(F11080*(E11080/21)/E11045,0)</f>
        <v>70</v>
      </c>
    </row>
    <row r="11081" spans="1:7" x14ac:dyDescent="0.25">
      <c r="A11081" s="50" t="s">
        <v>403</v>
      </c>
      <c r="B11081" s="72" t="str">
        <f>VLOOKUP(A11081,'[1]Componentes APUs'!$A$1:$D$14,2,0)</f>
        <v>Capuchon</v>
      </c>
      <c r="C11081" s="73"/>
      <c r="D11081" s="50" t="str">
        <f>VLOOKUP(A11081,'[1]Componentes APUs'!$A$1:$D$14,3,0)</f>
        <v>U</v>
      </c>
      <c r="E11081" s="50">
        <f>SUM(C11054:C11059)</f>
        <v>0.5</v>
      </c>
      <c r="F11081" s="51">
        <f>VLOOKUP(A11081,'[1]Componentes APUs'!$A$1:$D$14,4,0)</f>
        <v>2525.2525252525252</v>
      </c>
      <c r="G11081" s="51">
        <f>ROUNDUP(F11081*(E11081/21)/E11045,0)</f>
        <v>61</v>
      </c>
    </row>
    <row r="11082" spans="1:7" x14ac:dyDescent="0.25">
      <c r="A11082" s="69" t="s">
        <v>81</v>
      </c>
      <c r="B11082" s="72" t="str">
        <f>VLOOKUP(A11082,'[1]Componentes APUs'!$A$1:$D$14,2,0)</f>
        <v>Guantes Protectores  - ingeniero reforzados</v>
      </c>
      <c r="C11082" s="73"/>
      <c r="D11082" s="50" t="str">
        <f>VLOOKUP(A11082,'[1]Componentes APUs'!$A$1:$D$14,3,0)</f>
        <v>Par</v>
      </c>
      <c r="E11082" s="50">
        <f>C11056+C11057+C11059</f>
        <v>0</v>
      </c>
      <c r="F11082" s="51">
        <f>VLOOKUP(A11082,'[1]Componentes APUs'!$A$1:$D$14,4,0)</f>
        <v>2525.2525252525252</v>
      </c>
      <c r="G11082" s="51">
        <f>ROUNDUP(F11082*(E11082/21)/E11045,0)</f>
        <v>0</v>
      </c>
    </row>
    <row r="11083" spans="1:7" x14ac:dyDescent="0.25">
      <c r="A11083" s="50" t="s">
        <v>83</v>
      </c>
      <c r="B11083" s="72" t="str">
        <f>VLOOKUP(A11083,'[1]Componentes APUs'!$A$1:$D$14,2,0)</f>
        <v>Impermeable (pantalon camisa)</v>
      </c>
      <c r="C11083" s="73"/>
      <c r="D11083" s="50" t="str">
        <f>VLOOKUP(A11083,'[1]Componentes APUs'!$A$1:$D$14,3,0)</f>
        <v>U</v>
      </c>
      <c r="E11083" s="50">
        <f>SUM(C11054:C11059)</f>
        <v>0.5</v>
      </c>
      <c r="F11083" s="51">
        <f>VLOOKUP(A11083,'[1]Componentes APUs'!$A$1:$D$14,4,0)</f>
        <v>3750</v>
      </c>
      <c r="G11083" s="51">
        <f>ROUNDUP(F11083*(E11083/21)/E11045,0)</f>
        <v>90</v>
      </c>
    </row>
    <row r="11084" spans="1:7" x14ac:dyDescent="0.25">
      <c r="A11084" s="69" t="s">
        <v>85</v>
      </c>
      <c r="B11084" s="72" t="str">
        <f>VLOOKUP(A11084,'[1]Componentes APUs'!$A$1:$D$14,2,0)</f>
        <v>Jean Dielectrico</v>
      </c>
      <c r="C11084" s="73"/>
      <c r="D11084" s="50" t="str">
        <f>VLOOKUP(A11084,'[1]Componentes APUs'!$A$1:$D$14,3,0)</f>
        <v>U</v>
      </c>
      <c r="E11084" s="50">
        <f>SUM(C11054:C11059)</f>
        <v>0.5</v>
      </c>
      <c r="F11084" s="51">
        <f>VLOOKUP(A11084,'[1]Componentes APUs'!$A$1:$D$14,4,0)</f>
        <v>7575.757575757576</v>
      </c>
      <c r="G11084" s="51">
        <f>ROUNDUP(F11084*(E11084/21)/E11045,0)</f>
        <v>181</v>
      </c>
    </row>
    <row r="11085" spans="1:7" x14ac:dyDescent="0.25">
      <c r="A11085" s="50" t="s">
        <v>87</v>
      </c>
      <c r="B11085" s="72" t="str">
        <f>VLOOKUP(A11085,'[1]Componentes APUs'!$A$1:$D$14,2,0)</f>
        <v>Casco dielectrico Tipo 2 Clase E con barboquejo</v>
      </c>
      <c r="C11085" s="73"/>
      <c r="D11085" s="50" t="str">
        <f>VLOOKUP(A11085,'[1]Componentes APUs'!$A$1:$D$14,3,0)</f>
        <v>U</v>
      </c>
      <c r="E11085" s="53">
        <f>IF(A11056="MO-3",C11056,0)</f>
        <v>0</v>
      </c>
      <c r="F11085" s="51">
        <f>VLOOKUP(A11085,'[1]Componentes APUs'!$A$1:$D$14,4,0)</f>
        <v>7500</v>
      </c>
      <c r="G11085" s="51">
        <f>ROUNDUP(F11085*(E11085/21)/E11045,0)</f>
        <v>0</v>
      </c>
    </row>
    <row r="11086" spans="1:7" x14ac:dyDescent="0.25">
      <c r="A11086" s="69" t="s">
        <v>89</v>
      </c>
      <c r="B11086" s="72" t="str">
        <f>VLOOKUP(A11086,'[1]Componentes APUs'!$A$1:$D$14,2,0)</f>
        <v>Kit de rescate para trabajo en alturas</v>
      </c>
      <c r="C11086" s="73"/>
      <c r="D11086" s="50" t="str">
        <f>VLOOKUP(A11086,'[1]Componentes APUs'!$A$1:$D$14,3,0)</f>
        <v>U</v>
      </c>
      <c r="E11086" s="50">
        <f>IF(AND(A11056="MO-3",C11056=2),1,0)</f>
        <v>0</v>
      </c>
      <c r="F11086" s="51">
        <f>VLOOKUP(A11086,'[1]Componentes APUs'!$A$1:$D$14,4,0)</f>
        <v>37500</v>
      </c>
      <c r="G11086" s="51">
        <f>ROUNDUP(F11086*(E11086/21)/E11045,0)</f>
        <v>0</v>
      </c>
    </row>
    <row r="11087" spans="1:7" x14ac:dyDescent="0.25">
      <c r="A11087" s="50" t="s">
        <v>91</v>
      </c>
      <c r="B11087" s="72" t="str">
        <f>VLOOKUP(A11087,'[1]Componentes APUs'!$A$1:$D$14,2,0)</f>
        <v>Equipo completo para trabajo en alturas con pretales (Arnes dielectrico, 1 mosqueton de seguridad, tie off dielectrico, eslinga de posicionamiento, juego de pretales)</v>
      </c>
      <c r="C11087" s="73"/>
      <c r="D11087" s="50" t="str">
        <f>VLOOKUP(A11087,'[1]Componentes APUs'!$A$1:$D$14,3,0)</f>
        <v>U</v>
      </c>
      <c r="E11087" s="50">
        <f>IF(A11056="MO-3",C11056,0)</f>
        <v>0</v>
      </c>
      <c r="F11087" s="51">
        <f>VLOOKUP(A11087,'[1]Componentes APUs'!$A$1:$D$14,4,0)</f>
        <v>26041.666666666668</v>
      </c>
      <c r="G11087" s="51">
        <f>ROUNDUP(F11087*(E11087/21)/E11045,0)</f>
        <v>0</v>
      </c>
    </row>
    <row r="11088" spans="1:7" x14ac:dyDescent="0.25">
      <c r="A11088" s="219" t="s">
        <v>95</v>
      </c>
      <c r="B11088" s="219"/>
      <c r="C11088" s="219"/>
      <c r="D11088" s="219"/>
      <c r="E11088" s="219"/>
      <c r="F11088" s="219"/>
      <c r="G11088" s="52">
        <f>SUM(G11075:G11087)</f>
        <v>1185</v>
      </c>
    </row>
    <row r="11089" spans="1:7" x14ac:dyDescent="0.25">
      <c r="A11089" s="56"/>
      <c r="B11089" s="57"/>
      <c r="C11089" s="57"/>
      <c r="D11089" s="57"/>
      <c r="E11089" s="57"/>
      <c r="F11089" s="57"/>
      <c r="G11089" s="58"/>
    </row>
    <row r="11090" spans="1:7" x14ac:dyDescent="0.25">
      <c r="A11090" s="219" t="s">
        <v>96</v>
      </c>
      <c r="B11090" s="219"/>
      <c r="C11090" s="219"/>
      <c r="D11090" s="219"/>
      <c r="E11090" s="219"/>
      <c r="F11090" s="219"/>
      <c r="G11090" s="219"/>
    </row>
    <row r="11091" spans="1:7" x14ac:dyDescent="0.25">
      <c r="A11091" s="49" t="s">
        <v>35</v>
      </c>
      <c r="B11091" s="225" t="s">
        <v>36</v>
      </c>
      <c r="C11091" s="225"/>
      <c r="D11091" s="49" t="s">
        <v>37</v>
      </c>
      <c r="E11091" s="49" t="s">
        <v>38</v>
      </c>
      <c r="F11091" s="49" t="s">
        <v>39</v>
      </c>
      <c r="G11091" s="49" t="s">
        <v>40</v>
      </c>
    </row>
    <row r="11092" spans="1:7" x14ac:dyDescent="0.25">
      <c r="A11092" s="69" t="s">
        <v>97</v>
      </c>
      <c r="B11092" s="72" t="str">
        <f>VLOOKUP(A11092,'[1]Componentes APUs'!$N$1:$Q$30,2,0)</f>
        <v>Camioneta</v>
      </c>
      <c r="C11092" s="73"/>
      <c r="D11092" s="70" t="str">
        <f>VLOOKUP(A11092,'[1]Componentes APUs'!$N$1:$Q$30,3,0)</f>
        <v>U</v>
      </c>
      <c r="E11092" s="50">
        <v>0</v>
      </c>
      <c r="F11092" s="51">
        <f>VLOOKUP(A11092,'[1]Componentes APUs'!$N$1:$Q$30,4,0)</f>
        <v>5500000</v>
      </c>
      <c r="G11092" s="51">
        <f>IFERROR(ROUNDUP(F11092*(E11092/21)/E11045,0),"-")</f>
        <v>0</v>
      </c>
    </row>
    <row r="11093" spans="1:7" x14ac:dyDescent="0.25">
      <c r="A11093" s="50" t="s">
        <v>321</v>
      </c>
      <c r="B11093" s="72" t="str">
        <f>VLOOKUP(A11093,'[1]Componentes APUs'!$N$1:$Q$30,2,0)</f>
        <v>Grúa Hidráulica</v>
      </c>
      <c r="C11093" s="73"/>
      <c r="D11093" s="70" t="str">
        <f>VLOOKUP(A11093,'[1]Componentes APUs'!$N$1:$Q$30,3,0)</f>
        <v>U</v>
      </c>
      <c r="E11093" s="50">
        <v>0</v>
      </c>
      <c r="F11093" s="51">
        <f>VLOOKUP(A11093,'[1]Componentes APUs'!$N$1:$Q$30,4,0)</f>
        <v>21000000</v>
      </c>
      <c r="G11093" s="51">
        <f>IFERROR(ROUNDUP(F11093*(E11093/21)/E11045,0),"-")</f>
        <v>0</v>
      </c>
    </row>
    <row r="11094" spans="1:7" x14ac:dyDescent="0.25">
      <c r="A11094" s="69" t="s">
        <v>322</v>
      </c>
      <c r="B11094" s="72" t="str">
        <f>VLOOKUP(A11094,'[1]Componentes APUs'!$N$1:$Q$30,2,0)</f>
        <v>Camabaja</v>
      </c>
      <c r="C11094" s="73"/>
      <c r="D11094" s="70" t="str">
        <f>VLOOKUP(A11094,'[1]Componentes APUs'!$N$1:$Q$30,3,0)</f>
        <v>TON/KM</v>
      </c>
      <c r="E11094" s="50">
        <v>0</v>
      </c>
      <c r="F11094" s="51">
        <f>VLOOKUP(A11094,'[1]Componentes APUs'!$N$1:$Q$30,4,0)</f>
        <v>611</v>
      </c>
      <c r="G11094" s="51">
        <f>IFERROR(ROUNDUP(F11094*(E11094/21)/E11045,0),"-")</f>
        <v>0</v>
      </c>
    </row>
    <row r="11095" spans="1:7" x14ac:dyDescent="0.25">
      <c r="A11095" s="50" t="s">
        <v>323</v>
      </c>
      <c r="B11095" s="72" t="str">
        <f>VLOOKUP(A11095,'[1]Componentes APUs'!$N$1:$Q$30,2,0)</f>
        <v>Volqueta</v>
      </c>
      <c r="C11095" s="73"/>
      <c r="D11095" s="70" t="str">
        <f>VLOOKUP(A11095,'[1]Componentes APUs'!$N$1:$Q$30,3,0)</f>
        <v>U</v>
      </c>
      <c r="E11095" s="50">
        <v>0</v>
      </c>
      <c r="F11095" s="51">
        <f>VLOOKUP(A11095,'[1]Componentes APUs'!$N$1:$Q$30,4,0)</f>
        <v>18900000</v>
      </c>
      <c r="G11095" s="51">
        <f>IFERROR(ROUNDUP(F11095*(E11095/21)/E11045,0),"-")</f>
        <v>0</v>
      </c>
    </row>
    <row r="11096" spans="1:7" x14ac:dyDescent="0.25">
      <c r="A11096" s="69" t="s">
        <v>324</v>
      </c>
      <c r="B11096" s="72" t="str">
        <f>VLOOKUP(A11096,'[1]Componentes APUs'!$N$1:$Q$30,2,0)</f>
        <v>Retroexcavadora</v>
      </c>
      <c r="C11096" s="73"/>
      <c r="D11096" s="70" t="str">
        <f>VLOOKUP(A11096,'[1]Componentes APUs'!$N$1:$Q$30,3,0)</f>
        <v>U</v>
      </c>
      <c r="E11096" s="50">
        <v>0</v>
      </c>
      <c r="F11096" s="51">
        <f>VLOOKUP(A11096,'[1]Componentes APUs'!$N$1:$Q$30,4,0)</f>
        <v>1494459.54</v>
      </c>
      <c r="G11096" s="51">
        <f>IFERROR(ROUNDUP(F11096*(E11096/21)/E11045,0),"-")</f>
        <v>0</v>
      </c>
    </row>
    <row r="11097" spans="1:7" x14ac:dyDescent="0.25">
      <c r="A11097" s="219" t="s">
        <v>99</v>
      </c>
      <c r="B11097" s="219"/>
      <c r="C11097" s="219"/>
      <c r="D11097" s="219"/>
      <c r="E11097" s="219"/>
      <c r="F11097" s="219"/>
      <c r="G11097" s="52">
        <f>SUM(G11092:G11096)</f>
        <v>0</v>
      </c>
    </row>
    <row r="11098" spans="1:7" x14ac:dyDescent="0.25">
      <c r="A11098" s="56"/>
      <c r="B11098" s="57"/>
      <c r="C11098" s="57"/>
      <c r="D11098" s="57"/>
      <c r="E11098" s="57"/>
      <c r="F11098" s="57"/>
      <c r="G11098" s="58"/>
    </row>
    <row r="11099" spans="1:7" x14ac:dyDescent="0.25">
      <c r="A11099" s="219" t="s">
        <v>1516</v>
      </c>
      <c r="B11099" s="219"/>
      <c r="C11099" s="219"/>
      <c r="D11099" s="219"/>
      <c r="E11099" s="219"/>
      <c r="F11099" s="219"/>
      <c r="G11099" s="52">
        <f>G11097+G11088+G11071+G11060+G11050</f>
        <v>8581037</v>
      </c>
    </row>
    <row r="11100" spans="1:7" x14ac:dyDescent="0.25">
      <c r="A11100" s="59"/>
      <c r="B11100" s="60"/>
      <c r="C11100" s="60"/>
      <c r="D11100" s="60"/>
      <c r="E11100" s="57"/>
      <c r="F11100" s="57"/>
      <c r="G11100" s="58"/>
    </row>
    <row r="11101" spans="1:7" x14ac:dyDescent="0.25">
      <c r="A11101" s="64"/>
      <c r="D11101" s="55"/>
      <c r="E11101" s="49" t="s">
        <v>25</v>
      </c>
      <c r="F11101" s="54">
        <v>0.15</v>
      </c>
      <c r="G11101" s="51">
        <f>G11099*F11101</f>
        <v>1287155.55</v>
      </c>
    </row>
    <row r="11102" spans="1:7" x14ac:dyDescent="0.25">
      <c r="A11102" s="64"/>
      <c r="D11102" s="55"/>
      <c r="E11102" s="49" t="s">
        <v>26</v>
      </c>
      <c r="F11102" s="54">
        <v>0.05</v>
      </c>
      <c r="G11102" s="51">
        <f>G11099*F11102</f>
        <v>429051.85000000003</v>
      </c>
    </row>
    <row r="11103" spans="1:7" x14ac:dyDescent="0.25">
      <c r="A11103" s="61"/>
      <c r="B11103" s="65"/>
      <c r="C11103" s="65"/>
      <c r="D11103" s="62"/>
      <c r="E11103" s="49" t="s">
        <v>27</v>
      </c>
      <c r="F11103" s="54">
        <v>0.05</v>
      </c>
      <c r="G11103" s="51">
        <f>G11099*F11103</f>
        <v>429051.85000000003</v>
      </c>
    </row>
    <row r="11104" spans="1:7" x14ac:dyDescent="0.25">
      <c r="A11104" s="61"/>
      <c r="B11104" s="62"/>
      <c r="C11104" s="62"/>
      <c r="D11104" s="62"/>
      <c r="E11104" s="62"/>
      <c r="F11104" s="62"/>
      <c r="G11104" s="63"/>
    </row>
    <row r="11105" spans="1:7" x14ac:dyDescent="0.25">
      <c r="A11105" s="219" t="s">
        <v>1517</v>
      </c>
      <c r="B11105" s="219"/>
      <c r="C11105" s="219"/>
      <c r="D11105" s="219"/>
      <c r="E11105" s="219"/>
      <c r="F11105" s="219"/>
      <c r="G11105" s="52">
        <f>G11099+G11101+G11102+G11103</f>
        <v>10726296.25</v>
      </c>
    </row>
    <row r="11106" spans="1:7" x14ac:dyDescent="0.25">
      <c r="A11106" s="59"/>
      <c r="B11106" s="60"/>
      <c r="C11106" s="60"/>
      <c r="D11106" s="60"/>
      <c r="E11106" s="57"/>
      <c r="F11106" s="57"/>
      <c r="G11106" s="58"/>
    </row>
    <row r="11107" spans="1:7" x14ac:dyDescent="0.25">
      <c r="A11107" s="64"/>
      <c r="D11107" s="55"/>
      <c r="E11107" s="49" t="s">
        <v>102</v>
      </c>
      <c r="F11107" s="49" t="s">
        <v>103</v>
      </c>
      <c r="G11107" s="51">
        <f>G11103*19%</f>
        <v>81519.851500000004</v>
      </c>
    </row>
    <row r="11108" spans="1:7" x14ac:dyDescent="0.25">
      <c r="A11108" s="61"/>
      <c r="B11108" s="62"/>
      <c r="C11108" s="62"/>
      <c r="D11108" s="62"/>
      <c r="E11108" s="57"/>
      <c r="F11108" s="57"/>
      <c r="G11108" s="58"/>
    </row>
    <row r="11109" spans="1:7" x14ac:dyDescent="0.25">
      <c r="A11109" s="219" t="s">
        <v>104</v>
      </c>
      <c r="B11109" s="219"/>
      <c r="C11109" s="219"/>
      <c r="D11109" s="219"/>
      <c r="E11109" s="219"/>
      <c r="F11109" s="219"/>
      <c r="G11109" s="52">
        <f>G11107+G11105</f>
        <v>10807816.101500001</v>
      </c>
    </row>
    <row r="11111" spans="1:7" x14ac:dyDescent="0.25">
      <c r="A11111" s="74" t="s">
        <v>29</v>
      </c>
      <c r="B11111" s="226" t="s">
        <v>30</v>
      </c>
      <c r="C11111" s="226"/>
      <c r="D11111" s="74" t="s">
        <v>31</v>
      </c>
      <c r="E11111" s="74" t="s">
        <v>32</v>
      </c>
      <c r="F11111" s="74" t="s">
        <v>189</v>
      </c>
      <c r="G11111" s="74" t="s">
        <v>33</v>
      </c>
    </row>
    <row r="11112" spans="1:7" ht="54" customHeight="1" x14ac:dyDescent="0.25">
      <c r="A11112" s="50" t="str">
        <f>Presupuesto!B202</f>
        <v>013_N3</v>
      </c>
      <c r="B11112" s="220" t="str">
        <f>Presupuesto!C202</f>
        <v>SUMINISTRO E INSTALACIÓN DE SECCIONADOR TRIPOLAR MOTORIZADO CON CUCHILLA DE PUESTA A TIERRA MOTORIZADA UM:38 KV, IN: 630A, ISC:12.5KA MIN, LIWV:95KV. INCLUYE: BRAZO DE MANDO MANUAL A LA ALTURA APROPIADA</v>
      </c>
      <c r="C11112" s="220"/>
      <c r="D11112" s="50" t="s">
        <v>18</v>
      </c>
      <c r="E11112" s="50">
        <v>0.5</v>
      </c>
      <c r="F11112" s="50"/>
      <c r="G11112" s="51">
        <f>G11176</f>
        <v>76275114.701499984</v>
      </c>
    </row>
    <row r="11113" spans="1:7" x14ac:dyDescent="0.25">
      <c r="A11113" s="219" t="s">
        <v>34</v>
      </c>
      <c r="B11113" s="219"/>
      <c r="C11113" s="219"/>
      <c r="D11113" s="219"/>
      <c r="E11113" s="219"/>
      <c r="F11113" s="219"/>
      <c r="G11113" s="219"/>
    </row>
    <row r="11114" spans="1:7" x14ac:dyDescent="0.25">
      <c r="A11114" s="49" t="s">
        <v>35</v>
      </c>
      <c r="B11114" s="219" t="s">
        <v>36</v>
      </c>
      <c r="C11114" s="219"/>
      <c r="D11114" s="49" t="s">
        <v>37</v>
      </c>
      <c r="E11114" s="49" t="s">
        <v>38</v>
      </c>
      <c r="F11114" s="49" t="s">
        <v>39</v>
      </c>
      <c r="G11114" s="49" t="s">
        <v>40</v>
      </c>
    </row>
    <row r="11115" spans="1:7" ht="41.25" customHeight="1" x14ac:dyDescent="0.25">
      <c r="A11115" s="17" t="str">
        <f>Material!A23</f>
        <v>MA-22</v>
      </c>
      <c r="B11115" s="221" t="str">
        <f>IFERROR(VLOOKUP(A11115,Material!$A:$J,2,0),"-")</f>
        <v>SECCIONADOR TRIPOLAR MOTORIZADO CON CUCHILLA DE PUESTA A TIERRA MOTORIZADA UM:38 KV, IN: 630A, ISC:12.5KA MIN, LIWV:95KV. INCLUYE: BRAZO DE MANDO MANUAL A LA ALTURA APROPIADA</v>
      </c>
      <c r="C11115" s="222"/>
      <c r="D11115" s="50" t="str">
        <f>IFERROR(VLOOKUP(A11115,Material!$A:$J,4,0),"-")</f>
        <v>UN</v>
      </c>
      <c r="E11115" s="50">
        <v>1</v>
      </c>
      <c r="F11115" s="51">
        <f>IFERROR(VLOOKUP(A11115,Material!$A:$J,3,0),"-")</f>
        <v>57857274.592899233</v>
      </c>
      <c r="G11115" s="51">
        <f t="shared" ref="G11115:G11116" si="155">IFERROR(ROUNDUP(F11115*E11115,0),"-")</f>
        <v>57857275</v>
      </c>
    </row>
    <row r="11116" spans="1:7" x14ac:dyDescent="0.25">
      <c r="A11116" s="17"/>
      <c r="B11116" s="72" t="str">
        <f>IFERROR(VLOOKUP(A11116,Material!$A:$J,2,0),"-")</f>
        <v>-</v>
      </c>
      <c r="C11116" s="73"/>
      <c r="D11116" s="50" t="str">
        <f>IFERROR(VLOOKUP(A11116,Material!$A:$J,4,0),"-")</f>
        <v>-</v>
      </c>
      <c r="E11116" s="50"/>
      <c r="F11116" s="51" t="str">
        <f>IFERROR(VLOOKUP(A11116,Material!$A:$J,3,0),"-")</f>
        <v>-</v>
      </c>
      <c r="G11116" s="51" t="str">
        <f t="shared" si="155"/>
        <v>-</v>
      </c>
    </row>
    <row r="11117" spans="1:7" x14ac:dyDescent="0.25">
      <c r="A11117" s="219" t="s">
        <v>41</v>
      </c>
      <c r="B11117" s="219"/>
      <c r="C11117" s="219"/>
      <c r="D11117" s="219"/>
      <c r="E11117" s="219"/>
      <c r="F11117" s="219"/>
      <c r="G11117" s="52">
        <f>SUM(G11115:G11116)</f>
        <v>57857275</v>
      </c>
    </row>
    <row r="11118" spans="1:7" x14ac:dyDescent="0.25">
      <c r="A11118" s="56"/>
      <c r="B11118" s="57"/>
      <c r="C11118" s="57"/>
      <c r="D11118" s="57"/>
      <c r="E11118" s="57"/>
      <c r="F11118" s="57"/>
      <c r="G11118" s="58"/>
    </row>
    <row r="11119" spans="1:7" x14ac:dyDescent="0.25">
      <c r="A11119" s="219" t="s">
        <v>42</v>
      </c>
      <c r="B11119" s="219"/>
      <c r="C11119" s="219"/>
      <c r="D11119" s="219"/>
      <c r="E11119" s="219"/>
      <c r="F11119" s="219"/>
      <c r="G11119" s="219"/>
    </row>
    <row r="11120" spans="1:7" x14ac:dyDescent="0.25">
      <c r="A11120" s="49" t="s">
        <v>35</v>
      </c>
      <c r="B11120" s="49" t="s">
        <v>36</v>
      </c>
      <c r="C11120" s="49" t="s">
        <v>38</v>
      </c>
      <c r="D11120" s="49" t="s">
        <v>43</v>
      </c>
      <c r="E11120" s="49" t="s">
        <v>44</v>
      </c>
      <c r="F11120" s="49" t="s">
        <v>45</v>
      </c>
      <c r="G11120" s="49" t="s">
        <v>40</v>
      </c>
    </row>
    <row r="11121" spans="1:7" x14ac:dyDescent="0.25">
      <c r="A11121" s="50" t="s">
        <v>319</v>
      </c>
      <c r="B11121" s="68" t="str">
        <f>VLOOKUP(A11121,'[1]Componentes APUs'!$H$1:$L$25,2,0)</f>
        <v>Ingeniero Residente de Obra</v>
      </c>
      <c r="C11121" s="93">
        <v>0.25</v>
      </c>
      <c r="D11121" s="50">
        <f>VLOOKUP(A11121,'[1]Componentes APUs'!$H$1:$L$25,3,0)</f>
        <v>4</v>
      </c>
      <c r="E11121" s="51">
        <f>VLOOKUP(A11121,'[1]Componentes APUs'!$H$1:$L$25,4,0)</f>
        <v>271142.85714285716</v>
      </c>
      <c r="F11121" s="51">
        <f>VLOOKUP(A11121,'[1]Componentes APUs'!$H$1:$L$25,5,0)</f>
        <v>162685.71428571429</v>
      </c>
      <c r="G11121" s="51">
        <f>ROUNDUP((E11121+F11121)*C11121/E11112,0)</f>
        <v>216915</v>
      </c>
    </row>
    <row r="11122" spans="1:7" x14ac:dyDescent="0.25">
      <c r="A11122" s="50" t="s">
        <v>320</v>
      </c>
      <c r="B11122" s="68" t="str">
        <f>VLOOKUP(A11122,'[1]Componentes APUs'!$H$1:$L$25,2,0)</f>
        <v>Tecnico Supervisor</v>
      </c>
      <c r="C11122" s="93">
        <v>0.25</v>
      </c>
      <c r="D11122" s="50">
        <f>VLOOKUP(A11122,'[1]Componentes APUs'!$H$1:$L$25,3,0)</f>
        <v>2.2999999999999998</v>
      </c>
      <c r="E11122" s="51">
        <f>VLOOKUP(A11122,'[1]Componentes APUs'!$H$1:$L$25,4,0)</f>
        <v>155907.14285714284</v>
      </c>
      <c r="F11122" s="51">
        <f>VLOOKUP(A11122,'[1]Componentes APUs'!$H$1:$L$25,5,0)</f>
        <v>93544.285714285696</v>
      </c>
      <c r="G11122" s="51">
        <f>ROUNDUP((E11122+F11122)*C11122/E11112,0)</f>
        <v>124726</v>
      </c>
    </row>
    <row r="11123" spans="1:7" x14ac:dyDescent="0.25">
      <c r="A11123" s="50" t="s">
        <v>46</v>
      </c>
      <c r="B11123" s="68" t="str">
        <f>VLOOKUP(A11123,'[1]Componentes APUs'!$H$1:$L$25,2,0)</f>
        <v>Tecnico Liniero</v>
      </c>
      <c r="C11123" s="93">
        <v>2</v>
      </c>
      <c r="D11123" s="50">
        <f>VLOOKUP(A11123,'[1]Componentes APUs'!$H$1:$L$25,3,0)</f>
        <v>2</v>
      </c>
      <c r="E11123" s="51">
        <f>VLOOKUP(A11123,'[1]Componentes APUs'!$H$1:$L$25,4,0)</f>
        <v>154619.04761904763</v>
      </c>
      <c r="F11123" s="51">
        <f>VLOOKUP(A11123,'[1]Componentes APUs'!$H$1:$L$25,5,0)</f>
        <v>92771.42857142858</v>
      </c>
      <c r="G11123" s="51">
        <f>ROUNDUP((E11123+F11123)*C11123/E11112,0)</f>
        <v>989562</v>
      </c>
    </row>
    <row r="11124" spans="1:7" x14ac:dyDescent="0.25">
      <c r="A11124" s="50" t="s">
        <v>48</v>
      </c>
      <c r="B11124" s="68" t="str">
        <f>VLOOKUP(A11124,'[1]Componentes APUs'!$H$1:$L$25,2,0)</f>
        <v>Ayudante Calificado</v>
      </c>
      <c r="C11124" s="93">
        <v>1</v>
      </c>
      <c r="D11124" s="50">
        <f>VLOOKUP(A11124,'[1]Componentes APUs'!$H$1:$L$25,3,0)</f>
        <v>1.5</v>
      </c>
      <c r="E11124" s="51">
        <f>VLOOKUP(A11124,'[1]Componentes APUs'!$H$1:$L$25,4,0)</f>
        <v>115964.28571428571</v>
      </c>
      <c r="F11124" s="51">
        <f>VLOOKUP(A11124,'[1]Componentes APUs'!$H$1:$L$25,5,0)</f>
        <v>69578.57142857142</v>
      </c>
      <c r="G11124" s="51">
        <f>ROUNDUP((E11124+F11124)*C11124/E11112,0)</f>
        <v>371086</v>
      </c>
    </row>
    <row r="11125" spans="1:7" x14ac:dyDescent="0.25">
      <c r="A11125" s="50" t="s">
        <v>50</v>
      </c>
      <c r="B11125" s="68" t="str">
        <f>VLOOKUP(A11125,'[1]Componentes APUs'!$H$1:$L$25,2,0)</f>
        <v>Profesional en SST</v>
      </c>
      <c r="C11125" s="93">
        <v>0.25</v>
      </c>
      <c r="D11125" s="50">
        <f>VLOOKUP(A11125,'[1]Componentes APUs'!$H$1:$L$25,3,0)</f>
        <v>2.5</v>
      </c>
      <c r="E11125" s="51">
        <f>VLOOKUP(A11125,'[1]Componentes APUs'!$H$1:$L$25,4,0)</f>
        <v>169464.28571428571</v>
      </c>
      <c r="F11125" s="51">
        <f>VLOOKUP(A11125,'[1]Componentes APUs'!$H$1:$L$25,5,0)</f>
        <v>101678.57142857142</v>
      </c>
      <c r="G11125" s="51">
        <f>ROUNDUP((E11125+F11125)*C11125/E11112,0)</f>
        <v>135572</v>
      </c>
    </row>
    <row r="11126" spans="1:7" x14ac:dyDescent="0.25">
      <c r="A11126" s="50" t="s">
        <v>52</v>
      </c>
      <c r="B11126" s="68" t="str">
        <f>VLOOKUP(A11126,'[1]Componentes APUs'!$H$1:$L$25,2,0)</f>
        <v>Ayudante No Calificado</v>
      </c>
      <c r="C11126" s="93">
        <v>1</v>
      </c>
      <c r="D11126" s="50">
        <f>VLOOKUP(A11126,'[1]Componentes APUs'!$H$1:$L$25,3,0)</f>
        <v>1</v>
      </c>
      <c r="E11126" s="51">
        <f>VLOOKUP(A11126,'[1]Componentes APUs'!$H$1:$L$25,4,0)</f>
        <v>77309.523809523816</v>
      </c>
      <c r="F11126" s="51">
        <f>VLOOKUP(A11126,'[1]Componentes APUs'!$H$1:$L$25,5,0)</f>
        <v>46385.71428571429</v>
      </c>
      <c r="G11126" s="51">
        <f>ROUNDUP((E11126+F11126)*C11126/E11112,0)</f>
        <v>247391</v>
      </c>
    </row>
    <row r="11127" spans="1:7" x14ac:dyDescent="0.25">
      <c r="A11127" s="219" t="s">
        <v>56</v>
      </c>
      <c r="B11127" s="219"/>
      <c r="C11127" s="219"/>
      <c r="D11127" s="219"/>
      <c r="E11127" s="219"/>
      <c r="F11127" s="219"/>
      <c r="G11127" s="52">
        <f>SUM(G11121:G11126)</f>
        <v>2085252</v>
      </c>
    </row>
    <row r="11128" spans="1:7" x14ac:dyDescent="0.25">
      <c r="A11128" s="56"/>
      <c r="B11128" s="57"/>
      <c r="C11128" s="57"/>
      <c r="D11128" s="57"/>
      <c r="E11128" s="57"/>
      <c r="F11128" s="57"/>
      <c r="G11128" s="58"/>
    </row>
    <row r="11129" spans="1:7" x14ac:dyDescent="0.25">
      <c r="A11129" s="219" t="s">
        <v>57</v>
      </c>
      <c r="B11129" s="219"/>
      <c r="C11129" s="219"/>
      <c r="D11129" s="219"/>
      <c r="E11129" s="219"/>
      <c r="F11129" s="219"/>
      <c r="G11129" s="219"/>
    </row>
    <row r="11130" spans="1:7" x14ac:dyDescent="0.25">
      <c r="A11130" s="49" t="s">
        <v>35</v>
      </c>
      <c r="B11130" s="219" t="s">
        <v>36</v>
      </c>
      <c r="C11130" s="219"/>
      <c r="D11130" s="49" t="s">
        <v>37</v>
      </c>
      <c r="E11130" s="49" t="s">
        <v>38</v>
      </c>
      <c r="F11130" s="49" t="s">
        <v>39</v>
      </c>
      <c r="G11130" s="49" t="s">
        <v>40</v>
      </c>
    </row>
    <row r="11131" spans="1:7" x14ac:dyDescent="0.25">
      <c r="A11131" s="50" t="s">
        <v>326</v>
      </c>
      <c r="B11131" s="220" t="str">
        <f>VLOOKUP(A11131,'[1]Componentes APUs'!$S$1:$V$10,2,0)</f>
        <v>Juego Llaves</v>
      </c>
      <c r="C11131" s="220"/>
      <c r="D11131" s="50" t="s">
        <v>18</v>
      </c>
      <c r="E11131" s="50">
        <v>2</v>
      </c>
      <c r="F11131" s="51">
        <f>VLOOKUP(A11131,'[1]Componentes APUs'!$S$1:$V$10,4,0)</f>
        <v>9167</v>
      </c>
      <c r="G11131" s="51">
        <f>ROUNDUP(F11131*((E11131/21)/E11112),0)</f>
        <v>1747</v>
      </c>
    </row>
    <row r="11132" spans="1:7" x14ac:dyDescent="0.25">
      <c r="A11132" s="50" t="s">
        <v>58</v>
      </c>
      <c r="B11132" s="220" t="str">
        <f>VLOOKUP(A11132,'[1]Componentes APUs'!$S$1:$V$10,2,0)</f>
        <v>Manila de servicio</v>
      </c>
      <c r="C11132" s="220"/>
      <c r="D11132" s="50" t="s">
        <v>18</v>
      </c>
      <c r="E11132" s="50">
        <v>2</v>
      </c>
      <c r="F11132" s="51">
        <f>VLOOKUP(A11132,'[1]Componentes APUs'!$S$1:$V$10,4,0)</f>
        <v>2333</v>
      </c>
      <c r="G11132" s="51">
        <f>ROUNDUP(F11132*((E11132/21)/E11112),0)</f>
        <v>445</v>
      </c>
    </row>
    <row r="11133" spans="1:7" x14ac:dyDescent="0.25">
      <c r="A11133" s="50" t="s">
        <v>327</v>
      </c>
      <c r="B11133" s="220" t="str">
        <f>VLOOKUP(A11133,'[1]Componentes APUs'!$S$1:$V$10,2,0)</f>
        <v>Tula portaherramientas</v>
      </c>
      <c r="C11133" s="220"/>
      <c r="D11133" s="50" t="s">
        <v>18</v>
      </c>
      <c r="E11133" s="50">
        <v>2</v>
      </c>
      <c r="F11133" s="51">
        <f>VLOOKUP(A11133,'[1]Componentes APUs'!$S$1:$V$10,4,0)</f>
        <v>1250</v>
      </c>
      <c r="G11133" s="51">
        <f>ROUNDUP(F11133*((E11133/21)/E11112),0)</f>
        <v>239</v>
      </c>
    </row>
    <row r="11134" spans="1:7" x14ac:dyDescent="0.25">
      <c r="A11134" s="50" t="s">
        <v>60</v>
      </c>
      <c r="B11134" s="220" t="str">
        <f>VLOOKUP(A11134,'[1]Componentes APUs'!$S$1:$V$10,2,0)</f>
        <v>Agarradoras</v>
      </c>
      <c r="C11134" s="220"/>
      <c r="D11134" s="50" t="s">
        <v>18</v>
      </c>
      <c r="E11134" s="50">
        <v>0</v>
      </c>
      <c r="F11134" s="51">
        <f>VLOOKUP(A11134,'[1]Componentes APUs'!$S$1:$V$10,4,0)</f>
        <v>125000</v>
      </c>
      <c r="G11134" s="51">
        <f>ROUNDUP(F11134*((E11134/21)/E11112),0)</f>
        <v>0</v>
      </c>
    </row>
    <row r="11135" spans="1:7" x14ac:dyDescent="0.25">
      <c r="A11135" s="50" t="s">
        <v>62</v>
      </c>
      <c r="B11135" s="220" t="str">
        <f>VLOOKUP(A11135,'[1]Componentes APUs'!$S$1:$V$10,2,0)</f>
        <v>Templadoras</v>
      </c>
      <c r="C11135" s="220"/>
      <c r="D11135" s="50" t="s">
        <v>18</v>
      </c>
      <c r="E11135" s="50">
        <v>0</v>
      </c>
      <c r="F11135" s="51">
        <f>VLOOKUP(A11135,'[1]Componentes APUs'!$S$1:$V$10,4,0)</f>
        <v>250000</v>
      </c>
      <c r="G11135" s="51">
        <f>ROUNDUP(F11135*((E11135/21)/E11112),0)</f>
        <v>0</v>
      </c>
    </row>
    <row r="11136" spans="1:7" x14ac:dyDescent="0.25">
      <c r="A11136" s="50" t="s">
        <v>328</v>
      </c>
      <c r="B11136" s="220" t="str">
        <f>VLOOKUP(A11136,'[1]Componentes APUs'!$S$1:$V$10,2,0)</f>
        <v>Herramienta Menor</v>
      </c>
      <c r="C11136" s="220"/>
      <c r="D11136" s="50" t="s">
        <v>18</v>
      </c>
      <c r="E11136" s="50">
        <v>2</v>
      </c>
      <c r="F11136" s="51">
        <f>VLOOKUP(A11136,'[1]Componentes APUs'!$S$1:$V$10,4,0)</f>
        <v>75758</v>
      </c>
      <c r="G11136" s="51">
        <f>ROUNDUP(F11136*((E11136/21)/E11112),0)</f>
        <v>14431</v>
      </c>
    </row>
    <row r="11137" spans="1:7" x14ac:dyDescent="0.25">
      <c r="A11137" s="50" t="s">
        <v>66</v>
      </c>
      <c r="B11137" s="220" t="str">
        <f>VLOOKUP(A11137,'[1]Componentes APUs'!$S$1:$V$10,2,0)</f>
        <v>Diferencial 2 Toneladas</v>
      </c>
      <c r="C11137" s="220"/>
      <c r="D11137" s="50" t="s">
        <v>18</v>
      </c>
      <c r="E11137" s="50">
        <v>1</v>
      </c>
      <c r="F11137" s="51">
        <f>VLOOKUP(A11137,'[1]Componentes APUs'!$S$1:$V$10,4,0)</f>
        <v>474905</v>
      </c>
      <c r="G11137" s="51">
        <f>ROUNDUP(F11137*((E11137/21)/E11112),0)</f>
        <v>45230</v>
      </c>
    </row>
    <row r="11138" spans="1:7" x14ac:dyDescent="0.25">
      <c r="A11138" s="219" t="s">
        <v>69</v>
      </c>
      <c r="B11138" s="219"/>
      <c r="C11138" s="219"/>
      <c r="D11138" s="219"/>
      <c r="E11138" s="219"/>
      <c r="F11138" s="219"/>
      <c r="G11138" s="52">
        <f>SUM(G11131:G11137)</f>
        <v>62092</v>
      </c>
    </row>
    <row r="11139" spans="1:7" x14ac:dyDescent="0.25">
      <c r="A11139" s="56"/>
      <c r="B11139" s="57"/>
      <c r="C11139" s="57"/>
      <c r="D11139" s="57"/>
      <c r="E11139" s="57"/>
      <c r="F11139" s="57"/>
      <c r="G11139" s="58"/>
    </row>
    <row r="11140" spans="1:7" x14ac:dyDescent="0.25">
      <c r="A11140" s="219" t="s">
        <v>70</v>
      </c>
      <c r="B11140" s="219"/>
      <c r="C11140" s="219"/>
      <c r="D11140" s="219"/>
      <c r="E11140" s="219"/>
      <c r="F11140" s="219"/>
      <c r="G11140" s="219"/>
    </row>
    <row r="11141" spans="1:7" x14ac:dyDescent="0.25">
      <c r="A11141" s="49" t="s">
        <v>35</v>
      </c>
      <c r="B11141" s="219" t="s">
        <v>36</v>
      </c>
      <c r="C11141" s="219"/>
      <c r="D11141" s="49" t="s">
        <v>37</v>
      </c>
      <c r="E11141" s="49" t="s">
        <v>38</v>
      </c>
      <c r="F11141" s="49" t="s">
        <v>39</v>
      </c>
      <c r="G11141" s="49" t="s">
        <v>40</v>
      </c>
    </row>
    <row r="11142" spans="1:7" x14ac:dyDescent="0.25">
      <c r="A11142" s="50" t="s">
        <v>71</v>
      </c>
      <c r="B11142" s="71" t="str">
        <f>VLOOKUP(A11142,'[1]Componentes APUs'!$A$1:$D$14,2,0)</f>
        <v>Camisa indigo sin partes metalicas</v>
      </c>
      <c r="C11142" s="71"/>
      <c r="D11142" s="50" t="str">
        <f>VLOOKUP(A11142,'[1]Componentes APUs'!$A$1:$D$14,3,0)</f>
        <v>U</v>
      </c>
      <c r="E11142" s="50">
        <f>SUM(C11121:C11126)</f>
        <v>4.75</v>
      </c>
      <c r="F11142" s="51">
        <f>VLOOKUP(A11142,'[1]Componentes APUs'!$A$1:$D$14,4,0)</f>
        <v>8585.8585858585866</v>
      </c>
      <c r="G11142" s="51">
        <f>ROUNDUP(F11142*(E11142/21)/E11112,0)</f>
        <v>3885</v>
      </c>
    </row>
    <row r="11143" spans="1:7" x14ac:dyDescent="0.25">
      <c r="A11143" s="69" t="s">
        <v>73</v>
      </c>
      <c r="B11143" s="72" t="str">
        <f>VLOOKUP(A11143,'[1]Componentes APUs'!$A$1:$D$14,2,0)</f>
        <v>Bota de seguridad dielectrica</v>
      </c>
      <c r="C11143" s="73"/>
      <c r="D11143" s="70" t="str">
        <f>VLOOKUP(A11143,'[1]Componentes APUs'!$A$1:$D$14,3,0)</f>
        <v>Par</v>
      </c>
      <c r="E11143" s="50">
        <f>SUM(C11121:C11126)</f>
        <v>4.75</v>
      </c>
      <c r="F11143" s="51">
        <f>VLOOKUP(A11143,'[1]Componentes APUs'!$A$1:$D$14,4,0)</f>
        <v>7500</v>
      </c>
      <c r="G11143" s="51">
        <f>ROUNDUP(F11143*(E11143/21)/E11112,0)</f>
        <v>3393</v>
      </c>
    </row>
    <row r="11144" spans="1:7" x14ac:dyDescent="0.25">
      <c r="A11144" s="50" t="s">
        <v>76</v>
      </c>
      <c r="B11144" s="72" t="str">
        <f>VLOOKUP(A11144,'[1]Componentes APUs'!$A$1:$D$14,2,0)</f>
        <v>Casco dielectrico Tipo 1 Clase E con barbuquejo</v>
      </c>
      <c r="C11144" s="73"/>
      <c r="D11144" s="50" t="str">
        <f>VLOOKUP(A11144,'[1]Componentes APUs'!$A$1:$D$14,3,0)</f>
        <v>U</v>
      </c>
      <c r="E11144" s="50">
        <f>C11121+C11122+C11125+C11126+C11124+IF(A11123&lt;&gt;"MO-3",C11123,0)</f>
        <v>2.75</v>
      </c>
      <c r="F11144" s="51">
        <f>VLOOKUP(A11144,'[1]Componentes APUs'!$A$1:$D$14,4,0)</f>
        <v>10101.010101010101</v>
      </c>
      <c r="G11144" s="51">
        <f>ROUNDUP(F11144*(E11144/21)/E11112,0)</f>
        <v>2646</v>
      </c>
    </row>
    <row r="11145" spans="1:7" x14ac:dyDescent="0.25">
      <c r="A11145" s="69" t="s">
        <v>77</v>
      </c>
      <c r="B11145" s="72" t="str">
        <f>VLOOKUP(A11145,'[1]Componentes APUs'!$A$1:$D$14,2,0)</f>
        <v>Correa plastica y antiflama</v>
      </c>
      <c r="C11145" s="73"/>
      <c r="D11145" s="50" t="str">
        <f>VLOOKUP(A11145,'[1]Componentes APUs'!$A$1:$D$14,3,0)</f>
        <v>U</v>
      </c>
      <c r="E11145" s="50">
        <f>SUM(C11121:C11126)</f>
        <v>4.75</v>
      </c>
      <c r="F11145" s="51">
        <f>VLOOKUP(A11145,'[1]Componentes APUs'!$A$1:$D$14,4,0)</f>
        <v>3787.878787878788</v>
      </c>
      <c r="G11145" s="51">
        <f>ROUNDUP(F11145*(E11145/21)/E11112,0)</f>
        <v>1714</v>
      </c>
    </row>
    <row r="11146" spans="1:7" x14ac:dyDescent="0.25">
      <c r="A11146" s="50" t="s">
        <v>79</v>
      </c>
      <c r="B11146" s="72" t="str">
        <f>VLOOKUP(A11146,'[1]Componentes APUs'!$A$1:$D$14,2,0)</f>
        <v>Gafas protectoras filtro UV</v>
      </c>
      <c r="C11146" s="73"/>
      <c r="D11146" s="50" t="str">
        <f>VLOOKUP(A11146,'[1]Componentes APUs'!$A$1:$D$14,3,0)</f>
        <v>U</v>
      </c>
      <c r="E11146" s="50">
        <f>SUM(C11121:C11126)</f>
        <v>4.75</v>
      </c>
      <c r="F11146" s="51">
        <f>VLOOKUP(A11146,'[1]Componentes APUs'!$A$1:$D$14,4,0)</f>
        <v>2777.7777777777778</v>
      </c>
      <c r="G11146" s="51">
        <f>ROUNDUP(F11146*(E11146/21)/E11112,0)</f>
        <v>1257</v>
      </c>
    </row>
    <row r="11147" spans="1:7" x14ac:dyDescent="0.25">
      <c r="A11147" s="69" t="s">
        <v>402</v>
      </c>
      <c r="B11147" s="72" t="str">
        <f>VLOOKUP(A11147,'[1]Componentes APUs'!$A$1:$D$14,2,0)</f>
        <v>Bota de seguridad PVC dielectrica</v>
      </c>
      <c r="C11147" s="73"/>
      <c r="D11147" s="50" t="str">
        <f>VLOOKUP(A11147,'[1]Componentes APUs'!$A$1:$D$14,3,0)</f>
        <v>Par</v>
      </c>
      <c r="E11147" s="50">
        <f>SUM(C11121:C11126)</f>
        <v>4.75</v>
      </c>
      <c r="F11147" s="51">
        <f>VLOOKUP(A11147,'[1]Componentes APUs'!$A$1:$D$14,4,0)</f>
        <v>2916.6666666666665</v>
      </c>
      <c r="G11147" s="51">
        <f>ROUNDUP(F11147*(E11147/21)/E11112,0)</f>
        <v>1320</v>
      </c>
    </row>
    <row r="11148" spans="1:7" x14ac:dyDescent="0.25">
      <c r="A11148" s="50" t="s">
        <v>403</v>
      </c>
      <c r="B11148" s="72" t="str">
        <f>VLOOKUP(A11148,'[1]Componentes APUs'!$A$1:$D$14,2,0)</f>
        <v>Capuchon</v>
      </c>
      <c r="C11148" s="73"/>
      <c r="D11148" s="50" t="str">
        <f>VLOOKUP(A11148,'[1]Componentes APUs'!$A$1:$D$14,3,0)</f>
        <v>U</v>
      </c>
      <c r="E11148" s="50">
        <f>SUM(C11121:C11126)</f>
        <v>4.75</v>
      </c>
      <c r="F11148" s="51">
        <f>VLOOKUP(A11148,'[1]Componentes APUs'!$A$1:$D$14,4,0)</f>
        <v>2525.2525252525252</v>
      </c>
      <c r="G11148" s="51">
        <f>ROUNDUP(F11148*(E11148/21)/E11112,0)</f>
        <v>1143</v>
      </c>
    </row>
    <row r="11149" spans="1:7" x14ac:dyDescent="0.25">
      <c r="A11149" s="69" t="s">
        <v>81</v>
      </c>
      <c r="B11149" s="72" t="str">
        <f>VLOOKUP(A11149,'[1]Componentes APUs'!$A$1:$D$14,2,0)</f>
        <v>Guantes Protectores  - ingeniero reforzados</v>
      </c>
      <c r="C11149" s="73"/>
      <c r="D11149" s="50" t="str">
        <f>VLOOKUP(A11149,'[1]Componentes APUs'!$A$1:$D$14,3,0)</f>
        <v>Par</v>
      </c>
      <c r="E11149" s="50">
        <f>C11123+C11124+C11126</f>
        <v>4</v>
      </c>
      <c r="F11149" s="51">
        <f>VLOOKUP(A11149,'[1]Componentes APUs'!$A$1:$D$14,4,0)</f>
        <v>2525.2525252525252</v>
      </c>
      <c r="G11149" s="51">
        <f>ROUNDUP(F11149*(E11149/21)/E11112,0)</f>
        <v>963</v>
      </c>
    </row>
    <row r="11150" spans="1:7" x14ac:dyDescent="0.25">
      <c r="A11150" s="50" t="s">
        <v>83</v>
      </c>
      <c r="B11150" s="72" t="str">
        <f>VLOOKUP(A11150,'[1]Componentes APUs'!$A$1:$D$14,2,0)</f>
        <v>Impermeable (pantalon camisa)</v>
      </c>
      <c r="C11150" s="73"/>
      <c r="D11150" s="50" t="str">
        <f>VLOOKUP(A11150,'[1]Componentes APUs'!$A$1:$D$14,3,0)</f>
        <v>U</v>
      </c>
      <c r="E11150" s="50">
        <f>SUM(C11121:C11126)</f>
        <v>4.75</v>
      </c>
      <c r="F11150" s="51">
        <f>VLOOKUP(A11150,'[1]Componentes APUs'!$A$1:$D$14,4,0)</f>
        <v>3750</v>
      </c>
      <c r="G11150" s="51">
        <f>ROUNDUP(F11150*(E11150/21)/E11112,0)</f>
        <v>1697</v>
      </c>
    </row>
    <row r="11151" spans="1:7" x14ac:dyDescent="0.25">
      <c r="A11151" s="69" t="s">
        <v>85</v>
      </c>
      <c r="B11151" s="72" t="str">
        <f>VLOOKUP(A11151,'[1]Componentes APUs'!$A$1:$D$14,2,0)</f>
        <v>Jean Dielectrico</v>
      </c>
      <c r="C11151" s="73"/>
      <c r="D11151" s="50" t="str">
        <f>VLOOKUP(A11151,'[1]Componentes APUs'!$A$1:$D$14,3,0)</f>
        <v>U</v>
      </c>
      <c r="E11151" s="50">
        <f>SUM(C11121:C11126)</f>
        <v>4.75</v>
      </c>
      <c r="F11151" s="51">
        <f>VLOOKUP(A11151,'[1]Componentes APUs'!$A$1:$D$14,4,0)</f>
        <v>7575.757575757576</v>
      </c>
      <c r="G11151" s="51">
        <f>ROUNDUP(F11151*(E11151/21)/E11112,0)</f>
        <v>3428</v>
      </c>
    </row>
    <row r="11152" spans="1:7" x14ac:dyDescent="0.25">
      <c r="A11152" s="50" t="s">
        <v>87</v>
      </c>
      <c r="B11152" s="72" t="str">
        <f>VLOOKUP(A11152,'[1]Componentes APUs'!$A$1:$D$14,2,0)</f>
        <v>Casco dielectrico Tipo 2 Clase E con barboquejo</v>
      </c>
      <c r="C11152" s="73"/>
      <c r="D11152" s="50" t="str">
        <f>VLOOKUP(A11152,'[1]Componentes APUs'!$A$1:$D$14,3,0)</f>
        <v>U</v>
      </c>
      <c r="E11152" s="53">
        <f>IF(A11123="MO-3",C11123,0)</f>
        <v>2</v>
      </c>
      <c r="F11152" s="51">
        <f>VLOOKUP(A11152,'[1]Componentes APUs'!$A$1:$D$14,4,0)</f>
        <v>7500</v>
      </c>
      <c r="G11152" s="51">
        <f>ROUNDUP(F11152*(E11152/21)/E11112,0)</f>
        <v>1429</v>
      </c>
    </row>
    <row r="11153" spans="1:7" x14ac:dyDescent="0.25">
      <c r="A11153" s="69" t="s">
        <v>89</v>
      </c>
      <c r="B11153" s="72" t="str">
        <f>VLOOKUP(A11153,'[1]Componentes APUs'!$A$1:$D$14,2,0)</f>
        <v>Kit de rescate para trabajo en alturas</v>
      </c>
      <c r="C11153" s="73"/>
      <c r="D11153" s="50" t="str">
        <f>VLOOKUP(A11153,'[1]Componentes APUs'!$A$1:$D$14,3,0)</f>
        <v>U</v>
      </c>
      <c r="E11153" s="50">
        <f>IF(AND(A11123="MO-3",C11123=2),1,0)</f>
        <v>1</v>
      </c>
      <c r="F11153" s="51">
        <f>VLOOKUP(A11153,'[1]Componentes APUs'!$A$1:$D$14,4,0)</f>
        <v>37500</v>
      </c>
      <c r="G11153" s="51">
        <f>ROUNDUP(F11153*(E11153/21)/E11112,0)</f>
        <v>3572</v>
      </c>
    </row>
    <row r="11154" spans="1:7" x14ac:dyDescent="0.25">
      <c r="A11154" s="50" t="s">
        <v>91</v>
      </c>
      <c r="B11154" s="72" t="str">
        <f>VLOOKUP(A11154,'[1]Componentes APUs'!$A$1:$D$14,2,0)</f>
        <v>Equipo completo para trabajo en alturas con pretales (Arnes dielectrico, 1 mosqueton de seguridad, tie off dielectrico, eslinga de posicionamiento, juego de pretales)</v>
      </c>
      <c r="C11154" s="73"/>
      <c r="D11154" s="50" t="str">
        <f>VLOOKUP(A11154,'[1]Componentes APUs'!$A$1:$D$14,3,0)</f>
        <v>U</v>
      </c>
      <c r="E11154" s="50">
        <f>IF(A11123="MO-3",C11123,0)</f>
        <v>2</v>
      </c>
      <c r="F11154" s="51">
        <f>VLOOKUP(A11154,'[1]Componentes APUs'!$A$1:$D$14,4,0)</f>
        <v>26041.666666666668</v>
      </c>
      <c r="G11154" s="51">
        <f>ROUNDUP(F11154*(E11154/21)/E11112,0)</f>
        <v>4961</v>
      </c>
    </row>
    <row r="11155" spans="1:7" x14ac:dyDescent="0.25">
      <c r="A11155" s="219" t="s">
        <v>95</v>
      </c>
      <c r="B11155" s="219"/>
      <c r="C11155" s="219"/>
      <c r="D11155" s="219"/>
      <c r="E11155" s="219"/>
      <c r="F11155" s="219"/>
      <c r="G11155" s="52">
        <f>SUM(G11142:G11154)</f>
        <v>31408</v>
      </c>
    </row>
    <row r="11156" spans="1:7" x14ac:dyDescent="0.25">
      <c r="A11156" s="56"/>
      <c r="B11156" s="57"/>
      <c r="C11156" s="57"/>
      <c r="D11156" s="57"/>
      <c r="E11156" s="57"/>
      <c r="F11156" s="57"/>
      <c r="G11156" s="58"/>
    </row>
    <row r="11157" spans="1:7" x14ac:dyDescent="0.25">
      <c r="A11157" s="219" t="s">
        <v>96</v>
      </c>
      <c r="B11157" s="219"/>
      <c r="C11157" s="219"/>
      <c r="D11157" s="219"/>
      <c r="E11157" s="219"/>
      <c r="F11157" s="219"/>
      <c r="G11157" s="219"/>
    </row>
    <row r="11158" spans="1:7" x14ac:dyDescent="0.25">
      <c r="A11158" s="49" t="s">
        <v>35</v>
      </c>
      <c r="B11158" s="225" t="s">
        <v>36</v>
      </c>
      <c r="C11158" s="225"/>
      <c r="D11158" s="49" t="s">
        <v>37</v>
      </c>
      <c r="E11158" s="49" t="s">
        <v>38</v>
      </c>
      <c r="F11158" s="49" t="s">
        <v>39</v>
      </c>
      <c r="G11158" s="49" t="s">
        <v>40</v>
      </c>
    </row>
    <row r="11159" spans="1:7" x14ac:dyDescent="0.25">
      <c r="A11159" s="69" t="s">
        <v>97</v>
      </c>
      <c r="B11159" s="72" t="str">
        <f>VLOOKUP(A11159,'[1]Componentes APUs'!$N$1:$Q$30,2,0)</f>
        <v>Camioneta</v>
      </c>
      <c r="C11159" s="73"/>
      <c r="D11159" s="70" t="str">
        <f>VLOOKUP(A11159,'[1]Componentes APUs'!$N$1:$Q$30,3,0)</f>
        <v>U</v>
      </c>
      <c r="E11159" s="50">
        <v>1</v>
      </c>
      <c r="F11159" s="51">
        <f>VLOOKUP(A11159,'[1]Componentes APUs'!$N$1:$Q$30,4,0)</f>
        <v>5500000</v>
      </c>
      <c r="G11159" s="51">
        <f>IFERROR(ROUNDUP(F11159*(E11159/21)/E11112,0),"-")</f>
        <v>523810</v>
      </c>
    </row>
    <row r="11160" spans="1:7" x14ac:dyDescent="0.25">
      <c r="A11160" s="50" t="s">
        <v>321</v>
      </c>
      <c r="B11160" s="72" t="str">
        <f>VLOOKUP(A11160,'[1]Componentes APUs'!$N$1:$Q$30,2,0)</f>
        <v>Grúa Hidráulica</v>
      </c>
      <c r="C11160" s="73"/>
      <c r="D11160" s="70" t="str">
        <f>VLOOKUP(A11160,'[1]Componentes APUs'!$N$1:$Q$30,3,0)</f>
        <v>U</v>
      </c>
      <c r="E11160" s="50">
        <v>0</v>
      </c>
      <c r="F11160" s="51">
        <f>VLOOKUP(A11160,'[1]Componentes APUs'!$N$1:$Q$30,4,0)</f>
        <v>21000000</v>
      </c>
      <c r="G11160" s="51">
        <f>IFERROR(ROUNDUP(F11160*(E11160/21)/E11112,0),"-")</f>
        <v>0</v>
      </c>
    </row>
    <row r="11161" spans="1:7" x14ac:dyDescent="0.25">
      <c r="A11161" s="69" t="s">
        <v>322</v>
      </c>
      <c r="B11161" s="72" t="str">
        <f>VLOOKUP(A11161,'[1]Componentes APUs'!$N$1:$Q$30,2,0)</f>
        <v>Camabaja</v>
      </c>
      <c r="C11161" s="73"/>
      <c r="D11161" s="70" t="str">
        <f>VLOOKUP(A11161,'[1]Componentes APUs'!$N$1:$Q$30,3,0)</f>
        <v>TON/KM</v>
      </c>
      <c r="E11161" s="50">
        <v>0</v>
      </c>
      <c r="F11161" s="51">
        <f>VLOOKUP(A11161,'[1]Componentes APUs'!$N$1:$Q$30,4,0)</f>
        <v>611</v>
      </c>
      <c r="G11161" s="51">
        <f>IFERROR(ROUNDUP(F11161*(E11161/21)/E11112,0),"-")</f>
        <v>0</v>
      </c>
    </row>
    <row r="11162" spans="1:7" x14ac:dyDescent="0.25">
      <c r="A11162" s="50" t="s">
        <v>323</v>
      </c>
      <c r="B11162" s="72" t="str">
        <f>VLOOKUP(A11162,'[1]Componentes APUs'!$N$1:$Q$30,2,0)</f>
        <v>Volqueta</v>
      </c>
      <c r="C11162" s="73"/>
      <c r="D11162" s="70" t="str">
        <f>VLOOKUP(A11162,'[1]Componentes APUs'!$N$1:$Q$30,3,0)</f>
        <v>U</v>
      </c>
      <c r="E11162" s="50">
        <v>0</v>
      </c>
      <c r="F11162" s="51">
        <f>VLOOKUP(A11162,'[1]Componentes APUs'!$N$1:$Q$30,4,0)</f>
        <v>18900000</v>
      </c>
      <c r="G11162" s="51">
        <f>IFERROR(ROUNDUP(F11162*(E11162/21)/E11112,0),"-")</f>
        <v>0</v>
      </c>
    </row>
    <row r="11163" spans="1:7" x14ac:dyDescent="0.25">
      <c r="A11163" s="69" t="s">
        <v>324</v>
      </c>
      <c r="B11163" s="72" t="str">
        <f>VLOOKUP(A11163,'[1]Componentes APUs'!$N$1:$Q$30,2,0)</f>
        <v>Retroexcavadora</v>
      </c>
      <c r="C11163" s="73"/>
      <c r="D11163" s="70" t="str">
        <f>VLOOKUP(A11163,'[1]Componentes APUs'!$N$1:$Q$30,3,0)</f>
        <v>U</v>
      </c>
      <c r="E11163" s="50">
        <v>0</v>
      </c>
      <c r="F11163" s="51">
        <f>VLOOKUP(A11163,'[1]Componentes APUs'!$N$1:$Q$30,4,0)</f>
        <v>1494459.54</v>
      </c>
      <c r="G11163" s="51">
        <f>IFERROR(ROUNDUP(F11163*(E11163/21)/E11112,0),"-")</f>
        <v>0</v>
      </c>
    </row>
    <row r="11164" spans="1:7" x14ac:dyDescent="0.25">
      <c r="A11164" s="219" t="s">
        <v>99</v>
      </c>
      <c r="B11164" s="219"/>
      <c r="C11164" s="219"/>
      <c r="D11164" s="219"/>
      <c r="E11164" s="219"/>
      <c r="F11164" s="219"/>
      <c r="G11164" s="52">
        <f>SUM(G11159:G11163)</f>
        <v>523810</v>
      </c>
    </row>
    <row r="11165" spans="1:7" x14ac:dyDescent="0.25">
      <c r="A11165" s="56"/>
      <c r="B11165" s="57"/>
      <c r="C11165" s="57"/>
      <c r="D11165" s="57"/>
      <c r="E11165" s="57"/>
      <c r="F11165" s="57"/>
      <c r="G11165" s="58"/>
    </row>
    <row r="11166" spans="1:7" x14ac:dyDescent="0.25">
      <c r="A11166" s="219" t="s">
        <v>1516</v>
      </c>
      <c r="B11166" s="219"/>
      <c r="C11166" s="219"/>
      <c r="D11166" s="219"/>
      <c r="E11166" s="219"/>
      <c r="F11166" s="219"/>
      <c r="G11166" s="52">
        <f>G11164+G11155+G11138+G11127+G11117</f>
        <v>60559837</v>
      </c>
    </row>
    <row r="11167" spans="1:7" x14ac:dyDescent="0.25">
      <c r="A11167" s="59"/>
      <c r="B11167" s="60"/>
      <c r="C11167" s="60"/>
      <c r="D11167" s="60"/>
      <c r="E11167" s="57"/>
      <c r="F11167" s="57"/>
      <c r="G11167" s="58"/>
    </row>
    <row r="11168" spans="1:7" x14ac:dyDescent="0.25">
      <c r="A11168" s="64"/>
      <c r="D11168" s="55"/>
      <c r="E11168" s="49" t="s">
        <v>25</v>
      </c>
      <c r="F11168" s="54">
        <v>0.15</v>
      </c>
      <c r="G11168" s="51">
        <f>G11166*F11168</f>
        <v>9083975.5499999989</v>
      </c>
    </row>
    <row r="11169" spans="1:7" x14ac:dyDescent="0.25">
      <c r="A11169" s="64"/>
      <c r="D11169" s="55"/>
      <c r="E11169" s="49" t="s">
        <v>26</v>
      </c>
      <c r="F11169" s="54">
        <v>0.05</v>
      </c>
      <c r="G11169" s="51">
        <f>G11166*F11169</f>
        <v>3027991.85</v>
      </c>
    </row>
    <row r="11170" spans="1:7" x14ac:dyDescent="0.25">
      <c r="A11170" s="61"/>
      <c r="B11170" s="65"/>
      <c r="C11170" s="65"/>
      <c r="D11170" s="62"/>
      <c r="E11170" s="49" t="s">
        <v>27</v>
      </c>
      <c r="F11170" s="54">
        <v>0.05</v>
      </c>
      <c r="G11170" s="51">
        <f>G11166*F11170</f>
        <v>3027991.85</v>
      </c>
    </row>
    <row r="11171" spans="1:7" x14ac:dyDescent="0.25">
      <c r="A11171" s="61"/>
      <c r="B11171" s="62"/>
      <c r="C11171" s="62"/>
      <c r="D11171" s="62"/>
      <c r="E11171" s="62"/>
      <c r="F11171" s="62"/>
      <c r="G11171" s="63"/>
    </row>
    <row r="11172" spans="1:7" x14ac:dyDescent="0.25">
      <c r="A11172" s="219" t="s">
        <v>1517</v>
      </c>
      <c r="B11172" s="219"/>
      <c r="C11172" s="219"/>
      <c r="D11172" s="219"/>
      <c r="E11172" s="219"/>
      <c r="F11172" s="219"/>
      <c r="G11172" s="52">
        <f>G11166+G11168+G11169+G11170</f>
        <v>75699796.249999985</v>
      </c>
    </row>
    <row r="11173" spans="1:7" x14ac:dyDescent="0.25">
      <c r="A11173" s="59"/>
      <c r="B11173" s="60"/>
      <c r="C11173" s="60"/>
      <c r="D11173" s="60"/>
      <c r="E11173" s="57"/>
      <c r="F11173" s="57"/>
      <c r="G11173" s="58"/>
    </row>
    <row r="11174" spans="1:7" x14ac:dyDescent="0.25">
      <c r="A11174" s="64"/>
      <c r="D11174" s="55"/>
      <c r="E11174" s="49" t="s">
        <v>102</v>
      </c>
      <c r="F11174" s="49" t="s">
        <v>103</v>
      </c>
      <c r="G11174" s="51">
        <f>G11170*19%</f>
        <v>575318.45149999997</v>
      </c>
    </row>
    <row r="11175" spans="1:7" x14ac:dyDescent="0.25">
      <c r="A11175" s="61"/>
      <c r="B11175" s="62"/>
      <c r="C11175" s="62"/>
      <c r="D11175" s="62"/>
      <c r="E11175" s="57"/>
      <c r="F11175" s="57"/>
      <c r="G11175" s="58"/>
    </row>
    <row r="11176" spans="1:7" x14ac:dyDescent="0.25">
      <c r="A11176" s="219" t="s">
        <v>104</v>
      </c>
      <c r="B11176" s="219"/>
      <c r="C11176" s="219"/>
      <c r="D11176" s="219"/>
      <c r="E11176" s="219"/>
      <c r="F11176" s="219"/>
      <c r="G11176" s="52">
        <f>G11174+G11172</f>
        <v>76275114.701499984</v>
      </c>
    </row>
    <row r="11178" spans="1:7" x14ac:dyDescent="0.25">
      <c r="A11178" s="74" t="s">
        <v>29</v>
      </c>
      <c r="B11178" s="226" t="s">
        <v>30</v>
      </c>
      <c r="C11178" s="226"/>
      <c r="D11178" s="74" t="s">
        <v>31</v>
      </c>
      <c r="E11178" s="74" t="s">
        <v>32</v>
      </c>
      <c r="F11178" s="74" t="s">
        <v>189</v>
      </c>
      <c r="G11178" s="74" t="s">
        <v>33</v>
      </c>
    </row>
    <row r="11179" spans="1:7" ht="42" customHeight="1" x14ac:dyDescent="0.25">
      <c r="A11179" s="50" t="str">
        <f>Presupuesto!B203</f>
        <v>014_N3</v>
      </c>
      <c r="B11179" s="220" t="str">
        <f>Presupuesto!C203</f>
        <v>SUMINISTRO E INSTALACIÓN DE SECCIONADOR TRIPOLAR MOTORIZADO SIN CUCHILLA DE PUESTA A TIERRA. UM:38 KV, IN: 630A, ISC:12.5KA MIN, LIWV:95KV. INCLUYE: BRAZO DE MANDO MANUAL A LA ALTURA APROPIADA</v>
      </c>
      <c r="C11179" s="220"/>
      <c r="D11179" s="50" t="s">
        <v>18</v>
      </c>
      <c r="E11179" s="50">
        <v>0.5</v>
      </c>
      <c r="F11179" s="50"/>
      <c r="G11179" s="51">
        <f>G11243</f>
        <v>51753750.504499994</v>
      </c>
    </row>
    <row r="11180" spans="1:7" x14ac:dyDescent="0.25">
      <c r="A11180" s="219" t="s">
        <v>34</v>
      </c>
      <c r="B11180" s="219"/>
      <c r="C11180" s="219"/>
      <c r="D11180" s="219"/>
      <c r="E11180" s="219"/>
      <c r="F11180" s="219"/>
      <c r="G11180" s="219"/>
    </row>
    <row r="11181" spans="1:7" x14ac:dyDescent="0.25">
      <c r="A11181" s="49" t="s">
        <v>35</v>
      </c>
      <c r="B11181" s="219" t="s">
        <v>36</v>
      </c>
      <c r="C11181" s="219"/>
      <c r="D11181" s="49" t="s">
        <v>37</v>
      </c>
      <c r="E11181" s="49" t="s">
        <v>38</v>
      </c>
      <c r="F11181" s="49" t="s">
        <v>39</v>
      </c>
      <c r="G11181" s="49" t="s">
        <v>40</v>
      </c>
    </row>
    <row r="11182" spans="1:7" ht="39" customHeight="1" x14ac:dyDescent="0.25">
      <c r="A11182" s="17" t="str">
        <f>Material!A24</f>
        <v>MA-23</v>
      </c>
      <c r="B11182" s="221" t="str">
        <f>IFERROR(VLOOKUP(A11182,Material!$A:$J,2,0),"-")</f>
        <v>SECCIONADOR TRIPOLAR MOTORIZADO SIN CUCHILLA DE PUESTA A TIERRA. UM:38 KV, IN: 630A, ISC:12.5KA MIN, LIWV:95KV. INCLUYE: BRAZO DE MANDO MANUAL A LA ALTURA APROPIADA</v>
      </c>
      <c r="C11182" s="222"/>
      <c r="D11182" s="50" t="str">
        <f>IFERROR(VLOOKUP(A11182,Material!$A:$J,4,0),"-")</f>
        <v>UN</v>
      </c>
      <c r="E11182" s="50">
        <v>1</v>
      </c>
      <c r="F11182" s="51">
        <f>IFERROR(VLOOKUP(A11182,Material!$A:$J,3,0),"-")</f>
        <v>38388148.806243218</v>
      </c>
      <c r="G11182" s="51">
        <f t="shared" ref="G11182:G11183" si="156">IFERROR(ROUNDUP(F11182*E11182,0),"-")</f>
        <v>38388149</v>
      </c>
    </row>
    <row r="11183" spans="1:7" x14ac:dyDescent="0.25">
      <c r="A11183" s="17"/>
      <c r="B11183" s="72" t="str">
        <f>IFERROR(VLOOKUP(A11183,Material!$A:$J,2,0),"-")</f>
        <v>-</v>
      </c>
      <c r="C11183" s="73"/>
      <c r="D11183" s="50" t="str">
        <f>IFERROR(VLOOKUP(A11183,Material!$A:$J,4,0),"-")</f>
        <v>-</v>
      </c>
      <c r="E11183" s="50"/>
      <c r="F11183" s="51" t="str">
        <f>IFERROR(VLOOKUP(A11183,Material!$A:$J,3,0),"-")</f>
        <v>-</v>
      </c>
      <c r="G11183" s="51" t="str">
        <f t="shared" si="156"/>
        <v>-</v>
      </c>
    </row>
    <row r="11184" spans="1:7" x14ac:dyDescent="0.25">
      <c r="A11184" s="219" t="s">
        <v>41</v>
      </c>
      <c r="B11184" s="219"/>
      <c r="C11184" s="219"/>
      <c r="D11184" s="219"/>
      <c r="E11184" s="219"/>
      <c r="F11184" s="219"/>
      <c r="G11184" s="52">
        <f>SUM(G11182:G11183)</f>
        <v>38388149</v>
      </c>
    </row>
    <row r="11185" spans="1:7" x14ac:dyDescent="0.25">
      <c r="A11185" s="56"/>
      <c r="B11185" s="57"/>
      <c r="C11185" s="57"/>
      <c r="D11185" s="57"/>
      <c r="E11185" s="57"/>
      <c r="F11185" s="57"/>
      <c r="G11185" s="58"/>
    </row>
    <row r="11186" spans="1:7" x14ac:dyDescent="0.25">
      <c r="A11186" s="219" t="s">
        <v>42</v>
      </c>
      <c r="B11186" s="219"/>
      <c r="C11186" s="219"/>
      <c r="D11186" s="219"/>
      <c r="E11186" s="219"/>
      <c r="F11186" s="219"/>
      <c r="G11186" s="219"/>
    </row>
    <row r="11187" spans="1:7" x14ac:dyDescent="0.25">
      <c r="A11187" s="49" t="s">
        <v>35</v>
      </c>
      <c r="B11187" s="49" t="s">
        <v>36</v>
      </c>
      <c r="C11187" s="49" t="s">
        <v>38</v>
      </c>
      <c r="D11187" s="49" t="s">
        <v>43</v>
      </c>
      <c r="E11187" s="49" t="s">
        <v>44</v>
      </c>
      <c r="F11187" s="49" t="s">
        <v>45</v>
      </c>
      <c r="G11187" s="49" t="s">
        <v>40</v>
      </c>
    </row>
    <row r="11188" spans="1:7" x14ac:dyDescent="0.25">
      <c r="A11188" s="50" t="s">
        <v>319</v>
      </c>
      <c r="B11188" s="68" t="str">
        <f>VLOOKUP(A11188,'[1]Componentes APUs'!$H$1:$L$25,2,0)</f>
        <v>Ingeniero Residente de Obra</v>
      </c>
      <c r="C11188" s="93">
        <v>0.25</v>
      </c>
      <c r="D11188" s="50">
        <f>VLOOKUP(A11188,'[1]Componentes APUs'!$H$1:$L$25,3,0)</f>
        <v>4</v>
      </c>
      <c r="E11188" s="51">
        <f>VLOOKUP(A11188,'[1]Componentes APUs'!$H$1:$L$25,4,0)</f>
        <v>271142.85714285716</v>
      </c>
      <c r="F11188" s="51">
        <f>VLOOKUP(A11188,'[1]Componentes APUs'!$H$1:$L$25,5,0)</f>
        <v>162685.71428571429</v>
      </c>
      <c r="G11188" s="51">
        <f>ROUNDUP((E11188+F11188)*C11188/E11179,0)</f>
        <v>216915</v>
      </c>
    </row>
    <row r="11189" spans="1:7" x14ac:dyDescent="0.25">
      <c r="A11189" s="50" t="s">
        <v>320</v>
      </c>
      <c r="B11189" s="68" t="str">
        <f>VLOOKUP(A11189,'[1]Componentes APUs'!$H$1:$L$25,2,0)</f>
        <v>Tecnico Supervisor</v>
      </c>
      <c r="C11189" s="93">
        <v>0.25</v>
      </c>
      <c r="D11189" s="50">
        <f>VLOOKUP(A11189,'[1]Componentes APUs'!$H$1:$L$25,3,0)</f>
        <v>2.2999999999999998</v>
      </c>
      <c r="E11189" s="51">
        <f>VLOOKUP(A11189,'[1]Componentes APUs'!$H$1:$L$25,4,0)</f>
        <v>155907.14285714284</v>
      </c>
      <c r="F11189" s="51">
        <f>VLOOKUP(A11189,'[1]Componentes APUs'!$H$1:$L$25,5,0)</f>
        <v>93544.285714285696</v>
      </c>
      <c r="G11189" s="51">
        <f>ROUNDUP((E11189+F11189)*C11189/E11179,0)</f>
        <v>124726</v>
      </c>
    </row>
    <row r="11190" spans="1:7" x14ac:dyDescent="0.25">
      <c r="A11190" s="50" t="s">
        <v>46</v>
      </c>
      <c r="B11190" s="68" t="str">
        <f>VLOOKUP(A11190,'[1]Componentes APUs'!$H$1:$L$25,2,0)</f>
        <v>Tecnico Liniero</v>
      </c>
      <c r="C11190" s="93">
        <v>2</v>
      </c>
      <c r="D11190" s="50">
        <f>VLOOKUP(A11190,'[1]Componentes APUs'!$H$1:$L$25,3,0)</f>
        <v>2</v>
      </c>
      <c r="E11190" s="51">
        <f>VLOOKUP(A11190,'[1]Componentes APUs'!$H$1:$L$25,4,0)</f>
        <v>154619.04761904763</v>
      </c>
      <c r="F11190" s="51">
        <f>VLOOKUP(A11190,'[1]Componentes APUs'!$H$1:$L$25,5,0)</f>
        <v>92771.42857142858</v>
      </c>
      <c r="G11190" s="51">
        <f>ROUNDUP((E11190+F11190)*C11190/E11179,0)</f>
        <v>989562</v>
      </c>
    </row>
    <row r="11191" spans="1:7" x14ac:dyDescent="0.25">
      <c r="A11191" s="50" t="s">
        <v>48</v>
      </c>
      <c r="B11191" s="68" t="str">
        <f>VLOOKUP(A11191,'[1]Componentes APUs'!$H$1:$L$25,2,0)</f>
        <v>Ayudante Calificado</v>
      </c>
      <c r="C11191" s="93">
        <v>1</v>
      </c>
      <c r="D11191" s="50">
        <f>VLOOKUP(A11191,'[1]Componentes APUs'!$H$1:$L$25,3,0)</f>
        <v>1.5</v>
      </c>
      <c r="E11191" s="51">
        <f>VLOOKUP(A11191,'[1]Componentes APUs'!$H$1:$L$25,4,0)</f>
        <v>115964.28571428571</v>
      </c>
      <c r="F11191" s="51">
        <f>VLOOKUP(A11191,'[1]Componentes APUs'!$H$1:$L$25,5,0)</f>
        <v>69578.57142857142</v>
      </c>
      <c r="G11191" s="51">
        <f>ROUNDUP((E11191+F11191)*C11191/E11179,0)</f>
        <v>371086</v>
      </c>
    </row>
    <row r="11192" spans="1:7" x14ac:dyDescent="0.25">
      <c r="A11192" s="50" t="s">
        <v>50</v>
      </c>
      <c r="B11192" s="68" t="str">
        <f>VLOOKUP(A11192,'[1]Componentes APUs'!$H$1:$L$25,2,0)</f>
        <v>Profesional en SST</v>
      </c>
      <c r="C11192" s="93">
        <v>0.25</v>
      </c>
      <c r="D11192" s="50">
        <f>VLOOKUP(A11192,'[1]Componentes APUs'!$H$1:$L$25,3,0)</f>
        <v>2.5</v>
      </c>
      <c r="E11192" s="51">
        <f>VLOOKUP(A11192,'[1]Componentes APUs'!$H$1:$L$25,4,0)</f>
        <v>169464.28571428571</v>
      </c>
      <c r="F11192" s="51">
        <f>VLOOKUP(A11192,'[1]Componentes APUs'!$H$1:$L$25,5,0)</f>
        <v>101678.57142857142</v>
      </c>
      <c r="G11192" s="51">
        <f>ROUNDUP((E11192+F11192)*C11192/E11179,0)</f>
        <v>135572</v>
      </c>
    </row>
    <row r="11193" spans="1:7" x14ac:dyDescent="0.25">
      <c r="A11193" s="50" t="s">
        <v>52</v>
      </c>
      <c r="B11193" s="68" t="str">
        <f>VLOOKUP(A11193,'[1]Componentes APUs'!$H$1:$L$25,2,0)</f>
        <v>Ayudante No Calificado</v>
      </c>
      <c r="C11193" s="93">
        <v>1</v>
      </c>
      <c r="D11193" s="50">
        <f>VLOOKUP(A11193,'[1]Componentes APUs'!$H$1:$L$25,3,0)</f>
        <v>1</v>
      </c>
      <c r="E11193" s="51">
        <f>VLOOKUP(A11193,'[1]Componentes APUs'!$H$1:$L$25,4,0)</f>
        <v>77309.523809523816</v>
      </c>
      <c r="F11193" s="51">
        <f>VLOOKUP(A11193,'[1]Componentes APUs'!$H$1:$L$25,5,0)</f>
        <v>46385.71428571429</v>
      </c>
      <c r="G11193" s="51">
        <f>ROUNDUP((E11193+F11193)*C11193/E11179,0)</f>
        <v>247391</v>
      </c>
    </row>
    <row r="11194" spans="1:7" x14ac:dyDescent="0.25">
      <c r="A11194" s="219" t="s">
        <v>56</v>
      </c>
      <c r="B11194" s="219"/>
      <c r="C11194" s="219"/>
      <c r="D11194" s="219"/>
      <c r="E11194" s="219"/>
      <c r="F11194" s="219"/>
      <c r="G11194" s="52">
        <f>SUM(G11188:G11193)</f>
        <v>2085252</v>
      </c>
    </row>
    <row r="11195" spans="1:7" x14ac:dyDescent="0.25">
      <c r="A11195" s="56"/>
      <c r="B11195" s="57"/>
      <c r="C11195" s="57"/>
      <c r="D11195" s="57"/>
      <c r="E11195" s="57"/>
      <c r="F11195" s="57"/>
      <c r="G11195" s="58"/>
    </row>
    <row r="11196" spans="1:7" x14ac:dyDescent="0.25">
      <c r="A11196" s="219" t="s">
        <v>57</v>
      </c>
      <c r="B11196" s="219"/>
      <c r="C11196" s="219"/>
      <c r="D11196" s="219"/>
      <c r="E11196" s="219"/>
      <c r="F11196" s="219"/>
      <c r="G11196" s="219"/>
    </row>
    <row r="11197" spans="1:7" x14ac:dyDescent="0.25">
      <c r="A11197" s="49" t="s">
        <v>35</v>
      </c>
      <c r="B11197" s="219" t="s">
        <v>36</v>
      </c>
      <c r="C11197" s="219"/>
      <c r="D11197" s="49" t="s">
        <v>37</v>
      </c>
      <c r="E11197" s="49" t="s">
        <v>38</v>
      </c>
      <c r="F11197" s="49" t="s">
        <v>39</v>
      </c>
      <c r="G11197" s="49" t="s">
        <v>40</v>
      </c>
    </row>
    <row r="11198" spans="1:7" x14ac:dyDescent="0.25">
      <c r="A11198" s="50" t="s">
        <v>326</v>
      </c>
      <c r="B11198" s="220" t="str">
        <f>VLOOKUP(A11198,'[1]Componentes APUs'!$S$1:$V$10,2,0)</f>
        <v>Juego Llaves</v>
      </c>
      <c r="C11198" s="220"/>
      <c r="D11198" s="50" t="s">
        <v>18</v>
      </c>
      <c r="E11198" s="50">
        <v>2</v>
      </c>
      <c r="F11198" s="51">
        <f>VLOOKUP(A11198,'[1]Componentes APUs'!$S$1:$V$10,4,0)</f>
        <v>9167</v>
      </c>
      <c r="G11198" s="51">
        <f>ROUNDUP(F11198*((E11198/21)/E11179),0)</f>
        <v>1747</v>
      </c>
    </row>
    <row r="11199" spans="1:7" x14ac:dyDescent="0.25">
      <c r="A11199" s="50" t="s">
        <v>58</v>
      </c>
      <c r="B11199" s="220" t="str">
        <f>VLOOKUP(A11199,'[1]Componentes APUs'!$S$1:$V$10,2,0)</f>
        <v>Manila de servicio</v>
      </c>
      <c r="C11199" s="220"/>
      <c r="D11199" s="50" t="s">
        <v>18</v>
      </c>
      <c r="E11199" s="50">
        <v>2</v>
      </c>
      <c r="F11199" s="51">
        <f>VLOOKUP(A11199,'[1]Componentes APUs'!$S$1:$V$10,4,0)</f>
        <v>2333</v>
      </c>
      <c r="G11199" s="51">
        <f>ROUNDUP(F11199*((E11199/21)/E11179),0)</f>
        <v>445</v>
      </c>
    </row>
    <row r="11200" spans="1:7" x14ac:dyDescent="0.25">
      <c r="A11200" s="50" t="s">
        <v>327</v>
      </c>
      <c r="B11200" s="220" t="str">
        <f>VLOOKUP(A11200,'[1]Componentes APUs'!$S$1:$V$10,2,0)</f>
        <v>Tula portaherramientas</v>
      </c>
      <c r="C11200" s="220"/>
      <c r="D11200" s="50" t="s">
        <v>18</v>
      </c>
      <c r="E11200" s="50">
        <v>2</v>
      </c>
      <c r="F11200" s="51">
        <f>VLOOKUP(A11200,'[1]Componentes APUs'!$S$1:$V$10,4,0)</f>
        <v>1250</v>
      </c>
      <c r="G11200" s="51">
        <f>ROUNDUP(F11200*((E11200/21)/E11179),0)</f>
        <v>239</v>
      </c>
    </row>
    <row r="11201" spans="1:7" x14ac:dyDescent="0.25">
      <c r="A11201" s="50" t="s">
        <v>60</v>
      </c>
      <c r="B11201" s="220" t="str">
        <f>VLOOKUP(A11201,'[1]Componentes APUs'!$S$1:$V$10,2,0)</f>
        <v>Agarradoras</v>
      </c>
      <c r="C11201" s="220"/>
      <c r="D11201" s="50" t="s">
        <v>18</v>
      </c>
      <c r="E11201" s="50">
        <v>0</v>
      </c>
      <c r="F11201" s="51">
        <f>VLOOKUP(A11201,'[1]Componentes APUs'!$S$1:$V$10,4,0)</f>
        <v>125000</v>
      </c>
      <c r="G11201" s="51">
        <f>ROUNDUP(F11201*((E11201/21)/E11179),0)</f>
        <v>0</v>
      </c>
    </row>
    <row r="11202" spans="1:7" x14ac:dyDescent="0.25">
      <c r="A11202" s="50" t="s">
        <v>62</v>
      </c>
      <c r="B11202" s="220" t="str">
        <f>VLOOKUP(A11202,'[1]Componentes APUs'!$S$1:$V$10,2,0)</f>
        <v>Templadoras</v>
      </c>
      <c r="C11202" s="220"/>
      <c r="D11202" s="50" t="s">
        <v>18</v>
      </c>
      <c r="E11202" s="50">
        <v>0</v>
      </c>
      <c r="F11202" s="51">
        <f>VLOOKUP(A11202,'[1]Componentes APUs'!$S$1:$V$10,4,0)</f>
        <v>250000</v>
      </c>
      <c r="G11202" s="51">
        <f>ROUNDUP(F11202*((E11202/21)/E11179),0)</f>
        <v>0</v>
      </c>
    </row>
    <row r="11203" spans="1:7" x14ac:dyDescent="0.25">
      <c r="A11203" s="50" t="s">
        <v>328</v>
      </c>
      <c r="B11203" s="220" t="str">
        <f>VLOOKUP(A11203,'[1]Componentes APUs'!$S$1:$V$10,2,0)</f>
        <v>Herramienta Menor</v>
      </c>
      <c r="C11203" s="220"/>
      <c r="D11203" s="50" t="s">
        <v>18</v>
      </c>
      <c r="E11203" s="50">
        <v>2</v>
      </c>
      <c r="F11203" s="51">
        <f>VLOOKUP(A11203,'[1]Componentes APUs'!$S$1:$V$10,4,0)</f>
        <v>75758</v>
      </c>
      <c r="G11203" s="51">
        <f>ROUNDUP(F11203*((E11203/21)/E11179),0)</f>
        <v>14431</v>
      </c>
    </row>
    <row r="11204" spans="1:7" x14ac:dyDescent="0.25">
      <c r="A11204" s="50" t="s">
        <v>66</v>
      </c>
      <c r="B11204" s="220" t="str">
        <f>VLOOKUP(A11204,'[1]Componentes APUs'!$S$1:$V$10,2,0)</f>
        <v>Diferencial 2 Toneladas</v>
      </c>
      <c r="C11204" s="220"/>
      <c r="D11204" s="50" t="s">
        <v>18</v>
      </c>
      <c r="E11204" s="50">
        <v>1</v>
      </c>
      <c r="F11204" s="51">
        <f>VLOOKUP(A11204,'[1]Componentes APUs'!$S$1:$V$10,4,0)</f>
        <v>474905</v>
      </c>
      <c r="G11204" s="51">
        <f>ROUNDUP(F11204*((E11204/21)/E11179),0)</f>
        <v>45230</v>
      </c>
    </row>
    <row r="11205" spans="1:7" x14ac:dyDescent="0.25">
      <c r="A11205" s="219" t="s">
        <v>69</v>
      </c>
      <c r="B11205" s="219"/>
      <c r="C11205" s="219"/>
      <c r="D11205" s="219"/>
      <c r="E11205" s="219"/>
      <c r="F11205" s="219"/>
      <c r="G11205" s="52">
        <f>SUM(G11198:G11204)</f>
        <v>62092</v>
      </c>
    </row>
    <row r="11206" spans="1:7" x14ac:dyDescent="0.25">
      <c r="A11206" s="56"/>
      <c r="B11206" s="57"/>
      <c r="C11206" s="57"/>
      <c r="D11206" s="57"/>
      <c r="E11206" s="57"/>
      <c r="F11206" s="57"/>
      <c r="G11206" s="58"/>
    </row>
    <row r="11207" spans="1:7" x14ac:dyDescent="0.25">
      <c r="A11207" s="219" t="s">
        <v>70</v>
      </c>
      <c r="B11207" s="219"/>
      <c r="C11207" s="219"/>
      <c r="D11207" s="219"/>
      <c r="E11207" s="219"/>
      <c r="F11207" s="219"/>
      <c r="G11207" s="219"/>
    </row>
    <row r="11208" spans="1:7" x14ac:dyDescent="0.25">
      <c r="A11208" s="49" t="s">
        <v>35</v>
      </c>
      <c r="B11208" s="219" t="s">
        <v>36</v>
      </c>
      <c r="C11208" s="219"/>
      <c r="D11208" s="49" t="s">
        <v>37</v>
      </c>
      <c r="E11208" s="49" t="s">
        <v>38</v>
      </c>
      <c r="F11208" s="49" t="s">
        <v>39</v>
      </c>
      <c r="G11208" s="49" t="s">
        <v>40</v>
      </c>
    </row>
    <row r="11209" spans="1:7" x14ac:dyDescent="0.25">
      <c r="A11209" s="50" t="s">
        <v>71</v>
      </c>
      <c r="B11209" s="71" t="str">
        <f>VLOOKUP(A11209,'[1]Componentes APUs'!$A$1:$D$14,2,0)</f>
        <v>Camisa indigo sin partes metalicas</v>
      </c>
      <c r="C11209" s="71"/>
      <c r="D11209" s="50" t="str">
        <f>VLOOKUP(A11209,'[1]Componentes APUs'!$A$1:$D$14,3,0)</f>
        <v>U</v>
      </c>
      <c r="E11209" s="50">
        <f>SUM(C11188:C11193)</f>
        <v>4.75</v>
      </c>
      <c r="F11209" s="51">
        <f>VLOOKUP(A11209,'[1]Componentes APUs'!$A$1:$D$14,4,0)</f>
        <v>8585.8585858585866</v>
      </c>
      <c r="G11209" s="51">
        <f>ROUNDUP(F11209*(E11209/21)/E11179,0)</f>
        <v>3885</v>
      </c>
    </row>
    <row r="11210" spans="1:7" x14ac:dyDescent="0.25">
      <c r="A11210" s="69" t="s">
        <v>73</v>
      </c>
      <c r="B11210" s="72" t="str">
        <f>VLOOKUP(A11210,'[1]Componentes APUs'!$A$1:$D$14,2,0)</f>
        <v>Bota de seguridad dielectrica</v>
      </c>
      <c r="C11210" s="73"/>
      <c r="D11210" s="70" t="str">
        <f>VLOOKUP(A11210,'[1]Componentes APUs'!$A$1:$D$14,3,0)</f>
        <v>Par</v>
      </c>
      <c r="E11210" s="50">
        <f>SUM(C11188:C11193)</f>
        <v>4.75</v>
      </c>
      <c r="F11210" s="51">
        <f>VLOOKUP(A11210,'[1]Componentes APUs'!$A$1:$D$14,4,0)</f>
        <v>7500</v>
      </c>
      <c r="G11210" s="51">
        <f>ROUNDUP(F11210*(E11210/21)/E11179,0)</f>
        <v>3393</v>
      </c>
    </row>
    <row r="11211" spans="1:7" x14ac:dyDescent="0.25">
      <c r="A11211" s="50" t="s">
        <v>76</v>
      </c>
      <c r="B11211" s="72" t="str">
        <f>VLOOKUP(A11211,'[1]Componentes APUs'!$A$1:$D$14,2,0)</f>
        <v>Casco dielectrico Tipo 1 Clase E con barbuquejo</v>
      </c>
      <c r="C11211" s="73"/>
      <c r="D11211" s="50" t="str">
        <f>VLOOKUP(A11211,'[1]Componentes APUs'!$A$1:$D$14,3,0)</f>
        <v>U</v>
      </c>
      <c r="E11211" s="50">
        <f>C11188+C11189+C11192+C11193+C11191+IF(A11190&lt;&gt;"MO-3",C11190,0)</f>
        <v>2.75</v>
      </c>
      <c r="F11211" s="51">
        <f>VLOOKUP(A11211,'[1]Componentes APUs'!$A$1:$D$14,4,0)</f>
        <v>10101.010101010101</v>
      </c>
      <c r="G11211" s="51">
        <f>ROUNDUP(F11211*(E11211/21)/E11179,0)</f>
        <v>2646</v>
      </c>
    </row>
    <row r="11212" spans="1:7" x14ac:dyDescent="0.25">
      <c r="A11212" s="69" t="s">
        <v>77</v>
      </c>
      <c r="B11212" s="72" t="str">
        <f>VLOOKUP(A11212,'[1]Componentes APUs'!$A$1:$D$14,2,0)</f>
        <v>Correa plastica y antiflama</v>
      </c>
      <c r="C11212" s="73"/>
      <c r="D11212" s="50" t="str">
        <f>VLOOKUP(A11212,'[1]Componentes APUs'!$A$1:$D$14,3,0)</f>
        <v>U</v>
      </c>
      <c r="E11212" s="50">
        <f>SUM(C11188:C11193)</f>
        <v>4.75</v>
      </c>
      <c r="F11212" s="51">
        <f>VLOOKUP(A11212,'[1]Componentes APUs'!$A$1:$D$14,4,0)</f>
        <v>3787.878787878788</v>
      </c>
      <c r="G11212" s="51">
        <f>ROUNDUP(F11212*(E11212/21)/E11179,0)</f>
        <v>1714</v>
      </c>
    </row>
    <row r="11213" spans="1:7" x14ac:dyDescent="0.25">
      <c r="A11213" s="50" t="s">
        <v>79</v>
      </c>
      <c r="B11213" s="72" t="str">
        <f>VLOOKUP(A11213,'[1]Componentes APUs'!$A$1:$D$14,2,0)</f>
        <v>Gafas protectoras filtro UV</v>
      </c>
      <c r="C11213" s="73"/>
      <c r="D11213" s="50" t="str">
        <f>VLOOKUP(A11213,'[1]Componentes APUs'!$A$1:$D$14,3,0)</f>
        <v>U</v>
      </c>
      <c r="E11213" s="50">
        <f>SUM(C11188:C11193)</f>
        <v>4.75</v>
      </c>
      <c r="F11213" s="51">
        <f>VLOOKUP(A11213,'[1]Componentes APUs'!$A$1:$D$14,4,0)</f>
        <v>2777.7777777777778</v>
      </c>
      <c r="G11213" s="51">
        <f>ROUNDUP(F11213*(E11213/21)/E11179,0)</f>
        <v>1257</v>
      </c>
    </row>
    <row r="11214" spans="1:7" x14ac:dyDescent="0.25">
      <c r="A11214" s="69" t="s">
        <v>402</v>
      </c>
      <c r="B11214" s="72" t="str">
        <f>VLOOKUP(A11214,'[1]Componentes APUs'!$A$1:$D$14,2,0)</f>
        <v>Bota de seguridad PVC dielectrica</v>
      </c>
      <c r="C11214" s="73"/>
      <c r="D11214" s="50" t="str">
        <f>VLOOKUP(A11214,'[1]Componentes APUs'!$A$1:$D$14,3,0)</f>
        <v>Par</v>
      </c>
      <c r="E11214" s="50">
        <f>SUM(C11188:C11193)</f>
        <v>4.75</v>
      </c>
      <c r="F11214" s="51">
        <f>VLOOKUP(A11214,'[1]Componentes APUs'!$A$1:$D$14,4,0)</f>
        <v>2916.6666666666665</v>
      </c>
      <c r="G11214" s="51">
        <f>ROUNDUP(F11214*(E11214/21)/E11179,0)</f>
        <v>1320</v>
      </c>
    </row>
    <row r="11215" spans="1:7" x14ac:dyDescent="0.25">
      <c r="A11215" s="50" t="s">
        <v>403</v>
      </c>
      <c r="B11215" s="72" t="str">
        <f>VLOOKUP(A11215,'[1]Componentes APUs'!$A$1:$D$14,2,0)</f>
        <v>Capuchon</v>
      </c>
      <c r="C11215" s="73"/>
      <c r="D11215" s="50" t="str">
        <f>VLOOKUP(A11215,'[1]Componentes APUs'!$A$1:$D$14,3,0)</f>
        <v>U</v>
      </c>
      <c r="E11215" s="50">
        <f>SUM(C11188:C11193)</f>
        <v>4.75</v>
      </c>
      <c r="F11215" s="51">
        <f>VLOOKUP(A11215,'[1]Componentes APUs'!$A$1:$D$14,4,0)</f>
        <v>2525.2525252525252</v>
      </c>
      <c r="G11215" s="51">
        <f>ROUNDUP(F11215*(E11215/21)/E11179,0)</f>
        <v>1143</v>
      </c>
    </row>
    <row r="11216" spans="1:7" x14ac:dyDescent="0.25">
      <c r="A11216" s="69" t="s">
        <v>81</v>
      </c>
      <c r="B11216" s="72" t="str">
        <f>VLOOKUP(A11216,'[1]Componentes APUs'!$A$1:$D$14,2,0)</f>
        <v>Guantes Protectores  - ingeniero reforzados</v>
      </c>
      <c r="C11216" s="73"/>
      <c r="D11216" s="50" t="str">
        <f>VLOOKUP(A11216,'[1]Componentes APUs'!$A$1:$D$14,3,0)</f>
        <v>Par</v>
      </c>
      <c r="E11216" s="50">
        <f>C11190+C11191+C11193</f>
        <v>4</v>
      </c>
      <c r="F11216" s="51">
        <f>VLOOKUP(A11216,'[1]Componentes APUs'!$A$1:$D$14,4,0)</f>
        <v>2525.2525252525252</v>
      </c>
      <c r="G11216" s="51">
        <f>ROUNDUP(F11216*(E11216/21)/E11179,0)</f>
        <v>963</v>
      </c>
    </row>
    <row r="11217" spans="1:7" x14ac:dyDescent="0.25">
      <c r="A11217" s="50" t="s">
        <v>83</v>
      </c>
      <c r="B11217" s="72" t="str">
        <f>VLOOKUP(A11217,'[1]Componentes APUs'!$A$1:$D$14,2,0)</f>
        <v>Impermeable (pantalon camisa)</v>
      </c>
      <c r="C11217" s="73"/>
      <c r="D11217" s="50" t="str">
        <f>VLOOKUP(A11217,'[1]Componentes APUs'!$A$1:$D$14,3,0)</f>
        <v>U</v>
      </c>
      <c r="E11217" s="50">
        <f>SUM(C11188:C11193)</f>
        <v>4.75</v>
      </c>
      <c r="F11217" s="51">
        <f>VLOOKUP(A11217,'[1]Componentes APUs'!$A$1:$D$14,4,0)</f>
        <v>3750</v>
      </c>
      <c r="G11217" s="51">
        <f>ROUNDUP(F11217*(E11217/21)/E11179,0)</f>
        <v>1697</v>
      </c>
    </row>
    <row r="11218" spans="1:7" x14ac:dyDescent="0.25">
      <c r="A11218" s="69" t="s">
        <v>85</v>
      </c>
      <c r="B11218" s="72" t="str">
        <f>VLOOKUP(A11218,'[1]Componentes APUs'!$A$1:$D$14,2,0)</f>
        <v>Jean Dielectrico</v>
      </c>
      <c r="C11218" s="73"/>
      <c r="D11218" s="50" t="str">
        <f>VLOOKUP(A11218,'[1]Componentes APUs'!$A$1:$D$14,3,0)</f>
        <v>U</v>
      </c>
      <c r="E11218" s="50">
        <f>SUM(C11188:C11193)</f>
        <v>4.75</v>
      </c>
      <c r="F11218" s="51">
        <f>VLOOKUP(A11218,'[1]Componentes APUs'!$A$1:$D$14,4,0)</f>
        <v>7575.757575757576</v>
      </c>
      <c r="G11218" s="51">
        <f>ROUNDUP(F11218*(E11218/21)/E11179,0)</f>
        <v>3428</v>
      </c>
    </row>
    <row r="11219" spans="1:7" x14ac:dyDescent="0.25">
      <c r="A11219" s="50" t="s">
        <v>87</v>
      </c>
      <c r="B11219" s="72" t="str">
        <f>VLOOKUP(A11219,'[1]Componentes APUs'!$A$1:$D$14,2,0)</f>
        <v>Casco dielectrico Tipo 2 Clase E con barboquejo</v>
      </c>
      <c r="C11219" s="73"/>
      <c r="D11219" s="50" t="str">
        <f>VLOOKUP(A11219,'[1]Componentes APUs'!$A$1:$D$14,3,0)</f>
        <v>U</v>
      </c>
      <c r="E11219" s="53">
        <f>IF(A11190="MO-3",C11190,0)</f>
        <v>2</v>
      </c>
      <c r="F11219" s="51">
        <f>VLOOKUP(A11219,'[1]Componentes APUs'!$A$1:$D$14,4,0)</f>
        <v>7500</v>
      </c>
      <c r="G11219" s="51">
        <f>ROUNDUP(F11219*(E11219/21)/E11179,0)</f>
        <v>1429</v>
      </c>
    </row>
    <row r="11220" spans="1:7" x14ac:dyDescent="0.25">
      <c r="A11220" s="69" t="s">
        <v>89</v>
      </c>
      <c r="B11220" s="72" t="str">
        <f>VLOOKUP(A11220,'[1]Componentes APUs'!$A$1:$D$14,2,0)</f>
        <v>Kit de rescate para trabajo en alturas</v>
      </c>
      <c r="C11220" s="73"/>
      <c r="D11220" s="50" t="str">
        <f>VLOOKUP(A11220,'[1]Componentes APUs'!$A$1:$D$14,3,0)</f>
        <v>U</v>
      </c>
      <c r="E11220" s="50">
        <f>IF(AND(A11190="MO-3",C11190=2),1,0)</f>
        <v>1</v>
      </c>
      <c r="F11220" s="51">
        <f>VLOOKUP(A11220,'[1]Componentes APUs'!$A$1:$D$14,4,0)</f>
        <v>37500</v>
      </c>
      <c r="G11220" s="51">
        <f>ROUNDUP(F11220*(E11220/21)/E11179,0)</f>
        <v>3572</v>
      </c>
    </row>
    <row r="11221" spans="1:7" x14ac:dyDescent="0.25">
      <c r="A11221" s="50" t="s">
        <v>91</v>
      </c>
      <c r="B11221" s="72" t="str">
        <f>VLOOKUP(A11221,'[1]Componentes APUs'!$A$1:$D$14,2,0)</f>
        <v>Equipo completo para trabajo en alturas con pretales (Arnes dielectrico, 1 mosqueton de seguridad, tie off dielectrico, eslinga de posicionamiento, juego de pretales)</v>
      </c>
      <c r="C11221" s="73"/>
      <c r="D11221" s="50" t="str">
        <f>VLOOKUP(A11221,'[1]Componentes APUs'!$A$1:$D$14,3,0)</f>
        <v>U</v>
      </c>
      <c r="E11221" s="50">
        <f>IF(A11190="MO-3",C11190,0)</f>
        <v>2</v>
      </c>
      <c r="F11221" s="51">
        <f>VLOOKUP(A11221,'[1]Componentes APUs'!$A$1:$D$14,4,0)</f>
        <v>26041.666666666668</v>
      </c>
      <c r="G11221" s="51">
        <f>ROUNDUP(F11221*(E11221/21)/E11179,0)</f>
        <v>4961</v>
      </c>
    </row>
    <row r="11222" spans="1:7" x14ac:dyDescent="0.25">
      <c r="A11222" s="219" t="s">
        <v>95</v>
      </c>
      <c r="B11222" s="219"/>
      <c r="C11222" s="219"/>
      <c r="D11222" s="219"/>
      <c r="E11222" s="219"/>
      <c r="F11222" s="219"/>
      <c r="G11222" s="52">
        <f>SUM(G11209:G11221)</f>
        <v>31408</v>
      </c>
    </row>
    <row r="11223" spans="1:7" x14ac:dyDescent="0.25">
      <c r="A11223" s="56"/>
      <c r="B11223" s="57"/>
      <c r="C11223" s="57"/>
      <c r="D11223" s="57"/>
      <c r="E11223" s="57"/>
      <c r="F11223" s="57"/>
      <c r="G11223" s="58"/>
    </row>
    <row r="11224" spans="1:7" x14ac:dyDescent="0.25">
      <c r="A11224" s="219" t="s">
        <v>96</v>
      </c>
      <c r="B11224" s="219"/>
      <c r="C11224" s="219"/>
      <c r="D11224" s="219"/>
      <c r="E11224" s="219"/>
      <c r="F11224" s="219"/>
      <c r="G11224" s="219"/>
    </row>
    <row r="11225" spans="1:7" x14ac:dyDescent="0.25">
      <c r="A11225" s="49" t="s">
        <v>35</v>
      </c>
      <c r="B11225" s="225" t="s">
        <v>36</v>
      </c>
      <c r="C11225" s="225"/>
      <c r="D11225" s="49" t="s">
        <v>37</v>
      </c>
      <c r="E11225" s="49" t="s">
        <v>38</v>
      </c>
      <c r="F11225" s="49" t="s">
        <v>39</v>
      </c>
      <c r="G11225" s="49" t="s">
        <v>40</v>
      </c>
    </row>
    <row r="11226" spans="1:7" x14ac:dyDescent="0.25">
      <c r="A11226" s="69" t="s">
        <v>97</v>
      </c>
      <c r="B11226" s="72" t="str">
        <f>VLOOKUP(A11226,'[1]Componentes APUs'!$N$1:$Q$30,2,0)</f>
        <v>Camioneta</v>
      </c>
      <c r="C11226" s="73"/>
      <c r="D11226" s="70" t="str">
        <f>VLOOKUP(A11226,'[1]Componentes APUs'!$N$1:$Q$30,3,0)</f>
        <v>U</v>
      </c>
      <c r="E11226" s="50">
        <v>1</v>
      </c>
      <c r="F11226" s="51">
        <f>VLOOKUP(A11226,'[1]Componentes APUs'!$N$1:$Q$30,4,0)</f>
        <v>5500000</v>
      </c>
      <c r="G11226" s="51">
        <f>IFERROR(ROUNDUP(F11226*(E11226/21)/E11179,0),"-")</f>
        <v>523810</v>
      </c>
    </row>
    <row r="11227" spans="1:7" x14ac:dyDescent="0.25">
      <c r="A11227" s="50" t="s">
        <v>321</v>
      </c>
      <c r="B11227" s="72" t="str">
        <f>VLOOKUP(A11227,'[1]Componentes APUs'!$N$1:$Q$30,2,0)</f>
        <v>Grúa Hidráulica</v>
      </c>
      <c r="C11227" s="73"/>
      <c r="D11227" s="70" t="str">
        <f>VLOOKUP(A11227,'[1]Componentes APUs'!$N$1:$Q$30,3,0)</f>
        <v>U</v>
      </c>
      <c r="E11227" s="50">
        <v>0</v>
      </c>
      <c r="F11227" s="51">
        <f>VLOOKUP(A11227,'[1]Componentes APUs'!$N$1:$Q$30,4,0)</f>
        <v>21000000</v>
      </c>
      <c r="G11227" s="51">
        <f>IFERROR(ROUNDUP(F11227*(E11227/21)/E11179,0),"-")</f>
        <v>0</v>
      </c>
    </row>
    <row r="11228" spans="1:7" x14ac:dyDescent="0.25">
      <c r="A11228" s="69" t="s">
        <v>322</v>
      </c>
      <c r="B11228" s="72" t="str">
        <f>VLOOKUP(A11228,'[1]Componentes APUs'!$N$1:$Q$30,2,0)</f>
        <v>Camabaja</v>
      </c>
      <c r="C11228" s="73"/>
      <c r="D11228" s="70" t="str">
        <f>VLOOKUP(A11228,'[1]Componentes APUs'!$N$1:$Q$30,3,0)</f>
        <v>TON/KM</v>
      </c>
      <c r="E11228" s="50">
        <v>0</v>
      </c>
      <c r="F11228" s="51">
        <f>VLOOKUP(A11228,'[1]Componentes APUs'!$N$1:$Q$30,4,0)</f>
        <v>611</v>
      </c>
      <c r="G11228" s="51">
        <f>IFERROR(ROUNDUP(F11228*(E11228/21)/E11179,0),"-")</f>
        <v>0</v>
      </c>
    </row>
    <row r="11229" spans="1:7" x14ac:dyDescent="0.25">
      <c r="A11229" s="50" t="s">
        <v>323</v>
      </c>
      <c r="B11229" s="72" t="str">
        <f>VLOOKUP(A11229,'[1]Componentes APUs'!$N$1:$Q$30,2,0)</f>
        <v>Volqueta</v>
      </c>
      <c r="C11229" s="73"/>
      <c r="D11229" s="70" t="str">
        <f>VLOOKUP(A11229,'[1]Componentes APUs'!$N$1:$Q$30,3,0)</f>
        <v>U</v>
      </c>
      <c r="E11229" s="50">
        <v>0</v>
      </c>
      <c r="F11229" s="51">
        <f>VLOOKUP(A11229,'[1]Componentes APUs'!$N$1:$Q$30,4,0)</f>
        <v>18900000</v>
      </c>
      <c r="G11229" s="51">
        <f>IFERROR(ROUNDUP(F11229*(E11229/21)/E11179,0),"-")</f>
        <v>0</v>
      </c>
    </row>
    <row r="11230" spans="1:7" x14ac:dyDescent="0.25">
      <c r="A11230" s="69" t="s">
        <v>324</v>
      </c>
      <c r="B11230" s="72" t="str">
        <f>VLOOKUP(A11230,'[1]Componentes APUs'!$N$1:$Q$30,2,0)</f>
        <v>Retroexcavadora</v>
      </c>
      <c r="C11230" s="73"/>
      <c r="D11230" s="70" t="str">
        <f>VLOOKUP(A11230,'[1]Componentes APUs'!$N$1:$Q$30,3,0)</f>
        <v>U</v>
      </c>
      <c r="E11230" s="50">
        <v>0</v>
      </c>
      <c r="F11230" s="51">
        <f>VLOOKUP(A11230,'[1]Componentes APUs'!$N$1:$Q$30,4,0)</f>
        <v>1494459.54</v>
      </c>
      <c r="G11230" s="51">
        <f>IFERROR(ROUNDUP(F11230*(E11230/21)/E11179,0),"-")</f>
        <v>0</v>
      </c>
    </row>
    <row r="11231" spans="1:7" x14ac:dyDescent="0.25">
      <c r="A11231" s="219" t="s">
        <v>99</v>
      </c>
      <c r="B11231" s="219"/>
      <c r="C11231" s="219"/>
      <c r="D11231" s="219"/>
      <c r="E11231" s="219"/>
      <c r="F11231" s="219"/>
      <c r="G11231" s="52">
        <f>SUM(G11226:G11230)</f>
        <v>523810</v>
      </c>
    </row>
    <row r="11232" spans="1:7" x14ac:dyDescent="0.25">
      <c r="A11232" s="56"/>
      <c r="B11232" s="57"/>
      <c r="C11232" s="57"/>
      <c r="D11232" s="57"/>
      <c r="E11232" s="57"/>
      <c r="F11232" s="57"/>
      <c r="G11232" s="58"/>
    </row>
    <row r="11233" spans="1:7" x14ac:dyDescent="0.25">
      <c r="A11233" s="219" t="s">
        <v>1516</v>
      </c>
      <c r="B11233" s="219"/>
      <c r="C11233" s="219"/>
      <c r="D11233" s="219"/>
      <c r="E11233" s="219"/>
      <c r="F11233" s="219"/>
      <c r="G11233" s="52">
        <f>G11231+G11222+G11205+G11194+G11184</f>
        <v>41090711</v>
      </c>
    </row>
    <row r="11234" spans="1:7" x14ac:dyDescent="0.25">
      <c r="A11234" s="59"/>
      <c r="B11234" s="60"/>
      <c r="C11234" s="60"/>
      <c r="D11234" s="60"/>
      <c r="E11234" s="57"/>
      <c r="F11234" s="57"/>
      <c r="G11234" s="58"/>
    </row>
    <row r="11235" spans="1:7" x14ac:dyDescent="0.25">
      <c r="A11235" s="64"/>
      <c r="D11235" s="55"/>
      <c r="E11235" s="49" t="s">
        <v>25</v>
      </c>
      <c r="F11235" s="54">
        <v>0.15</v>
      </c>
      <c r="G11235" s="51">
        <f>G11233*F11235</f>
        <v>6163606.6499999994</v>
      </c>
    </row>
    <row r="11236" spans="1:7" x14ac:dyDescent="0.25">
      <c r="A11236" s="64"/>
      <c r="D11236" s="55"/>
      <c r="E11236" s="49" t="s">
        <v>26</v>
      </c>
      <c r="F11236" s="54">
        <v>0.05</v>
      </c>
      <c r="G11236" s="51">
        <f>G11233*F11236</f>
        <v>2054535.55</v>
      </c>
    </row>
    <row r="11237" spans="1:7" x14ac:dyDescent="0.25">
      <c r="A11237" s="61"/>
      <c r="B11237" s="65"/>
      <c r="C11237" s="65"/>
      <c r="D11237" s="62"/>
      <c r="E11237" s="49" t="s">
        <v>27</v>
      </c>
      <c r="F11237" s="54">
        <v>0.05</v>
      </c>
      <c r="G11237" s="51">
        <f>G11233*F11237</f>
        <v>2054535.55</v>
      </c>
    </row>
    <row r="11238" spans="1:7" x14ac:dyDescent="0.25">
      <c r="A11238" s="61"/>
      <c r="B11238" s="62"/>
      <c r="C11238" s="62"/>
      <c r="D11238" s="62"/>
      <c r="E11238" s="62"/>
      <c r="F11238" s="62"/>
      <c r="G11238" s="63"/>
    </row>
    <row r="11239" spans="1:7" x14ac:dyDescent="0.25">
      <c r="A11239" s="219" t="s">
        <v>1517</v>
      </c>
      <c r="B11239" s="219"/>
      <c r="C11239" s="219"/>
      <c r="D11239" s="219"/>
      <c r="E11239" s="219"/>
      <c r="F11239" s="219"/>
      <c r="G11239" s="52">
        <f>G11233+G11235+G11236+G11237</f>
        <v>51363388.749999993</v>
      </c>
    </row>
    <row r="11240" spans="1:7" x14ac:dyDescent="0.25">
      <c r="A11240" s="59"/>
      <c r="B11240" s="60"/>
      <c r="C11240" s="60"/>
      <c r="D11240" s="60"/>
      <c r="E11240" s="57"/>
      <c r="F11240" s="57"/>
      <c r="G11240" s="58"/>
    </row>
    <row r="11241" spans="1:7" x14ac:dyDescent="0.25">
      <c r="A11241" s="64"/>
      <c r="D11241" s="55"/>
      <c r="E11241" s="49" t="s">
        <v>102</v>
      </c>
      <c r="F11241" s="49" t="s">
        <v>103</v>
      </c>
      <c r="G11241" s="51">
        <f>G11237*19%</f>
        <v>390361.75450000004</v>
      </c>
    </row>
    <row r="11242" spans="1:7" x14ac:dyDescent="0.25">
      <c r="A11242" s="61"/>
      <c r="B11242" s="62"/>
      <c r="C11242" s="62"/>
      <c r="D11242" s="62"/>
      <c r="E11242" s="57"/>
      <c r="F11242" s="57"/>
      <c r="G11242" s="58"/>
    </row>
    <row r="11243" spans="1:7" x14ac:dyDescent="0.25">
      <c r="A11243" s="219" t="s">
        <v>104</v>
      </c>
      <c r="B11243" s="219"/>
      <c r="C11243" s="219"/>
      <c r="D11243" s="219"/>
      <c r="E11243" s="219"/>
      <c r="F11243" s="219"/>
      <c r="G11243" s="52">
        <f>G11241+G11239</f>
        <v>51753750.504499994</v>
      </c>
    </row>
    <row r="11245" spans="1:7" x14ac:dyDescent="0.25">
      <c r="A11245" s="74" t="s">
        <v>29</v>
      </c>
      <c r="B11245" s="226" t="s">
        <v>30</v>
      </c>
      <c r="C11245" s="226"/>
      <c r="D11245" s="74" t="s">
        <v>31</v>
      </c>
      <c r="E11245" s="74" t="s">
        <v>32</v>
      </c>
      <c r="F11245" s="74" t="s">
        <v>189</v>
      </c>
      <c r="G11245" s="74" t="s">
        <v>33</v>
      </c>
    </row>
    <row r="11246" spans="1:7" x14ac:dyDescent="0.25">
      <c r="A11246" s="50" t="str">
        <f>Presupuesto!B204</f>
        <v>015_N3</v>
      </c>
      <c r="B11246" s="220" t="str">
        <f>Presupuesto!C204</f>
        <v>SUMINISTRO E INSTALACIÓN DE DPS VNOM 38 KV. ISC 12.5 KA</v>
      </c>
      <c r="C11246" s="220"/>
      <c r="D11246" s="50" t="s">
        <v>18</v>
      </c>
      <c r="E11246" s="50">
        <v>9</v>
      </c>
      <c r="F11246" s="50"/>
      <c r="G11246" s="51">
        <f>G11309</f>
        <v>683215.77500000002</v>
      </c>
    </row>
    <row r="11247" spans="1:7" x14ac:dyDescent="0.25">
      <c r="A11247" s="219" t="s">
        <v>34</v>
      </c>
      <c r="B11247" s="219"/>
      <c r="C11247" s="219"/>
      <c r="D11247" s="219"/>
      <c r="E11247" s="219"/>
      <c r="F11247" s="219"/>
      <c r="G11247" s="219"/>
    </row>
    <row r="11248" spans="1:7" x14ac:dyDescent="0.25">
      <c r="A11248" s="49" t="s">
        <v>35</v>
      </c>
      <c r="B11248" s="219" t="s">
        <v>36</v>
      </c>
      <c r="C11248" s="219"/>
      <c r="D11248" s="49" t="s">
        <v>37</v>
      </c>
      <c r="E11248" s="49" t="s">
        <v>38</v>
      </c>
      <c r="F11248" s="49" t="s">
        <v>39</v>
      </c>
      <c r="G11248" s="49" t="s">
        <v>40</v>
      </c>
    </row>
    <row r="11249" spans="1:7" x14ac:dyDescent="0.25">
      <c r="A11249" s="17" t="str">
        <f>Material!A25</f>
        <v>MA-24</v>
      </c>
      <c r="B11249" s="72" t="str">
        <f>IFERROR(VLOOKUP(A11249,Material!$A:$J,2,0),"-")</f>
        <v>DPS VNOM: 38KV. ISC 12.5 KA</v>
      </c>
      <c r="C11249" s="73"/>
      <c r="D11249" s="50" t="str">
        <f>IFERROR(VLOOKUP(A11249,Material!$A:$J,4,0),"-")</f>
        <v>UN</v>
      </c>
      <c r="E11249" s="50">
        <v>1</v>
      </c>
      <c r="F11249" s="51">
        <f>IFERROR(VLOOKUP(A11249,Material!$A:$J,3,0),"-")</f>
        <v>394810</v>
      </c>
      <c r="G11249" s="51">
        <f t="shared" ref="G11249:G11250" si="157">IFERROR(ROUNDUP(F11249*E11249,0),"-")</f>
        <v>394810</v>
      </c>
    </row>
    <row r="11250" spans="1:7" x14ac:dyDescent="0.25">
      <c r="A11250" s="17"/>
      <c r="B11250" s="72" t="str">
        <f>IFERROR(VLOOKUP(A11250,Material!$A:$J,2,0),"-")</f>
        <v>-</v>
      </c>
      <c r="C11250" s="73"/>
      <c r="D11250" s="50" t="str">
        <f>IFERROR(VLOOKUP(A11250,Material!$A:$J,4,0),"-")</f>
        <v>-</v>
      </c>
      <c r="E11250" s="50"/>
      <c r="F11250" s="51" t="str">
        <f>IFERROR(VLOOKUP(A11250,Material!$A:$J,3,0),"-")</f>
        <v>-</v>
      </c>
      <c r="G11250" s="51" t="str">
        <f t="shared" si="157"/>
        <v>-</v>
      </c>
    </row>
    <row r="11251" spans="1:7" x14ac:dyDescent="0.25">
      <c r="A11251" s="219" t="s">
        <v>41</v>
      </c>
      <c r="B11251" s="219"/>
      <c r="C11251" s="219"/>
      <c r="D11251" s="219"/>
      <c r="E11251" s="219"/>
      <c r="F11251" s="219"/>
      <c r="G11251" s="52">
        <f>SUM(G11249:G11250)</f>
        <v>394810</v>
      </c>
    </row>
    <row r="11252" spans="1:7" x14ac:dyDescent="0.25">
      <c r="A11252" s="56"/>
      <c r="B11252" s="57"/>
      <c r="C11252" s="57"/>
      <c r="D11252" s="57"/>
      <c r="E11252" s="57"/>
      <c r="F11252" s="57"/>
      <c r="G11252" s="58"/>
    </row>
    <row r="11253" spans="1:7" x14ac:dyDescent="0.25">
      <c r="A11253" s="219" t="s">
        <v>42</v>
      </c>
      <c r="B11253" s="219"/>
      <c r="C11253" s="219"/>
      <c r="D11253" s="219"/>
      <c r="E11253" s="219"/>
      <c r="F11253" s="219"/>
      <c r="G11253" s="219"/>
    </row>
    <row r="11254" spans="1:7" x14ac:dyDescent="0.25">
      <c r="A11254" s="49" t="s">
        <v>35</v>
      </c>
      <c r="B11254" s="49" t="s">
        <v>36</v>
      </c>
      <c r="C11254" s="49" t="s">
        <v>38</v>
      </c>
      <c r="D11254" s="49" t="s">
        <v>43</v>
      </c>
      <c r="E11254" s="49" t="s">
        <v>44</v>
      </c>
      <c r="F11254" s="49" t="s">
        <v>45</v>
      </c>
      <c r="G11254" s="49" t="s">
        <v>40</v>
      </c>
    </row>
    <row r="11255" spans="1:7" x14ac:dyDescent="0.25">
      <c r="A11255" s="50" t="s">
        <v>319</v>
      </c>
      <c r="B11255" s="68" t="str">
        <f>VLOOKUP(A11255,'[1]Componentes APUs'!$H$1:$L$25,2,0)</f>
        <v>Ingeniero Residente de Obra</v>
      </c>
      <c r="C11255" s="93">
        <v>0.25</v>
      </c>
      <c r="D11255" s="50">
        <f>VLOOKUP(A11255,'[1]Componentes APUs'!$H$1:$L$25,3,0)</f>
        <v>4</v>
      </c>
      <c r="E11255" s="51">
        <f>VLOOKUP(A11255,'[1]Componentes APUs'!$H$1:$L$25,4,0)</f>
        <v>271142.85714285716</v>
      </c>
      <c r="F11255" s="51">
        <f>VLOOKUP(A11255,'[1]Componentes APUs'!$H$1:$L$25,5,0)</f>
        <v>162685.71428571429</v>
      </c>
      <c r="G11255" s="51">
        <f>ROUNDUP((E11255+F11255)*C11255/E11246,0)</f>
        <v>12051</v>
      </c>
    </row>
    <row r="11256" spans="1:7" x14ac:dyDescent="0.25">
      <c r="A11256" s="50" t="s">
        <v>320</v>
      </c>
      <c r="B11256" s="68" t="str">
        <f>VLOOKUP(A11256,'[1]Componentes APUs'!$H$1:$L$25,2,0)</f>
        <v>Tecnico Supervisor</v>
      </c>
      <c r="C11256" s="93">
        <v>0.25</v>
      </c>
      <c r="D11256" s="50">
        <f>VLOOKUP(A11256,'[1]Componentes APUs'!$H$1:$L$25,3,0)</f>
        <v>2.2999999999999998</v>
      </c>
      <c r="E11256" s="51">
        <f>VLOOKUP(A11256,'[1]Componentes APUs'!$H$1:$L$25,4,0)</f>
        <v>155907.14285714284</v>
      </c>
      <c r="F11256" s="51">
        <f>VLOOKUP(A11256,'[1]Componentes APUs'!$H$1:$L$25,5,0)</f>
        <v>93544.285714285696</v>
      </c>
      <c r="G11256" s="51">
        <f>ROUNDUP((E11256+F11256)*C11256/E11246,0)</f>
        <v>6930</v>
      </c>
    </row>
    <row r="11257" spans="1:7" x14ac:dyDescent="0.25">
      <c r="A11257" s="50" t="s">
        <v>46</v>
      </c>
      <c r="B11257" s="68" t="str">
        <f>VLOOKUP(A11257,'[1]Componentes APUs'!$H$1:$L$25,2,0)</f>
        <v>Tecnico Liniero</v>
      </c>
      <c r="C11257" s="93">
        <v>2</v>
      </c>
      <c r="D11257" s="50">
        <f>VLOOKUP(A11257,'[1]Componentes APUs'!$H$1:$L$25,3,0)</f>
        <v>2</v>
      </c>
      <c r="E11257" s="51">
        <f>VLOOKUP(A11257,'[1]Componentes APUs'!$H$1:$L$25,4,0)</f>
        <v>154619.04761904763</v>
      </c>
      <c r="F11257" s="51">
        <f>VLOOKUP(A11257,'[1]Componentes APUs'!$H$1:$L$25,5,0)</f>
        <v>92771.42857142858</v>
      </c>
      <c r="G11257" s="51">
        <f>ROUNDUP((E11257+F11257)*C11257/E11246,0)</f>
        <v>54976</v>
      </c>
    </row>
    <row r="11258" spans="1:7" x14ac:dyDescent="0.25">
      <c r="A11258" s="50" t="s">
        <v>48</v>
      </c>
      <c r="B11258" s="68" t="str">
        <f>VLOOKUP(A11258,'[1]Componentes APUs'!$H$1:$L$25,2,0)</f>
        <v>Ayudante Calificado</v>
      </c>
      <c r="C11258" s="93">
        <v>1</v>
      </c>
      <c r="D11258" s="50">
        <f>VLOOKUP(A11258,'[1]Componentes APUs'!$H$1:$L$25,3,0)</f>
        <v>1.5</v>
      </c>
      <c r="E11258" s="51">
        <f>VLOOKUP(A11258,'[1]Componentes APUs'!$H$1:$L$25,4,0)</f>
        <v>115964.28571428571</v>
      </c>
      <c r="F11258" s="51">
        <f>VLOOKUP(A11258,'[1]Componentes APUs'!$H$1:$L$25,5,0)</f>
        <v>69578.57142857142</v>
      </c>
      <c r="G11258" s="51">
        <f>ROUNDUP((E11258+F11258)*C11258/E11246,0)</f>
        <v>20616</v>
      </c>
    </row>
    <row r="11259" spans="1:7" x14ac:dyDescent="0.25">
      <c r="A11259" s="50" t="s">
        <v>50</v>
      </c>
      <c r="B11259" s="68" t="str">
        <f>VLOOKUP(A11259,'[1]Componentes APUs'!$H$1:$L$25,2,0)</f>
        <v>Profesional en SST</v>
      </c>
      <c r="C11259" s="93">
        <v>0.25</v>
      </c>
      <c r="D11259" s="50">
        <f>VLOOKUP(A11259,'[1]Componentes APUs'!$H$1:$L$25,3,0)</f>
        <v>2.5</v>
      </c>
      <c r="E11259" s="51">
        <f>VLOOKUP(A11259,'[1]Componentes APUs'!$H$1:$L$25,4,0)</f>
        <v>169464.28571428571</v>
      </c>
      <c r="F11259" s="51">
        <f>VLOOKUP(A11259,'[1]Componentes APUs'!$H$1:$L$25,5,0)</f>
        <v>101678.57142857142</v>
      </c>
      <c r="G11259" s="51">
        <f>ROUNDUP((E11259+F11259)*C11259/E11246,0)</f>
        <v>7532</v>
      </c>
    </row>
    <row r="11260" spans="1:7" x14ac:dyDescent="0.25">
      <c r="A11260" s="50" t="s">
        <v>52</v>
      </c>
      <c r="B11260" s="68" t="str">
        <f>VLOOKUP(A11260,'[1]Componentes APUs'!$H$1:$L$25,2,0)</f>
        <v>Ayudante No Calificado</v>
      </c>
      <c r="C11260" s="93">
        <v>1</v>
      </c>
      <c r="D11260" s="50">
        <f>VLOOKUP(A11260,'[1]Componentes APUs'!$H$1:$L$25,3,0)</f>
        <v>1</v>
      </c>
      <c r="E11260" s="51">
        <f>VLOOKUP(A11260,'[1]Componentes APUs'!$H$1:$L$25,4,0)</f>
        <v>77309.523809523816</v>
      </c>
      <c r="F11260" s="51">
        <f>VLOOKUP(A11260,'[1]Componentes APUs'!$H$1:$L$25,5,0)</f>
        <v>46385.71428571429</v>
      </c>
      <c r="G11260" s="51">
        <f>ROUNDUP((E11260+F11260)*C11260/E11246,0)</f>
        <v>13744</v>
      </c>
    </row>
    <row r="11261" spans="1:7" x14ac:dyDescent="0.25">
      <c r="A11261" s="219" t="s">
        <v>56</v>
      </c>
      <c r="B11261" s="219"/>
      <c r="C11261" s="219"/>
      <c r="D11261" s="219"/>
      <c r="E11261" s="219"/>
      <c r="F11261" s="219"/>
      <c r="G11261" s="52">
        <f>SUM(G11255:G11260)</f>
        <v>115849</v>
      </c>
    </row>
    <row r="11262" spans="1:7" x14ac:dyDescent="0.25">
      <c r="A11262" s="56"/>
      <c r="B11262" s="57"/>
      <c r="C11262" s="57"/>
      <c r="D11262" s="57"/>
      <c r="E11262" s="57"/>
      <c r="F11262" s="57"/>
      <c r="G11262" s="58"/>
    </row>
    <row r="11263" spans="1:7" x14ac:dyDescent="0.25">
      <c r="A11263" s="219" t="s">
        <v>57</v>
      </c>
      <c r="B11263" s="219"/>
      <c r="C11263" s="219"/>
      <c r="D11263" s="219"/>
      <c r="E11263" s="219"/>
      <c r="F11263" s="219"/>
      <c r="G11263" s="219"/>
    </row>
    <row r="11264" spans="1:7" x14ac:dyDescent="0.25">
      <c r="A11264" s="49" t="s">
        <v>35</v>
      </c>
      <c r="B11264" s="219" t="s">
        <v>36</v>
      </c>
      <c r="C11264" s="219"/>
      <c r="D11264" s="49" t="s">
        <v>37</v>
      </c>
      <c r="E11264" s="49" t="s">
        <v>38</v>
      </c>
      <c r="F11264" s="49" t="s">
        <v>39</v>
      </c>
      <c r="G11264" s="49" t="s">
        <v>40</v>
      </c>
    </row>
    <row r="11265" spans="1:7" x14ac:dyDescent="0.25">
      <c r="A11265" s="50" t="s">
        <v>326</v>
      </c>
      <c r="B11265" s="220" t="str">
        <f>VLOOKUP(A11265,'[1]Componentes APUs'!$S$1:$V$10,2,0)</f>
        <v>Juego Llaves</v>
      </c>
      <c r="C11265" s="220"/>
      <c r="D11265" s="50" t="s">
        <v>18</v>
      </c>
      <c r="E11265" s="50">
        <v>2</v>
      </c>
      <c r="F11265" s="51">
        <f>VLOOKUP(A11265,'[1]Componentes APUs'!$S$1:$V$10,4,0)</f>
        <v>9167</v>
      </c>
      <c r="G11265" s="51">
        <f>ROUNDUP(F11265*((E11265/21)/E11246),0)</f>
        <v>98</v>
      </c>
    </row>
    <row r="11266" spans="1:7" x14ac:dyDescent="0.25">
      <c r="A11266" s="50" t="s">
        <v>58</v>
      </c>
      <c r="B11266" s="220" t="str">
        <f>VLOOKUP(A11266,'[1]Componentes APUs'!$S$1:$V$10,2,0)</f>
        <v>Manila de servicio</v>
      </c>
      <c r="C11266" s="220"/>
      <c r="D11266" s="50" t="s">
        <v>18</v>
      </c>
      <c r="E11266" s="50">
        <v>2</v>
      </c>
      <c r="F11266" s="51">
        <f>VLOOKUP(A11266,'[1]Componentes APUs'!$S$1:$V$10,4,0)</f>
        <v>2333</v>
      </c>
      <c r="G11266" s="51">
        <f>ROUNDUP(F11266*((E11266/21)/E11246),0)</f>
        <v>25</v>
      </c>
    </row>
    <row r="11267" spans="1:7" x14ac:dyDescent="0.25">
      <c r="A11267" s="50" t="s">
        <v>327</v>
      </c>
      <c r="B11267" s="220" t="str">
        <f>VLOOKUP(A11267,'[1]Componentes APUs'!$S$1:$V$10,2,0)</f>
        <v>Tula portaherramientas</v>
      </c>
      <c r="C11267" s="220"/>
      <c r="D11267" s="50" t="s">
        <v>18</v>
      </c>
      <c r="E11267" s="50">
        <v>2</v>
      </c>
      <c r="F11267" s="51">
        <f>VLOOKUP(A11267,'[1]Componentes APUs'!$S$1:$V$10,4,0)</f>
        <v>1250</v>
      </c>
      <c r="G11267" s="51">
        <f>ROUNDUP(F11267*((E11267/21)/E11246),0)</f>
        <v>14</v>
      </c>
    </row>
    <row r="11268" spans="1:7" x14ac:dyDescent="0.25">
      <c r="A11268" s="50" t="s">
        <v>60</v>
      </c>
      <c r="B11268" s="220" t="str">
        <f>VLOOKUP(A11268,'[1]Componentes APUs'!$S$1:$V$10,2,0)</f>
        <v>Agarradoras</v>
      </c>
      <c r="C11268" s="220"/>
      <c r="D11268" s="50" t="s">
        <v>18</v>
      </c>
      <c r="E11268" s="50">
        <v>0</v>
      </c>
      <c r="F11268" s="51">
        <f>VLOOKUP(A11268,'[1]Componentes APUs'!$S$1:$V$10,4,0)</f>
        <v>125000</v>
      </c>
      <c r="G11268" s="51">
        <f>ROUNDUP(F11268*((E11268/21)/E11246),0)</f>
        <v>0</v>
      </c>
    </row>
    <row r="11269" spans="1:7" x14ac:dyDescent="0.25">
      <c r="A11269" s="50" t="s">
        <v>62</v>
      </c>
      <c r="B11269" s="220" t="str">
        <f>VLOOKUP(A11269,'[1]Componentes APUs'!$S$1:$V$10,2,0)</f>
        <v>Templadoras</v>
      </c>
      <c r="C11269" s="220"/>
      <c r="D11269" s="50" t="s">
        <v>18</v>
      </c>
      <c r="E11269" s="50">
        <v>0</v>
      </c>
      <c r="F11269" s="51">
        <f>VLOOKUP(A11269,'[1]Componentes APUs'!$S$1:$V$10,4,0)</f>
        <v>250000</v>
      </c>
      <c r="G11269" s="51">
        <f>ROUNDUP(F11269*((E11269/21)/E11246),0)</f>
        <v>0</v>
      </c>
    </row>
    <row r="11270" spans="1:7" x14ac:dyDescent="0.25">
      <c r="A11270" s="50" t="s">
        <v>328</v>
      </c>
      <c r="B11270" s="220" t="str">
        <f>VLOOKUP(A11270,'[1]Componentes APUs'!$S$1:$V$10,2,0)</f>
        <v>Herramienta Menor</v>
      </c>
      <c r="C11270" s="220"/>
      <c r="D11270" s="50" t="s">
        <v>18</v>
      </c>
      <c r="E11270" s="50">
        <v>2</v>
      </c>
      <c r="F11270" s="51">
        <f>VLOOKUP(A11270,'[1]Componentes APUs'!$S$1:$V$10,4,0)</f>
        <v>75758</v>
      </c>
      <c r="G11270" s="51">
        <f>ROUNDUP(F11270*((E11270/21)/E11246),0)</f>
        <v>802</v>
      </c>
    </row>
    <row r="11271" spans="1:7" x14ac:dyDescent="0.25">
      <c r="A11271" s="219" t="s">
        <v>69</v>
      </c>
      <c r="B11271" s="219"/>
      <c r="C11271" s="219"/>
      <c r="D11271" s="219"/>
      <c r="E11271" s="219"/>
      <c r="F11271" s="219"/>
      <c r="G11271" s="52">
        <f>SUM(G11265:G11270)</f>
        <v>939</v>
      </c>
    </row>
    <row r="11272" spans="1:7" x14ac:dyDescent="0.25">
      <c r="A11272" s="56"/>
      <c r="B11272" s="57"/>
      <c r="C11272" s="57"/>
      <c r="D11272" s="57"/>
      <c r="E11272" s="57"/>
      <c r="F11272" s="57"/>
      <c r="G11272" s="58"/>
    </row>
    <row r="11273" spans="1:7" x14ac:dyDescent="0.25">
      <c r="A11273" s="219" t="s">
        <v>70</v>
      </c>
      <c r="B11273" s="219"/>
      <c r="C11273" s="219"/>
      <c r="D11273" s="219"/>
      <c r="E11273" s="219"/>
      <c r="F11273" s="219"/>
      <c r="G11273" s="219"/>
    </row>
    <row r="11274" spans="1:7" x14ac:dyDescent="0.25">
      <c r="A11274" s="49" t="s">
        <v>35</v>
      </c>
      <c r="B11274" s="219" t="s">
        <v>36</v>
      </c>
      <c r="C11274" s="219"/>
      <c r="D11274" s="49" t="s">
        <v>37</v>
      </c>
      <c r="E11274" s="49" t="s">
        <v>38</v>
      </c>
      <c r="F11274" s="49" t="s">
        <v>39</v>
      </c>
      <c r="G11274" s="49" t="s">
        <v>40</v>
      </c>
    </row>
    <row r="11275" spans="1:7" x14ac:dyDescent="0.25">
      <c r="A11275" s="50" t="s">
        <v>71</v>
      </c>
      <c r="B11275" s="71" t="str">
        <f>VLOOKUP(A11275,'[1]Componentes APUs'!$A$1:$D$14,2,0)</f>
        <v>Camisa indigo sin partes metalicas</v>
      </c>
      <c r="C11275" s="71"/>
      <c r="D11275" s="50" t="str">
        <f>VLOOKUP(A11275,'[1]Componentes APUs'!$A$1:$D$14,3,0)</f>
        <v>U</v>
      </c>
      <c r="E11275" s="50">
        <f>SUM(C11255:C11260)</f>
        <v>4.75</v>
      </c>
      <c r="F11275" s="51">
        <f>VLOOKUP(A11275,'[1]Componentes APUs'!$A$1:$D$14,4,0)</f>
        <v>8585.8585858585866</v>
      </c>
      <c r="G11275" s="51">
        <f>ROUNDUP(F11275*(E11275/21)/E11246,0)</f>
        <v>216</v>
      </c>
    </row>
    <row r="11276" spans="1:7" x14ac:dyDescent="0.25">
      <c r="A11276" s="69" t="s">
        <v>73</v>
      </c>
      <c r="B11276" s="72" t="str">
        <f>VLOOKUP(A11276,'[1]Componentes APUs'!$A$1:$D$14,2,0)</f>
        <v>Bota de seguridad dielectrica</v>
      </c>
      <c r="C11276" s="73"/>
      <c r="D11276" s="70" t="str">
        <f>VLOOKUP(A11276,'[1]Componentes APUs'!$A$1:$D$14,3,0)</f>
        <v>Par</v>
      </c>
      <c r="E11276" s="50">
        <f>SUM(C11255:C11260)</f>
        <v>4.75</v>
      </c>
      <c r="F11276" s="51">
        <f>VLOOKUP(A11276,'[1]Componentes APUs'!$A$1:$D$14,4,0)</f>
        <v>7500</v>
      </c>
      <c r="G11276" s="51">
        <f>ROUNDUP(F11276*(E11276/21)/E11246,0)</f>
        <v>189</v>
      </c>
    </row>
    <row r="11277" spans="1:7" x14ac:dyDescent="0.25">
      <c r="A11277" s="50" t="s">
        <v>76</v>
      </c>
      <c r="B11277" s="72" t="str">
        <f>VLOOKUP(A11277,'[1]Componentes APUs'!$A$1:$D$14,2,0)</f>
        <v>Casco dielectrico Tipo 1 Clase E con barbuquejo</v>
      </c>
      <c r="C11277" s="73"/>
      <c r="D11277" s="50" t="str">
        <f>VLOOKUP(A11277,'[1]Componentes APUs'!$A$1:$D$14,3,0)</f>
        <v>U</v>
      </c>
      <c r="E11277" s="50">
        <f>C11260+C11255+C11258+C11259+C11256+IF(A11257&lt;&gt;"MO-3",C11257,0)</f>
        <v>2.75</v>
      </c>
      <c r="F11277" s="51">
        <f>VLOOKUP(A11277,'[1]Componentes APUs'!$A$1:$D$14,4,0)</f>
        <v>10101.010101010101</v>
      </c>
      <c r="G11277" s="51">
        <f>ROUNDUP(F11277*(E11277/21)/E11246,0)</f>
        <v>147</v>
      </c>
    </row>
    <row r="11278" spans="1:7" x14ac:dyDescent="0.25">
      <c r="A11278" s="69" t="s">
        <v>77</v>
      </c>
      <c r="B11278" s="72" t="str">
        <f>VLOOKUP(A11278,'[1]Componentes APUs'!$A$1:$D$14,2,0)</f>
        <v>Correa plastica y antiflama</v>
      </c>
      <c r="C11278" s="73"/>
      <c r="D11278" s="50" t="str">
        <f>VLOOKUP(A11278,'[1]Componentes APUs'!$A$1:$D$14,3,0)</f>
        <v>U</v>
      </c>
      <c r="E11278" s="50">
        <f>SUM(C11255:C11260)</f>
        <v>4.75</v>
      </c>
      <c r="F11278" s="51">
        <f>VLOOKUP(A11278,'[1]Componentes APUs'!$A$1:$D$14,4,0)</f>
        <v>3787.878787878788</v>
      </c>
      <c r="G11278" s="51">
        <f>ROUNDUP(F11278*(E11278/21)/E11246,0)</f>
        <v>96</v>
      </c>
    </row>
    <row r="11279" spans="1:7" x14ac:dyDescent="0.25">
      <c r="A11279" s="50" t="s">
        <v>79</v>
      </c>
      <c r="B11279" s="72" t="str">
        <f>VLOOKUP(A11279,'[1]Componentes APUs'!$A$1:$D$14,2,0)</f>
        <v>Gafas protectoras filtro UV</v>
      </c>
      <c r="C11279" s="73"/>
      <c r="D11279" s="50" t="str">
        <f>VLOOKUP(A11279,'[1]Componentes APUs'!$A$1:$D$14,3,0)</f>
        <v>U</v>
      </c>
      <c r="E11279" s="50">
        <f>SUM(C11255:C11260)</f>
        <v>4.75</v>
      </c>
      <c r="F11279" s="51">
        <f>VLOOKUP(A11279,'[1]Componentes APUs'!$A$1:$D$14,4,0)</f>
        <v>2777.7777777777778</v>
      </c>
      <c r="G11279" s="51">
        <f>ROUNDUP(F11279*(E11279/21)/E11246,0)</f>
        <v>70</v>
      </c>
    </row>
    <row r="11280" spans="1:7" x14ac:dyDescent="0.25">
      <c r="A11280" s="69" t="s">
        <v>402</v>
      </c>
      <c r="B11280" s="72" t="str">
        <f>VLOOKUP(A11280,'[1]Componentes APUs'!$A$1:$D$14,2,0)</f>
        <v>Bota de seguridad PVC dielectrica</v>
      </c>
      <c r="C11280" s="73"/>
      <c r="D11280" s="50" t="str">
        <f>VLOOKUP(A11280,'[1]Componentes APUs'!$A$1:$D$14,3,0)</f>
        <v>Par</v>
      </c>
      <c r="E11280" s="50">
        <f>SUM(C11255:C11260)</f>
        <v>4.75</v>
      </c>
      <c r="F11280" s="51">
        <f>VLOOKUP(A11280,'[1]Componentes APUs'!$A$1:$D$14,4,0)</f>
        <v>2916.6666666666665</v>
      </c>
      <c r="G11280" s="51">
        <f>ROUNDUP(F11280*(E11280/21)/E11246,0)</f>
        <v>74</v>
      </c>
    </row>
    <row r="11281" spans="1:7" x14ac:dyDescent="0.25">
      <c r="A11281" s="50" t="s">
        <v>403</v>
      </c>
      <c r="B11281" s="72" t="str">
        <f>VLOOKUP(A11281,'[1]Componentes APUs'!$A$1:$D$14,2,0)</f>
        <v>Capuchon</v>
      </c>
      <c r="C11281" s="73"/>
      <c r="D11281" s="50" t="str">
        <f>VLOOKUP(A11281,'[1]Componentes APUs'!$A$1:$D$14,3,0)</f>
        <v>U</v>
      </c>
      <c r="E11281" s="50">
        <f>SUM(C11255:C11260)</f>
        <v>4.75</v>
      </c>
      <c r="F11281" s="51">
        <f>VLOOKUP(A11281,'[1]Componentes APUs'!$A$1:$D$14,4,0)</f>
        <v>2525.2525252525252</v>
      </c>
      <c r="G11281" s="51">
        <f>ROUNDUP(F11281*(E11281/21)/E11246,0)</f>
        <v>64</v>
      </c>
    </row>
    <row r="11282" spans="1:7" x14ac:dyDescent="0.25">
      <c r="A11282" s="69" t="s">
        <v>81</v>
      </c>
      <c r="B11282" s="72" t="str">
        <f>VLOOKUP(A11282,'[1]Componentes APUs'!$A$1:$D$14,2,0)</f>
        <v>Guantes Protectores  - ingeniero reforzados</v>
      </c>
      <c r="C11282" s="73"/>
      <c r="D11282" s="50" t="str">
        <f>VLOOKUP(A11282,'[1]Componentes APUs'!$A$1:$D$14,3,0)</f>
        <v>Par</v>
      </c>
      <c r="E11282" s="50">
        <f>C11257+C11258+C11260</f>
        <v>4</v>
      </c>
      <c r="F11282" s="51">
        <f>VLOOKUP(A11282,'[1]Componentes APUs'!$A$1:$D$14,4,0)</f>
        <v>2525.2525252525252</v>
      </c>
      <c r="G11282" s="51">
        <f>ROUNDUP(F11282*(E11282/21)/E11246,0)</f>
        <v>54</v>
      </c>
    </row>
    <row r="11283" spans="1:7" x14ac:dyDescent="0.25">
      <c r="A11283" s="50" t="s">
        <v>83</v>
      </c>
      <c r="B11283" s="72" t="str">
        <f>VLOOKUP(A11283,'[1]Componentes APUs'!$A$1:$D$14,2,0)</f>
        <v>Impermeable (pantalon camisa)</v>
      </c>
      <c r="C11283" s="73"/>
      <c r="D11283" s="50" t="str">
        <f>VLOOKUP(A11283,'[1]Componentes APUs'!$A$1:$D$14,3,0)</f>
        <v>U</v>
      </c>
      <c r="E11283" s="50">
        <f>SUM(C11255:C11260)</f>
        <v>4.75</v>
      </c>
      <c r="F11283" s="51">
        <f>VLOOKUP(A11283,'[1]Componentes APUs'!$A$1:$D$14,4,0)</f>
        <v>3750</v>
      </c>
      <c r="G11283" s="51">
        <f>ROUNDUP(F11283*(E11283/21)/E11246,0)</f>
        <v>95</v>
      </c>
    </row>
    <row r="11284" spans="1:7" x14ac:dyDescent="0.25">
      <c r="A11284" s="69" t="s">
        <v>85</v>
      </c>
      <c r="B11284" s="72" t="str">
        <f>VLOOKUP(A11284,'[1]Componentes APUs'!$A$1:$D$14,2,0)</f>
        <v>Jean Dielectrico</v>
      </c>
      <c r="C11284" s="73"/>
      <c r="D11284" s="50" t="str">
        <f>VLOOKUP(A11284,'[1]Componentes APUs'!$A$1:$D$14,3,0)</f>
        <v>U</v>
      </c>
      <c r="E11284" s="50">
        <f>SUM(C11255:C11260)</f>
        <v>4.75</v>
      </c>
      <c r="F11284" s="51">
        <f>VLOOKUP(A11284,'[1]Componentes APUs'!$A$1:$D$14,4,0)</f>
        <v>7575.757575757576</v>
      </c>
      <c r="G11284" s="51">
        <f>ROUNDUP(F11284*(E11284/21)/E11246,0)</f>
        <v>191</v>
      </c>
    </row>
    <row r="11285" spans="1:7" x14ac:dyDescent="0.25">
      <c r="A11285" s="50" t="s">
        <v>87</v>
      </c>
      <c r="B11285" s="72" t="str">
        <f>VLOOKUP(A11285,'[1]Componentes APUs'!$A$1:$D$14,2,0)</f>
        <v>Casco dielectrico Tipo 2 Clase E con barboquejo</v>
      </c>
      <c r="C11285" s="73"/>
      <c r="D11285" s="50" t="str">
        <f>VLOOKUP(A11285,'[1]Componentes APUs'!$A$1:$D$14,3,0)</f>
        <v>U</v>
      </c>
      <c r="E11285" s="53">
        <f>IF(A11257="MO-3",C11257,0)</f>
        <v>2</v>
      </c>
      <c r="F11285" s="51">
        <f>VLOOKUP(A11285,'[1]Componentes APUs'!$A$1:$D$14,4,0)</f>
        <v>7500</v>
      </c>
      <c r="G11285" s="51">
        <f>ROUNDUP(F11285*(E11285/21)/E11246,0)</f>
        <v>80</v>
      </c>
    </row>
    <row r="11286" spans="1:7" x14ac:dyDescent="0.25">
      <c r="A11286" s="69" t="s">
        <v>89</v>
      </c>
      <c r="B11286" s="72" t="str">
        <f>VLOOKUP(A11286,'[1]Componentes APUs'!$A$1:$D$14,2,0)</f>
        <v>Kit de rescate para trabajo en alturas</v>
      </c>
      <c r="C11286" s="73"/>
      <c r="D11286" s="50" t="str">
        <f>VLOOKUP(A11286,'[1]Componentes APUs'!$A$1:$D$14,3,0)</f>
        <v>U</v>
      </c>
      <c r="E11286" s="50">
        <f>IF(AND(A11257="MO-3",C11257=2),1,0)</f>
        <v>1</v>
      </c>
      <c r="F11286" s="51">
        <f>VLOOKUP(A11286,'[1]Componentes APUs'!$A$1:$D$14,4,0)</f>
        <v>37500</v>
      </c>
      <c r="G11286" s="51">
        <f>ROUNDUP(F11286*(E11286/21)/E11246,0)</f>
        <v>199</v>
      </c>
    </row>
    <row r="11287" spans="1:7" x14ac:dyDescent="0.25">
      <c r="A11287" s="50" t="s">
        <v>91</v>
      </c>
      <c r="B11287" s="72" t="str">
        <f>VLOOKUP(A11287,'[1]Componentes APUs'!$A$1:$D$14,2,0)</f>
        <v>Equipo completo para trabajo en alturas con pretales (Arnes dielectrico, 1 mosqueton de seguridad, tie off dielectrico, eslinga de posicionamiento, juego de pretales)</v>
      </c>
      <c r="C11287" s="73"/>
      <c r="D11287" s="50" t="str">
        <f>VLOOKUP(A11287,'[1]Componentes APUs'!$A$1:$D$14,3,0)</f>
        <v>U</v>
      </c>
      <c r="E11287" s="50">
        <f>IF(A11257="MO-3",C11257,0)</f>
        <v>2</v>
      </c>
      <c r="F11287" s="51">
        <f>VLOOKUP(A11287,'[1]Componentes APUs'!$A$1:$D$14,4,0)</f>
        <v>26041.666666666668</v>
      </c>
      <c r="G11287" s="51">
        <f>ROUNDUP(F11287*(E11287/21)/E11246,0)</f>
        <v>276</v>
      </c>
    </row>
    <row r="11288" spans="1:7" x14ac:dyDescent="0.25">
      <c r="A11288" s="219" t="s">
        <v>95</v>
      </c>
      <c r="B11288" s="219"/>
      <c r="C11288" s="219"/>
      <c r="D11288" s="219"/>
      <c r="E11288" s="219"/>
      <c r="F11288" s="219"/>
      <c r="G11288" s="52">
        <f>SUM(G11275:G11287)</f>
        <v>1751</v>
      </c>
    </row>
    <row r="11289" spans="1:7" x14ac:dyDescent="0.25">
      <c r="A11289" s="56"/>
      <c r="B11289" s="57"/>
      <c r="C11289" s="57"/>
      <c r="D11289" s="57"/>
      <c r="E11289" s="57"/>
      <c r="F11289" s="57"/>
      <c r="G11289" s="58"/>
    </row>
    <row r="11290" spans="1:7" x14ac:dyDescent="0.25">
      <c r="A11290" s="219" t="s">
        <v>96</v>
      </c>
      <c r="B11290" s="219"/>
      <c r="C11290" s="219"/>
      <c r="D11290" s="219"/>
      <c r="E11290" s="219"/>
      <c r="F11290" s="219"/>
      <c r="G11290" s="219"/>
    </row>
    <row r="11291" spans="1:7" x14ac:dyDescent="0.25">
      <c r="A11291" s="49" t="s">
        <v>35</v>
      </c>
      <c r="B11291" s="225" t="s">
        <v>36</v>
      </c>
      <c r="C11291" s="225"/>
      <c r="D11291" s="49" t="s">
        <v>37</v>
      </c>
      <c r="E11291" s="49" t="s">
        <v>38</v>
      </c>
      <c r="F11291" s="49" t="s">
        <v>39</v>
      </c>
      <c r="G11291" s="49" t="s">
        <v>40</v>
      </c>
    </row>
    <row r="11292" spans="1:7" x14ac:dyDescent="0.25">
      <c r="A11292" s="69" t="s">
        <v>97</v>
      </c>
      <c r="B11292" s="72" t="str">
        <f>VLOOKUP(A11292,'[1]Componentes APUs'!$N$1:$Q$30,2,0)</f>
        <v>Camioneta</v>
      </c>
      <c r="C11292" s="73"/>
      <c r="D11292" s="70" t="str">
        <f>VLOOKUP(A11292,'[1]Componentes APUs'!$N$1:$Q$30,3,0)</f>
        <v>U</v>
      </c>
      <c r="E11292" s="50">
        <v>1</v>
      </c>
      <c r="F11292" s="51">
        <f>VLOOKUP(A11292,'[1]Componentes APUs'!$N$1:$Q$30,4,0)</f>
        <v>5500000</v>
      </c>
      <c r="G11292" s="51">
        <f>IFERROR(ROUNDUP(F11292*(E11292/21)/E11246,0),"-")</f>
        <v>29101</v>
      </c>
    </row>
    <row r="11293" spans="1:7" x14ac:dyDescent="0.25">
      <c r="A11293" s="50" t="s">
        <v>321</v>
      </c>
      <c r="B11293" s="72" t="str">
        <f>VLOOKUP(A11293,'[1]Componentes APUs'!$N$1:$Q$30,2,0)</f>
        <v>Grúa Hidráulica</v>
      </c>
      <c r="C11293" s="73"/>
      <c r="D11293" s="70" t="str">
        <f>VLOOKUP(A11293,'[1]Componentes APUs'!$N$1:$Q$30,3,0)</f>
        <v>U</v>
      </c>
      <c r="E11293" s="50">
        <v>0</v>
      </c>
      <c r="F11293" s="51">
        <f>VLOOKUP(A11293,'[1]Componentes APUs'!$N$1:$Q$30,4,0)</f>
        <v>21000000</v>
      </c>
      <c r="G11293" s="51">
        <f>IFERROR(ROUNDUP(F11293*(E11293/21)/E11246,0),"-")</f>
        <v>0</v>
      </c>
    </row>
    <row r="11294" spans="1:7" x14ac:dyDescent="0.25">
      <c r="A11294" s="69" t="s">
        <v>322</v>
      </c>
      <c r="B11294" s="72" t="str">
        <f>VLOOKUP(A11294,'[1]Componentes APUs'!$N$1:$Q$30,2,0)</f>
        <v>Camabaja</v>
      </c>
      <c r="C11294" s="73"/>
      <c r="D11294" s="70" t="str">
        <f>VLOOKUP(A11294,'[1]Componentes APUs'!$N$1:$Q$30,3,0)</f>
        <v>TON/KM</v>
      </c>
      <c r="E11294" s="50">
        <v>0</v>
      </c>
      <c r="F11294" s="51">
        <f>VLOOKUP(A11294,'[1]Componentes APUs'!$N$1:$Q$30,4,0)</f>
        <v>611</v>
      </c>
      <c r="G11294" s="51">
        <f>IFERROR(ROUNDUP(F11294*(E11294/21)/E11246,0),"-")</f>
        <v>0</v>
      </c>
    </row>
    <row r="11295" spans="1:7" x14ac:dyDescent="0.25">
      <c r="A11295" s="50" t="s">
        <v>323</v>
      </c>
      <c r="B11295" s="72" t="str">
        <f>VLOOKUP(A11295,'[1]Componentes APUs'!$N$1:$Q$30,2,0)</f>
        <v>Volqueta</v>
      </c>
      <c r="C11295" s="73"/>
      <c r="D11295" s="70" t="str">
        <f>VLOOKUP(A11295,'[1]Componentes APUs'!$N$1:$Q$30,3,0)</f>
        <v>U</v>
      </c>
      <c r="E11295" s="50">
        <v>0</v>
      </c>
      <c r="F11295" s="51">
        <f>VLOOKUP(A11295,'[1]Componentes APUs'!$N$1:$Q$30,4,0)</f>
        <v>18900000</v>
      </c>
      <c r="G11295" s="51">
        <f>IFERROR(ROUNDUP(F11295*(E11295/21)/E11246,0),"-")</f>
        <v>0</v>
      </c>
    </row>
    <row r="11296" spans="1:7" x14ac:dyDescent="0.25">
      <c r="A11296" s="69" t="s">
        <v>324</v>
      </c>
      <c r="B11296" s="72" t="str">
        <f>VLOOKUP(A11296,'[1]Componentes APUs'!$N$1:$Q$30,2,0)</f>
        <v>Retroexcavadora</v>
      </c>
      <c r="C11296" s="73"/>
      <c r="D11296" s="70" t="str">
        <f>VLOOKUP(A11296,'[1]Componentes APUs'!$N$1:$Q$30,3,0)</f>
        <v>U</v>
      </c>
      <c r="E11296" s="50">
        <v>0</v>
      </c>
      <c r="F11296" s="51">
        <f>VLOOKUP(A11296,'[1]Componentes APUs'!$N$1:$Q$30,4,0)</f>
        <v>1494459.54</v>
      </c>
      <c r="G11296" s="51">
        <f>IFERROR(ROUNDUP(F11296*(E11296/21)/E11246,0),"-")</f>
        <v>0</v>
      </c>
    </row>
    <row r="11297" spans="1:7" x14ac:dyDescent="0.25">
      <c r="A11297" s="219" t="s">
        <v>99</v>
      </c>
      <c r="B11297" s="219"/>
      <c r="C11297" s="219"/>
      <c r="D11297" s="219"/>
      <c r="E11297" s="219"/>
      <c r="F11297" s="219"/>
      <c r="G11297" s="52">
        <f>SUM(G11292:G11296)</f>
        <v>29101</v>
      </c>
    </row>
    <row r="11298" spans="1:7" x14ac:dyDescent="0.25">
      <c r="A11298" s="56"/>
      <c r="B11298" s="57"/>
      <c r="C11298" s="57"/>
      <c r="D11298" s="57"/>
      <c r="E11298" s="57"/>
      <c r="F11298" s="57"/>
      <c r="G11298" s="58"/>
    </row>
    <row r="11299" spans="1:7" x14ac:dyDescent="0.25">
      <c r="A11299" s="219" t="s">
        <v>1516</v>
      </c>
      <c r="B11299" s="219"/>
      <c r="C11299" s="219"/>
      <c r="D11299" s="219"/>
      <c r="E11299" s="219"/>
      <c r="F11299" s="219"/>
      <c r="G11299" s="52">
        <f>G11297+G11288+G11271+G11261+G11251</f>
        <v>542450</v>
      </c>
    </row>
    <row r="11300" spans="1:7" x14ac:dyDescent="0.25">
      <c r="A11300" s="59"/>
      <c r="B11300" s="60"/>
      <c r="C11300" s="60"/>
      <c r="D11300" s="60"/>
      <c r="E11300" s="57"/>
      <c r="F11300" s="57"/>
      <c r="G11300" s="58"/>
    </row>
    <row r="11301" spans="1:7" x14ac:dyDescent="0.25">
      <c r="A11301" s="64"/>
      <c r="D11301" s="55"/>
      <c r="E11301" s="49" t="s">
        <v>25</v>
      </c>
      <c r="F11301" s="54">
        <v>0.15</v>
      </c>
      <c r="G11301" s="51">
        <f>G11299*F11301</f>
        <v>81367.5</v>
      </c>
    </row>
    <row r="11302" spans="1:7" x14ac:dyDescent="0.25">
      <c r="A11302" s="64"/>
      <c r="D11302" s="55"/>
      <c r="E11302" s="49" t="s">
        <v>26</v>
      </c>
      <c r="F11302" s="54">
        <v>0.05</v>
      </c>
      <c r="G11302" s="51">
        <f>G11299*F11302</f>
        <v>27122.5</v>
      </c>
    </row>
    <row r="11303" spans="1:7" x14ac:dyDescent="0.25">
      <c r="A11303" s="61"/>
      <c r="B11303" s="65"/>
      <c r="C11303" s="65"/>
      <c r="D11303" s="62"/>
      <c r="E11303" s="49" t="s">
        <v>27</v>
      </c>
      <c r="F11303" s="54">
        <v>0.05</v>
      </c>
      <c r="G11303" s="51">
        <f>G11299*F11303</f>
        <v>27122.5</v>
      </c>
    </row>
    <row r="11304" spans="1:7" x14ac:dyDescent="0.25">
      <c r="A11304" s="61"/>
      <c r="B11304" s="62"/>
      <c r="C11304" s="62"/>
      <c r="D11304" s="62"/>
      <c r="E11304" s="62"/>
      <c r="F11304" s="62"/>
      <c r="G11304" s="63"/>
    </row>
    <row r="11305" spans="1:7" x14ac:dyDescent="0.25">
      <c r="A11305" s="219" t="s">
        <v>1517</v>
      </c>
      <c r="B11305" s="219"/>
      <c r="C11305" s="219"/>
      <c r="D11305" s="219"/>
      <c r="E11305" s="219"/>
      <c r="F11305" s="219"/>
      <c r="G11305" s="52">
        <f>G11299+G11301+G11302+G11303</f>
        <v>678062.5</v>
      </c>
    </row>
    <row r="11306" spans="1:7" x14ac:dyDescent="0.25">
      <c r="A11306" s="59"/>
      <c r="B11306" s="60"/>
      <c r="C11306" s="60"/>
      <c r="D11306" s="60"/>
      <c r="E11306" s="57"/>
      <c r="F11306" s="57"/>
      <c r="G11306" s="58"/>
    </row>
    <row r="11307" spans="1:7" x14ac:dyDescent="0.25">
      <c r="A11307" s="64"/>
      <c r="D11307" s="55"/>
      <c r="E11307" s="49" t="s">
        <v>102</v>
      </c>
      <c r="F11307" s="49" t="s">
        <v>103</v>
      </c>
      <c r="G11307" s="51">
        <f>G11303*19%</f>
        <v>5153.2749999999996</v>
      </c>
    </row>
    <row r="11308" spans="1:7" x14ac:dyDescent="0.25">
      <c r="A11308" s="61"/>
      <c r="B11308" s="62"/>
      <c r="C11308" s="62"/>
      <c r="D11308" s="62"/>
      <c r="E11308" s="57"/>
      <c r="F11308" s="57"/>
      <c r="G11308" s="58"/>
    </row>
    <row r="11309" spans="1:7" x14ac:dyDescent="0.25">
      <c r="A11309" s="219" t="s">
        <v>104</v>
      </c>
      <c r="B11309" s="219"/>
      <c r="C11309" s="219"/>
      <c r="D11309" s="219"/>
      <c r="E11309" s="219"/>
      <c r="F11309" s="219"/>
      <c r="G11309" s="52">
        <f>G11307+G11305</f>
        <v>683215.77500000002</v>
      </c>
    </row>
    <row r="11311" spans="1:7" x14ac:dyDescent="0.25">
      <c r="A11311" s="74" t="s">
        <v>29</v>
      </c>
      <c r="B11311" s="226" t="s">
        <v>30</v>
      </c>
      <c r="C11311" s="226"/>
      <c r="D11311" s="74" t="s">
        <v>31</v>
      </c>
      <c r="E11311" s="74" t="s">
        <v>32</v>
      </c>
      <c r="F11311" s="74" t="s">
        <v>189</v>
      </c>
      <c r="G11311" s="74" t="s">
        <v>33</v>
      </c>
    </row>
    <row r="11312" spans="1:7" ht="21" customHeight="1" x14ac:dyDescent="0.25">
      <c r="A11312" s="50" t="str">
        <f>Presupuesto!B205</f>
        <v>016_N3</v>
      </c>
      <c r="B11312" s="220" t="str">
        <f>Presupuesto!C205</f>
        <v>CERTIFICACIÓN RETIE PARA BAHIA EN SUBESTACIÓN 34.5 KV O 13.8 KV</v>
      </c>
      <c r="C11312" s="220"/>
      <c r="D11312" s="50" t="s">
        <v>8</v>
      </c>
      <c r="E11312" s="50">
        <v>5</v>
      </c>
      <c r="F11312" s="50"/>
      <c r="G11312" s="51">
        <f>G11375</f>
        <v>12093809.684</v>
      </c>
    </row>
    <row r="11313" spans="1:7" x14ac:dyDescent="0.25">
      <c r="A11313" s="219" t="s">
        <v>34</v>
      </c>
      <c r="B11313" s="219"/>
      <c r="C11313" s="219"/>
      <c r="D11313" s="219"/>
      <c r="E11313" s="219"/>
      <c r="F11313" s="219"/>
      <c r="G11313" s="219"/>
    </row>
    <row r="11314" spans="1:7" x14ac:dyDescent="0.25">
      <c r="A11314" s="49" t="s">
        <v>35</v>
      </c>
      <c r="B11314" s="219" t="s">
        <v>36</v>
      </c>
      <c r="C11314" s="219"/>
      <c r="D11314" s="49" t="s">
        <v>37</v>
      </c>
      <c r="E11314" s="49" t="s">
        <v>38</v>
      </c>
      <c r="F11314" s="49" t="s">
        <v>39</v>
      </c>
      <c r="G11314" s="49" t="s">
        <v>40</v>
      </c>
    </row>
    <row r="11315" spans="1:7" x14ac:dyDescent="0.25">
      <c r="A11315" s="17" t="str">
        <f>Material!A26</f>
        <v>MA-25</v>
      </c>
      <c r="B11315" s="72" t="str">
        <f>IFERROR(VLOOKUP(A11315,Material!$A:$J,2,0),"-")</f>
        <v>CERTIFICACIÓN RETIE PARA BAHIA EN SUBESTACIÓN 34.5 KV O 13.8 KV</v>
      </c>
      <c r="C11315" s="73"/>
      <c r="D11315" s="50" t="str">
        <f>IFERROR(VLOOKUP(A11315,Material!$A:$J,4,0),"-")</f>
        <v>UN</v>
      </c>
      <c r="E11315" s="50">
        <v>1</v>
      </c>
      <c r="F11315" s="51">
        <f>IFERROR(VLOOKUP(A11315,Material!$A:$J,3,0),"-")</f>
        <v>9282000</v>
      </c>
      <c r="G11315" s="51">
        <f t="shared" ref="G11315:G11316" si="158">IFERROR(ROUNDUP(F11315*E11315,0),"-")</f>
        <v>9282000</v>
      </c>
    </row>
    <row r="11316" spans="1:7" x14ac:dyDescent="0.25">
      <c r="A11316" s="17"/>
      <c r="B11316" s="72" t="str">
        <f>IFERROR(VLOOKUP(A11316,Material!$A:$J,2,0),"-")</f>
        <v>-</v>
      </c>
      <c r="C11316" s="73"/>
      <c r="D11316" s="50" t="str">
        <f>IFERROR(VLOOKUP(A11316,Material!$A:$J,4,0),"-")</f>
        <v>-</v>
      </c>
      <c r="E11316" s="50"/>
      <c r="F11316" s="51" t="str">
        <f>IFERROR(VLOOKUP(A11316,Material!$A:$J,3,0),"-")</f>
        <v>-</v>
      </c>
      <c r="G11316" s="51" t="str">
        <f t="shared" si="158"/>
        <v>-</v>
      </c>
    </row>
    <row r="11317" spans="1:7" x14ac:dyDescent="0.25">
      <c r="A11317" s="219" t="s">
        <v>41</v>
      </c>
      <c r="B11317" s="219"/>
      <c r="C11317" s="219"/>
      <c r="D11317" s="219"/>
      <c r="E11317" s="219"/>
      <c r="F11317" s="219"/>
      <c r="G11317" s="52">
        <f>SUM(G11315:G11316)</f>
        <v>9282000</v>
      </c>
    </row>
    <row r="11318" spans="1:7" x14ac:dyDescent="0.25">
      <c r="A11318" s="56"/>
      <c r="B11318" s="57"/>
      <c r="C11318" s="57"/>
      <c r="D11318" s="57"/>
      <c r="E11318" s="57"/>
      <c r="F11318" s="57"/>
      <c r="G11318" s="58"/>
    </row>
    <row r="11319" spans="1:7" x14ac:dyDescent="0.25">
      <c r="A11319" s="219" t="s">
        <v>42</v>
      </c>
      <c r="B11319" s="219"/>
      <c r="C11319" s="219"/>
      <c r="D11319" s="219"/>
      <c r="E11319" s="219"/>
      <c r="F11319" s="219"/>
      <c r="G11319" s="219"/>
    </row>
    <row r="11320" spans="1:7" x14ac:dyDescent="0.25">
      <c r="A11320" s="49" t="s">
        <v>35</v>
      </c>
      <c r="B11320" s="49" t="s">
        <v>36</v>
      </c>
      <c r="C11320" s="49" t="s">
        <v>38</v>
      </c>
      <c r="D11320" s="49" t="s">
        <v>43</v>
      </c>
      <c r="E11320" s="49" t="s">
        <v>44</v>
      </c>
      <c r="F11320" s="49" t="s">
        <v>45</v>
      </c>
      <c r="G11320" s="49" t="s">
        <v>40</v>
      </c>
    </row>
    <row r="11321" spans="1:7" x14ac:dyDescent="0.25">
      <c r="A11321" s="50" t="s">
        <v>319</v>
      </c>
      <c r="B11321" s="68" t="str">
        <f>VLOOKUP(A11321,'[1]Componentes APUs'!$H$1:$L$25,2,0)</f>
        <v>Ingeniero Residente de Obra</v>
      </c>
      <c r="C11321" s="93">
        <v>1</v>
      </c>
      <c r="D11321" s="50">
        <f>VLOOKUP(A11321,'[1]Componentes APUs'!$H$1:$L$25,3,0)</f>
        <v>4</v>
      </c>
      <c r="E11321" s="51">
        <f>VLOOKUP(A11321,'[1]Componentes APUs'!$H$1:$L$25,4,0)</f>
        <v>271142.85714285716</v>
      </c>
      <c r="F11321" s="51">
        <f>VLOOKUP(A11321,'[1]Componentes APUs'!$H$1:$L$25,5,0)</f>
        <v>162685.71428571429</v>
      </c>
      <c r="G11321" s="51">
        <f>ROUNDUP((E11321+F11321)*C11321/E11312,0)</f>
        <v>86766</v>
      </c>
    </row>
    <row r="11322" spans="1:7" x14ac:dyDescent="0.25">
      <c r="A11322" s="50" t="s">
        <v>320</v>
      </c>
      <c r="B11322" s="68" t="str">
        <f>VLOOKUP(A11322,'[1]Componentes APUs'!$H$1:$L$25,2,0)</f>
        <v>Tecnico Supervisor</v>
      </c>
      <c r="C11322" s="93">
        <v>1</v>
      </c>
      <c r="D11322" s="50">
        <f>VLOOKUP(A11322,'[1]Componentes APUs'!$H$1:$L$25,3,0)</f>
        <v>2.2999999999999998</v>
      </c>
      <c r="E11322" s="51">
        <f>VLOOKUP(A11322,'[1]Componentes APUs'!$H$1:$L$25,4,0)</f>
        <v>155907.14285714284</v>
      </c>
      <c r="F11322" s="51">
        <f>VLOOKUP(A11322,'[1]Componentes APUs'!$H$1:$L$25,5,0)</f>
        <v>93544.285714285696</v>
      </c>
      <c r="G11322" s="51">
        <f>ROUNDUP((E11322+F11322)*C11322/E11312,0)</f>
        <v>49891</v>
      </c>
    </row>
    <row r="11323" spans="1:7" x14ac:dyDescent="0.25">
      <c r="A11323" s="50" t="s">
        <v>46</v>
      </c>
      <c r="B11323" s="68" t="str">
        <f>VLOOKUP(A11323,'[1]Componentes APUs'!$H$1:$L$25,2,0)</f>
        <v>Tecnico Liniero</v>
      </c>
      <c r="C11323" s="93">
        <v>0</v>
      </c>
      <c r="D11323" s="50">
        <f>VLOOKUP(A11323,'[1]Componentes APUs'!$H$1:$L$25,3,0)</f>
        <v>2</v>
      </c>
      <c r="E11323" s="51">
        <f>VLOOKUP(A11323,'[1]Componentes APUs'!$H$1:$L$25,4,0)</f>
        <v>154619.04761904763</v>
      </c>
      <c r="F11323" s="51">
        <f>VLOOKUP(A11323,'[1]Componentes APUs'!$H$1:$L$25,5,0)</f>
        <v>92771.42857142858</v>
      </c>
      <c r="G11323" s="51">
        <f>ROUNDUP((E11323+F11323)*C11323/E11312,0)</f>
        <v>0</v>
      </c>
    </row>
    <row r="11324" spans="1:7" x14ac:dyDescent="0.25">
      <c r="A11324" s="50" t="s">
        <v>48</v>
      </c>
      <c r="B11324" s="68" t="str">
        <f>VLOOKUP(A11324,'[1]Componentes APUs'!$H$1:$L$25,2,0)</f>
        <v>Ayudante Calificado</v>
      </c>
      <c r="C11324" s="93">
        <v>2</v>
      </c>
      <c r="D11324" s="50">
        <f>VLOOKUP(A11324,'[1]Componentes APUs'!$H$1:$L$25,3,0)</f>
        <v>1.5</v>
      </c>
      <c r="E11324" s="51">
        <f>VLOOKUP(A11324,'[1]Componentes APUs'!$H$1:$L$25,4,0)</f>
        <v>115964.28571428571</v>
      </c>
      <c r="F11324" s="51">
        <f>VLOOKUP(A11324,'[1]Componentes APUs'!$H$1:$L$25,5,0)</f>
        <v>69578.57142857142</v>
      </c>
      <c r="G11324" s="51">
        <f>ROUNDUP((E11324+F11324)*C11324/E11312,0)</f>
        <v>74218</v>
      </c>
    </row>
    <row r="11325" spans="1:7" x14ac:dyDescent="0.25">
      <c r="A11325" s="50" t="s">
        <v>50</v>
      </c>
      <c r="B11325" s="68" t="str">
        <f>VLOOKUP(A11325,'[1]Componentes APUs'!$H$1:$L$25,2,0)</f>
        <v>Profesional en SST</v>
      </c>
      <c r="C11325" s="93">
        <v>1</v>
      </c>
      <c r="D11325" s="50">
        <f>VLOOKUP(A11325,'[1]Componentes APUs'!$H$1:$L$25,3,0)</f>
        <v>2.5</v>
      </c>
      <c r="E11325" s="51">
        <f>VLOOKUP(A11325,'[1]Componentes APUs'!$H$1:$L$25,4,0)</f>
        <v>169464.28571428571</v>
      </c>
      <c r="F11325" s="51">
        <f>VLOOKUP(A11325,'[1]Componentes APUs'!$H$1:$L$25,5,0)</f>
        <v>101678.57142857142</v>
      </c>
      <c r="G11325" s="51">
        <f>ROUNDUP((E11325+F11325)*C11325/E11312,0)</f>
        <v>54229</v>
      </c>
    </row>
    <row r="11326" spans="1:7" x14ac:dyDescent="0.25">
      <c r="A11326" s="50" t="s">
        <v>52</v>
      </c>
      <c r="B11326" s="68" t="str">
        <f>VLOOKUP(A11326,'[1]Componentes APUs'!$H$1:$L$25,2,0)</f>
        <v>Ayudante No Calificado</v>
      </c>
      <c r="C11326" s="93">
        <v>0</v>
      </c>
      <c r="D11326" s="50">
        <f>VLOOKUP(A11326,'[1]Componentes APUs'!$H$1:$L$25,3,0)</f>
        <v>1</v>
      </c>
      <c r="E11326" s="51">
        <f>VLOOKUP(A11326,'[1]Componentes APUs'!$H$1:$L$25,4,0)</f>
        <v>77309.523809523816</v>
      </c>
      <c r="F11326" s="51">
        <f>VLOOKUP(A11326,'[1]Componentes APUs'!$H$1:$L$25,5,0)</f>
        <v>46385.71428571429</v>
      </c>
      <c r="G11326" s="51">
        <f>ROUNDUP((E11326+F11326)*C11326/E11312,0)</f>
        <v>0</v>
      </c>
    </row>
    <row r="11327" spans="1:7" x14ac:dyDescent="0.25">
      <c r="A11327" s="219" t="s">
        <v>56</v>
      </c>
      <c r="B11327" s="219"/>
      <c r="C11327" s="219"/>
      <c r="D11327" s="219"/>
      <c r="E11327" s="219"/>
      <c r="F11327" s="219"/>
      <c r="G11327" s="52">
        <f>SUM(G11321:G11326)</f>
        <v>265104</v>
      </c>
    </row>
    <row r="11328" spans="1:7" x14ac:dyDescent="0.25">
      <c r="A11328" s="56"/>
      <c r="B11328" s="57"/>
      <c r="C11328" s="57"/>
      <c r="D11328" s="57"/>
      <c r="E11328" s="57"/>
      <c r="F11328" s="57"/>
      <c r="G11328" s="58"/>
    </row>
    <row r="11329" spans="1:7" x14ac:dyDescent="0.25">
      <c r="A11329" s="219" t="s">
        <v>57</v>
      </c>
      <c r="B11329" s="219"/>
      <c r="C11329" s="219"/>
      <c r="D11329" s="219"/>
      <c r="E11329" s="219"/>
      <c r="F11329" s="219"/>
      <c r="G11329" s="219"/>
    </row>
    <row r="11330" spans="1:7" x14ac:dyDescent="0.25">
      <c r="A11330" s="49" t="s">
        <v>35</v>
      </c>
      <c r="B11330" s="219" t="s">
        <v>36</v>
      </c>
      <c r="C11330" s="219"/>
      <c r="D11330" s="49" t="s">
        <v>37</v>
      </c>
      <c r="E11330" s="49" t="s">
        <v>38</v>
      </c>
      <c r="F11330" s="49" t="s">
        <v>39</v>
      </c>
      <c r="G11330" s="49" t="s">
        <v>40</v>
      </c>
    </row>
    <row r="11331" spans="1:7" x14ac:dyDescent="0.25">
      <c r="A11331" s="50" t="s">
        <v>326</v>
      </c>
      <c r="B11331" s="220" t="str">
        <f>VLOOKUP(A11331,'[1]Componentes APUs'!$S$1:$V$10,2,0)</f>
        <v>Juego Llaves</v>
      </c>
      <c r="C11331" s="220"/>
      <c r="D11331" s="50" t="s">
        <v>18</v>
      </c>
      <c r="E11331" s="50">
        <v>2</v>
      </c>
      <c r="F11331" s="51">
        <f>VLOOKUP(A11331,'[1]Componentes APUs'!$S$1:$V$10,4,0)</f>
        <v>9167</v>
      </c>
      <c r="G11331" s="51">
        <f>ROUNDUP(F11331*((E11331/21)/E11312),0)</f>
        <v>175</v>
      </c>
    </row>
    <row r="11332" spans="1:7" x14ac:dyDescent="0.25">
      <c r="A11332" s="50" t="s">
        <v>58</v>
      </c>
      <c r="B11332" s="220" t="str">
        <f>VLOOKUP(A11332,'[1]Componentes APUs'!$S$1:$V$10,2,0)</f>
        <v>Manila de servicio</v>
      </c>
      <c r="C11332" s="220"/>
      <c r="D11332" s="50" t="s">
        <v>18</v>
      </c>
      <c r="E11332" s="50">
        <v>0</v>
      </c>
      <c r="F11332" s="51">
        <f>VLOOKUP(A11332,'[1]Componentes APUs'!$S$1:$V$10,4,0)</f>
        <v>2333</v>
      </c>
      <c r="G11332" s="51">
        <f>ROUNDUP(F11332*((E11332/21)/E11312),0)</f>
        <v>0</v>
      </c>
    </row>
    <row r="11333" spans="1:7" x14ac:dyDescent="0.25">
      <c r="A11333" s="50" t="s">
        <v>327</v>
      </c>
      <c r="B11333" s="220" t="str">
        <f>VLOOKUP(A11333,'[1]Componentes APUs'!$S$1:$V$10,2,0)</f>
        <v>Tula portaherramientas</v>
      </c>
      <c r="C11333" s="220"/>
      <c r="D11333" s="50" t="s">
        <v>18</v>
      </c>
      <c r="E11333" s="50">
        <v>0</v>
      </c>
      <c r="F11333" s="51">
        <f>VLOOKUP(A11333,'[1]Componentes APUs'!$S$1:$V$10,4,0)</f>
        <v>1250</v>
      </c>
      <c r="G11333" s="51">
        <f>ROUNDUP(F11333*((E11333/21)/E11312),0)</f>
        <v>0</v>
      </c>
    </row>
    <row r="11334" spans="1:7" x14ac:dyDescent="0.25">
      <c r="A11334" s="50" t="s">
        <v>60</v>
      </c>
      <c r="B11334" s="220" t="str">
        <f>VLOOKUP(A11334,'[1]Componentes APUs'!$S$1:$V$10,2,0)</f>
        <v>Agarradoras</v>
      </c>
      <c r="C11334" s="220"/>
      <c r="D11334" s="50" t="s">
        <v>18</v>
      </c>
      <c r="E11334" s="50">
        <v>0</v>
      </c>
      <c r="F11334" s="51">
        <f>VLOOKUP(A11334,'[1]Componentes APUs'!$S$1:$V$10,4,0)</f>
        <v>125000</v>
      </c>
      <c r="G11334" s="51">
        <f>ROUNDUP(F11334*((E11334/21)/E11312),0)</f>
        <v>0</v>
      </c>
    </row>
    <row r="11335" spans="1:7" x14ac:dyDescent="0.25">
      <c r="A11335" s="50" t="s">
        <v>62</v>
      </c>
      <c r="B11335" s="220" t="str">
        <f>VLOOKUP(A11335,'[1]Componentes APUs'!$S$1:$V$10,2,0)</f>
        <v>Templadoras</v>
      </c>
      <c r="C11335" s="220"/>
      <c r="D11335" s="50" t="s">
        <v>18</v>
      </c>
      <c r="E11335" s="50">
        <v>0</v>
      </c>
      <c r="F11335" s="51">
        <f>VLOOKUP(A11335,'[1]Componentes APUs'!$S$1:$V$10,4,0)</f>
        <v>250000</v>
      </c>
      <c r="G11335" s="51">
        <f>ROUNDUP(F11335*((E11335/21)/E11312),0)</f>
        <v>0</v>
      </c>
    </row>
    <row r="11336" spans="1:7" x14ac:dyDescent="0.25">
      <c r="A11336" s="50" t="s">
        <v>328</v>
      </c>
      <c r="B11336" s="220" t="str">
        <f>VLOOKUP(A11336,'[1]Componentes APUs'!$S$1:$V$10,2,0)</f>
        <v>Herramienta Menor</v>
      </c>
      <c r="C11336" s="220"/>
      <c r="D11336" s="50" t="s">
        <v>18</v>
      </c>
      <c r="E11336" s="50">
        <v>0</v>
      </c>
      <c r="F11336" s="51">
        <f>VLOOKUP(A11336,'[1]Componentes APUs'!$S$1:$V$10,4,0)</f>
        <v>75758</v>
      </c>
      <c r="G11336" s="51">
        <f>ROUNDUP(F11336*((E11336/21)/E11312),0)</f>
        <v>0</v>
      </c>
    </row>
    <row r="11337" spans="1:7" x14ac:dyDescent="0.25">
      <c r="A11337" s="219" t="s">
        <v>69</v>
      </c>
      <c r="B11337" s="219"/>
      <c r="C11337" s="219"/>
      <c r="D11337" s="219"/>
      <c r="E11337" s="219"/>
      <c r="F11337" s="219"/>
      <c r="G11337" s="52">
        <f>SUM(G11331:G11336)</f>
        <v>175</v>
      </c>
    </row>
    <row r="11338" spans="1:7" x14ac:dyDescent="0.25">
      <c r="A11338" s="56"/>
      <c r="B11338" s="57"/>
      <c r="C11338" s="57"/>
      <c r="D11338" s="57"/>
      <c r="E11338" s="57"/>
      <c r="F11338" s="57"/>
      <c r="G11338" s="58"/>
    </row>
    <row r="11339" spans="1:7" x14ac:dyDescent="0.25">
      <c r="A11339" s="219" t="s">
        <v>70</v>
      </c>
      <c r="B11339" s="219"/>
      <c r="C11339" s="219"/>
      <c r="D11339" s="219"/>
      <c r="E11339" s="219"/>
      <c r="F11339" s="219"/>
      <c r="G11339" s="219"/>
    </row>
    <row r="11340" spans="1:7" x14ac:dyDescent="0.25">
      <c r="A11340" s="49" t="s">
        <v>35</v>
      </c>
      <c r="B11340" s="219" t="s">
        <v>36</v>
      </c>
      <c r="C11340" s="219"/>
      <c r="D11340" s="49" t="s">
        <v>37</v>
      </c>
      <c r="E11340" s="49" t="s">
        <v>38</v>
      </c>
      <c r="F11340" s="49" t="s">
        <v>39</v>
      </c>
      <c r="G11340" s="49" t="s">
        <v>40</v>
      </c>
    </row>
    <row r="11341" spans="1:7" x14ac:dyDescent="0.25">
      <c r="A11341" s="50" t="s">
        <v>71</v>
      </c>
      <c r="B11341" s="71" t="str">
        <f>VLOOKUP(A11341,'[1]Componentes APUs'!$A$1:$D$14,2,0)</f>
        <v>Camisa indigo sin partes metalicas</v>
      </c>
      <c r="C11341" s="71"/>
      <c r="D11341" s="50" t="str">
        <f>VLOOKUP(A11341,'[1]Componentes APUs'!$A$1:$D$14,3,0)</f>
        <v>U</v>
      </c>
      <c r="E11341" s="50">
        <f>SUM(C11321:C11326)</f>
        <v>5</v>
      </c>
      <c r="F11341" s="51">
        <f>VLOOKUP(A11341,'[1]Componentes APUs'!$A$1:$D$14,4,0)</f>
        <v>8585.8585858585866</v>
      </c>
      <c r="G11341" s="51">
        <f>ROUNDUP(F11341*(E11341/21)/E11312,0)</f>
        <v>409</v>
      </c>
    </row>
    <row r="11342" spans="1:7" x14ac:dyDescent="0.25">
      <c r="A11342" s="69" t="s">
        <v>73</v>
      </c>
      <c r="B11342" s="72" t="str">
        <f>VLOOKUP(A11342,'[1]Componentes APUs'!$A$1:$D$14,2,0)</f>
        <v>Bota de seguridad dielectrica</v>
      </c>
      <c r="C11342" s="73"/>
      <c r="D11342" s="70" t="str">
        <f>VLOOKUP(A11342,'[1]Componentes APUs'!$A$1:$D$14,3,0)</f>
        <v>Par</v>
      </c>
      <c r="E11342" s="50">
        <f>SUM(C11321:C11326)</f>
        <v>5</v>
      </c>
      <c r="F11342" s="51">
        <f>VLOOKUP(A11342,'[1]Componentes APUs'!$A$1:$D$14,4,0)</f>
        <v>7500</v>
      </c>
      <c r="G11342" s="51">
        <f>ROUNDUP(F11342*(E11342/21)/E11312,0)</f>
        <v>358</v>
      </c>
    </row>
    <row r="11343" spans="1:7" x14ac:dyDescent="0.25">
      <c r="A11343" s="50" t="s">
        <v>76</v>
      </c>
      <c r="B11343" s="72" t="str">
        <f>VLOOKUP(A11343,'[1]Componentes APUs'!$A$1:$D$14,2,0)</f>
        <v>Casco dielectrico Tipo 1 Clase E con barbuquejo</v>
      </c>
      <c r="C11343" s="73"/>
      <c r="D11343" s="50" t="str">
        <f>VLOOKUP(A11343,'[1]Componentes APUs'!$A$1:$D$14,3,0)</f>
        <v>U</v>
      </c>
      <c r="E11343" s="50">
        <f>C11326+C11321+C11324+C11325+C11322+IF(A11323&lt;&gt;"MO-3",C11323,0)</f>
        <v>5</v>
      </c>
      <c r="F11343" s="51">
        <f>VLOOKUP(A11343,'[1]Componentes APUs'!$A$1:$D$14,4,0)</f>
        <v>10101.010101010101</v>
      </c>
      <c r="G11343" s="51">
        <f>ROUNDUP(F11343*(E11343/21)/E11312,0)</f>
        <v>482</v>
      </c>
    </row>
    <row r="11344" spans="1:7" x14ac:dyDescent="0.25">
      <c r="A11344" s="69" t="s">
        <v>77</v>
      </c>
      <c r="B11344" s="72" t="str">
        <f>VLOOKUP(A11344,'[1]Componentes APUs'!$A$1:$D$14,2,0)</f>
        <v>Correa plastica y antiflama</v>
      </c>
      <c r="C11344" s="73"/>
      <c r="D11344" s="50" t="str">
        <f>VLOOKUP(A11344,'[1]Componentes APUs'!$A$1:$D$14,3,0)</f>
        <v>U</v>
      </c>
      <c r="E11344" s="50">
        <f>SUM(C11321:C11326)</f>
        <v>5</v>
      </c>
      <c r="F11344" s="51">
        <f>VLOOKUP(A11344,'[1]Componentes APUs'!$A$1:$D$14,4,0)</f>
        <v>3787.878787878788</v>
      </c>
      <c r="G11344" s="51">
        <f>ROUNDUP(F11344*(E11344/21)/E11312,0)</f>
        <v>181</v>
      </c>
    </row>
    <row r="11345" spans="1:7" x14ac:dyDescent="0.25">
      <c r="A11345" s="50" t="s">
        <v>79</v>
      </c>
      <c r="B11345" s="72" t="str">
        <f>VLOOKUP(A11345,'[1]Componentes APUs'!$A$1:$D$14,2,0)</f>
        <v>Gafas protectoras filtro UV</v>
      </c>
      <c r="C11345" s="73"/>
      <c r="D11345" s="50" t="str">
        <f>VLOOKUP(A11345,'[1]Componentes APUs'!$A$1:$D$14,3,0)</f>
        <v>U</v>
      </c>
      <c r="E11345" s="50">
        <f>SUM(C11321:C11326)</f>
        <v>5</v>
      </c>
      <c r="F11345" s="51">
        <f>VLOOKUP(A11345,'[1]Componentes APUs'!$A$1:$D$14,4,0)</f>
        <v>2777.7777777777778</v>
      </c>
      <c r="G11345" s="51">
        <f>ROUNDUP(F11345*(E11345/21)/E11312,0)</f>
        <v>133</v>
      </c>
    </row>
    <row r="11346" spans="1:7" x14ac:dyDescent="0.25">
      <c r="A11346" s="69" t="s">
        <v>402</v>
      </c>
      <c r="B11346" s="72" t="str">
        <f>VLOOKUP(A11346,'[1]Componentes APUs'!$A$1:$D$14,2,0)</f>
        <v>Bota de seguridad PVC dielectrica</v>
      </c>
      <c r="C11346" s="73"/>
      <c r="D11346" s="50" t="str">
        <f>VLOOKUP(A11346,'[1]Componentes APUs'!$A$1:$D$14,3,0)</f>
        <v>Par</v>
      </c>
      <c r="E11346" s="50">
        <f>SUM(C11321:C11326)</f>
        <v>5</v>
      </c>
      <c r="F11346" s="51">
        <f>VLOOKUP(A11346,'[1]Componentes APUs'!$A$1:$D$14,4,0)</f>
        <v>2916.6666666666665</v>
      </c>
      <c r="G11346" s="51">
        <f>ROUNDUP(F11346*(E11346/21)/E11312,0)</f>
        <v>139</v>
      </c>
    </row>
    <row r="11347" spans="1:7" x14ac:dyDescent="0.25">
      <c r="A11347" s="50" t="s">
        <v>403</v>
      </c>
      <c r="B11347" s="72" t="str">
        <f>VLOOKUP(A11347,'[1]Componentes APUs'!$A$1:$D$14,2,0)</f>
        <v>Capuchon</v>
      </c>
      <c r="C11347" s="73"/>
      <c r="D11347" s="50" t="str">
        <f>VLOOKUP(A11347,'[1]Componentes APUs'!$A$1:$D$14,3,0)</f>
        <v>U</v>
      </c>
      <c r="E11347" s="50">
        <f>SUM(C11321:C11326)</f>
        <v>5</v>
      </c>
      <c r="F11347" s="51">
        <f>VLOOKUP(A11347,'[1]Componentes APUs'!$A$1:$D$14,4,0)</f>
        <v>2525.2525252525252</v>
      </c>
      <c r="G11347" s="51">
        <f>ROUNDUP(F11347*(E11347/21)/E11312,0)</f>
        <v>121</v>
      </c>
    </row>
    <row r="11348" spans="1:7" x14ac:dyDescent="0.25">
      <c r="A11348" s="69" t="s">
        <v>81</v>
      </c>
      <c r="B11348" s="72" t="str">
        <f>VLOOKUP(A11348,'[1]Componentes APUs'!$A$1:$D$14,2,0)</f>
        <v>Guantes Protectores  - ingeniero reforzados</v>
      </c>
      <c r="C11348" s="73"/>
      <c r="D11348" s="50" t="str">
        <f>VLOOKUP(A11348,'[1]Componentes APUs'!$A$1:$D$14,3,0)</f>
        <v>Par</v>
      </c>
      <c r="E11348" s="50">
        <f>C11323+C11324+C11326</f>
        <v>2</v>
      </c>
      <c r="F11348" s="51">
        <f>VLOOKUP(A11348,'[1]Componentes APUs'!$A$1:$D$14,4,0)</f>
        <v>2525.2525252525252</v>
      </c>
      <c r="G11348" s="51">
        <f>ROUNDUP(F11348*(E11348/21)/E11312,0)</f>
        <v>49</v>
      </c>
    </row>
    <row r="11349" spans="1:7" x14ac:dyDescent="0.25">
      <c r="A11349" s="50" t="s">
        <v>83</v>
      </c>
      <c r="B11349" s="72" t="str">
        <f>VLOOKUP(A11349,'[1]Componentes APUs'!$A$1:$D$14,2,0)</f>
        <v>Impermeable (pantalon camisa)</v>
      </c>
      <c r="C11349" s="73"/>
      <c r="D11349" s="50" t="str">
        <f>VLOOKUP(A11349,'[1]Componentes APUs'!$A$1:$D$14,3,0)</f>
        <v>U</v>
      </c>
      <c r="E11349" s="50">
        <f>SUM(C11321:C11326)</f>
        <v>5</v>
      </c>
      <c r="F11349" s="51">
        <f>VLOOKUP(A11349,'[1]Componentes APUs'!$A$1:$D$14,4,0)</f>
        <v>3750</v>
      </c>
      <c r="G11349" s="51">
        <f>ROUNDUP(F11349*(E11349/21)/E11312,0)</f>
        <v>179</v>
      </c>
    </row>
    <row r="11350" spans="1:7" x14ac:dyDescent="0.25">
      <c r="A11350" s="69" t="s">
        <v>85</v>
      </c>
      <c r="B11350" s="72" t="str">
        <f>VLOOKUP(A11350,'[1]Componentes APUs'!$A$1:$D$14,2,0)</f>
        <v>Jean Dielectrico</v>
      </c>
      <c r="C11350" s="73"/>
      <c r="D11350" s="50" t="str">
        <f>VLOOKUP(A11350,'[1]Componentes APUs'!$A$1:$D$14,3,0)</f>
        <v>U</v>
      </c>
      <c r="E11350" s="50">
        <f>SUM(C11321:C11326)</f>
        <v>5</v>
      </c>
      <c r="F11350" s="51">
        <f>VLOOKUP(A11350,'[1]Componentes APUs'!$A$1:$D$14,4,0)</f>
        <v>7575.757575757576</v>
      </c>
      <c r="G11350" s="51">
        <f>ROUNDUP(F11350*(E11350/21)/E11312,0)</f>
        <v>361</v>
      </c>
    </row>
    <row r="11351" spans="1:7" x14ac:dyDescent="0.25">
      <c r="A11351" s="50" t="s">
        <v>87</v>
      </c>
      <c r="B11351" s="72" t="str">
        <f>VLOOKUP(A11351,'[1]Componentes APUs'!$A$1:$D$14,2,0)</f>
        <v>Casco dielectrico Tipo 2 Clase E con barboquejo</v>
      </c>
      <c r="C11351" s="73"/>
      <c r="D11351" s="50" t="str">
        <f>VLOOKUP(A11351,'[1]Componentes APUs'!$A$1:$D$14,3,0)</f>
        <v>U</v>
      </c>
      <c r="E11351" s="53">
        <f>IF(A11323="MO-3",C11323,0)</f>
        <v>0</v>
      </c>
      <c r="F11351" s="51">
        <f>VLOOKUP(A11351,'[1]Componentes APUs'!$A$1:$D$14,4,0)</f>
        <v>7500</v>
      </c>
      <c r="G11351" s="51">
        <f>ROUNDUP(F11351*(E11351/21)/E11312,0)</f>
        <v>0</v>
      </c>
    </row>
    <row r="11352" spans="1:7" x14ac:dyDescent="0.25">
      <c r="A11352" s="69" t="s">
        <v>89</v>
      </c>
      <c r="B11352" s="72" t="str">
        <f>VLOOKUP(A11352,'[1]Componentes APUs'!$A$1:$D$14,2,0)</f>
        <v>Kit de rescate para trabajo en alturas</v>
      </c>
      <c r="C11352" s="73"/>
      <c r="D11352" s="50" t="str">
        <f>VLOOKUP(A11352,'[1]Componentes APUs'!$A$1:$D$14,3,0)</f>
        <v>U</v>
      </c>
      <c r="E11352" s="50">
        <f>IF(AND(A11323="MO-3",C11323=2),1,0)</f>
        <v>0</v>
      </c>
      <c r="F11352" s="51">
        <f>VLOOKUP(A11352,'[1]Componentes APUs'!$A$1:$D$14,4,0)</f>
        <v>37500</v>
      </c>
      <c r="G11352" s="51">
        <f>ROUNDUP(F11352*(E11352/21)/E11312,0)</f>
        <v>0</v>
      </c>
    </row>
    <row r="11353" spans="1:7" x14ac:dyDescent="0.25">
      <c r="A11353" s="50" t="s">
        <v>91</v>
      </c>
      <c r="B11353" s="72" t="str">
        <f>VLOOKUP(A11353,'[1]Componentes APUs'!$A$1:$D$14,2,0)</f>
        <v>Equipo completo para trabajo en alturas con pretales (Arnes dielectrico, 1 mosqueton de seguridad, tie off dielectrico, eslinga de posicionamiento, juego de pretales)</v>
      </c>
      <c r="C11353" s="73"/>
      <c r="D11353" s="50" t="str">
        <f>VLOOKUP(A11353,'[1]Componentes APUs'!$A$1:$D$14,3,0)</f>
        <v>U</v>
      </c>
      <c r="E11353" s="50">
        <f>IF(A11323="MO-3",C11323,0)</f>
        <v>0</v>
      </c>
      <c r="F11353" s="51">
        <f>VLOOKUP(A11353,'[1]Componentes APUs'!$A$1:$D$14,4,0)</f>
        <v>26041.666666666668</v>
      </c>
      <c r="G11353" s="51">
        <f>ROUNDUP(F11353*(E11353/21)/E11312,0)</f>
        <v>0</v>
      </c>
    </row>
    <row r="11354" spans="1:7" x14ac:dyDescent="0.25">
      <c r="A11354" s="219" t="s">
        <v>95</v>
      </c>
      <c r="B11354" s="219"/>
      <c r="C11354" s="219"/>
      <c r="D11354" s="219"/>
      <c r="E11354" s="219"/>
      <c r="F11354" s="219"/>
      <c r="G11354" s="52">
        <f>SUM(G11341:G11353)</f>
        <v>2412</v>
      </c>
    </row>
    <row r="11355" spans="1:7" x14ac:dyDescent="0.25">
      <c r="A11355" s="56"/>
      <c r="B11355" s="57"/>
      <c r="C11355" s="57"/>
      <c r="D11355" s="57"/>
      <c r="E11355" s="57"/>
      <c r="F11355" s="57"/>
      <c r="G11355" s="58"/>
    </row>
    <row r="11356" spans="1:7" x14ac:dyDescent="0.25">
      <c r="A11356" s="219" t="s">
        <v>96</v>
      </c>
      <c r="B11356" s="219"/>
      <c r="C11356" s="219"/>
      <c r="D11356" s="219"/>
      <c r="E11356" s="219"/>
      <c r="F11356" s="219"/>
      <c r="G11356" s="219"/>
    </row>
    <row r="11357" spans="1:7" x14ac:dyDescent="0.25">
      <c r="A11357" s="49" t="s">
        <v>35</v>
      </c>
      <c r="B11357" s="225" t="s">
        <v>36</v>
      </c>
      <c r="C11357" s="225"/>
      <c r="D11357" s="49" t="s">
        <v>37</v>
      </c>
      <c r="E11357" s="49" t="s">
        <v>38</v>
      </c>
      <c r="F11357" s="49" t="s">
        <v>39</v>
      </c>
      <c r="G11357" s="49" t="s">
        <v>40</v>
      </c>
    </row>
    <row r="11358" spans="1:7" x14ac:dyDescent="0.25">
      <c r="A11358" s="69" t="s">
        <v>97</v>
      </c>
      <c r="B11358" s="72" t="str">
        <f>VLOOKUP(A11358,'[1]Componentes APUs'!$N$1:$Q$30,2,0)</f>
        <v>Camioneta</v>
      </c>
      <c r="C11358" s="73"/>
      <c r="D11358" s="70" t="str">
        <f>VLOOKUP(A11358,'[1]Componentes APUs'!$N$1:$Q$30,3,0)</f>
        <v>U</v>
      </c>
      <c r="E11358" s="50">
        <v>1</v>
      </c>
      <c r="F11358" s="51">
        <f>VLOOKUP(A11358,'[1]Componentes APUs'!$N$1:$Q$30,4,0)</f>
        <v>5500000</v>
      </c>
      <c r="G11358" s="51">
        <f>IFERROR(ROUNDUP(F11358*(E11358/21)/E11312,0),"-")</f>
        <v>52381</v>
      </c>
    </row>
    <row r="11359" spans="1:7" x14ac:dyDescent="0.25">
      <c r="A11359" s="50" t="s">
        <v>321</v>
      </c>
      <c r="B11359" s="72" t="str">
        <f>VLOOKUP(A11359,'[1]Componentes APUs'!$N$1:$Q$30,2,0)</f>
        <v>Grúa Hidráulica</v>
      </c>
      <c r="C11359" s="73"/>
      <c r="D11359" s="70" t="str">
        <f>VLOOKUP(A11359,'[1]Componentes APUs'!$N$1:$Q$30,3,0)</f>
        <v>U</v>
      </c>
      <c r="E11359" s="50">
        <v>0</v>
      </c>
      <c r="F11359" s="51">
        <f>VLOOKUP(A11359,'[1]Componentes APUs'!$N$1:$Q$30,4,0)</f>
        <v>21000000</v>
      </c>
      <c r="G11359" s="51">
        <f>IFERROR(ROUNDUP(F11359*(E11359/21)/E11312,0),"-")</f>
        <v>0</v>
      </c>
    </row>
    <row r="11360" spans="1:7" x14ac:dyDescent="0.25">
      <c r="A11360" s="69" t="s">
        <v>322</v>
      </c>
      <c r="B11360" s="72" t="str">
        <f>VLOOKUP(A11360,'[1]Componentes APUs'!$N$1:$Q$30,2,0)</f>
        <v>Camabaja</v>
      </c>
      <c r="C11360" s="73"/>
      <c r="D11360" s="70" t="str">
        <f>VLOOKUP(A11360,'[1]Componentes APUs'!$N$1:$Q$30,3,0)</f>
        <v>TON/KM</v>
      </c>
      <c r="E11360" s="50">
        <v>0</v>
      </c>
      <c r="F11360" s="51">
        <f>VLOOKUP(A11360,'[1]Componentes APUs'!$N$1:$Q$30,4,0)</f>
        <v>611</v>
      </c>
      <c r="G11360" s="51">
        <f>IFERROR(ROUNDUP(F11360*(E11360/21)/E11312,0),"-")</f>
        <v>0</v>
      </c>
    </row>
    <row r="11361" spans="1:7" x14ac:dyDescent="0.25">
      <c r="A11361" s="50" t="s">
        <v>323</v>
      </c>
      <c r="B11361" s="72" t="str">
        <f>VLOOKUP(A11361,'[1]Componentes APUs'!$N$1:$Q$30,2,0)</f>
        <v>Volqueta</v>
      </c>
      <c r="C11361" s="73"/>
      <c r="D11361" s="70" t="str">
        <f>VLOOKUP(A11361,'[1]Componentes APUs'!$N$1:$Q$30,3,0)</f>
        <v>U</v>
      </c>
      <c r="E11361" s="50">
        <v>0</v>
      </c>
      <c r="F11361" s="51">
        <f>VLOOKUP(A11361,'[1]Componentes APUs'!$N$1:$Q$30,4,0)</f>
        <v>18900000</v>
      </c>
      <c r="G11361" s="51">
        <f>IFERROR(ROUNDUP(F11361*(E11361/21)/E11312,0),"-")</f>
        <v>0</v>
      </c>
    </row>
    <row r="11362" spans="1:7" x14ac:dyDescent="0.25">
      <c r="A11362" s="69" t="s">
        <v>324</v>
      </c>
      <c r="B11362" s="72" t="str">
        <f>VLOOKUP(A11362,'[1]Componentes APUs'!$N$1:$Q$30,2,0)</f>
        <v>Retroexcavadora</v>
      </c>
      <c r="C11362" s="73"/>
      <c r="D11362" s="70" t="str">
        <f>VLOOKUP(A11362,'[1]Componentes APUs'!$N$1:$Q$30,3,0)</f>
        <v>U</v>
      </c>
      <c r="E11362" s="50">
        <v>0</v>
      </c>
      <c r="F11362" s="51">
        <f>VLOOKUP(A11362,'[1]Componentes APUs'!$N$1:$Q$30,4,0)</f>
        <v>1494459.54</v>
      </c>
      <c r="G11362" s="51">
        <f>IFERROR(ROUNDUP(F11362*(E11362/21)/E11312,0),"-")</f>
        <v>0</v>
      </c>
    </row>
    <row r="11363" spans="1:7" x14ac:dyDescent="0.25">
      <c r="A11363" s="219" t="s">
        <v>99</v>
      </c>
      <c r="B11363" s="219"/>
      <c r="C11363" s="219"/>
      <c r="D11363" s="219"/>
      <c r="E11363" s="219"/>
      <c r="F11363" s="219"/>
      <c r="G11363" s="52">
        <f>SUM(G11358:G11362)</f>
        <v>52381</v>
      </c>
    </row>
    <row r="11364" spans="1:7" x14ac:dyDescent="0.25">
      <c r="A11364" s="56"/>
      <c r="B11364" s="57"/>
      <c r="C11364" s="57"/>
      <c r="D11364" s="57"/>
      <c r="E11364" s="57"/>
      <c r="F11364" s="57"/>
      <c r="G11364" s="58"/>
    </row>
    <row r="11365" spans="1:7" x14ac:dyDescent="0.25">
      <c r="A11365" s="219" t="s">
        <v>1516</v>
      </c>
      <c r="B11365" s="219"/>
      <c r="C11365" s="219"/>
      <c r="D11365" s="219"/>
      <c r="E11365" s="219"/>
      <c r="F11365" s="219"/>
      <c r="G11365" s="52">
        <f>G11363+G11354+G11337+G11327+G11317</f>
        <v>9602072</v>
      </c>
    </row>
    <row r="11366" spans="1:7" x14ac:dyDescent="0.25">
      <c r="A11366" s="59"/>
      <c r="B11366" s="60"/>
      <c r="C11366" s="60"/>
      <c r="D11366" s="60"/>
      <c r="E11366" s="57"/>
      <c r="F11366" s="57"/>
      <c r="G11366" s="58"/>
    </row>
    <row r="11367" spans="1:7" x14ac:dyDescent="0.25">
      <c r="A11367" s="64"/>
      <c r="D11367" s="55"/>
      <c r="E11367" s="49" t="s">
        <v>25</v>
      </c>
      <c r="F11367" s="54">
        <v>0.15</v>
      </c>
      <c r="G11367" s="51">
        <f>G11365*F11367</f>
        <v>1440310.8</v>
      </c>
    </row>
    <row r="11368" spans="1:7" x14ac:dyDescent="0.25">
      <c r="A11368" s="64"/>
      <c r="D11368" s="55"/>
      <c r="E11368" s="49" t="s">
        <v>26</v>
      </c>
      <c r="F11368" s="54">
        <v>0.05</v>
      </c>
      <c r="G11368" s="51">
        <f>G11365*F11368</f>
        <v>480103.60000000003</v>
      </c>
    </row>
    <row r="11369" spans="1:7" x14ac:dyDescent="0.25">
      <c r="A11369" s="61"/>
      <c r="B11369" s="65"/>
      <c r="C11369" s="65"/>
      <c r="D11369" s="62"/>
      <c r="E11369" s="49" t="s">
        <v>27</v>
      </c>
      <c r="F11369" s="54">
        <v>0.05</v>
      </c>
      <c r="G11369" s="51">
        <f>G11365*F11369</f>
        <v>480103.60000000003</v>
      </c>
    </row>
    <row r="11370" spans="1:7" x14ac:dyDescent="0.25">
      <c r="A11370" s="61"/>
      <c r="B11370" s="62"/>
      <c r="C11370" s="62"/>
      <c r="D11370" s="62"/>
      <c r="E11370" s="62"/>
      <c r="F11370" s="62"/>
      <c r="G11370" s="63"/>
    </row>
    <row r="11371" spans="1:7" x14ac:dyDescent="0.25">
      <c r="A11371" s="219" t="s">
        <v>1517</v>
      </c>
      <c r="B11371" s="219"/>
      <c r="C11371" s="219"/>
      <c r="D11371" s="219"/>
      <c r="E11371" s="219"/>
      <c r="F11371" s="219"/>
      <c r="G11371" s="52">
        <f>G11365+G11367+G11368+G11369</f>
        <v>12002590</v>
      </c>
    </row>
    <row r="11372" spans="1:7" x14ac:dyDescent="0.25">
      <c r="A11372" s="59"/>
      <c r="B11372" s="60"/>
      <c r="C11372" s="60"/>
      <c r="D11372" s="60"/>
      <c r="E11372" s="57"/>
      <c r="F11372" s="57"/>
      <c r="G11372" s="58"/>
    </row>
    <row r="11373" spans="1:7" x14ac:dyDescent="0.25">
      <c r="A11373" s="64"/>
      <c r="D11373" s="55"/>
      <c r="E11373" s="49" t="s">
        <v>102</v>
      </c>
      <c r="F11373" s="49" t="s">
        <v>103</v>
      </c>
      <c r="G11373" s="51">
        <f>G11369*19%</f>
        <v>91219.684000000008</v>
      </c>
    </row>
    <row r="11374" spans="1:7" x14ac:dyDescent="0.25">
      <c r="A11374" s="61"/>
      <c r="B11374" s="62"/>
      <c r="C11374" s="62"/>
      <c r="D11374" s="62"/>
      <c r="E11374" s="57"/>
      <c r="F11374" s="57"/>
      <c r="G11374" s="58"/>
    </row>
    <row r="11375" spans="1:7" x14ac:dyDescent="0.25">
      <c r="A11375" s="219" t="s">
        <v>104</v>
      </c>
      <c r="B11375" s="219"/>
      <c r="C11375" s="219"/>
      <c r="D11375" s="219"/>
      <c r="E11375" s="219"/>
      <c r="F11375" s="219"/>
      <c r="G11375" s="52">
        <f>G11373+G11371</f>
        <v>12093809.684</v>
      </c>
    </row>
    <row r="11376" spans="1:7" x14ac:dyDescent="0.25">
      <c r="A11376" s="82"/>
      <c r="B11376" s="82"/>
      <c r="C11376" s="82"/>
      <c r="D11376" s="82"/>
      <c r="E11376" s="82"/>
      <c r="F11376" s="82"/>
      <c r="G11376" s="83"/>
    </row>
    <row r="11377" spans="1:7" x14ac:dyDescent="0.25">
      <c r="A11377" s="74" t="s">
        <v>29</v>
      </c>
      <c r="B11377" s="226" t="s">
        <v>30</v>
      </c>
      <c r="C11377" s="226"/>
      <c r="D11377" s="74" t="s">
        <v>31</v>
      </c>
      <c r="E11377" s="74" t="s">
        <v>32</v>
      </c>
      <c r="F11377" s="74" t="s">
        <v>189</v>
      </c>
      <c r="G11377" s="74" t="s">
        <v>33</v>
      </c>
    </row>
    <row r="11378" spans="1:7" ht="78.75" customHeight="1" x14ac:dyDescent="0.25">
      <c r="A11378" s="50" t="str">
        <f>Presupuesto!B207</f>
        <v>017_N3</v>
      </c>
      <c r="B11378" s="220" t="str">
        <f>Presupuesto!C207</f>
        <v>SUMINISTRO E INSTALACIÓN TRANSFORMADOR DE POTENCIA DE 10/12.5 MVA, REFRIGERACIÓN ONAN/ONAF, 34.5/13.8 KV, CONEXIÓN DYN5, CON ACCESORIOS DE CONTROL Y PROTECCIÓN INCLUYENDO: DPS 36 kV y 17kV, TERMÓMETROS CON CONTACTOS, NIVEL DE ACEITE CON CONTACTOS, VÁLVULA QUALITROL, RELÉ DE BUCHHOLZ, TANQUE DE EXPANSIÓN, VENTILADORES, TABLERO DE CONEXIONES ACOPLADO, CAMBIADOR DE TAP`S DE OPERACIÓN SIN CARGA EN 34.5 KV.</v>
      </c>
      <c r="C11378" s="220"/>
      <c r="D11378" s="50" t="s">
        <v>18</v>
      </c>
      <c r="E11378" s="93">
        <v>1</v>
      </c>
      <c r="F11378" s="50"/>
      <c r="G11378" s="51">
        <f>G11441</f>
        <v>1824050719.2214997</v>
      </c>
    </row>
    <row r="11379" spans="1:7" x14ac:dyDescent="0.25">
      <c r="A11379" s="219" t="s">
        <v>34</v>
      </c>
      <c r="B11379" s="219"/>
      <c r="C11379" s="219"/>
      <c r="D11379" s="219"/>
      <c r="E11379" s="219"/>
      <c r="F11379" s="219"/>
      <c r="G11379" s="219"/>
    </row>
    <row r="11380" spans="1:7" x14ac:dyDescent="0.25">
      <c r="A11380" s="49" t="s">
        <v>35</v>
      </c>
      <c r="B11380" s="219" t="s">
        <v>36</v>
      </c>
      <c r="C11380" s="219"/>
      <c r="D11380" s="49" t="s">
        <v>37</v>
      </c>
      <c r="E11380" s="49" t="s">
        <v>38</v>
      </c>
      <c r="F11380" s="49" t="s">
        <v>39</v>
      </c>
      <c r="G11380" s="49" t="s">
        <v>40</v>
      </c>
    </row>
    <row r="11381" spans="1:7" ht="80.25" customHeight="1" x14ac:dyDescent="0.25">
      <c r="A11381" s="17" t="str">
        <f>Material!A362</f>
        <v>MA-361</v>
      </c>
      <c r="B11381" s="221" t="str">
        <f>IFERROR(VLOOKUP(A11381,Material!$A:$H,2,0),"-")</f>
        <v>TRANSFORMADOR DE POTENCIA DE 10/12.5 MVA, REFRIGERACIÓN ONAN/ONAF, 34.5/13.8 KV, CONEXIÓN DYN5, CON ACCESORIOS DE CONTROL Y PROTECCIÓN INCLUYENDO: TERMÓMETROS CON CONTACTOS, NIVEL DE ACEITE CON CONTACTOS, VÁLVULA QUALITROL, RELÉ DE BUCHHOLZ, TANQUE DE EXPANSIÓN, SECADORES DE AIRE, VENTILADORES, TABLERO DE CONEXIONES ACOPLADO, CAMBIADOR DE TAP`S DE OPERACIÓN SIN CARGA EN 34.5 KV.</v>
      </c>
      <c r="C11381" s="222"/>
      <c r="D11381" s="50" t="str">
        <f>IFERROR(VLOOKUP(A11381,Material!$A:$H,4,0),"-")</f>
        <v>UN</v>
      </c>
      <c r="E11381" s="50">
        <v>1</v>
      </c>
      <c r="F11381" s="51">
        <f>IFERROR(VLOOKUP(A11381,Material!$A:$H,3,0),"-")</f>
        <v>1435500000</v>
      </c>
      <c r="G11381" s="51">
        <f t="shared" ref="G11381" si="159">IFERROR(ROUNDUP(F11381*E11381,0),"-")</f>
        <v>1435500000</v>
      </c>
    </row>
    <row r="11382" spans="1:7" x14ac:dyDescent="0.25">
      <c r="A11382" s="219" t="s">
        <v>41</v>
      </c>
      <c r="B11382" s="219"/>
      <c r="C11382" s="219"/>
      <c r="D11382" s="219"/>
      <c r="E11382" s="219"/>
      <c r="F11382" s="219"/>
      <c r="G11382" s="52">
        <f>SUM(G11381:G11381)</f>
        <v>1435500000</v>
      </c>
    </row>
    <row r="11383" spans="1:7" x14ac:dyDescent="0.25">
      <c r="A11383" s="56"/>
      <c r="B11383" s="57"/>
      <c r="C11383" s="57"/>
      <c r="D11383" s="57"/>
      <c r="E11383" s="57"/>
      <c r="F11383" s="57"/>
      <c r="G11383" s="58"/>
    </row>
    <row r="11384" spans="1:7" x14ac:dyDescent="0.25">
      <c r="A11384" s="219" t="s">
        <v>42</v>
      </c>
      <c r="B11384" s="219"/>
      <c r="C11384" s="219"/>
      <c r="D11384" s="219"/>
      <c r="E11384" s="219"/>
      <c r="F11384" s="219"/>
      <c r="G11384" s="219"/>
    </row>
    <row r="11385" spans="1:7" x14ac:dyDescent="0.25">
      <c r="A11385" s="49" t="s">
        <v>35</v>
      </c>
      <c r="B11385" s="49" t="s">
        <v>36</v>
      </c>
      <c r="C11385" s="49" t="s">
        <v>38</v>
      </c>
      <c r="D11385" s="49" t="s">
        <v>43</v>
      </c>
      <c r="E11385" s="49" t="s">
        <v>44</v>
      </c>
      <c r="F11385" s="49" t="s">
        <v>45</v>
      </c>
      <c r="G11385" s="49" t="s">
        <v>40</v>
      </c>
    </row>
    <row r="11386" spans="1:7" x14ac:dyDescent="0.25">
      <c r="A11386" s="50" t="s">
        <v>319</v>
      </c>
      <c r="B11386" s="68" t="str">
        <f>VLOOKUP(A11386,'Componentes APUs'!$H$1:$L$25,2,0)</f>
        <v>Ingeniero Residente de Obra</v>
      </c>
      <c r="C11386" s="93">
        <v>0.25</v>
      </c>
      <c r="D11386" s="50">
        <f>VLOOKUP(A11386,'Componentes APUs'!$H$1:$L$25,3,0)</f>
        <v>4</v>
      </c>
      <c r="E11386" s="51">
        <f>VLOOKUP(A11386,'Componentes APUs'!$H$1:$L$25,4,0)</f>
        <v>271142.85714285716</v>
      </c>
      <c r="F11386" s="51">
        <f>VLOOKUP(A11386,'Componentes APUs'!$H$1:$L$25,5,0)</f>
        <v>162685.71428571429</v>
      </c>
      <c r="G11386" s="51">
        <f>ROUNDUP((E11386+F11386)*C11386/E11378,0)</f>
        <v>108458</v>
      </c>
    </row>
    <row r="11387" spans="1:7" x14ac:dyDescent="0.25">
      <c r="A11387" s="50" t="s">
        <v>320</v>
      </c>
      <c r="B11387" s="68" t="str">
        <f>VLOOKUP(A11387,'Componentes APUs'!$H$1:$L$25,2,0)</f>
        <v>Tecnico Supervisor</v>
      </c>
      <c r="C11387" s="93">
        <v>1</v>
      </c>
      <c r="D11387" s="50">
        <f>VLOOKUP(A11387,'Componentes APUs'!$H$1:$L$25,3,0)</f>
        <v>2.2999999999999998</v>
      </c>
      <c r="E11387" s="51">
        <f>VLOOKUP(A11387,'Componentes APUs'!$H$1:$L$25,4,0)</f>
        <v>155907.14285714284</v>
      </c>
      <c r="F11387" s="51">
        <f>VLOOKUP(A11387,'Componentes APUs'!$H$1:$L$25,5,0)</f>
        <v>93544.285714285696</v>
      </c>
      <c r="G11387" s="51">
        <f>ROUNDUP((E11387+F11387)*C11387/E11378,0)</f>
        <v>249452</v>
      </c>
    </row>
    <row r="11388" spans="1:7" x14ac:dyDescent="0.25">
      <c r="A11388" s="50" t="s">
        <v>46</v>
      </c>
      <c r="B11388" s="68" t="str">
        <f>VLOOKUP(A11388,'Componentes APUs'!$H$1:$L$25,2,0)</f>
        <v>Tecnico Liniero</v>
      </c>
      <c r="C11388" s="93">
        <v>2</v>
      </c>
      <c r="D11388" s="50">
        <f>VLOOKUP(A11388,'Componentes APUs'!$H$1:$L$25,3,0)</f>
        <v>2</v>
      </c>
      <c r="E11388" s="51">
        <f>VLOOKUP(A11388,'Componentes APUs'!$H$1:$L$25,4,0)</f>
        <v>154619.04761904763</v>
      </c>
      <c r="F11388" s="51">
        <f>VLOOKUP(A11388,'Componentes APUs'!$H$1:$L$25,5,0)</f>
        <v>92771.42857142858</v>
      </c>
      <c r="G11388" s="51">
        <f>ROUNDUP((E11388+F11388)*C11388/E11378,0)</f>
        <v>494781</v>
      </c>
    </row>
    <row r="11389" spans="1:7" x14ac:dyDescent="0.25">
      <c r="A11389" s="50" t="s">
        <v>48</v>
      </c>
      <c r="B11389" s="68" t="str">
        <f>VLOOKUP(A11389,'Componentes APUs'!$H$1:$L$25,2,0)</f>
        <v>Ayudante Calificado</v>
      </c>
      <c r="C11389" s="93">
        <v>0</v>
      </c>
      <c r="D11389" s="50">
        <f>VLOOKUP(A11389,'Componentes APUs'!$H$1:$L$25,3,0)</f>
        <v>1.5</v>
      </c>
      <c r="E11389" s="51">
        <f>VLOOKUP(A11389,'Componentes APUs'!$H$1:$L$25,4,0)</f>
        <v>115964.28571428571</v>
      </c>
      <c r="F11389" s="51">
        <f>VLOOKUP(A11389,'Componentes APUs'!$H$1:$L$25,5,0)</f>
        <v>69578.57142857142</v>
      </c>
      <c r="G11389" s="51">
        <f>ROUNDUP((E11389+F11389)*C11389/E11378,0)</f>
        <v>0</v>
      </c>
    </row>
    <row r="11390" spans="1:7" x14ac:dyDescent="0.25">
      <c r="A11390" s="50" t="s">
        <v>50</v>
      </c>
      <c r="B11390" s="68" t="str">
        <f>VLOOKUP(A11390,'Componentes APUs'!$H$1:$L$25,2,0)</f>
        <v>Profesional en SST</v>
      </c>
      <c r="C11390" s="93">
        <v>0.25</v>
      </c>
      <c r="D11390" s="50">
        <f>VLOOKUP(A11390,'Componentes APUs'!$H$1:$L$25,3,0)</f>
        <v>2.5</v>
      </c>
      <c r="E11390" s="51">
        <f>VLOOKUP(A11390,'Componentes APUs'!$H$1:$L$25,4,0)</f>
        <v>169464.28571428571</v>
      </c>
      <c r="F11390" s="51">
        <f>VLOOKUP(A11390,'Componentes APUs'!$H$1:$L$25,5,0)</f>
        <v>101678.57142857142</v>
      </c>
      <c r="G11390" s="51">
        <f>ROUNDUP((E11390+F11390)*C11390/E11378,0)</f>
        <v>67786</v>
      </c>
    </row>
    <row r="11391" spans="1:7" x14ac:dyDescent="0.25">
      <c r="A11391" s="50" t="s">
        <v>52</v>
      </c>
      <c r="B11391" s="68" t="str">
        <f>VLOOKUP(A11391,'Componentes APUs'!$H$1:$L$25,2,0)</f>
        <v>Ayudante No Calificado</v>
      </c>
      <c r="C11391" s="93">
        <v>8</v>
      </c>
      <c r="D11391" s="50">
        <f>VLOOKUP(A11391,'Componentes APUs'!$H$1:$L$25,3,0)</f>
        <v>1</v>
      </c>
      <c r="E11391" s="51">
        <f>VLOOKUP(A11391,'Componentes APUs'!$H$1:$L$25,4,0)</f>
        <v>77309.523809523816</v>
      </c>
      <c r="F11391" s="51">
        <f>VLOOKUP(A11391,'Componentes APUs'!$H$1:$L$25,5,0)</f>
        <v>46385.71428571429</v>
      </c>
      <c r="G11391" s="51">
        <f>ROUNDUP((E11391+F11391)*C11391/E11378,0)</f>
        <v>989562</v>
      </c>
    </row>
    <row r="11392" spans="1:7" x14ac:dyDescent="0.25">
      <c r="A11392" s="50" t="s">
        <v>54</v>
      </c>
      <c r="B11392" s="68" t="str">
        <f>VLOOKUP(A11392,'Componentes APUs'!$H$1:$L$25,2,0)</f>
        <v>Maestro de obra civil</v>
      </c>
      <c r="C11392" s="93">
        <v>1</v>
      </c>
      <c r="D11392" s="50">
        <f>VLOOKUP(A11392,'Componentes APUs'!$H$1:$L$25,3,0)</f>
        <v>2.5</v>
      </c>
      <c r="E11392" s="51">
        <f>VLOOKUP(A11392,'Componentes APUs'!$H$1:$L$25,4,0)</f>
        <v>169464.28571428571</v>
      </c>
      <c r="F11392" s="51">
        <f>VLOOKUP(A11392,'Componentes APUs'!$H$1:$L$25,5,0)</f>
        <v>101678.57142857142</v>
      </c>
      <c r="G11392" s="51">
        <f>ROUNDUP((E11392+F11392)*C11392/E11378,0)</f>
        <v>271143</v>
      </c>
    </row>
    <row r="11393" spans="1:7" x14ac:dyDescent="0.25">
      <c r="A11393" s="50" t="s">
        <v>1116</v>
      </c>
      <c r="B11393" s="68" t="str">
        <f>VLOOKUP(A11393,'Componentes APUs'!$H$1:$L$25,2,0)</f>
        <v>Ingeniero Civil Residente de Obra</v>
      </c>
      <c r="C11393" s="93">
        <v>0.25</v>
      </c>
      <c r="D11393" s="50">
        <f>VLOOKUP(A11393,'Componentes APUs'!$H$1:$L$25,3,0)</f>
        <v>3</v>
      </c>
      <c r="E11393" s="51">
        <f>VLOOKUP(A11393,'Componentes APUs'!$H$1:$L$25,4,0)</f>
        <v>203357.14285714287</v>
      </c>
      <c r="F11393" s="51">
        <f>VLOOKUP(A11393,'Componentes APUs'!$H$1:$L$25,5,0)</f>
        <v>122014.28571428571</v>
      </c>
      <c r="G11393" s="51">
        <f>ROUNDUP((E11393+F11393)*C11393/E11378,0)</f>
        <v>81343</v>
      </c>
    </row>
    <row r="11394" spans="1:7" x14ac:dyDescent="0.25">
      <c r="A11394" s="219" t="s">
        <v>56</v>
      </c>
      <c r="B11394" s="219"/>
      <c r="C11394" s="219"/>
      <c r="D11394" s="219"/>
      <c r="E11394" s="219"/>
      <c r="F11394" s="219"/>
      <c r="G11394" s="52">
        <f>SUM(G11386:G11393)</f>
        <v>2262525</v>
      </c>
    </row>
    <row r="11395" spans="1:7" x14ac:dyDescent="0.25">
      <c r="A11395" s="56"/>
      <c r="B11395" s="57"/>
      <c r="C11395" s="57"/>
      <c r="D11395" s="57"/>
      <c r="E11395" s="57"/>
      <c r="F11395" s="57"/>
      <c r="G11395" s="58"/>
    </row>
    <row r="11396" spans="1:7" x14ac:dyDescent="0.25">
      <c r="A11396" s="219" t="s">
        <v>57</v>
      </c>
      <c r="B11396" s="219"/>
      <c r="C11396" s="219"/>
      <c r="D11396" s="219"/>
      <c r="E11396" s="219"/>
      <c r="F11396" s="219"/>
      <c r="G11396" s="219"/>
    </row>
    <row r="11397" spans="1:7" x14ac:dyDescent="0.25">
      <c r="A11397" s="49" t="s">
        <v>35</v>
      </c>
      <c r="B11397" s="219" t="s">
        <v>36</v>
      </c>
      <c r="C11397" s="219"/>
      <c r="D11397" s="49" t="s">
        <v>37</v>
      </c>
      <c r="E11397" s="49" t="s">
        <v>38</v>
      </c>
      <c r="F11397" s="49" t="s">
        <v>39</v>
      </c>
      <c r="G11397" s="49" t="s">
        <v>40</v>
      </c>
    </row>
    <row r="11398" spans="1:7" x14ac:dyDescent="0.25">
      <c r="A11398" s="50" t="s">
        <v>326</v>
      </c>
      <c r="B11398" s="220" t="str">
        <f>VLOOKUP(A11398,'Componentes APUs'!$S$1:$V$10,2,0)</f>
        <v>Juego Llaves</v>
      </c>
      <c r="C11398" s="220"/>
      <c r="D11398" s="50" t="s">
        <v>18</v>
      </c>
      <c r="E11398" s="50">
        <v>2</v>
      </c>
      <c r="F11398" s="51">
        <f>VLOOKUP(A11398,'Componentes APUs'!$S$1:$V$10,4,0)</f>
        <v>9167</v>
      </c>
      <c r="G11398" s="51">
        <f>ROUNDUP(F11398*((E11398/21)/E11378),0)</f>
        <v>874</v>
      </c>
    </row>
    <row r="11399" spans="1:7" x14ac:dyDescent="0.25">
      <c r="A11399" s="50" t="s">
        <v>58</v>
      </c>
      <c r="B11399" s="220" t="str">
        <f>VLOOKUP(A11399,'Componentes APUs'!$S$1:$V$10,2,0)</f>
        <v>Manila de servicio</v>
      </c>
      <c r="C11399" s="220"/>
      <c r="D11399" s="50" t="s">
        <v>18</v>
      </c>
      <c r="E11399" s="50">
        <v>2</v>
      </c>
      <c r="F11399" s="51">
        <f>VLOOKUP(A11399,'Componentes APUs'!$S$1:$V$10,4,0)</f>
        <v>2333</v>
      </c>
      <c r="G11399" s="51">
        <f>ROUNDUP(F11399*((E11399/21)/E11378),0)</f>
        <v>223</v>
      </c>
    </row>
    <row r="11400" spans="1:7" x14ac:dyDescent="0.25">
      <c r="A11400" s="50" t="s">
        <v>327</v>
      </c>
      <c r="B11400" s="220" t="str">
        <f>VLOOKUP(A11400,'Componentes APUs'!$S$1:$V$10,2,0)</f>
        <v>Tula portaherramientas</v>
      </c>
      <c r="C11400" s="220"/>
      <c r="D11400" s="50" t="s">
        <v>18</v>
      </c>
      <c r="E11400" s="50">
        <v>2</v>
      </c>
      <c r="F11400" s="51">
        <f>VLOOKUP(A11400,'Componentes APUs'!$S$1:$V$10,4,0)</f>
        <v>1250</v>
      </c>
      <c r="G11400" s="51">
        <f>ROUNDUP(F11400*((E11400/21)/E11378),0)</f>
        <v>120</v>
      </c>
    </row>
    <row r="11401" spans="1:7" x14ac:dyDescent="0.25">
      <c r="A11401" s="50" t="s">
        <v>60</v>
      </c>
      <c r="B11401" s="220" t="str">
        <f>VLOOKUP(A11401,'Componentes APUs'!$S$1:$V$10,2,0)</f>
        <v>Agarradoras</v>
      </c>
      <c r="C11401" s="220"/>
      <c r="D11401" s="50" t="s">
        <v>18</v>
      </c>
      <c r="E11401" s="50">
        <v>0</v>
      </c>
      <c r="F11401" s="51">
        <f>VLOOKUP(A11401,'Componentes APUs'!$S$1:$V$10,4,0)</f>
        <v>125000</v>
      </c>
      <c r="G11401" s="51">
        <f>ROUNDUP(F11401*((E11401/21)/E11378),0)</f>
        <v>0</v>
      </c>
    </row>
    <row r="11402" spans="1:7" x14ac:dyDescent="0.25">
      <c r="A11402" s="50" t="s">
        <v>62</v>
      </c>
      <c r="B11402" s="220" t="str">
        <f>VLOOKUP(A11402,'Componentes APUs'!$S$1:$V$10,2,0)</f>
        <v>Templadoras</v>
      </c>
      <c r="C11402" s="220"/>
      <c r="D11402" s="50" t="s">
        <v>18</v>
      </c>
      <c r="E11402" s="50">
        <v>0</v>
      </c>
      <c r="F11402" s="51">
        <f>VLOOKUP(A11402,'Componentes APUs'!$S$1:$V$10,4,0)</f>
        <v>250000</v>
      </c>
      <c r="G11402" s="51">
        <f>ROUNDUP(F11402*((E11402/21)/E11378),0)</f>
        <v>0</v>
      </c>
    </row>
    <row r="11403" spans="1:7" x14ac:dyDescent="0.25">
      <c r="A11403" s="50" t="s">
        <v>328</v>
      </c>
      <c r="B11403" s="220" t="str">
        <f>VLOOKUP(A11403,'Componentes APUs'!$S$1:$V$10,2,0)</f>
        <v>Herramienta Menor</v>
      </c>
      <c r="C11403" s="220"/>
      <c r="D11403" s="50" t="s">
        <v>18</v>
      </c>
      <c r="E11403" s="50">
        <v>2</v>
      </c>
      <c r="F11403" s="51">
        <f>VLOOKUP(A11403,'Componentes APUs'!$S$1:$V$10,4,0)</f>
        <v>75758</v>
      </c>
      <c r="G11403" s="51">
        <f>ROUNDUP(F11403*((E11403/21)/E11378),0)</f>
        <v>7216</v>
      </c>
    </row>
    <row r="11404" spans="1:7" x14ac:dyDescent="0.25">
      <c r="A11404" s="219" t="s">
        <v>69</v>
      </c>
      <c r="B11404" s="219"/>
      <c r="C11404" s="219"/>
      <c r="D11404" s="219"/>
      <c r="E11404" s="219"/>
      <c r="F11404" s="219"/>
      <c r="G11404" s="52">
        <f>SUM(G11398:G11403)</f>
        <v>8433</v>
      </c>
    </row>
    <row r="11405" spans="1:7" x14ac:dyDescent="0.25">
      <c r="A11405" s="56"/>
      <c r="B11405" s="57"/>
      <c r="C11405" s="57"/>
      <c r="D11405" s="57"/>
      <c r="E11405" s="57"/>
      <c r="F11405" s="57"/>
      <c r="G11405" s="58"/>
    </row>
    <row r="11406" spans="1:7" x14ac:dyDescent="0.25">
      <c r="A11406" s="219" t="s">
        <v>70</v>
      </c>
      <c r="B11406" s="219"/>
      <c r="C11406" s="219"/>
      <c r="D11406" s="219"/>
      <c r="E11406" s="219"/>
      <c r="F11406" s="219"/>
      <c r="G11406" s="219"/>
    </row>
    <row r="11407" spans="1:7" x14ac:dyDescent="0.25">
      <c r="A11407" s="49" t="s">
        <v>35</v>
      </c>
      <c r="B11407" s="219" t="s">
        <v>36</v>
      </c>
      <c r="C11407" s="219"/>
      <c r="D11407" s="49" t="s">
        <v>37</v>
      </c>
      <c r="E11407" s="49" t="s">
        <v>38</v>
      </c>
      <c r="F11407" s="49" t="s">
        <v>39</v>
      </c>
      <c r="G11407" s="49" t="s">
        <v>40</v>
      </c>
    </row>
    <row r="11408" spans="1:7" x14ac:dyDescent="0.25">
      <c r="A11408" s="50" t="s">
        <v>71</v>
      </c>
      <c r="B11408" s="71" t="str">
        <f>VLOOKUP(A11408,'Componentes APUs'!$A$1:$D$14,2,0)</f>
        <v>Camisa indigo sin partes metalicas</v>
      </c>
      <c r="C11408" s="71"/>
      <c r="D11408" s="50" t="str">
        <f>VLOOKUP(A11408,'Componentes APUs'!$A$1:$D$14,3,0)</f>
        <v>U</v>
      </c>
      <c r="E11408" s="50">
        <f>SUM(C11386:C11393)</f>
        <v>12.75</v>
      </c>
      <c r="F11408" s="51">
        <f>VLOOKUP(A11408,'Componentes APUs'!$A$1:$D$14,4,0)</f>
        <v>8585.8585858585866</v>
      </c>
      <c r="G11408" s="51">
        <f>ROUNDUP(F11408*(E11408/21)/E11378,0)</f>
        <v>5213</v>
      </c>
    </row>
    <row r="11409" spans="1:7" x14ac:dyDescent="0.25">
      <c r="A11409" s="69" t="s">
        <v>73</v>
      </c>
      <c r="B11409" s="72" t="str">
        <f>VLOOKUP(A11409,'Componentes APUs'!$A$1:$D$14,2,0)</f>
        <v>Bota de seguridad dielectrica</v>
      </c>
      <c r="C11409" s="73"/>
      <c r="D11409" s="70" t="str">
        <f>VLOOKUP(A11409,'Componentes APUs'!$A$1:$D$14,3,0)</f>
        <v>Par</v>
      </c>
      <c r="E11409" s="50">
        <f>SUM(C11386:C11393)</f>
        <v>12.75</v>
      </c>
      <c r="F11409" s="51">
        <f>VLOOKUP(A11409,'Componentes APUs'!$A$1:$D$14,4,0)</f>
        <v>7500</v>
      </c>
      <c r="G11409" s="51">
        <f>ROUNDUP(F11409*(E11409/21)/E11378,0)</f>
        <v>4554</v>
      </c>
    </row>
    <row r="11410" spans="1:7" x14ac:dyDescent="0.25">
      <c r="A11410" s="50" t="s">
        <v>76</v>
      </c>
      <c r="B11410" s="72" t="str">
        <f>VLOOKUP(A11410,'Componentes APUs'!$A$1:$D$14,2,0)</f>
        <v>Casco dielectrico Tipo 1 Clase E con barbuquejo</v>
      </c>
      <c r="C11410" s="73"/>
      <c r="D11410" s="50" t="str">
        <f>VLOOKUP(A11410,'Componentes APUs'!$A$1:$D$14,3,0)</f>
        <v>U</v>
      </c>
      <c r="E11410" s="50">
        <f>C11386+C11387+C11388+C11389+C11391+C11392+C11393+IF(A11388&lt;&gt;"MO-3",C11388,0)</f>
        <v>12.5</v>
      </c>
      <c r="F11410" s="51">
        <f>VLOOKUP(A11410,'Componentes APUs'!$A$1:$D$14,4,0)</f>
        <v>10101.010101010101</v>
      </c>
      <c r="G11410" s="51">
        <f>ROUNDUP(F11410*(E11410/21)/E11378,0)</f>
        <v>6013</v>
      </c>
    </row>
    <row r="11411" spans="1:7" x14ac:dyDescent="0.25">
      <c r="A11411" s="69" t="s">
        <v>77</v>
      </c>
      <c r="B11411" s="72" t="str">
        <f>VLOOKUP(A11411,'Componentes APUs'!$A$1:$D$14,2,0)</f>
        <v>Correa plastica y antiflama</v>
      </c>
      <c r="C11411" s="73"/>
      <c r="D11411" s="50" t="str">
        <f>VLOOKUP(A11411,'Componentes APUs'!$A$1:$D$14,3,0)</f>
        <v>U</v>
      </c>
      <c r="E11411" s="50">
        <f>SUM(C11386:C11393)</f>
        <v>12.75</v>
      </c>
      <c r="F11411" s="51">
        <f>VLOOKUP(A11411,'Componentes APUs'!$A$1:$D$14,4,0)</f>
        <v>3787.878787878788</v>
      </c>
      <c r="G11411" s="51">
        <f>ROUNDUP(F11411*(E11411/21)/E11378,0)</f>
        <v>2300</v>
      </c>
    </row>
    <row r="11412" spans="1:7" x14ac:dyDescent="0.25">
      <c r="A11412" s="50" t="s">
        <v>79</v>
      </c>
      <c r="B11412" s="72" t="str">
        <f>VLOOKUP(A11412,'Componentes APUs'!$A$1:$D$14,2,0)</f>
        <v>Gafas protectoras filtro UV</v>
      </c>
      <c r="C11412" s="73"/>
      <c r="D11412" s="50" t="str">
        <f>VLOOKUP(A11412,'Componentes APUs'!$A$1:$D$14,3,0)</f>
        <v>U</v>
      </c>
      <c r="E11412" s="50">
        <f>SUM(C11386:C11393)</f>
        <v>12.75</v>
      </c>
      <c r="F11412" s="51">
        <f>VLOOKUP(A11412,'Componentes APUs'!$A$1:$D$14,4,0)</f>
        <v>2777.7777777777778</v>
      </c>
      <c r="G11412" s="51">
        <f>ROUNDUP(F11412*(E11412/21)/E11378,0)</f>
        <v>1687</v>
      </c>
    </row>
    <row r="11413" spans="1:7" x14ac:dyDescent="0.25">
      <c r="A11413" s="69" t="s">
        <v>402</v>
      </c>
      <c r="B11413" s="72" t="str">
        <f>VLOOKUP(A11413,'Componentes APUs'!$A$1:$D$14,2,0)</f>
        <v>Bota de seguridad PVC dielectrica</v>
      </c>
      <c r="C11413" s="73"/>
      <c r="D11413" s="50" t="str">
        <f>VLOOKUP(A11413,'Componentes APUs'!$A$1:$D$14,3,0)</f>
        <v>Par</v>
      </c>
      <c r="E11413" s="50">
        <f>SUM(C11386:C11393)</f>
        <v>12.75</v>
      </c>
      <c r="F11413" s="51">
        <f>VLOOKUP(A11413,'Componentes APUs'!$A$1:$D$14,4,0)</f>
        <v>2916.6666666666665</v>
      </c>
      <c r="G11413" s="51">
        <f>ROUNDUP(F11413*(E11413/21)/E11378,0)</f>
        <v>1771</v>
      </c>
    </row>
    <row r="11414" spans="1:7" x14ac:dyDescent="0.25">
      <c r="A11414" s="50" t="s">
        <v>403</v>
      </c>
      <c r="B11414" s="72" t="str">
        <f>VLOOKUP(A11414,'Componentes APUs'!$A$1:$D$14,2,0)</f>
        <v>Capuchon</v>
      </c>
      <c r="C11414" s="73"/>
      <c r="D11414" s="50" t="str">
        <f>VLOOKUP(A11414,'Componentes APUs'!$A$1:$D$14,3,0)</f>
        <v>U</v>
      </c>
      <c r="E11414" s="50">
        <f>SUM(C11386:C11393)</f>
        <v>12.75</v>
      </c>
      <c r="F11414" s="51">
        <f>VLOOKUP(A11414,'Componentes APUs'!$A$1:$D$14,4,0)</f>
        <v>2525.2525252525252</v>
      </c>
      <c r="G11414" s="51">
        <f>ROUNDUP(F11414*(E11414/21)/E11378,0)</f>
        <v>1534</v>
      </c>
    </row>
    <row r="11415" spans="1:7" x14ac:dyDescent="0.25">
      <c r="A11415" s="69" t="s">
        <v>81</v>
      </c>
      <c r="B11415" s="72" t="str">
        <f>VLOOKUP(A11415,'Componentes APUs'!$A$1:$D$14,2,0)</f>
        <v>Guantes Protectores  - ingeniero reforzados</v>
      </c>
      <c r="C11415" s="73"/>
      <c r="D11415" s="50" t="str">
        <f>VLOOKUP(A11415,'Componentes APUs'!$A$1:$D$14,3,0)</f>
        <v>Par</v>
      </c>
      <c r="E11415" s="50">
        <f>C11388+C11389+C11391</f>
        <v>10</v>
      </c>
      <c r="F11415" s="51">
        <f>VLOOKUP(A11415,'Componentes APUs'!$A$1:$D$14,4,0)</f>
        <v>2525.2525252525252</v>
      </c>
      <c r="G11415" s="51">
        <f>ROUNDUP(F11415*(E11415/21)/E11378,0)</f>
        <v>1203</v>
      </c>
    </row>
    <row r="11416" spans="1:7" x14ac:dyDescent="0.25">
      <c r="A11416" s="50" t="s">
        <v>83</v>
      </c>
      <c r="B11416" s="72" t="str">
        <f>VLOOKUP(A11416,'Componentes APUs'!$A$1:$D$14,2,0)</f>
        <v>Impermeable (pantalon camisa)</v>
      </c>
      <c r="C11416" s="73"/>
      <c r="D11416" s="50" t="str">
        <f>VLOOKUP(A11416,'Componentes APUs'!$A$1:$D$14,3,0)</f>
        <v>U</v>
      </c>
      <c r="E11416" s="50">
        <f>SUM(C11386:C11393)</f>
        <v>12.75</v>
      </c>
      <c r="F11416" s="51">
        <f>VLOOKUP(A11416,'Componentes APUs'!$A$1:$D$14,4,0)</f>
        <v>3750</v>
      </c>
      <c r="G11416" s="51">
        <f>ROUNDUP(F11416*(E11416/21)/E11378,0)</f>
        <v>2277</v>
      </c>
    </row>
    <row r="11417" spans="1:7" x14ac:dyDescent="0.25">
      <c r="A11417" s="69" t="s">
        <v>85</v>
      </c>
      <c r="B11417" s="72" t="str">
        <f>VLOOKUP(A11417,'Componentes APUs'!$A$1:$D$14,2,0)</f>
        <v>Jean Dielectrico</v>
      </c>
      <c r="C11417" s="73"/>
      <c r="D11417" s="50" t="str">
        <f>VLOOKUP(A11417,'Componentes APUs'!$A$1:$D$14,3,0)</f>
        <v>U</v>
      </c>
      <c r="E11417" s="50">
        <f>SUM(C11386:C11393)</f>
        <v>12.75</v>
      </c>
      <c r="F11417" s="51">
        <f>VLOOKUP(A11417,'Componentes APUs'!$A$1:$D$14,4,0)</f>
        <v>7575.757575757576</v>
      </c>
      <c r="G11417" s="51">
        <f>ROUNDUP(F11417*(E11417/21)/E11378,0)</f>
        <v>4600</v>
      </c>
    </row>
    <row r="11418" spans="1:7" x14ac:dyDescent="0.25">
      <c r="A11418" s="50" t="s">
        <v>87</v>
      </c>
      <c r="B11418" s="72" t="str">
        <f>VLOOKUP(A11418,'Componentes APUs'!$A$1:$D$14,2,0)</f>
        <v>Casco dielectrico Tipo 2 Clase E con barboquejo</v>
      </c>
      <c r="C11418" s="73"/>
      <c r="D11418" s="50" t="str">
        <f>VLOOKUP(A11418,'Componentes APUs'!$A$1:$D$14,3,0)</f>
        <v>U</v>
      </c>
      <c r="E11418" s="53">
        <f>IF(A11388="MO-3",C11388,0)</f>
        <v>2</v>
      </c>
      <c r="F11418" s="51">
        <f>VLOOKUP(A11418,'Componentes APUs'!$A$1:$D$14,4,0)</f>
        <v>7500</v>
      </c>
      <c r="G11418" s="51">
        <f>ROUNDUP(F11418*(E11418/21)/E11378,0)</f>
        <v>715</v>
      </c>
    </row>
    <row r="11419" spans="1:7" x14ac:dyDescent="0.25">
      <c r="A11419" s="69" t="s">
        <v>89</v>
      </c>
      <c r="B11419" s="72" t="str">
        <f>VLOOKUP(A11419,'Componentes APUs'!$A$1:$D$14,2,0)</f>
        <v>Kit de rescate para trabajo en alturas</v>
      </c>
      <c r="C11419" s="73"/>
      <c r="D11419" s="50" t="str">
        <f>VLOOKUP(A11419,'Componentes APUs'!$A$1:$D$14,3,0)</f>
        <v>U</v>
      </c>
      <c r="E11419" s="50">
        <f>IF(AND(A11388="MO-3",C11388=2),1,0)</f>
        <v>1</v>
      </c>
      <c r="F11419" s="51">
        <f>VLOOKUP(A11419,'Componentes APUs'!$A$1:$D$14,4,0)</f>
        <v>37500</v>
      </c>
      <c r="G11419" s="51">
        <f>ROUNDUP(F11419*(E11419/21)/E11378,0)</f>
        <v>1786</v>
      </c>
    </row>
    <row r="11420" spans="1:7" x14ac:dyDescent="0.25">
      <c r="A11420" s="50" t="s">
        <v>91</v>
      </c>
      <c r="B11420" s="72" t="str">
        <f>VLOOKUP(A11420,'Componentes APUs'!$A$1:$D$14,2,0)</f>
        <v>Equipo completo para trabajo en alturas con pretales (Arnes dielectrico, 1 mosqueton de seguridad, tie off dielectrico, eslinga de posicionamiento, juego de pretales)</v>
      </c>
      <c r="C11420" s="73"/>
      <c r="D11420" s="50" t="str">
        <f>VLOOKUP(A11420,'Componentes APUs'!$A$1:$D$14,3,0)</f>
        <v>U</v>
      </c>
      <c r="E11420" s="50">
        <f>IF(A11388="MO-3",C11388,0)</f>
        <v>2</v>
      </c>
      <c r="F11420" s="51">
        <f>VLOOKUP(A11420,'Componentes APUs'!$A$1:$D$14,4,0)</f>
        <v>26041.666666666668</v>
      </c>
      <c r="G11420" s="51">
        <f>ROUNDUP(F11420*(E11420/21)/E11378,0)</f>
        <v>2481</v>
      </c>
    </row>
    <row r="11421" spans="1:7" x14ac:dyDescent="0.25">
      <c r="A11421" s="219" t="s">
        <v>95</v>
      </c>
      <c r="B11421" s="219"/>
      <c r="C11421" s="219"/>
      <c r="D11421" s="219"/>
      <c r="E11421" s="219"/>
      <c r="F11421" s="219"/>
      <c r="G11421" s="52">
        <f>SUM(G11408:G11420)</f>
        <v>36134</v>
      </c>
    </row>
    <row r="11422" spans="1:7" x14ac:dyDescent="0.25">
      <c r="A11422" s="56"/>
      <c r="B11422" s="57"/>
      <c r="C11422" s="57"/>
      <c r="D11422" s="57"/>
      <c r="E11422" s="57"/>
      <c r="F11422" s="57"/>
      <c r="G11422" s="58"/>
    </row>
    <row r="11423" spans="1:7" x14ac:dyDescent="0.25">
      <c r="A11423" s="219" t="s">
        <v>96</v>
      </c>
      <c r="B11423" s="219"/>
      <c r="C11423" s="219"/>
      <c r="D11423" s="219"/>
      <c r="E11423" s="219"/>
      <c r="F11423" s="219"/>
      <c r="G11423" s="219"/>
    </row>
    <row r="11424" spans="1:7" x14ac:dyDescent="0.25">
      <c r="A11424" s="49" t="s">
        <v>35</v>
      </c>
      <c r="B11424" s="225" t="s">
        <v>36</v>
      </c>
      <c r="C11424" s="225"/>
      <c r="D11424" s="49" t="s">
        <v>37</v>
      </c>
      <c r="E11424" s="49" t="s">
        <v>38</v>
      </c>
      <c r="F11424" s="49" t="s">
        <v>39</v>
      </c>
      <c r="G11424" s="49" t="s">
        <v>40</v>
      </c>
    </row>
    <row r="11425" spans="1:7" x14ac:dyDescent="0.25">
      <c r="A11425" s="69" t="s">
        <v>97</v>
      </c>
      <c r="B11425" s="72" t="str">
        <f>VLOOKUP(A11425,'Componentes APUs'!$N$1:$Q$30,2,0)</f>
        <v>Camioneta</v>
      </c>
      <c r="C11425" s="73"/>
      <c r="D11425" s="70" t="str">
        <f>VLOOKUP(A11425,'Componentes APUs'!$N$1:$Q$30,3,0)</f>
        <v>U</v>
      </c>
      <c r="E11425" s="50">
        <v>1</v>
      </c>
      <c r="F11425" s="51">
        <f>VLOOKUP(A11425,'Componentes APUs'!$N$1:$Q$30,4,0)</f>
        <v>5500000</v>
      </c>
      <c r="G11425" s="51">
        <f>IFERROR(ROUNDUP(F11425*(E11425/21)/E11378,0),"-")</f>
        <v>261905</v>
      </c>
    </row>
    <row r="11426" spans="1:7" x14ac:dyDescent="0.25">
      <c r="A11426" s="50" t="s">
        <v>321</v>
      </c>
      <c r="B11426" s="72" t="str">
        <f>VLOOKUP(A11426,'Componentes APUs'!$N$1:$Q$30,2,0)</f>
        <v>Grúa Hidráulica</v>
      </c>
      <c r="C11426" s="73"/>
      <c r="D11426" s="70" t="str">
        <f>VLOOKUP(A11426,'Componentes APUs'!$N$1:$Q$30,3,0)</f>
        <v>U</v>
      </c>
      <c r="E11426" s="50">
        <v>1</v>
      </c>
      <c r="F11426" s="51">
        <f>VLOOKUP(A11426,'Componentes APUs'!$N$1:$Q$30,4,0)</f>
        <v>21000000</v>
      </c>
      <c r="G11426" s="51">
        <f>IFERROR(ROUNDUP(F11426*(E11426/21)/E11378,0),"-")</f>
        <v>1000000</v>
      </c>
    </row>
    <row r="11427" spans="1:7" x14ac:dyDescent="0.25">
      <c r="A11427" s="69" t="s">
        <v>322</v>
      </c>
      <c r="B11427" s="72" t="str">
        <f>VLOOKUP(A11427,'Componentes APUs'!$N$1:$Q$30,2,0)</f>
        <v>Camabaja</v>
      </c>
      <c r="C11427" s="73"/>
      <c r="D11427" s="70" t="str">
        <f>VLOOKUP(A11427,'Componentes APUs'!$N$1:$Q$30,3,0)</f>
        <v>TON/KM</v>
      </c>
      <c r="E11427" s="50">
        <v>15000</v>
      </c>
      <c r="F11427" s="51">
        <f>VLOOKUP(A11427,'Componentes APUs'!$N$1:$Q$30,4,0)</f>
        <v>611</v>
      </c>
      <c r="G11427" s="51">
        <f>E11427*F11427</f>
        <v>9165000</v>
      </c>
    </row>
    <row r="11428" spans="1:7" x14ac:dyDescent="0.25">
      <c r="A11428" s="50" t="s">
        <v>323</v>
      </c>
      <c r="B11428" s="72" t="str">
        <f>VLOOKUP(A11428,'Componentes APUs'!$N$1:$Q$30,2,0)</f>
        <v>Volqueta</v>
      </c>
      <c r="C11428" s="73"/>
      <c r="D11428" s="70" t="str">
        <f>VLOOKUP(A11428,'Componentes APUs'!$N$1:$Q$30,3,0)</f>
        <v>U</v>
      </c>
      <c r="E11428" s="50">
        <v>0</v>
      </c>
      <c r="F11428" s="51">
        <f>VLOOKUP(A11428,'Componentes APUs'!$N$1:$Q$30,4,0)</f>
        <v>14828184</v>
      </c>
      <c r="G11428" s="51">
        <f>IFERROR(ROUNDUP(F11428*(E11428/21)/E11378,0),"-")</f>
        <v>0</v>
      </c>
    </row>
    <row r="11429" spans="1:7" x14ac:dyDescent="0.25">
      <c r="A11429" s="219" t="s">
        <v>99</v>
      </c>
      <c r="B11429" s="219"/>
      <c r="C11429" s="219"/>
      <c r="D11429" s="219"/>
      <c r="E11429" s="219"/>
      <c r="F11429" s="219"/>
      <c r="G11429" s="52">
        <f>SUM(G11425:G11428)</f>
        <v>10426905</v>
      </c>
    </row>
    <row r="11430" spans="1:7" x14ac:dyDescent="0.25">
      <c r="A11430" s="56"/>
      <c r="B11430" s="57"/>
      <c r="C11430" s="57"/>
      <c r="D11430" s="57"/>
      <c r="E11430" s="57"/>
      <c r="F11430" s="57"/>
      <c r="G11430" s="58"/>
    </row>
    <row r="11431" spans="1:7" x14ac:dyDescent="0.25">
      <c r="A11431" s="219" t="s">
        <v>1516</v>
      </c>
      <c r="B11431" s="219"/>
      <c r="C11431" s="219"/>
      <c r="D11431" s="219"/>
      <c r="E11431" s="219"/>
      <c r="F11431" s="219"/>
      <c r="G11431" s="52">
        <f>G11429+G11421+G11404+G11394+G11382</f>
        <v>1448233997</v>
      </c>
    </row>
    <row r="11432" spans="1:7" x14ac:dyDescent="0.25">
      <c r="A11432" s="59"/>
      <c r="B11432" s="60"/>
      <c r="C11432" s="60"/>
      <c r="D11432" s="60"/>
      <c r="E11432" s="57"/>
      <c r="F11432" s="57"/>
      <c r="G11432" s="58"/>
    </row>
    <row r="11433" spans="1:7" x14ac:dyDescent="0.25">
      <c r="A11433" s="64"/>
      <c r="D11433" s="55"/>
      <c r="E11433" s="49" t="s">
        <v>25</v>
      </c>
      <c r="F11433" s="54">
        <v>0.15</v>
      </c>
      <c r="G11433" s="51">
        <f>G11431*F11433</f>
        <v>217235099.54999998</v>
      </c>
    </row>
    <row r="11434" spans="1:7" x14ac:dyDescent="0.25">
      <c r="A11434" s="64"/>
      <c r="D11434" s="55"/>
      <c r="E11434" s="49" t="s">
        <v>26</v>
      </c>
      <c r="F11434" s="54">
        <v>0.05</v>
      </c>
      <c r="G11434" s="51">
        <f>G11431*F11434</f>
        <v>72411699.850000009</v>
      </c>
    </row>
    <row r="11435" spans="1:7" x14ac:dyDescent="0.25">
      <c r="A11435" s="61"/>
      <c r="B11435" s="65"/>
      <c r="C11435" s="65"/>
      <c r="D11435" s="62"/>
      <c r="E11435" s="49" t="s">
        <v>27</v>
      </c>
      <c r="F11435" s="54">
        <v>0.05</v>
      </c>
      <c r="G11435" s="51">
        <f>G11431*F11435</f>
        <v>72411699.850000009</v>
      </c>
    </row>
    <row r="11436" spans="1:7" x14ac:dyDescent="0.25">
      <c r="A11436" s="61"/>
      <c r="B11436" s="62"/>
      <c r="C11436" s="62"/>
      <c r="D11436" s="62"/>
      <c r="E11436" s="62"/>
      <c r="F11436" s="62"/>
      <c r="G11436" s="63"/>
    </row>
    <row r="11437" spans="1:7" x14ac:dyDescent="0.25">
      <c r="A11437" s="219" t="s">
        <v>1517</v>
      </c>
      <c r="B11437" s="219"/>
      <c r="C11437" s="219"/>
      <c r="D11437" s="219"/>
      <c r="E11437" s="219"/>
      <c r="F11437" s="219"/>
      <c r="G11437" s="52">
        <f>G11431+G11433+G11434+G11435</f>
        <v>1810292496.2499998</v>
      </c>
    </row>
    <row r="11438" spans="1:7" x14ac:dyDescent="0.25">
      <c r="A11438" s="59"/>
      <c r="B11438" s="60"/>
      <c r="C11438" s="60"/>
      <c r="D11438" s="60"/>
      <c r="E11438" s="57"/>
      <c r="F11438" s="57"/>
      <c r="G11438" s="58"/>
    </row>
    <row r="11439" spans="1:7" x14ac:dyDescent="0.25">
      <c r="A11439" s="64"/>
      <c r="D11439" s="55"/>
      <c r="E11439" s="49" t="s">
        <v>102</v>
      </c>
      <c r="F11439" s="49" t="s">
        <v>103</v>
      </c>
      <c r="G11439" s="51">
        <f>G11435*19%</f>
        <v>13758222.971500002</v>
      </c>
    </row>
    <row r="11440" spans="1:7" x14ac:dyDescent="0.25">
      <c r="A11440" s="61"/>
      <c r="B11440" s="62"/>
      <c r="C11440" s="62"/>
      <c r="D11440" s="62"/>
      <c r="E11440" s="57"/>
      <c r="F11440" s="57"/>
      <c r="G11440" s="58"/>
    </row>
    <row r="11441" spans="1:7" x14ac:dyDescent="0.25">
      <c r="A11441" s="219" t="s">
        <v>104</v>
      </c>
      <c r="B11441" s="219"/>
      <c r="C11441" s="219"/>
      <c r="D11441" s="219"/>
      <c r="E11441" s="219"/>
      <c r="F11441" s="219"/>
      <c r="G11441" s="52">
        <f>G11439+G11437</f>
        <v>1824050719.2214997</v>
      </c>
    </row>
    <row r="11443" spans="1:7" x14ac:dyDescent="0.25">
      <c r="A11443" s="74" t="s">
        <v>29</v>
      </c>
      <c r="B11443" s="226" t="s">
        <v>30</v>
      </c>
      <c r="C11443" s="226"/>
      <c r="D11443" s="74" t="s">
        <v>31</v>
      </c>
      <c r="E11443" s="74" t="s">
        <v>32</v>
      </c>
      <c r="F11443" s="74" t="s">
        <v>189</v>
      </c>
      <c r="G11443" s="74" t="s">
        <v>33</v>
      </c>
    </row>
    <row r="11444" spans="1:7" ht="86.25" customHeight="1" x14ac:dyDescent="0.25">
      <c r="A11444" s="50" t="str">
        <f>Presupuesto!B208</f>
        <v>018_N3</v>
      </c>
      <c r="B11444" s="220" t="str">
        <f>Presupuesto!C208</f>
        <v>SUMINISTRO E INSTALACIÓN TRANSFORMADOR DE POTENCIA DE 15/20 MVA, REFRIGERACIÓN ONAN/ONAF, 34.5/13.8 KV, CONEXIÓN DYN5, CON ACCESORIOS DE CONTROL Y PROTECCIÓN INCLUYENDO: DPS 36 kV y 17kV, TERMÓMETROS CON CONTACTOS, NIVEL DE ACEITE CON CONTACTOS, VÁLVULA QUALITROL, RELÉ DE BUCHHOLZ, TANQUE DE EXPANSIÓN,  VENTILADORES, TABLERO DE CONEXIONES ACOPLADO, CAMBIADOR DE TAP`S DE OPERACIÓN SIN CARGA EN 34.5 KV.</v>
      </c>
      <c r="C11444" s="220"/>
      <c r="D11444" s="50" t="s">
        <v>18</v>
      </c>
      <c r="E11444" s="93">
        <v>1</v>
      </c>
      <c r="F11444" s="50"/>
      <c r="G11444" s="51">
        <f>G11506</f>
        <v>3289164094.2214999</v>
      </c>
    </row>
    <row r="11445" spans="1:7" x14ac:dyDescent="0.25">
      <c r="A11445" s="219" t="s">
        <v>34</v>
      </c>
      <c r="B11445" s="219"/>
      <c r="C11445" s="219"/>
      <c r="D11445" s="219"/>
      <c r="E11445" s="219"/>
      <c r="F11445" s="219"/>
      <c r="G11445" s="219"/>
    </row>
    <row r="11446" spans="1:7" x14ac:dyDescent="0.25">
      <c r="A11446" s="49" t="s">
        <v>35</v>
      </c>
      <c r="B11446" s="219" t="s">
        <v>36</v>
      </c>
      <c r="C11446" s="219"/>
      <c r="D11446" s="49" t="s">
        <v>37</v>
      </c>
      <c r="E11446" s="49" t="s">
        <v>38</v>
      </c>
      <c r="F11446" s="49" t="s">
        <v>39</v>
      </c>
      <c r="G11446" s="49" t="s">
        <v>40</v>
      </c>
    </row>
    <row r="11447" spans="1:7" ht="78.75" customHeight="1" x14ac:dyDescent="0.25">
      <c r="A11447" s="17" t="str">
        <f>Material!A540</f>
        <v>MA-539</v>
      </c>
      <c r="B11447" s="221" t="str">
        <f>IFERROR(VLOOKUP(A11447,Material!$A:$H,2,0),"-")</f>
        <v>TRANSFORMADOR DE POTENCIA DE 15/20 MVA, REFRIGERACIÓN ONAN/ONAF, 34.5/13.8 KV, CONEXIÓN DYN5, CON ACCESORIOS DE CONTROL Y PROTECCIÓN INCLUYENDO: TERMÓMETROS CON CONTACTOS, NIVEL DE ACEITE CON CONTACTOS, VÁLVULA QUALITROL, RELÉ DE BUCHHOLZ, TANQUE DE EXPANSIÓN, SECADORES DE AIRE, VENTILADORES, TABLERO DE CONEXIONES ACOPLADO, CAMBIADOR DE TAP`S DE OPERACIÓN SIN CARGA EN 34.5 KV.</v>
      </c>
      <c r="C11447" s="222"/>
      <c r="D11447" s="50" t="str">
        <f>IFERROR(VLOOKUP(A11447,Material!$A:$H,4,0),"-")</f>
        <v>UN</v>
      </c>
      <c r="E11447" s="50">
        <v>1</v>
      </c>
      <c r="F11447" s="51">
        <f>IFERROR(VLOOKUP(A11447,Material!$A:$H,3,0),"-")</f>
        <v>2598750000</v>
      </c>
      <c r="G11447" s="51">
        <f t="shared" ref="G11447:G11449" si="160">IFERROR(ROUNDUP(F11447*E11447,0),"-")</f>
        <v>2598750000</v>
      </c>
    </row>
    <row r="11448" spans="1:7" x14ac:dyDescent="0.25">
      <c r="A11448" s="17"/>
      <c r="B11448" s="72" t="str">
        <f>IFERROR(VLOOKUP(A11448,Material!$A:$H,2,0),"-")</f>
        <v>-</v>
      </c>
      <c r="C11448" s="73"/>
      <c r="D11448" s="50" t="str">
        <f>IFERROR(VLOOKUP(A11448,Material!$A:$H,4,0),"-")</f>
        <v>-</v>
      </c>
      <c r="E11448" s="50"/>
      <c r="F11448" s="51" t="str">
        <f>IFERROR(VLOOKUP(A11448,Material!$A:$H,3,0),"-")</f>
        <v>-</v>
      </c>
      <c r="G11448" s="51" t="str">
        <f t="shared" si="160"/>
        <v>-</v>
      </c>
    </row>
    <row r="11449" spans="1:7" x14ac:dyDescent="0.25">
      <c r="A11449" s="17"/>
      <c r="B11449" s="72" t="str">
        <f>IFERROR(VLOOKUP(A11449,Material!$A:$H,2,0),"-")</f>
        <v>-</v>
      </c>
      <c r="C11449" s="73"/>
      <c r="D11449" s="50" t="str">
        <f>IFERROR(VLOOKUP(A11449,Material!$A:$H,4,0),"-")</f>
        <v>-</v>
      </c>
      <c r="E11449" s="50"/>
      <c r="F11449" s="51" t="str">
        <f>IFERROR(VLOOKUP(A11449,Material!$A:$H,3,0),"-")</f>
        <v>-</v>
      </c>
      <c r="G11449" s="51" t="str">
        <f t="shared" si="160"/>
        <v>-</v>
      </c>
    </row>
    <row r="11450" spans="1:7" x14ac:dyDescent="0.25">
      <c r="A11450" s="219" t="s">
        <v>41</v>
      </c>
      <c r="B11450" s="219"/>
      <c r="C11450" s="219"/>
      <c r="D11450" s="219"/>
      <c r="E11450" s="219"/>
      <c r="F11450" s="219"/>
      <c r="G11450" s="52">
        <f>SUM(G11447:G11449)</f>
        <v>2598750000</v>
      </c>
    </row>
    <row r="11451" spans="1:7" x14ac:dyDescent="0.25">
      <c r="A11451" s="56"/>
      <c r="B11451" s="57"/>
      <c r="C11451" s="57"/>
      <c r="D11451" s="57"/>
      <c r="E11451" s="57"/>
      <c r="F11451" s="57"/>
      <c r="G11451" s="58"/>
    </row>
    <row r="11452" spans="1:7" x14ac:dyDescent="0.25">
      <c r="A11452" s="219" t="s">
        <v>42</v>
      </c>
      <c r="B11452" s="219"/>
      <c r="C11452" s="219"/>
      <c r="D11452" s="219"/>
      <c r="E11452" s="219"/>
      <c r="F11452" s="219"/>
      <c r="G11452" s="219"/>
    </row>
    <row r="11453" spans="1:7" x14ac:dyDescent="0.25">
      <c r="A11453" s="49" t="s">
        <v>35</v>
      </c>
      <c r="B11453" s="49" t="s">
        <v>36</v>
      </c>
      <c r="C11453" s="49" t="s">
        <v>38</v>
      </c>
      <c r="D11453" s="49" t="s">
        <v>43</v>
      </c>
      <c r="E11453" s="49" t="s">
        <v>44</v>
      </c>
      <c r="F11453" s="49" t="s">
        <v>45</v>
      </c>
      <c r="G11453" s="49" t="s">
        <v>40</v>
      </c>
    </row>
    <row r="11454" spans="1:7" x14ac:dyDescent="0.25">
      <c r="A11454" s="50" t="s">
        <v>319</v>
      </c>
      <c r="B11454" s="68" t="str">
        <f>VLOOKUP(A11454,'Componentes APUs'!$H$1:$L$25,2,0)</f>
        <v>Ingeniero Residente de Obra</v>
      </c>
      <c r="C11454" s="93">
        <v>0.25</v>
      </c>
      <c r="D11454" s="50">
        <f>VLOOKUP(A11454,'Componentes APUs'!$H$1:$L$25,3,0)</f>
        <v>4</v>
      </c>
      <c r="E11454" s="51">
        <f>VLOOKUP(A11454,'Componentes APUs'!$H$1:$L$25,4,0)</f>
        <v>271142.85714285716</v>
      </c>
      <c r="F11454" s="51">
        <f>VLOOKUP(A11454,'Componentes APUs'!$H$1:$L$25,5,0)</f>
        <v>162685.71428571429</v>
      </c>
      <c r="G11454" s="51">
        <f>ROUNDUP((E11454+F11454)*C11454/E11444,0)</f>
        <v>108458</v>
      </c>
    </row>
    <row r="11455" spans="1:7" x14ac:dyDescent="0.25">
      <c r="A11455" s="50" t="s">
        <v>320</v>
      </c>
      <c r="B11455" s="68" t="str">
        <f>VLOOKUP(A11455,'Componentes APUs'!$H$1:$L$25,2,0)</f>
        <v>Tecnico Supervisor</v>
      </c>
      <c r="C11455" s="93">
        <v>1</v>
      </c>
      <c r="D11455" s="50">
        <f>VLOOKUP(A11455,'Componentes APUs'!$H$1:$L$25,3,0)</f>
        <v>2.2999999999999998</v>
      </c>
      <c r="E11455" s="51">
        <f>VLOOKUP(A11455,'Componentes APUs'!$H$1:$L$25,4,0)</f>
        <v>155907.14285714284</v>
      </c>
      <c r="F11455" s="51">
        <f>VLOOKUP(A11455,'Componentes APUs'!$H$1:$L$25,5,0)</f>
        <v>93544.285714285696</v>
      </c>
      <c r="G11455" s="51">
        <f>ROUNDUP((E11455+F11455)*C11455/E11444,0)</f>
        <v>249452</v>
      </c>
    </row>
    <row r="11456" spans="1:7" x14ac:dyDescent="0.25">
      <c r="A11456" s="50" t="s">
        <v>46</v>
      </c>
      <c r="B11456" s="68" t="str">
        <f>VLOOKUP(A11456,'Componentes APUs'!$H$1:$L$25,2,0)</f>
        <v>Tecnico Liniero</v>
      </c>
      <c r="C11456" s="93">
        <v>2</v>
      </c>
      <c r="D11456" s="50">
        <f>VLOOKUP(A11456,'Componentes APUs'!$H$1:$L$25,3,0)</f>
        <v>2</v>
      </c>
      <c r="E11456" s="51">
        <f>VLOOKUP(A11456,'Componentes APUs'!$H$1:$L$25,4,0)</f>
        <v>154619.04761904763</v>
      </c>
      <c r="F11456" s="51">
        <f>VLOOKUP(A11456,'Componentes APUs'!$H$1:$L$25,5,0)</f>
        <v>92771.42857142858</v>
      </c>
      <c r="G11456" s="51">
        <f>ROUNDUP((E11456+F11456)*C11456/E11444,0)</f>
        <v>494781</v>
      </c>
    </row>
    <row r="11457" spans="1:7" x14ac:dyDescent="0.25">
      <c r="A11457" s="50" t="s">
        <v>48</v>
      </c>
      <c r="B11457" s="68" t="str">
        <f>VLOOKUP(A11457,'Componentes APUs'!$H$1:$L$25,2,0)</f>
        <v>Ayudante Calificado</v>
      </c>
      <c r="C11457" s="93">
        <v>0</v>
      </c>
      <c r="D11457" s="50">
        <f>VLOOKUP(A11457,'Componentes APUs'!$H$1:$L$25,3,0)</f>
        <v>1.5</v>
      </c>
      <c r="E11457" s="51">
        <f>VLOOKUP(A11457,'Componentes APUs'!$H$1:$L$25,4,0)</f>
        <v>115964.28571428571</v>
      </c>
      <c r="F11457" s="51">
        <f>VLOOKUP(A11457,'Componentes APUs'!$H$1:$L$25,5,0)</f>
        <v>69578.57142857142</v>
      </c>
      <c r="G11457" s="51">
        <f>ROUNDUP((E11457+F11457)*C11457/E11444,0)</f>
        <v>0</v>
      </c>
    </row>
    <row r="11458" spans="1:7" x14ac:dyDescent="0.25">
      <c r="A11458" s="50" t="s">
        <v>50</v>
      </c>
      <c r="B11458" s="68" t="str">
        <f>VLOOKUP(A11458,'Componentes APUs'!$H$1:$L$25,2,0)</f>
        <v>Profesional en SST</v>
      </c>
      <c r="C11458" s="93">
        <v>0.25</v>
      </c>
      <c r="D11458" s="50">
        <f>VLOOKUP(A11458,'Componentes APUs'!$H$1:$L$25,3,0)</f>
        <v>2.5</v>
      </c>
      <c r="E11458" s="51">
        <f>VLOOKUP(A11458,'Componentes APUs'!$H$1:$L$25,4,0)</f>
        <v>169464.28571428571</v>
      </c>
      <c r="F11458" s="51">
        <f>VLOOKUP(A11458,'Componentes APUs'!$H$1:$L$25,5,0)</f>
        <v>101678.57142857142</v>
      </c>
      <c r="G11458" s="51">
        <f>ROUNDUP((E11458+F11458)*C11458/E11444,0)</f>
        <v>67786</v>
      </c>
    </row>
    <row r="11459" spans="1:7" x14ac:dyDescent="0.25">
      <c r="A11459" s="50" t="s">
        <v>52</v>
      </c>
      <c r="B11459" s="68" t="str">
        <f>VLOOKUP(A11459,'Componentes APUs'!$H$1:$L$25,2,0)</f>
        <v>Ayudante No Calificado</v>
      </c>
      <c r="C11459" s="93">
        <v>8</v>
      </c>
      <c r="D11459" s="50">
        <f>VLOOKUP(A11459,'Componentes APUs'!$H$1:$L$25,3,0)</f>
        <v>1</v>
      </c>
      <c r="E11459" s="51">
        <f>VLOOKUP(A11459,'Componentes APUs'!$H$1:$L$25,4,0)</f>
        <v>77309.523809523816</v>
      </c>
      <c r="F11459" s="51">
        <f>VLOOKUP(A11459,'Componentes APUs'!$H$1:$L$25,5,0)</f>
        <v>46385.71428571429</v>
      </c>
      <c r="G11459" s="51">
        <f>ROUNDUP((E11459+F11459)*C11459/E11444,0)</f>
        <v>989562</v>
      </c>
    </row>
    <row r="11460" spans="1:7" x14ac:dyDescent="0.25">
      <c r="A11460" s="50" t="s">
        <v>54</v>
      </c>
      <c r="B11460" s="68" t="str">
        <f>VLOOKUP(A11460,'Componentes APUs'!$H$1:$L$25,2,0)</f>
        <v>Maestro de obra civil</v>
      </c>
      <c r="C11460" s="93">
        <v>1</v>
      </c>
      <c r="D11460" s="50">
        <f>VLOOKUP(A11460,'Componentes APUs'!$H$1:$L$25,3,0)</f>
        <v>2.5</v>
      </c>
      <c r="E11460" s="51">
        <f>VLOOKUP(A11460,'Componentes APUs'!$H$1:$L$25,4,0)</f>
        <v>169464.28571428571</v>
      </c>
      <c r="F11460" s="51">
        <f>VLOOKUP(A11460,'Componentes APUs'!$H$1:$L$25,5,0)</f>
        <v>101678.57142857142</v>
      </c>
      <c r="G11460" s="51">
        <f>ROUNDUP((E11460+F11460)*C11460/E11444,0)</f>
        <v>271143</v>
      </c>
    </row>
    <row r="11461" spans="1:7" x14ac:dyDescent="0.25">
      <c r="A11461" s="50" t="s">
        <v>1116</v>
      </c>
      <c r="B11461" s="68" t="str">
        <f>VLOOKUP(A11461,'Componentes APUs'!$H$1:$L$25,2,0)</f>
        <v>Ingeniero Civil Residente de Obra</v>
      </c>
      <c r="C11461" s="93">
        <v>0.25</v>
      </c>
      <c r="D11461" s="50">
        <f>VLOOKUP(A11461,'Componentes APUs'!$H$1:$L$25,3,0)</f>
        <v>3</v>
      </c>
      <c r="E11461" s="51">
        <f>VLOOKUP(A11461,'Componentes APUs'!$H$1:$L$25,4,0)</f>
        <v>203357.14285714287</v>
      </c>
      <c r="F11461" s="51">
        <f>VLOOKUP(A11461,'Componentes APUs'!$H$1:$L$25,5,0)</f>
        <v>122014.28571428571</v>
      </c>
      <c r="G11461" s="51">
        <f>ROUNDUP((E11461+F11461)*C11461/E11444,0)</f>
        <v>81343</v>
      </c>
    </row>
    <row r="11462" spans="1:7" x14ac:dyDescent="0.25">
      <c r="A11462" s="219" t="s">
        <v>56</v>
      </c>
      <c r="B11462" s="219"/>
      <c r="C11462" s="219"/>
      <c r="D11462" s="219"/>
      <c r="E11462" s="219"/>
      <c r="F11462" s="219"/>
      <c r="G11462" s="52">
        <f>SUM(G11454:G11461)</f>
        <v>2262525</v>
      </c>
    </row>
    <row r="11463" spans="1:7" x14ac:dyDescent="0.25">
      <c r="A11463" s="56"/>
      <c r="B11463" s="57"/>
      <c r="C11463" s="57"/>
      <c r="D11463" s="57"/>
      <c r="E11463" s="57"/>
      <c r="F11463" s="57"/>
      <c r="G11463" s="58"/>
    </row>
    <row r="11464" spans="1:7" x14ac:dyDescent="0.25">
      <c r="A11464" s="219" t="s">
        <v>57</v>
      </c>
      <c r="B11464" s="219"/>
      <c r="C11464" s="219"/>
      <c r="D11464" s="219"/>
      <c r="E11464" s="219"/>
      <c r="F11464" s="219"/>
      <c r="G11464" s="219"/>
    </row>
    <row r="11465" spans="1:7" x14ac:dyDescent="0.25">
      <c r="A11465" s="49" t="s">
        <v>35</v>
      </c>
      <c r="B11465" s="219" t="s">
        <v>36</v>
      </c>
      <c r="C11465" s="219"/>
      <c r="D11465" s="49" t="s">
        <v>37</v>
      </c>
      <c r="E11465" s="49" t="s">
        <v>38</v>
      </c>
      <c r="F11465" s="49" t="s">
        <v>39</v>
      </c>
      <c r="G11465" s="49" t="s">
        <v>40</v>
      </c>
    </row>
    <row r="11466" spans="1:7" x14ac:dyDescent="0.25">
      <c r="A11466" s="50" t="s">
        <v>326</v>
      </c>
      <c r="B11466" s="220" t="str">
        <f>VLOOKUP(A11466,'Componentes APUs'!$S$1:$V$10,2,0)</f>
        <v>Juego Llaves</v>
      </c>
      <c r="C11466" s="220"/>
      <c r="D11466" s="50" t="s">
        <v>18</v>
      </c>
      <c r="E11466" s="50">
        <v>2</v>
      </c>
      <c r="F11466" s="51">
        <f>VLOOKUP(A11466,'Componentes APUs'!$S$1:$V$10,4,0)</f>
        <v>9167</v>
      </c>
      <c r="G11466" s="51">
        <f>ROUNDUP(F11466*((E11466/21)/E11444),0)</f>
        <v>874</v>
      </c>
    </row>
    <row r="11467" spans="1:7" x14ac:dyDescent="0.25">
      <c r="A11467" s="50" t="s">
        <v>58</v>
      </c>
      <c r="B11467" s="220" t="str">
        <f>VLOOKUP(A11467,'Componentes APUs'!$S$1:$V$10,2,0)</f>
        <v>Manila de servicio</v>
      </c>
      <c r="C11467" s="220"/>
      <c r="D11467" s="50" t="s">
        <v>18</v>
      </c>
      <c r="E11467" s="50">
        <v>2</v>
      </c>
      <c r="F11467" s="51">
        <f>VLOOKUP(A11467,'Componentes APUs'!$S$1:$V$10,4,0)</f>
        <v>2333</v>
      </c>
      <c r="G11467" s="51">
        <f>ROUNDUP(F11467*((E11467/21)/E11444),0)</f>
        <v>223</v>
      </c>
    </row>
    <row r="11468" spans="1:7" x14ac:dyDescent="0.25">
      <c r="A11468" s="50" t="s">
        <v>327</v>
      </c>
      <c r="B11468" s="220" t="str">
        <f>VLOOKUP(A11468,'Componentes APUs'!$S$1:$V$10,2,0)</f>
        <v>Tula portaherramientas</v>
      </c>
      <c r="C11468" s="220"/>
      <c r="D11468" s="50" t="s">
        <v>18</v>
      </c>
      <c r="E11468" s="50">
        <v>2</v>
      </c>
      <c r="F11468" s="51">
        <f>VLOOKUP(A11468,'Componentes APUs'!$S$1:$V$10,4,0)</f>
        <v>1250</v>
      </c>
      <c r="G11468" s="51">
        <f>ROUNDUP(F11468*((E11468/21)/E11444),0)</f>
        <v>120</v>
      </c>
    </row>
    <row r="11469" spans="1:7" x14ac:dyDescent="0.25">
      <c r="A11469" s="50" t="s">
        <v>328</v>
      </c>
      <c r="B11469" s="220" t="str">
        <f>VLOOKUP(A11469,'Componentes APUs'!$S$1:$V$10,2,0)</f>
        <v>Herramienta Menor</v>
      </c>
      <c r="C11469" s="220"/>
      <c r="D11469" s="50" t="s">
        <v>18</v>
      </c>
      <c r="E11469" s="50">
        <v>2</v>
      </c>
      <c r="F11469" s="51">
        <f>VLOOKUP(A11469,'Componentes APUs'!$S$1:$V$10,4,0)</f>
        <v>75758</v>
      </c>
      <c r="G11469" s="51">
        <f>ROUNDUP(F11469*((E11469/21)/E11444),0)</f>
        <v>7216</v>
      </c>
    </row>
    <row r="11470" spans="1:7" x14ac:dyDescent="0.25">
      <c r="A11470" s="219" t="s">
        <v>69</v>
      </c>
      <c r="B11470" s="219"/>
      <c r="C11470" s="219"/>
      <c r="D11470" s="219"/>
      <c r="E11470" s="219"/>
      <c r="F11470" s="219"/>
      <c r="G11470" s="52">
        <f>SUM(G11466:G11469)</f>
        <v>8433</v>
      </c>
    </row>
    <row r="11471" spans="1:7" x14ac:dyDescent="0.25">
      <c r="A11471" s="56"/>
      <c r="B11471" s="57"/>
      <c r="C11471" s="57"/>
      <c r="D11471" s="57"/>
      <c r="E11471" s="57"/>
      <c r="F11471" s="57"/>
      <c r="G11471" s="58"/>
    </row>
    <row r="11472" spans="1:7" x14ac:dyDescent="0.25">
      <c r="A11472" s="219" t="s">
        <v>70</v>
      </c>
      <c r="B11472" s="219"/>
      <c r="C11472" s="219"/>
      <c r="D11472" s="219"/>
      <c r="E11472" s="219"/>
      <c r="F11472" s="219"/>
      <c r="G11472" s="219"/>
    </row>
    <row r="11473" spans="1:7" x14ac:dyDescent="0.25">
      <c r="A11473" s="49" t="s">
        <v>35</v>
      </c>
      <c r="B11473" s="219" t="s">
        <v>36</v>
      </c>
      <c r="C11473" s="219"/>
      <c r="D11473" s="49" t="s">
        <v>37</v>
      </c>
      <c r="E11473" s="49" t="s">
        <v>38</v>
      </c>
      <c r="F11473" s="49" t="s">
        <v>39</v>
      </c>
      <c r="G11473" s="49" t="s">
        <v>40</v>
      </c>
    </row>
    <row r="11474" spans="1:7" x14ac:dyDescent="0.25">
      <c r="A11474" s="50" t="s">
        <v>71</v>
      </c>
      <c r="B11474" s="71" t="str">
        <f>VLOOKUP(A11474,'Componentes APUs'!$A$1:$D$14,2,0)</f>
        <v>Camisa indigo sin partes metalicas</v>
      </c>
      <c r="C11474" s="71"/>
      <c r="D11474" s="50" t="str">
        <f>VLOOKUP(A11474,'Componentes APUs'!$A$1:$D$14,3,0)</f>
        <v>U</v>
      </c>
      <c r="E11474" s="50">
        <f>SUM(C11454:C11461)</f>
        <v>12.75</v>
      </c>
      <c r="F11474" s="51">
        <f>VLOOKUP(A11474,'Componentes APUs'!$A$1:$D$14,4,0)</f>
        <v>8585.8585858585866</v>
      </c>
      <c r="G11474" s="51">
        <f>ROUNDUP(F11474*(E11474/21)/E11444,0)</f>
        <v>5213</v>
      </c>
    </row>
    <row r="11475" spans="1:7" x14ac:dyDescent="0.25">
      <c r="A11475" s="69" t="s">
        <v>73</v>
      </c>
      <c r="B11475" s="72" t="str">
        <f>VLOOKUP(A11475,'Componentes APUs'!$A$1:$D$14,2,0)</f>
        <v>Bota de seguridad dielectrica</v>
      </c>
      <c r="C11475" s="73"/>
      <c r="D11475" s="70" t="str">
        <f>VLOOKUP(A11475,'Componentes APUs'!$A$1:$D$14,3,0)</f>
        <v>Par</v>
      </c>
      <c r="E11475" s="50">
        <f>SUM(C11454:C11461)</f>
        <v>12.75</v>
      </c>
      <c r="F11475" s="51">
        <f>VLOOKUP(A11475,'Componentes APUs'!$A$1:$D$14,4,0)</f>
        <v>7500</v>
      </c>
      <c r="G11475" s="51">
        <f>ROUNDUP(F11475*(E11475/21)/E11444,0)</f>
        <v>4554</v>
      </c>
    </row>
    <row r="11476" spans="1:7" x14ac:dyDescent="0.25">
      <c r="A11476" s="50" t="s">
        <v>76</v>
      </c>
      <c r="B11476" s="72" t="str">
        <f>VLOOKUP(A11476,'Componentes APUs'!$A$1:$D$14,2,0)</f>
        <v>Casco dielectrico Tipo 1 Clase E con barbuquejo</v>
      </c>
      <c r="C11476" s="73"/>
      <c r="D11476" s="50" t="str">
        <f>VLOOKUP(A11476,'Componentes APUs'!$A$1:$D$14,3,0)</f>
        <v>U</v>
      </c>
      <c r="E11476" s="50">
        <f>C11454+C11455+C11456+C11457+C11459+C11460+C11461+IF(A11456&lt;&gt;"MO-3",C11456,0)</f>
        <v>12.5</v>
      </c>
      <c r="F11476" s="51">
        <f>VLOOKUP(A11476,'Componentes APUs'!$A$1:$D$14,4,0)</f>
        <v>10101.010101010101</v>
      </c>
      <c r="G11476" s="51">
        <f>ROUNDUP(F11476*(E11476/21)/E11444,0)</f>
        <v>6013</v>
      </c>
    </row>
    <row r="11477" spans="1:7" x14ac:dyDescent="0.25">
      <c r="A11477" s="69" t="s">
        <v>77</v>
      </c>
      <c r="B11477" s="72" t="str">
        <f>VLOOKUP(A11477,'Componentes APUs'!$A$1:$D$14,2,0)</f>
        <v>Correa plastica y antiflama</v>
      </c>
      <c r="C11477" s="73"/>
      <c r="D11477" s="50" t="str">
        <f>VLOOKUP(A11477,'Componentes APUs'!$A$1:$D$14,3,0)</f>
        <v>U</v>
      </c>
      <c r="E11477" s="50">
        <f>SUM(C11454:C11461)</f>
        <v>12.75</v>
      </c>
      <c r="F11477" s="51">
        <f>VLOOKUP(A11477,'Componentes APUs'!$A$1:$D$14,4,0)</f>
        <v>3787.878787878788</v>
      </c>
      <c r="G11477" s="51">
        <f>ROUNDUP(F11477*(E11477/21)/E11444,0)</f>
        <v>2300</v>
      </c>
    </row>
    <row r="11478" spans="1:7" x14ac:dyDescent="0.25">
      <c r="A11478" s="50" t="s">
        <v>79</v>
      </c>
      <c r="B11478" s="72" t="str">
        <f>VLOOKUP(A11478,'Componentes APUs'!$A$1:$D$14,2,0)</f>
        <v>Gafas protectoras filtro UV</v>
      </c>
      <c r="C11478" s="73"/>
      <c r="D11478" s="50" t="str">
        <f>VLOOKUP(A11478,'Componentes APUs'!$A$1:$D$14,3,0)</f>
        <v>U</v>
      </c>
      <c r="E11478" s="50">
        <f>SUM(C11454:C11461)</f>
        <v>12.75</v>
      </c>
      <c r="F11478" s="51">
        <f>VLOOKUP(A11478,'Componentes APUs'!$A$1:$D$14,4,0)</f>
        <v>2777.7777777777778</v>
      </c>
      <c r="G11478" s="51">
        <f>ROUNDUP(F11478*(E11478/21)/E11444,0)</f>
        <v>1687</v>
      </c>
    </row>
    <row r="11479" spans="1:7" x14ac:dyDescent="0.25">
      <c r="A11479" s="69" t="s">
        <v>402</v>
      </c>
      <c r="B11479" s="72" t="str">
        <f>VLOOKUP(A11479,'Componentes APUs'!$A$1:$D$14,2,0)</f>
        <v>Bota de seguridad PVC dielectrica</v>
      </c>
      <c r="C11479" s="73"/>
      <c r="D11479" s="50" t="str">
        <f>VLOOKUP(A11479,'Componentes APUs'!$A$1:$D$14,3,0)</f>
        <v>Par</v>
      </c>
      <c r="E11479" s="50">
        <f>SUM(C11454:C11461)</f>
        <v>12.75</v>
      </c>
      <c r="F11479" s="51">
        <f>VLOOKUP(A11479,'Componentes APUs'!$A$1:$D$14,4,0)</f>
        <v>2916.6666666666665</v>
      </c>
      <c r="G11479" s="51">
        <f>ROUNDUP(F11479*(E11479/21)/E11444,0)</f>
        <v>1771</v>
      </c>
    </row>
    <row r="11480" spans="1:7" x14ac:dyDescent="0.25">
      <c r="A11480" s="50" t="s">
        <v>403</v>
      </c>
      <c r="B11480" s="72" t="str">
        <f>VLOOKUP(A11480,'Componentes APUs'!$A$1:$D$14,2,0)</f>
        <v>Capuchon</v>
      </c>
      <c r="C11480" s="73"/>
      <c r="D11480" s="50" t="str">
        <f>VLOOKUP(A11480,'Componentes APUs'!$A$1:$D$14,3,0)</f>
        <v>U</v>
      </c>
      <c r="E11480" s="50">
        <f>SUM(C11454:C11461)</f>
        <v>12.75</v>
      </c>
      <c r="F11480" s="51">
        <f>VLOOKUP(A11480,'Componentes APUs'!$A$1:$D$14,4,0)</f>
        <v>2525.2525252525252</v>
      </c>
      <c r="G11480" s="51">
        <f>ROUNDUP(F11480*(E11480/21)/E11444,0)</f>
        <v>1534</v>
      </c>
    </row>
    <row r="11481" spans="1:7" x14ac:dyDescent="0.25">
      <c r="A11481" s="69" t="s">
        <v>81</v>
      </c>
      <c r="B11481" s="72" t="str">
        <f>VLOOKUP(A11481,'Componentes APUs'!$A$1:$D$14,2,0)</f>
        <v>Guantes Protectores  - ingeniero reforzados</v>
      </c>
      <c r="C11481" s="73"/>
      <c r="D11481" s="50" t="str">
        <f>VLOOKUP(A11481,'Componentes APUs'!$A$1:$D$14,3,0)</f>
        <v>Par</v>
      </c>
      <c r="E11481" s="50">
        <f>C11456+C11457+C11459</f>
        <v>10</v>
      </c>
      <c r="F11481" s="51">
        <f>VLOOKUP(A11481,'Componentes APUs'!$A$1:$D$14,4,0)</f>
        <v>2525.2525252525252</v>
      </c>
      <c r="G11481" s="51">
        <f>ROUNDUP(F11481*(E11481/21)/E11444,0)</f>
        <v>1203</v>
      </c>
    </row>
    <row r="11482" spans="1:7" x14ac:dyDescent="0.25">
      <c r="A11482" s="50" t="s">
        <v>83</v>
      </c>
      <c r="B11482" s="72" t="str">
        <f>VLOOKUP(A11482,'Componentes APUs'!$A$1:$D$14,2,0)</f>
        <v>Impermeable (pantalon camisa)</v>
      </c>
      <c r="C11482" s="73"/>
      <c r="D11482" s="50" t="str">
        <f>VLOOKUP(A11482,'Componentes APUs'!$A$1:$D$14,3,0)</f>
        <v>U</v>
      </c>
      <c r="E11482" s="50">
        <f>SUM(C11454:C11461)</f>
        <v>12.75</v>
      </c>
      <c r="F11482" s="51">
        <f>VLOOKUP(A11482,'Componentes APUs'!$A$1:$D$14,4,0)</f>
        <v>3750</v>
      </c>
      <c r="G11482" s="51">
        <f>ROUNDUP(F11482*(E11482/21)/E11444,0)</f>
        <v>2277</v>
      </c>
    </row>
    <row r="11483" spans="1:7" x14ac:dyDescent="0.25">
      <c r="A11483" s="69" t="s">
        <v>85</v>
      </c>
      <c r="B11483" s="72" t="str">
        <f>VLOOKUP(A11483,'Componentes APUs'!$A$1:$D$14,2,0)</f>
        <v>Jean Dielectrico</v>
      </c>
      <c r="C11483" s="73"/>
      <c r="D11483" s="50" t="str">
        <f>VLOOKUP(A11483,'Componentes APUs'!$A$1:$D$14,3,0)</f>
        <v>U</v>
      </c>
      <c r="E11483" s="50">
        <f>SUM(C11454:C11461)</f>
        <v>12.75</v>
      </c>
      <c r="F11483" s="51">
        <f>VLOOKUP(A11483,'Componentes APUs'!$A$1:$D$14,4,0)</f>
        <v>7575.757575757576</v>
      </c>
      <c r="G11483" s="51">
        <f>ROUNDUP(F11483*(E11483/21)/E11444,0)</f>
        <v>4600</v>
      </c>
    </row>
    <row r="11484" spans="1:7" x14ac:dyDescent="0.25">
      <c r="A11484" s="50" t="s">
        <v>87</v>
      </c>
      <c r="B11484" s="72" t="str">
        <f>VLOOKUP(A11484,'Componentes APUs'!$A$1:$D$14,2,0)</f>
        <v>Casco dielectrico Tipo 2 Clase E con barboquejo</v>
      </c>
      <c r="C11484" s="73"/>
      <c r="D11484" s="50" t="str">
        <f>VLOOKUP(A11484,'Componentes APUs'!$A$1:$D$14,3,0)</f>
        <v>U</v>
      </c>
      <c r="E11484" s="53">
        <f>IF(A11456="MO-3",C11456,0)</f>
        <v>2</v>
      </c>
      <c r="F11484" s="51">
        <f>VLOOKUP(A11484,'Componentes APUs'!$A$1:$D$14,4,0)</f>
        <v>7500</v>
      </c>
      <c r="G11484" s="51">
        <f>ROUNDUP(F11484*(E11484/21)/E11444,0)</f>
        <v>715</v>
      </c>
    </row>
    <row r="11485" spans="1:7" x14ac:dyDescent="0.25">
      <c r="A11485" s="69" t="s">
        <v>89</v>
      </c>
      <c r="B11485" s="72" t="str">
        <f>VLOOKUP(A11485,'Componentes APUs'!$A$1:$D$14,2,0)</f>
        <v>Kit de rescate para trabajo en alturas</v>
      </c>
      <c r="C11485" s="73"/>
      <c r="D11485" s="50" t="str">
        <f>VLOOKUP(A11485,'Componentes APUs'!$A$1:$D$14,3,0)</f>
        <v>U</v>
      </c>
      <c r="E11485" s="50">
        <f>IF(AND(A11456="MO-3",C11456=2),1,0)</f>
        <v>1</v>
      </c>
      <c r="F11485" s="51">
        <f>VLOOKUP(A11485,'Componentes APUs'!$A$1:$D$14,4,0)</f>
        <v>37500</v>
      </c>
      <c r="G11485" s="51">
        <f>ROUNDUP(F11485*(E11485/21)/E11444,0)</f>
        <v>1786</v>
      </c>
    </row>
    <row r="11486" spans="1:7" x14ac:dyDescent="0.25">
      <c r="A11486" s="50" t="s">
        <v>91</v>
      </c>
      <c r="B11486" s="72" t="str">
        <f>VLOOKUP(A11486,'Componentes APUs'!$A$1:$D$14,2,0)</f>
        <v>Equipo completo para trabajo en alturas con pretales (Arnes dielectrico, 1 mosqueton de seguridad, tie off dielectrico, eslinga de posicionamiento, juego de pretales)</v>
      </c>
      <c r="C11486" s="73"/>
      <c r="D11486" s="50" t="str">
        <f>VLOOKUP(A11486,'Componentes APUs'!$A$1:$D$14,3,0)</f>
        <v>U</v>
      </c>
      <c r="E11486" s="50">
        <f>IF(A11456="MO-3",C11456,0)</f>
        <v>2</v>
      </c>
      <c r="F11486" s="51">
        <f>VLOOKUP(A11486,'Componentes APUs'!$A$1:$D$14,4,0)</f>
        <v>26041.666666666668</v>
      </c>
      <c r="G11486" s="51">
        <f>ROUNDUP(F11486*(E11486/21)/E11444,0)</f>
        <v>2481</v>
      </c>
    </row>
    <row r="11487" spans="1:7" x14ac:dyDescent="0.25">
      <c r="A11487" s="219" t="s">
        <v>95</v>
      </c>
      <c r="B11487" s="219"/>
      <c r="C11487" s="219"/>
      <c r="D11487" s="219"/>
      <c r="E11487" s="219"/>
      <c r="F11487" s="219"/>
      <c r="G11487" s="52">
        <f>SUM(G11474:G11486)</f>
        <v>36134</v>
      </c>
    </row>
    <row r="11488" spans="1:7" x14ac:dyDescent="0.25">
      <c r="A11488" s="56"/>
      <c r="B11488" s="57"/>
      <c r="C11488" s="57"/>
      <c r="D11488" s="57"/>
      <c r="E11488" s="57"/>
      <c r="F11488" s="57"/>
      <c r="G11488" s="58"/>
    </row>
    <row r="11489" spans="1:7" x14ac:dyDescent="0.25">
      <c r="A11489" s="219" t="s">
        <v>96</v>
      </c>
      <c r="B11489" s="219"/>
      <c r="C11489" s="219"/>
      <c r="D11489" s="219"/>
      <c r="E11489" s="219"/>
      <c r="F11489" s="219"/>
      <c r="G11489" s="219"/>
    </row>
    <row r="11490" spans="1:7" x14ac:dyDescent="0.25">
      <c r="A11490" s="49" t="s">
        <v>35</v>
      </c>
      <c r="B11490" s="225" t="s">
        <v>36</v>
      </c>
      <c r="C11490" s="225"/>
      <c r="D11490" s="49" t="s">
        <v>37</v>
      </c>
      <c r="E11490" s="49" t="s">
        <v>38</v>
      </c>
      <c r="F11490" s="49" t="s">
        <v>39</v>
      </c>
      <c r="G11490" s="49" t="s">
        <v>40</v>
      </c>
    </row>
    <row r="11491" spans="1:7" x14ac:dyDescent="0.25">
      <c r="A11491" s="69" t="s">
        <v>97</v>
      </c>
      <c r="B11491" s="72" t="str">
        <f>VLOOKUP(A11491,'Componentes APUs'!$N$1:$Q$30,2,0)</f>
        <v>Camioneta</v>
      </c>
      <c r="C11491" s="73"/>
      <c r="D11491" s="70" t="str">
        <f>VLOOKUP(A11491,'Componentes APUs'!$N$1:$Q$30,3,0)</f>
        <v>U</v>
      </c>
      <c r="E11491" s="50">
        <v>1</v>
      </c>
      <c r="F11491" s="51">
        <f>VLOOKUP(A11491,'Componentes APUs'!$N$1:$Q$30,4,0)</f>
        <v>5500000</v>
      </c>
      <c r="G11491" s="51">
        <f>IFERROR(ROUNDUP(F11491*(E11491/21)/E11444,0),"-")</f>
        <v>261905</v>
      </c>
    </row>
    <row r="11492" spans="1:7" x14ac:dyDescent="0.25">
      <c r="A11492" s="50" t="s">
        <v>321</v>
      </c>
      <c r="B11492" s="72" t="str">
        <f>VLOOKUP(A11492,'Componentes APUs'!$N$1:$Q$30,2,0)</f>
        <v>Grúa Hidráulica</v>
      </c>
      <c r="C11492" s="73"/>
      <c r="D11492" s="70" t="str">
        <f>VLOOKUP(A11492,'Componentes APUs'!$N$1:$Q$30,3,0)</f>
        <v>U</v>
      </c>
      <c r="E11492" s="50">
        <v>1</v>
      </c>
      <c r="F11492" s="51">
        <f>VLOOKUP(A11492,'Componentes APUs'!$N$1:$Q$30,4,0)</f>
        <v>21000000</v>
      </c>
      <c r="G11492" s="51">
        <f>IFERROR(ROUNDUP(F11492*(E11492/21)/E11444,0),"-")</f>
        <v>1000000</v>
      </c>
    </row>
    <row r="11493" spans="1:7" x14ac:dyDescent="0.25">
      <c r="A11493" s="69" t="s">
        <v>322</v>
      </c>
      <c r="B11493" s="72" t="str">
        <f>VLOOKUP(A11493,'Componentes APUs'!$N$1:$Q$30,2,0)</f>
        <v>Camabaja</v>
      </c>
      <c r="C11493" s="73"/>
      <c r="D11493" s="70" t="str">
        <f>VLOOKUP(A11493,'Componentes APUs'!$N$1:$Q$30,3,0)</f>
        <v>TON/KM</v>
      </c>
      <c r="E11493" s="50">
        <v>15000</v>
      </c>
      <c r="F11493" s="51">
        <f>VLOOKUP(A11493,'Componentes APUs'!$N$1:$Q$30,4,0)</f>
        <v>611</v>
      </c>
      <c r="G11493" s="51">
        <f>E11493*F11493</f>
        <v>9165000</v>
      </c>
    </row>
    <row r="11494" spans="1:7" x14ac:dyDescent="0.25">
      <c r="A11494" s="219" t="s">
        <v>99</v>
      </c>
      <c r="B11494" s="219"/>
      <c r="C11494" s="219"/>
      <c r="D11494" s="219"/>
      <c r="E11494" s="219"/>
      <c r="F11494" s="219"/>
      <c r="G11494" s="52">
        <f>SUM(G11491:G11493)</f>
        <v>10426905</v>
      </c>
    </row>
    <row r="11495" spans="1:7" x14ac:dyDescent="0.25">
      <c r="A11495" s="56"/>
      <c r="B11495" s="57"/>
      <c r="C11495" s="57"/>
      <c r="D11495" s="57"/>
      <c r="E11495" s="57"/>
      <c r="F11495" s="57"/>
      <c r="G11495" s="58"/>
    </row>
    <row r="11496" spans="1:7" x14ac:dyDescent="0.25">
      <c r="A11496" s="219" t="s">
        <v>1516</v>
      </c>
      <c r="B11496" s="219"/>
      <c r="C11496" s="219"/>
      <c r="D11496" s="219"/>
      <c r="E11496" s="219"/>
      <c r="F11496" s="219"/>
      <c r="G11496" s="52">
        <f>G11494+G11487+G11470+G11462+G11450</f>
        <v>2611483997</v>
      </c>
    </row>
    <row r="11497" spans="1:7" x14ac:dyDescent="0.25">
      <c r="A11497" s="59"/>
      <c r="B11497" s="60"/>
      <c r="C11497" s="60"/>
      <c r="D11497" s="60"/>
      <c r="E11497" s="57"/>
      <c r="F11497" s="57"/>
      <c r="G11497" s="58"/>
    </row>
    <row r="11498" spans="1:7" x14ac:dyDescent="0.25">
      <c r="A11498" s="64"/>
      <c r="D11498" s="55"/>
      <c r="E11498" s="49" t="s">
        <v>25</v>
      </c>
      <c r="F11498" s="54">
        <v>0.15</v>
      </c>
      <c r="G11498" s="51">
        <f>G11496*F11498</f>
        <v>391722599.55000001</v>
      </c>
    </row>
    <row r="11499" spans="1:7" x14ac:dyDescent="0.25">
      <c r="A11499" s="64"/>
      <c r="D11499" s="55"/>
      <c r="E11499" s="49" t="s">
        <v>26</v>
      </c>
      <c r="F11499" s="54">
        <v>0.05</v>
      </c>
      <c r="G11499" s="51">
        <f>G11496*F11499</f>
        <v>130574199.85000001</v>
      </c>
    </row>
    <row r="11500" spans="1:7" x14ac:dyDescent="0.25">
      <c r="A11500" s="61"/>
      <c r="B11500" s="65"/>
      <c r="C11500" s="65"/>
      <c r="D11500" s="62"/>
      <c r="E11500" s="49" t="s">
        <v>27</v>
      </c>
      <c r="F11500" s="54">
        <v>0.05</v>
      </c>
      <c r="G11500" s="51">
        <f>G11496*F11500</f>
        <v>130574199.85000001</v>
      </c>
    </row>
    <row r="11501" spans="1:7" x14ac:dyDescent="0.25">
      <c r="A11501" s="61"/>
      <c r="B11501" s="62"/>
      <c r="C11501" s="62"/>
      <c r="D11501" s="62"/>
      <c r="E11501" s="62"/>
      <c r="F11501" s="62"/>
      <c r="G11501" s="63"/>
    </row>
    <row r="11502" spans="1:7" x14ac:dyDescent="0.25">
      <c r="A11502" s="219" t="s">
        <v>1517</v>
      </c>
      <c r="B11502" s="219"/>
      <c r="C11502" s="219"/>
      <c r="D11502" s="219"/>
      <c r="E11502" s="219"/>
      <c r="F11502" s="219"/>
      <c r="G11502" s="52">
        <f>G11496+G11498+G11499+G11500</f>
        <v>3264354996.25</v>
      </c>
    </row>
    <row r="11503" spans="1:7" x14ac:dyDescent="0.25">
      <c r="A11503" s="59"/>
      <c r="B11503" s="60"/>
      <c r="C11503" s="60"/>
      <c r="D11503" s="60"/>
      <c r="E11503" s="57"/>
      <c r="F11503" s="57"/>
      <c r="G11503" s="58"/>
    </row>
    <row r="11504" spans="1:7" x14ac:dyDescent="0.25">
      <c r="A11504" s="64"/>
      <c r="D11504" s="55"/>
      <c r="E11504" s="49" t="s">
        <v>102</v>
      </c>
      <c r="F11504" s="49" t="s">
        <v>103</v>
      </c>
      <c r="G11504" s="51">
        <f>G11500*19%</f>
        <v>24809097.971500002</v>
      </c>
    </row>
    <row r="11505" spans="1:7" x14ac:dyDescent="0.25">
      <c r="A11505" s="61"/>
      <c r="B11505" s="62"/>
      <c r="C11505" s="62"/>
      <c r="D11505" s="62"/>
      <c r="E11505" s="57"/>
      <c r="F11505" s="57"/>
      <c r="G11505" s="58"/>
    </row>
    <row r="11506" spans="1:7" x14ac:dyDescent="0.25">
      <c r="A11506" s="219" t="s">
        <v>104</v>
      </c>
      <c r="B11506" s="219"/>
      <c r="C11506" s="219"/>
      <c r="D11506" s="219"/>
      <c r="E11506" s="219"/>
      <c r="F11506" s="219"/>
      <c r="G11506" s="52">
        <f>G11504+G11502</f>
        <v>3289164094.2214999</v>
      </c>
    </row>
    <row r="11508" spans="1:7" x14ac:dyDescent="0.25">
      <c r="A11508" s="74" t="s">
        <v>29</v>
      </c>
      <c r="B11508" s="226" t="s">
        <v>30</v>
      </c>
      <c r="C11508" s="226"/>
      <c r="D11508" s="74" t="s">
        <v>31</v>
      </c>
      <c r="E11508" s="74" t="s">
        <v>32</v>
      </c>
      <c r="F11508" s="74" t="s">
        <v>189</v>
      </c>
      <c r="G11508" s="74" t="s">
        <v>33</v>
      </c>
    </row>
    <row r="11509" spans="1:7" ht="108" customHeight="1" x14ac:dyDescent="0.25">
      <c r="A11509" s="50" t="str">
        <f>Presupuesto!B209</f>
        <v>019_N3</v>
      </c>
      <c r="B11509" s="220" t="str">
        <f>Presupuesto!C209</f>
        <v>CELDA INTERRUPTOR TRIFÁSICO 36 KV/ 80 kA, AISLADA EN VACÍO. CORRIENTE NOMINAL: 630 A. 60 HZ. 3 POLOS. INCLUYE: SECCIONADORES, 3 TRANSFORMADORES DE CORRIENTE TRIPLE NUCLEO (N1:400-800/5 CL: 0.5s, N2:400-800/5  CL: 0.5s, N3:400-800/5 CL: 5P30, BURDEN: 25 VA) CON PROTOCOLOS DE PRUEBA DE PRECISIÓN DE FABRICANTE Y LABORATORIO ACREDITADO Y UNIDAD INTEGRADA DE CONTROL Y PROTECCIÓN (RELE CON FUNCIONES: 50,  51, 50N, 51N,50BFE1,E2,27,59,26,49,63,71,96,33,63Q), PUERTO DE COMUNICACIÓN PARA FIBRA ÓPTICA, PROTOCOLO DE COMUNICACIÓN 61850. PARA BAHÍA DE TRANSFORMADOR</v>
      </c>
      <c r="C11509" s="220"/>
      <c r="D11509" s="50" t="s">
        <v>18</v>
      </c>
      <c r="E11509" s="50">
        <v>0.5</v>
      </c>
      <c r="F11509" s="50"/>
      <c r="G11509" s="51">
        <f>G11568</f>
        <v>540723991.94550002</v>
      </c>
    </row>
    <row r="11510" spans="1:7" x14ac:dyDescent="0.25">
      <c r="A11510" s="234" t="s">
        <v>34</v>
      </c>
      <c r="B11510" s="236"/>
      <c r="C11510" s="236"/>
      <c r="D11510" s="236"/>
      <c r="E11510" s="236"/>
      <c r="F11510" s="236"/>
      <c r="G11510" s="235"/>
    </row>
    <row r="11511" spans="1:7" x14ac:dyDescent="0.25">
      <c r="A11511" s="49" t="s">
        <v>35</v>
      </c>
      <c r="B11511" s="234" t="s">
        <v>36</v>
      </c>
      <c r="C11511" s="235"/>
      <c r="D11511" s="49" t="s">
        <v>37</v>
      </c>
      <c r="E11511" s="49" t="s">
        <v>38</v>
      </c>
      <c r="F11511" s="49" t="s">
        <v>39</v>
      </c>
      <c r="G11511" s="49" t="s">
        <v>40</v>
      </c>
    </row>
    <row r="11512" spans="1:7" ht="92.25" customHeight="1" x14ac:dyDescent="0.25">
      <c r="A11512" s="17" t="str">
        <f>Material!A363</f>
        <v>MA-362</v>
      </c>
      <c r="B11512" s="221" t="str">
        <f>IFERROR(VLOOKUP(A11512,Material!$A:$H,2,0),"-")</f>
        <v>CELDA INTERRUPTOR TRIFÁSICO 36 KV/ 80 kA, TIPO INTERIOR, EN VACÍO. CORRIENTE NOMINAL: 630 A. 60 HZ. 3 POLOS. INCLUYE: 3 TRANSFORMADORES DE CORRIENTE TRIPLE NUCLEO (N1:300-600/5 CL: 0.2s, N2:300-600/5  CL: 0.2s, N3:300-600/5 CL: 5P20) CON PROTOCOLOS DE PRUEBA DE PRECISIÓN DE FABRICANTE Y LABORATORIO ACREDITADO Y UNIDAD INTEGRADA DE CONTROL Y PROTECCIÓN (RELE CON FUNCIONES: 50,  51, 50N, 51N,50BFE1,E2,27,59,26,49,63,71,96,33,63Q), PUERTO DE COMUNICACIÓN PARA FIBRA ÓPTICA, PROTOCOLO DE COMUNICACIÓN 61850</v>
      </c>
      <c r="C11512" s="222"/>
      <c r="D11512" s="50" t="str">
        <f>IFERROR(VLOOKUP(A11512,Material!$A:$H,4,0),"-")</f>
        <v>UN</v>
      </c>
      <c r="E11512" s="50">
        <v>1</v>
      </c>
      <c r="F11512" s="51">
        <f>IFERROR(VLOOKUP(A11512,Material!$A:$H,3,0),"-")</f>
        <v>423577026.56732506</v>
      </c>
      <c r="G11512" s="51">
        <f t="shared" ref="G11512" si="161">IFERROR(ROUNDUP(F11512*E11512,0),"-")</f>
        <v>423577027</v>
      </c>
    </row>
    <row r="11513" spans="1:7" x14ac:dyDescent="0.25">
      <c r="A11513" s="234" t="s">
        <v>41</v>
      </c>
      <c r="B11513" s="236"/>
      <c r="C11513" s="236"/>
      <c r="D11513" s="236"/>
      <c r="E11513" s="236"/>
      <c r="F11513" s="235"/>
      <c r="G11513" s="52">
        <f>SUM(G11512:G11512)</f>
        <v>423577027</v>
      </c>
    </row>
    <row r="11514" spans="1:7" x14ac:dyDescent="0.25">
      <c r="A11514" s="56"/>
      <c r="B11514" s="57"/>
      <c r="C11514" s="57"/>
      <c r="D11514" s="57"/>
      <c r="E11514" s="57"/>
      <c r="F11514" s="57"/>
      <c r="G11514" s="58"/>
    </row>
    <row r="11515" spans="1:7" x14ac:dyDescent="0.25">
      <c r="A11515" s="219" t="s">
        <v>42</v>
      </c>
      <c r="B11515" s="219"/>
      <c r="C11515" s="219"/>
      <c r="D11515" s="219"/>
      <c r="E11515" s="219"/>
      <c r="F11515" s="219"/>
      <c r="G11515" s="219"/>
    </row>
    <row r="11516" spans="1:7" x14ac:dyDescent="0.25">
      <c r="A11516" s="49" t="s">
        <v>35</v>
      </c>
      <c r="B11516" s="49" t="s">
        <v>36</v>
      </c>
      <c r="C11516" s="49" t="s">
        <v>38</v>
      </c>
      <c r="D11516" s="49" t="s">
        <v>43</v>
      </c>
      <c r="E11516" s="49" t="s">
        <v>44</v>
      </c>
      <c r="F11516" s="49" t="s">
        <v>45</v>
      </c>
      <c r="G11516" s="49" t="s">
        <v>40</v>
      </c>
    </row>
    <row r="11517" spans="1:7" x14ac:dyDescent="0.25">
      <c r="A11517" s="50" t="s">
        <v>319</v>
      </c>
      <c r="B11517" s="68" t="str">
        <f>VLOOKUP(A11517,'Componentes APUs'!$H$1:$L$25,2,0)</f>
        <v>Ingeniero Residente de Obra</v>
      </c>
      <c r="C11517" s="93">
        <v>0.25</v>
      </c>
      <c r="D11517" s="50">
        <f>VLOOKUP(A11517,'Componentes APUs'!$H$1:$L$25,3,0)</f>
        <v>4</v>
      </c>
      <c r="E11517" s="51">
        <f>VLOOKUP(A11517,'Componentes APUs'!$H$1:$L$25,4,0)</f>
        <v>271142.85714285716</v>
      </c>
      <c r="F11517" s="51">
        <f>VLOOKUP(A11517,'Componentes APUs'!$H$1:$L$25,5,0)</f>
        <v>162685.71428571429</v>
      </c>
      <c r="G11517" s="51">
        <f>ROUNDUP((E11517+F11517)*C11517/E11509,0)</f>
        <v>216915</v>
      </c>
    </row>
    <row r="11518" spans="1:7" x14ac:dyDescent="0.25">
      <c r="A11518" s="50" t="s">
        <v>320</v>
      </c>
      <c r="B11518" s="68" t="str">
        <f>VLOOKUP(A11518,'Componentes APUs'!$H$1:$L$25,2,0)</f>
        <v>Tecnico Supervisor</v>
      </c>
      <c r="C11518" s="93">
        <v>0.25</v>
      </c>
      <c r="D11518" s="50">
        <f>VLOOKUP(A11518,'Componentes APUs'!$H$1:$L$25,3,0)</f>
        <v>2.2999999999999998</v>
      </c>
      <c r="E11518" s="51">
        <f>VLOOKUP(A11518,'Componentes APUs'!$H$1:$L$25,4,0)</f>
        <v>155907.14285714284</v>
      </c>
      <c r="F11518" s="51">
        <f>VLOOKUP(A11518,'Componentes APUs'!$H$1:$L$25,5,0)</f>
        <v>93544.285714285696</v>
      </c>
      <c r="G11518" s="51">
        <f>ROUNDUP((E11518+F11518)*C11518/E11509,0)</f>
        <v>124726</v>
      </c>
    </row>
    <row r="11519" spans="1:7" x14ac:dyDescent="0.25">
      <c r="A11519" s="50" t="s">
        <v>46</v>
      </c>
      <c r="B11519" s="68" t="str">
        <f>VLOOKUP(A11519,'Componentes APUs'!$H$1:$L$25,2,0)</f>
        <v>Tecnico Liniero</v>
      </c>
      <c r="C11519" s="93">
        <v>2</v>
      </c>
      <c r="D11519" s="50">
        <f>VLOOKUP(A11519,'Componentes APUs'!$H$1:$L$25,3,0)</f>
        <v>2</v>
      </c>
      <c r="E11519" s="51">
        <f>VLOOKUP(A11519,'Componentes APUs'!$H$1:$L$25,4,0)</f>
        <v>154619.04761904763</v>
      </c>
      <c r="F11519" s="51">
        <f>VLOOKUP(A11519,'Componentes APUs'!$H$1:$L$25,5,0)</f>
        <v>92771.42857142858</v>
      </c>
      <c r="G11519" s="51">
        <f>ROUNDUP((E11519+F11519)*C11519/E11509,0)</f>
        <v>989562</v>
      </c>
    </row>
    <row r="11520" spans="1:7" x14ac:dyDescent="0.25">
      <c r="A11520" s="50" t="s">
        <v>48</v>
      </c>
      <c r="B11520" s="68" t="str">
        <f>VLOOKUP(A11520,'Componentes APUs'!$H$1:$L$25,2,0)</f>
        <v>Ayudante Calificado</v>
      </c>
      <c r="C11520" s="93">
        <v>1</v>
      </c>
      <c r="D11520" s="50">
        <f>VLOOKUP(A11520,'Componentes APUs'!$H$1:$L$25,3,0)</f>
        <v>1.5</v>
      </c>
      <c r="E11520" s="51">
        <f>VLOOKUP(A11520,'Componentes APUs'!$H$1:$L$25,4,0)</f>
        <v>115964.28571428571</v>
      </c>
      <c r="F11520" s="51">
        <f>VLOOKUP(A11520,'Componentes APUs'!$H$1:$L$25,5,0)</f>
        <v>69578.57142857142</v>
      </c>
      <c r="G11520" s="51">
        <f>ROUNDUP((E11520+F11520)*C11520/E11509,0)</f>
        <v>371086</v>
      </c>
    </row>
    <row r="11521" spans="1:7" x14ac:dyDescent="0.25">
      <c r="A11521" s="50" t="s">
        <v>50</v>
      </c>
      <c r="B11521" s="68" t="str">
        <f>VLOOKUP(A11521,'Componentes APUs'!$H$1:$L$25,2,0)</f>
        <v>Profesional en SST</v>
      </c>
      <c r="C11521" s="93">
        <v>0.25</v>
      </c>
      <c r="D11521" s="50">
        <f>VLOOKUP(A11521,'Componentes APUs'!$H$1:$L$25,3,0)</f>
        <v>2.5</v>
      </c>
      <c r="E11521" s="51">
        <f>VLOOKUP(A11521,'Componentes APUs'!$H$1:$L$25,4,0)</f>
        <v>169464.28571428571</v>
      </c>
      <c r="F11521" s="51">
        <f>VLOOKUP(A11521,'Componentes APUs'!$H$1:$L$25,5,0)</f>
        <v>101678.57142857142</v>
      </c>
      <c r="G11521" s="51">
        <f>ROUNDUP((E11521+F11521)*C11521/E11509,0)</f>
        <v>135572</v>
      </c>
    </row>
    <row r="11522" spans="1:7" x14ac:dyDescent="0.25">
      <c r="A11522" s="50" t="s">
        <v>52</v>
      </c>
      <c r="B11522" s="68" t="str">
        <f>VLOOKUP(A11522,'Componentes APUs'!$H$1:$L$25,2,0)</f>
        <v>Ayudante No Calificado</v>
      </c>
      <c r="C11522" s="93">
        <v>1</v>
      </c>
      <c r="D11522" s="50">
        <f>VLOOKUP(A11522,'Componentes APUs'!$H$1:$L$25,3,0)</f>
        <v>1</v>
      </c>
      <c r="E11522" s="51">
        <f>VLOOKUP(A11522,'Componentes APUs'!$H$1:$L$25,4,0)</f>
        <v>77309.523809523816</v>
      </c>
      <c r="F11522" s="51">
        <f>VLOOKUP(A11522,'Componentes APUs'!$H$1:$L$25,5,0)</f>
        <v>46385.71428571429</v>
      </c>
      <c r="G11522" s="51">
        <f>ROUNDUP((E11522+F11522)*C11522/E11509,0)</f>
        <v>247391</v>
      </c>
    </row>
    <row r="11523" spans="1:7" x14ac:dyDescent="0.25">
      <c r="A11523" s="50" t="s">
        <v>1121</v>
      </c>
      <c r="B11523" s="68" t="str">
        <f>VLOOKUP(A11523,'Componentes APUs'!$H$1:$L$25,2,0)</f>
        <v>Ingeniero Especialista de Control y Protección Subestación</v>
      </c>
      <c r="C11523" s="93">
        <v>1</v>
      </c>
      <c r="D11523" s="50">
        <f>VLOOKUP(A11523,'Componentes APUs'!$H$1:$L$25,3,0)</f>
        <v>14</v>
      </c>
      <c r="E11523" s="51">
        <f>VLOOKUP(A11523,'Componentes APUs'!$H$1:$L$25,4,0)</f>
        <v>949000</v>
      </c>
      <c r="F11523" s="51">
        <f>VLOOKUP(A11523,'Componentes APUs'!$H$1:$L$25,5,0)</f>
        <v>569400</v>
      </c>
      <c r="G11523" s="51">
        <f>ROUNDUP((E11523+F11523)*C11523/E11509,0)</f>
        <v>3036800</v>
      </c>
    </row>
    <row r="11524" spans="1:7" x14ac:dyDescent="0.25">
      <c r="A11524" s="219" t="s">
        <v>56</v>
      </c>
      <c r="B11524" s="219"/>
      <c r="C11524" s="219"/>
      <c r="D11524" s="219"/>
      <c r="E11524" s="219"/>
      <c r="F11524" s="219"/>
      <c r="G11524" s="52">
        <f>SUM(G11517:G11523)</f>
        <v>5122052</v>
      </c>
    </row>
    <row r="11525" spans="1:7" x14ac:dyDescent="0.25">
      <c r="A11525" s="56"/>
      <c r="B11525" s="57"/>
      <c r="C11525" s="57"/>
      <c r="D11525" s="57"/>
      <c r="E11525" s="57"/>
      <c r="F11525" s="57"/>
      <c r="G11525" s="58"/>
    </row>
    <row r="11526" spans="1:7" x14ac:dyDescent="0.25">
      <c r="A11526" s="219" t="s">
        <v>57</v>
      </c>
      <c r="B11526" s="219"/>
      <c r="C11526" s="219"/>
      <c r="D11526" s="219"/>
      <c r="E11526" s="219"/>
      <c r="F11526" s="219"/>
      <c r="G11526" s="219"/>
    </row>
    <row r="11527" spans="1:7" x14ac:dyDescent="0.25">
      <c r="A11527" s="49" t="s">
        <v>35</v>
      </c>
      <c r="B11527" s="219" t="s">
        <v>36</v>
      </c>
      <c r="C11527" s="219"/>
      <c r="D11527" s="49" t="s">
        <v>37</v>
      </c>
      <c r="E11527" s="49" t="s">
        <v>38</v>
      </c>
      <c r="F11527" s="49" t="s">
        <v>39</v>
      </c>
      <c r="G11527" s="49" t="s">
        <v>40</v>
      </c>
    </row>
    <row r="11528" spans="1:7" x14ac:dyDescent="0.25">
      <c r="A11528" s="50" t="s">
        <v>326</v>
      </c>
      <c r="B11528" s="220" t="str">
        <f>VLOOKUP(A11528,'Componentes APUs'!$S$1:$V$10,2,0)</f>
        <v>Juego Llaves</v>
      </c>
      <c r="C11528" s="220"/>
      <c r="D11528" s="50" t="s">
        <v>18</v>
      </c>
      <c r="E11528" s="50">
        <v>2</v>
      </c>
      <c r="F11528" s="51">
        <f>VLOOKUP(A11528,'Componentes APUs'!$S$1:$V$10,4,0)</f>
        <v>9167</v>
      </c>
      <c r="G11528" s="51">
        <f>ROUNDUP(F11528*((E11528/21)/E11509),0)</f>
        <v>1747</v>
      </c>
    </row>
    <row r="11529" spans="1:7" x14ac:dyDescent="0.25">
      <c r="A11529" s="50" t="s">
        <v>58</v>
      </c>
      <c r="B11529" s="220" t="str">
        <f>VLOOKUP(A11529,'Componentes APUs'!$S$1:$V$10,2,0)</f>
        <v>Manila de servicio</v>
      </c>
      <c r="C11529" s="220"/>
      <c r="D11529" s="50" t="s">
        <v>18</v>
      </c>
      <c r="E11529" s="50">
        <v>2</v>
      </c>
      <c r="F11529" s="51">
        <f>VLOOKUP(A11529,'Componentes APUs'!$S$1:$V$10,4,0)</f>
        <v>2333</v>
      </c>
      <c r="G11529" s="51">
        <f>ROUNDUP(F11529*((E11529/21)/E11509),0)</f>
        <v>445</v>
      </c>
    </row>
    <row r="11530" spans="1:7" x14ac:dyDescent="0.25">
      <c r="A11530" s="50" t="s">
        <v>327</v>
      </c>
      <c r="B11530" s="220" t="str">
        <f>VLOOKUP(A11530,'Componentes APUs'!$S$1:$V$10,2,0)</f>
        <v>Tula portaherramientas</v>
      </c>
      <c r="C11530" s="220"/>
      <c r="D11530" s="50" t="s">
        <v>18</v>
      </c>
      <c r="E11530" s="50">
        <v>2</v>
      </c>
      <c r="F11530" s="51">
        <f>VLOOKUP(A11530,'Componentes APUs'!$S$1:$V$10,4,0)</f>
        <v>1250</v>
      </c>
      <c r="G11530" s="51">
        <f>ROUNDUP(F11530*((E11530/21)/E11509),0)</f>
        <v>239</v>
      </c>
    </row>
    <row r="11531" spans="1:7" x14ac:dyDescent="0.25">
      <c r="A11531" s="50" t="s">
        <v>60</v>
      </c>
      <c r="B11531" s="220" t="str">
        <f>VLOOKUP(A11531,'Componentes APUs'!$S$1:$V$10,2,0)</f>
        <v>Agarradoras</v>
      </c>
      <c r="C11531" s="220"/>
      <c r="D11531" s="50" t="s">
        <v>18</v>
      </c>
      <c r="E11531" s="50">
        <v>0</v>
      </c>
      <c r="F11531" s="51">
        <f>VLOOKUP(A11531,'Componentes APUs'!$S$1:$V$10,4,0)</f>
        <v>125000</v>
      </c>
      <c r="G11531" s="51">
        <f>ROUNDUP(F11531*((E11531/21)/E11509),0)</f>
        <v>0</v>
      </c>
    </row>
    <row r="11532" spans="1:7" x14ac:dyDescent="0.25">
      <c r="A11532" s="50" t="s">
        <v>328</v>
      </c>
      <c r="B11532" s="220" t="str">
        <f>VLOOKUP(A11532,'Componentes APUs'!$S$1:$V$10,2,0)</f>
        <v>Herramienta Menor</v>
      </c>
      <c r="C11532" s="220"/>
      <c r="D11532" s="50" t="s">
        <v>18</v>
      </c>
      <c r="E11532" s="50">
        <v>2</v>
      </c>
      <c r="F11532" s="51">
        <f>VLOOKUP(A11532,'Componentes APUs'!$S$1:$V$10,4,0)</f>
        <v>75758</v>
      </c>
      <c r="G11532" s="51">
        <f>ROUNDUP(F11532*((E11532/21)/E11509),0)</f>
        <v>14431</v>
      </c>
    </row>
    <row r="11533" spans="1:7" x14ac:dyDescent="0.25">
      <c r="A11533" s="50" t="s">
        <v>66</v>
      </c>
      <c r="B11533" s="220" t="str">
        <f>VLOOKUP(A11533,'Componentes APUs'!$S$1:$V$10,2,0)</f>
        <v>Diferencial 2 Toneladas</v>
      </c>
      <c r="C11533" s="220"/>
      <c r="D11533" s="50" t="s">
        <v>18</v>
      </c>
      <c r="E11533" s="50">
        <v>1</v>
      </c>
      <c r="F11533" s="51">
        <f>VLOOKUP(A11533,'Componentes APUs'!$S$1:$V$10,4,0)</f>
        <v>474905</v>
      </c>
      <c r="G11533" s="51">
        <f>ROUNDUP(F11533*((E11533/21)/E11509),0)</f>
        <v>45230</v>
      </c>
    </row>
    <row r="11534" spans="1:7" x14ac:dyDescent="0.25">
      <c r="A11534" s="219" t="s">
        <v>69</v>
      </c>
      <c r="B11534" s="219"/>
      <c r="C11534" s="219"/>
      <c r="D11534" s="219"/>
      <c r="E11534" s="219"/>
      <c r="F11534" s="219"/>
      <c r="G11534" s="52">
        <f>SUM(G11528:G11533)</f>
        <v>62092</v>
      </c>
    </row>
    <row r="11535" spans="1:7" x14ac:dyDescent="0.25">
      <c r="A11535" s="56"/>
      <c r="B11535" s="57"/>
      <c r="C11535" s="57"/>
      <c r="D11535" s="57"/>
      <c r="E11535" s="57"/>
      <c r="F11535" s="57"/>
      <c r="G11535" s="58"/>
    </row>
    <row r="11536" spans="1:7" x14ac:dyDescent="0.25">
      <c r="A11536" s="219" t="s">
        <v>70</v>
      </c>
      <c r="B11536" s="219"/>
      <c r="C11536" s="219"/>
      <c r="D11536" s="219"/>
      <c r="E11536" s="219"/>
      <c r="F11536" s="219"/>
      <c r="G11536" s="219"/>
    </row>
    <row r="11537" spans="1:7" x14ac:dyDescent="0.25">
      <c r="A11537" s="49" t="s">
        <v>35</v>
      </c>
      <c r="B11537" s="219" t="s">
        <v>36</v>
      </c>
      <c r="C11537" s="219"/>
      <c r="D11537" s="49" t="s">
        <v>37</v>
      </c>
      <c r="E11537" s="49" t="s">
        <v>38</v>
      </c>
      <c r="F11537" s="49" t="s">
        <v>39</v>
      </c>
      <c r="G11537" s="49" t="s">
        <v>40</v>
      </c>
    </row>
    <row r="11538" spans="1:7" x14ac:dyDescent="0.25">
      <c r="A11538" s="50" t="s">
        <v>71</v>
      </c>
      <c r="B11538" s="71" t="str">
        <f>VLOOKUP(A11538,'Componentes APUs'!$A$1:$D$14,2,0)</f>
        <v>Camisa indigo sin partes metalicas</v>
      </c>
      <c r="C11538" s="71"/>
      <c r="D11538" s="50" t="str">
        <f>VLOOKUP(A11538,'Componentes APUs'!$A$1:$D$14,3,0)</f>
        <v>U</v>
      </c>
      <c r="E11538" s="50">
        <f>SUM(C11517:C11522)</f>
        <v>4.75</v>
      </c>
      <c r="F11538" s="51">
        <f>VLOOKUP(A11538,'Componentes APUs'!$A$1:$D$14,4,0)</f>
        <v>8585.8585858585866</v>
      </c>
      <c r="G11538" s="51">
        <f>ROUNDUP(F11538*(E11538/21)/E11509,0)</f>
        <v>3885</v>
      </c>
    </row>
    <row r="11539" spans="1:7" x14ac:dyDescent="0.25">
      <c r="A11539" s="69" t="s">
        <v>73</v>
      </c>
      <c r="B11539" s="72" t="str">
        <f>VLOOKUP(A11539,'Componentes APUs'!$A$1:$D$14,2,0)</f>
        <v>Bota de seguridad dielectrica</v>
      </c>
      <c r="C11539" s="73"/>
      <c r="D11539" s="70" t="str">
        <f>VLOOKUP(A11539,'Componentes APUs'!$A$1:$D$14,3,0)</f>
        <v>Par</v>
      </c>
      <c r="E11539" s="50">
        <f>SUM(C11517:C11522)</f>
        <v>4.75</v>
      </c>
      <c r="F11539" s="51">
        <f>VLOOKUP(A11539,'Componentes APUs'!$A$1:$D$14,4,0)</f>
        <v>7500</v>
      </c>
      <c r="G11539" s="51">
        <f>ROUNDUP(F11539*(E11539/21)/E11509,0)</f>
        <v>3393</v>
      </c>
    </row>
    <row r="11540" spans="1:7" x14ac:dyDescent="0.25">
      <c r="A11540" s="50" t="s">
        <v>76</v>
      </c>
      <c r="B11540" s="72" t="str">
        <f>VLOOKUP(A11540,'Componentes APUs'!$A$1:$D$14,2,0)</f>
        <v>Casco dielectrico Tipo 1 Clase E con barbuquejo</v>
      </c>
      <c r="C11540" s="73"/>
      <c r="D11540" s="50" t="str">
        <f>VLOOKUP(A11540,'Componentes APUs'!$A$1:$D$14,3,0)</f>
        <v>U</v>
      </c>
      <c r="E11540" s="50">
        <f>C11517+C11518+C11521+C11522+C11520+IF(A11519&lt;&gt;"MO-3",C11519,0)</f>
        <v>2.75</v>
      </c>
      <c r="F11540" s="51">
        <f>VLOOKUP(A11540,'Componentes APUs'!$A$1:$D$14,4,0)</f>
        <v>10101.010101010101</v>
      </c>
      <c r="G11540" s="51">
        <f>ROUNDUP(F11540*(E11540/21)/E11509,0)</f>
        <v>2646</v>
      </c>
    </row>
    <row r="11541" spans="1:7" x14ac:dyDescent="0.25">
      <c r="A11541" s="69" t="s">
        <v>77</v>
      </c>
      <c r="B11541" s="72" t="str">
        <f>VLOOKUP(A11541,'Componentes APUs'!$A$1:$D$14,2,0)</f>
        <v>Correa plastica y antiflama</v>
      </c>
      <c r="C11541" s="73"/>
      <c r="D11541" s="50" t="str">
        <f>VLOOKUP(A11541,'Componentes APUs'!$A$1:$D$14,3,0)</f>
        <v>U</v>
      </c>
      <c r="E11541" s="50">
        <f>SUM(C11517:C11522)</f>
        <v>4.75</v>
      </c>
      <c r="F11541" s="51">
        <f>VLOOKUP(A11541,'Componentes APUs'!$A$1:$D$14,4,0)</f>
        <v>3787.878787878788</v>
      </c>
      <c r="G11541" s="51">
        <f>ROUNDUP(F11541*(E11541/21)/E11509,0)</f>
        <v>1714</v>
      </c>
    </row>
    <row r="11542" spans="1:7" x14ac:dyDescent="0.25">
      <c r="A11542" s="50" t="s">
        <v>79</v>
      </c>
      <c r="B11542" s="72" t="str">
        <f>VLOOKUP(A11542,'Componentes APUs'!$A$1:$D$14,2,0)</f>
        <v>Gafas protectoras filtro UV</v>
      </c>
      <c r="C11542" s="73"/>
      <c r="D11542" s="50" t="str">
        <f>VLOOKUP(A11542,'Componentes APUs'!$A$1:$D$14,3,0)</f>
        <v>U</v>
      </c>
      <c r="E11542" s="50">
        <f>SUM(C11517:C11522)</f>
        <v>4.75</v>
      </c>
      <c r="F11542" s="51">
        <f>VLOOKUP(A11542,'Componentes APUs'!$A$1:$D$14,4,0)</f>
        <v>2777.7777777777778</v>
      </c>
      <c r="G11542" s="51">
        <f>ROUNDUP(F11542*(E11542/21)/E11509,0)</f>
        <v>1257</v>
      </c>
    </row>
    <row r="11543" spans="1:7" x14ac:dyDescent="0.25">
      <c r="A11543" s="69" t="s">
        <v>402</v>
      </c>
      <c r="B11543" s="72" t="str">
        <f>VLOOKUP(A11543,'Componentes APUs'!$A$1:$D$14,2,0)</f>
        <v>Bota de seguridad PVC dielectrica</v>
      </c>
      <c r="C11543" s="73"/>
      <c r="D11543" s="50" t="str">
        <f>VLOOKUP(A11543,'Componentes APUs'!$A$1:$D$14,3,0)</f>
        <v>Par</v>
      </c>
      <c r="E11543" s="50">
        <f>SUM(C11517:C11522)</f>
        <v>4.75</v>
      </c>
      <c r="F11543" s="51">
        <f>VLOOKUP(A11543,'Componentes APUs'!$A$1:$D$14,4,0)</f>
        <v>2916.6666666666665</v>
      </c>
      <c r="G11543" s="51">
        <f>ROUNDUP(F11543*(E11543/21)/E11509,0)</f>
        <v>1320</v>
      </c>
    </row>
    <row r="11544" spans="1:7" x14ac:dyDescent="0.25">
      <c r="A11544" s="50" t="s">
        <v>403</v>
      </c>
      <c r="B11544" s="72" t="str">
        <f>VLOOKUP(A11544,'Componentes APUs'!$A$1:$D$14,2,0)</f>
        <v>Capuchon</v>
      </c>
      <c r="C11544" s="73"/>
      <c r="D11544" s="50" t="str">
        <f>VLOOKUP(A11544,'Componentes APUs'!$A$1:$D$14,3,0)</f>
        <v>U</v>
      </c>
      <c r="E11544" s="50">
        <f>SUM(C11517:C11522)</f>
        <v>4.75</v>
      </c>
      <c r="F11544" s="51">
        <f>VLOOKUP(A11544,'Componentes APUs'!$A$1:$D$14,4,0)</f>
        <v>2525.2525252525252</v>
      </c>
      <c r="G11544" s="51">
        <f>ROUNDUP(F11544*(E11544/21)/E11509,0)</f>
        <v>1143</v>
      </c>
    </row>
    <row r="11545" spans="1:7" x14ac:dyDescent="0.25">
      <c r="A11545" s="69" t="s">
        <v>81</v>
      </c>
      <c r="B11545" s="72" t="str">
        <f>VLOOKUP(A11545,'Componentes APUs'!$A$1:$D$14,2,0)</f>
        <v>Guantes Protectores  - ingeniero reforzados</v>
      </c>
      <c r="C11545" s="73"/>
      <c r="D11545" s="50" t="str">
        <f>VLOOKUP(A11545,'Componentes APUs'!$A$1:$D$14,3,0)</f>
        <v>Par</v>
      </c>
      <c r="E11545" s="50">
        <f>C11519+C11520+C11522</f>
        <v>4</v>
      </c>
      <c r="F11545" s="51">
        <f>VLOOKUP(A11545,'Componentes APUs'!$A$1:$D$14,4,0)</f>
        <v>2525.2525252525252</v>
      </c>
      <c r="G11545" s="51">
        <f>ROUNDUP(F11545*(E11545/21)/E11509,0)</f>
        <v>963</v>
      </c>
    </row>
    <row r="11546" spans="1:7" x14ac:dyDescent="0.25">
      <c r="A11546" s="50" t="s">
        <v>83</v>
      </c>
      <c r="B11546" s="72" t="str">
        <f>VLOOKUP(A11546,'Componentes APUs'!$A$1:$D$14,2,0)</f>
        <v>Impermeable (pantalon camisa)</v>
      </c>
      <c r="C11546" s="73"/>
      <c r="D11546" s="50" t="str">
        <f>VLOOKUP(A11546,'Componentes APUs'!$A$1:$D$14,3,0)</f>
        <v>U</v>
      </c>
      <c r="E11546" s="50">
        <f>SUM(C11517:C11522)</f>
        <v>4.75</v>
      </c>
      <c r="F11546" s="51">
        <f>VLOOKUP(A11546,'Componentes APUs'!$A$1:$D$14,4,0)</f>
        <v>3750</v>
      </c>
      <c r="G11546" s="51">
        <f>ROUNDUP(F11546*(E11546/21)/E11509,0)</f>
        <v>1697</v>
      </c>
    </row>
    <row r="11547" spans="1:7" x14ac:dyDescent="0.25">
      <c r="A11547" s="69" t="s">
        <v>85</v>
      </c>
      <c r="B11547" s="72" t="str">
        <f>VLOOKUP(A11547,'Componentes APUs'!$A$1:$D$14,2,0)</f>
        <v>Jean Dielectrico</v>
      </c>
      <c r="C11547" s="73"/>
      <c r="D11547" s="50" t="str">
        <f>VLOOKUP(A11547,'Componentes APUs'!$A$1:$D$14,3,0)</f>
        <v>U</v>
      </c>
      <c r="E11547" s="50">
        <f>SUM(C11517:C11522)</f>
        <v>4.75</v>
      </c>
      <c r="F11547" s="51">
        <f>VLOOKUP(A11547,'Componentes APUs'!$A$1:$D$14,4,0)</f>
        <v>7575.757575757576</v>
      </c>
      <c r="G11547" s="51">
        <f>ROUNDUP(F11547*(E11547/21)/E11509,0)</f>
        <v>3428</v>
      </c>
    </row>
    <row r="11548" spans="1:7" x14ac:dyDescent="0.25">
      <c r="A11548" s="50" t="s">
        <v>87</v>
      </c>
      <c r="B11548" s="72" t="str">
        <f>VLOOKUP(A11548,'Componentes APUs'!$A$1:$D$14,2,0)</f>
        <v>Casco dielectrico Tipo 2 Clase E con barboquejo</v>
      </c>
      <c r="C11548" s="73"/>
      <c r="D11548" s="50" t="str">
        <f>VLOOKUP(A11548,'Componentes APUs'!$A$1:$D$14,3,0)</f>
        <v>U</v>
      </c>
      <c r="E11548" s="53">
        <f>IF(A11519="MO-3",C11519,0)</f>
        <v>2</v>
      </c>
      <c r="F11548" s="51">
        <f>VLOOKUP(A11548,'Componentes APUs'!$A$1:$D$14,4,0)</f>
        <v>7500</v>
      </c>
      <c r="G11548" s="51">
        <f>ROUNDUP(F11548*(E11548/21)/E11509,0)</f>
        <v>1429</v>
      </c>
    </row>
    <row r="11549" spans="1:7" x14ac:dyDescent="0.25">
      <c r="A11549" s="69" t="s">
        <v>89</v>
      </c>
      <c r="B11549" s="72" t="str">
        <f>VLOOKUP(A11549,'Componentes APUs'!$A$1:$D$14,2,0)</f>
        <v>Kit de rescate para trabajo en alturas</v>
      </c>
      <c r="C11549" s="73"/>
      <c r="D11549" s="50" t="str">
        <f>VLOOKUP(A11549,'Componentes APUs'!$A$1:$D$14,3,0)</f>
        <v>U</v>
      </c>
      <c r="E11549" s="50">
        <f>IF(AND(A11519="MO-3",C11519=2),1,0)</f>
        <v>1</v>
      </c>
      <c r="F11549" s="51">
        <f>VLOOKUP(A11549,'Componentes APUs'!$A$1:$D$14,4,0)</f>
        <v>37500</v>
      </c>
      <c r="G11549" s="51">
        <f>ROUNDUP(F11549*(E11549/21)/E11509,0)</f>
        <v>3572</v>
      </c>
    </row>
    <row r="11550" spans="1:7" x14ac:dyDescent="0.25">
      <c r="A11550" s="50" t="s">
        <v>91</v>
      </c>
      <c r="B11550" s="72" t="str">
        <f>VLOOKUP(A11550,'Componentes APUs'!$A$1:$D$14,2,0)</f>
        <v>Equipo completo para trabajo en alturas con pretales (Arnes dielectrico, 1 mosqueton de seguridad, tie off dielectrico, eslinga de posicionamiento, juego de pretales)</v>
      </c>
      <c r="C11550" s="73"/>
      <c r="D11550" s="50" t="str">
        <f>VLOOKUP(A11550,'Componentes APUs'!$A$1:$D$14,3,0)</f>
        <v>U</v>
      </c>
      <c r="E11550" s="50">
        <f>IF(A11519="MO-3",C11519,0)</f>
        <v>2</v>
      </c>
      <c r="F11550" s="51">
        <f>VLOOKUP(A11550,'Componentes APUs'!$A$1:$D$14,4,0)</f>
        <v>26041.666666666668</v>
      </c>
      <c r="G11550" s="51">
        <f>ROUNDUP(F11550*(E11550/21)/E11509,0)</f>
        <v>4961</v>
      </c>
    </row>
    <row r="11551" spans="1:7" x14ac:dyDescent="0.25">
      <c r="A11551" s="219" t="s">
        <v>95</v>
      </c>
      <c r="B11551" s="219"/>
      <c r="C11551" s="219"/>
      <c r="D11551" s="219"/>
      <c r="E11551" s="219"/>
      <c r="F11551" s="219"/>
      <c r="G11551" s="52">
        <f>SUM(G11538:G11550)</f>
        <v>31408</v>
      </c>
    </row>
    <row r="11552" spans="1:7" x14ac:dyDescent="0.25">
      <c r="A11552" s="56"/>
      <c r="B11552" s="57"/>
      <c r="C11552" s="57"/>
      <c r="D11552" s="57"/>
      <c r="E11552" s="57"/>
      <c r="F11552" s="57"/>
      <c r="G11552" s="58"/>
    </row>
    <row r="11553" spans="1:7" x14ac:dyDescent="0.25">
      <c r="A11553" s="219" t="s">
        <v>96</v>
      </c>
      <c r="B11553" s="219"/>
      <c r="C11553" s="219"/>
      <c r="D11553" s="219"/>
      <c r="E11553" s="219"/>
      <c r="F11553" s="219"/>
      <c r="G11553" s="219"/>
    </row>
    <row r="11554" spans="1:7" x14ac:dyDescent="0.25">
      <c r="A11554" s="49" t="s">
        <v>35</v>
      </c>
      <c r="B11554" s="225" t="s">
        <v>36</v>
      </c>
      <c r="C11554" s="225"/>
      <c r="D11554" s="49" t="s">
        <v>37</v>
      </c>
      <c r="E11554" s="49" t="s">
        <v>38</v>
      </c>
      <c r="F11554" s="49" t="s">
        <v>39</v>
      </c>
      <c r="G11554" s="49" t="s">
        <v>40</v>
      </c>
    </row>
    <row r="11555" spans="1:7" x14ac:dyDescent="0.25">
      <c r="A11555" s="69" t="s">
        <v>97</v>
      </c>
      <c r="B11555" s="72" t="str">
        <f>VLOOKUP(A11555,'Componentes APUs'!$N$1:$Q$30,2,0)</f>
        <v>Camioneta</v>
      </c>
      <c r="C11555" s="73"/>
      <c r="D11555" s="70" t="str">
        <f>VLOOKUP(A11555,'Componentes APUs'!$N$1:$Q$30,3,0)</f>
        <v>U</v>
      </c>
      <c r="E11555" s="50">
        <v>1</v>
      </c>
      <c r="F11555" s="51">
        <f>VLOOKUP(A11555,'Componentes APUs'!$N$1:$Q$30,4,0)</f>
        <v>5500000</v>
      </c>
      <c r="G11555" s="51">
        <f>IFERROR(ROUNDUP(F11555*(E11555/21)/E11509,0),"-")</f>
        <v>523810</v>
      </c>
    </row>
    <row r="11556" spans="1:7" x14ac:dyDescent="0.25">
      <c r="A11556" s="219" t="s">
        <v>99</v>
      </c>
      <c r="B11556" s="219"/>
      <c r="C11556" s="219"/>
      <c r="D11556" s="219"/>
      <c r="E11556" s="219"/>
      <c r="F11556" s="219"/>
      <c r="G11556" s="52">
        <f>SUM(G11555:G11555)</f>
        <v>523810</v>
      </c>
    </row>
    <row r="11557" spans="1:7" x14ac:dyDescent="0.25">
      <c r="A11557" s="56"/>
      <c r="B11557" s="57"/>
      <c r="C11557" s="57"/>
      <c r="D11557" s="57"/>
      <c r="E11557" s="57"/>
      <c r="F11557" s="57"/>
      <c r="G11557" s="58"/>
    </row>
    <row r="11558" spans="1:7" x14ac:dyDescent="0.25">
      <c r="A11558" s="219" t="s">
        <v>1516</v>
      </c>
      <c r="B11558" s="219"/>
      <c r="C11558" s="219"/>
      <c r="D11558" s="219"/>
      <c r="E11558" s="219"/>
      <c r="F11558" s="219"/>
      <c r="G11558" s="52">
        <f>G11556+G11551+G11534+G11524+G11513</f>
        <v>429316389</v>
      </c>
    </row>
    <row r="11559" spans="1:7" x14ac:dyDescent="0.25">
      <c r="A11559" s="59"/>
      <c r="B11559" s="60"/>
      <c r="C11559" s="60"/>
      <c r="D11559" s="60"/>
      <c r="E11559" s="57"/>
      <c r="F11559" s="57"/>
      <c r="G11559" s="58"/>
    </row>
    <row r="11560" spans="1:7" x14ac:dyDescent="0.25">
      <c r="A11560" s="64"/>
      <c r="D11560" s="55"/>
      <c r="E11560" s="49" t="s">
        <v>25</v>
      </c>
      <c r="F11560" s="54">
        <v>0.15</v>
      </c>
      <c r="G11560" s="51">
        <f>G11558*F11560</f>
        <v>64397458.349999994</v>
      </c>
    </row>
    <row r="11561" spans="1:7" x14ac:dyDescent="0.25">
      <c r="A11561" s="64"/>
      <c r="D11561" s="55"/>
      <c r="E11561" s="49" t="s">
        <v>26</v>
      </c>
      <c r="F11561" s="54">
        <v>0.05</v>
      </c>
      <c r="G11561" s="51">
        <f>G11558*F11561</f>
        <v>21465819.450000003</v>
      </c>
    </row>
    <row r="11562" spans="1:7" x14ac:dyDescent="0.25">
      <c r="A11562" s="61"/>
      <c r="B11562" s="65"/>
      <c r="C11562" s="65"/>
      <c r="D11562" s="62"/>
      <c r="E11562" s="49" t="s">
        <v>27</v>
      </c>
      <c r="F11562" s="54">
        <v>0.05</v>
      </c>
      <c r="G11562" s="51">
        <f>G11558*F11562</f>
        <v>21465819.450000003</v>
      </c>
    </row>
    <row r="11563" spans="1:7" x14ac:dyDescent="0.25">
      <c r="A11563" s="61"/>
      <c r="B11563" s="62"/>
      <c r="C11563" s="62"/>
      <c r="D11563" s="62"/>
      <c r="E11563" s="62"/>
      <c r="F11563" s="62"/>
      <c r="G11563" s="63"/>
    </row>
    <row r="11564" spans="1:7" x14ac:dyDescent="0.25">
      <c r="A11564" s="219" t="s">
        <v>1517</v>
      </c>
      <c r="B11564" s="219"/>
      <c r="C11564" s="219"/>
      <c r="D11564" s="219"/>
      <c r="E11564" s="219"/>
      <c r="F11564" s="219"/>
      <c r="G11564" s="52">
        <f>G11558+G11560+G11561+G11562</f>
        <v>536645486.25</v>
      </c>
    </row>
    <row r="11565" spans="1:7" x14ac:dyDescent="0.25">
      <c r="A11565" s="59"/>
      <c r="B11565" s="60"/>
      <c r="C11565" s="60"/>
      <c r="D11565" s="60"/>
      <c r="E11565" s="57"/>
      <c r="F11565" s="57"/>
      <c r="G11565" s="58"/>
    </row>
    <row r="11566" spans="1:7" x14ac:dyDescent="0.25">
      <c r="A11566" s="64"/>
      <c r="D11566" s="55"/>
      <c r="E11566" s="49" t="s">
        <v>102</v>
      </c>
      <c r="F11566" s="49" t="s">
        <v>103</v>
      </c>
      <c r="G11566" s="51">
        <f>G11562*19%</f>
        <v>4078505.6955000008</v>
      </c>
    </row>
    <row r="11567" spans="1:7" x14ac:dyDescent="0.25">
      <c r="A11567" s="61"/>
      <c r="B11567" s="62"/>
      <c r="C11567" s="62"/>
      <c r="D11567" s="62"/>
      <c r="E11567" s="57"/>
      <c r="F11567" s="57"/>
      <c r="G11567" s="58"/>
    </row>
    <row r="11568" spans="1:7" x14ac:dyDescent="0.25">
      <c r="A11568" s="219" t="s">
        <v>104</v>
      </c>
      <c r="B11568" s="219"/>
      <c r="C11568" s="219"/>
      <c r="D11568" s="219"/>
      <c r="E11568" s="219"/>
      <c r="F11568" s="219"/>
      <c r="G11568" s="52">
        <f>G11566+G11564</f>
        <v>540723991.94550002</v>
      </c>
    </row>
    <row r="11570" spans="1:7" x14ac:dyDescent="0.25">
      <c r="A11570" s="74" t="s">
        <v>29</v>
      </c>
      <c r="B11570" s="226" t="s">
        <v>30</v>
      </c>
      <c r="C11570" s="226"/>
      <c r="D11570" s="74" t="s">
        <v>31</v>
      </c>
      <c r="E11570" s="74" t="s">
        <v>32</v>
      </c>
      <c r="F11570" s="74" t="s">
        <v>189</v>
      </c>
      <c r="G11570" s="74" t="s">
        <v>33</v>
      </c>
    </row>
    <row r="11571" spans="1:7" ht="106.5" customHeight="1" x14ac:dyDescent="0.25">
      <c r="A11571" s="50" t="str">
        <f>Presupuesto!B210</f>
        <v>020_N3</v>
      </c>
      <c r="B11571" s="220" t="str">
        <f>Presupuesto!C210</f>
        <v>CELDA INTERRUPTOR TRIFÁSICO 36 KV/ 80 kA, AISLADA EN VACÍO. CORRIENTE NOMINAL: 630 A. 60 HZ. 3 POLOS. INCLUYE: SECCIONADORES, 3 TRANSFORMADORES DE CORRIENTE TRIPLE NUCLEO (N1:300-600/5 CL: 0.5s, N2:300-600/5  CL: 0.5s, N3:300-600/5 CL: 5P30) CON PROTOCOLOS DE PRUEBA DE PRECISIÓN DE FABRICANTE Y LABORATORIO ACREDITADO. MÁS UNIDAD INTEGRADA DE CONTROL Y PROTECCIÓN (RELE CON FUNCIONES: 50,  51, 50N, 51N,50BFE1,E2,27,59,26,49,63,71,96,33,63Q), PUERTO DE COMUNICACIÓN PARA FIBRA ÓPTICA, PROTOCOLO DE COMUNICACIÓN 61850. PARA BAHIA DE TRANSFORMADOR</v>
      </c>
      <c r="C11571" s="220"/>
      <c r="D11571" s="50" t="s">
        <v>18</v>
      </c>
      <c r="E11571" s="50">
        <v>0.5</v>
      </c>
      <c r="F11571" s="50"/>
      <c r="G11571" s="51">
        <f>G11632</f>
        <v>540723991.94550002</v>
      </c>
    </row>
    <row r="11572" spans="1:7" x14ac:dyDescent="0.25">
      <c r="A11572" s="234" t="s">
        <v>34</v>
      </c>
      <c r="B11572" s="236"/>
      <c r="C11572" s="236"/>
      <c r="D11572" s="236"/>
      <c r="E11572" s="236"/>
      <c r="F11572" s="236"/>
      <c r="G11572" s="235"/>
    </row>
    <row r="11573" spans="1:7" x14ac:dyDescent="0.25">
      <c r="A11573" s="49" t="s">
        <v>35</v>
      </c>
      <c r="B11573" s="234" t="s">
        <v>36</v>
      </c>
      <c r="C11573" s="235"/>
      <c r="D11573" s="49" t="s">
        <v>37</v>
      </c>
      <c r="E11573" s="49" t="s">
        <v>38</v>
      </c>
      <c r="F11573" s="49" t="s">
        <v>39</v>
      </c>
      <c r="G11573" s="49" t="s">
        <v>40</v>
      </c>
    </row>
    <row r="11574" spans="1:7" ht="97.5" customHeight="1" x14ac:dyDescent="0.25">
      <c r="A11574" s="17" t="str">
        <f>Material!A363</f>
        <v>MA-362</v>
      </c>
      <c r="B11574" s="221" t="str">
        <f>IFERROR(VLOOKUP(A11574,Material!$A:$H,2,0),"-")</f>
        <v>CELDA INTERRUPTOR TRIFÁSICO 36 KV/ 80 kA, TIPO INTERIOR, EN VACÍO. CORRIENTE NOMINAL: 630 A. 60 HZ. 3 POLOS. INCLUYE: 3 TRANSFORMADORES DE CORRIENTE TRIPLE NUCLEO (N1:300-600/5 CL: 0.2s, N2:300-600/5  CL: 0.2s, N3:300-600/5 CL: 5P20) CON PROTOCOLOS DE PRUEBA DE PRECISIÓN DE FABRICANTE Y LABORATORIO ACREDITADO Y UNIDAD INTEGRADA DE CONTROL Y PROTECCIÓN (RELE CON FUNCIONES: 50,  51, 50N, 51N,50BFE1,E2,27,59,26,49,63,71,96,33,63Q), PUERTO DE COMUNICACIÓN PARA FIBRA ÓPTICA, PROTOCOLO DE COMUNICACIÓN 61850</v>
      </c>
      <c r="C11574" s="222"/>
      <c r="D11574" s="50" t="str">
        <f>IFERROR(VLOOKUP(A11574,Material!$A:$H,4,0),"-")</f>
        <v>UN</v>
      </c>
      <c r="E11574" s="50">
        <v>1</v>
      </c>
      <c r="F11574" s="51">
        <f>IFERROR(VLOOKUP(A11574,Material!$A:$H,3,0),"-")</f>
        <v>423577026.56732506</v>
      </c>
      <c r="G11574" s="51">
        <f t="shared" ref="G11574" si="162">IFERROR(ROUNDUP(F11574*E11574,0),"-")</f>
        <v>423577027</v>
      </c>
    </row>
    <row r="11575" spans="1:7" x14ac:dyDescent="0.25">
      <c r="A11575" s="234" t="s">
        <v>41</v>
      </c>
      <c r="B11575" s="236"/>
      <c r="C11575" s="236"/>
      <c r="D11575" s="236"/>
      <c r="E11575" s="236"/>
      <c r="F11575" s="235"/>
      <c r="G11575" s="52">
        <f>SUM(G11574:G11574)</f>
        <v>423577027</v>
      </c>
    </row>
    <row r="11576" spans="1:7" x14ac:dyDescent="0.25">
      <c r="A11576" s="56"/>
      <c r="B11576" s="57"/>
      <c r="C11576" s="57"/>
      <c r="D11576" s="57"/>
      <c r="E11576" s="57"/>
      <c r="F11576" s="57"/>
      <c r="G11576" s="58"/>
    </row>
    <row r="11577" spans="1:7" x14ac:dyDescent="0.25">
      <c r="A11577" s="219" t="s">
        <v>42</v>
      </c>
      <c r="B11577" s="219"/>
      <c r="C11577" s="219"/>
      <c r="D11577" s="219"/>
      <c r="E11577" s="219"/>
      <c r="F11577" s="219"/>
      <c r="G11577" s="219"/>
    </row>
    <row r="11578" spans="1:7" x14ac:dyDescent="0.25">
      <c r="A11578" s="49" t="s">
        <v>35</v>
      </c>
      <c r="B11578" s="49" t="s">
        <v>36</v>
      </c>
      <c r="C11578" s="49" t="s">
        <v>38</v>
      </c>
      <c r="D11578" s="49" t="s">
        <v>43</v>
      </c>
      <c r="E11578" s="49" t="s">
        <v>44</v>
      </c>
      <c r="F11578" s="49" t="s">
        <v>45</v>
      </c>
      <c r="G11578" s="49" t="s">
        <v>40</v>
      </c>
    </row>
    <row r="11579" spans="1:7" x14ac:dyDescent="0.25">
      <c r="A11579" s="50" t="s">
        <v>319</v>
      </c>
      <c r="B11579" s="68" t="str">
        <f>VLOOKUP(A11579,'Componentes APUs'!$H$1:$L$25,2,0)</f>
        <v>Ingeniero Residente de Obra</v>
      </c>
      <c r="C11579" s="93">
        <v>0.25</v>
      </c>
      <c r="D11579" s="50">
        <f>VLOOKUP(A11579,'Componentes APUs'!$H$1:$L$25,3,0)</f>
        <v>4</v>
      </c>
      <c r="E11579" s="51">
        <f>VLOOKUP(A11579,'Componentes APUs'!$H$1:$L$25,4,0)</f>
        <v>271142.85714285716</v>
      </c>
      <c r="F11579" s="51">
        <f>VLOOKUP(A11579,'Componentes APUs'!$H$1:$L$25,5,0)</f>
        <v>162685.71428571429</v>
      </c>
      <c r="G11579" s="51">
        <f>ROUNDUP((E11579+F11579)*C11579/E11571,0)</f>
        <v>216915</v>
      </c>
    </row>
    <row r="11580" spans="1:7" x14ac:dyDescent="0.25">
      <c r="A11580" s="50" t="s">
        <v>320</v>
      </c>
      <c r="B11580" s="68" t="str">
        <f>VLOOKUP(A11580,'Componentes APUs'!$H$1:$L$25,2,0)</f>
        <v>Tecnico Supervisor</v>
      </c>
      <c r="C11580" s="93">
        <v>0.25</v>
      </c>
      <c r="D11580" s="50">
        <f>VLOOKUP(A11580,'Componentes APUs'!$H$1:$L$25,3,0)</f>
        <v>2.2999999999999998</v>
      </c>
      <c r="E11580" s="51">
        <f>VLOOKUP(A11580,'Componentes APUs'!$H$1:$L$25,4,0)</f>
        <v>155907.14285714284</v>
      </c>
      <c r="F11580" s="51">
        <f>VLOOKUP(A11580,'Componentes APUs'!$H$1:$L$25,5,0)</f>
        <v>93544.285714285696</v>
      </c>
      <c r="G11580" s="51">
        <f>ROUNDUP((E11580+F11580)*C11580/E11571,0)</f>
        <v>124726</v>
      </c>
    </row>
    <row r="11581" spans="1:7" x14ac:dyDescent="0.25">
      <c r="A11581" s="50" t="s">
        <v>46</v>
      </c>
      <c r="B11581" s="68" t="str">
        <f>VLOOKUP(A11581,'Componentes APUs'!$H$1:$L$25,2,0)</f>
        <v>Tecnico Liniero</v>
      </c>
      <c r="C11581" s="93">
        <v>2</v>
      </c>
      <c r="D11581" s="50">
        <f>VLOOKUP(A11581,'Componentes APUs'!$H$1:$L$25,3,0)</f>
        <v>2</v>
      </c>
      <c r="E11581" s="51">
        <f>VLOOKUP(A11581,'Componentes APUs'!$H$1:$L$25,4,0)</f>
        <v>154619.04761904763</v>
      </c>
      <c r="F11581" s="51">
        <f>VLOOKUP(A11581,'Componentes APUs'!$H$1:$L$25,5,0)</f>
        <v>92771.42857142858</v>
      </c>
      <c r="G11581" s="51">
        <f>ROUNDUP((E11581+F11581)*C11581/E11571,0)</f>
        <v>989562</v>
      </c>
    </row>
    <row r="11582" spans="1:7" x14ac:dyDescent="0.25">
      <c r="A11582" s="50" t="s">
        <v>48</v>
      </c>
      <c r="B11582" s="68" t="str">
        <f>VLOOKUP(A11582,'Componentes APUs'!$H$1:$L$25,2,0)</f>
        <v>Ayudante Calificado</v>
      </c>
      <c r="C11582" s="93">
        <v>1</v>
      </c>
      <c r="D11582" s="50">
        <f>VLOOKUP(A11582,'Componentes APUs'!$H$1:$L$25,3,0)</f>
        <v>1.5</v>
      </c>
      <c r="E11582" s="51">
        <f>VLOOKUP(A11582,'Componentes APUs'!$H$1:$L$25,4,0)</f>
        <v>115964.28571428571</v>
      </c>
      <c r="F11582" s="51">
        <f>VLOOKUP(A11582,'Componentes APUs'!$H$1:$L$25,5,0)</f>
        <v>69578.57142857142</v>
      </c>
      <c r="G11582" s="51">
        <f>ROUNDUP((E11582+F11582)*C11582/E11571,0)</f>
        <v>371086</v>
      </c>
    </row>
    <row r="11583" spans="1:7" x14ac:dyDescent="0.25">
      <c r="A11583" s="50" t="s">
        <v>50</v>
      </c>
      <c r="B11583" s="68" t="str">
        <f>VLOOKUP(A11583,'Componentes APUs'!$H$1:$L$25,2,0)</f>
        <v>Profesional en SST</v>
      </c>
      <c r="C11583" s="93">
        <v>0.25</v>
      </c>
      <c r="D11583" s="50">
        <f>VLOOKUP(A11583,'Componentes APUs'!$H$1:$L$25,3,0)</f>
        <v>2.5</v>
      </c>
      <c r="E11583" s="51">
        <f>VLOOKUP(A11583,'Componentes APUs'!$H$1:$L$25,4,0)</f>
        <v>169464.28571428571</v>
      </c>
      <c r="F11583" s="51">
        <f>VLOOKUP(A11583,'Componentes APUs'!$H$1:$L$25,5,0)</f>
        <v>101678.57142857142</v>
      </c>
      <c r="G11583" s="51">
        <f>ROUNDUP((E11583+F11583)*C11583/E11571,0)</f>
        <v>135572</v>
      </c>
    </row>
    <row r="11584" spans="1:7" x14ac:dyDescent="0.25">
      <c r="A11584" s="50" t="s">
        <v>52</v>
      </c>
      <c r="B11584" s="68" t="str">
        <f>VLOOKUP(A11584,'Componentes APUs'!$H$1:$L$25,2,0)</f>
        <v>Ayudante No Calificado</v>
      </c>
      <c r="C11584" s="93">
        <v>1</v>
      </c>
      <c r="D11584" s="50">
        <f>VLOOKUP(A11584,'Componentes APUs'!$H$1:$L$25,3,0)</f>
        <v>1</v>
      </c>
      <c r="E11584" s="51">
        <f>VLOOKUP(A11584,'Componentes APUs'!$H$1:$L$25,4,0)</f>
        <v>77309.523809523816</v>
      </c>
      <c r="F11584" s="51">
        <f>VLOOKUP(A11584,'Componentes APUs'!$H$1:$L$25,5,0)</f>
        <v>46385.71428571429</v>
      </c>
      <c r="G11584" s="51">
        <f>ROUNDUP((E11584+F11584)*C11584/E11571,0)</f>
        <v>247391</v>
      </c>
    </row>
    <row r="11585" spans="1:7" x14ac:dyDescent="0.25">
      <c r="A11585" s="50" t="s">
        <v>1121</v>
      </c>
      <c r="B11585" s="68" t="str">
        <f>VLOOKUP(A11585,'Componentes APUs'!$H$1:$L$25,2,0)</f>
        <v>Ingeniero Especialista de Control y Protección Subestación</v>
      </c>
      <c r="C11585" s="93">
        <v>1</v>
      </c>
      <c r="D11585" s="50">
        <f>VLOOKUP(A11585,'Componentes APUs'!$H$1:$L$25,3,0)</f>
        <v>14</v>
      </c>
      <c r="E11585" s="51">
        <f>VLOOKUP(A11585,'Componentes APUs'!$H$1:$L$25,4,0)</f>
        <v>949000</v>
      </c>
      <c r="F11585" s="51">
        <f>VLOOKUP(A11585,'Componentes APUs'!$H$1:$L$25,5,0)</f>
        <v>569400</v>
      </c>
      <c r="G11585" s="51">
        <f>ROUNDUP((E11585+F11585)*C11585/E11571,0)</f>
        <v>3036800</v>
      </c>
    </row>
    <row r="11586" spans="1:7" x14ac:dyDescent="0.25">
      <c r="A11586" s="219" t="s">
        <v>56</v>
      </c>
      <c r="B11586" s="219"/>
      <c r="C11586" s="219"/>
      <c r="D11586" s="219"/>
      <c r="E11586" s="219"/>
      <c r="F11586" s="219"/>
      <c r="G11586" s="52">
        <f>SUM(G11579:G11585)</f>
        <v>5122052</v>
      </c>
    </row>
    <row r="11587" spans="1:7" x14ac:dyDescent="0.25">
      <c r="A11587" s="56"/>
      <c r="B11587" s="57"/>
      <c r="C11587" s="57"/>
      <c r="D11587" s="57"/>
      <c r="E11587" s="57"/>
      <c r="F11587" s="57"/>
      <c r="G11587" s="58"/>
    </row>
    <row r="11588" spans="1:7" x14ac:dyDescent="0.25">
      <c r="A11588" s="219" t="s">
        <v>57</v>
      </c>
      <c r="B11588" s="219"/>
      <c r="C11588" s="219"/>
      <c r="D11588" s="219"/>
      <c r="E11588" s="219"/>
      <c r="F11588" s="219"/>
      <c r="G11588" s="219"/>
    </row>
    <row r="11589" spans="1:7" x14ac:dyDescent="0.25">
      <c r="A11589" s="49" t="s">
        <v>35</v>
      </c>
      <c r="B11589" s="219" t="s">
        <v>36</v>
      </c>
      <c r="C11589" s="219"/>
      <c r="D11589" s="49" t="s">
        <v>37</v>
      </c>
      <c r="E11589" s="49" t="s">
        <v>38</v>
      </c>
      <c r="F11589" s="49" t="s">
        <v>39</v>
      </c>
      <c r="G11589" s="49" t="s">
        <v>40</v>
      </c>
    </row>
    <row r="11590" spans="1:7" x14ac:dyDescent="0.25">
      <c r="A11590" s="50" t="s">
        <v>326</v>
      </c>
      <c r="B11590" s="220" t="str">
        <f>VLOOKUP(A11590,'Componentes APUs'!$S$1:$V$10,2,0)</f>
        <v>Juego Llaves</v>
      </c>
      <c r="C11590" s="220"/>
      <c r="D11590" s="50" t="s">
        <v>18</v>
      </c>
      <c r="E11590" s="50">
        <v>2</v>
      </c>
      <c r="F11590" s="51">
        <f>VLOOKUP(A11590,'Componentes APUs'!$S$1:$V$10,4,0)</f>
        <v>9167</v>
      </c>
      <c r="G11590" s="51">
        <f>ROUNDUP(F11590*((E11590/21)/E11571),0)</f>
        <v>1747</v>
      </c>
    </row>
    <row r="11591" spans="1:7" x14ac:dyDescent="0.25">
      <c r="A11591" s="50" t="s">
        <v>58</v>
      </c>
      <c r="B11591" s="220" t="str">
        <f>VLOOKUP(A11591,'Componentes APUs'!$S$1:$V$10,2,0)</f>
        <v>Manila de servicio</v>
      </c>
      <c r="C11591" s="220"/>
      <c r="D11591" s="50" t="s">
        <v>18</v>
      </c>
      <c r="E11591" s="50">
        <v>2</v>
      </c>
      <c r="F11591" s="51">
        <f>VLOOKUP(A11591,'Componentes APUs'!$S$1:$V$10,4,0)</f>
        <v>2333</v>
      </c>
      <c r="G11591" s="51">
        <f>ROUNDUP(F11591*((E11591/21)/E11571),0)</f>
        <v>445</v>
      </c>
    </row>
    <row r="11592" spans="1:7" x14ac:dyDescent="0.25">
      <c r="A11592" s="50" t="s">
        <v>327</v>
      </c>
      <c r="B11592" s="220" t="str">
        <f>VLOOKUP(A11592,'Componentes APUs'!$S$1:$V$10,2,0)</f>
        <v>Tula portaherramientas</v>
      </c>
      <c r="C11592" s="220"/>
      <c r="D11592" s="50" t="s">
        <v>18</v>
      </c>
      <c r="E11592" s="50">
        <v>2</v>
      </c>
      <c r="F11592" s="51">
        <f>VLOOKUP(A11592,'Componentes APUs'!$S$1:$V$10,4,0)</f>
        <v>1250</v>
      </c>
      <c r="G11592" s="51">
        <f>ROUNDUP(F11592*((E11592/21)/E11571),0)</f>
        <v>239</v>
      </c>
    </row>
    <row r="11593" spans="1:7" x14ac:dyDescent="0.25">
      <c r="A11593" s="50" t="s">
        <v>60</v>
      </c>
      <c r="B11593" s="220" t="str">
        <f>VLOOKUP(A11593,'Componentes APUs'!$S$1:$V$10,2,0)</f>
        <v>Agarradoras</v>
      </c>
      <c r="C11593" s="220"/>
      <c r="D11593" s="50" t="s">
        <v>18</v>
      </c>
      <c r="E11593" s="50">
        <v>0</v>
      </c>
      <c r="F11593" s="51">
        <f>VLOOKUP(A11593,'Componentes APUs'!$S$1:$V$10,4,0)</f>
        <v>125000</v>
      </c>
      <c r="G11593" s="51">
        <f>ROUNDUP(F11593*((E11593/21)/E11571),0)</f>
        <v>0</v>
      </c>
    </row>
    <row r="11594" spans="1:7" x14ac:dyDescent="0.25">
      <c r="A11594" s="50" t="s">
        <v>62</v>
      </c>
      <c r="B11594" s="220" t="str">
        <f>VLOOKUP(A11594,'Componentes APUs'!$S$1:$V$10,2,0)</f>
        <v>Templadoras</v>
      </c>
      <c r="C11594" s="220"/>
      <c r="D11594" s="50" t="s">
        <v>18</v>
      </c>
      <c r="E11594" s="50">
        <v>0</v>
      </c>
      <c r="F11594" s="51">
        <f>VLOOKUP(A11594,'Componentes APUs'!$S$1:$V$10,4,0)</f>
        <v>250000</v>
      </c>
      <c r="G11594" s="51">
        <f>ROUNDUP(F11594*((E11594/21)/E11571),0)</f>
        <v>0</v>
      </c>
    </row>
    <row r="11595" spans="1:7" x14ac:dyDescent="0.25">
      <c r="A11595" s="50" t="s">
        <v>328</v>
      </c>
      <c r="B11595" s="220" t="str">
        <f>VLOOKUP(A11595,'Componentes APUs'!$S$1:$V$10,2,0)</f>
        <v>Herramienta Menor</v>
      </c>
      <c r="C11595" s="220"/>
      <c r="D11595" s="50" t="s">
        <v>18</v>
      </c>
      <c r="E11595" s="50">
        <v>2</v>
      </c>
      <c r="F11595" s="51">
        <f>VLOOKUP(A11595,'Componentes APUs'!$S$1:$V$10,4,0)</f>
        <v>75758</v>
      </c>
      <c r="G11595" s="51">
        <f>ROUNDUP(F11595*((E11595/21)/E11571),0)</f>
        <v>14431</v>
      </c>
    </row>
    <row r="11596" spans="1:7" x14ac:dyDescent="0.25">
      <c r="A11596" s="50" t="s">
        <v>66</v>
      </c>
      <c r="B11596" s="220" t="str">
        <f>VLOOKUP(A11596,'Componentes APUs'!$S$1:$V$10,2,0)</f>
        <v>Diferencial 2 Toneladas</v>
      </c>
      <c r="C11596" s="220"/>
      <c r="D11596" s="50" t="s">
        <v>18</v>
      </c>
      <c r="E11596" s="50">
        <v>1</v>
      </c>
      <c r="F11596" s="51">
        <f>VLOOKUP(A11596,'Componentes APUs'!$S$1:$V$10,4,0)</f>
        <v>474905</v>
      </c>
      <c r="G11596" s="51">
        <f>ROUNDUP(F11596*((E11596/21)/E11571),0)</f>
        <v>45230</v>
      </c>
    </row>
    <row r="11597" spans="1:7" x14ac:dyDescent="0.25">
      <c r="A11597" s="219" t="s">
        <v>69</v>
      </c>
      <c r="B11597" s="219"/>
      <c r="C11597" s="219"/>
      <c r="D11597" s="219"/>
      <c r="E11597" s="219"/>
      <c r="F11597" s="219"/>
      <c r="G11597" s="52">
        <f>SUM(G11590:G11596)</f>
        <v>62092</v>
      </c>
    </row>
    <row r="11598" spans="1:7" x14ac:dyDescent="0.25">
      <c r="A11598" s="56"/>
      <c r="B11598" s="57"/>
      <c r="C11598" s="57"/>
      <c r="D11598" s="57"/>
      <c r="E11598" s="57"/>
      <c r="F11598" s="57"/>
      <c r="G11598" s="58"/>
    </row>
    <row r="11599" spans="1:7" x14ac:dyDescent="0.25">
      <c r="A11599" s="219" t="s">
        <v>70</v>
      </c>
      <c r="B11599" s="219"/>
      <c r="C11599" s="219"/>
      <c r="D11599" s="219"/>
      <c r="E11599" s="219"/>
      <c r="F11599" s="219"/>
      <c r="G11599" s="219"/>
    </row>
    <row r="11600" spans="1:7" x14ac:dyDescent="0.25">
      <c r="A11600" s="49" t="s">
        <v>35</v>
      </c>
      <c r="B11600" s="219" t="s">
        <v>36</v>
      </c>
      <c r="C11600" s="219"/>
      <c r="D11600" s="49" t="s">
        <v>37</v>
      </c>
      <c r="E11600" s="49" t="s">
        <v>38</v>
      </c>
      <c r="F11600" s="49" t="s">
        <v>39</v>
      </c>
      <c r="G11600" s="49" t="s">
        <v>40</v>
      </c>
    </row>
    <row r="11601" spans="1:7" x14ac:dyDescent="0.25">
      <c r="A11601" s="50" t="s">
        <v>71</v>
      </c>
      <c r="B11601" s="71" t="str">
        <f>VLOOKUP(A11601,'Componentes APUs'!$A$1:$D$14,2,0)</f>
        <v>Camisa indigo sin partes metalicas</v>
      </c>
      <c r="C11601" s="71"/>
      <c r="D11601" s="50" t="str">
        <f>VLOOKUP(A11601,'Componentes APUs'!$A$1:$D$14,3,0)</f>
        <v>U</v>
      </c>
      <c r="E11601" s="50">
        <f>SUM(C11579:C11584)</f>
        <v>4.75</v>
      </c>
      <c r="F11601" s="51">
        <f>VLOOKUP(A11601,'Componentes APUs'!$A$1:$D$14,4,0)</f>
        <v>8585.8585858585866</v>
      </c>
      <c r="G11601" s="51">
        <f>ROUNDUP(F11601*(E11601/21)/E11571,0)</f>
        <v>3885</v>
      </c>
    </row>
    <row r="11602" spans="1:7" x14ac:dyDescent="0.25">
      <c r="A11602" s="69" t="s">
        <v>73</v>
      </c>
      <c r="B11602" s="72" t="str">
        <f>VLOOKUP(A11602,'Componentes APUs'!$A$1:$D$14,2,0)</f>
        <v>Bota de seguridad dielectrica</v>
      </c>
      <c r="C11602" s="73"/>
      <c r="D11602" s="70" t="str">
        <f>VLOOKUP(A11602,'Componentes APUs'!$A$1:$D$14,3,0)</f>
        <v>Par</v>
      </c>
      <c r="E11602" s="50">
        <f>SUM(C11579:C11584)</f>
        <v>4.75</v>
      </c>
      <c r="F11602" s="51">
        <f>VLOOKUP(A11602,'Componentes APUs'!$A$1:$D$14,4,0)</f>
        <v>7500</v>
      </c>
      <c r="G11602" s="51">
        <f>ROUNDUP(F11602*(E11602/21)/E11571,0)</f>
        <v>3393</v>
      </c>
    </row>
    <row r="11603" spans="1:7" x14ac:dyDescent="0.25">
      <c r="A11603" s="50" t="s">
        <v>76</v>
      </c>
      <c r="B11603" s="72" t="str">
        <f>VLOOKUP(A11603,'Componentes APUs'!$A$1:$D$14,2,0)</f>
        <v>Casco dielectrico Tipo 1 Clase E con barbuquejo</v>
      </c>
      <c r="C11603" s="73"/>
      <c r="D11603" s="50" t="str">
        <f>VLOOKUP(A11603,'Componentes APUs'!$A$1:$D$14,3,0)</f>
        <v>U</v>
      </c>
      <c r="E11603" s="50">
        <f>C11579+C11580+C11583+C11584+C11582+IF(A11581&lt;&gt;"MO-3",C11581,0)</f>
        <v>2.75</v>
      </c>
      <c r="F11603" s="51">
        <f>VLOOKUP(A11603,'Componentes APUs'!$A$1:$D$14,4,0)</f>
        <v>10101.010101010101</v>
      </c>
      <c r="G11603" s="51">
        <f>ROUNDUP(F11603*(E11603/21)/E11571,0)</f>
        <v>2646</v>
      </c>
    </row>
    <row r="11604" spans="1:7" x14ac:dyDescent="0.25">
      <c r="A11604" s="69" t="s">
        <v>77</v>
      </c>
      <c r="B11604" s="72" t="str">
        <f>VLOOKUP(A11604,'Componentes APUs'!$A$1:$D$14,2,0)</f>
        <v>Correa plastica y antiflama</v>
      </c>
      <c r="C11604" s="73"/>
      <c r="D11604" s="50" t="str">
        <f>VLOOKUP(A11604,'Componentes APUs'!$A$1:$D$14,3,0)</f>
        <v>U</v>
      </c>
      <c r="E11604" s="50">
        <f>SUM(C11579:C11584)</f>
        <v>4.75</v>
      </c>
      <c r="F11604" s="51">
        <f>VLOOKUP(A11604,'Componentes APUs'!$A$1:$D$14,4,0)</f>
        <v>3787.878787878788</v>
      </c>
      <c r="G11604" s="51">
        <f>ROUNDUP(F11604*(E11604/21)/E11571,0)</f>
        <v>1714</v>
      </c>
    </row>
    <row r="11605" spans="1:7" x14ac:dyDescent="0.25">
      <c r="A11605" s="50" t="s">
        <v>79</v>
      </c>
      <c r="B11605" s="72" t="str">
        <f>VLOOKUP(A11605,'Componentes APUs'!$A$1:$D$14,2,0)</f>
        <v>Gafas protectoras filtro UV</v>
      </c>
      <c r="C11605" s="73"/>
      <c r="D11605" s="50" t="str">
        <f>VLOOKUP(A11605,'Componentes APUs'!$A$1:$D$14,3,0)</f>
        <v>U</v>
      </c>
      <c r="E11605" s="50">
        <f>SUM(C11579:C11584)</f>
        <v>4.75</v>
      </c>
      <c r="F11605" s="51">
        <f>VLOOKUP(A11605,'Componentes APUs'!$A$1:$D$14,4,0)</f>
        <v>2777.7777777777778</v>
      </c>
      <c r="G11605" s="51">
        <f>ROUNDUP(F11605*(E11605/21)/E11571,0)</f>
        <v>1257</v>
      </c>
    </row>
    <row r="11606" spans="1:7" x14ac:dyDescent="0.25">
      <c r="A11606" s="69" t="s">
        <v>402</v>
      </c>
      <c r="B11606" s="72" t="str">
        <f>VLOOKUP(A11606,'Componentes APUs'!$A$1:$D$14,2,0)</f>
        <v>Bota de seguridad PVC dielectrica</v>
      </c>
      <c r="C11606" s="73"/>
      <c r="D11606" s="50" t="str">
        <f>VLOOKUP(A11606,'Componentes APUs'!$A$1:$D$14,3,0)</f>
        <v>Par</v>
      </c>
      <c r="E11606" s="50">
        <f>SUM(C11579:C11584)</f>
        <v>4.75</v>
      </c>
      <c r="F11606" s="51">
        <f>VLOOKUP(A11606,'Componentes APUs'!$A$1:$D$14,4,0)</f>
        <v>2916.6666666666665</v>
      </c>
      <c r="G11606" s="51">
        <f>ROUNDUP(F11606*(E11606/21)/E11571,0)</f>
        <v>1320</v>
      </c>
    </row>
    <row r="11607" spans="1:7" x14ac:dyDescent="0.25">
      <c r="A11607" s="50" t="s">
        <v>403</v>
      </c>
      <c r="B11607" s="72" t="str">
        <f>VLOOKUP(A11607,'Componentes APUs'!$A$1:$D$14,2,0)</f>
        <v>Capuchon</v>
      </c>
      <c r="C11607" s="73"/>
      <c r="D11607" s="50" t="str">
        <f>VLOOKUP(A11607,'Componentes APUs'!$A$1:$D$14,3,0)</f>
        <v>U</v>
      </c>
      <c r="E11607" s="50">
        <f>SUM(C11579:C11584)</f>
        <v>4.75</v>
      </c>
      <c r="F11607" s="51">
        <f>VLOOKUP(A11607,'Componentes APUs'!$A$1:$D$14,4,0)</f>
        <v>2525.2525252525252</v>
      </c>
      <c r="G11607" s="51">
        <f>ROUNDUP(F11607*(E11607/21)/E11571,0)</f>
        <v>1143</v>
      </c>
    </row>
    <row r="11608" spans="1:7" x14ac:dyDescent="0.25">
      <c r="A11608" s="69" t="s">
        <v>81</v>
      </c>
      <c r="B11608" s="72" t="str">
        <f>VLOOKUP(A11608,'Componentes APUs'!$A$1:$D$14,2,0)</f>
        <v>Guantes Protectores  - ingeniero reforzados</v>
      </c>
      <c r="C11608" s="73"/>
      <c r="D11608" s="50" t="str">
        <f>VLOOKUP(A11608,'Componentes APUs'!$A$1:$D$14,3,0)</f>
        <v>Par</v>
      </c>
      <c r="E11608" s="50">
        <f>C11581+C11582+C11584</f>
        <v>4</v>
      </c>
      <c r="F11608" s="51">
        <f>VLOOKUP(A11608,'Componentes APUs'!$A$1:$D$14,4,0)</f>
        <v>2525.2525252525252</v>
      </c>
      <c r="G11608" s="51">
        <f>ROUNDUP(F11608*(E11608/21)/E11571,0)</f>
        <v>963</v>
      </c>
    </row>
    <row r="11609" spans="1:7" x14ac:dyDescent="0.25">
      <c r="A11609" s="50" t="s">
        <v>83</v>
      </c>
      <c r="B11609" s="72" t="str">
        <f>VLOOKUP(A11609,'Componentes APUs'!$A$1:$D$14,2,0)</f>
        <v>Impermeable (pantalon camisa)</v>
      </c>
      <c r="C11609" s="73"/>
      <c r="D11609" s="50" t="str">
        <f>VLOOKUP(A11609,'Componentes APUs'!$A$1:$D$14,3,0)</f>
        <v>U</v>
      </c>
      <c r="E11609" s="50">
        <f>SUM(C11579:C11584)</f>
        <v>4.75</v>
      </c>
      <c r="F11609" s="51">
        <f>VLOOKUP(A11609,'Componentes APUs'!$A$1:$D$14,4,0)</f>
        <v>3750</v>
      </c>
      <c r="G11609" s="51">
        <f>ROUNDUP(F11609*(E11609/21)/E11571,0)</f>
        <v>1697</v>
      </c>
    </row>
    <row r="11610" spans="1:7" x14ac:dyDescent="0.25">
      <c r="A11610" s="69" t="s">
        <v>85</v>
      </c>
      <c r="B11610" s="72" t="str">
        <f>VLOOKUP(A11610,'Componentes APUs'!$A$1:$D$14,2,0)</f>
        <v>Jean Dielectrico</v>
      </c>
      <c r="C11610" s="73"/>
      <c r="D11610" s="50" t="str">
        <f>VLOOKUP(A11610,'Componentes APUs'!$A$1:$D$14,3,0)</f>
        <v>U</v>
      </c>
      <c r="E11610" s="50">
        <f>SUM(C11579:C11584)</f>
        <v>4.75</v>
      </c>
      <c r="F11610" s="51">
        <f>VLOOKUP(A11610,'Componentes APUs'!$A$1:$D$14,4,0)</f>
        <v>7575.757575757576</v>
      </c>
      <c r="G11610" s="51">
        <f>ROUNDUP(F11610*(E11610/21)/E11571,0)</f>
        <v>3428</v>
      </c>
    </row>
    <row r="11611" spans="1:7" x14ac:dyDescent="0.25">
      <c r="A11611" s="50" t="s">
        <v>87</v>
      </c>
      <c r="B11611" s="72" t="str">
        <f>VLOOKUP(A11611,'Componentes APUs'!$A$1:$D$14,2,0)</f>
        <v>Casco dielectrico Tipo 2 Clase E con barboquejo</v>
      </c>
      <c r="C11611" s="73"/>
      <c r="D11611" s="50" t="str">
        <f>VLOOKUP(A11611,'Componentes APUs'!$A$1:$D$14,3,0)</f>
        <v>U</v>
      </c>
      <c r="E11611" s="53">
        <f>IF(A11581="MO-3",C11581,0)</f>
        <v>2</v>
      </c>
      <c r="F11611" s="51">
        <f>VLOOKUP(A11611,'Componentes APUs'!$A$1:$D$14,4,0)</f>
        <v>7500</v>
      </c>
      <c r="G11611" s="51">
        <f>ROUNDUP(F11611*(E11611/21)/E11571,0)</f>
        <v>1429</v>
      </c>
    </row>
    <row r="11612" spans="1:7" x14ac:dyDescent="0.25">
      <c r="A11612" s="69" t="s">
        <v>89</v>
      </c>
      <c r="B11612" s="72" t="str">
        <f>VLOOKUP(A11612,'Componentes APUs'!$A$1:$D$14,2,0)</f>
        <v>Kit de rescate para trabajo en alturas</v>
      </c>
      <c r="C11612" s="73"/>
      <c r="D11612" s="50" t="str">
        <f>VLOOKUP(A11612,'Componentes APUs'!$A$1:$D$14,3,0)</f>
        <v>U</v>
      </c>
      <c r="E11612" s="50">
        <f>IF(AND(A11581="MO-3",C11581=2),1,0)</f>
        <v>1</v>
      </c>
      <c r="F11612" s="51">
        <f>VLOOKUP(A11612,'Componentes APUs'!$A$1:$D$14,4,0)</f>
        <v>37500</v>
      </c>
      <c r="G11612" s="51">
        <f>ROUNDUP(F11612*(E11612/21)/E11571,0)</f>
        <v>3572</v>
      </c>
    </row>
    <row r="11613" spans="1:7" x14ac:dyDescent="0.25">
      <c r="A11613" s="50" t="s">
        <v>91</v>
      </c>
      <c r="B11613" s="72" t="str">
        <f>VLOOKUP(A11613,'Componentes APUs'!$A$1:$D$14,2,0)</f>
        <v>Equipo completo para trabajo en alturas con pretales (Arnes dielectrico, 1 mosqueton de seguridad, tie off dielectrico, eslinga de posicionamiento, juego de pretales)</v>
      </c>
      <c r="C11613" s="73"/>
      <c r="D11613" s="50" t="str">
        <f>VLOOKUP(A11613,'Componentes APUs'!$A$1:$D$14,3,0)</f>
        <v>U</v>
      </c>
      <c r="E11613" s="50">
        <f>IF(A11581="MO-3",C11581,0)</f>
        <v>2</v>
      </c>
      <c r="F11613" s="51">
        <f>VLOOKUP(A11613,'Componentes APUs'!$A$1:$D$14,4,0)</f>
        <v>26041.666666666668</v>
      </c>
      <c r="G11613" s="51">
        <f>ROUNDUP(F11613*(E11613/21)/E11571,0)</f>
        <v>4961</v>
      </c>
    </row>
    <row r="11614" spans="1:7" x14ac:dyDescent="0.25">
      <c r="A11614" s="219" t="s">
        <v>95</v>
      </c>
      <c r="B11614" s="219"/>
      <c r="C11614" s="219"/>
      <c r="D11614" s="219"/>
      <c r="E11614" s="219"/>
      <c r="F11614" s="219"/>
      <c r="G11614" s="52">
        <f>SUM(G11601:G11613)</f>
        <v>31408</v>
      </c>
    </row>
    <row r="11615" spans="1:7" x14ac:dyDescent="0.25">
      <c r="A11615" s="56"/>
      <c r="B11615" s="57"/>
      <c r="C11615" s="57"/>
      <c r="D11615" s="57"/>
      <c r="E11615" s="57"/>
      <c r="F11615" s="57"/>
      <c r="G11615" s="58"/>
    </row>
    <row r="11616" spans="1:7" x14ac:dyDescent="0.25">
      <c r="A11616" s="219" t="s">
        <v>96</v>
      </c>
      <c r="B11616" s="219"/>
      <c r="C11616" s="219"/>
      <c r="D11616" s="219"/>
      <c r="E11616" s="219"/>
      <c r="F11616" s="219"/>
      <c r="G11616" s="219"/>
    </row>
    <row r="11617" spans="1:7" x14ac:dyDescent="0.25">
      <c r="A11617" s="49" t="s">
        <v>35</v>
      </c>
      <c r="B11617" s="225" t="s">
        <v>36</v>
      </c>
      <c r="C11617" s="225"/>
      <c r="D11617" s="49" t="s">
        <v>37</v>
      </c>
      <c r="E11617" s="49" t="s">
        <v>38</v>
      </c>
      <c r="F11617" s="49" t="s">
        <v>39</v>
      </c>
      <c r="G11617" s="49" t="s">
        <v>40</v>
      </c>
    </row>
    <row r="11618" spans="1:7" x14ac:dyDescent="0.25">
      <c r="A11618" s="69" t="s">
        <v>97</v>
      </c>
      <c r="B11618" s="72" t="str">
        <f>VLOOKUP(A11618,'Componentes APUs'!$N$1:$Q$30,2,0)</f>
        <v>Camioneta</v>
      </c>
      <c r="C11618" s="73"/>
      <c r="D11618" s="70" t="str">
        <f>VLOOKUP(A11618,'Componentes APUs'!$N$1:$Q$30,3,0)</f>
        <v>U</v>
      </c>
      <c r="E11618" s="50">
        <v>1</v>
      </c>
      <c r="F11618" s="51">
        <f>VLOOKUP(A11618,'Componentes APUs'!$N$1:$Q$30,4,0)</f>
        <v>5500000</v>
      </c>
      <c r="G11618" s="51">
        <f>IFERROR(ROUNDUP(F11618*(E11618/21)/E11571,0),"-")</f>
        <v>523810</v>
      </c>
    </row>
    <row r="11619" spans="1:7" x14ac:dyDescent="0.25">
      <c r="A11619" s="50" t="s">
        <v>321</v>
      </c>
      <c r="B11619" s="72" t="str">
        <f>VLOOKUP(A11619,'Componentes APUs'!$N$1:$Q$30,2,0)</f>
        <v>Grúa Hidráulica</v>
      </c>
      <c r="C11619" s="73"/>
      <c r="D11619" s="70" t="str">
        <f>VLOOKUP(A11619,'Componentes APUs'!$N$1:$Q$30,3,0)</f>
        <v>U</v>
      </c>
      <c r="E11619" s="50">
        <v>0</v>
      </c>
      <c r="F11619" s="51">
        <f>VLOOKUP(A11619,'Componentes APUs'!$N$1:$Q$30,4,0)</f>
        <v>21000000</v>
      </c>
      <c r="G11619" s="51">
        <f>IFERROR(ROUNDUP(F11619*(E11619/21)/E11571,0),"-")</f>
        <v>0</v>
      </c>
    </row>
    <row r="11620" spans="1:7" x14ac:dyDescent="0.25">
      <c r="A11620" s="219" t="s">
        <v>99</v>
      </c>
      <c r="B11620" s="219"/>
      <c r="C11620" s="219"/>
      <c r="D11620" s="219"/>
      <c r="E11620" s="219"/>
      <c r="F11620" s="219"/>
      <c r="G11620" s="52">
        <f>SUM(G11618:G11619)</f>
        <v>523810</v>
      </c>
    </row>
    <row r="11621" spans="1:7" x14ac:dyDescent="0.25">
      <c r="A11621" s="56"/>
      <c r="B11621" s="57"/>
      <c r="C11621" s="57"/>
      <c r="D11621" s="57"/>
      <c r="E11621" s="57"/>
      <c r="F11621" s="57"/>
      <c r="G11621" s="58"/>
    </row>
    <row r="11622" spans="1:7" x14ac:dyDescent="0.25">
      <c r="A11622" s="219" t="s">
        <v>1516</v>
      </c>
      <c r="B11622" s="219"/>
      <c r="C11622" s="219"/>
      <c r="D11622" s="219"/>
      <c r="E11622" s="219"/>
      <c r="F11622" s="219"/>
      <c r="G11622" s="52">
        <f>G11620+G11614+G11597+G11586+G11575</f>
        <v>429316389</v>
      </c>
    </row>
    <row r="11623" spans="1:7" x14ac:dyDescent="0.25">
      <c r="A11623" s="59"/>
      <c r="B11623" s="60"/>
      <c r="C11623" s="60"/>
      <c r="D11623" s="60"/>
      <c r="E11623" s="57"/>
      <c r="F11623" s="57"/>
      <c r="G11623" s="58"/>
    </row>
    <row r="11624" spans="1:7" x14ac:dyDescent="0.25">
      <c r="A11624" s="64"/>
      <c r="D11624" s="55"/>
      <c r="E11624" s="49" t="s">
        <v>25</v>
      </c>
      <c r="F11624" s="54">
        <v>0.15</v>
      </c>
      <c r="G11624" s="51">
        <f>G11622*F11624</f>
        <v>64397458.349999994</v>
      </c>
    </row>
    <row r="11625" spans="1:7" x14ac:dyDescent="0.25">
      <c r="A11625" s="64"/>
      <c r="D11625" s="55"/>
      <c r="E11625" s="49" t="s">
        <v>26</v>
      </c>
      <c r="F11625" s="54">
        <v>0.05</v>
      </c>
      <c r="G11625" s="51">
        <f>G11622*F11625</f>
        <v>21465819.450000003</v>
      </c>
    </row>
    <row r="11626" spans="1:7" x14ac:dyDescent="0.25">
      <c r="A11626" s="61"/>
      <c r="B11626" s="65"/>
      <c r="C11626" s="65"/>
      <c r="D11626" s="62"/>
      <c r="E11626" s="49" t="s">
        <v>27</v>
      </c>
      <c r="F11626" s="54">
        <v>0.05</v>
      </c>
      <c r="G11626" s="51">
        <f>G11622*F11626</f>
        <v>21465819.450000003</v>
      </c>
    </row>
    <row r="11627" spans="1:7" x14ac:dyDescent="0.25">
      <c r="A11627" s="61"/>
      <c r="B11627" s="62"/>
      <c r="C11627" s="62"/>
      <c r="D11627" s="62"/>
      <c r="E11627" s="62"/>
      <c r="F11627" s="62"/>
      <c r="G11627" s="63"/>
    </row>
    <row r="11628" spans="1:7" x14ac:dyDescent="0.25">
      <c r="A11628" s="219" t="s">
        <v>1517</v>
      </c>
      <c r="B11628" s="219"/>
      <c r="C11628" s="219"/>
      <c r="D11628" s="219"/>
      <c r="E11628" s="219"/>
      <c r="F11628" s="219"/>
      <c r="G11628" s="52">
        <f>G11622+G11624+G11625+G11626</f>
        <v>536645486.25</v>
      </c>
    </row>
    <row r="11629" spans="1:7" x14ac:dyDescent="0.25">
      <c r="A11629" s="59"/>
      <c r="B11629" s="60"/>
      <c r="C11629" s="60"/>
      <c r="D11629" s="60"/>
      <c r="E11629" s="57"/>
      <c r="F11629" s="57"/>
      <c r="G11629" s="58"/>
    </row>
    <row r="11630" spans="1:7" x14ac:dyDescent="0.25">
      <c r="A11630" s="64"/>
      <c r="D11630" s="55"/>
      <c r="E11630" s="49" t="s">
        <v>102</v>
      </c>
      <c r="F11630" s="49" t="s">
        <v>103</v>
      </c>
      <c r="G11630" s="51">
        <f>G11626*19%</f>
        <v>4078505.6955000008</v>
      </c>
    </row>
    <row r="11631" spans="1:7" x14ac:dyDescent="0.25">
      <c r="A11631" s="61"/>
      <c r="B11631" s="62"/>
      <c r="C11631" s="62"/>
      <c r="D11631" s="62"/>
      <c r="E11631" s="57"/>
      <c r="F11631" s="57"/>
      <c r="G11631" s="58"/>
    </row>
    <row r="11632" spans="1:7" x14ac:dyDescent="0.25">
      <c r="A11632" s="219" t="s">
        <v>104</v>
      </c>
      <c r="B11632" s="219"/>
      <c r="C11632" s="219"/>
      <c r="D11632" s="219"/>
      <c r="E11632" s="219"/>
      <c r="F11632" s="219"/>
      <c r="G11632" s="52">
        <f>G11630+G11628</f>
        <v>540723991.94550002</v>
      </c>
    </row>
    <row r="11634" spans="1:7" x14ac:dyDescent="0.25">
      <c r="A11634" s="74" t="s">
        <v>29</v>
      </c>
      <c r="B11634" s="226" t="s">
        <v>30</v>
      </c>
      <c r="C11634" s="226"/>
      <c r="D11634" s="74" t="s">
        <v>31</v>
      </c>
      <c r="E11634" s="74" t="s">
        <v>32</v>
      </c>
      <c r="F11634" s="74" t="s">
        <v>189</v>
      </c>
      <c r="G11634" s="74" t="s">
        <v>33</v>
      </c>
    </row>
    <row r="11635" spans="1:7" ht="102.75" customHeight="1" x14ac:dyDescent="0.25">
      <c r="A11635" s="50" t="str">
        <f>Presupuesto!B211</f>
        <v>021_N3</v>
      </c>
      <c r="B11635" s="220" t="str">
        <f>Presupuesto!C211</f>
        <v>CELDA INTERRUPTOR TRIFÁSICO 36 KV/ 80 kA, AISLADA EN VACÍO. CORRIENTE NOMINAL: 1250 A. 60 HZ. 3 POLOS. INCLUYE: SECCIONADORES, 3 TRANSFORMADORES DE CORRIENTE TRIPLE NUCLEO (N1:400-800/5 CL: 0.5s, N2:400-800/5  CL: 0.5s, N3:400-800/5 CL: 5P30, BURDEN: 25 VA) CON PROTOCOLOS DE PRUEBA DE PRECISIÓN DE FABRICANTE Y LABORATORIO ACREDITADO Y UNIDAD INTEGRADA DE CONTROL Y PROTECCIÓN ((RELE CON FUNCIONES: 50,  51, 50N, 51N,50BFE1,E2,27,59,26,49,63,71,96,33,63Q), PUERTO DE COMUNICACIÓN PARA FIBRA ÓPTICA, PROTOCOLO DE COMUNICACIÓN 61850. PARA BAHÍA DE TRANSFORMADOR</v>
      </c>
      <c r="C11635" s="220"/>
      <c r="D11635" s="50" t="s">
        <v>18</v>
      </c>
      <c r="E11635" s="50">
        <v>0.5</v>
      </c>
      <c r="F11635" s="50"/>
      <c r="G11635" s="51">
        <f>G11696</f>
        <v>540723991.94550002</v>
      </c>
    </row>
    <row r="11636" spans="1:7" x14ac:dyDescent="0.25">
      <c r="A11636" s="234" t="s">
        <v>34</v>
      </c>
      <c r="B11636" s="236"/>
      <c r="C11636" s="236"/>
      <c r="D11636" s="236"/>
      <c r="E11636" s="236"/>
      <c r="F11636" s="236"/>
      <c r="G11636" s="235"/>
    </row>
    <row r="11637" spans="1:7" x14ac:dyDescent="0.25">
      <c r="A11637" s="49" t="s">
        <v>35</v>
      </c>
      <c r="B11637" s="234" t="s">
        <v>36</v>
      </c>
      <c r="C11637" s="235"/>
      <c r="D11637" s="49" t="s">
        <v>37</v>
      </c>
      <c r="E11637" s="49" t="s">
        <v>38</v>
      </c>
      <c r="F11637" s="49" t="s">
        <v>39</v>
      </c>
      <c r="G11637" s="49" t="s">
        <v>40</v>
      </c>
    </row>
    <row r="11638" spans="1:7" ht="97.5" customHeight="1" x14ac:dyDescent="0.25">
      <c r="A11638" s="17" t="str">
        <f>Material!A365</f>
        <v>MA-364</v>
      </c>
      <c r="B11638" s="221" t="str">
        <f>IFERROR(VLOOKUP(A11638,Material!$A:$H,2,0),"-")</f>
        <v>CELDA INTERRUPTOR TRIFÁSICO 36 KV/ 80 kA, TIPO INTERIOR, EN VACÍO. CORRIENTE NOMINAL: 630 A. 60 HZ. 3 POLOS. INCLUYE: 3 TRANSFORMADORES DE CORRIENTE TRIPLE NUCLEO (N1:400-800/5 CL: 0.5s, N2:400-800/5  CL: 0.5s, N3:400-800/5 CL: 5P20) CON PROTOCOLOS DE PRUEBA DE PRECISIÓN DE FABRICANTE Y LABORATORIO ACREDITADO Y UNIDAD INTEGRADA DE CONTROL Y PROTECCIÓN (RELÉS: 50, 51, 50N, 51N, 50BFE1/E2,25, 27,59, 74, 79, 67, 67N, 81), PUERTO DE COMUNICACIÓN PARA FIBRA ÓPTICA, PROTOCOLO DE COMUNICACIÓN 61850</v>
      </c>
      <c r="C11638" s="222"/>
      <c r="D11638" s="50" t="str">
        <f>IFERROR(VLOOKUP(A11638,Material!$A:$H,4,0),"-")</f>
        <v>UN</v>
      </c>
      <c r="E11638" s="50">
        <v>1</v>
      </c>
      <c r="F11638" s="51">
        <f>IFERROR(VLOOKUP(A11638,Material!$A:$H,3,0),"-")</f>
        <v>423577026.56732506</v>
      </c>
      <c r="G11638" s="51">
        <f t="shared" ref="G11638" si="163">IFERROR(ROUNDUP(F11638*E11638,0),"-")</f>
        <v>423577027</v>
      </c>
    </row>
    <row r="11639" spans="1:7" x14ac:dyDescent="0.25">
      <c r="A11639" s="234" t="s">
        <v>41</v>
      </c>
      <c r="B11639" s="236"/>
      <c r="C11639" s="236"/>
      <c r="D11639" s="236"/>
      <c r="E11639" s="236"/>
      <c r="F11639" s="235"/>
      <c r="G11639" s="52">
        <f>SUM(G11638:G11638)</f>
        <v>423577027</v>
      </c>
    </row>
    <row r="11640" spans="1:7" x14ac:dyDescent="0.25">
      <c r="A11640" s="56"/>
      <c r="B11640" s="57"/>
      <c r="C11640" s="57"/>
      <c r="D11640" s="57"/>
      <c r="E11640" s="57"/>
      <c r="F11640" s="57"/>
      <c r="G11640" s="58"/>
    </row>
    <row r="11641" spans="1:7" x14ac:dyDescent="0.25">
      <c r="A11641" s="219" t="s">
        <v>42</v>
      </c>
      <c r="B11641" s="219"/>
      <c r="C11641" s="219"/>
      <c r="D11641" s="219"/>
      <c r="E11641" s="219"/>
      <c r="F11641" s="219"/>
      <c r="G11641" s="219"/>
    </row>
    <row r="11642" spans="1:7" x14ac:dyDescent="0.25">
      <c r="A11642" s="49" t="s">
        <v>35</v>
      </c>
      <c r="B11642" s="49" t="s">
        <v>36</v>
      </c>
      <c r="C11642" s="49" t="s">
        <v>38</v>
      </c>
      <c r="D11642" s="49" t="s">
        <v>43</v>
      </c>
      <c r="E11642" s="49" t="s">
        <v>44</v>
      </c>
      <c r="F11642" s="49" t="s">
        <v>45</v>
      </c>
      <c r="G11642" s="49" t="s">
        <v>40</v>
      </c>
    </row>
    <row r="11643" spans="1:7" x14ac:dyDescent="0.25">
      <c r="A11643" s="50" t="s">
        <v>319</v>
      </c>
      <c r="B11643" s="68" t="str">
        <f>VLOOKUP(A11643,'Componentes APUs'!$H$1:$L$25,2,0)</f>
        <v>Ingeniero Residente de Obra</v>
      </c>
      <c r="C11643" s="93">
        <v>0.25</v>
      </c>
      <c r="D11643" s="50">
        <f>VLOOKUP(A11643,'Componentes APUs'!$H$1:$L$25,3,0)</f>
        <v>4</v>
      </c>
      <c r="E11643" s="51">
        <f>VLOOKUP(A11643,'Componentes APUs'!$H$1:$L$25,4,0)</f>
        <v>271142.85714285716</v>
      </c>
      <c r="F11643" s="51">
        <f>VLOOKUP(A11643,'Componentes APUs'!$H$1:$L$25,5,0)</f>
        <v>162685.71428571429</v>
      </c>
      <c r="G11643" s="51">
        <f>ROUNDUP((E11643+F11643)*C11643/E11635,0)</f>
        <v>216915</v>
      </c>
    </row>
    <row r="11644" spans="1:7" x14ac:dyDescent="0.25">
      <c r="A11644" s="50" t="s">
        <v>320</v>
      </c>
      <c r="B11644" s="68" t="str">
        <f>VLOOKUP(A11644,'Componentes APUs'!$H$1:$L$25,2,0)</f>
        <v>Tecnico Supervisor</v>
      </c>
      <c r="C11644" s="93">
        <v>0.25</v>
      </c>
      <c r="D11644" s="50">
        <f>VLOOKUP(A11644,'Componentes APUs'!$H$1:$L$25,3,0)</f>
        <v>2.2999999999999998</v>
      </c>
      <c r="E11644" s="51">
        <f>VLOOKUP(A11644,'Componentes APUs'!$H$1:$L$25,4,0)</f>
        <v>155907.14285714284</v>
      </c>
      <c r="F11644" s="51">
        <f>VLOOKUP(A11644,'Componentes APUs'!$H$1:$L$25,5,0)</f>
        <v>93544.285714285696</v>
      </c>
      <c r="G11644" s="51">
        <f>ROUNDUP((E11644+F11644)*C11644/E11635,0)</f>
        <v>124726</v>
      </c>
    </row>
    <row r="11645" spans="1:7" x14ac:dyDescent="0.25">
      <c r="A11645" s="50" t="s">
        <v>46</v>
      </c>
      <c r="B11645" s="68" t="str">
        <f>VLOOKUP(A11645,'Componentes APUs'!$H$1:$L$25,2,0)</f>
        <v>Tecnico Liniero</v>
      </c>
      <c r="C11645" s="93">
        <v>2</v>
      </c>
      <c r="D11645" s="50">
        <f>VLOOKUP(A11645,'Componentes APUs'!$H$1:$L$25,3,0)</f>
        <v>2</v>
      </c>
      <c r="E11645" s="51">
        <f>VLOOKUP(A11645,'Componentes APUs'!$H$1:$L$25,4,0)</f>
        <v>154619.04761904763</v>
      </c>
      <c r="F11645" s="51">
        <f>VLOOKUP(A11645,'Componentes APUs'!$H$1:$L$25,5,0)</f>
        <v>92771.42857142858</v>
      </c>
      <c r="G11645" s="51">
        <f>ROUNDUP((E11645+F11645)*C11645/E11635,0)</f>
        <v>989562</v>
      </c>
    </row>
    <row r="11646" spans="1:7" x14ac:dyDescent="0.25">
      <c r="A11646" s="50" t="s">
        <v>48</v>
      </c>
      <c r="B11646" s="68" t="str">
        <f>VLOOKUP(A11646,'Componentes APUs'!$H$1:$L$25,2,0)</f>
        <v>Ayudante Calificado</v>
      </c>
      <c r="C11646" s="93">
        <v>1</v>
      </c>
      <c r="D11646" s="50">
        <f>VLOOKUP(A11646,'Componentes APUs'!$H$1:$L$25,3,0)</f>
        <v>1.5</v>
      </c>
      <c r="E11646" s="51">
        <f>VLOOKUP(A11646,'Componentes APUs'!$H$1:$L$25,4,0)</f>
        <v>115964.28571428571</v>
      </c>
      <c r="F11646" s="51">
        <f>VLOOKUP(A11646,'Componentes APUs'!$H$1:$L$25,5,0)</f>
        <v>69578.57142857142</v>
      </c>
      <c r="G11646" s="51">
        <f>ROUNDUP((E11646+F11646)*C11646/E11635,0)</f>
        <v>371086</v>
      </c>
    </row>
    <row r="11647" spans="1:7" x14ac:dyDescent="0.25">
      <c r="A11647" s="50" t="s">
        <v>50</v>
      </c>
      <c r="B11647" s="68" t="str">
        <f>VLOOKUP(A11647,'Componentes APUs'!$H$1:$L$25,2,0)</f>
        <v>Profesional en SST</v>
      </c>
      <c r="C11647" s="93">
        <v>0.25</v>
      </c>
      <c r="D11647" s="50">
        <f>VLOOKUP(A11647,'Componentes APUs'!$H$1:$L$25,3,0)</f>
        <v>2.5</v>
      </c>
      <c r="E11647" s="51">
        <f>VLOOKUP(A11647,'Componentes APUs'!$H$1:$L$25,4,0)</f>
        <v>169464.28571428571</v>
      </c>
      <c r="F11647" s="51">
        <f>VLOOKUP(A11647,'Componentes APUs'!$H$1:$L$25,5,0)</f>
        <v>101678.57142857142</v>
      </c>
      <c r="G11647" s="51">
        <f>ROUNDUP((E11647+F11647)*C11647/E11635,0)</f>
        <v>135572</v>
      </c>
    </row>
    <row r="11648" spans="1:7" x14ac:dyDescent="0.25">
      <c r="A11648" s="50" t="s">
        <v>52</v>
      </c>
      <c r="B11648" s="68" t="str">
        <f>VLOOKUP(A11648,'Componentes APUs'!$H$1:$L$25,2,0)</f>
        <v>Ayudante No Calificado</v>
      </c>
      <c r="C11648" s="93">
        <v>1</v>
      </c>
      <c r="D11648" s="50">
        <f>VLOOKUP(A11648,'Componentes APUs'!$H$1:$L$25,3,0)</f>
        <v>1</v>
      </c>
      <c r="E11648" s="51">
        <f>VLOOKUP(A11648,'Componentes APUs'!$H$1:$L$25,4,0)</f>
        <v>77309.523809523816</v>
      </c>
      <c r="F11648" s="51">
        <f>VLOOKUP(A11648,'Componentes APUs'!$H$1:$L$25,5,0)</f>
        <v>46385.71428571429</v>
      </c>
      <c r="G11648" s="51">
        <f>ROUNDUP((E11648+F11648)*C11648/E11635,0)</f>
        <v>247391</v>
      </c>
    </row>
    <row r="11649" spans="1:7" x14ac:dyDescent="0.25">
      <c r="A11649" s="50" t="s">
        <v>1121</v>
      </c>
      <c r="B11649" s="68" t="str">
        <f>VLOOKUP(A11649,'Componentes APUs'!$H$1:$L$25,2,0)</f>
        <v>Ingeniero Especialista de Control y Protección Subestación</v>
      </c>
      <c r="C11649" s="93">
        <v>1</v>
      </c>
      <c r="D11649" s="50">
        <f>VLOOKUP(A11649,'Componentes APUs'!$H$1:$L$25,3,0)</f>
        <v>14</v>
      </c>
      <c r="E11649" s="51">
        <f>VLOOKUP(A11649,'Componentes APUs'!$H$1:$L$25,4,0)</f>
        <v>949000</v>
      </c>
      <c r="F11649" s="51">
        <f>VLOOKUP(A11649,'Componentes APUs'!$H$1:$L$25,5,0)</f>
        <v>569400</v>
      </c>
      <c r="G11649" s="51">
        <f>ROUNDUP((E11649+F11649)*C11649/E11635,0)</f>
        <v>3036800</v>
      </c>
    </row>
    <row r="11650" spans="1:7" x14ac:dyDescent="0.25">
      <c r="A11650" s="219" t="s">
        <v>56</v>
      </c>
      <c r="B11650" s="219"/>
      <c r="C11650" s="219"/>
      <c r="D11650" s="219"/>
      <c r="E11650" s="219"/>
      <c r="F11650" s="219"/>
      <c r="G11650" s="52">
        <f>SUM(G11643:G11649)</f>
        <v>5122052</v>
      </c>
    </row>
    <row r="11651" spans="1:7" x14ac:dyDescent="0.25">
      <c r="A11651" s="56"/>
      <c r="B11651" s="57"/>
      <c r="C11651" s="57"/>
      <c r="D11651" s="57"/>
      <c r="E11651" s="57"/>
      <c r="F11651" s="57"/>
      <c r="G11651" s="58"/>
    </row>
    <row r="11652" spans="1:7" x14ac:dyDescent="0.25">
      <c r="A11652" s="219" t="s">
        <v>57</v>
      </c>
      <c r="B11652" s="219"/>
      <c r="C11652" s="219"/>
      <c r="D11652" s="219"/>
      <c r="E11652" s="219"/>
      <c r="F11652" s="219"/>
      <c r="G11652" s="219"/>
    </row>
    <row r="11653" spans="1:7" x14ac:dyDescent="0.25">
      <c r="A11653" s="49" t="s">
        <v>35</v>
      </c>
      <c r="B11653" s="219" t="s">
        <v>36</v>
      </c>
      <c r="C11653" s="219"/>
      <c r="D11653" s="49" t="s">
        <v>37</v>
      </c>
      <c r="E11653" s="49" t="s">
        <v>38</v>
      </c>
      <c r="F11653" s="49" t="s">
        <v>39</v>
      </c>
      <c r="G11653" s="49" t="s">
        <v>40</v>
      </c>
    </row>
    <row r="11654" spans="1:7" x14ac:dyDescent="0.25">
      <c r="A11654" s="50" t="s">
        <v>326</v>
      </c>
      <c r="B11654" s="220" t="str">
        <f>VLOOKUP(A11654,'Componentes APUs'!$S$1:$V$10,2,0)</f>
        <v>Juego Llaves</v>
      </c>
      <c r="C11654" s="220"/>
      <c r="D11654" s="50" t="s">
        <v>18</v>
      </c>
      <c r="E11654" s="50">
        <v>2</v>
      </c>
      <c r="F11654" s="51">
        <f>VLOOKUP(A11654,'Componentes APUs'!$S$1:$V$10,4,0)</f>
        <v>9167</v>
      </c>
      <c r="G11654" s="51">
        <f>ROUNDUP(F11654*((E11654/21)/E11635),0)</f>
        <v>1747</v>
      </c>
    </row>
    <row r="11655" spans="1:7" x14ac:dyDescent="0.25">
      <c r="A11655" s="50" t="s">
        <v>58</v>
      </c>
      <c r="B11655" s="220" t="str">
        <f>VLOOKUP(A11655,'Componentes APUs'!$S$1:$V$10,2,0)</f>
        <v>Manila de servicio</v>
      </c>
      <c r="C11655" s="220"/>
      <c r="D11655" s="50" t="s">
        <v>18</v>
      </c>
      <c r="E11655" s="50">
        <v>2</v>
      </c>
      <c r="F11655" s="51">
        <f>VLOOKUP(A11655,'Componentes APUs'!$S$1:$V$10,4,0)</f>
        <v>2333</v>
      </c>
      <c r="G11655" s="51">
        <f>ROUNDUP(F11655*((E11655/21)/E11635),0)</f>
        <v>445</v>
      </c>
    </row>
    <row r="11656" spans="1:7" x14ac:dyDescent="0.25">
      <c r="A11656" s="50" t="s">
        <v>327</v>
      </c>
      <c r="B11656" s="220" t="str">
        <f>VLOOKUP(A11656,'Componentes APUs'!$S$1:$V$10,2,0)</f>
        <v>Tula portaherramientas</v>
      </c>
      <c r="C11656" s="220"/>
      <c r="D11656" s="50" t="s">
        <v>18</v>
      </c>
      <c r="E11656" s="50">
        <v>2</v>
      </c>
      <c r="F11656" s="51">
        <f>VLOOKUP(A11656,'Componentes APUs'!$S$1:$V$10,4,0)</f>
        <v>1250</v>
      </c>
      <c r="G11656" s="51">
        <f>ROUNDUP(F11656*((E11656/21)/E11635),0)</f>
        <v>239</v>
      </c>
    </row>
    <row r="11657" spans="1:7" x14ac:dyDescent="0.25">
      <c r="A11657" s="50" t="s">
        <v>60</v>
      </c>
      <c r="B11657" s="220" t="str">
        <f>VLOOKUP(A11657,'Componentes APUs'!$S$1:$V$10,2,0)</f>
        <v>Agarradoras</v>
      </c>
      <c r="C11657" s="220"/>
      <c r="D11657" s="50" t="s">
        <v>18</v>
      </c>
      <c r="E11657" s="50">
        <v>0</v>
      </c>
      <c r="F11657" s="51">
        <f>VLOOKUP(A11657,'Componentes APUs'!$S$1:$V$10,4,0)</f>
        <v>125000</v>
      </c>
      <c r="G11657" s="51">
        <f>ROUNDUP(F11657*((E11657/21)/E11635),0)</f>
        <v>0</v>
      </c>
    </row>
    <row r="11658" spans="1:7" x14ac:dyDescent="0.25">
      <c r="A11658" s="50" t="s">
        <v>62</v>
      </c>
      <c r="B11658" s="220" t="str">
        <f>VLOOKUP(A11658,'Componentes APUs'!$S$1:$V$10,2,0)</f>
        <v>Templadoras</v>
      </c>
      <c r="C11658" s="220"/>
      <c r="D11658" s="50" t="s">
        <v>18</v>
      </c>
      <c r="E11658" s="50">
        <v>0</v>
      </c>
      <c r="F11658" s="51">
        <f>VLOOKUP(A11658,'Componentes APUs'!$S$1:$V$10,4,0)</f>
        <v>250000</v>
      </c>
      <c r="G11658" s="51">
        <f>ROUNDUP(F11658*((E11658/21)/E11635),0)</f>
        <v>0</v>
      </c>
    </row>
    <row r="11659" spans="1:7" x14ac:dyDescent="0.25">
      <c r="A11659" s="50" t="s">
        <v>328</v>
      </c>
      <c r="B11659" s="220" t="str">
        <f>VLOOKUP(A11659,'Componentes APUs'!$S$1:$V$10,2,0)</f>
        <v>Herramienta Menor</v>
      </c>
      <c r="C11659" s="220"/>
      <c r="D11659" s="50" t="s">
        <v>18</v>
      </c>
      <c r="E11659" s="50">
        <v>2</v>
      </c>
      <c r="F11659" s="51">
        <f>VLOOKUP(A11659,'Componentes APUs'!$S$1:$V$10,4,0)</f>
        <v>75758</v>
      </c>
      <c r="G11659" s="51">
        <f>ROUNDUP(F11659*((E11659/21)/E11635),0)</f>
        <v>14431</v>
      </c>
    </row>
    <row r="11660" spans="1:7" x14ac:dyDescent="0.25">
      <c r="A11660" s="50" t="s">
        <v>66</v>
      </c>
      <c r="B11660" s="220" t="str">
        <f>VLOOKUP(A11660,'Componentes APUs'!$S$1:$V$10,2,0)</f>
        <v>Diferencial 2 Toneladas</v>
      </c>
      <c r="C11660" s="220"/>
      <c r="D11660" s="50" t="s">
        <v>18</v>
      </c>
      <c r="E11660" s="50">
        <v>1</v>
      </c>
      <c r="F11660" s="51">
        <f>VLOOKUP(A11660,'Componentes APUs'!$S$1:$V$10,4,0)</f>
        <v>474905</v>
      </c>
      <c r="G11660" s="51">
        <f>ROUNDUP(F11660*((E11660/21)/E11635),0)</f>
        <v>45230</v>
      </c>
    </row>
    <row r="11661" spans="1:7" x14ac:dyDescent="0.25">
      <c r="A11661" s="219" t="s">
        <v>69</v>
      </c>
      <c r="B11661" s="219"/>
      <c r="C11661" s="219"/>
      <c r="D11661" s="219"/>
      <c r="E11661" s="219"/>
      <c r="F11661" s="219"/>
      <c r="G11661" s="52">
        <f>SUM(G11654:G11660)</f>
        <v>62092</v>
      </c>
    </row>
    <row r="11662" spans="1:7" x14ac:dyDescent="0.25">
      <c r="A11662" s="56"/>
      <c r="B11662" s="57"/>
      <c r="C11662" s="57"/>
      <c r="D11662" s="57"/>
      <c r="E11662" s="57"/>
      <c r="F11662" s="57"/>
      <c r="G11662" s="58"/>
    </row>
    <row r="11663" spans="1:7" x14ac:dyDescent="0.25">
      <c r="A11663" s="219" t="s">
        <v>70</v>
      </c>
      <c r="B11663" s="219"/>
      <c r="C11663" s="219"/>
      <c r="D11663" s="219"/>
      <c r="E11663" s="219"/>
      <c r="F11663" s="219"/>
      <c r="G11663" s="219"/>
    </row>
    <row r="11664" spans="1:7" x14ac:dyDescent="0.25">
      <c r="A11664" s="49" t="s">
        <v>35</v>
      </c>
      <c r="B11664" s="219" t="s">
        <v>36</v>
      </c>
      <c r="C11664" s="219"/>
      <c r="D11664" s="49" t="s">
        <v>37</v>
      </c>
      <c r="E11664" s="49" t="s">
        <v>38</v>
      </c>
      <c r="F11664" s="49" t="s">
        <v>39</v>
      </c>
      <c r="G11664" s="49" t="s">
        <v>40</v>
      </c>
    </row>
    <row r="11665" spans="1:7" x14ac:dyDescent="0.25">
      <c r="A11665" s="50" t="s">
        <v>71</v>
      </c>
      <c r="B11665" s="71" t="str">
        <f>VLOOKUP(A11665,'Componentes APUs'!$A$1:$D$14,2,0)</f>
        <v>Camisa indigo sin partes metalicas</v>
      </c>
      <c r="C11665" s="71"/>
      <c r="D11665" s="50" t="str">
        <f>VLOOKUP(A11665,'Componentes APUs'!$A$1:$D$14,3,0)</f>
        <v>U</v>
      </c>
      <c r="E11665" s="50">
        <f>SUM(C11643:C11648)</f>
        <v>4.75</v>
      </c>
      <c r="F11665" s="51">
        <f>VLOOKUP(A11665,'Componentes APUs'!$A$1:$D$14,4,0)</f>
        <v>8585.8585858585866</v>
      </c>
      <c r="G11665" s="51">
        <f>ROUNDUP(F11665*(E11665/21)/E11635,0)</f>
        <v>3885</v>
      </c>
    </row>
    <row r="11666" spans="1:7" x14ac:dyDescent="0.25">
      <c r="A11666" s="69" t="s">
        <v>73</v>
      </c>
      <c r="B11666" s="72" t="str">
        <f>VLOOKUP(A11666,'Componentes APUs'!$A$1:$D$14,2,0)</f>
        <v>Bota de seguridad dielectrica</v>
      </c>
      <c r="C11666" s="73"/>
      <c r="D11666" s="70" t="str">
        <f>VLOOKUP(A11666,'Componentes APUs'!$A$1:$D$14,3,0)</f>
        <v>Par</v>
      </c>
      <c r="E11666" s="50">
        <f>SUM(C11643:C11648)</f>
        <v>4.75</v>
      </c>
      <c r="F11666" s="51">
        <f>VLOOKUP(A11666,'Componentes APUs'!$A$1:$D$14,4,0)</f>
        <v>7500</v>
      </c>
      <c r="G11666" s="51">
        <f>ROUNDUP(F11666*(E11666/21)/E11635,0)</f>
        <v>3393</v>
      </c>
    </row>
    <row r="11667" spans="1:7" x14ac:dyDescent="0.25">
      <c r="A11667" s="50" t="s">
        <v>76</v>
      </c>
      <c r="B11667" s="72" t="str">
        <f>VLOOKUP(A11667,'Componentes APUs'!$A$1:$D$14,2,0)</f>
        <v>Casco dielectrico Tipo 1 Clase E con barbuquejo</v>
      </c>
      <c r="C11667" s="73"/>
      <c r="D11667" s="50" t="str">
        <f>VLOOKUP(A11667,'Componentes APUs'!$A$1:$D$14,3,0)</f>
        <v>U</v>
      </c>
      <c r="E11667" s="50">
        <f>C11643+C11644+C11647+C11648+C11646+IF(A11645&lt;&gt;"MO-3",C11645,0)</f>
        <v>2.75</v>
      </c>
      <c r="F11667" s="51">
        <f>VLOOKUP(A11667,'Componentes APUs'!$A$1:$D$14,4,0)</f>
        <v>10101.010101010101</v>
      </c>
      <c r="G11667" s="51">
        <f>ROUNDUP(F11667*(E11667/21)/E11635,0)</f>
        <v>2646</v>
      </c>
    </row>
    <row r="11668" spans="1:7" x14ac:dyDescent="0.25">
      <c r="A11668" s="69" t="s">
        <v>77</v>
      </c>
      <c r="B11668" s="72" t="str">
        <f>VLOOKUP(A11668,'Componentes APUs'!$A$1:$D$14,2,0)</f>
        <v>Correa plastica y antiflama</v>
      </c>
      <c r="C11668" s="73"/>
      <c r="D11668" s="50" t="str">
        <f>VLOOKUP(A11668,'Componentes APUs'!$A$1:$D$14,3,0)</f>
        <v>U</v>
      </c>
      <c r="E11668" s="50">
        <f>SUM(C11643:C11648)</f>
        <v>4.75</v>
      </c>
      <c r="F11668" s="51">
        <f>VLOOKUP(A11668,'Componentes APUs'!$A$1:$D$14,4,0)</f>
        <v>3787.878787878788</v>
      </c>
      <c r="G11668" s="51">
        <f>ROUNDUP(F11668*(E11668/21)/E11635,0)</f>
        <v>1714</v>
      </c>
    </row>
    <row r="11669" spans="1:7" x14ac:dyDescent="0.25">
      <c r="A11669" s="50" t="s">
        <v>79</v>
      </c>
      <c r="B11669" s="72" t="str">
        <f>VLOOKUP(A11669,'Componentes APUs'!$A$1:$D$14,2,0)</f>
        <v>Gafas protectoras filtro UV</v>
      </c>
      <c r="C11669" s="73"/>
      <c r="D11669" s="50" t="str">
        <f>VLOOKUP(A11669,'Componentes APUs'!$A$1:$D$14,3,0)</f>
        <v>U</v>
      </c>
      <c r="E11669" s="50">
        <f>SUM(C11643:C11648)</f>
        <v>4.75</v>
      </c>
      <c r="F11669" s="51">
        <f>VLOOKUP(A11669,'Componentes APUs'!$A$1:$D$14,4,0)</f>
        <v>2777.7777777777778</v>
      </c>
      <c r="G11669" s="51">
        <f>ROUNDUP(F11669*(E11669/21)/E11635,0)</f>
        <v>1257</v>
      </c>
    </row>
    <row r="11670" spans="1:7" x14ac:dyDescent="0.25">
      <c r="A11670" s="69" t="s">
        <v>402</v>
      </c>
      <c r="B11670" s="72" t="str">
        <f>VLOOKUP(A11670,'Componentes APUs'!$A$1:$D$14,2,0)</f>
        <v>Bota de seguridad PVC dielectrica</v>
      </c>
      <c r="C11670" s="73"/>
      <c r="D11670" s="50" t="str">
        <f>VLOOKUP(A11670,'Componentes APUs'!$A$1:$D$14,3,0)</f>
        <v>Par</v>
      </c>
      <c r="E11670" s="50">
        <f>SUM(C11643:C11648)</f>
        <v>4.75</v>
      </c>
      <c r="F11670" s="51">
        <f>VLOOKUP(A11670,'Componentes APUs'!$A$1:$D$14,4,0)</f>
        <v>2916.6666666666665</v>
      </c>
      <c r="G11670" s="51">
        <f>ROUNDUP(F11670*(E11670/21)/E11635,0)</f>
        <v>1320</v>
      </c>
    </row>
    <row r="11671" spans="1:7" x14ac:dyDescent="0.25">
      <c r="A11671" s="50" t="s">
        <v>403</v>
      </c>
      <c r="B11671" s="72" t="str">
        <f>VLOOKUP(A11671,'Componentes APUs'!$A$1:$D$14,2,0)</f>
        <v>Capuchon</v>
      </c>
      <c r="C11671" s="73"/>
      <c r="D11671" s="50" t="str">
        <f>VLOOKUP(A11671,'Componentes APUs'!$A$1:$D$14,3,0)</f>
        <v>U</v>
      </c>
      <c r="E11671" s="50">
        <f>SUM(C11643:C11648)</f>
        <v>4.75</v>
      </c>
      <c r="F11671" s="51">
        <f>VLOOKUP(A11671,'Componentes APUs'!$A$1:$D$14,4,0)</f>
        <v>2525.2525252525252</v>
      </c>
      <c r="G11671" s="51">
        <f>ROUNDUP(F11671*(E11671/21)/E11635,0)</f>
        <v>1143</v>
      </c>
    </row>
    <row r="11672" spans="1:7" x14ac:dyDescent="0.25">
      <c r="A11672" s="69" t="s">
        <v>81</v>
      </c>
      <c r="B11672" s="72" t="str">
        <f>VLOOKUP(A11672,'Componentes APUs'!$A$1:$D$14,2,0)</f>
        <v>Guantes Protectores  - ingeniero reforzados</v>
      </c>
      <c r="C11672" s="73"/>
      <c r="D11672" s="50" t="str">
        <f>VLOOKUP(A11672,'Componentes APUs'!$A$1:$D$14,3,0)</f>
        <v>Par</v>
      </c>
      <c r="E11672" s="50">
        <f>C11645+C11646+C11648</f>
        <v>4</v>
      </c>
      <c r="F11672" s="51">
        <f>VLOOKUP(A11672,'Componentes APUs'!$A$1:$D$14,4,0)</f>
        <v>2525.2525252525252</v>
      </c>
      <c r="G11672" s="51">
        <f>ROUNDUP(F11672*(E11672/21)/E11635,0)</f>
        <v>963</v>
      </c>
    </row>
    <row r="11673" spans="1:7" x14ac:dyDescent="0.25">
      <c r="A11673" s="50" t="s">
        <v>83</v>
      </c>
      <c r="B11673" s="72" t="str">
        <f>VLOOKUP(A11673,'Componentes APUs'!$A$1:$D$14,2,0)</f>
        <v>Impermeable (pantalon camisa)</v>
      </c>
      <c r="C11673" s="73"/>
      <c r="D11673" s="50" t="str">
        <f>VLOOKUP(A11673,'Componentes APUs'!$A$1:$D$14,3,0)</f>
        <v>U</v>
      </c>
      <c r="E11673" s="50">
        <f>SUM(C11643:C11648)</f>
        <v>4.75</v>
      </c>
      <c r="F11673" s="51">
        <f>VLOOKUP(A11673,'Componentes APUs'!$A$1:$D$14,4,0)</f>
        <v>3750</v>
      </c>
      <c r="G11673" s="51">
        <f>ROUNDUP(F11673*(E11673/21)/E11635,0)</f>
        <v>1697</v>
      </c>
    </row>
    <row r="11674" spans="1:7" x14ac:dyDescent="0.25">
      <c r="A11674" s="69" t="s">
        <v>85</v>
      </c>
      <c r="B11674" s="72" t="str">
        <f>VLOOKUP(A11674,'Componentes APUs'!$A$1:$D$14,2,0)</f>
        <v>Jean Dielectrico</v>
      </c>
      <c r="C11674" s="73"/>
      <c r="D11674" s="50" t="str">
        <f>VLOOKUP(A11674,'Componentes APUs'!$A$1:$D$14,3,0)</f>
        <v>U</v>
      </c>
      <c r="E11674" s="50">
        <f>SUM(C11643:C11648)</f>
        <v>4.75</v>
      </c>
      <c r="F11674" s="51">
        <f>VLOOKUP(A11674,'Componentes APUs'!$A$1:$D$14,4,0)</f>
        <v>7575.757575757576</v>
      </c>
      <c r="G11674" s="51">
        <f>ROUNDUP(F11674*(E11674/21)/E11635,0)</f>
        <v>3428</v>
      </c>
    </row>
    <row r="11675" spans="1:7" x14ac:dyDescent="0.25">
      <c r="A11675" s="50" t="s">
        <v>87</v>
      </c>
      <c r="B11675" s="72" t="str">
        <f>VLOOKUP(A11675,'Componentes APUs'!$A$1:$D$14,2,0)</f>
        <v>Casco dielectrico Tipo 2 Clase E con barboquejo</v>
      </c>
      <c r="C11675" s="73"/>
      <c r="D11675" s="50" t="str">
        <f>VLOOKUP(A11675,'Componentes APUs'!$A$1:$D$14,3,0)</f>
        <v>U</v>
      </c>
      <c r="E11675" s="53">
        <f>IF(A11645="MO-3",C11645,0)</f>
        <v>2</v>
      </c>
      <c r="F11675" s="51">
        <f>VLOOKUP(A11675,'Componentes APUs'!$A$1:$D$14,4,0)</f>
        <v>7500</v>
      </c>
      <c r="G11675" s="51">
        <f>ROUNDUP(F11675*(E11675/21)/E11635,0)</f>
        <v>1429</v>
      </c>
    </row>
    <row r="11676" spans="1:7" x14ac:dyDescent="0.25">
      <c r="A11676" s="69" t="s">
        <v>89</v>
      </c>
      <c r="B11676" s="72" t="str">
        <f>VLOOKUP(A11676,'Componentes APUs'!$A$1:$D$14,2,0)</f>
        <v>Kit de rescate para trabajo en alturas</v>
      </c>
      <c r="C11676" s="73"/>
      <c r="D11676" s="50" t="str">
        <f>VLOOKUP(A11676,'Componentes APUs'!$A$1:$D$14,3,0)</f>
        <v>U</v>
      </c>
      <c r="E11676" s="50">
        <f>IF(AND(A11645="MO-3",C11645=2),1,0)</f>
        <v>1</v>
      </c>
      <c r="F11676" s="51">
        <f>VLOOKUP(A11676,'Componentes APUs'!$A$1:$D$14,4,0)</f>
        <v>37500</v>
      </c>
      <c r="G11676" s="51">
        <f>ROUNDUP(F11676*(E11676/21)/E11635,0)</f>
        <v>3572</v>
      </c>
    </row>
    <row r="11677" spans="1:7" x14ac:dyDescent="0.25">
      <c r="A11677" s="50" t="s">
        <v>91</v>
      </c>
      <c r="B11677" s="72" t="str">
        <f>VLOOKUP(A11677,'Componentes APUs'!$A$1:$D$14,2,0)</f>
        <v>Equipo completo para trabajo en alturas con pretales (Arnes dielectrico, 1 mosqueton de seguridad, tie off dielectrico, eslinga de posicionamiento, juego de pretales)</v>
      </c>
      <c r="C11677" s="73"/>
      <c r="D11677" s="50" t="str">
        <f>VLOOKUP(A11677,'Componentes APUs'!$A$1:$D$14,3,0)</f>
        <v>U</v>
      </c>
      <c r="E11677" s="50">
        <f>IF(A11645="MO-3",C11645,0)</f>
        <v>2</v>
      </c>
      <c r="F11677" s="51">
        <f>VLOOKUP(A11677,'Componentes APUs'!$A$1:$D$14,4,0)</f>
        <v>26041.666666666668</v>
      </c>
      <c r="G11677" s="51">
        <f>ROUNDUP(F11677*(E11677/21)/E11635,0)</f>
        <v>4961</v>
      </c>
    </row>
    <row r="11678" spans="1:7" x14ac:dyDescent="0.25">
      <c r="A11678" s="219" t="s">
        <v>95</v>
      </c>
      <c r="B11678" s="219"/>
      <c r="C11678" s="219"/>
      <c r="D11678" s="219"/>
      <c r="E11678" s="219"/>
      <c r="F11678" s="219"/>
      <c r="G11678" s="52">
        <f>SUM(G11665:G11677)</f>
        <v>31408</v>
      </c>
    </row>
    <row r="11679" spans="1:7" x14ac:dyDescent="0.25">
      <c r="A11679" s="56"/>
      <c r="B11679" s="57"/>
      <c r="C11679" s="57"/>
      <c r="D11679" s="57"/>
      <c r="E11679" s="57"/>
      <c r="F11679" s="57"/>
      <c r="G11679" s="58"/>
    </row>
    <row r="11680" spans="1:7" x14ac:dyDescent="0.25">
      <c r="A11680" s="219" t="s">
        <v>96</v>
      </c>
      <c r="B11680" s="219"/>
      <c r="C11680" s="219"/>
      <c r="D11680" s="219"/>
      <c r="E11680" s="219"/>
      <c r="F11680" s="219"/>
      <c r="G11680" s="219"/>
    </row>
    <row r="11681" spans="1:7" x14ac:dyDescent="0.25">
      <c r="A11681" s="49" t="s">
        <v>35</v>
      </c>
      <c r="B11681" s="225" t="s">
        <v>36</v>
      </c>
      <c r="C11681" s="225"/>
      <c r="D11681" s="49" t="s">
        <v>37</v>
      </c>
      <c r="E11681" s="49" t="s">
        <v>38</v>
      </c>
      <c r="F11681" s="49" t="s">
        <v>39</v>
      </c>
      <c r="G11681" s="49" t="s">
        <v>40</v>
      </c>
    </row>
    <row r="11682" spans="1:7" x14ac:dyDescent="0.25">
      <c r="A11682" s="69" t="s">
        <v>97</v>
      </c>
      <c r="B11682" s="72" t="str">
        <f>VLOOKUP(A11682,'Componentes APUs'!$N$1:$Q$30,2,0)</f>
        <v>Camioneta</v>
      </c>
      <c r="C11682" s="73"/>
      <c r="D11682" s="70" t="str">
        <f>VLOOKUP(A11682,'Componentes APUs'!$N$1:$Q$30,3,0)</f>
        <v>U</v>
      </c>
      <c r="E11682" s="50">
        <v>1</v>
      </c>
      <c r="F11682" s="51">
        <f>VLOOKUP(A11682,'Componentes APUs'!$N$1:$Q$30,4,0)</f>
        <v>5500000</v>
      </c>
      <c r="G11682" s="51">
        <f>IFERROR(ROUNDUP(F11682*(E11682/21)/E11635,0),"-")</f>
        <v>523810</v>
      </c>
    </row>
    <row r="11683" spans="1:7" x14ac:dyDescent="0.25">
      <c r="A11683" s="50" t="s">
        <v>321</v>
      </c>
      <c r="B11683" s="72" t="str">
        <f>VLOOKUP(A11683,'Componentes APUs'!$N$1:$Q$30,2,0)</f>
        <v>Grúa Hidráulica</v>
      </c>
      <c r="C11683" s="73"/>
      <c r="D11683" s="70" t="str">
        <f>VLOOKUP(A11683,'Componentes APUs'!$N$1:$Q$30,3,0)</f>
        <v>U</v>
      </c>
      <c r="E11683" s="50">
        <v>0</v>
      </c>
      <c r="F11683" s="51">
        <f>VLOOKUP(A11683,'Componentes APUs'!$N$1:$Q$30,4,0)</f>
        <v>21000000</v>
      </c>
      <c r="G11683" s="51">
        <f>IFERROR(ROUNDUP(F11683*(E11683/21)/E11635,0),"-")</f>
        <v>0</v>
      </c>
    </row>
    <row r="11684" spans="1:7" x14ac:dyDescent="0.25">
      <c r="A11684" s="219" t="s">
        <v>99</v>
      </c>
      <c r="B11684" s="219"/>
      <c r="C11684" s="219"/>
      <c r="D11684" s="219"/>
      <c r="E11684" s="219"/>
      <c r="F11684" s="219"/>
      <c r="G11684" s="52">
        <f>SUM(G11682:G11683)</f>
        <v>523810</v>
      </c>
    </row>
    <row r="11685" spans="1:7" x14ac:dyDescent="0.25">
      <c r="A11685" s="56"/>
      <c r="B11685" s="57"/>
      <c r="C11685" s="57"/>
      <c r="D11685" s="57"/>
      <c r="E11685" s="57"/>
      <c r="F11685" s="57"/>
      <c r="G11685" s="58"/>
    </row>
    <row r="11686" spans="1:7" x14ac:dyDescent="0.25">
      <c r="A11686" s="219" t="s">
        <v>1516</v>
      </c>
      <c r="B11686" s="219"/>
      <c r="C11686" s="219"/>
      <c r="D11686" s="219"/>
      <c r="E11686" s="219"/>
      <c r="F11686" s="219"/>
      <c r="G11686" s="52">
        <f>G11684+G11678+G11661+G11650+G11639</f>
        <v>429316389</v>
      </c>
    </row>
    <row r="11687" spans="1:7" x14ac:dyDescent="0.25">
      <c r="A11687" s="59"/>
      <c r="B11687" s="60"/>
      <c r="C11687" s="60"/>
      <c r="D11687" s="60"/>
      <c r="E11687" s="57"/>
      <c r="F11687" s="57"/>
      <c r="G11687" s="58"/>
    </row>
    <row r="11688" spans="1:7" x14ac:dyDescent="0.25">
      <c r="A11688" s="64"/>
      <c r="D11688" s="55"/>
      <c r="E11688" s="49" t="s">
        <v>25</v>
      </c>
      <c r="F11688" s="54">
        <v>0.15</v>
      </c>
      <c r="G11688" s="51">
        <f>G11686*F11688</f>
        <v>64397458.349999994</v>
      </c>
    </row>
    <row r="11689" spans="1:7" x14ac:dyDescent="0.25">
      <c r="A11689" s="64"/>
      <c r="D11689" s="55"/>
      <c r="E11689" s="49" t="s">
        <v>26</v>
      </c>
      <c r="F11689" s="54">
        <v>0.05</v>
      </c>
      <c r="G11689" s="51">
        <f>G11686*F11689</f>
        <v>21465819.450000003</v>
      </c>
    </row>
    <row r="11690" spans="1:7" x14ac:dyDescent="0.25">
      <c r="A11690" s="61"/>
      <c r="B11690" s="65"/>
      <c r="C11690" s="65"/>
      <c r="D11690" s="62"/>
      <c r="E11690" s="49" t="s">
        <v>27</v>
      </c>
      <c r="F11690" s="54">
        <v>0.05</v>
      </c>
      <c r="G11690" s="51">
        <f>G11686*F11690</f>
        <v>21465819.450000003</v>
      </c>
    </row>
    <row r="11691" spans="1:7" x14ac:dyDescent="0.25">
      <c r="A11691" s="61"/>
      <c r="B11691" s="62"/>
      <c r="C11691" s="62"/>
      <c r="D11691" s="62"/>
      <c r="E11691" s="62"/>
      <c r="F11691" s="62"/>
      <c r="G11691" s="63"/>
    </row>
    <row r="11692" spans="1:7" x14ac:dyDescent="0.25">
      <c r="A11692" s="219" t="s">
        <v>1517</v>
      </c>
      <c r="B11692" s="219"/>
      <c r="C11692" s="219"/>
      <c r="D11692" s="219"/>
      <c r="E11692" s="219"/>
      <c r="F11692" s="219"/>
      <c r="G11692" s="52">
        <f>G11686+G11688+G11689+G11690</f>
        <v>536645486.25</v>
      </c>
    </row>
    <row r="11693" spans="1:7" x14ac:dyDescent="0.25">
      <c r="A11693" s="59"/>
      <c r="B11693" s="60"/>
      <c r="C11693" s="60"/>
      <c r="D11693" s="60"/>
      <c r="E11693" s="57"/>
      <c r="F11693" s="57"/>
      <c r="G11693" s="58"/>
    </row>
    <row r="11694" spans="1:7" x14ac:dyDescent="0.25">
      <c r="A11694" s="64"/>
      <c r="D11694" s="55"/>
      <c r="E11694" s="49" t="s">
        <v>102</v>
      </c>
      <c r="F11694" s="49" t="s">
        <v>103</v>
      </c>
      <c r="G11694" s="51">
        <f>G11690*19%</f>
        <v>4078505.6955000008</v>
      </c>
    </row>
    <row r="11695" spans="1:7" x14ac:dyDescent="0.25">
      <c r="A11695" s="61"/>
      <c r="B11695" s="62"/>
      <c r="C11695" s="62"/>
      <c r="D11695" s="62"/>
      <c r="E11695" s="57"/>
      <c r="F11695" s="57"/>
      <c r="G11695" s="58"/>
    </row>
    <row r="11696" spans="1:7" x14ac:dyDescent="0.25">
      <c r="A11696" s="219" t="s">
        <v>104</v>
      </c>
      <c r="B11696" s="219"/>
      <c r="C11696" s="219"/>
      <c r="D11696" s="219"/>
      <c r="E11696" s="219"/>
      <c r="F11696" s="219"/>
      <c r="G11696" s="52">
        <f>G11694+G11692</f>
        <v>540723991.94550002</v>
      </c>
    </row>
    <row r="11698" spans="1:7" x14ac:dyDescent="0.25">
      <c r="A11698" s="74" t="s">
        <v>29</v>
      </c>
      <c r="B11698" s="226" t="s">
        <v>30</v>
      </c>
      <c r="C11698" s="226"/>
      <c r="D11698" s="74" t="s">
        <v>31</v>
      </c>
      <c r="E11698" s="74" t="s">
        <v>32</v>
      </c>
      <c r="F11698" s="74" t="s">
        <v>189</v>
      </c>
      <c r="G11698" s="74" t="s">
        <v>33</v>
      </c>
    </row>
    <row r="11699" spans="1:7" ht="92.25" customHeight="1" x14ac:dyDescent="0.25">
      <c r="A11699" s="50" t="str">
        <f>Presupuesto!B212</f>
        <v>022_N3</v>
      </c>
      <c r="B11699" s="220" t="str">
        <f>Presupuesto!C212</f>
        <v>CELDA INTERRUPTOR TRIFÁSICO 36 KV/ 80 kA, AISLADA EN VACÍO. CORRIENTE NOMINAL: 630 A. 60 HZ. 3 POLOS. INCLUYE: 3 TRANSFORMADORES DE CORRIENTE TRIPLE NUCLEO (N1:400-800/5 CL: 0.2s, N2:400-800/5  CL: 0.2s, N3:400-800/5 CL: 5P30, BURDEN: 25 VA) CON PROTOCOLOS DE PRUEBA DE PRECISIÓN DE FABRICANTE Y LABORATORIO ACREDITADO Y UNIDAD INTEGRADA DE CONTROL Y PROTECCIÓN (RELÉS: 50, 51, 50N, 51N, 50BFE1/E2,25, 27,59, 74, 79, 67, 67N, 81), PUERTO DE COMUNICACIÓN PARA FIBRA ÓPTICA, PROTOCOLO DE COMUNICACIÓN 61850. PARA BAHÍA DE LÍNEA.</v>
      </c>
      <c r="C11699" s="220"/>
      <c r="D11699" s="50" t="s">
        <v>18</v>
      </c>
      <c r="E11699" s="50">
        <v>0.5</v>
      </c>
      <c r="F11699" s="50"/>
      <c r="G11699" s="51">
        <f>G11761</f>
        <v>540723991.94550002</v>
      </c>
    </row>
    <row r="11700" spans="1:7" x14ac:dyDescent="0.25">
      <c r="A11700" s="219" t="s">
        <v>34</v>
      </c>
      <c r="B11700" s="219"/>
      <c r="C11700" s="219"/>
      <c r="D11700" s="219"/>
      <c r="E11700" s="219"/>
      <c r="F11700" s="219"/>
      <c r="G11700" s="219"/>
    </row>
    <row r="11701" spans="1:7" x14ac:dyDescent="0.25">
      <c r="A11701" s="49" t="s">
        <v>35</v>
      </c>
      <c r="B11701" s="219" t="s">
        <v>36</v>
      </c>
      <c r="C11701" s="219"/>
      <c r="D11701" s="49" t="s">
        <v>37</v>
      </c>
      <c r="E11701" s="49" t="s">
        <v>38</v>
      </c>
      <c r="F11701" s="49" t="s">
        <v>39</v>
      </c>
      <c r="G11701" s="49" t="s">
        <v>40</v>
      </c>
    </row>
    <row r="11702" spans="1:7" ht="96" customHeight="1" x14ac:dyDescent="0.25">
      <c r="A11702" s="17" t="str">
        <f>Material!A365</f>
        <v>MA-364</v>
      </c>
      <c r="B11702" s="221" t="str">
        <f>IFERROR(VLOOKUP(A11702,Material!$A:$H,2,0),"-")</f>
        <v>CELDA INTERRUPTOR TRIFÁSICO 36 KV/ 80 kA, TIPO INTERIOR, EN VACÍO. CORRIENTE NOMINAL: 630 A. 60 HZ. 3 POLOS. INCLUYE: 3 TRANSFORMADORES DE CORRIENTE TRIPLE NUCLEO (N1:400-800/5 CL: 0.5s, N2:400-800/5  CL: 0.5s, N3:400-800/5 CL: 5P20) CON PROTOCOLOS DE PRUEBA DE PRECISIÓN DE FABRICANTE Y LABORATORIO ACREDITADO Y UNIDAD INTEGRADA DE CONTROL Y PROTECCIÓN (RELÉS: 50, 51, 50N, 51N, 50BFE1/E2,25, 27,59, 74, 79, 67, 67N, 81), PUERTO DE COMUNICACIÓN PARA FIBRA ÓPTICA, PROTOCOLO DE COMUNICACIÓN 61850</v>
      </c>
      <c r="C11702" s="222"/>
      <c r="D11702" s="50" t="str">
        <f>IFERROR(VLOOKUP(A11702,Material!$A:$H,4,0),"-")</f>
        <v>UN</v>
      </c>
      <c r="E11702" s="50">
        <v>1</v>
      </c>
      <c r="F11702" s="51">
        <f>IFERROR(VLOOKUP(A11702,Material!$A:$H,3,0),"-")</f>
        <v>423577026.56732506</v>
      </c>
      <c r="G11702" s="51">
        <f t="shared" ref="G11702" si="164">IFERROR(ROUNDUP(F11702*E11702,0),"-")</f>
        <v>423577027</v>
      </c>
    </row>
    <row r="11703" spans="1:7" x14ac:dyDescent="0.25">
      <c r="A11703" s="219" t="s">
        <v>41</v>
      </c>
      <c r="B11703" s="219"/>
      <c r="C11703" s="219"/>
      <c r="D11703" s="219"/>
      <c r="E11703" s="219"/>
      <c r="F11703" s="219"/>
      <c r="G11703" s="52">
        <f>SUM(G11702:G11702)</f>
        <v>423577027</v>
      </c>
    </row>
    <row r="11704" spans="1:7" x14ac:dyDescent="0.25">
      <c r="A11704" s="56"/>
      <c r="B11704" s="57"/>
      <c r="C11704" s="57"/>
      <c r="D11704" s="57"/>
      <c r="E11704" s="57"/>
      <c r="F11704" s="57"/>
      <c r="G11704" s="58"/>
    </row>
    <row r="11705" spans="1:7" x14ac:dyDescent="0.25">
      <c r="A11705" s="219" t="s">
        <v>42</v>
      </c>
      <c r="B11705" s="219"/>
      <c r="C11705" s="219"/>
      <c r="D11705" s="219"/>
      <c r="E11705" s="219"/>
      <c r="F11705" s="219"/>
      <c r="G11705" s="219"/>
    </row>
    <row r="11706" spans="1:7" x14ac:dyDescent="0.25">
      <c r="A11706" s="49" t="s">
        <v>35</v>
      </c>
      <c r="B11706" s="49" t="s">
        <v>36</v>
      </c>
      <c r="C11706" s="49" t="s">
        <v>38</v>
      </c>
      <c r="D11706" s="49" t="s">
        <v>43</v>
      </c>
      <c r="E11706" s="49" t="s">
        <v>44</v>
      </c>
      <c r="F11706" s="49" t="s">
        <v>45</v>
      </c>
      <c r="G11706" s="49" t="s">
        <v>40</v>
      </c>
    </row>
    <row r="11707" spans="1:7" x14ac:dyDescent="0.25">
      <c r="A11707" s="50" t="s">
        <v>319</v>
      </c>
      <c r="B11707" s="68" t="str">
        <f>VLOOKUP(A11707,'Componentes APUs'!$H$1:$L$25,2,0)</f>
        <v>Ingeniero Residente de Obra</v>
      </c>
      <c r="C11707" s="93">
        <v>0.25</v>
      </c>
      <c r="D11707" s="50">
        <f>VLOOKUP(A11707,'Componentes APUs'!$H$1:$L$25,3,0)</f>
        <v>4</v>
      </c>
      <c r="E11707" s="51">
        <f>VLOOKUP(A11707,'Componentes APUs'!$H$1:$L$25,4,0)</f>
        <v>271142.85714285716</v>
      </c>
      <c r="F11707" s="51">
        <f>VLOOKUP(A11707,'Componentes APUs'!$H$1:$L$25,5,0)</f>
        <v>162685.71428571429</v>
      </c>
      <c r="G11707" s="51">
        <f>ROUNDUP((E11707+F11707)*C11707/E11699,0)</f>
        <v>216915</v>
      </c>
    </row>
    <row r="11708" spans="1:7" x14ac:dyDescent="0.25">
      <c r="A11708" s="50" t="s">
        <v>320</v>
      </c>
      <c r="B11708" s="68" t="str">
        <f>VLOOKUP(A11708,'Componentes APUs'!$H$1:$L$25,2,0)</f>
        <v>Tecnico Supervisor</v>
      </c>
      <c r="C11708" s="93">
        <v>0.25</v>
      </c>
      <c r="D11708" s="50">
        <f>VLOOKUP(A11708,'Componentes APUs'!$H$1:$L$25,3,0)</f>
        <v>2.2999999999999998</v>
      </c>
      <c r="E11708" s="51">
        <f>VLOOKUP(A11708,'Componentes APUs'!$H$1:$L$25,4,0)</f>
        <v>155907.14285714284</v>
      </c>
      <c r="F11708" s="51">
        <f>VLOOKUP(A11708,'Componentes APUs'!$H$1:$L$25,5,0)</f>
        <v>93544.285714285696</v>
      </c>
      <c r="G11708" s="51">
        <f>ROUNDUP((E11708+F11708)*C11708/E11699,0)</f>
        <v>124726</v>
      </c>
    </row>
    <row r="11709" spans="1:7" x14ac:dyDescent="0.25">
      <c r="A11709" s="50" t="s">
        <v>46</v>
      </c>
      <c r="B11709" s="68" t="str">
        <f>VLOOKUP(A11709,'Componentes APUs'!$H$1:$L$25,2,0)</f>
        <v>Tecnico Liniero</v>
      </c>
      <c r="C11709" s="93">
        <v>2</v>
      </c>
      <c r="D11709" s="50">
        <f>VLOOKUP(A11709,'Componentes APUs'!$H$1:$L$25,3,0)</f>
        <v>2</v>
      </c>
      <c r="E11709" s="51">
        <f>VLOOKUP(A11709,'Componentes APUs'!$H$1:$L$25,4,0)</f>
        <v>154619.04761904763</v>
      </c>
      <c r="F11709" s="51">
        <f>VLOOKUP(A11709,'Componentes APUs'!$H$1:$L$25,5,0)</f>
        <v>92771.42857142858</v>
      </c>
      <c r="G11709" s="51">
        <f>ROUNDUP((E11709+F11709)*C11709/E11699,0)</f>
        <v>989562</v>
      </c>
    </row>
    <row r="11710" spans="1:7" x14ac:dyDescent="0.25">
      <c r="A11710" s="50" t="s">
        <v>48</v>
      </c>
      <c r="B11710" s="68" t="str">
        <f>VLOOKUP(A11710,'Componentes APUs'!$H$1:$L$25,2,0)</f>
        <v>Ayudante Calificado</v>
      </c>
      <c r="C11710" s="93">
        <v>1</v>
      </c>
      <c r="D11710" s="50">
        <f>VLOOKUP(A11710,'Componentes APUs'!$H$1:$L$25,3,0)</f>
        <v>1.5</v>
      </c>
      <c r="E11710" s="51">
        <f>VLOOKUP(A11710,'Componentes APUs'!$H$1:$L$25,4,0)</f>
        <v>115964.28571428571</v>
      </c>
      <c r="F11710" s="51">
        <f>VLOOKUP(A11710,'Componentes APUs'!$H$1:$L$25,5,0)</f>
        <v>69578.57142857142</v>
      </c>
      <c r="G11710" s="51">
        <f>ROUNDUP((E11710+F11710)*C11710/E11699,0)</f>
        <v>371086</v>
      </c>
    </row>
    <row r="11711" spans="1:7" x14ac:dyDescent="0.25">
      <c r="A11711" s="50" t="s">
        <v>50</v>
      </c>
      <c r="B11711" s="68" t="str">
        <f>VLOOKUP(A11711,'Componentes APUs'!$H$1:$L$25,2,0)</f>
        <v>Profesional en SST</v>
      </c>
      <c r="C11711" s="93">
        <v>0.25</v>
      </c>
      <c r="D11711" s="50">
        <f>VLOOKUP(A11711,'Componentes APUs'!$H$1:$L$25,3,0)</f>
        <v>2.5</v>
      </c>
      <c r="E11711" s="51">
        <f>VLOOKUP(A11711,'Componentes APUs'!$H$1:$L$25,4,0)</f>
        <v>169464.28571428571</v>
      </c>
      <c r="F11711" s="51">
        <f>VLOOKUP(A11711,'Componentes APUs'!$H$1:$L$25,5,0)</f>
        <v>101678.57142857142</v>
      </c>
      <c r="G11711" s="51">
        <f>ROUNDUP((E11711+F11711)*C11711/E11699,0)</f>
        <v>135572</v>
      </c>
    </row>
    <row r="11712" spans="1:7" x14ac:dyDescent="0.25">
      <c r="A11712" s="50" t="s">
        <v>52</v>
      </c>
      <c r="B11712" s="68" t="str">
        <f>VLOOKUP(A11712,'Componentes APUs'!$H$1:$L$25,2,0)</f>
        <v>Ayudante No Calificado</v>
      </c>
      <c r="C11712" s="93">
        <v>1</v>
      </c>
      <c r="D11712" s="50">
        <f>VLOOKUP(A11712,'Componentes APUs'!$H$1:$L$25,3,0)</f>
        <v>1</v>
      </c>
      <c r="E11712" s="51">
        <f>VLOOKUP(A11712,'Componentes APUs'!$H$1:$L$25,4,0)</f>
        <v>77309.523809523816</v>
      </c>
      <c r="F11712" s="51">
        <f>VLOOKUP(A11712,'Componentes APUs'!$H$1:$L$25,5,0)</f>
        <v>46385.71428571429</v>
      </c>
      <c r="G11712" s="51">
        <f>ROUNDUP((E11712+F11712)*C11712/E11699,0)</f>
        <v>247391</v>
      </c>
    </row>
    <row r="11713" spans="1:7" x14ac:dyDescent="0.25">
      <c r="A11713" s="50" t="s">
        <v>1121</v>
      </c>
      <c r="B11713" s="68" t="str">
        <f>VLOOKUP(A11713,'Componentes APUs'!$H$1:$L$25,2,0)</f>
        <v>Ingeniero Especialista de Control y Protección Subestación</v>
      </c>
      <c r="C11713" s="93">
        <v>1</v>
      </c>
      <c r="D11713" s="50">
        <f>VLOOKUP(A11713,'Componentes APUs'!$H$1:$L$25,3,0)</f>
        <v>14</v>
      </c>
      <c r="E11713" s="51">
        <f>VLOOKUP(A11713,'Componentes APUs'!$H$1:$L$25,4,0)</f>
        <v>949000</v>
      </c>
      <c r="F11713" s="51">
        <f>VLOOKUP(A11713,'Componentes APUs'!$H$1:$L$25,5,0)</f>
        <v>569400</v>
      </c>
      <c r="G11713" s="51">
        <f>ROUNDUP((E11713+F11713)*C11713/E11699,0)</f>
        <v>3036800</v>
      </c>
    </row>
    <row r="11714" spans="1:7" x14ac:dyDescent="0.25">
      <c r="A11714" s="219" t="s">
        <v>56</v>
      </c>
      <c r="B11714" s="219"/>
      <c r="C11714" s="219"/>
      <c r="D11714" s="219"/>
      <c r="E11714" s="219"/>
      <c r="F11714" s="219"/>
      <c r="G11714" s="52">
        <f>SUM(G11707:G11713)</f>
        <v>5122052</v>
      </c>
    </row>
    <row r="11715" spans="1:7" x14ac:dyDescent="0.25">
      <c r="A11715" s="56"/>
      <c r="B11715" s="57"/>
      <c r="C11715" s="57"/>
      <c r="D11715" s="57"/>
      <c r="E11715" s="57"/>
      <c r="F11715" s="57"/>
      <c r="G11715" s="58"/>
    </row>
    <row r="11716" spans="1:7" x14ac:dyDescent="0.25">
      <c r="A11716" s="219" t="s">
        <v>57</v>
      </c>
      <c r="B11716" s="219"/>
      <c r="C11716" s="219"/>
      <c r="D11716" s="219"/>
      <c r="E11716" s="219"/>
      <c r="F11716" s="219"/>
      <c r="G11716" s="219"/>
    </row>
    <row r="11717" spans="1:7" x14ac:dyDescent="0.25">
      <c r="A11717" s="49" t="s">
        <v>35</v>
      </c>
      <c r="B11717" s="219" t="s">
        <v>36</v>
      </c>
      <c r="C11717" s="219"/>
      <c r="D11717" s="49" t="s">
        <v>37</v>
      </c>
      <c r="E11717" s="49" t="s">
        <v>38</v>
      </c>
      <c r="F11717" s="49" t="s">
        <v>39</v>
      </c>
      <c r="G11717" s="49" t="s">
        <v>40</v>
      </c>
    </row>
    <row r="11718" spans="1:7" x14ac:dyDescent="0.25">
      <c r="A11718" s="50" t="s">
        <v>326</v>
      </c>
      <c r="B11718" s="220" t="str">
        <f>VLOOKUP(A11718,'Componentes APUs'!$S$1:$V$10,2,0)</f>
        <v>Juego Llaves</v>
      </c>
      <c r="C11718" s="220"/>
      <c r="D11718" s="50" t="s">
        <v>18</v>
      </c>
      <c r="E11718" s="50">
        <v>2</v>
      </c>
      <c r="F11718" s="51">
        <f>VLOOKUP(A11718,'Componentes APUs'!$S$1:$V$10,4,0)</f>
        <v>9167</v>
      </c>
      <c r="G11718" s="51">
        <f>ROUNDUP(F11718*((E11718/21)/E11699),0)</f>
        <v>1747</v>
      </c>
    </row>
    <row r="11719" spans="1:7" x14ac:dyDescent="0.25">
      <c r="A11719" s="50" t="s">
        <v>58</v>
      </c>
      <c r="B11719" s="220" t="str">
        <f>VLOOKUP(A11719,'Componentes APUs'!$S$1:$V$10,2,0)</f>
        <v>Manila de servicio</v>
      </c>
      <c r="C11719" s="220"/>
      <c r="D11719" s="50" t="s">
        <v>18</v>
      </c>
      <c r="E11719" s="50">
        <v>2</v>
      </c>
      <c r="F11719" s="51">
        <f>VLOOKUP(A11719,'Componentes APUs'!$S$1:$V$10,4,0)</f>
        <v>2333</v>
      </c>
      <c r="G11719" s="51">
        <f>ROUNDUP(F11719*((E11719/21)/E11699),0)</f>
        <v>445</v>
      </c>
    </row>
    <row r="11720" spans="1:7" x14ac:dyDescent="0.25">
      <c r="A11720" s="50" t="s">
        <v>327</v>
      </c>
      <c r="B11720" s="220" t="str">
        <f>VLOOKUP(A11720,'Componentes APUs'!$S$1:$V$10,2,0)</f>
        <v>Tula portaherramientas</v>
      </c>
      <c r="C11720" s="220"/>
      <c r="D11720" s="50" t="s">
        <v>18</v>
      </c>
      <c r="E11720" s="50">
        <v>2</v>
      </c>
      <c r="F11720" s="51">
        <f>VLOOKUP(A11720,'Componentes APUs'!$S$1:$V$10,4,0)</f>
        <v>1250</v>
      </c>
      <c r="G11720" s="51">
        <f>ROUNDUP(F11720*((E11720/21)/E11699),0)</f>
        <v>239</v>
      </c>
    </row>
    <row r="11721" spans="1:7" x14ac:dyDescent="0.25">
      <c r="A11721" s="50" t="s">
        <v>60</v>
      </c>
      <c r="B11721" s="220" t="str">
        <f>VLOOKUP(A11721,'Componentes APUs'!$S$1:$V$10,2,0)</f>
        <v>Agarradoras</v>
      </c>
      <c r="C11721" s="220"/>
      <c r="D11721" s="50" t="s">
        <v>18</v>
      </c>
      <c r="E11721" s="50">
        <v>0</v>
      </c>
      <c r="F11721" s="51">
        <f>VLOOKUP(A11721,'Componentes APUs'!$S$1:$V$10,4,0)</f>
        <v>125000</v>
      </c>
      <c r="G11721" s="51">
        <f>ROUNDUP(F11721*((E11721/21)/E11699),0)</f>
        <v>0</v>
      </c>
    </row>
    <row r="11722" spans="1:7" x14ac:dyDescent="0.25">
      <c r="A11722" s="50" t="s">
        <v>62</v>
      </c>
      <c r="B11722" s="220" t="str">
        <f>VLOOKUP(A11722,'Componentes APUs'!$S$1:$V$10,2,0)</f>
        <v>Templadoras</v>
      </c>
      <c r="C11722" s="220"/>
      <c r="D11722" s="50" t="s">
        <v>18</v>
      </c>
      <c r="E11722" s="50">
        <v>0</v>
      </c>
      <c r="F11722" s="51">
        <f>VLOOKUP(A11722,'Componentes APUs'!$S$1:$V$10,4,0)</f>
        <v>250000</v>
      </c>
      <c r="G11722" s="51">
        <f>ROUNDUP(F11722*((E11722/21)/E11699),0)</f>
        <v>0</v>
      </c>
    </row>
    <row r="11723" spans="1:7" x14ac:dyDescent="0.25">
      <c r="A11723" s="50" t="s">
        <v>328</v>
      </c>
      <c r="B11723" s="220" t="str">
        <f>VLOOKUP(A11723,'Componentes APUs'!$S$1:$V$10,2,0)</f>
        <v>Herramienta Menor</v>
      </c>
      <c r="C11723" s="220"/>
      <c r="D11723" s="50" t="s">
        <v>18</v>
      </c>
      <c r="E11723" s="50">
        <v>2</v>
      </c>
      <c r="F11723" s="51">
        <f>VLOOKUP(A11723,'Componentes APUs'!$S$1:$V$10,4,0)</f>
        <v>75758</v>
      </c>
      <c r="G11723" s="51">
        <f>ROUNDUP(F11723*((E11723/21)/E11699),0)</f>
        <v>14431</v>
      </c>
    </row>
    <row r="11724" spans="1:7" x14ac:dyDescent="0.25">
      <c r="A11724" s="50" t="s">
        <v>66</v>
      </c>
      <c r="B11724" s="220" t="str">
        <f>VLOOKUP(A11724,'Componentes APUs'!$S$1:$V$10,2,0)</f>
        <v>Diferencial 2 Toneladas</v>
      </c>
      <c r="C11724" s="220"/>
      <c r="D11724" s="50" t="s">
        <v>18</v>
      </c>
      <c r="E11724" s="50">
        <v>1</v>
      </c>
      <c r="F11724" s="51">
        <f>VLOOKUP(A11724,'Componentes APUs'!$S$1:$V$10,4,0)</f>
        <v>474905</v>
      </c>
      <c r="G11724" s="51">
        <f>ROUNDUP(F11724*((E11724/21)/E11699),0)</f>
        <v>45230</v>
      </c>
    </row>
    <row r="11725" spans="1:7" x14ac:dyDescent="0.25">
      <c r="A11725" s="219" t="s">
        <v>69</v>
      </c>
      <c r="B11725" s="219"/>
      <c r="C11725" s="219"/>
      <c r="D11725" s="219"/>
      <c r="E11725" s="219"/>
      <c r="F11725" s="219"/>
      <c r="G11725" s="52">
        <f>SUM(G11718:G11724)</f>
        <v>62092</v>
      </c>
    </row>
    <row r="11726" spans="1:7" x14ac:dyDescent="0.25">
      <c r="A11726" s="56"/>
      <c r="B11726" s="57"/>
      <c r="C11726" s="57"/>
      <c r="D11726" s="57"/>
      <c r="E11726" s="57"/>
      <c r="F11726" s="57"/>
      <c r="G11726" s="58"/>
    </row>
    <row r="11727" spans="1:7" x14ac:dyDescent="0.25">
      <c r="A11727" s="219" t="s">
        <v>70</v>
      </c>
      <c r="B11727" s="219"/>
      <c r="C11727" s="219"/>
      <c r="D11727" s="219"/>
      <c r="E11727" s="219"/>
      <c r="F11727" s="219"/>
      <c r="G11727" s="219"/>
    </row>
    <row r="11728" spans="1:7" x14ac:dyDescent="0.25">
      <c r="A11728" s="49" t="s">
        <v>35</v>
      </c>
      <c r="B11728" s="219" t="s">
        <v>36</v>
      </c>
      <c r="C11728" s="219"/>
      <c r="D11728" s="49" t="s">
        <v>37</v>
      </c>
      <c r="E11728" s="49" t="s">
        <v>38</v>
      </c>
      <c r="F11728" s="49" t="s">
        <v>39</v>
      </c>
      <c r="G11728" s="49" t="s">
        <v>40</v>
      </c>
    </row>
    <row r="11729" spans="1:7" x14ac:dyDescent="0.25">
      <c r="A11729" s="50" t="s">
        <v>71</v>
      </c>
      <c r="B11729" s="71" t="str">
        <f>VLOOKUP(A11729,'Componentes APUs'!$A$1:$D$14,2,0)</f>
        <v>Camisa indigo sin partes metalicas</v>
      </c>
      <c r="C11729" s="71"/>
      <c r="D11729" s="50" t="str">
        <f>VLOOKUP(A11729,'Componentes APUs'!$A$1:$D$14,3,0)</f>
        <v>U</v>
      </c>
      <c r="E11729" s="50">
        <f>SUM(C11707:C11712)</f>
        <v>4.75</v>
      </c>
      <c r="F11729" s="51">
        <f>VLOOKUP(A11729,'Componentes APUs'!$A$1:$D$14,4,0)</f>
        <v>8585.8585858585866</v>
      </c>
      <c r="G11729" s="51">
        <f>ROUNDUP(F11729*(E11729/21)/E11699,0)</f>
        <v>3885</v>
      </c>
    </row>
    <row r="11730" spans="1:7" x14ac:dyDescent="0.25">
      <c r="A11730" s="69" t="s">
        <v>73</v>
      </c>
      <c r="B11730" s="72" t="str">
        <f>VLOOKUP(A11730,'Componentes APUs'!$A$1:$D$14,2,0)</f>
        <v>Bota de seguridad dielectrica</v>
      </c>
      <c r="C11730" s="73"/>
      <c r="D11730" s="70" t="str">
        <f>VLOOKUP(A11730,'Componentes APUs'!$A$1:$D$14,3,0)</f>
        <v>Par</v>
      </c>
      <c r="E11730" s="50">
        <f>SUM(C11707:C11712)</f>
        <v>4.75</v>
      </c>
      <c r="F11730" s="51">
        <f>VLOOKUP(A11730,'Componentes APUs'!$A$1:$D$14,4,0)</f>
        <v>7500</v>
      </c>
      <c r="G11730" s="51">
        <f>ROUNDUP(F11730*(E11730/21)/E11699,0)</f>
        <v>3393</v>
      </c>
    </row>
    <row r="11731" spans="1:7" x14ac:dyDescent="0.25">
      <c r="A11731" s="50" t="s">
        <v>76</v>
      </c>
      <c r="B11731" s="72" t="str">
        <f>VLOOKUP(A11731,'Componentes APUs'!$A$1:$D$14,2,0)</f>
        <v>Casco dielectrico Tipo 1 Clase E con barbuquejo</v>
      </c>
      <c r="C11731" s="73"/>
      <c r="D11731" s="50" t="str">
        <f>VLOOKUP(A11731,'Componentes APUs'!$A$1:$D$14,3,0)</f>
        <v>U</v>
      </c>
      <c r="E11731" s="50">
        <f>C11707+C11708+C11711+C11712+C11710+IF(A11709&lt;&gt;"MO-3",C11709,0)</f>
        <v>2.75</v>
      </c>
      <c r="F11731" s="51">
        <f>VLOOKUP(A11731,'Componentes APUs'!$A$1:$D$14,4,0)</f>
        <v>10101.010101010101</v>
      </c>
      <c r="G11731" s="51">
        <f>ROUNDUP(F11731*(E11731/21)/E11699,0)</f>
        <v>2646</v>
      </c>
    </row>
    <row r="11732" spans="1:7" x14ac:dyDescent="0.25">
      <c r="A11732" s="69" t="s">
        <v>77</v>
      </c>
      <c r="B11732" s="72" t="str">
        <f>VLOOKUP(A11732,'Componentes APUs'!$A$1:$D$14,2,0)</f>
        <v>Correa plastica y antiflama</v>
      </c>
      <c r="C11732" s="73"/>
      <c r="D11732" s="50" t="str">
        <f>VLOOKUP(A11732,'Componentes APUs'!$A$1:$D$14,3,0)</f>
        <v>U</v>
      </c>
      <c r="E11732" s="50">
        <f>SUM(C11707:C11712)</f>
        <v>4.75</v>
      </c>
      <c r="F11732" s="51">
        <f>VLOOKUP(A11732,'Componentes APUs'!$A$1:$D$14,4,0)</f>
        <v>3787.878787878788</v>
      </c>
      <c r="G11732" s="51">
        <f>ROUNDUP(F11732*(E11732/21)/E11699,0)</f>
        <v>1714</v>
      </c>
    </row>
    <row r="11733" spans="1:7" x14ac:dyDescent="0.25">
      <c r="A11733" s="50" t="s">
        <v>79</v>
      </c>
      <c r="B11733" s="72" t="str">
        <f>VLOOKUP(A11733,'Componentes APUs'!$A$1:$D$14,2,0)</f>
        <v>Gafas protectoras filtro UV</v>
      </c>
      <c r="C11733" s="73"/>
      <c r="D11733" s="50" t="str">
        <f>VLOOKUP(A11733,'Componentes APUs'!$A$1:$D$14,3,0)</f>
        <v>U</v>
      </c>
      <c r="E11733" s="50">
        <f>SUM(C11707:C11712)</f>
        <v>4.75</v>
      </c>
      <c r="F11733" s="51">
        <f>VLOOKUP(A11733,'Componentes APUs'!$A$1:$D$14,4,0)</f>
        <v>2777.7777777777778</v>
      </c>
      <c r="G11733" s="51">
        <f>ROUNDUP(F11733*(E11733/21)/E11699,0)</f>
        <v>1257</v>
      </c>
    </row>
    <row r="11734" spans="1:7" x14ac:dyDescent="0.25">
      <c r="A11734" s="69" t="s">
        <v>402</v>
      </c>
      <c r="B11734" s="72" t="str">
        <f>VLOOKUP(A11734,'Componentes APUs'!$A$1:$D$14,2,0)</f>
        <v>Bota de seguridad PVC dielectrica</v>
      </c>
      <c r="C11734" s="73"/>
      <c r="D11734" s="50" t="str">
        <f>VLOOKUP(A11734,'Componentes APUs'!$A$1:$D$14,3,0)</f>
        <v>Par</v>
      </c>
      <c r="E11734" s="50">
        <f>SUM(C11707:C11712)</f>
        <v>4.75</v>
      </c>
      <c r="F11734" s="51">
        <f>VLOOKUP(A11734,'Componentes APUs'!$A$1:$D$14,4,0)</f>
        <v>2916.6666666666665</v>
      </c>
      <c r="G11734" s="51">
        <f>ROUNDUP(F11734*(E11734/21)/E11699,0)</f>
        <v>1320</v>
      </c>
    </row>
    <row r="11735" spans="1:7" x14ac:dyDescent="0.25">
      <c r="A11735" s="50" t="s">
        <v>403</v>
      </c>
      <c r="B11735" s="72" t="str">
        <f>VLOOKUP(A11735,'Componentes APUs'!$A$1:$D$14,2,0)</f>
        <v>Capuchon</v>
      </c>
      <c r="C11735" s="73"/>
      <c r="D11735" s="50" t="str">
        <f>VLOOKUP(A11735,'Componentes APUs'!$A$1:$D$14,3,0)</f>
        <v>U</v>
      </c>
      <c r="E11735" s="50">
        <f>SUM(C11707:C11712)</f>
        <v>4.75</v>
      </c>
      <c r="F11735" s="51">
        <f>VLOOKUP(A11735,'Componentes APUs'!$A$1:$D$14,4,0)</f>
        <v>2525.2525252525252</v>
      </c>
      <c r="G11735" s="51">
        <f>ROUNDUP(F11735*(E11735/21)/E11699,0)</f>
        <v>1143</v>
      </c>
    </row>
    <row r="11736" spans="1:7" x14ac:dyDescent="0.25">
      <c r="A11736" s="69" t="s">
        <v>81</v>
      </c>
      <c r="B11736" s="72" t="str">
        <f>VLOOKUP(A11736,'Componentes APUs'!$A$1:$D$14,2,0)</f>
        <v>Guantes Protectores  - ingeniero reforzados</v>
      </c>
      <c r="C11736" s="73"/>
      <c r="D11736" s="50" t="str">
        <f>VLOOKUP(A11736,'Componentes APUs'!$A$1:$D$14,3,0)</f>
        <v>Par</v>
      </c>
      <c r="E11736" s="50">
        <f>C11709+C11710+C11712</f>
        <v>4</v>
      </c>
      <c r="F11736" s="51">
        <f>VLOOKUP(A11736,'Componentes APUs'!$A$1:$D$14,4,0)</f>
        <v>2525.2525252525252</v>
      </c>
      <c r="G11736" s="51">
        <f>ROUNDUP(F11736*(E11736/21)/E11699,0)</f>
        <v>963</v>
      </c>
    </row>
    <row r="11737" spans="1:7" x14ac:dyDescent="0.25">
      <c r="A11737" s="50" t="s">
        <v>83</v>
      </c>
      <c r="B11737" s="72" t="str">
        <f>VLOOKUP(A11737,'Componentes APUs'!$A$1:$D$14,2,0)</f>
        <v>Impermeable (pantalon camisa)</v>
      </c>
      <c r="C11737" s="73"/>
      <c r="D11737" s="50" t="str">
        <f>VLOOKUP(A11737,'Componentes APUs'!$A$1:$D$14,3,0)</f>
        <v>U</v>
      </c>
      <c r="E11737" s="50">
        <f>SUM(C11707:C11712)</f>
        <v>4.75</v>
      </c>
      <c r="F11737" s="51">
        <f>VLOOKUP(A11737,'Componentes APUs'!$A$1:$D$14,4,0)</f>
        <v>3750</v>
      </c>
      <c r="G11737" s="51">
        <f>ROUNDUP(F11737*(E11737/21)/E11699,0)</f>
        <v>1697</v>
      </c>
    </row>
    <row r="11738" spans="1:7" x14ac:dyDescent="0.25">
      <c r="A11738" s="69" t="s">
        <v>85</v>
      </c>
      <c r="B11738" s="72" t="str">
        <f>VLOOKUP(A11738,'Componentes APUs'!$A$1:$D$14,2,0)</f>
        <v>Jean Dielectrico</v>
      </c>
      <c r="C11738" s="73"/>
      <c r="D11738" s="50" t="str">
        <f>VLOOKUP(A11738,'Componentes APUs'!$A$1:$D$14,3,0)</f>
        <v>U</v>
      </c>
      <c r="E11738" s="50">
        <f>SUM(C11707:C11712)</f>
        <v>4.75</v>
      </c>
      <c r="F11738" s="51">
        <f>VLOOKUP(A11738,'Componentes APUs'!$A$1:$D$14,4,0)</f>
        <v>7575.757575757576</v>
      </c>
      <c r="G11738" s="51">
        <f>ROUNDUP(F11738*(E11738/21)/E11699,0)</f>
        <v>3428</v>
      </c>
    </row>
    <row r="11739" spans="1:7" x14ac:dyDescent="0.25">
      <c r="A11739" s="50" t="s">
        <v>87</v>
      </c>
      <c r="B11739" s="72" t="str">
        <f>VLOOKUP(A11739,'Componentes APUs'!$A$1:$D$14,2,0)</f>
        <v>Casco dielectrico Tipo 2 Clase E con barboquejo</v>
      </c>
      <c r="C11739" s="73"/>
      <c r="D11739" s="50" t="str">
        <f>VLOOKUP(A11739,'Componentes APUs'!$A$1:$D$14,3,0)</f>
        <v>U</v>
      </c>
      <c r="E11739" s="53">
        <f>IF(A11709="MO-3",C11709,0)</f>
        <v>2</v>
      </c>
      <c r="F11739" s="51">
        <f>VLOOKUP(A11739,'Componentes APUs'!$A$1:$D$14,4,0)</f>
        <v>7500</v>
      </c>
      <c r="G11739" s="51">
        <f>ROUNDUP(F11739*(E11739/21)/E11699,0)</f>
        <v>1429</v>
      </c>
    </row>
    <row r="11740" spans="1:7" x14ac:dyDescent="0.25">
      <c r="A11740" s="69" t="s">
        <v>89</v>
      </c>
      <c r="B11740" s="72" t="str">
        <f>VLOOKUP(A11740,'Componentes APUs'!$A$1:$D$14,2,0)</f>
        <v>Kit de rescate para trabajo en alturas</v>
      </c>
      <c r="C11740" s="73"/>
      <c r="D11740" s="50" t="str">
        <f>VLOOKUP(A11740,'Componentes APUs'!$A$1:$D$14,3,0)</f>
        <v>U</v>
      </c>
      <c r="E11740" s="50">
        <f>IF(AND(A11709="MO-3",C11709=2),1,0)</f>
        <v>1</v>
      </c>
      <c r="F11740" s="51">
        <f>VLOOKUP(A11740,'Componentes APUs'!$A$1:$D$14,4,0)</f>
        <v>37500</v>
      </c>
      <c r="G11740" s="51">
        <f>ROUNDUP(F11740*(E11740/21)/E11699,0)</f>
        <v>3572</v>
      </c>
    </row>
    <row r="11741" spans="1:7" x14ac:dyDescent="0.25">
      <c r="A11741" s="50" t="s">
        <v>91</v>
      </c>
      <c r="B11741" s="72" t="str">
        <f>VLOOKUP(A11741,'Componentes APUs'!$A$1:$D$14,2,0)</f>
        <v>Equipo completo para trabajo en alturas con pretales (Arnes dielectrico, 1 mosqueton de seguridad, tie off dielectrico, eslinga de posicionamiento, juego de pretales)</v>
      </c>
      <c r="C11741" s="73"/>
      <c r="D11741" s="50" t="str">
        <f>VLOOKUP(A11741,'Componentes APUs'!$A$1:$D$14,3,0)</f>
        <v>U</v>
      </c>
      <c r="E11741" s="50">
        <f>IF(A11709="MO-3",C11709,0)</f>
        <v>2</v>
      </c>
      <c r="F11741" s="51">
        <f>VLOOKUP(A11741,'Componentes APUs'!$A$1:$D$14,4,0)</f>
        <v>26041.666666666668</v>
      </c>
      <c r="G11741" s="51">
        <f>ROUNDUP(F11741*(E11741/21)/E11699,0)</f>
        <v>4961</v>
      </c>
    </row>
    <row r="11742" spans="1:7" x14ac:dyDescent="0.25">
      <c r="A11742" s="219" t="s">
        <v>95</v>
      </c>
      <c r="B11742" s="219"/>
      <c r="C11742" s="219"/>
      <c r="D11742" s="219"/>
      <c r="E11742" s="219"/>
      <c r="F11742" s="219"/>
      <c r="G11742" s="52">
        <f>SUM(G11729:G11741)</f>
        <v>31408</v>
      </c>
    </row>
    <row r="11743" spans="1:7" x14ac:dyDescent="0.25">
      <c r="A11743" s="56"/>
      <c r="B11743" s="57"/>
      <c r="C11743" s="57"/>
      <c r="D11743" s="57"/>
      <c r="E11743" s="57"/>
      <c r="F11743" s="57"/>
      <c r="G11743" s="58"/>
    </row>
    <row r="11744" spans="1:7" x14ac:dyDescent="0.25">
      <c r="A11744" s="219" t="s">
        <v>96</v>
      </c>
      <c r="B11744" s="219"/>
      <c r="C11744" s="219"/>
      <c r="D11744" s="219"/>
      <c r="E11744" s="219"/>
      <c r="F11744" s="219"/>
      <c r="G11744" s="219"/>
    </row>
    <row r="11745" spans="1:7" x14ac:dyDescent="0.25">
      <c r="A11745" s="49" t="s">
        <v>35</v>
      </c>
      <c r="B11745" s="225" t="s">
        <v>36</v>
      </c>
      <c r="C11745" s="225"/>
      <c r="D11745" s="49" t="s">
        <v>37</v>
      </c>
      <c r="E11745" s="49" t="s">
        <v>38</v>
      </c>
      <c r="F11745" s="49" t="s">
        <v>39</v>
      </c>
      <c r="G11745" s="49" t="s">
        <v>40</v>
      </c>
    </row>
    <row r="11746" spans="1:7" x14ac:dyDescent="0.25">
      <c r="A11746" s="69" t="s">
        <v>97</v>
      </c>
      <c r="B11746" s="72" t="str">
        <f>VLOOKUP(A11746,'Componentes APUs'!$N$1:$Q$30,2,0)</f>
        <v>Camioneta</v>
      </c>
      <c r="C11746" s="73"/>
      <c r="D11746" s="70" t="str">
        <f>VLOOKUP(A11746,'Componentes APUs'!$N$1:$Q$30,3,0)</f>
        <v>U</v>
      </c>
      <c r="E11746" s="50">
        <v>1</v>
      </c>
      <c r="F11746" s="51">
        <f>VLOOKUP(A11746,'Componentes APUs'!$N$1:$Q$30,4,0)</f>
        <v>5500000</v>
      </c>
      <c r="G11746" s="51">
        <f>IFERROR(ROUNDUP(F11746*(E11746/21)/E11699,0),"-")</f>
        <v>523810</v>
      </c>
    </row>
    <row r="11747" spans="1:7" x14ac:dyDescent="0.25">
      <c r="A11747" s="50" t="s">
        <v>321</v>
      </c>
      <c r="B11747" s="72" t="str">
        <f>VLOOKUP(A11747,'Componentes APUs'!$N$1:$Q$30,2,0)</f>
        <v>Grúa Hidráulica</v>
      </c>
      <c r="C11747" s="73"/>
      <c r="D11747" s="70" t="str">
        <f>VLOOKUP(A11747,'Componentes APUs'!$N$1:$Q$30,3,0)</f>
        <v>U</v>
      </c>
      <c r="E11747" s="50">
        <v>0</v>
      </c>
      <c r="F11747" s="51">
        <f>VLOOKUP(A11747,'Componentes APUs'!$N$1:$Q$30,4,0)</f>
        <v>21000000</v>
      </c>
      <c r="G11747" s="51">
        <f>IFERROR(ROUNDUP(F11747*(E11747/21)/E11699,0),"-")</f>
        <v>0</v>
      </c>
    </row>
    <row r="11748" spans="1:7" x14ac:dyDescent="0.25">
      <c r="A11748" s="69" t="s">
        <v>322</v>
      </c>
      <c r="B11748" s="72" t="str">
        <f>VLOOKUP(A11748,'Componentes APUs'!$N$1:$Q$30,2,0)</f>
        <v>Camabaja</v>
      </c>
      <c r="C11748" s="73"/>
      <c r="D11748" s="70" t="str">
        <f>VLOOKUP(A11748,'Componentes APUs'!$N$1:$Q$30,3,0)</f>
        <v>TON/KM</v>
      </c>
      <c r="E11748" s="50">
        <v>0</v>
      </c>
      <c r="F11748" s="51">
        <f>VLOOKUP(A11748,'Componentes APUs'!$N$1:$Q$30,4,0)</f>
        <v>611</v>
      </c>
      <c r="G11748" s="51">
        <f>IFERROR(ROUNDUP(F11748*(E11748/21)/E11699,0),"-")</f>
        <v>0</v>
      </c>
    </row>
    <row r="11749" spans="1:7" x14ac:dyDescent="0.25">
      <c r="A11749" s="219" t="s">
        <v>99</v>
      </c>
      <c r="B11749" s="219"/>
      <c r="C11749" s="219"/>
      <c r="D11749" s="219"/>
      <c r="E11749" s="219"/>
      <c r="F11749" s="219"/>
      <c r="G11749" s="52">
        <f>SUM(G11746:G11748)</f>
        <v>523810</v>
      </c>
    </row>
    <row r="11750" spans="1:7" x14ac:dyDescent="0.25">
      <c r="A11750" s="56"/>
      <c r="B11750" s="57"/>
      <c r="C11750" s="57"/>
      <c r="D11750" s="57"/>
      <c r="E11750" s="57"/>
      <c r="F11750" s="57"/>
      <c r="G11750" s="58"/>
    </row>
    <row r="11751" spans="1:7" x14ac:dyDescent="0.25">
      <c r="A11751" s="219" t="s">
        <v>1516</v>
      </c>
      <c r="B11751" s="219"/>
      <c r="C11751" s="219"/>
      <c r="D11751" s="219"/>
      <c r="E11751" s="219"/>
      <c r="F11751" s="219"/>
      <c r="G11751" s="52">
        <f>G11749+G11742+G11725+G11714+G11703</f>
        <v>429316389</v>
      </c>
    </row>
    <row r="11752" spans="1:7" x14ac:dyDescent="0.25">
      <c r="A11752" s="59"/>
      <c r="B11752" s="60"/>
      <c r="C11752" s="60"/>
      <c r="D11752" s="60"/>
      <c r="E11752" s="57"/>
      <c r="F11752" s="57"/>
      <c r="G11752" s="58"/>
    </row>
    <row r="11753" spans="1:7" x14ac:dyDescent="0.25">
      <c r="A11753" s="64"/>
      <c r="D11753" s="55"/>
      <c r="E11753" s="49" t="s">
        <v>25</v>
      </c>
      <c r="F11753" s="54">
        <v>0.15</v>
      </c>
      <c r="G11753" s="51">
        <f>G11751*F11753</f>
        <v>64397458.349999994</v>
      </c>
    </row>
    <row r="11754" spans="1:7" x14ac:dyDescent="0.25">
      <c r="A11754" s="64"/>
      <c r="D11754" s="55"/>
      <c r="E11754" s="49" t="s">
        <v>26</v>
      </c>
      <c r="F11754" s="54">
        <v>0.05</v>
      </c>
      <c r="G11754" s="51">
        <f>G11751*F11754</f>
        <v>21465819.450000003</v>
      </c>
    </row>
    <row r="11755" spans="1:7" x14ac:dyDescent="0.25">
      <c r="A11755" s="61"/>
      <c r="B11755" s="65"/>
      <c r="C11755" s="65"/>
      <c r="D11755" s="62"/>
      <c r="E11755" s="49" t="s">
        <v>27</v>
      </c>
      <c r="F11755" s="54">
        <v>0.05</v>
      </c>
      <c r="G11755" s="51">
        <f>G11751*F11755</f>
        <v>21465819.450000003</v>
      </c>
    </row>
    <row r="11756" spans="1:7" x14ac:dyDescent="0.25">
      <c r="A11756" s="61"/>
      <c r="B11756" s="62"/>
      <c r="C11756" s="62"/>
      <c r="D11756" s="62"/>
      <c r="E11756" s="62"/>
      <c r="F11756" s="62"/>
      <c r="G11756" s="63"/>
    </row>
    <row r="11757" spans="1:7" x14ac:dyDescent="0.25">
      <c r="A11757" s="219" t="s">
        <v>1517</v>
      </c>
      <c r="B11757" s="219"/>
      <c r="C11757" s="219"/>
      <c r="D11757" s="219"/>
      <c r="E11757" s="219"/>
      <c r="F11757" s="219"/>
      <c r="G11757" s="52">
        <f>G11751+G11753+G11754+G11755</f>
        <v>536645486.25</v>
      </c>
    </row>
    <row r="11758" spans="1:7" x14ac:dyDescent="0.25">
      <c r="A11758" s="59"/>
      <c r="B11758" s="60"/>
      <c r="C11758" s="60"/>
      <c r="D11758" s="60"/>
      <c r="E11758" s="57"/>
      <c r="F11758" s="57"/>
      <c r="G11758" s="58"/>
    </row>
    <row r="11759" spans="1:7" x14ac:dyDescent="0.25">
      <c r="A11759" s="64"/>
      <c r="D11759" s="55"/>
      <c r="E11759" s="49" t="s">
        <v>102</v>
      </c>
      <c r="F11759" s="49" t="s">
        <v>103</v>
      </c>
      <c r="G11759" s="51">
        <f>G11755*19%</f>
        <v>4078505.6955000008</v>
      </c>
    </row>
    <row r="11760" spans="1:7" x14ac:dyDescent="0.25">
      <c r="A11760" s="61"/>
      <c r="B11760" s="62"/>
      <c r="C11760" s="62"/>
      <c r="D11760" s="62"/>
      <c r="E11760" s="57"/>
      <c r="F11760" s="57"/>
      <c r="G11760" s="58"/>
    </row>
    <row r="11761" spans="1:7" x14ac:dyDescent="0.25">
      <c r="A11761" s="219" t="s">
        <v>104</v>
      </c>
      <c r="B11761" s="219"/>
      <c r="C11761" s="219"/>
      <c r="D11761" s="219"/>
      <c r="E11761" s="219"/>
      <c r="F11761" s="219"/>
      <c r="G11761" s="52">
        <f>G11759+G11757</f>
        <v>540723991.94550002</v>
      </c>
    </row>
    <row r="11763" spans="1:7" x14ac:dyDescent="0.25">
      <c r="A11763" s="74" t="s">
        <v>29</v>
      </c>
      <c r="B11763" s="226" t="s">
        <v>30</v>
      </c>
      <c r="C11763" s="226"/>
      <c r="D11763" s="74" t="s">
        <v>31</v>
      </c>
      <c r="E11763" s="74" t="s">
        <v>32</v>
      </c>
      <c r="F11763" s="74" t="s">
        <v>189</v>
      </c>
      <c r="G11763" s="74" t="s">
        <v>33</v>
      </c>
    </row>
    <row r="11764" spans="1:7" ht="102.75" customHeight="1" x14ac:dyDescent="0.25">
      <c r="A11764" s="50" t="str">
        <f>Presupuesto!B213</f>
        <v>023_N3</v>
      </c>
      <c r="B11764" s="220" t="str">
        <f>Presupuesto!C213</f>
        <v>CELDA INTERRUPTOR TRIFÁSICO 36 KV/ 80 kA, AISLADA EN VACÍO. CORRIENTE NOMINAL: 1250 A. 60 HZ. 3 POLOS. INCLUYE: 3 TRANSFORMADORES DE CORRIENTE TRIPLE NUCLEO (N1:400-800/5 CL: 0.2s, N2:400-800/5  CL: 0.2s, N3:400-800/5 CL: 5P30, BURDEN: 25 VA) CON PROTOCOLOS DE PRUEBA DE PRECISIÓN DE FABRICANTE Y LABORATORIO ACREDITADO Y UNIDAD INTEGRADA DE CONTROL Y PROTECCIÓN (RELÉS: 50, 51, 50N, 51N, 50BFE1/E2,25, 27,59, 74, 79, 67, 67N, 81), PUERTO DE COMUNICACIÓN PARA FIBRA ÓPTICA, PROTOCOLO DE COMUNICACIÓN 61850. PARA BAHÍA DE LÍNEA</v>
      </c>
      <c r="C11764" s="220"/>
      <c r="D11764" s="50" t="s">
        <v>18</v>
      </c>
      <c r="E11764" s="50">
        <v>0.5</v>
      </c>
      <c r="F11764" s="50"/>
      <c r="G11764" s="51">
        <f>G11825</f>
        <v>540723991.94550002</v>
      </c>
    </row>
    <row r="11765" spans="1:7" x14ac:dyDescent="0.25">
      <c r="A11765" s="234" t="s">
        <v>34</v>
      </c>
      <c r="B11765" s="236"/>
      <c r="C11765" s="236"/>
      <c r="D11765" s="236"/>
      <c r="E11765" s="236"/>
      <c r="F11765" s="236"/>
      <c r="G11765" s="235"/>
    </row>
    <row r="11766" spans="1:7" x14ac:dyDescent="0.25">
      <c r="A11766" s="49" t="s">
        <v>35</v>
      </c>
      <c r="B11766" s="234" t="s">
        <v>36</v>
      </c>
      <c r="C11766" s="235"/>
      <c r="D11766" s="49" t="s">
        <v>37</v>
      </c>
      <c r="E11766" s="49" t="s">
        <v>38</v>
      </c>
      <c r="F11766" s="49" t="s">
        <v>39</v>
      </c>
      <c r="G11766" s="49" t="s">
        <v>40</v>
      </c>
    </row>
    <row r="11767" spans="1:7" ht="98.25" customHeight="1" x14ac:dyDescent="0.25">
      <c r="A11767" s="17" t="str">
        <f>Material!A363</f>
        <v>MA-362</v>
      </c>
      <c r="B11767" s="232" t="str">
        <f>IFERROR(VLOOKUP(A11767,Material!$A:$H,2,0),"-")</f>
        <v>CELDA INTERRUPTOR TRIFÁSICO 36 KV/ 80 kA, TIPO INTERIOR, EN VACÍO. CORRIENTE NOMINAL: 630 A. 60 HZ. 3 POLOS. INCLUYE: 3 TRANSFORMADORES DE CORRIENTE TRIPLE NUCLEO (N1:300-600/5 CL: 0.2s, N2:300-600/5  CL: 0.2s, N3:300-600/5 CL: 5P20) CON PROTOCOLOS DE PRUEBA DE PRECISIÓN DE FABRICANTE Y LABORATORIO ACREDITADO Y UNIDAD INTEGRADA DE CONTROL Y PROTECCIÓN (RELE CON FUNCIONES: 50,  51, 50N, 51N,50BFE1,E2,27,59,26,49,63,71,96,33,63Q), PUERTO DE COMUNICACIÓN PARA FIBRA ÓPTICA, PROTOCOLO DE COMUNICACIÓN 61850</v>
      </c>
      <c r="C11767" s="233"/>
      <c r="D11767" s="50" t="str">
        <f>IFERROR(VLOOKUP(A11767,Material!$A:$H,4,0),"-")</f>
        <v>UN</v>
      </c>
      <c r="E11767" s="50">
        <v>1</v>
      </c>
      <c r="F11767" s="51">
        <f>IFERROR(VLOOKUP(A11767,Material!$A:$H,3,0),"-")</f>
        <v>423577026.56732506</v>
      </c>
      <c r="G11767" s="51">
        <f t="shared" ref="G11767" si="165">IFERROR(ROUNDUP(F11767*E11767,0),"-")</f>
        <v>423577027</v>
      </c>
    </row>
    <row r="11768" spans="1:7" x14ac:dyDescent="0.25">
      <c r="A11768" s="234" t="s">
        <v>41</v>
      </c>
      <c r="B11768" s="236"/>
      <c r="C11768" s="236"/>
      <c r="D11768" s="236"/>
      <c r="E11768" s="236"/>
      <c r="F11768" s="235"/>
      <c r="G11768" s="52">
        <f>SUM(G11767:G11767)</f>
        <v>423577027</v>
      </c>
    </row>
    <row r="11769" spans="1:7" x14ac:dyDescent="0.25">
      <c r="A11769" s="56"/>
      <c r="B11769" s="57"/>
      <c r="C11769" s="57"/>
      <c r="D11769" s="57"/>
      <c r="E11769" s="57"/>
      <c r="F11769" s="57"/>
      <c r="G11769" s="58"/>
    </row>
    <row r="11770" spans="1:7" x14ac:dyDescent="0.25">
      <c r="A11770" s="219" t="s">
        <v>42</v>
      </c>
      <c r="B11770" s="219"/>
      <c r="C11770" s="219"/>
      <c r="D11770" s="219"/>
      <c r="E11770" s="219"/>
      <c r="F11770" s="219"/>
      <c r="G11770" s="219"/>
    </row>
    <row r="11771" spans="1:7" x14ac:dyDescent="0.25">
      <c r="A11771" s="49" t="s">
        <v>35</v>
      </c>
      <c r="B11771" s="49" t="s">
        <v>36</v>
      </c>
      <c r="C11771" s="49" t="s">
        <v>38</v>
      </c>
      <c r="D11771" s="49" t="s">
        <v>43</v>
      </c>
      <c r="E11771" s="49" t="s">
        <v>44</v>
      </c>
      <c r="F11771" s="49" t="s">
        <v>45</v>
      </c>
      <c r="G11771" s="49" t="s">
        <v>40</v>
      </c>
    </row>
    <row r="11772" spans="1:7" x14ac:dyDescent="0.25">
      <c r="A11772" s="50" t="s">
        <v>319</v>
      </c>
      <c r="B11772" s="68" t="str">
        <f>VLOOKUP(A11772,'Componentes APUs'!$H$1:$L$25,2,0)</f>
        <v>Ingeniero Residente de Obra</v>
      </c>
      <c r="C11772" s="93">
        <v>0.25</v>
      </c>
      <c r="D11772" s="50">
        <f>VLOOKUP(A11772,'Componentes APUs'!$H$1:$L$25,3,0)</f>
        <v>4</v>
      </c>
      <c r="E11772" s="51">
        <f>VLOOKUP(A11772,'Componentes APUs'!$H$1:$L$25,4,0)</f>
        <v>271142.85714285716</v>
      </c>
      <c r="F11772" s="51">
        <f>VLOOKUP(A11772,'Componentes APUs'!$H$1:$L$25,5,0)</f>
        <v>162685.71428571429</v>
      </c>
      <c r="G11772" s="51">
        <f>ROUNDUP((E11772+F11772)*C11772/E11764,0)</f>
        <v>216915</v>
      </c>
    </row>
    <row r="11773" spans="1:7" x14ac:dyDescent="0.25">
      <c r="A11773" s="50" t="s">
        <v>320</v>
      </c>
      <c r="B11773" s="68" t="str">
        <f>VLOOKUP(A11773,'Componentes APUs'!$H$1:$L$25,2,0)</f>
        <v>Tecnico Supervisor</v>
      </c>
      <c r="C11773" s="93">
        <v>0.25</v>
      </c>
      <c r="D11773" s="50">
        <f>VLOOKUP(A11773,'Componentes APUs'!$H$1:$L$25,3,0)</f>
        <v>2.2999999999999998</v>
      </c>
      <c r="E11773" s="51">
        <f>VLOOKUP(A11773,'Componentes APUs'!$H$1:$L$25,4,0)</f>
        <v>155907.14285714284</v>
      </c>
      <c r="F11773" s="51">
        <f>VLOOKUP(A11773,'Componentes APUs'!$H$1:$L$25,5,0)</f>
        <v>93544.285714285696</v>
      </c>
      <c r="G11773" s="51">
        <f>ROUNDUP((E11773+F11773)*C11773/E11764,0)</f>
        <v>124726</v>
      </c>
    </row>
    <row r="11774" spans="1:7" x14ac:dyDescent="0.25">
      <c r="A11774" s="50" t="s">
        <v>46</v>
      </c>
      <c r="B11774" s="68" t="str">
        <f>VLOOKUP(A11774,'Componentes APUs'!$H$1:$L$25,2,0)</f>
        <v>Tecnico Liniero</v>
      </c>
      <c r="C11774" s="93">
        <v>2</v>
      </c>
      <c r="D11774" s="50">
        <f>VLOOKUP(A11774,'Componentes APUs'!$H$1:$L$25,3,0)</f>
        <v>2</v>
      </c>
      <c r="E11774" s="51">
        <f>VLOOKUP(A11774,'Componentes APUs'!$H$1:$L$25,4,0)</f>
        <v>154619.04761904763</v>
      </c>
      <c r="F11774" s="51">
        <f>VLOOKUP(A11774,'Componentes APUs'!$H$1:$L$25,5,0)</f>
        <v>92771.42857142858</v>
      </c>
      <c r="G11774" s="51">
        <f>ROUNDUP((E11774+F11774)*C11774/E11764,0)</f>
        <v>989562</v>
      </c>
    </row>
    <row r="11775" spans="1:7" x14ac:dyDescent="0.25">
      <c r="A11775" s="50" t="s">
        <v>48</v>
      </c>
      <c r="B11775" s="68" t="str">
        <f>VLOOKUP(A11775,'Componentes APUs'!$H$1:$L$25,2,0)</f>
        <v>Ayudante Calificado</v>
      </c>
      <c r="C11775" s="93">
        <v>1</v>
      </c>
      <c r="D11775" s="50">
        <f>VLOOKUP(A11775,'Componentes APUs'!$H$1:$L$25,3,0)</f>
        <v>1.5</v>
      </c>
      <c r="E11775" s="51">
        <f>VLOOKUP(A11775,'Componentes APUs'!$H$1:$L$25,4,0)</f>
        <v>115964.28571428571</v>
      </c>
      <c r="F11775" s="51">
        <f>VLOOKUP(A11775,'Componentes APUs'!$H$1:$L$25,5,0)</f>
        <v>69578.57142857142</v>
      </c>
      <c r="G11775" s="51">
        <f>ROUNDUP((E11775+F11775)*C11775/E11764,0)</f>
        <v>371086</v>
      </c>
    </row>
    <row r="11776" spans="1:7" x14ac:dyDescent="0.25">
      <c r="A11776" s="50" t="s">
        <v>50</v>
      </c>
      <c r="B11776" s="68" t="str">
        <f>VLOOKUP(A11776,'Componentes APUs'!$H$1:$L$25,2,0)</f>
        <v>Profesional en SST</v>
      </c>
      <c r="C11776" s="93">
        <v>0.25</v>
      </c>
      <c r="D11776" s="50">
        <f>VLOOKUP(A11776,'Componentes APUs'!$H$1:$L$25,3,0)</f>
        <v>2.5</v>
      </c>
      <c r="E11776" s="51">
        <f>VLOOKUP(A11776,'Componentes APUs'!$H$1:$L$25,4,0)</f>
        <v>169464.28571428571</v>
      </c>
      <c r="F11776" s="51">
        <f>VLOOKUP(A11776,'Componentes APUs'!$H$1:$L$25,5,0)</f>
        <v>101678.57142857142</v>
      </c>
      <c r="G11776" s="51">
        <f>ROUNDUP((E11776+F11776)*C11776/E11764,0)</f>
        <v>135572</v>
      </c>
    </row>
    <row r="11777" spans="1:7" x14ac:dyDescent="0.25">
      <c r="A11777" s="50" t="s">
        <v>52</v>
      </c>
      <c r="B11777" s="68" t="str">
        <f>VLOOKUP(A11777,'Componentes APUs'!$H$1:$L$25,2,0)</f>
        <v>Ayudante No Calificado</v>
      </c>
      <c r="C11777" s="93">
        <v>1</v>
      </c>
      <c r="D11777" s="50">
        <f>VLOOKUP(A11777,'Componentes APUs'!$H$1:$L$25,3,0)</f>
        <v>1</v>
      </c>
      <c r="E11777" s="51">
        <f>VLOOKUP(A11777,'Componentes APUs'!$H$1:$L$25,4,0)</f>
        <v>77309.523809523816</v>
      </c>
      <c r="F11777" s="51">
        <f>VLOOKUP(A11777,'Componentes APUs'!$H$1:$L$25,5,0)</f>
        <v>46385.71428571429</v>
      </c>
      <c r="G11777" s="51">
        <f>ROUNDUP((E11777+F11777)*C11777/E11764,0)</f>
        <v>247391</v>
      </c>
    </row>
    <row r="11778" spans="1:7" x14ac:dyDescent="0.25">
      <c r="A11778" s="50" t="s">
        <v>1121</v>
      </c>
      <c r="B11778" s="68" t="str">
        <f>VLOOKUP(A11778,'Componentes APUs'!$H$1:$L$25,2,0)</f>
        <v>Ingeniero Especialista de Control y Protección Subestación</v>
      </c>
      <c r="C11778" s="93">
        <v>1</v>
      </c>
      <c r="D11778" s="50">
        <f>VLOOKUP(A11778,'Componentes APUs'!$H$1:$L$25,3,0)</f>
        <v>14</v>
      </c>
      <c r="E11778" s="51">
        <f>VLOOKUP(A11778,'Componentes APUs'!$H$1:$L$25,4,0)</f>
        <v>949000</v>
      </c>
      <c r="F11778" s="51">
        <f>VLOOKUP(A11778,'Componentes APUs'!$H$1:$L$25,5,0)</f>
        <v>569400</v>
      </c>
      <c r="G11778" s="51">
        <f>ROUNDUP((E11778+F11778)*C11778/E11764,0)</f>
        <v>3036800</v>
      </c>
    </row>
    <row r="11779" spans="1:7" x14ac:dyDescent="0.25">
      <c r="A11779" s="219" t="s">
        <v>56</v>
      </c>
      <c r="B11779" s="219"/>
      <c r="C11779" s="219"/>
      <c r="D11779" s="219"/>
      <c r="E11779" s="219"/>
      <c r="F11779" s="219"/>
      <c r="G11779" s="52">
        <f>SUM(G11772:G11778)</f>
        <v>5122052</v>
      </c>
    </row>
    <row r="11780" spans="1:7" x14ac:dyDescent="0.25">
      <c r="A11780" s="56"/>
      <c r="B11780" s="57"/>
      <c r="C11780" s="57"/>
      <c r="D11780" s="57"/>
      <c r="E11780" s="57"/>
      <c r="F11780" s="57"/>
      <c r="G11780" s="58"/>
    </row>
    <row r="11781" spans="1:7" x14ac:dyDescent="0.25">
      <c r="A11781" s="219" t="s">
        <v>57</v>
      </c>
      <c r="B11781" s="219"/>
      <c r="C11781" s="219"/>
      <c r="D11781" s="219"/>
      <c r="E11781" s="219"/>
      <c r="F11781" s="219"/>
      <c r="G11781" s="219"/>
    </row>
    <row r="11782" spans="1:7" x14ac:dyDescent="0.25">
      <c r="A11782" s="49" t="s">
        <v>35</v>
      </c>
      <c r="B11782" s="219" t="s">
        <v>36</v>
      </c>
      <c r="C11782" s="219"/>
      <c r="D11782" s="49" t="s">
        <v>37</v>
      </c>
      <c r="E11782" s="49" t="s">
        <v>38</v>
      </c>
      <c r="F11782" s="49" t="s">
        <v>39</v>
      </c>
      <c r="G11782" s="49" t="s">
        <v>40</v>
      </c>
    </row>
    <row r="11783" spans="1:7" x14ac:dyDescent="0.25">
      <c r="A11783" s="50" t="s">
        <v>326</v>
      </c>
      <c r="B11783" s="220" t="str">
        <f>VLOOKUP(A11783,'Componentes APUs'!$S$1:$V$10,2,0)</f>
        <v>Juego Llaves</v>
      </c>
      <c r="C11783" s="220"/>
      <c r="D11783" s="50" t="s">
        <v>18</v>
      </c>
      <c r="E11783" s="50">
        <v>2</v>
      </c>
      <c r="F11783" s="51">
        <f>VLOOKUP(A11783,'Componentes APUs'!$S$1:$V$10,4,0)</f>
        <v>9167</v>
      </c>
      <c r="G11783" s="51">
        <f>ROUNDUP(F11783*((E11783/21)/E11764),0)</f>
        <v>1747</v>
      </c>
    </row>
    <row r="11784" spans="1:7" x14ac:dyDescent="0.25">
      <c r="A11784" s="50" t="s">
        <v>58</v>
      </c>
      <c r="B11784" s="220" t="str">
        <f>VLOOKUP(A11784,'Componentes APUs'!$S$1:$V$10,2,0)</f>
        <v>Manila de servicio</v>
      </c>
      <c r="C11784" s="220"/>
      <c r="D11784" s="50" t="s">
        <v>18</v>
      </c>
      <c r="E11784" s="50">
        <v>2</v>
      </c>
      <c r="F11784" s="51">
        <f>VLOOKUP(A11784,'Componentes APUs'!$S$1:$V$10,4,0)</f>
        <v>2333</v>
      </c>
      <c r="G11784" s="51">
        <f>ROUNDUP(F11784*((E11784/21)/E11764),0)</f>
        <v>445</v>
      </c>
    </row>
    <row r="11785" spans="1:7" x14ac:dyDescent="0.25">
      <c r="A11785" s="50" t="s">
        <v>327</v>
      </c>
      <c r="B11785" s="220" t="str">
        <f>VLOOKUP(A11785,'Componentes APUs'!$S$1:$V$10,2,0)</f>
        <v>Tula portaherramientas</v>
      </c>
      <c r="C11785" s="220"/>
      <c r="D11785" s="50" t="s">
        <v>18</v>
      </c>
      <c r="E11785" s="50">
        <v>2</v>
      </c>
      <c r="F11785" s="51">
        <f>VLOOKUP(A11785,'Componentes APUs'!$S$1:$V$10,4,0)</f>
        <v>1250</v>
      </c>
      <c r="G11785" s="51">
        <f>ROUNDUP(F11785*((E11785/21)/E11764),0)</f>
        <v>239</v>
      </c>
    </row>
    <row r="11786" spans="1:7" x14ac:dyDescent="0.25">
      <c r="A11786" s="50" t="s">
        <v>60</v>
      </c>
      <c r="B11786" s="220" t="str">
        <f>VLOOKUP(A11786,'Componentes APUs'!$S$1:$V$10,2,0)</f>
        <v>Agarradoras</v>
      </c>
      <c r="C11786" s="220"/>
      <c r="D11786" s="50" t="s">
        <v>18</v>
      </c>
      <c r="E11786" s="50">
        <v>0</v>
      </c>
      <c r="F11786" s="51">
        <f>VLOOKUP(A11786,'Componentes APUs'!$S$1:$V$10,4,0)</f>
        <v>125000</v>
      </c>
      <c r="G11786" s="51">
        <f>ROUNDUP(F11786*((E11786/21)/E11764),0)</f>
        <v>0</v>
      </c>
    </row>
    <row r="11787" spans="1:7" x14ac:dyDescent="0.25">
      <c r="A11787" s="50" t="s">
        <v>62</v>
      </c>
      <c r="B11787" s="220" t="str">
        <f>VLOOKUP(A11787,'Componentes APUs'!$S$1:$V$10,2,0)</f>
        <v>Templadoras</v>
      </c>
      <c r="C11787" s="220"/>
      <c r="D11787" s="50" t="s">
        <v>18</v>
      </c>
      <c r="E11787" s="50">
        <v>0</v>
      </c>
      <c r="F11787" s="51">
        <f>VLOOKUP(A11787,'Componentes APUs'!$S$1:$V$10,4,0)</f>
        <v>250000</v>
      </c>
      <c r="G11787" s="51">
        <f>ROUNDUP(F11787*((E11787/21)/E11764),0)</f>
        <v>0</v>
      </c>
    </row>
    <row r="11788" spans="1:7" x14ac:dyDescent="0.25">
      <c r="A11788" s="50" t="s">
        <v>328</v>
      </c>
      <c r="B11788" s="220" t="str">
        <f>VLOOKUP(A11788,'Componentes APUs'!$S$1:$V$10,2,0)</f>
        <v>Herramienta Menor</v>
      </c>
      <c r="C11788" s="220"/>
      <c r="D11788" s="50" t="s">
        <v>18</v>
      </c>
      <c r="E11788" s="50">
        <v>2</v>
      </c>
      <c r="F11788" s="51">
        <f>VLOOKUP(A11788,'Componentes APUs'!$S$1:$V$10,4,0)</f>
        <v>75758</v>
      </c>
      <c r="G11788" s="51">
        <f>ROUNDUP(F11788*((E11788/21)/E11764),0)</f>
        <v>14431</v>
      </c>
    </row>
    <row r="11789" spans="1:7" x14ac:dyDescent="0.25">
      <c r="A11789" s="50" t="s">
        <v>66</v>
      </c>
      <c r="B11789" s="220" t="str">
        <f>VLOOKUP(A11789,'Componentes APUs'!$S$1:$V$10,2,0)</f>
        <v>Diferencial 2 Toneladas</v>
      </c>
      <c r="C11789" s="220"/>
      <c r="D11789" s="50" t="s">
        <v>18</v>
      </c>
      <c r="E11789" s="50">
        <v>1</v>
      </c>
      <c r="F11789" s="51">
        <f>VLOOKUP(A11789,'Componentes APUs'!$S$1:$V$10,4,0)</f>
        <v>474905</v>
      </c>
      <c r="G11789" s="51">
        <f>ROUNDUP(F11789*((E11789/21)/E11764),0)</f>
        <v>45230</v>
      </c>
    </row>
    <row r="11790" spans="1:7" x14ac:dyDescent="0.25">
      <c r="A11790" s="219" t="s">
        <v>69</v>
      </c>
      <c r="B11790" s="219"/>
      <c r="C11790" s="219"/>
      <c r="D11790" s="219"/>
      <c r="E11790" s="219"/>
      <c r="F11790" s="219"/>
      <c r="G11790" s="52">
        <f>SUM(G11783:G11789)</f>
        <v>62092</v>
      </c>
    </row>
    <row r="11791" spans="1:7" x14ac:dyDescent="0.25">
      <c r="A11791" s="56"/>
      <c r="B11791" s="57"/>
      <c r="C11791" s="57"/>
      <c r="D11791" s="57"/>
      <c r="E11791" s="57"/>
      <c r="F11791" s="57"/>
      <c r="G11791" s="58"/>
    </row>
    <row r="11792" spans="1:7" x14ac:dyDescent="0.25">
      <c r="A11792" s="219" t="s">
        <v>70</v>
      </c>
      <c r="B11792" s="219"/>
      <c r="C11792" s="219"/>
      <c r="D11792" s="219"/>
      <c r="E11792" s="219"/>
      <c r="F11792" s="219"/>
      <c r="G11792" s="219"/>
    </row>
    <row r="11793" spans="1:7" x14ac:dyDescent="0.25">
      <c r="A11793" s="49" t="s">
        <v>35</v>
      </c>
      <c r="B11793" s="219" t="s">
        <v>36</v>
      </c>
      <c r="C11793" s="219"/>
      <c r="D11793" s="49" t="s">
        <v>37</v>
      </c>
      <c r="E11793" s="49" t="s">
        <v>38</v>
      </c>
      <c r="F11793" s="49" t="s">
        <v>39</v>
      </c>
      <c r="G11793" s="49" t="s">
        <v>40</v>
      </c>
    </row>
    <row r="11794" spans="1:7" x14ac:dyDescent="0.25">
      <c r="A11794" s="50" t="s">
        <v>71</v>
      </c>
      <c r="B11794" s="71" t="str">
        <f>VLOOKUP(A11794,'Componentes APUs'!$A$1:$D$14,2,0)</f>
        <v>Camisa indigo sin partes metalicas</v>
      </c>
      <c r="C11794" s="71"/>
      <c r="D11794" s="50" t="str">
        <f>VLOOKUP(A11794,'Componentes APUs'!$A$1:$D$14,3,0)</f>
        <v>U</v>
      </c>
      <c r="E11794" s="50">
        <f>SUM(C11772:C11777)</f>
        <v>4.75</v>
      </c>
      <c r="F11794" s="51">
        <f>VLOOKUP(A11794,'Componentes APUs'!$A$1:$D$14,4,0)</f>
        <v>8585.8585858585866</v>
      </c>
      <c r="G11794" s="51">
        <f>ROUNDUP(F11794*(E11794/21)/E11764,0)</f>
        <v>3885</v>
      </c>
    </row>
    <row r="11795" spans="1:7" x14ac:dyDescent="0.25">
      <c r="A11795" s="69" t="s">
        <v>73</v>
      </c>
      <c r="B11795" s="72" t="str">
        <f>VLOOKUP(A11795,'Componentes APUs'!$A$1:$D$14,2,0)</f>
        <v>Bota de seguridad dielectrica</v>
      </c>
      <c r="C11795" s="73"/>
      <c r="D11795" s="70" t="str">
        <f>VLOOKUP(A11795,'Componentes APUs'!$A$1:$D$14,3,0)</f>
        <v>Par</v>
      </c>
      <c r="E11795" s="50">
        <f>SUM(C11772:C11777)</f>
        <v>4.75</v>
      </c>
      <c r="F11795" s="51">
        <f>VLOOKUP(A11795,'Componentes APUs'!$A$1:$D$14,4,0)</f>
        <v>7500</v>
      </c>
      <c r="G11795" s="51">
        <f>ROUNDUP(F11795*(E11795/21)/E11764,0)</f>
        <v>3393</v>
      </c>
    </row>
    <row r="11796" spans="1:7" x14ac:dyDescent="0.25">
      <c r="A11796" s="50" t="s">
        <v>76</v>
      </c>
      <c r="B11796" s="72" t="str">
        <f>VLOOKUP(A11796,'Componentes APUs'!$A$1:$D$14,2,0)</f>
        <v>Casco dielectrico Tipo 1 Clase E con barbuquejo</v>
      </c>
      <c r="C11796" s="73"/>
      <c r="D11796" s="50" t="str">
        <f>VLOOKUP(A11796,'Componentes APUs'!$A$1:$D$14,3,0)</f>
        <v>U</v>
      </c>
      <c r="E11796" s="50">
        <f>C11772+C11773+C11776+C11777+C11775+IF(A11774&lt;&gt;"MO-3",C11774,0)</f>
        <v>2.75</v>
      </c>
      <c r="F11796" s="51">
        <f>VLOOKUP(A11796,'Componentes APUs'!$A$1:$D$14,4,0)</f>
        <v>10101.010101010101</v>
      </c>
      <c r="G11796" s="51">
        <f>ROUNDUP(F11796*(E11796/21)/E11764,0)</f>
        <v>2646</v>
      </c>
    </row>
    <row r="11797" spans="1:7" x14ac:dyDescent="0.25">
      <c r="A11797" s="69" t="s">
        <v>77</v>
      </c>
      <c r="B11797" s="72" t="str">
        <f>VLOOKUP(A11797,'Componentes APUs'!$A$1:$D$14,2,0)</f>
        <v>Correa plastica y antiflama</v>
      </c>
      <c r="C11797" s="73"/>
      <c r="D11797" s="50" t="str">
        <f>VLOOKUP(A11797,'Componentes APUs'!$A$1:$D$14,3,0)</f>
        <v>U</v>
      </c>
      <c r="E11797" s="50">
        <f>SUM(C11772:C11777)</f>
        <v>4.75</v>
      </c>
      <c r="F11797" s="51">
        <f>VLOOKUP(A11797,'Componentes APUs'!$A$1:$D$14,4,0)</f>
        <v>3787.878787878788</v>
      </c>
      <c r="G11797" s="51">
        <f>ROUNDUP(F11797*(E11797/21)/E11764,0)</f>
        <v>1714</v>
      </c>
    </row>
    <row r="11798" spans="1:7" x14ac:dyDescent="0.25">
      <c r="A11798" s="50" t="s">
        <v>79</v>
      </c>
      <c r="B11798" s="72" t="str">
        <f>VLOOKUP(A11798,'Componentes APUs'!$A$1:$D$14,2,0)</f>
        <v>Gafas protectoras filtro UV</v>
      </c>
      <c r="C11798" s="73"/>
      <c r="D11798" s="50" t="str">
        <f>VLOOKUP(A11798,'Componentes APUs'!$A$1:$D$14,3,0)</f>
        <v>U</v>
      </c>
      <c r="E11798" s="50">
        <f>SUM(C11772:C11777)</f>
        <v>4.75</v>
      </c>
      <c r="F11798" s="51">
        <f>VLOOKUP(A11798,'Componentes APUs'!$A$1:$D$14,4,0)</f>
        <v>2777.7777777777778</v>
      </c>
      <c r="G11798" s="51">
        <f>ROUNDUP(F11798*(E11798/21)/E11764,0)</f>
        <v>1257</v>
      </c>
    </row>
    <row r="11799" spans="1:7" x14ac:dyDescent="0.25">
      <c r="A11799" s="69" t="s">
        <v>402</v>
      </c>
      <c r="B11799" s="72" t="str">
        <f>VLOOKUP(A11799,'Componentes APUs'!$A$1:$D$14,2,0)</f>
        <v>Bota de seguridad PVC dielectrica</v>
      </c>
      <c r="C11799" s="73"/>
      <c r="D11799" s="50" t="str">
        <f>VLOOKUP(A11799,'Componentes APUs'!$A$1:$D$14,3,0)</f>
        <v>Par</v>
      </c>
      <c r="E11799" s="50">
        <f>SUM(C11772:C11777)</f>
        <v>4.75</v>
      </c>
      <c r="F11799" s="51">
        <f>VLOOKUP(A11799,'Componentes APUs'!$A$1:$D$14,4,0)</f>
        <v>2916.6666666666665</v>
      </c>
      <c r="G11799" s="51">
        <f>ROUNDUP(F11799*(E11799/21)/E11764,0)</f>
        <v>1320</v>
      </c>
    </row>
    <row r="11800" spans="1:7" x14ac:dyDescent="0.25">
      <c r="A11800" s="50" t="s">
        <v>403</v>
      </c>
      <c r="B11800" s="72" t="str">
        <f>VLOOKUP(A11800,'Componentes APUs'!$A$1:$D$14,2,0)</f>
        <v>Capuchon</v>
      </c>
      <c r="C11800" s="73"/>
      <c r="D11800" s="50" t="str">
        <f>VLOOKUP(A11800,'Componentes APUs'!$A$1:$D$14,3,0)</f>
        <v>U</v>
      </c>
      <c r="E11800" s="50">
        <f>SUM(C11772:C11777)</f>
        <v>4.75</v>
      </c>
      <c r="F11800" s="51">
        <f>VLOOKUP(A11800,'Componentes APUs'!$A$1:$D$14,4,0)</f>
        <v>2525.2525252525252</v>
      </c>
      <c r="G11800" s="51">
        <f>ROUNDUP(F11800*(E11800/21)/E11764,0)</f>
        <v>1143</v>
      </c>
    </row>
    <row r="11801" spans="1:7" x14ac:dyDescent="0.25">
      <c r="A11801" s="69" t="s">
        <v>81</v>
      </c>
      <c r="B11801" s="72" t="str">
        <f>VLOOKUP(A11801,'Componentes APUs'!$A$1:$D$14,2,0)</f>
        <v>Guantes Protectores  - ingeniero reforzados</v>
      </c>
      <c r="C11801" s="73"/>
      <c r="D11801" s="50" t="str">
        <f>VLOOKUP(A11801,'Componentes APUs'!$A$1:$D$14,3,0)</f>
        <v>Par</v>
      </c>
      <c r="E11801" s="50">
        <f>C11774+C11775+C11777</f>
        <v>4</v>
      </c>
      <c r="F11801" s="51">
        <f>VLOOKUP(A11801,'Componentes APUs'!$A$1:$D$14,4,0)</f>
        <v>2525.2525252525252</v>
      </c>
      <c r="G11801" s="51">
        <f>ROUNDUP(F11801*(E11801/21)/E11764,0)</f>
        <v>963</v>
      </c>
    </row>
    <row r="11802" spans="1:7" x14ac:dyDescent="0.25">
      <c r="A11802" s="50" t="s">
        <v>83</v>
      </c>
      <c r="B11802" s="72" t="str">
        <f>VLOOKUP(A11802,'Componentes APUs'!$A$1:$D$14,2,0)</f>
        <v>Impermeable (pantalon camisa)</v>
      </c>
      <c r="C11802" s="73"/>
      <c r="D11802" s="50" t="str">
        <f>VLOOKUP(A11802,'Componentes APUs'!$A$1:$D$14,3,0)</f>
        <v>U</v>
      </c>
      <c r="E11802" s="50">
        <f>SUM(C11772:C11777)</f>
        <v>4.75</v>
      </c>
      <c r="F11802" s="51">
        <f>VLOOKUP(A11802,'Componentes APUs'!$A$1:$D$14,4,0)</f>
        <v>3750</v>
      </c>
      <c r="G11802" s="51">
        <f>ROUNDUP(F11802*(E11802/21)/E11764,0)</f>
        <v>1697</v>
      </c>
    </row>
    <row r="11803" spans="1:7" x14ac:dyDescent="0.25">
      <c r="A11803" s="69" t="s">
        <v>85</v>
      </c>
      <c r="B11803" s="72" t="str">
        <f>VLOOKUP(A11803,'Componentes APUs'!$A$1:$D$14,2,0)</f>
        <v>Jean Dielectrico</v>
      </c>
      <c r="C11803" s="73"/>
      <c r="D11803" s="50" t="str">
        <f>VLOOKUP(A11803,'Componentes APUs'!$A$1:$D$14,3,0)</f>
        <v>U</v>
      </c>
      <c r="E11803" s="50">
        <f>SUM(C11772:C11777)</f>
        <v>4.75</v>
      </c>
      <c r="F11803" s="51">
        <f>VLOOKUP(A11803,'Componentes APUs'!$A$1:$D$14,4,0)</f>
        <v>7575.757575757576</v>
      </c>
      <c r="G11803" s="51">
        <f>ROUNDUP(F11803*(E11803/21)/E11764,0)</f>
        <v>3428</v>
      </c>
    </row>
    <row r="11804" spans="1:7" x14ac:dyDescent="0.25">
      <c r="A11804" s="50" t="s">
        <v>87</v>
      </c>
      <c r="B11804" s="72" t="str">
        <f>VLOOKUP(A11804,'Componentes APUs'!$A$1:$D$14,2,0)</f>
        <v>Casco dielectrico Tipo 2 Clase E con barboquejo</v>
      </c>
      <c r="C11804" s="73"/>
      <c r="D11804" s="50" t="str">
        <f>VLOOKUP(A11804,'Componentes APUs'!$A$1:$D$14,3,0)</f>
        <v>U</v>
      </c>
      <c r="E11804" s="53">
        <f>IF(A11774="MO-3",C11774,0)</f>
        <v>2</v>
      </c>
      <c r="F11804" s="51">
        <f>VLOOKUP(A11804,'Componentes APUs'!$A$1:$D$14,4,0)</f>
        <v>7500</v>
      </c>
      <c r="G11804" s="51">
        <f>ROUNDUP(F11804*(E11804/21)/E11764,0)</f>
        <v>1429</v>
      </c>
    </row>
    <row r="11805" spans="1:7" x14ac:dyDescent="0.25">
      <c r="A11805" s="69" t="s">
        <v>89</v>
      </c>
      <c r="B11805" s="72" t="str">
        <f>VLOOKUP(A11805,'Componentes APUs'!$A$1:$D$14,2,0)</f>
        <v>Kit de rescate para trabajo en alturas</v>
      </c>
      <c r="C11805" s="73"/>
      <c r="D11805" s="50" t="str">
        <f>VLOOKUP(A11805,'Componentes APUs'!$A$1:$D$14,3,0)</f>
        <v>U</v>
      </c>
      <c r="E11805" s="50">
        <f>IF(AND(A11774="MO-3",C11774=2),1,0)</f>
        <v>1</v>
      </c>
      <c r="F11805" s="51">
        <f>VLOOKUP(A11805,'Componentes APUs'!$A$1:$D$14,4,0)</f>
        <v>37500</v>
      </c>
      <c r="G11805" s="51">
        <f>ROUNDUP(F11805*(E11805/21)/E11764,0)</f>
        <v>3572</v>
      </c>
    </row>
    <row r="11806" spans="1:7" x14ac:dyDescent="0.25">
      <c r="A11806" s="50" t="s">
        <v>91</v>
      </c>
      <c r="B11806" s="72" t="str">
        <f>VLOOKUP(A11806,'Componentes APUs'!$A$1:$D$14,2,0)</f>
        <v>Equipo completo para trabajo en alturas con pretales (Arnes dielectrico, 1 mosqueton de seguridad, tie off dielectrico, eslinga de posicionamiento, juego de pretales)</v>
      </c>
      <c r="C11806" s="73"/>
      <c r="D11806" s="50" t="str">
        <f>VLOOKUP(A11806,'Componentes APUs'!$A$1:$D$14,3,0)</f>
        <v>U</v>
      </c>
      <c r="E11806" s="50">
        <f>IF(A11774="MO-3",C11774,0)</f>
        <v>2</v>
      </c>
      <c r="F11806" s="51">
        <f>VLOOKUP(A11806,'Componentes APUs'!$A$1:$D$14,4,0)</f>
        <v>26041.666666666668</v>
      </c>
      <c r="G11806" s="51">
        <f>ROUNDUP(F11806*(E11806/21)/E11764,0)</f>
        <v>4961</v>
      </c>
    </row>
    <row r="11807" spans="1:7" x14ac:dyDescent="0.25">
      <c r="A11807" s="219" t="s">
        <v>95</v>
      </c>
      <c r="B11807" s="219"/>
      <c r="C11807" s="219"/>
      <c r="D11807" s="219"/>
      <c r="E11807" s="219"/>
      <c r="F11807" s="219"/>
      <c r="G11807" s="52">
        <f>SUM(G11794:G11806)</f>
        <v>31408</v>
      </c>
    </row>
    <row r="11808" spans="1:7" x14ac:dyDescent="0.25">
      <c r="A11808" s="56"/>
      <c r="B11808" s="57"/>
      <c r="C11808" s="57"/>
      <c r="D11808" s="57"/>
      <c r="E11808" s="57"/>
      <c r="F11808" s="57"/>
      <c r="G11808" s="58"/>
    </row>
    <row r="11809" spans="1:7" x14ac:dyDescent="0.25">
      <c r="A11809" s="219" t="s">
        <v>96</v>
      </c>
      <c r="B11809" s="219"/>
      <c r="C11809" s="219"/>
      <c r="D11809" s="219"/>
      <c r="E11809" s="219"/>
      <c r="F11809" s="219"/>
      <c r="G11809" s="219"/>
    </row>
    <row r="11810" spans="1:7" x14ac:dyDescent="0.25">
      <c r="A11810" s="49" t="s">
        <v>35</v>
      </c>
      <c r="B11810" s="225" t="s">
        <v>36</v>
      </c>
      <c r="C11810" s="225"/>
      <c r="D11810" s="49" t="s">
        <v>37</v>
      </c>
      <c r="E11810" s="49" t="s">
        <v>38</v>
      </c>
      <c r="F11810" s="49" t="s">
        <v>39</v>
      </c>
      <c r="G11810" s="49" t="s">
        <v>40</v>
      </c>
    </row>
    <row r="11811" spans="1:7" x14ac:dyDescent="0.25">
      <c r="A11811" s="69" t="s">
        <v>97</v>
      </c>
      <c r="B11811" s="72" t="str">
        <f>VLOOKUP(A11811,'Componentes APUs'!$N$1:$Q$30,2,0)</f>
        <v>Camioneta</v>
      </c>
      <c r="C11811" s="73"/>
      <c r="D11811" s="70" t="str">
        <f>VLOOKUP(A11811,'Componentes APUs'!$N$1:$Q$30,3,0)</f>
        <v>U</v>
      </c>
      <c r="E11811" s="50">
        <v>1</v>
      </c>
      <c r="F11811" s="51">
        <f>VLOOKUP(A11811,'Componentes APUs'!$N$1:$Q$30,4,0)</f>
        <v>5500000</v>
      </c>
      <c r="G11811" s="51">
        <f>IFERROR(ROUNDUP(F11811*(E11811/21)/E11764,0),"-")</f>
        <v>523810</v>
      </c>
    </row>
    <row r="11812" spans="1:7" x14ac:dyDescent="0.25">
      <c r="A11812" s="50" t="s">
        <v>321</v>
      </c>
      <c r="B11812" s="72" t="str">
        <f>VLOOKUP(A11812,'Componentes APUs'!$N$1:$Q$30,2,0)</f>
        <v>Grúa Hidráulica</v>
      </c>
      <c r="C11812" s="73"/>
      <c r="D11812" s="70" t="str">
        <f>VLOOKUP(A11812,'Componentes APUs'!$N$1:$Q$30,3,0)</f>
        <v>U</v>
      </c>
      <c r="E11812" s="50">
        <v>0</v>
      </c>
      <c r="F11812" s="51">
        <f>VLOOKUP(A11812,'Componentes APUs'!$N$1:$Q$30,4,0)</f>
        <v>21000000</v>
      </c>
      <c r="G11812" s="51">
        <f>IFERROR(ROUNDUP(F11812*(E11812/21)/E11764,0),"-")</f>
        <v>0</v>
      </c>
    </row>
    <row r="11813" spans="1:7" x14ac:dyDescent="0.25">
      <c r="A11813" s="219" t="s">
        <v>99</v>
      </c>
      <c r="B11813" s="219"/>
      <c r="C11813" s="219"/>
      <c r="D11813" s="219"/>
      <c r="E11813" s="219"/>
      <c r="F11813" s="219"/>
      <c r="G11813" s="52">
        <f>SUM(G11811:G11812)</f>
        <v>523810</v>
      </c>
    </row>
    <row r="11814" spans="1:7" x14ac:dyDescent="0.25">
      <c r="A11814" s="56"/>
      <c r="B11814" s="57"/>
      <c r="C11814" s="57"/>
      <c r="D11814" s="57"/>
      <c r="E11814" s="57"/>
      <c r="F11814" s="57"/>
      <c r="G11814" s="58"/>
    </row>
    <row r="11815" spans="1:7" x14ac:dyDescent="0.25">
      <c r="A11815" s="219" t="s">
        <v>1516</v>
      </c>
      <c r="B11815" s="219"/>
      <c r="C11815" s="219"/>
      <c r="D11815" s="219"/>
      <c r="E11815" s="219"/>
      <c r="F11815" s="219"/>
      <c r="G11815" s="52">
        <f>G11813+G11807+G11790+G11779+G11768</f>
        <v>429316389</v>
      </c>
    </row>
    <row r="11816" spans="1:7" x14ac:dyDescent="0.25">
      <c r="A11816" s="59"/>
      <c r="B11816" s="60"/>
      <c r="C11816" s="60"/>
      <c r="D11816" s="60"/>
      <c r="E11816" s="57"/>
      <c r="F11816" s="57"/>
      <c r="G11816" s="58"/>
    </row>
    <row r="11817" spans="1:7" x14ac:dyDescent="0.25">
      <c r="A11817" s="64"/>
      <c r="D11817" s="55"/>
      <c r="E11817" s="49" t="s">
        <v>25</v>
      </c>
      <c r="F11817" s="54">
        <v>0.15</v>
      </c>
      <c r="G11817" s="51">
        <f>G11815*F11817</f>
        <v>64397458.349999994</v>
      </c>
    </row>
    <row r="11818" spans="1:7" x14ac:dyDescent="0.25">
      <c r="A11818" s="64"/>
      <c r="D11818" s="55"/>
      <c r="E11818" s="49" t="s">
        <v>26</v>
      </c>
      <c r="F11818" s="54">
        <v>0.05</v>
      </c>
      <c r="G11818" s="51">
        <f>G11815*F11818</f>
        <v>21465819.450000003</v>
      </c>
    </row>
    <row r="11819" spans="1:7" x14ac:dyDescent="0.25">
      <c r="A11819" s="61"/>
      <c r="B11819" s="65"/>
      <c r="C11819" s="65"/>
      <c r="D11819" s="62"/>
      <c r="E11819" s="49" t="s">
        <v>27</v>
      </c>
      <c r="F11819" s="54">
        <v>0.05</v>
      </c>
      <c r="G11819" s="51">
        <f>G11815*F11819</f>
        <v>21465819.450000003</v>
      </c>
    </row>
    <row r="11820" spans="1:7" x14ac:dyDescent="0.25">
      <c r="A11820" s="61"/>
      <c r="B11820" s="62"/>
      <c r="C11820" s="62"/>
      <c r="D11820" s="62"/>
      <c r="E11820" s="62"/>
      <c r="F11820" s="62"/>
      <c r="G11820" s="63"/>
    </row>
    <row r="11821" spans="1:7" x14ac:dyDescent="0.25">
      <c r="A11821" s="219" t="s">
        <v>1517</v>
      </c>
      <c r="B11821" s="219"/>
      <c r="C11821" s="219"/>
      <c r="D11821" s="219"/>
      <c r="E11821" s="219"/>
      <c r="F11821" s="219"/>
      <c r="G11821" s="52">
        <f>G11815+G11817+G11818+G11819</f>
        <v>536645486.25</v>
      </c>
    </row>
    <row r="11822" spans="1:7" x14ac:dyDescent="0.25">
      <c r="A11822" s="59"/>
      <c r="B11822" s="60"/>
      <c r="C11822" s="60"/>
      <c r="D11822" s="60"/>
      <c r="E11822" s="57"/>
      <c r="F11822" s="57"/>
      <c r="G11822" s="58"/>
    </row>
    <row r="11823" spans="1:7" x14ac:dyDescent="0.25">
      <c r="A11823" s="64"/>
      <c r="D11823" s="55"/>
      <c r="E11823" s="49" t="s">
        <v>102</v>
      </c>
      <c r="F11823" s="49" t="s">
        <v>103</v>
      </c>
      <c r="G11823" s="51">
        <f>G11819*19%</f>
        <v>4078505.6955000008</v>
      </c>
    </row>
    <row r="11824" spans="1:7" x14ac:dyDescent="0.25">
      <c r="A11824" s="61"/>
      <c r="B11824" s="62"/>
      <c r="C11824" s="62"/>
      <c r="D11824" s="62"/>
      <c r="E11824" s="57"/>
      <c r="F11824" s="57"/>
      <c r="G11824" s="58"/>
    </row>
    <row r="11825" spans="1:7" x14ac:dyDescent="0.25">
      <c r="A11825" s="219" t="s">
        <v>104</v>
      </c>
      <c r="B11825" s="219"/>
      <c r="C11825" s="219"/>
      <c r="D11825" s="219"/>
      <c r="E11825" s="219"/>
      <c r="F11825" s="219"/>
      <c r="G11825" s="52">
        <f>G11823+G11821</f>
        <v>540723991.94550002</v>
      </c>
    </row>
    <row r="11827" spans="1:7" x14ac:dyDescent="0.25">
      <c r="A11827" s="74" t="s">
        <v>29</v>
      </c>
      <c r="B11827" s="226" t="s">
        <v>30</v>
      </c>
      <c r="C11827" s="226"/>
      <c r="D11827" s="74" t="s">
        <v>31</v>
      </c>
      <c r="E11827" s="74" t="s">
        <v>32</v>
      </c>
      <c r="F11827" s="74" t="s">
        <v>189</v>
      </c>
      <c r="G11827" s="74" t="s">
        <v>33</v>
      </c>
    </row>
    <row r="11828" spans="1:7" ht="57" customHeight="1" x14ac:dyDescent="0.25">
      <c r="A11828" s="50" t="str">
        <f>Presupuesto!B214</f>
        <v>024_N3</v>
      </c>
      <c r="B11828" s="220" t="str">
        <f>Presupuesto!C214</f>
        <v>SUMINISTRO E INSTALACIÓN DE CELDA PARA TRANSFORMADORES DE POTENCIAL : INCLUYE 3 TRANSFORMADORES DE TENSIÓN. USO INTERIOR. DOBLE NUCLEO. (N1: 34,5√3/115√3 - CL 0.2-10 VA; N2: 34,5√3/115√3- CL: 3P-10VA) CON PROTOCOLOS DE PRUEBA DE PRECISIÓN DE FABRICANTE Y LABORATORIO ACREDITADO.</v>
      </c>
      <c r="C11828" s="220"/>
      <c r="D11828" s="50" t="s">
        <v>18</v>
      </c>
      <c r="E11828" s="50">
        <v>0.5</v>
      </c>
      <c r="F11828" s="50"/>
      <c r="G11828" s="51">
        <f>G11896</f>
        <v>156018562.414</v>
      </c>
    </row>
    <row r="11829" spans="1:7" x14ac:dyDescent="0.25">
      <c r="A11829" s="219" t="s">
        <v>34</v>
      </c>
      <c r="B11829" s="219"/>
      <c r="C11829" s="219"/>
      <c r="D11829" s="219"/>
      <c r="E11829" s="219"/>
      <c r="F11829" s="219"/>
      <c r="G11829" s="219"/>
    </row>
    <row r="11830" spans="1:7" x14ac:dyDescent="0.25">
      <c r="A11830" s="49" t="s">
        <v>35</v>
      </c>
      <c r="B11830" s="219" t="s">
        <v>36</v>
      </c>
      <c r="C11830" s="219"/>
      <c r="D11830" s="49" t="s">
        <v>37</v>
      </c>
      <c r="E11830" s="49" t="s">
        <v>38</v>
      </c>
      <c r="F11830" s="49" t="s">
        <v>39</v>
      </c>
      <c r="G11830" s="49" t="s">
        <v>40</v>
      </c>
    </row>
    <row r="11831" spans="1:7" ht="26.25" customHeight="1" x14ac:dyDescent="0.25">
      <c r="A11831" s="17" t="str">
        <f>Material!A543</f>
        <v>MA-542</v>
      </c>
      <c r="B11831" s="221" t="str">
        <f>IFERROR(VLOOKUP(A11831,Material!$A:$H,2,0),"-")</f>
        <v>CELDA DE MEDIDA DE FABRICACIÓN ESPECIAL. DE USO INTERIOR. IP 65 PARA ALBERGAR TRANSFORMADORES DE POTENCIAL AL TREN DE CELDAS</v>
      </c>
      <c r="C11831" s="222"/>
      <c r="D11831" s="50" t="str">
        <f>IFERROR(VLOOKUP(A11831,Material!$A:$H,4,0),"-")</f>
        <v>UN</v>
      </c>
      <c r="E11831" s="50">
        <v>1</v>
      </c>
      <c r="F11831" s="51">
        <f>IFERROR(VLOOKUP(A11831,Material!$A:$H,3,0),"-")</f>
        <v>90000000</v>
      </c>
      <c r="G11831" s="51">
        <f t="shared" ref="G11831:G11837" si="166">IFERROR(ROUNDUP(F11831*E11831,0),"-")</f>
        <v>90000000</v>
      </c>
    </row>
    <row r="11832" spans="1:7" ht="26.25" customHeight="1" x14ac:dyDescent="0.25">
      <c r="A11832" s="17" t="str">
        <f>Material!A415</f>
        <v>MA-414</v>
      </c>
      <c r="B11832" s="221" t="str">
        <f>IFERROR(VLOOKUP(A11832,Material!$A:$H,2,0),"-")</f>
        <v>TRANSFORMADOR DE TENSIÓN. USO INTERIOR. DOBLE NUCLEO. (N1: 13,8√3/115√3. CL 0,5, 10 VA; N2: 13,8√3/115√3. 3P)</v>
      </c>
      <c r="C11832" s="222"/>
      <c r="D11832" s="50" t="str">
        <f>IFERROR(VLOOKUP(A11832,Material!$A:$H,4,0),"-")</f>
        <v>UN</v>
      </c>
      <c r="E11832" s="50">
        <v>3</v>
      </c>
      <c r="F11832" s="51">
        <f>IFERROR(VLOOKUP(A11832,Material!$A:$H,3,0),"-")</f>
        <v>10136779.51155466</v>
      </c>
      <c r="G11832" s="51">
        <f t="shared" si="166"/>
        <v>30410339</v>
      </c>
    </row>
    <row r="11833" spans="1:7" x14ac:dyDescent="0.25">
      <c r="A11833" s="17"/>
      <c r="B11833" s="72" t="str">
        <f>IFERROR(VLOOKUP(A11833,Material!$A:$H,2,0),"-")</f>
        <v>-</v>
      </c>
      <c r="C11833" s="73"/>
      <c r="D11833" s="50" t="str">
        <f>IFERROR(VLOOKUP(A11833,Material!$A:$H,4,0),"-")</f>
        <v>-</v>
      </c>
      <c r="E11833" s="50"/>
      <c r="F11833" s="51" t="str">
        <f>IFERROR(VLOOKUP(A11833,Material!$A:$H,3,0),"-")</f>
        <v>-</v>
      </c>
      <c r="G11833" s="51" t="str">
        <f t="shared" si="166"/>
        <v>-</v>
      </c>
    </row>
    <row r="11834" spans="1:7" x14ac:dyDescent="0.25">
      <c r="A11834" s="17"/>
      <c r="B11834" s="72" t="str">
        <f>IFERROR(VLOOKUP(A11834,Material!$A:$H,2,0),"-")</f>
        <v>-</v>
      </c>
      <c r="C11834" s="73"/>
      <c r="D11834" s="50" t="str">
        <f>IFERROR(VLOOKUP(A11834,Material!$A:$H,4,0),"-")</f>
        <v>-</v>
      </c>
      <c r="E11834" s="50"/>
      <c r="F11834" s="51" t="str">
        <f>IFERROR(VLOOKUP(A11834,Material!$A:$H,3,0),"-")</f>
        <v>-</v>
      </c>
      <c r="G11834" s="51" t="str">
        <f t="shared" si="166"/>
        <v>-</v>
      </c>
    </row>
    <row r="11835" spans="1:7" x14ac:dyDescent="0.25">
      <c r="A11835" s="17"/>
      <c r="B11835" s="72" t="str">
        <f>IFERROR(VLOOKUP(A11835,Material!$A:$H,2,0),"-")</f>
        <v>-</v>
      </c>
      <c r="C11835" s="73"/>
      <c r="D11835" s="50" t="str">
        <f>IFERROR(VLOOKUP(A11835,Material!$A:$H,4,0),"-")</f>
        <v>-</v>
      </c>
      <c r="E11835" s="50"/>
      <c r="F11835" s="51" t="str">
        <f>IFERROR(VLOOKUP(A11835,Material!$A:$H,3,0),"-")</f>
        <v>-</v>
      </c>
      <c r="G11835" s="51" t="str">
        <f t="shared" si="166"/>
        <v>-</v>
      </c>
    </row>
    <row r="11836" spans="1:7" x14ac:dyDescent="0.25">
      <c r="A11836" s="50"/>
      <c r="B11836" s="75" t="str">
        <f>IFERROR(VLOOKUP(A11836,Material!$A:$H,2,0),"-")</f>
        <v>-</v>
      </c>
      <c r="C11836" s="76"/>
      <c r="D11836" s="50" t="str">
        <f>IFERROR(VLOOKUP(A11836,Material!$A:$H,4,0),"-")</f>
        <v>-</v>
      </c>
      <c r="E11836" s="50"/>
      <c r="F11836" s="51" t="str">
        <f>IFERROR(VLOOKUP(A11836,Material!$A:$H,3,0),"-")</f>
        <v>-</v>
      </c>
      <c r="G11836" s="51" t="str">
        <f t="shared" si="166"/>
        <v>-</v>
      </c>
    </row>
    <row r="11837" spans="1:7" x14ac:dyDescent="0.25">
      <c r="A11837" s="50"/>
      <c r="B11837" s="75" t="str">
        <f>IFERROR(VLOOKUP(A11837,Material!$A:$H,2,0),"-")</f>
        <v>-</v>
      </c>
      <c r="C11837" s="76"/>
      <c r="D11837" s="50" t="str">
        <f>IFERROR(VLOOKUP(A11837,Material!$A:$H,4,0),"-")</f>
        <v>-</v>
      </c>
      <c r="E11837" s="50"/>
      <c r="F11837" s="51" t="str">
        <f>IFERROR(VLOOKUP(A11837,Material!$A:$H,3,0),"-")</f>
        <v>-</v>
      </c>
      <c r="G11837" s="51" t="str">
        <f t="shared" si="166"/>
        <v>-</v>
      </c>
    </row>
    <row r="11838" spans="1:7" x14ac:dyDescent="0.25">
      <c r="A11838" s="219" t="s">
        <v>41</v>
      </c>
      <c r="B11838" s="219"/>
      <c r="C11838" s="219"/>
      <c r="D11838" s="219"/>
      <c r="E11838" s="219"/>
      <c r="F11838" s="219"/>
      <c r="G11838" s="52">
        <f>SUM(G11831:G11837)</f>
        <v>120410339</v>
      </c>
    </row>
    <row r="11839" spans="1:7" x14ac:dyDescent="0.25">
      <c r="A11839" s="56"/>
      <c r="B11839" s="57"/>
      <c r="C11839" s="57"/>
      <c r="D11839" s="57"/>
      <c r="E11839" s="57"/>
      <c r="F11839" s="57"/>
      <c r="G11839" s="58"/>
    </row>
    <row r="11840" spans="1:7" x14ac:dyDescent="0.25">
      <c r="A11840" s="219" t="s">
        <v>42</v>
      </c>
      <c r="B11840" s="219"/>
      <c r="C11840" s="219"/>
      <c r="D11840" s="219"/>
      <c r="E11840" s="219"/>
      <c r="F11840" s="219"/>
      <c r="G11840" s="219"/>
    </row>
    <row r="11841" spans="1:7" x14ac:dyDescent="0.25">
      <c r="A11841" s="49" t="s">
        <v>35</v>
      </c>
      <c r="B11841" s="49" t="s">
        <v>36</v>
      </c>
      <c r="C11841" s="49" t="s">
        <v>38</v>
      </c>
      <c r="D11841" s="49" t="s">
        <v>43</v>
      </c>
      <c r="E11841" s="49" t="s">
        <v>44</v>
      </c>
      <c r="F11841" s="49" t="s">
        <v>45</v>
      </c>
      <c r="G11841" s="49" t="s">
        <v>40</v>
      </c>
    </row>
    <row r="11842" spans="1:7" x14ac:dyDescent="0.25">
      <c r="A11842" s="50" t="s">
        <v>319</v>
      </c>
      <c r="B11842" s="68" t="str">
        <f>VLOOKUP(A11842,'Componentes APUs'!$H$1:$L$25,2,0)</f>
        <v>Ingeniero Residente de Obra</v>
      </c>
      <c r="C11842" s="93">
        <v>0.25</v>
      </c>
      <c r="D11842" s="50">
        <f>VLOOKUP(A11842,'Componentes APUs'!$H$1:$L$25,3,0)</f>
        <v>4</v>
      </c>
      <c r="E11842" s="51">
        <f>VLOOKUP(A11842,'Componentes APUs'!$H$1:$L$25,4,0)</f>
        <v>271142.85714285716</v>
      </c>
      <c r="F11842" s="51">
        <f>VLOOKUP(A11842,'Componentes APUs'!$H$1:$L$25,5,0)</f>
        <v>162685.71428571429</v>
      </c>
      <c r="G11842" s="51">
        <f>ROUNDUP((E11842+F11842)*C11842/E11828,0)</f>
        <v>216915</v>
      </c>
    </row>
    <row r="11843" spans="1:7" x14ac:dyDescent="0.25">
      <c r="A11843" s="50" t="s">
        <v>320</v>
      </c>
      <c r="B11843" s="68" t="str">
        <f>VLOOKUP(A11843,'Componentes APUs'!$H$1:$L$25,2,0)</f>
        <v>Tecnico Supervisor</v>
      </c>
      <c r="C11843" s="93">
        <v>0.25</v>
      </c>
      <c r="D11843" s="50">
        <f>VLOOKUP(A11843,'Componentes APUs'!$H$1:$L$25,3,0)</f>
        <v>2.2999999999999998</v>
      </c>
      <c r="E11843" s="51">
        <f>VLOOKUP(A11843,'Componentes APUs'!$H$1:$L$25,4,0)</f>
        <v>155907.14285714284</v>
      </c>
      <c r="F11843" s="51">
        <f>VLOOKUP(A11843,'Componentes APUs'!$H$1:$L$25,5,0)</f>
        <v>93544.285714285696</v>
      </c>
      <c r="G11843" s="51">
        <f>ROUNDUP((E11843+F11843)*C11843/E11828,0)</f>
        <v>124726</v>
      </c>
    </row>
    <row r="11844" spans="1:7" x14ac:dyDescent="0.25">
      <c r="A11844" s="50" t="s">
        <v>46</v>
      </c>
      <c r="B11844" s="68" t="str">
        <f>VLOOKUP(A11844,'Componentes APUs'!$H$1:$L$25,2,0)</f>
        <v>Tecnico Liniero</v>
      </c>
      <c r="C11844" s="93">
        <v>1</v>
      </c>
      <c r="D11844" s="50">
        <f>VLOOKUP(A11844,'Componentes APUs'!$H$1:$L$25,3,0)</f>
        <v>2</v>
      </c>
      <c r="E11844" s="51">
        <f>VLOOKUP(A11844,'Componentes APUs'!$H$1:$L$25,4,0)</f>
        <v>154619.04761904763</v>
      </c>
      <c r="F11844" s="51">
        <f>VLOOKUP(A11844,'Componentes APUs'!$H$1:$L$25,5,0)</f>
        <v>92771.42857142858</v>
      </c>
      <c r="G11844" s="51">
        <f>ROUNDUP((E11844+F11844)*C11844/E11828,0)</f>
        <v>494781</v>
      </c>
    </row>
    <row r="11845" spans="1:7" x14ac:dyDescent="0.25">
      <c r="A11845" s="50" t="s">
        <v>48</v>
      </c>
      <c r="B11845" s="68" t="str">
        <f>VLOOKUP(A11845,'Componentes APUs'!$H$1:$L$25,2,0)</f>
        <v>Ayudante Calificado</v>
      </c>
      <c r="C11845" s="93">
        <v>1</v>
      </c>
      <c r="D11845" s="50">
        <f>VLOOKUP(A11845,'Componentes APUs'!$H$1:$L$25,3,0)</f>
        <v>1.5</v>
      </c>
      <c r="E11845" s="51">
        <f>VLOOKUP(A11845,'Componentes APUs'!$H$1:$L$25,4,0)</f>
        <v>115964.28571428571</v>
      </c>
      <c r="F11845" s="51">
        <f>VLOOKUP(A11845,'Componentes APUs'!$H$1:$L$25,5,0)</f>
        <v>69578.57142857142</v>
      </c>
      <c r="G11845" s="51">
        <f>ROUNDUP((E11845+F11845)*C11845/E11828,0)</f>
        <v>371086</v>
      </c>
    </row>
    <row r="11846" spans="1:7" x14ac:dyDescent="0.25">
      <c r="A11846" s="50" t="s">
        <v>50</v>
      </c>
      <c r="B11846" s="68" t="str">
        <f>VLOOKUP(A11846,'Componentes APUs'!$H$1:$L$25,2,0)</f>
        <v>Profesional en SST</v>
      </c>
      <c r="C11846" s="93">
        <v>0.25</v>
      </c>
      <c r="D11846" s="50">
        <f>VLOOKUP(A11846,'Componentes APUs'!$H$1:$L$25,3,0)</f>
        <v>2.5</v>
      </c>
      <c r="E11846" s="51">
        <f>VLOOKUP(A11846,'Componentes APUs'!$H$1:$L$25,4,0)</f>
        <v>169464.28571428571</v>
      </c>
      <c r="F11846" s="51">
        <f>VLOOKUP(A11846,'Componentes APUs'!$H$1:$L$25,5,0)</f>
        <v>101678.57142857142</v>
      </c>
      <c r="G11846" s="51">
        <f>ROUNDUP((E11846+F11846)*C11846/E11828,0)</f>
        <v>135572</v>
      </c>
    </row>
    <row r="11847" spans="1:7" x14ac:dyDescent="0.25">
      <c r="A11847" s="50" t="s">
        <v>52</v>
      </c>
      <c r="B11847" s="68" t="str">
        <f>VLOOKUP(A11847,'Componentes APUs'!$H$1:$L$25,2,0)</f>
        <v>Ayudante No Calificado</v>
      </c>
      <c r="C11847" s="93">
        <v>0</v>
      </c>
      <c r="D11847" s="50">
        <f>VLOOKUP(A11847,'Componentes APUs'!$H$1:$L$25,3,0)</f>
        <v>1</v>
      </c>
      <c r="E11847" s="51">
        <f>VLOOKUP(A11847,'Componentes APUs'!$H$1:$L$25,4,0)</f>
        <v>77309.523809523816</v>
      </c>
      <c r="F11847" s="51">
        <f>VLOOKUP(A11847,'Componentes APUs'!$H$1:$L$25,5,0)</f>
        <v>46385.71428571429</v>
      </c>
      <c r="G11847" s="51">
        <f>ROUNDUP((E11847+F11847)*C11847/E11828,0)</f>
        <v>0</v>
      </c>
    </row>
    <row r="11848" spans="1:7" x14ac:dyDescent="0.25">
      <c r="A11848" s="50" t="s">
        <v>1121</v>
      </c>
      <c r="B11848" s="68" t="str">
        <f>VLOOKUP(A11848,'Componentes APUs'!$H$1:$L$25,2,0)</f>
        <v>Ingeniero Especialista de Control y Protección Subestación</v>
      </c>
      <c r="C11848" s="93">
        <v>0.5</v>
      </c>
      <c r="D11848" s="50">
        <f>VLOOKUP(A11848,'Componentes APUs'!$H$1:$L$25,3,0)</f>
        <v>14</v>
      </c>
      <c r="E11848" s="51">
        <f>VLOOKUP(A11848,'Componentes APUs'!$H$1:$L$25,4,0)</f>
        <v>949000</v>
      </c>
      <c r="F11848" s="51">
        <f>VLOOKUP(A11848,'Componentes APUs'!$H$1:$L$25,5,0)</f>
        <v>569400</v>
      </c>
      <c r="G11848" s="51">
        <f>ROUNDUP((E11848+F11848)*C11848/E11828,0)</f>
        <v>1518400</v>
      </c>
    </row>
    <row r="11849" spans="1:7" x14ac:dyDescent="0.25">
      <c r="A11849" s="219" t="s">
        <v>56</v>
      </c>
      <c r="B11849" s="219"/>
      <c r="C11849" s="219"/>
      <c r="D11849" s="219"/>
      <c r="E11849" s="219"/>
      <c r="F11849" s="219"/>
      <c r="G11849" s="52">
        <f>SUM(G11842:G11848)</f>
        <v>2861480</v>
      </c>
    </row>
    <row r="11850" spans="1:7" x14ac:dyDescent="0.25">
      <c r="A11850" s="56"/>
      <c r="B11850" s="57"/>
      <c r="C11850" s="57"/>
      <c r="D11850" s="57"/>
      <c r="E11850" s="57"/>
      <c r="F11850" s="57"/>
      <c r="G11850" s="58"/>
    </row>
    <row r="11851" spans="1:7" x14ac:dyDescent="0.25">
      <c r="A11851" s="219" t="s">
        <v>57</v>
      </c>
      <c r="B11851" s="219"/>
      <c r="C11851" s="219"/>
      <c r="D11851" s="219"/>
      <c r="E11851" s="219"/>
      <c r="F11851" s="219"/>
      <c r="G11851" s="219"/>
    </row>
    <row r="11852" spans="1:7" x14ac:dyDescent="0.25">
      <c r="A11852" s="49" t="s">
        <v>35</v>
      </c>
      <c r="B11852" s="219" t="s">
        <v>36</v>
      </c>
      <c r="C11852" s="219"/>
      <c r="D11852" s="49" t="s">
        <v>37</v>
      </c>
      <c r="E11852" s="49" t="s">
        <v>38</v>
      </c>
      <c r="F11852" s="49" t="s">
        <v>39</v>
      </c>
      <c r="G11852" s="49" t="s">
        <v>40</v>
      </c>
    </row>
    <row r="11853" spans="1:7" x14ac:dyDescent="0.25">
      <c r="A11853" s="50" t="s">
        <v>326</v>
      </c>
      <c r="B11853" s="220" t="str">
        <f>VLOOKUP(A11853,'Componentes APUs'!$S$1:$V$10,2,0)</f>
        <v>Juego Llaves</v>
      </c>
      <c r="C11853" s="220"/>
      <c r="D11853" s="50" t="s">
        <v>18</v>
      </c>
      <c r="E11853" s="50">
        <v>2</v>
      </c>
      <c r="F11853" s="51">
        <f>VLOOKUP(A11853,'Componentes APUs'!$S$1:$V$10,4,0)</f>
        <v>9167</v>
      </c>
      <c r="G11853" s="51">
        <f>ROUNDUP(F11853*((E11853/21)/E11828),0)</f>
        <v>1747</v>
      </c>
    </row>
    <row r="11854" spans="1:7" x14ac:dyDescent="0.25">
      <c r="A11854" s="50" t="s">
        <v>58</v>
      </c>
      <c r="B11854" s="220" t="str">
        <f>VLOOKUP(A11854,'Componentes APUs'!$S$1:$V$10,2,0)</f>
        <v>Manila de servicio</v>
      </c>
      <c r="C11854" s="220"/>
      <c r="D11854" s="50" t="s">
        <v>18</v>
      </c>
      <c r="E11854" s="50">
        <v>2</v>
      </c>
      <c r="F11854" s="51">
        <f>VLOOKUP(A11854,'Componentes APUs'!$S$1:$V$10,4,0)</f>
        <v>2333</v>
      </c>
      <c r="G11854" s="51">
        <f>ROUNDUP(F11854*((E11854/21)/E11828),0)</f>
        <v>445</v>
      </c>
    </row>
    <row r="11855" spans="1:7" x14ac:dyDescent="0.25">
      <c r="A11855" s="50" t="s">
        <v>327</v>
      </c>
      <c r="B11855" s="220" t="str">
        <f>VLOOKUP(A11855,'Componentes APUs'!$S$1:$V$10,2,0)</f>
        <v>Tula portaherramientas</v>
      </c>
      <c r="C11855" s="220"/>
      <c r="D11855" s="50" t="s">
        <v>18</v>
      </c>
      <c r="E11855" s="50">
        <v>2</v>
      </c>
      <c r="F11855" s="51">
        <f>VLOOKUP(A11855,'Componentes APUs'!$S$1:$V$10,4,0)</f>
        <v>1250</v>
      </c>
      <c r="G11855" s="51">
        <f>ROUNDUP(F11855*((E11855/21)/E11828),0)</f>
        <v>239</v>
      </c>
    </row>
    <row r="11856" spans="1:7" x14ac:dyDescent="0.25">
      <c r="A11856" s="50" t="s">
        <v>60</v>
      </c>
      <c r="B11856" s="220" t="str">
        <f>VLOOKUP(A11856,'Componentes APUs'!$S$1:$V$10,2,0)</f>
        <v>Agarradoras</v>
      </c>
      <c r="C11856" s="220"/>
      <c r="D11856" s="50" t="s">
        <v>18</v>
      </c>
      <c r="E11856" s="50">
        <v>0</v>
      </c>
      <c r="F11856" s="51">
        <f>VLOOKUP(A11856,'Componentes APUs'!$S$1:$V$10,4,0)</f>
        <v>125000</v>
      </c>
      <c r="G11856" s="51">
        <f>ROUNDUP(F11856*((E11856/21)/E11828),0)</f>
        <v>0</v>
      </c>
    </row>
    <row r="11857" spans="1:7" x14ac:dyDescent="0.25">
      <c r="A11857" s="50" t="s">
        <v>62</v>
      </c>
      <c r="B11857" s="220" t="str">
        <f>VLOOKUP(A11857,'Componentes APUs'!$S$1:$V$10,2,0)</f>
        <v>Templadoras</v>
      </c>
      <c r="C11857" s="220"/>
      <c r="D11857" s="50" t="s">
        <v>18</v>
      </c>
      <c r="E11857" s="50">
        <v>0</v>
      </c>
      <c r="F11857" s="51">
        <f>VLOOKUP(A11857,'Componentes APUs'!$S$1:$V$10,4,0)</f>
        <v>250000</v>
      </c>
      <c r="G11857" s="51">
        <f>ROUNDUP(F11857*((E11857/21)/E11828),0)</f>
        <v>0</v>
      </c>
    </row>
    <row r="11858" spans="1:7" x14ac:dyDescent="0.25">
      <c r="A11858" s="50" t="s">
        <v>328</v>
      </c>
      <c r="B11858" s="220" t="str">
        <f>VLOOKUP(A11858,'Componentes APUs'!$S$1:$V$10,2,0)</f>
        <v>Herramienta Menor</v>
      </c>
      <c r="C11858" s="220"/>
      <c r="D11858" s="50" t="s">
        <v>18</v>
      </c>
      <c r="E11858" s="50">
        <v>2</v>
      </c>
      <c r="F11858" s="51">
        <f>VLOOKUP(A11858,'Componentes APUs'!$S$1:$V$10,4,0)</f>
        <v>75758</v>
      </c>
      <c r="G11858" s="51">
        <f>ROUNDUP(F11858*((E11858/21)/E11828),0)</f>
        <v>14431</v>
      </c>
    </row>
    <row r="11859" spans="1:7" x14ac:dyDescent="0.25">
      <c r="A11859" s="50" t="s">
        <v>66</v>
      </c>
      <c r="B11859" s="220" t="str">
        <f>VLOOKUP(A11859,'Componentes APUs'!$S$1:$V$10,2,0)</f>
        <v>Diferencial 2 Toneladas</v>
      </c>
      <c r="C11859" s="220"/>
      <c r="D11859" s="50" t="s">
        <v>18</v>
      </c>
      <c r="E11859" s="50">
        <v>1</v>
      </c>
      <c r="F11859" s="51">
        <f>VLOOKUP(A11859,'Componentes APUs'!$S$1:$V$10,4,0)</f>
        <v>474905</v>
      </c>
      <c r="G11859" s="51">
        <f>ROUNDUP(F11859*((E11859/21)/E11828),0)</f>
        <v>45230</v>
      </c>
    </row>
    <row r="11860" spans="1:7" x14ac:dyDescent="0.25">
      <c r="A11860" s="219" t="s">
        <v>69</v>
      </c>
      <c r="B11860" s="219"/>
      <c r="C11860" s="219"/>
      <c r="D11860" s="219"/>
      <c r="E11860" s="219"/>
      <c r="F11860" s="219"/>
      <c r="G11860" s="52">
        <f>SUM(G11853:G11859)</f>
        <v>62092</v>
      </c>
    </row>
    <row r="11861" spans="1:7" x14ac:dyDescent="0.25">
      <c r="A11861" s="56"/>
      <c r="B11861" s="57"/>
      <c r="C11861" s="57"/>
      <c r="D11861" s="57"/>
      <c r="E11861" s="57"/>
      <c r="F11861" s="57"/>
      <c r="G11861" s="58"/>
    </row>
    <row r="11862" spans="1:7" x14ac:dyDescent="0.25">
      <c r="A11862" s="219" t="s">
        <v>70</v>
      </c>
      <c r="B11862" s="219"/>
      <c r="C11862" s="219"/>
      <c r="D11862" s="219"/>
      <c r="E11862" s="219"/>
      <c r="F11862" s="219"/>
      <c r="G11862" s="219"/>
    </row>
    <row r="11863" spans="1:7" x14ac:dyDescent="0.25">
      <c r="A11863" s="49" t="s">
        <v>35</v>
      </c>
      <c r="B11863" s="219" t="s">
        <v>36</v>
      </c>
      <c r="C11863" s="219"/>
      <c r="D11863" s="49" t="s">
        <v>37</v>
      </c>
      <c r="E11863" s="49" t="s">
        <v>38</v>
      </c>
      <c r="F11863" s="49" t="s">
        <v>39</v>
      </c>
      <c r="G11863" s="49" t="s">
        <v>40</v>
      </c>
    </row>
    <row r="11864" spans="1:7" x14ac:dyDescent="0.25">
      <c r="A11864" s="50" t="s">
        <v>71</v>
      </c>
      <c r="B11864" s="71" t="str">
        <f>VLOOKUP(A11864,'Componentes APUs'!$A$1:$D$14,2,0)</f>
        <v>Camisa indigo sin partes metalicas</v>
      </c>
      <c r="C11864" s="71"/>
      <c r="D11864" s="50" t="str">
        <f>VLOOKUP(A11864,'Componentes APUs'!$A$1:$D$14,3,0)</f>
        <v>U</v>
      </c>
      <c r="E11864" s="50">
        <f>SUM(C11842:C11847)</f>
        <v>2.75</v>
      </c>
      <c r="F11864" s="51">
        <f>VLOOKUP(A11864,'Componentes APUs'!$A$1:$D$14,4,0)</f>
        <v>8585.8585858585866</v>
      </c>
      <c r="G11864" s="51">
        <f>ROUNDUP(F11864*(E11864/21)/E11828,0)</f>
        <v>2249</v>
      </c>
    </row>
    <row r="11865" spans="1:7" x14ac:dyDescent="0.25">
      <c r="A11865" s="69" t="s">
        <v>73</v>
      </c>
      <c r="B11865" s="72" t="str">
        <f>VLOOKUP(A11865,'Componentes APUs'!$A$1:$D$14,2,0)</f>
        <v>Bota de seguridad dielectrica</v>
      </c>
      <c r="C11865" s="73"/>
      <c r="D11865" s="70" t="str">
        <f>VLOOKUP(A11865,'Componentes APUs'!$A$1:$D$14,3,0)</f>
        <v>Par</v>
      </c>
      <c r="E11865" s="50">
        <f>SUM(C11842:C11847)</f>
        <v>2.75</v>
      </c>
      <c r="F11865" s="51">
        <f>VLOOKUP(A11865,'Componentes APUs'!$A$1:$D$14,4,0)</f>
        <v>7500</v>
      </c>
      <c r="G11865" s="51">
        <f>ROUNDUP(F11865*(E11865/21)/E11828,0)</f>
        <v>1965</v>
      </c>
    </row>
    <row r="11866" spans="1:7" x14ac:dyDescent="0.25">
      <c r="A11866" s="50" t="s">
        <v>76</v>
      </c>
      <c r="B11866" s="72" t="str">
        <f>VLOOKUP(A11866,'Componentes APUs'!$A$1:$D$14,2,0)</f>
        <v>Casco dielectrico Tipo 1 Clase E con barbuquejo</v>
      </c>
      <c r="C11866" s="73"/>
      <c r="D11866" s="50" t="str">
        <f>VLOOKUP(A11866,'Componentes APUs'!$A$1:$D$14,3,0)</f>
        <v>U</v>
      </c>
      <c r="E11866" s="50">
        <f>C11842+C11843+C11846+C11847+C11845+IF(A11844&lt;&gt;"MO-3",C11844,0)</f>
        <v>1.75</v>
      </c>
      <c r="F11866" s="51">
        <f>VLOOKUP(A11866,'Componentes APUs'!$A$1:$D$14,4,0)</f>
        <v>10101.010101010101</v>
      </c>
      <c r="G11866" s="51">
        <f>ROUNDUP(F11866*(E11866/21)/E11828,0)</f>
        <v>1684</v>
      </c>
    </row>
    <row r="11867" spans="1:7" x14ac:dyDescent="0.25">
      <c r="A11867" s="69" t="s">
        <v>77</v>
      </c>
      <c r="B11867" s="72" t="str">
        <f>VLOOKUP(A11867,'Componentes APUs'!$A$1:$D$14,2,0)</f>
        <v>Correa plastica y antiflama</v>
      </c>
      <c r="C11867" s="73"/>
      <c r="D11867" s="50" t="str">
        <f>VLOOKUP(A11867,'Componentes APUs'!$A$1:$D$14,3,0)</f>
        <v>U</v>
      </c>
      <c r="E11867" s="50">
        <f>SUM(C11842:C11847)</f>
        <v>2.75</v>
      </c>
      <c r="F11867" s="51">
        <f>VLOOKUP(A11867,'Componentes APUs'!$A$1:$D$14,4,0)</f>
        <v>3787.878787878788</v>
      </c>
      <c r="G11867" s="51">
        <f>ROUNDUP(F11867*(E11867/21)/E11828,0)</f>
        <v>993</v>
      </c>
    </row>
    <row r="11868" spans="1:7" x14ac:dyDescent="0.25">
      <c r="A11868" s="50" t="s">
        <v>79</v>
      </c>
      <c r="B11868" s="72" t="str">
        <f>VLOOKUP(A11868,'Componentes APUs'!$A$1:$D$14,2,0)</f>
        <v>Gafas protectoras filtro UV</v>
      </c>
      <c r="C11868" s="73"/>
      <c r="D11868" s="50" t="str">
        <f>VLOOKUP(A11868,'Componentes APUs'!$A$1:$D$14,3,0)</f>
        <v>U</v>
      </c>
      <c r="E11868" s="50">
        <f>SUM(C11842:C11847)</f>
        <v>2.75</v>
      </c>
      <c r="F11868" s="51">
        <f>VLOOKUP(A11868,'Componentes APUs'!$A$1:$D$14,4,0)</f>
        <v>2777.7777777777778</v>
      </c>
      <c r="G11868" s="51">
        <f>ROUNDUP(F11868*(E11868/21)/E11828,0)</f>
        <v>728</v>
      </c>
    </row>
    <row r="11869" spans="1:7" x14ac:dyDescent="0.25">
      <c r="A11869" s="69" t="s">
        <v>402</v>
      </c>
      <c r="B11869" s="72" t="str">
        <f>VLOOKUP(A11869,'Componentes APUs'!$A$1:$D$14,2,0)</f>
        <v>Bota de seguridad PVC dielectrica</v>
      </c>
      <c r="C11869" s="73"/>
      <c r="D11869" s="50" t="str">
        <f>VLOOKUP(A11869,'Componentes APUs'!$A$1:$D$14,3,0)</f>
        <v>Par</v>
      </c>
      <c r="E11869" s="50">
        <f>SUM(C11842:C11847)</f>
        <v>2.75</v>
      </c>
      <c r="F11869" s="51">
        <f>VLOOKUP(A11869,'Componentes APUs'!$A$1:$D$14,4,0)</f>
        <v>2916.6666666666665</v>
      </c>
      <c r="G11869" s="51">
        <f>ROUNDUP(F11869*(E11869/21)/E11828,0)</f>
        <v>764</v>
      </c>
    </row>
    <row r="11870" spans="1:7" x14ac:dyDescent="0.25">
      <c r="A11870" s="50" t="s">
        <v>403</v>
      </c>
      <c r="B11870" s="72" t="str">
        <f>VLOOKUP(A11870,'Componentes APUs'!$A$1:$D$14,2,0)</f>
        <v>Capuchon</v>
      </c>
      <c r="C11870" s="73"/>
      <c r="D11870" s="50" t="str">
        <f>VLOOKUP(A11870,'Componentes APUs'!$A$1:$D$14,3,0)</f>
        <v>U</v>
      </c>
      <c r="E11870" s="50">
        <f>SUM(C11842:C11847)</f>
        <v>2.75</v>
      </c>
      <c r="F11870" s="51">
        <f>VLOOKUP(A11870,'Componentes APUs'!$A$1:$D$14,4,0)</f>
        <v>2525.2525252525252</v>
      </c>
      <c r="G11870" s="51">
        <f>ROUNDUP(F11870*(E11870/21)/E11828,0)</f>
        <v>662</v>
      </c>
    </row>
    <row r="11871" spans="1:7" x14ac:dyDescent="0.25">
      <c r="A11871" s="69" t="s">
        <v>81</v>
      </c>
      <c r="B11871" s="72" t="str">
        <f>VLOOKUP(A11871,'Componentes APUs'!$A$1:$D$14,2,0)</f>
        <v>Guantes Protectores  - ingeniero reforzados</v>
      </c>
      <c r="C11871" s="73"/>
      <c r="D11871" s="50" t="str">
        <f>VLOOKUP(A11871,'Componentes APUs'!$A$1:$D$14,3,0)</f>
        <v>Par</v>
      </c>
      <c r="E11871" s="50">
        <f>C11844+C11845+C11847</f>
        <v>2</v>
      </c>
      <c r="F11871" s="51">
        <f>VLOOKUP(A11871,'Componentes APUs'!$A$1:$D$14,4,0)</f>
        <v>2525.2525252525252</v>
      </c>
      <c r="G11871" s="51">
        <f>ROUNDUP(F11871*(E11871/21)/E11828,0)</f>
        <v>482</v>
      </c>
    </row>
    <row r="11872" spans="1:7" x14ac:dyDescent="0.25">
      <c r="A11872" s="50" t="s">
        <v>83</v>
      </c>
      <c r="B11872" s="72" t="str">
        <f>VLOOKUP(A11872,'Componentes APUs'!$A$1:$D$14,2,0)</f>
        <v>Impermeable (pantalon camisa)</v>
      </c>
      <c r="C11872" s="73"/>
      <c r="D11872" s="50" t="str">
        <f>VLOOKUP(A11872,'Componentes APUs'!$A$1:$D$14,3,0)</f>
        <v>U</v>
      </c>
      <c r="E11872" s="50">
        <f>SUM(C11842:C11847)</f>
        <v>2.75</v>
      </c>
      <c r="F11872" s="51">
        <f>VLOOKUP(A11872,'Componentes APUs'!$A$1:$D$14,4,0)</f>
        <v>3750</v>
      </c>
      <c r="G11872" s="51">
        <f>ROUNDUP(F11872*(E11872/21)/E11828,0)</f>
        <v>983</v>
      </c>
    </row>
    <row r="11873" spans="1:7" x14ac:dyDescent="0.25">
      <c r="A11873" s="69" t="s">
        <v>85</v>
      </c>
      <c r="B11873" s="72" t="str">
        <f>VLOOKUP(A11873,'Componentes APUs'!$A$1:$D$14,2,0)</f>
        <v>Jean Dielectrico</v>
      </c>
      <c r="C11873" s="73"/>
      <c r="D11873" s="50" t="str">
        <f>VLOOKUP(A11873,'Componentes APUs'!$A$1:$D$14,3,0)</f>
        <v>U</v>
      </c>
      <c r="E11873" s="50">
        <f>SUM(C11842:C11847)</f>
        <v>2.75</v>
      </c>
      <c r="F11873" s="51">
        <f>VLOOKUP(A11873,'Componentes APUs'!$A$1:$D$14,4,0)</f>
        <v>7575.757575757576</v>
      </c>
      <c r="G11873" s="51">
        <f>ROUNDUP(F11873*(E11873/21)/E11828,0)</f>
        <v>1985</v>
      </c>
    </row>
    <row r="11874" spans="1:7" x14ac:dyDescent="0.25">
      <c r="A11874" s="50" t="s">
        <v>87</v>
      </c>
      <c r="B11874" s="72" t="str">
        <f>VLOOKUP(A11874,'Componentes APUs'!$A$1:$D$14,2,0)</f>
        <v>Casco dielectrico Tipo 2 Clase E con barboquejo</v>
      </c>
      <c r="C11874" s="73"/>
      <c r="D11874" s="50" t="str">
        <f>VLOOKUP(A11874,'Componentes APUs'!$A$1:$D$14,3,0)</f>
        <v>U</v>
      </c>
      <c r="E11874" s="53">
        <f>IF(A11844="MO-3",C11844,0)</f>
        <v>1</v>
      </c>
      <c r="F11874" s="51">
        <f>VLOOKUP(A11874,'Componentes APUs'!$A$1:$D$14,4,0)</f>
        <v>7500</v>
      </c>
      <c r="G11874" s="51">
        <f>ROUNDUP(F11874*(E11874/21)/E11828,0)</f>
        <v>715</v>
      </c>
    </row>
    <row r="11875" spans="1:7" x14ac:dyDescent="0.25">
      <c r="A11875" s="69" t="s">
        <v>89</v>
      </c>
      <c r="B11875" s="72" t="str">
        <f>VLOOKUP(A11875,'Componentes APUs'!$A$1:$D$14,2,0)</f>
        <v>Kit de rescate para trabajo en alturas</v>
      </c>
      <c r="C11875" s="73"/>
      <c r="D11875" s="50" t="str">
        <f>VLOOKUP(A11875,'Componentes APUs'!$A$1:$D$14,3,0)</f>
        <v>U</v>
      </c>
      <c r="E11875" s="50">
        <f>IF(AND(A11844="MO-3",C11844=2),1,0)</f>
        <v>0</v>
      </c>
      <c r="F11875" s="51">
        <f>VLOOKUP(A11875,'Componentes APUs'!$A$1:$D$14,4,0)</f>
        <v>37500</v>
      </c>
      <c r="G11875" s="51">
        <f>ROUNDUP(F11875*(E11875/21)/E11828,0)</f>
        <v>0</v>
      </c>
    </row>
    <row r="11876" spans="1:7" x14ac:dyDescent="0.25">
      <c r="A11876" s="50" t="s">
        <v>91</v>
      </c>
      <c r="B11876" s="72" t="str">
        <f>VLOOKUP(A11876,'Componentes APUs'!$A$1:$D$14,2,0)</f>
        <v>Equipo completo para trabajo en alturas con pretales (Arnes dielectrico, 1 mosqueton de seguridad, tie off dielectrico, eslinga de posicionamiento, juego de pretales)</v>
      </c>
      <c r="C11876" s="73"/>
      <c r="D11876" s="50" t="str">
        <f>VLOOKUP(A11876,'Componentes APUs'!$A$1:$D$14,3,0)</f>
        <v>U</v>
      </c>
      <c r="E11876" s="50">
        <f>IF(A11844="MO-3",C11844,0)</f>
        <v>1</v>
      </c>
      <c r="F11876" s="51">
        <f>VLOOKUP(A11876,'Componentes APUs'!$A$1:$D$14,4,0)</f>
        <v>26041.666666666668</v>
      </c>
      <c r="G11876" s="51">
        <f>ROUNDUP(F11876*(E11876/21)/E11828,0)</f>
        <v>2481</v>
      </c>
    </row>
    <row r="11877" spans="1:7" x14ac:dyDescent="0.25">
      <c r="A11877" s="219" t="s">
        <v>95</v>
      </c>
      <c r="B11877" s="219"/>
      <c r="C11877" s="219"/>
      <c r="D11877" s="219"/>
      <c r="E11877" s="219"/>
      <c r="F11877" s="219"/>
      <c r="G11877" s="52">
        <f>SUM(G11864:G11876)</f>
        <v>15691</v>
      </c>
    </row>
    <row r="11878" spans="1:7" x14ac:dyDescent="0.25">
      <c r="A11878" s="56"/>
      <c r="B11878" s="57"/>
      <c r="C11878" s="57"/>
      <c r="D11878" s="57"/>
      <c r="E11878" s="57"/>
      <c r="F11878" s="57"/>
      <c r="G11878" s="58"/>
    </row>
    <row r="11879" spans="1:7" x14ac:dyDescent="0.25">
      <c r="A11879" s="219" t="s">
        <v>96</v>
      </c>
      <c r="B11879" s="219"/>
      <c r="C11879" s="219"/>
      <c r="D11879" s="219"/>
      <c r="E11879" s="219"/>
      <c r="F11879" s="219"/>
      <c r="G11879" s="219"/>
    </row>
    <row r="11880" spans="1:7" x14ac:dyDescent="0.25">
      <c r="A11880" s="49" t="s">
        <v>35</v>
      </c>
      <c r="B11880" s="225" t="s">
        <v>36</v>
      </c>
      <c r="C11880" s="225"/>
      <c r="D11880" s="49" t="s">
        <v>37</v>
      </c>
      <c r="E11880" s="49" t="s">
        <v>38</v>
      </c>
      <c r="F11880" s="49" t="s">
        <v>39</v>
      </c>
      <c r="G11880" s="49" t="s">
        <v>40</v>
      </c>
    </row>
    <row r="11881" spans="1:7" x14ac:dyDescent="0.25">
      <c r="A11881" s="69" t="s">
        <v>97</v>
      </c>
      <c r="B11881" s="72" t="str">
        <f>VLOOKUP(A11881,'Componentes APUs'!$N$1:$Q$30,2,0)</f>
        <v>Camioneta</v>
      </c>
      <c r="C11881" s="73"/>
      <c r="D11881" s="70" t="str">
        <f>VLOOKUP(A11881,'Componentes APUs'!$N$1:$Q$30,3,0)</f>
        <v>U</v>
      </c>
      <c r="E11881" s="50">
        <v>1</v>
      </c>
      <c r="F11881" s="51">
        <f>VLOOKUP(A11881,'Componentes APUs'!$N$1:$Q$30,4,0)</f>
        <v>5500000</v>
      </c>
      <c r="G11881" s="51">
        <f>IFERROR(ROUNDUP(F11881*(E11881/21)/E11828,0),"-")</f>
        <v>523810</v>
      </c>
    </row>
    <row r="11882" spans="1:7" x14ac:dyDescent="0.25">
      <c r="A11882" s="50" t="s">
        <v>321</v>
      </c>
      <c r="B11882" s="72" t="str">
        <f>VLOOKUP(A11882,'Componentes APUs'!$N$1:$Q$30,2,0)</f>
        <v>Grúa Hidráulica</v>
      </c>
      <c r="C11882" s="73"/>
      <c r="D11882" s="70" t="str">
        <f>VLOOKUP(A11882,'Componentes APUs'!$N$1:$Q$30,3,0)</f>
        <v>U</v>
      </c>
      <c r="E11882" s="50">
        <v>0</v>
      </c>
      <c r="F11882" s="51">
        <f>VLOOKUP(A11882,'Componentes APUs'!$N$1:$Q$30,4,0)</f>
        <v>21000000</v>
      </c>
      <c r="G11882" s="51">
        <f>IFERROR(ROUNDUP(F11882*(E11882/21)/E11828,0),"-")</f>
        <v>0</v>
      </c>
    </row>
    <row r="11883" spans="1:7" x14ac:dyDescent="0.25">
      <c r="A11883" s="69" t="s">
        <v>322</v>
      </c>
      <c r="B11883" s="72" t="str">
        <f>VLOOKUP(A11883,'Componentes APUs'!$N$1:$Q$30,2,0)</f>
        <v>Camabaja</v>
      </c>
      <c r="C11883" s="73"/>
      <c r="D11883" s="70" t="str">
        <f>VLOOKUP(A11883,'Componentes APUs'!$N$1:$Q$30,3,0)</f>
        <v>TON/KM</v>
      </c>
      <c r="E11883" s="50">
        <v>0</v>
      </c>
      <c r="F11883" s="51">
        <f>VLOOKUP(A11883,'Componentes APUs'!$N$1:$Q$30,4,0)</f>
        <v>611</v>
      </c>
      <c r="G11883" s="51">
        <f>IFERROR(ROUNDUP(F11883*(E11883/21)/E11828,0),"-")</f>
        <v>0</v>
      </c>
    </row>
    <row r="11884" spans="1:7" x14ac:dyDescent="0.25">
      <c r="A11884" s="219" t="s">
        <v>99</v>
      </c>
      <c r="B11884" s="219"/>
      <c r="C11884" s="219"/>
      <c r="D11884" s="219"/>
      <c r="E11884" s="219"/>
      <c r="F11884" s="219"/>
      <c r="G11884" s="52">
        <f>SUM(G11881:G11883)</f>
        <v>523810</v>
      </c>
    </row>
    <row r="11885" spans="1:7" x14ac:dyDescent="0.25">
      <c r="A11885" s="56"/>
      <c r="B11885" s="57"/>
      <c r="C11885" s="57"/>
      <c r="D11885" s="57"/>
      <c r="E11885" s="57"/>
      <c r="F11885" s="57"/>
      <c r="G11885" s="58"/>
    </row>
    <row r="11886" spans="1:7" x14ac:dyDescent="0.25">
      <c r="A11886" s="219" t="s">
        <v>1516</v>
      </c>
      <c r="B11886" s="219"/>
      <c r="C11886" s="219"/>
      <c r="D11886" s="219"/>
      <c r="E11886" s="219"/>
      <c r="F11886" s="219"/>
      <c r="G11886" s="52">
        <f>G11884+G11877+G11860+G11849+G11838</f>
        <v>123873412</v>
      </c>
    </row>
    <row r="11887" spans="1:7" x14ac:dyDescent="0.25">
      <c r="A11887" s="59"/>
      <c r="B11887" s="60"/>
      <c r="C11887" s="60"/>
      <c r="D11887" s="60"/>
      <c r="E11887" s="57"/>
      <c r="F11887" s="57"/>
      <c r="G11887" s="58"/>
    </row>
    <row r="11888" spans="1:7" x14ac:dyDescent="0.25">
      <c r="A11888" s="64"/>
      <c r="D11888" s="55"/>
      <c r="E11888" s="49" t="s">
        <v>25</v>
      </c>
      <c r="F11888" s="54">
        <v>0.15</v>
      </c>
      <c r="G11888" s="51">
        <f>G11886*F11888</f>
        <v>18581011.800000001</v>
      </c>
    </row>
    <row r="11889" spans="1:7" x14ac:dyDescent="0.25">
      <c r="A11889" s="64"/>
      <c r="D11889" s="55"/>
      <c r="E11889" s="49" t="s">
        <v>26</v>
      </c>
      <c r="F11889" s="54">
        <v>0.05</v>
      </c>
      <c r="G11889" s="51">
        <f>G11886*F11889</f>
        <v>6193670.6000000006</v>
      </c>
    </row>
    <row r="11890" spans="1:7" x14ac:dyDescent="0.25">
      <c r="A11890" s="61"/>
      <c r="B11890" s="65"/>
      <c r="C11890" s="65"/>
      <c r="D11890" s="62"/>
      <c r="E11890" s="49" t="s">
        <v>27</v>
      </c>
      <c r="F11890" s="54">
        <v>0.05</v>
      </c>
      <c r="G11890" s="51">
        <f>G11886*F11890</f>
        <v>6193670.6000000006</v>
      </c>
    </row>
    <row r="11891" spans="1:7" x14ac:dyDescent="0.25">
      <c r="A11891" s="61"/>
      <c r="B11891" s="62"/>
      <c r="C11891" s="62"/>
      <c r="D11891" s="62"/>
      <c r="E11891" s="62"/>
      <c r="F11891" s="62"/>
      <c r="G11891" s="63"/>
    </row>
    <row r="11892" spans="1:7" x14ac:dyDescent="0.25">
      <c r="A11892" s="219" t="s">
        <v>1517</v>
      </c>
      <c r="B11892" s="219"/>
      <c r="C11892" s="219"/>
      <c r="D11892" s="219"/>
      <c r="E11892" s="219"/>
      <c r="F11892" s="219"/>
      <c r="G11892" s="52">
        <f>G11886+G11888+G11889+G11890</f>
        <v>154841765</v>
      </c>
    </row>
    <row r="11893" spans="1:7" x14ac:dyDescent="0.25">
      <c r="A11893" s="59"/>
      <c r="B11893" s="60"/>
      <c r="C11893" s="60"/>
      <c r="D11893" s="60"/>
      <c r="E11893" s="57"/>
      <c r="F11893" s="57"/>
      <c r="G11893" s="58"/>
    </row>
    <row r="11894" spans="1:7" x14ac:dyDescent="0.25">
      <c r="A11894" s="64"/>
      <c r="D11894" s="55"/>
      <c r="E11894" s="49" t="s">
        <v>102</v>
      </c>
      <c r="F11894" s="49" t="s">
        <v>103</v>
      </c>
      <c r="G11894" s="51">
        <f>G11890*19%</f>
        <v>1176797.4140000001</v>
      </c>
    </row>
    <row r="11895" spans="1:7" x14ac:dyDescent="0.25">
      <c r="A11895" s="61"/>
      <c r="B11895" s="62"/>
      <c r="C11895" s="62"/>
      <c r="D11895" s="62"/>
      <c r="E11895" s="57"/>
      <c r="F11895" s="57"/>
      <c r="G11895" s="58"/>
    </row>
    <row r="11896" spans="1:7" x14ac:dyDescent="0.25">
      <c r="A11896" s="219" t="s">
        <v>104</v>
      </c>
      <c r="B11896" s="219"/>
      <c r="C11896" s="219"/>
      <c r="D11896" s="219"/>
      <c r="E11896" s="219"/>
      <c r="F11896" s="219"/>
      <c r="G11896" s="52">
        <f>G11894+G11892</f>
        <v>156018562.414</v>
      </c>
    </row>
    <row r="11898" spans="1:7" x14ac:dyDescent="0.25">
      <c r="A11898" s="140" t="s">
        <v>29</v>
      </c>
      <c r="B11898" s="240" t="s">
        <v>30</v>
      </c>
      <c r="C11898" s="240"/>
      <c r="D11898" s="140" t="s">
        <v>31</v>
      </c>
      <c r="E11898" s="140" t="s">
        <v>32</v>
      </c>
      <c r="F11898" s="140" t="s">
        <v>189</v>
      </c>
      <c r="G11898" s="140" t="s">
        <v>33</v>
      </c>
    </row>
    <row r="11899" spans="1:7" ht="56.25" customHeight="1" x14ac:dyDescent="0.25">
      <c r="A11899" s="50" t="str">
        <f>Presupuesto!B217</f>
        <v>026_N3</v>
      </c>
      <c r="B11899" s="220" t="str">
        <f>Presupuesto!C217</f>
        <v>SUMINISTRO E INSTALACIÓN DE TRANSFORMADOR DE CORRIENTE. USO EXTERIOR. TRIPLE NÚCLEO: ( N1:500-1000/5 CL: 0,5S, N2:500-1000/5 CL: 0,5S, N3:500-1000/5 CL: 5P20, BURDEN: 25 VA)  UM:38KV, ISC:12.5KA. INCLUYE PROTOCOLOS DE PRUEBA DE PRECISIÓN DE FABRICANTE Y LABORATORIO ACREDITADO.</v>
      </c>
      <c r="C11899" s="220"/>
      <c r="D11899" s="50" t="s">
        <v>18</v>
      </c>
      <c r="E11899" s="50">
        <v>3</v>
      </c>
      <c r="F11899" s="50"/>
      <c r="G11899" s="51">
        <f>G11962</f>
        <v>32132159.960999995</v>
      </c>
    </row>
    <row r="11900" spans="1:7" x14ac:dyDescent="0.25">
      <c r="A11900" s="219" t="s">
        <v>34</v>
      </c>
      <c r="B11900" s="219"/>
      <c r="C11900" s="219"/>
      <c r="D11900" s="219"/>
      <c r="E11900" s="219"/>
      <c r="F11900" s="219"/>
      <c r="G11900" s="219"/>
    </row>
    <row r="11901" spans="1:7" x14ac:dyDescent="0.25">
      <c r="A11901" s="49" t="s">
        <v>35</v>
      </c>
      <c r="B11901" s="219" t="s">
        <v>36</v>
      </c>
      <c r="C11901" s="219"/>
      <c r="D11901" s="49" t="s">
        <v>37</v>
      </c>
      <c r="E11901" s="49" t="s">
        <v>38</v>
      </c>
      <c r="F11901" s="49" t="s">
        <v>39</v>
      </c>
      <c r="G11901" s="49" t="s">
        <v>40</v>
      </c>
    </row>
    <row r="11902" spans="1:7" ht="63.75" customHeight="1" x14ac:dyDescent="0.25">
      <c r="A11902" s="17" t="str">
        <f>Material!A27</f>
        <v>MA-26</v>
      </c>
      <c r="B11902" s="221" t="str">
        <f>IFERROR(VLOOKUP(A11902,Material!$A:$J,2,0),"-")</f>
        <v>TRANSFORMADOR DE CORRIENTE. USO EXTERIOR. TRIPLE NÚCLEO: ( N1:500-1000/5 CL: 0,5S, N2:500-1000/5 CL: 0,5S, N3:500-1000/5 CL: 5P20)  UM:38KV, ISC:12.5KA MIN, RELACIÓN DE TRANSFORMACIÓN AJUSTADA SEGÚN DISEÑO. INCLUYE PROTOCOLOS DE PRUEBA DE PRECISIÓN DE FABRICANTE Y LABORATORIO ACREDITADO.</v>
      </c>
      <c r="C11902" s="222"/>
      <c r="D11902" s="50" t="str">
        <f>IFERROR(VLOOKUP(A11902,Material!$A:$J,4,0),"-")</f>
        <v>UN</v>
      </c>
      <c r="E11902" s="50">
        <v>1</v>
      </c>
      <c r="F11902" s="51">
        <f>IFERROR(VLOOKUP(A11902,Material!$A:$J,3,0),"-")</f>
        <v>25061400</v>
      </c>
      <c r="G11902" s="51">
        <f t="shared" ref="G11902" si="167">IFERROR(ROUNDUP(F11902*E11902,0),"-")</f>
        <v>25061400</v>
      </c>
    </row>
    <row r="11903" spans="1:7" x14ac:dyDescent="0.25">
      <c r="A11903" s="219" t="s">
        <v>41</v>
      </c>
      <c r="B11903" s="219"/>
      <c r="C11903" s="219"/>
      <c r="D11903" s="219"/>
      <c r="E11903" s="219"/>
      <c r="F11903" s="219"/>
      <c r="G11903" s="52">
        <f>SUM(G11902:G11902)</f>
        <v>25061400</v>
      </c>
    </row>
    <row r="11904" spans="1:7" x14ac:dyDescent="0.25">
      <c r="A11904" s="56"/>
      <c r="B11904" s="57"/>
      <c r="C11904" s="57"/>
      <c r="D11904" s="57"/>
      <c r="E11904" s="57"/>
      <c r="F11904" s="57"/>
      <c r="G11904" s="58"/>
    </row>
    <row r="11905" spans="1:7" x14ac:dyDescent="0.25">
      <c r="A11905" s="219" t="s">
        <v>42</v>
      </c>
      <c r="B11905" s="219"/>
      <c r="C11905" s="219"/>
      <c r="D11905" s="219"/>
      <c r="E11905" s="219"/>
      <c r="F11905" s="219"/>
      <c r="G11905" s="219"/>
    </row>
    <row r="11906" spans="1:7" x14ac:dyDescent="0.25">
      <c r="A11906" s="49" t="s">
        <v>35</v>
      </c>
      <c r="B11906" s="49" t="s">
        <v>36</v>
      </c>
      <c r="C11906" s="49" t="s">
        <v>38</v>
      </c>
      <c r="D11906" s="49" t="s">
        <v>43</v>
      </c>
      <c r="E11906" s="49" t="s">
        <v>44</v>
      </c>
      <c r="F11906" s="49" t="s">
        <v>45</v>
      </c>
      <c r="G11906" s="49" t="s">
        <v>40</v>
      </c>
    </row>
    <row r="11907" spans="1:7" x14ac:dyDescent="0.25">
      <c r="A11907" s="50" t="s">
        <v>319</v>
      </c>
      <c r="B11907" s="68" t="str">
        <f>VLOOKUP(A11907,'[1]Componentes APUs'!$H$1:$L$25,2,0)</f>
        <v>Ingeniero Residente de Obra</v>
      </c>
      <c r="C11907" s="93">
        <v>0.25</v>
      </c>
      <c r="D11907" s="50">
        <f>VLOOKUP(A11907,'[1]Componentes APUs'!$H$1:$L$25,3,0)</f>
        <v>4</v>
      </c>
      <c r="E11907" s="51">
        <f>VLOOKUP(A11907,'[1]Componentes APUs'!$H$1:$L$25,4,0)</f>
        <v>271142.85714285716</v>
      </c>
      <c r="F11907" s="51">
        <f>VLOOKUP(A11907,'[1]Componentes APUs'!$H$1:$L$25,5,0)</f>
        <v>162685.71428571429</v>
      </c>
      <c r="G11907" s="51">
        <f>ROUNDUP((E11907+F11907)*C11907/E11899,0)</f>
        <v>36153</v>
      </c>
    </row>
    <row r="11908" spans="1:7" x14ac:dyDescent="0.25">
      <c r="A11908" s="50" t="s">
        <v>320</v>
      </c>
      <c r="B11908" s="68" t="str">
        <f>VLOOKUP(A11908,'[1]Componentes APUs'!$H$1:$L$25,2,0)</f>
        <v>Tecnico Supervisor</v>
      </c>
      <c r="C11908" s="93">
        <v>0.25</v>
      </c>
      <c r="D11908" s="50">
        <f>VLOOKUP(A11908,'[1]Componentes APUs'!$H$1:$L$25,3,0)</f>
        <v>2.2999999999999998</v>
      </c>
      <c r="E11908" s="51">
        <f>VLOOKUP(A11908,'[1]Componentes APUs'!$H$1:$L$25,4,0)</f>
        <v>155907.14285714284</v>
      </c>
      <c r="F11908" s="51">
        <f>VLOOKUP(A11908,'[1]Componentes APUs'!$H$1:$L$25,5,0)</f>
        <v>93544.285714285696</v>
      </c>
      <c r="G11908" s="51">
        <f>ROUNDUP((E11908+F11908)*C11908/E11899,0)</f>
        <v>20788</v>
      </c>
    </row>
    <row r="11909" spans="1:7" x14ac:dyDescent="0.25">
      <c r="A11909" s="50" t="s">
        <v>46</v>
      </c>
      <c r="B11909" s="68" t="str">
        <f>VLOOKUP(A11909,'[1]Componentes APUs'!$H$1:$L$25,2,0)</f>
        <v>Tecnico Liniero</v>
      </c>
      <c r="C11909" s="93">
        <v>2</v>
      </c>
      <c r="D11909" s="50">
        <f>VLOOKUP(A11909,'[1]Componentes APUs'!$H$1:$L$25,3,0)</f>
        <v>2</v>
      </c>
      <c r="E11909" s="51">
        <f>VLOOKUP(A11909,'[1]Componentes APUs'!$H$1:$L$25,4,0)</f>
        <v>154619.04761904763</v>
      </c>
      <c r="F11909" s="51">
        <f>VLOOKUP(A11909,'[1]Componentes APUs'!$H$1:$L$25,5,0)</f>
        <v>92771.42857142858</v>
      </c>
      <c r="G11909" s="51">
        <f>ROUNDUP((E11909+F11909)*C11909/E11899,0)</f>
        <v>164927</v>
      </c>
    </row>
    <row r="11910" spans="1:7" x14ac:dyDescent="0.25">
      <c r="A11910" s="50" t="s">
        <v>48</v>
      </c>
      <c r="B11910" s="68" t="str">
        <f>VLOOKUP(A11910,'[1]Componentes APUs'!$H$1:$L$25,2,0)</f>
        <v>Ayudante Calificado</v>
      </c>
      <c r="C11910" s="93">
        <v>1</v>
      </c>
      <c r="D11910" s="50">
        <f>VLOOKUP(A11910,'[1]Componentes APUs'!$H$1:$L$25,3,0)</f>
        <v>1.5</v>
      </c>
      <c r="E11910" s="51">
        <f>VLOOKUP(A11910,'[1]Componentes APUs'!$H$1:$L$25,4,0)</f>
        <v>115964.28571428571</v>
      </c>
      <c r="F11910" s="51">
        <f>VLOOKUP(A11910,'[1]Componentes APUs'!$H$1:$L$25,5,0)</f>
        <v>69578.57142857142</v>
      </c>
      <c r="G11910" s="51">
        <f>ROUNDUP((E11910+F11910)*C11910/E11899,0)</f>
        <v>61848</v>
      </c>
    </row>
    <row r="11911" spans="1:7" x14ac:dyDescent="0.25">
      <c r="A11911" s="50" t="s">
        <v>50</v>
      </c>
      <c r="B11911" s="68" t="str">
        <f>VLOOKUP(A11911,'[1]Componentes APUs'!$H$1:$L$25,2,0)</f>
        <v>Profesional en SST</v>
      </c>
      <c r="C11911" s="93">
        <v>0.25</v>
      </c>
      <c r="D11911" s="50">
        <f>VLOOKUP(A11911,'[1]Componentes APUs'!$H$1:$L$25,3,0)</f>
        <v>2.5</v>
      </c>
      <c r="E11911" s="51">
        <f>VLOOKUP(A11911,'[1]Componentes APUs'!$H$1:$L$25,4,0)</f>
        <v>169464.28571428571</v>
      </c>
      <c r="F11911" s="51">
        <f>VLOOKUP(A11911,'[1]Componentes APUs'!$H$1:$L$25,5,0)</f>
        <v>101678.57142857142</v>
      </c>
      <c r="G11911" s="51">
        <f>ROUNDUP((E11911+F11911)*C11911/E11899,0)</f>
        <v>22596</v>
      </c>
    </row>
    <row r="11912" spans="1:7" x14ac:dyDescent="0.25">
      <c r="A11912" s="50" t="s">
        <v>52</v>
      </c>
      <c r="B11912" s="68" t="str">
        <f>VLOOKUP(A11912,'[1]Componentes APUs'!$H$1:$L$25,2,0)</f>
        <v>Ayudante No Calificado</v>
      </c>
      <c r="C11912" s="93">
        <v>1</v>
      </c>
      <c r="D11912" s="50">
        <f>VLOOKUP(A11912,'[1]Componentes APUs'!$H$1:$L$25,3,0)</f>
        <v>1</v>
      </c>
      <c r="E11912" s="51">
        <f>VLOOKUP(A11912,'[1]Componentes APUs'!$H$1:$L$25,4,0)</f>
        <v>77309.523809523816</v>
      </c>
      <c r="F11912" s="51">
        <f>VLOOKUP(A11912,'[1]Componentes APUs'!$H$1:$L$25,5,0)</f>
        <v>46385.71428571429</v>
      </c>
      <c r="G11912" s="51">
        <f>ROUNDUP((E11912+F11912)*C11912/E11899,0)</f>
        <v>41232</v>
      </c>
    </row>
    <row r="11913" spans="1:7" x14ac:dyDescent="0.25">
      <c r="A11913" s="219" t="s">
        <v>56</v>
      </c>
      <c r="B11913" s="219"/>
      <c r="C11913" s="219"/>
      <c r="D11913" s="219"/>
      <c r="E11913" s="219"/>
      <c r="F11913" s="219"/>
      <c r="G11913" s="52">
        <f>SUM(G11907:G11912)</f>
        <v>347544</v>
      </c>
    </row>
    <row r="11914" spans="1:7" x14ac:dyDescent="0.25">
      <c r="A11914" s="56"/>
      <c r="B11914" s="57"/>
      <c r="C11914" s="57"/>
      <c r="D11914" s="57"/>
      <c r="E11914" s="57"/>
      <c r="F11914" s="57"/>
      <c r="G11914" s="58"/>
    </row>
    <row r="11915" spans="1:7" x14ac:dyDescent="0.25">
      <c r="A11915" s="219" t="s">
        <v>57</v>
      </c>
      <c r="B11915" s="219"/>
      <c r="C11915" s="219"/>
      <c r="D11915" s="219"/>
      <c r="E11915" s="219"/>
      <c r="F11915" s="219"/>
      <c r="G11915" s="219"/>
    </row>
    <row r="11916" spans="1:7" x14ac:dyDescent="0.25">
      <c r="A11916" s="49" t="s">
        <v>35</v>
      </c>
      <c r="B11916" s="219" t="s">
        <v>36</v>
      </c>
      <c r="C11916" s="219"/>
      <c r="D11916" s="49" t="s">
        <v>37</v>
      </c>
      <c r="E11916" s="49" t="s">
        <v>38</v>
      </c>
      <c r="F11916" s="49" t="s">
        <v>39</v>
      </c>
      <c r="G11916" s="49" t="s">
        <v>40</v>
      </c>
    </row>
    <row r="11917" spans="1:7" x14ac:dyDescent="0.25">
      <c r="A11917" s="50" t="s">
        <v>326</v>
      </c>
      <c r="B11917" s="220" t="str">
        <f>VLOOKUP(A11917,'[1]Componentes APUs'!$S$1:$V$10,2,0)</f>
        <v>Juego Llaves</v>
      </c>
      <c r="C11917" s="220"/>
      <c r="D11917" s="50" t="s">
        <v>18</v>
      </c>
      <c r="E11917" s="50">
        <v>2</v>
      </c>
      <c r="F11917" s="51">
        <f>VLOOKUP(A11917,'[1]Componentes APUs'!$S$1:$V$10,4,0)</f>
        <v>9167</v>
      </c>
      <c r="G11917" s="51">
        <f>ROUNDUP(F11917*((E11917/21)/E11899),0)</f>
        <v>292</v>
      </c>
    </row>
    <row r="11918" spans="1:7" x14ac:dyDescent="0.25">
      <c r="A11918" s="50" t="s">
        <v>58</v>
      </c>
      <c r="B11918" s="220" t="str">
        <f>VLOOKUP(A11918,'[1]Componentes APUs'!$S$1:$V$10,2,0)</f>
        <v>Manila de servicio</v>
      </c>
      <c r="C11918" s="220"/>
      <c r="D11918" s="50" t="s">
        <v>18</v>
      </c>
      <c r="E11918" s="50">
        <v>2</v>
      </c>
      <c r="F11918" s="51">
        <f>VLOOKUP(A11918,'[1]Componentes APUs'!$S$1:$V$10,4,0)</f>
        <v>2333</v>
      </c>
      <c r="G11918" s="51">
        <f>ROUNDUP(F11918*((E11918/21)/E11899),0)</f>
        <v>75</v>
      </c>
    </row>
    <row r="11919" spans="1:7" x14ac:dyDescent="0.25">
      <c r="A11919" s="50" t="s">
        <v>327</v>
      </c>
      <c r="B11919" s="220" t="str">
        <f>VLOOKUP(A11919,'[1]Componentes APUs'!$S$1:$V$10,2,0)</f>
        <v>Tula portaherramientas</v>
      </c>
      <c r="C11919" s="220"/>
      <c r="D11919" s="50" t="s">
        <v>18</v>
      </c>
      <c r="E11919" s="50">
        <v>2</v>
      </c>
      <c r="F11919" s="51">
        <f>VLOOKUP(A11919,'[1]Componentes APUs'!$S$1:$V$10,4,0)</f>
        <v>1250</v>
      </c>
      <c r="G11919" s="51">
        <f>ROUNDUP(F11919*((E11919/21)/E11899),0)</f>
        <v>40</v>
      </c>
    </row>
    <row r="11920" spans="1:7" x14ac:dyDescent="0.25">
      <c r="A11920" s="50" t="s">
        <v>60</v>
      </c>
      <c r="B11920" s="220" t="str">
        <f>VLOOKUP(A11920,'[1]Componentes APUs'!$S$1:$V$10,2,0)</f>
        <v>Agarradoras</v>
      </c>
      <c r="C11920" s="220"/>
      <c r="D11920" s="50" t="s">
        <v>18</v>
      </c>
      <c r="E11920" s="50">
        <v>0</v>
      </c>
      <c r="F11920" s="51">
        <f>VLOOKUP(A11920,'[1]Componentes APUs'!$S$1:$V$10,4,0)</f>
        <v>125000</v>
      </c>
      <c r="G11920" s="51">
        <f>ROUNDUP(F11920*((E11920/21)/E11899),0)</f>
        <v>0</v>
      </c>
    </row>
    <row r="11921" spans="1:7" x14ac:dyDescent="0.25">
      <c r="A11921" s="50" t="s">
        <v>62</v>
      </c>
      <c r="B11921" s="220" t="str">
        <f>VLOOKUP(A11921,'[1]Componentes APUs'!$S$1:$V$10,2,0)</f>
        <v>Templadoras</v>
      </c>
      <c r="C11921" s="220"/>
      <c r="D11921" s="50" t="s">
        <v>18</v>
      </c>
      <c r="E11921" s="50">
        <v>0</v>
      </c>
      <c r="F11921" s="51">
        <f>VLOOKUP(A11921,'[1]Componentes APUs'!$S$1:$V$10,4,0)</f>
        <v>250000</v>
      </c>
      <c r="G11921" s="51">
        <f>ROUNDUP(F11921*((E11921/21)/E11899),0)</f>
        <v>0</v>
      </c>
    </row>
    <row r="11922" spans="1:7" x14ac:dyDescent="0.25">
      <c r="A11922" s="50" t="s">
        <v>328</v>
      </c>
      <c r="B11922" s="220" t="str">
        <f>VLOOKUP(A11922,'[1]Componentes APUs'!$S$1:$V$10,2,0)</f>
        <v>Herramienta Menor</v>
      </c>
      <c r="C11922" s="220"/>
      <c r="D11922" s="50" t="s">
        <v>18</v>
      </c>
      <c r="E11922" s="50">
        <v>2</v>
      </c>
      <c r="F11922" s="51">
        <f>VLOOKUP(A11922,'[1]Componentes APUs'!$S$1:$V$10,4,0)</f>
        <v>75758</v>
      </c>
      <c r="G11922" s="51">
        <f>ROUNDUP(F11922*((E11922/21)/E11899),0)</f>
        <v>2406</v>
      </c>
    </row>
    <row r="11923" spans="1:7" x14ac:dyDescent="0.25">
      <c r="A11923" s="50" t="s">
        <v>66</v>
      </c>
      <c r="B11923" s="220" t="str">
        <f>VLOOKUP(A11923,'[1]Componentes APUs'!$S$1:$V$10,2,0)</f>
        <v>Diferencial 2 Toneladas</v>
      </c>
      <c r="C11923" s="220"/>
      <c r="D11923" s="50" t="s">
        <v>18</v>
      </c>
      <c r="E11923" s="50">
        <v>1</v>
      </c>
      <c r="F11923" s="51">
        <f>VLOOKUP(A11923,'[1]Componentes APUs'!$S$1:$V$10,4,0)</f>
        <v>474905</v>
      </c>
      <c r="G11923" s="51">
        <f>ROUNDUP(F11923*((E11923/21)/E11899),0)</f>
        <v>7539</v>
      </c>
    </row>
    <row r="11924" spans="1:7" x14ac:dyDescent="0.25">
      <c r="A11924" s="219" t="s">
        <v>69</v>
      </c>
      <c r="B11924" s="219"/>
      <c r="C11924" s="219"/>
      <c r="D11924" s="219"/>
      <c r="E11924" s="219"/>
      <c r="F11924" s="219"/>
      <c r="G11924" s="52">
        <f>SUM(G11917:G11923)</f>
        <v>10352</v>
      </c>
    </row>
    <row r="11925" spans="1:7" x14ac:dyDescent="0.25">
      <c r="A11925" s="56"/>
      <c r="B11925" s="57"/>
      <c r="C11925" s="57"/>
      <c r="D11925" s="57"/>
      <c r="E11925" s="57"/>
      <c r="F11925" s="57"/>
      <c r="G11925" s="58"/>
    </row>
    <row r="11926" spans="1:7" x14ac:dyDescent="0.25">
      <c r="A11926" s="219" t="s">
        <v>70</v>
      </c>
      <c r="B11926" s="219"/>
      <c r="C11926" s="219"/>
      <c r="D11926" s="219"/>
      <c r="E11926" s="219"/>
      <c r="F11926" s="219"/>
      <c r="G11926" s="219"/>
    </row>
    <row r="11927" spans="1:7" x14ac:dyDescent="0.25">
      <c r="A11927" s="49" t="s">
        <v>35</v>
      </c>
      <c r="B11927" s="219" t="s">
        <v>36</v>
      </c>
      <c r="C11927" s="219"/>
      <c r="D11927" s="49" t="s">
        <v>37</v>
      </c>
      <c r="E11927" s="49" t="s">
        <v>38</v>
      </c>
      <c r="F11927" s="49" t="s">
        <v>39</v>
      </c>
      <c r="G11927" s="49" t="s">
        <v>40</v>
      </c>
    </row>
    <row r="11928" spans="1:7" x14ac:dyDescent="0.25">
      <c r="A11928" s="50" t="s">
        <v>71</v>
      </c>
      <c r="B11928" s="71" t="str">
        <f>VLOOKUP(A11928,'[1]Componentes APUs'!$A$1:$D$14,2,0)</f>
        <v>Camisa indigo sin partes metalicas</v>
      </c>
      <c r="C11928" s="71"/>
      <c r="D11928" s="50" t="str">
        <f>VLOOKUP(A11928,'[1]Componentes APUs'!$A$1:$D$14,3,0)</f>
        <v>U</v>
      </c>
      <c r="E11928" s="50">
        <f>SUM(C11907:C11912)</f>
        <v>4.75</v>
      </c>
      <c r="F11928" s="51">
        <f>VLOOKUP(A11928,'[1]Componentes APUs'!$A$1:$D$14,4,0)</f>
        <v>8585.8585858585866</v>
      </c>
      <c r="G11928" s="51">
        <f>ROUNDUP(F11928*(E11928/21)/E11899,0)</f>
        <v>648</v>
      </c>
    </row>
    <row r="11929" spans="1:7" x14ac:dyDescent="0.25">
      <c r="A11929" s="69" t="s">
        <v>73</v>
      </c>
      <c r="B11929" s="72" t="str">
        <f>VLOOKUP(A11929,'[1]Componentes APUs'!$A$1:$D$14,2,0)</f>
        <v>Bota de seguridad dielectrica</v>
      </c>
      <c r="C11929" s="73"/>
      <c r="D11929" s="70" t="str">
        <f>VLOOKUP(A11929,'[1]Componentes APUs'!$A$1:$D$14,3,0)</f>
        <v>Par</v>
      </c>
      <c r="E11929" s="50">
        <f>SUM(C11907:C11912)</f>
        <v>4.75</v>
      </c>
      <c r="F11929" s="51">
        <f>VLOOKUP(A11929,'[1]Componentes APUs'!$A$1:$D$14,4,0)</f>
        <v>7500</v>
      </c>
      <c r="G11929" s="51">
        <f>ROUNDUP(F11929*(E11929/21)/E11899,0)</f>
        <v>566</v>
      </c>
    </row>
    <row r="11930" spans="1:7" x14ac:dyDescent="0.25">
      <c r="A11930" s="50" t="s">
        <v>76</v>
      </c>
      <c r="B11930" s="72" t="str">
        <f>VLOOKUP(A11930,'[1]Componentes APUs'!$A$1:$D$14,2,0)</f>
        <v>Casco dielectrico Tipo 1 Clase E con barbuquejo</v>
      </c>
      <c r="C11930" s="73"/>
      <c r="D11930" s="50" t="str">
        <f>VLOOKUP(A11930,'[1]Componentes APUs'!$A$1:$D$14,3,0)</f>
        <v>U</v>
      </c>
      <c r="E11930" s="50">
        <f>C11907+C11908+C11911+C11912+C11910+IF(A11909&lt;&gt;"MO-3",C11909,0)</f>
        <v>2.75</v>
      </c>
      <c r="F11930" s="51">
        <f>VLOOKUP(A11930,'[1]Componentes APUs'!$A$1:$D$14,4,0)</f>
        <v>10101.010101010101</v>
      </c>
      <c r="G11930" s="51">
        <f>ROUNDUP(F11930*(E11930/21)/E11899,0)</f>
        <v>441</v>
      </c>
    </row>
    <row r="11931" spans="1:7" x14ac:dyDescent="0.25">
      <c r="A11931" s="69" t="s">
        <v>77</v>
      </c>
      <c r="B11931" s="72" t="str">
        <f>VLOOKUP(A11931,'[1]Componentes APUs'!$A$1:$D$14,2,0)</f>
        <v>Correa plastica y antiflama</v>
      </c>
      <c r="C11931" s="73"/>
      <c r="D11931" s="50" t="str">
        <f>VLOOKUP(A11931,'[1]Componentes APUs'!$A$1:$D$14,3,0)</f>
        <v>U</v>
      </c>
      <c r="E11931" s="50">
        <f>SUM(C11907:C11912)</f>
        <v>4.75</v>
      </c>
      <c r="F11931" s="51">
        <f>VLOOKUP(A11931,'[1]Componentes APUs'!$A$1:$D$14,4,0)</f>
        <v>3787.878787878788</v>
      </c>
      <c r="G11931" s="51">
        <f>ROUNDUP(F11931*(E11931/21)/E11899,0)</f>
        <v>286</v>
      </c>
    </row>
    <row r="11932" spans="1:7" x14ac:dyDescent="0.25">
      <c r="A11932" s="50" t="s">
        <v>79</v>
      </c>
      <c r="B11932" s="72" t="str">
        <f>VLOOKUP(A11932,'[1]Componentes APUs'!$A$1:$D$14,2,0)</f>
        <v>Gafas protectoras filtro UV</v>
      </c>
      <c r="C11932" s="73"/>
      <c r="D11932" s="50" t="str">
        <f>VLOOKUP(A11932,'[1]Componentes APUs'!$A$1:$D$14,3,0)</f>
        <v>U</v>
      </c>
      <c r="E11932" s="50">
        <f>SUM(C11907:C11912)</f>
        <v>4.75</v>
      </c>
      <c r="F11932" s="51">
        <f>VLOOKUP(A11932,'[1]Componentes APUs'!$A$1:$D$14,4,0)</f>
        <v>2777.7777777777778</v>
      </c>
      <c r="G11932" s="51">
        <f>ROUNDUP(F11932*(E11932/21)/E11899,0)</f>
        <v>210</v>
      </c>
    </row>
    <row r="11933" spans="1:7" x14ac:dyDescent="0.25">
      <c r="A11933" s="69" t="s">
        <v>402</v>
      </c>
      <c r="B11933" s="72" t="str">
        <f>VLOOKUP(A11933,'[1]Componentes APUs'!$A$1:$D$14,2,0)</f>
        <v>Bota de seguridad PVC dielectrica</v>
      </c>
      <c r="C11933" s="73"/>
      <c r="D11933" s="50" t="str">
        <f>VLOOKUP(A11933,'[1]Componentes APUs'!$A$1:$D$14,3,0)</f>
        <v>Par</v>
      </c>
      <c r="E11933" s="50">
        <f>SUM(C11907:C11912)</f>
        <v>4.75</v>
      </c>
      <c r="F11933" s="51">
        <f>VLOOKUP(A11933,'[1]Componentes APUs'!$A$1:$D$14,4,0)</f>
        <v>2916.6666666666665</v>
      </c>
      <c r="G11933" s="51">
        <f>ROUNDUP(F11933*(E11933/21)/E11899,0)</f>
        <v>220</v>
      </c>
    </row>
    <row r="11934" spans="1:7" x14ac:dyDescent="0.25">
      <c r="A11934" s="50" t="s">
        <v>403</v>
      </c>
      <c r="B11934" s="72" t="str">
        <f>VLOOKUP(A11934,'[1]Componentes APUs'!$A$1:$D$14,2,0)</f>
        <v>Capuchon</v>
      </c>
      <c r="C11934" s="73"/>
      <c r="D11934" s="50" t="str">
        <f>VLOOKUP(A11934,'[1]Componentes APUs'!$A$1:$D$14,3,0)</f>
        <v>U</v>
      </c>
      <c r="E11934" s="50">
        <f>SUM(C11907:C11912)</f>
        <v>4.75</v>
      </c>
      <c r="F11934" s="51">
        <f>VLOOKUP(A11934,'[1]Componentes APUs'!$A$1:$D$14,4,0)</f>
        <v>2525.2525252525252</v>
      </c>
      <c r="G11934" s="51">
        <f>ROUNDUP(F11934*(E11934/21)/E11899,0)</f>
        <v>191</v>
      </c>
    </row>
    <row r="11935" spans="1:7" x14ac:dyDescent="0.25">
      <c r="A11935" s="69" t="s">
        <v>81</v>
      </c>
      <c r="B11935" s="72" t="str">
        <f>VLOOKUP(A11935,'[1]Componentes APUs'!$A$1:$D$14,2,0)</f>
        <v>Guantes Protectores  - ingeniero reforzados</v>
      </c>
      <c r="C11935" s="73"/>
      <c r="D11935" s="50" t="str">
        <f>VLOOKUP(A11935,'[1]Componentes APUs'!$A$1:$D$14,3,0)</f>
        <v>Par</v>
      </c>
      <c r="E11935" s="50">
        <f>C11909+C11910+C11912</f>
        <v>4</v>
      </c>
      <c r="F11935" s="51">
        <f>VLOOKUP(A11935,'[1]Componentes APUs'!$A$1:$D$14,4,0)</f>
        <v>2525.2525252525252</v>
      </c>
      <c r="G11935" s="51">
        <f>ROUNDUP(F11935*(E11935/21)/E11899,0)</f>
        <v>161</v>
      </c>
    </row>
    <row r="11936" spans="1:7" x14ac:dyDescent="0.25">
      <c r="A11936" s="50" t="s">
        <v>83</v>
      </c>
      <c r="B11936" s="72" t="str">
        <f>VLOOKUP(A11936,'[1]Componentes APUs'!$A$1:$D$14,2,0)</f>
        <v>Impermeable (pantalon camisa)</v>
      </c>
      <c r="C11936" s="73"/>
      <c r="D11936" s="50" t="str">
        <f>VLOOKUP(A11936,'[1]Componentes APUs'!$A$1:$D$14,3,0)</f>
        <v>U</v>
      </c>
      <c r="E11936" s="50">
        <f>SUM(C11907:C11912)</f>
        <v>4.75</v>
      </c>
      <c r="F11936" s="51">
        <f>VLOOKUP(A11936,'[1]Componentes APUs'!$A$1:$D$14,4,0)</f>
        <v>3750</v>
      </c>
      <c r="G11936" s="51">
        <f>ROUNDUP(F11936*(E11936/21)/E11899,0)</f>
        <v>283</v>
      </c>
    </row>
    <row r="11937" spans="1:7" x14ac:dyDescent="0.25">
      <c r="A11937" s="69" t="s">
        <v>85</v>
      </c>
      <c r="B11937" s="72" t="str">
        <f>VLOOKUP(A11937,'[1]Componentes APUs'!$A$1:$D$14,2,0)</f>
        <v>Jean Dielectrico</v>
      </c>
      <c r="C11937" s="73"/>
      <c r="D11937" s="50" t="str">
        <f>VLOOKUP(A11937,'[1]Componentes APUs'!$A$1:$D$14,3,0)</f>
        <v>U</v>
      </c>
      <c r="E11937" s="50">
        <f>SUM(C11907:C11912)</f>
        <v>4.75</v>
      </c>
      <c r="F11937" s="51">
        <f>VLOOKUP(A11937,'[1]Componentes APUs'!$A$1:$D$14,4,0)</f>
        <v>7575.757575757576</v>
      </c>
      <c r="G11937" s="51">
        <f>ROUNDUP(F11937*(E11937/21)/E11899,0)</f>
        <v>572</v>
      </c>
    </row>
    <row r="11938" spans="1:7" x14ac:dyDescent="0.25">
      <c r="A11938" s="50" t="s">
        <v>87</v>
      </c>
      <c r="B11938" s="72" t="str">
        <f>VLOOKUP(A11938,'[1]Componentes APUs'!$A$1:$D$14,2,0)</f>
        <v>Casco dielectrico Tipo 2 Clase E con barboquejo</v>
      </c>
      <c r="C11938" s="73"/>
      <c r="D11938" s="50" t="str">
        <f>VLOOKUP(A11938,'[1]Componentes APUs'!$A$1:$D$14,3,0)</f>
        <v>U</v>
      </c>
      <c r="E11938" s="53">
        <f>IF(A11909="MO-3",C11909,0)</f>
        <v>2</v>
      </c>
      <c r="F11938" s="51">
        <f>VLOOKUP(A11938,'[1]Componentes APUs'!$A$1:$D$14,4,0)</f>
        <v>7500</v>
      </c>
      <c r="G11938" s="51">
        <f>ROUNDUP(F11938*(E11938/21)/E11899,0)</f>
        <v>239</v>
      </c>
    </row>
    <row r="11939" spans="1:7" x14ac:dyDescent="0.25">
      <c r="A11939" s="69" t="s">
        <v>89</v>
      </c>
      <c r="B11939" s="72" t="str">
        <f>VLOOKUP(A11939,'[1]Componentes APUs'!$A$1:$D$14,2,0)</f>
        <v>Kit de rescate para trabajo en alturas</v>
      </c>
      <c r="C11939" s="73"/>
      <c r="D11939" s="50" t="str">
        <f>VLOOKUP(A11939,'[1]Componentes APUs'!$A$1:$D$14,3,0)</f>
        <v>U</v>
      </c>
      <c r="E11939" s="50">
        <f>IF(AND(A11909="MO-3",C11909=2),1,0)</f>
        <v>1</v>
      </c>
      <c r="F11939" s="51">
        <f>VLOOKUP(A11939,'[1]Componentes APUs'!$A$1:$D$14,4,0)</f>
        <v>37500</v>
      </c>
      <c r="G11939" s="51">
        <f>ROUNDUP(F11939*(E11939/21)/E11899,0)</f>
        <v>596</v>
      </c>
    </row>
    <row r="11940" spans="1:7" x14ac:dyDescent="0.25">
      <c r="A11940" s="50" t="s">
        <v>91</v>
      </c>
      <c r="B11940" s="72" t="str">
        <f>VLOOKUP(A11940,'[1]Componentes APUs'!$A$1:$D$14,2,0)</f>
        <v>Equipo completo para trabajo en alturas con pretales (Arnes dielectrico, 1 mosqueton de seguridad, tie off dielectrico, eslinga de posicionamiento, juego de pretales)</v>
      </c>
      <c r="C11940" s="73"/>
      <c r="D11940" s="50" t="str">
        <f>VLOOKUP(A11940,'[1]Componentes APUs'!$A$1:$D$14,3,0)</f>
        <v>U</v>
      </c>
      <c r="E11940" s="50">
        <f>IF(A11909="MO-3",C11909,0)</f>
        <v>2</v>
      </c>
      <c r="F11940" s="51">
        <f>VLOOKUP(A11940,'[1]Componentes APUs'!$A$1:$D$14,4,0)</f>
        <v>26041.666666666668</v>
      </c>
      <c r="G11940" s="51">
        <f>ROUNDUP(F11940*(E11940/21)/E11899,0)</f>
        <v>827</v>
      </c>
    </row>
    <row r="11941" spans="1:7" x14ac:dyDescent="0.25">
      <c r="A11941" s="219" t="s">
        <v>95</v>
      </c>
      <c r="B11941" s="219"/>
      <c r="C11941" s="219"/>
      <c r="D11941" s="219"/>
      <c r="E11941" s="219"/>
      <c r="F11941" s="219"/>
      <c r="G11941" s="52">
        <f>SUM(G11928:G11940)</f>
        <v>5240</v>
      </c>
    </row>
    <row r="11942" spans="1:7" x14ac:dyDescent="0.25">
      <c r="A11942" s="56"/>
      <c r="B11942" s="57"/>
      <c r="C11942" s="57"/>
      <c r="D11942" s="57"/>
      <c r="E11942" s="57"/>
      <c r="F11942" s="57"/>
      <c r="G11942" s="58"/>
    </row>
    <row r="11943" spans="1:7" x14ac:dyDescent="0.25">
      <c r="A11943" s="219" t="s">
        <v>96</v>
      </c>
      <c r="B11943" s="219"/>
      <c r="C11943" s="219"/>
      <c r="D11943" s="219"/>
      <c r="E11943" s="219"/>
      <c r="F11943" s="219"/>
      <c r="G11943" s="219"/>
    </row>
    <row r="11944" spans="1:7" x14ac:dyDescent="0.25">
      <c r="A11944" s="49" t="s">
        <v>35</v>
      </c>
      <c r="B11944" s="225" t="s">
        <v>36</v>
      </c>
      <c r="C11944" s="225"/>
      <c r="D11944" s="49" t="s">
        <v>37</v>
      </c>
      <c r="E11944" s="49" t="s">
        <v>38</v>
      </c>
      <c r="F11944" s="49" t="s">
        <v>39</v>
      </c>
      <c r="G11944" s="49" t="s">
        <v>40</v>
      </c>
    </row>
    <row r="11945" spans="1:7" x14ac:dyDescent="0.25">
      <c r="A11945" s="69" t="s">
        <v>97</v>
      </c>
      <c r="B11945" s="72" t="str">
        <f>VLOOKUP(A11945,'[1]Componentes APUs'!$N$1:$Q$30,2,0)</f>
        <v>Camioneta</v>
      </c>
      <c r="C11945" s="73"/>
      <c r="D11945" s="70" t="str">
        <f>VLOOKUP(A11945,'[1]Componentes APUs'!$N$1:$Q$30,3,0)</f>
        <v>U</v>
      </c>
      <c r="E11945" s="50">
        <v>1</v>
      </c>
      <c r="F11945" s="51">
        <f>VLOOKUP(A11945,'[1]Componentes APUs'!$N$1:$Q$30,4,0)</f>
        <v>5500000</v>
      </c>
      <c r="G11945" s="51">
        <f>IFERROR(ROUNDUP(F11945*(E11945/21)/E11899,0),"-")</f>
        <v>87302</v>
      </c>
    </row>
    <row r="11946" spans="1:7" x14ac:dyDescent="0.25">
      <c r="A11946" s="50" t="s">
        <v>321</v>
      </c>
      <c r="B11946" s="72" t="str">
        <f>VLOOKUP(A11946,'[1]Componentes APUs'!$N$1:$Q$30,2,0)</f>
        <v>Grúa Hidráulica</v>
      </c>
      <c r="C11946" s="73"/>
      <c r="D11946" s="70" t="str">
        <f>VLOOKUP(A11946,'[1]Componentes APUs'!$N$1:$Q$30,3,0)</f>
        <v>U</v>
      </c>
      <c r="E11946" s="50">
        <v>0</v>
      </c>
      <c r="F11946" s="51">
        <f>VLOOKUP(A11946,'[1]Componentes APUs'!$N$1:$Q$30,4,0)</f>
        <v>21000000</v>
      </c>
      <c r="G11946" s="51">
        <f>IFERROR(ROUNDUP(F11946*(E11946/21)/E11899,0),"-")</f>
        <v>0</v>
      </c>
    </row>
    <row r="11947" spans="1:7" x14ac:dyDescent="0.25">
      <c r="A11947" s="69" t="s">
        <v>322</v>
      </c>
      <c r="B11947" s="72" t="str">
        <f>VLOOKUP(A11947,'[1]Componentes APUs'!$N$1:$Q$30,2,0)</f>
        <v>Camabaja</v>
      </c>
      <c r="C11947" s="73"/>
      <c r="D11947" s="70" t="str">
        <f>VLOOKUP(A11947,'[1]Componentes APUs'!$N$1:$Q$30,3,0)</f>
        <v>TON/KM</v>
      </c>
      <c r="E11947" s="50">
        <v>0</v>
      </c>
      <c r="F11947" s="51">
        <f>VLOOKUP(A11947,'[1]Componentes APUs'!$N$1:$Q$30,4,0)</f>
        <v>611</v>
      </c>
      <c r="G11947" s="51">
        <f>IFERROR(ROUNDUP(F11947*(E11947/21)/E11899,0),"-")</f>
        <v>0</v>
      </c>
    </row>
    <row r="11948" spans="1:7" x14ac:dyDescent="0.25">
      <c r="A11948" s="50" t="s">
        <v>323</v>
      </c>
      <c r="B11948" s="72" t="str">
        <f>VLOOKUP(A11948,'[1]Componentes APUs'!$N$1:$Q$30,2,0)</f>
        <v>Volqueta</v>
      </c>
      <c r="C11948" s="73"/>
      <c r="D11948" s="70" t="str">
        <f>VLOOKUP(A11948,'[1]Componentes APUs'!$N$1:$Q$30,3,0)</f>
        <v>U</v>
      </c>
      <c r="E11948" s="50">
        <v>0</v>
      </c>
      <c r="F11948" s="51">
        <f>VLOOKUP(A11948,'[1]Componentes APUs'!$N$1:$Q$30,4,0)</f>
        <v>18900000</v>
      </c>
      <c r="G11948" s="51">
        <f>IFERROR(ROUNDUP(F11948*(E11948/21)/E11899,0),"-")</f>
        <v>0</v>
      </c>
    </row>
    <row r="11949" spans="1:7" x14ac:dyDescent="0.25">
      <c r="A11949" s="69" t="s">
        <v>324</v>
      </c>
      <c r="B11949" s="72" t="str">
        <f>VLOOKUP(A11949,'[1]Componentes APUs'!$N$1:$Q$30,2,0)</f>
        <v>Retroexcavadora</v>
      </c>
      <c r="C11949" s="73"/>
      <c r="D11949" s="70" t="str">
        <f>VLOOKUP(A11949,'[1]Componentes APUs'!$N$1:$Q$30,3,0)</f>
        <v>U</v>
      </c>
      <c r="E11949" s="50">
        <v>0</v>
      </c>
      <c r="F11949" s="51">
        <f>VLOOKUP(A11949,'[1]Componentes APUs'!$N$1:$Q$30,4,0)</f>
        <v>1494459.54</v>
      </c>
      <c r="G11949" s="51">
        <f>IFERROR(ROUNDUP(F11949*(E11949/21)/E11899,0),"-")</f>
        <v>0</v>
      </c>
    </row>
    <row r="11950" spans="1:7" x14ac:dyDescent="0.25">
      <c r="A11950" s="219" t="s">
        <v>99</v>
      </c>
      <c r="B11950" s="219"/>
      <c r="C11950" s="219"/>
      <c r="D11950" s="219"/>
      <c r="E11950" s="219"/>
      <c r="F11950" s="219"/>
      <c r="G11950" s="52">
        <f>SUM(G11945:G11949)</f>
        <v>87302</v>
      </c>
    </row>
    <row r="11951" spans="1:7" x14ac:dyDescent="0.25">
      <c r="A11951" s="56"/>
      <c r="B11951" s="57"/>
      <c r="C11951" s="57"/>
      <c r="D11951" s="57"/>
      <c r="E11951" s="57"/>
      <c r="F11951" s="57"/>
      <c r="G11951" s="58"/>
    </row>
    <row r="11952" spans="1:7" x14ac:dyDescent="0.25">
      <c r="A11952" s="219" t="s">
        <v>1516</v>
      </c>
      <c r="B11952" s="219"/>
      <c r="C11952" s="219"/>
      <c r="D11952" s="219"/>
      <c r="E11952" s="219"/>
      <c r="F11952" s="219"/>
      <c r="G11952" s="52">
        <f>G11950+G11941+G11924+G11913+G11903</f>
        <v>25511838</v>
      </c>
    </row>
    <row r="11953" spans="1:7" x14ac:dyDescent="0.25">
      <c r="A11953" s="59"/>
      <c r="B11953" s="60"/>
      <c r="C11953" s="60"/>
      <c r="D11953" s="60"/>
      <c r="E11953" s="57"/>
      <c r="F11953" s="57"/>
      <c r="G11953" s="58"/>
    </row>
    <row r="11954" spans="1:7" x14ac:dyDescent="0.25">
      <c r="A11954" s="64"/>
      <c r="D11954" s="55"/>
      <c r="E11954" s="49" t="s">
        <v>25</v>
      </c>
      <c r="F11954" s="54">
        <v>0.15</v>
      </c>
      <c r="G11954" s="51">
        <f>G11952*F11954</f>
        <v>3826775.6999999997</v>
      </c>
    </row>
    <row r="11955" spans="1:7" x14ac:dyDescent="0.25">
      <c r="A11955" s="64"/>
      <c r="D11955" s="55"/>
      <c r="E11955" s="49" t="s">
        <v>26</v>
      </c>
      <c r="F11955" s="54">
        <v>0.05</v>
      </c>
      <c r="G11955" s="51">
        <f>G11952*F11955</f>
        <v>1275591.9000000001</v>
      </c>
    </row>
    <row r="11956" spans="1:7" x14ac:dyDescent="0.25">
      <c r="A11956" s="61"/>
      <c r="B11956" s="65"/>
      <c r="C11956" s="65"/>
      <c r="D11956" s="62"/>
      <c r="E11956" s="49" t="s">
        <v>27</v>
      </c>
      <c r="F11956" s="54">
        <v>0.05</v>
      </c>
      <c r="G11956" s="51">
        <f>G11952*F11956</f>
        <v>1275591.9000000001</v>
      </c>
    </row>
    <row r="11957" spans="1:7" x14ac:dyDescent="0.25">
      <c r="A11957" s="61"/>
      <c r="B11957" s="62"/>
      <c r="C11957" s="62"/>
      <c r="D11957" s="62"/>
      <c r="E11957" s="62"/>
      <c r="F11957" s="62"/>
      <c r="G11957" s="63"/>
    </row>
    <row r="11958" spans="1:7" x14ac:dyDescent="0.25">
      <c r="A11958" s="219" t="s">
        <v>1517</v>
      </c>
      <c r="B11958" s="219"/>
      <c r="C11958" s="219"/>
      <c r="D11958" s="219"/>
      <c r="E11958" s="219"/>
      <c r="F11958" s="219"/>
      <c r="G11958" s="52">
        <f>G11952+G11954+G11955+G11956</f>
        <v>31889797.499999996</v>
      </c>
    </row>
    <row r="11959" spans="1:7" x14ac:dyDescent="0.25">
      <c r="A11959" s="59"/>
      <c r="B11959" s="60"/>
      <c r="C11959" s="60"/>
      <c r="D11959" s="60"/>
      <c r="E11959" s="57"/>
      <c r="F11959" s="57"/>
      <c r="G11959" s="58"/>
    </row>
    <row r="11960" spans="1:7" x14ac:dyDescent="0.25">
      <c r="A11960" s="64"/>
      <c r="D11960" s="55"/>
      <c r="E11960" s="49" t="s">
        <v>102</v>
      </c>
      <c r="F11960" s="49" t="s">
        <v>103</v>
      </c>
      <c r="G11960" s="51">
        <f>G11956*19%</f>
        <v>242362.46100000004</v>
      </c>
    </row>
    <row r="11961" spans="1:7" x14ac:dyDescent="0.25">
      <c r="A11961" s="61"/>
      <c r="B11961" s="62"/>
      <c r="C11961" s="62"/>
      <c r="D11961" s="62"/>
      <c r="E11961" s="57"/>
      <c r="F11961" s="57"/>
      <c r="G11961" s="58"/>
    </row>
    <row r="11962" spans="1:7" x14ac:dyDescent="0.25">
      <c r="A11962" s="219" t="s">
        <v>104</v>
      </c>
      <c r="B11962" s="219"/>
      <c r="C11962" s="219"/>
      <c r="D11962" s="219"/>
      <c r="E11962" s="219"/>
      <c r="F11962" s="219"/>
      <c r="G11962" s="52">
        <f>G11960+G11958</f>
        <v>32132159.960999995</v>
      </c>
    </row>
    <row r="11964" spans="1:7" x14ac:dyDescent="0.25">
      <c r="A11964" s="140" t="s">
        <v>29</v>
      </c>
      <c r="B11964" s="240" t="s">
        <v>30</v>
      </c>
      <c r="C11964" s="240"/>
      <c r="D11964" s="140" t="s">
        <v>31</v>
      </c>
      <c r="E11964" s="140" t="s">
        <v>32</v>
      </c>
      <c r="F11964" s="140" t="s">
        <v>189</v>
      </c>
      <c r="G11964" s="140" t="s">
        <v>33</v>
      </c>
    </row>
    <row r="11965" spans="1:7" ht="60.75" customHeight="1" x14ac:dyDescent="0.25">
      <c r="A11965" s="50" t="str">
        <f>Presupuesto!B218</f>
        <v>027_N3</v>
      </c>
      <c r="B11965" s="220" t="str">
        <f>Presupuesto!C218</f>
        <v>SUMINISTRO E INSTALACIÓN DE TRANSFORMADOR DE CORRIENTE. USO EXTERIOR. TRIPLE NÚCLEO: ( N1:200-400/5 CL: 0,5S, N2: 200-400/5 CL: 0,5S, N3:200-400/5 CL: 5P20, BURDEN: 25 VA) UM:38KV, ISC:12.5KA. INCLUYE PROTOCOLOS DE PRUEBA DE PRECISIÓN DE FABRICANTE Y LABORATORIO ACREDITADO.</v>
      </c>
      <c r="C11965" s="220"/>
      <c r="D11965" s="50" t="s">
        <v>18</v>
      </c>
      <c r="E11965" s="50">
        <v>3</v>
      </c>
      <c r="F11965" s="50"/>
      <c r="G11965" s="51">
        <f>G12029</f>
        <v>30513450.560999997</v>
      </c>
    </row>
    <row r="11966" spans="1:7" x14ac:dyDescent="0.25">
      <c r="A11966" s="219" t="s">
        <v>34</v>
      </c>
      <c r="B11966" s="219"/>
      <c r="C11966" s="219"/>
      <c r="D11966" s="219"/>
      <c r="E11966" s="219"/>
      <c r="F11966" s="219"/>
      <c r="G11966" s="219"/>
    </row>
    <row r="11967" spans="1:7" x14ac:dyDescent="0.25">
      <c r="A11967" s="49" t="s">
        <v>35</v>
      </c>
      <c r="B11967" s="219" t="s">
        <v>36</v>
      </c>
      <c r="C11967" s="219"/>
      <c r="D11967" s="49" t="s">
        <v>37</v>
      </c>
      <c r="E11967" s="49" t="s">
        <v>38</v>
      </c>
      <c r="F11967" s="49" t="s">
        <v>39</v>
      </c>
      <c r="G11967" s="49" t="s">
        <v>40</v>
      </c>
    </row>
    <row r="11968" spans="1:7" ht="49.5" customHeight="1" x14ac:dyDescent="0.25">
      <c r="A11968" s="17" t="str">
        <f>Material!A368</f>
        <v>MA-367</v>
      </c>
      <c r="B11968" s="221" t="str">
        <f>IFERROR(VLOOKUP(A11968,Material!$A:$J,2,0),"-")</f>
        <v>TRANSFORMADOR DE CORRIENTE. USO EXTERIOR. TRIPLE NÚCLEO: ( N1:200-400/5 CL: 0,5S, N2:200-400/5 CL: 0,5S, N3:200-400/5 CL: 5P20)  UM:38KV, ISC:12.5KA. INCLUYE PROTOCOLOS DE PRUEBA DE PRECISIÓN DE FABRICANTE Y LABORATORIO ACREDITADO.</v>
      </c>
      <c r="C11968" s="222"/>
      <c r="D11968" s="50" t="str">
        <f>IFERROR(VLOOKUP(A11968,Material!$A:$J,4,0),"-")</f>
        <v>UN</v>
      </c>
      <c r="E11968" s="50">
        <v>1</v>
      </c>
      <c r="F11968" s="51">
        <f>IFERROR(VLOOKUP(A11968,Material!$A:$J,3,0),"-")</f>
        <v>23776200</v>
      </c>
      <c r="G11968" s="51">
        <f t="shared" ref="G11968:G11969" si="168">IFERROR(ROUNDUP(F11968*E11968,0),"-")</f>
        <v>23776200</v>
      </c>
    </row>
    <row r="11969" spans="1:7" x14ac:dyDescent="0.25">
      <c r="A11969" s="50"/>
      <c r="B11969" s="75" t="str">
        <f>IFERROR(VLOOKUP(A11969,Material!$A:$J,2,0),"-")</f>
        <v>-</v>
      </c>
      <c r="C11969" s="76"/>
      <c r="D11969" s="50" t="str">
        <f>IFERROR(VLOOKUP(A11969,Material!$A:$J,4,0),"-")</f>
        <v>-</v>
      </c>
      <c r="E11969" s="50"/>
      <c r="F11969" s="51" t="str">
        <f>IFERROR(VLOOKUP(A11969,Material!$A:$J,3,0),"-")</f>
        <v>-</v>
      </c>
      <c r="G11969" s="51" t="str">
        <f t="shared" si="168"/>
        <v>-</v>
      </c>
    </row>
    <row r="11970" spans="1:7" x14ac:dyDescent="0.25">
      <c r="A11970" s="219" t="s">
        <v>41</v>
      </c>
      <c r="B11970" s="219"/>
      <c r="C11970" s="219"/>
      <c r="D11970" s="219"/>
      <c r="E11970" s="219"/>
      <c r="F11970" s="219"/>
      <c r="G11970" s="52">
        <f>SUM(G11968:G11969)</f>
        <v>23776200</v>
      </c>
    </row>
    <row r="11971" spans="1:7" x14ac:dyDescent="0.25">
      <c r="A11971" s="56"/>
      <c r="B11971" s="57"/>
      <c r="C11971" s="57"/>
      <c r="D11971" s="57"/>
      <c r="E11971" s="57"/>
      <c r="F11971" s="57"/>
      <c r="G11971" s="58"/>
    </row>
    <row r="11972" spans="1:7" x14ac:dyDescent="0.25">
      <c r="A11972" s="219" t="s">
        <v>42</v>
      </c>
      <c r="B11972" s="219"/>
      <c r="C11972" s="219"/>
      <c r="D11972" s="219"/>
      <c r="E11972" s="219"/>
      <c r="F11972" s="219"/>
      <c r="G11972" s="219"/>
    </row>
    <row r="11973" spans="1:7" x14ac:dyDescent="0.25">
      <c r="A11973" s="49" t="s">
        <v>35</v>
      </c>
      <c r="B11973" s="49" t="s">
        <v>36</v>
      </c>
      <c r="C11973" s="49" t="s">
        <v>38</v>
      </c>
      <c r="D11973" s="49" t="s">
        <v>43</v>
      </c>
      <c r="E11973" s="49" t="s">
        <v>44</v>
      </c>
      <c r="F11973" s="49" t="s">
        <v>45</v>
      </c>
      <c r="G11973" s="49" t="s">
        <v>40</v>
      </c>
    </row>
    <row r="11974" spans="1:7" x14ac:dyDescent="0.25">
      <c r="A11974" s="50" t="s">
        <v>319</v>
      </c>
      <c r="B11974" s="68" t="str">
        <f>VLOOKUP(A11974,'[1]Componentes APUs'!$H$1:$L$25,2,0)</f>
        <v>Ingeniero Residente de Obra</v>
      </c>
      <c r="C11974" s="93">
        <v>0.25</v>
      </c>
      <c r="D11974" s="50">
        <f>VLOOKUP(A11974,'[1]Componentes APUs'!$H$1:$L$25,3,0)</f>
        <v>4</v>
      </c>
      <c r="E11974" s="51">
        <f>VLOOKUP(A11974,'[1]Componentes APUs'!$H$1:$L$25,4,0)</f>
        <v>271142.85714285716</v>
      </c>
      <c r="F11974" s="51">
        <f>VLOOKUP(A11974,'[1]Componentes APUs'!$H$1:$L$25,5,0)</f>
        <v>162685.71428571429</v>
      </c>
      <c r="G11974" s="51">
        <f>ROUNDUP((E11974+F11974)*C11974/E11965,0)</f>
        <v>36153</v>
      </c>
    </row>
    <row r="11975" spans="1:7" x14ac:dyDescent="0.25">
      <c r="A11975" s="50" t="s">
        <v>320</v>
      </c>
      <c r="B11975" s="68" t="str">
        <f>VLOOKUP(A11975,'[1]Componentes APUs'!$H$1:$L$25,2,0)</f>
        <v>Tecnico Supervisor</v>
      </c>
      <c r="C11975" s="93">
        <v>0.25</v>
      </c>
      <c r="D11975" s="50">
        <f>VLOOKUP(A11975,'[1]Componentes APUs'!$H$1:$L$25,3,0)</f>
        <v>2.2999999999999998</v>
      </c>
      <c r="E11975" s="51">
        <f>VLOOKUP(A11975,'[1]Componentes APUs'!$H$1:$L$25,4,0)</f>
        <v>155907.14285714284</v>
      </c>
      <c r="F11975" s="51">
        <f>VLOOKUP(A11975,'[1]Componentes APUs'!$H$1:$L$25,5,0)</f>
        <v>93544.285714285696</v>
      </c>
      <c r="G11975" s="51">
        <f>ROUNDUP((E11975+F11975)*C11975/E11965,0)</f>
        <v>20788</v>
      </c>
    </row>
    <row r="11976" spans="1:7" x14ac:dyDescent="0.25">
      <c r="A11976" s="50" t="s">
        <v>46</v>
      </c>
      <c r="B11976" s="68" t="str">
        <f>VLOOKUP(A11976,'[1]Componentes APUs'!$H$1:$L$25,2,0)</f>
        <v>Tecnico Liniero</v>
      </c>
      <c r="C11976" s="93">
        <v>2</v>
      </c>
      <c r="D11976" s="50">
        <f>VLOOKUP(A11976,'[1]Componentes APUs'!$H$1:$L$25,3,0)</f>
        <v>2</v>
      </c>
      <c r="E11976" s="51">
        <f>VLOOKUP(A11976,'[1]Componentes APUs'!$H$1:$L$25,4,0)</f>
        <v>154619.04761904763</v>
      </c>
      <c r="F11976" s="51">
        <f>VLOOKUP(A11976,'[1]Componentes APUs'!$H$1:$L$25,5,0)</f>
        <v>92771.42857142858</v>
      </c>
      <c r="G11976" s="51">
        <f>ROUNDUP((E11976+F11976)*C11976/E11965,0)</f>
        <v>164927</v>
      </c>
    </row>
    <row r="11977" spans="1:7" x14ac:dyDescent="0.25">
      <c r="A11977" s="50" t="s">
        <v>48</v>
      </c>
      <c r="B11977" s="68" t="str">
        <f>VLOOKUP(A11977,'[1]Componentes APUs'!$H$1:$L$25,2,0)</f>
        <v>Ayudante Calificado</v>
      </c>
      <c r="C11977" s="93">
        <v>1</v>
      </c>
      <c r="D11977" s="50">
        <f>VLOOKUP(A11977,'[1]Componentes APUs'!$H$1:$L$25,3,0)</f>
        <v>1.5</v>
      </c>
      <c r="E11977" s="51">
        <f>VLOOKUP(A11977,'[1]Componentes APUs'!$H$1:$L$25,4,0)</f>
        <v>115964.28571428571</v>
      </c>
      <c r="F11977" s="51">
        <f>VLOOKUP(A11977,'[1]Componentes APUs'!$H$1:$L$25,5,0)</f>
        <v>69578.57142857142</v>
      </c>
      <c r="G11977" s="51">
        <f>ROUNDUP((E11977+F11977)*C11977/E11965,0)</f>
        <v>61848</v>
      </c>
    </row>
    <row r="11978" spans="1:7" x14ac:dyDescent="0.25">
      <c r="A11978" s="50" t="s">
        <v>50</v>
      </c>
      <c r="B11978" s="68" t="str">
        <f>VLOOKUP(A11978,'[1]Componentes APUs'!$H$1:$L$25,2,0)</f>
        <v>Profesional en SST</v>
      </c>
      <c r="C11978" s="93">
        <v>0.25</v>
      </c>
      <c r="D11978" s="50">
        <f>VLOOKUP(A11978,'[1]Componentes APUs'!$H$1:$L$25,3,0)</f>
        <v>2.5</v>
      </c>
      <c r="E11978" s="51">
        <f>VLOOKUP(A11978,'[1]Componentes APUs'!$H$1:$L$25,4,0)</f>
        <v>169464.28571428571</v>
      </c>
      <c r="F11978" s="51">
        <f>VLOOKUP(A11978,'[1]Componentes APUs'!$H$1:$L$25,5,0)</f>
        <v>101678.57142857142</v>
      </c>
      <c r="G11978" s="51">
        <f>ROUNDUP((E11978+F11978)*C11978/E11965,0)</f>
        <v>22596</v>
      </c>
    </row>
    <row r="11979" spans="1:7" x14ac:dyDescent="0.25">
      <c r="A11979" s="50" t="s">
        <v>52</v>
      </c>
      <c r="B11979" s="68" t="str">
        <f>VLOOKUP(A11979,'[1]Componentes APUs'!$H$1:$L$25,2,0)</f>
        <v>Ayudante No Calificado</v>
      </c>
      <c r="C11979" s="93">
        <v>1</v>
      </c>
      <c r="D11979" s="50">
        <f>VLOOKUP(A11979,'[1]Componentes APUs'!$H$1:$L$25,3,0)</f>
        <v>1</v>
      </c>
      <c r="E11979" s="51">
        <f>VLOOKUP(A11979,'[1]Componentes APUs'!$H$1:$L$25,4,0)</f>
        <v>77309.523809523816</v>
      </c>
      <c r="F11979" s="51">
        <f>VLOOKUP(A11979,'[1]Componentes APUs'!$H$1:$L$25,5,0)</f>
        <v>46385.71428571429</v>
      </c>
      <c r="G11979" s="51">
        <f>ROUNDUP((E11979+F11979)*C11979/E11965,0)</f>
        <v>41232</v>
      </c>
    </row>
    <row r="11980" spans="1:7" x14ac:dyDescent="0.25">
      <c r="A11980" s="219" t="s">
        <v>56</v>
      </c>
      <c r="B11980" s="219"/>
      <c r="C11980" s="219"/>
      <c r="D11980" s="219"/>
      <c r="E11980" s="219"/>
      <c r="F11980" s="219"/>
      <c r="G11980" s="52">
        <f>SUM(G11974:G11979)</f>
        <v>347544</v>
      </c>
    </row>
    <row r="11981" spans="1:7" x14ac:dyDescent="0.25">
      <c r="A11981" s="56"/>
      <c r="B11981" s="57"/>
      <c r="C11981" s="57"/>
      <c r="D11981" s="57"/>
      <c r="E11981" s="57"/>
      <c r="F11981" s="57"/>
      <c r="G11981" s="58"/>
    </row>
    <row r="11982" spans="1:7" x14ac:dyDescent="0.25">
      <c r="A11982" s="219" t="s">
        <v>57</v>
      </c>
      <c r="B11982" s="219"/>
      <c r="C11982" s="219"/>
      <c r="D11982" s="219"/>
      <c r="E11982" s="219"/>
      <c r="F11982" s="219"/>
      <c r="G11982" s="219"/>
    </row>
    <row r="11983" spans="1:7" x14ac:dyDescent="0.25">
      <c r="A11983" s="49" t="s">
        <v>35</v>
      </c>
      <c r="B11983" s="219" t="s">
        <v>36</v>
      </c>
      <c r="C11983" s="219"/>
      <c r="D11983" s="49" t="s">
        <v>37</v>
      </c>
      <c r="E11983" s="49" t="s">
        <v>38</v>
      </c>
      <c r="F11983" s="49" t="s">
        <v>39</v>
      </c>
      <c r="G11983" s="49" t="s">
        <v>40</v>
      </c>
    </row>
    <row r="11984" spans="1:7" x14ac:dyDescent="0.25">
      <c r="A11984" s="50" t="s">
        <v>326</v>
      </c>
      <c r="B11984" s="220" t="str">
        <f>VLOOKUP(A11984,'[1]Componentes APUs'!$S$1:$V$10,2,0)</f>
        <v>Juego Llaves</v>
      </c>
      <c r="C11984" s="220"/>
      <c r="D11984" s="50" t="s">
        <v>18</v>
      </c>
      <c r="E11984" s="50">
        <v>2</v>
      </c>
      <c r="F11984" s="51">
        <f>VLOOKUP(A11984,'[1]Componentes APUs'!$S$1:$V$10,4,0)</f>
        <v>9167</v>
      </c>
      <c r="G11984" s="51">
        <f>ROUNDUP(F11984*((E11984/21)/E11965),0)</f>
        <v>292</v>
      </c>
    </row>
    <row r="11985" spans="1:7" x14ac:dyDescent="0.25">
      <c r="A11985" s="50" t="s">
        <v>58</v>
      </c>
      <c r="B11985" s="220" t="str">
        <f>VLOOKUP(A11985,'[1]Componentes APUs'!$S$1:$V$10,2,0)</f>
        <v>Manila de servicio</v>
      </c>
      <c r="C11985" s="220"/>
      <c r="D11985" s="50" t="s">
        <v>18</v>
      </c>
      <c r="E11985" s="50">
        <v>2</v>
      </c>
      <c r="F11985" s="51">
        <f>VLOOKUP(A11985,'[1]Componentes APUs'!$S$1:$V$10,4,0)</f>
        <v>2333</v>
      </c>
      <c r="G11985" s="51">
        <f>ROUNDUP(F11985*((E11985/21)/E11965),0)</f>
        <v>75</v>
      </c>
    </row>
    <row r="11986" spans="1:7" x14ac:dyDescent="0.25">
      <c r="A11986" s="50" t="s">
        <v>327</v>
      </c>
      <c r="B11986" s="220" t="str">
        <f>VLOOKUP(A11986,'[1]Componentes APUs'!$S$1:$V$10,2,0)</f>
        <v>Tula portaherramientas</v>
      </c>
      <c r="C11986" s="220"/>
      <c r="D11986" s="50" t="s">
        <v>18</v>
      </c>
      <c r="E11986" s="50">
        <v>2</v>
      </c>
      <c r="F11986" s="51">
        <f>VLOOKUP(A11986,'[1]Componentes APUs'!$S$1:$V$10,4,0)</f>
        <v>1250</v>
      </c>
      <c r="G11986" s="51">
        <f>ROUNDUP(F11986*((E11986/21)/E11965),0)</f>
        <v>40</v>
      </c>
    </row>
    <row r="11987" spans="1:7" x14ac:dyDescent="0.25">
      <c r="A11987" s="50" t="s">
        <v>60</v>
      </c>
      <c r="B11987" s="220" t="str">
        <f>VLOOKUP(A11987,'[1]Componentes APUs'!$S$1:$V$10,2,0)</f>
        <v>Agarradoras</v>
      </c>
      <c r="C11987" s="220"/>
      <c r="D11987" s="50" t="s">
        <v>18</v>
      </c>
      <c r="E11987" s="50">
        <v>0</v>
      </c>
      <c r="F11987" s="51">
        <f>VLOOKUP(A11987,'[1]Componentes APUs'!$S$1:$V$10,4,0)</f>
        <v>125000</v>
      </c>
      <c r="G11987" s="51">
        <f>ROUNDUP(F11987*((E11987/21)/E11965),0)</f>
        <v>0</v>
      </c>
    </row>
    <row r="11988" spans="1:7" x14ac:dyDescent="0.25">
      <c r="A11988" s="50" t="s">
        <v>62</v>
      </c>
      <c r="B11988" s="220" t="str">
        <f>VLOOKUP(A11988,'[1]Componentes APUs'!$S$1:$V$10,2,0)</f>
        <v>Templadoras</v>
      </c>
      <c r="C11988" s="220"/>
      <c r="D11988" s="50" t="s">
        <v>18</v>
      </c>
      <c r="E11988" s="50">
        <v>0</v>
      </c>
      <c r="F11988" s="51">
        <f>VLOOKUP(A11988,'[1]Componentes APUs'!$S$1:$V$10,4,0)</f>
        <v>250000</v>
      </c>
      <c r="G11988" s="51">
        <f>ROUNDUP(F11988*((E11988/21)/E11965),0)</f>
        <v>0</v>
      </c>
    </row>
    <row r="11989" spans="1:7" x14ac:dyDescent="0.25">
      <c r="A11989" s="50" t="s">
        <v>328</v>
      </c>
      <c r="B11989" s="220" t="str">
        <f>VLOOKUP(A11989,'[1]Componentes APUs'!$S$1:$V$10,2,0)</f>
        <v>Herramienta Menor</v>
      </c>
      <c r="C11989" s="220"/>
      <c r="D11989" s="50" t="s">
        <v>18</v>
      </c>
      <c r="E11989" s="50">
        <v>2</v>
      </c>
      <c r="F11989" s="51">
        <f>VLOOKUP(A11989,'[1]Componentes APUs'!$S$1:$V$10,4,0)</f>
        <v>75758</v>
      </c>
      <c r="G11989" s="51">
        <f>ROUNDUP(F11989*((E11989/21)/E11965),0)</f>
        <v>2406</v>
      </c>
    </row>
    <row r="11990" spans="1:7" x14ac:dyDescent="0.25">
      <c r="A11990" s="50" t="s">
        <v>66</v>
      </c>
      <c r="B11990" s="220" t="str">
        <f>VLOOKUP(A11990,'[1]Componentes APUs'!$S$1:$V$10,2,0)</f>
        <v>Diferencial 2 Toneladas</v>
      </c>
      <c r="C11990" s="220"/>
      <c r="D11990" s="50" t="s">
        <v>18</v>
      </c>
      <c r="E11990" s="50">
        <v>1</v>
      </c>
      <c r="F11990" s="51">
        <f>VLOOKUP(A11990,'[1]Componentes APUs'!$S$1:$V$10,4,0)</f>
        <v>474905</v>
      </c>
      <c r="G11990" s="51">
        <f>ROUNDUP(F11990*((E11990/21)/E11965),0)</f>
        <v>7539</v>
      </c>
    </row>
    <row r="11991" spans="1:7" x14ac:dyDescent="0.25">
      <c r="A11991" s="219" t="s">
        <v>69</v>
      </c>
      <c r="B11991" s="219"/>
      <c r="C11991" s="219"/>
      <c r="D11991" s="219"/>
      <c r="E11991" s="219"/>
      <c r="F11991" s="219"/>
      <c r="G11991" s="52">
        <f>SUM(G11984:G11990)</f>
        <v>10352</v>
      </c>
    </row>
    <row r="11992" spans="1:7" x14ac:dyDescent="0.25">
      <c r="A11992" s="56"/>
      <c r="B11992" s="57"/>
      <c r="C11992" s="57"/>
      <c r="D11992" s="57"/>
      <c r="E11992" s="57"/>
      <c r="F11992" s="57"/>
      <c r="G11992" s="58"/>
    </row>
    <row r="11993" spans="1:7" x14ac:dyDescent="0.25">
      <c r="A11993" s="219" t="s">
        <v>70</v>
      </c>
      <c r="B11993" s="219"/>
      <c r="C11993" s="219"/>
      <c r="D11993" s="219"/>
      <c r="E11993" s="219"/>
      <c r="F11993" s="219"/>
      <c r="G11993" s="219"/>
    </row>
    <row r="11994" spans="1:7" x14ac:dyDescent="0.25">
      <c r="A11994" s="49" t="s">
        <v>35</v>
      </c>
      <c r="B11994" s="219" t="s">
        <v>36</v>
      </c>
      <c r="C11994" s="219"/>
      <c r="D11994" s="49" t="s">
        <v>37</v>
      </c>
      <c r="E11994" s="49" t="s">
        <v>38</v>
      </c>
      <c r="F11994" s="49" t="s">
        <v>39</v>
      </c>
      <c r="G11994" s="49" t="s">
        <v>40</v>
      </c>
    </row>
    <row r="11995" spans="1:7" x14ac:dyDescent="0.25">
      <c r="A11995" s="50" t="s">
        <v>71</v>
      </c>
      <c r="B11995" s="71" t="str">
        <f>VLOOKUP(A11995,'[1]Componentes APUs'!$A$1:$D$14,2,0)</f>
        <v>Camisa indigo sin partes metalicas</v>
      </c>
      <c r="C11995" s="71"/>
      <c r="D11995" s="50" t="str">
        <f>VLOOKUP(A11995,'[1]Componentes APUs'!$A$1:$D$14,3,0)</f>
        <v>U</v>
      </c>
      <c r="E11995" s="50">
        <f>SUM(C11974:C11979)</f>
        <v>4.75</v>
      </c>
      <c r="F11995" s="51">
        <f>VLOOKUP(A11995,'[1]Componentes APUs'!$A$1:$D$14,4,0)</f>
        <v>8585.8585858585866</v>
      </c>
      <c r="G11995" s="51">
        <f>ROUNDUP(F11995*(E11995/21)/E11965,0)</f>
        <v>648</v>
      </c>
    </row>
    <row r="11996" spans="1:7" x14ac:dyDescent="0.25">
      <c r="A11996" s="69" t="s">
        <v>73</v>
      </c>
      <c r="B11996" s="72" t="str">
        <f>VLOOKUP(A11996,'[1]Componentes APUs'!$A$1:$D$14,2,0)</f>
        <v>Bota de seguridad dielectrica</v>
      </c>
      <c r="C11996" s="73"/>
      <c r="D11996" s="70" t="str">
        <f>VLOOKUP(A11996,'[1]Componentes APUs'!$A$1:$D$14,3,0)</f>
        <v>Par</v>
      </c>
      <c r="E11996" s="50">
        <f>SUM(C11974:C11979)</f>
        <v>4.75</v>
      </c>
      <c r="F11996" s="51">
        <f>VLOOKUP(A11996,'[1]Componentes APUs'!$A$1:$D$14,4,0)</f>
        <v>7500</v>
      </c>
      <c r="G11996" s="51">
        <f>ROUNDUP(F11996*(E11996/21)/E11965,0)</f>
        <v>566</v>
      </c>
    </row>
    <row r="11997" spans="1:7" x14ac:dyDescent="0.25">
      <c r="A11997" s="50" t="s">
        <v>76</v>
      </c>
      <c r="B11997" s="72" t="str">
        <f>VLOOKUP(A11997,'[1]Componentes APUs'!$A$1:$D$14,2,0)</f>
        <v>Casco dielectrico Tipo 1 Clase E con barbuquejo</v>
      </c>
      <c r="C11997" s="73"/>
      <c r="D11997" s="50" t="str">
        <f>VLOOKUP(A11997,'[1]Componentes APUs'!$A$1:$D$14,3,0)</f>
        <v>U</v>
      </c>
      <c r="E11997" s="50">
        <f>C11974+C11975+C11978+C11979+C11977+IF(A11976&lt;&gt;"MO-3",C11976,0)</f>
        <v>2.75</v>
      </c>
      <c r="F11997" s="51">
        <f>VLOOKUP(A11997,'[1]Componentes APUs'!$A$1:$D$14,4,0)</f>
        <v>10101.010101010101</v>
      </c>
      <c r="G11997" s="51">
        <f>ROUNDUP(F11997*(E11997/21)/E11965,0)</f>
        <v>441</v>
      </c>
    </row>
    <row r="11998" spans="1:7" x14ac:dyDescent="0.25">
      <c r="A11998" s="69" t="s">
        <v>77</v>
      </c>
      <c r="B11998" s="72" t="str">
        <f>VLOOKUP(A11998,'[1]Componentes APUs'!$A$1:$D$14,2,0)</f>
        <v>Correa plastica y antiflama</v>
      </c>
      <c r="C11998" s="73"/>
      <c r="D11998" s="50" t="str">
        <f>VLOOKUP(A11998,'[1]Componentes APUs'!$A$1:$D$14,3,0)</f>
        <v>U</v>
      </c>
      <c r="E11998" s="50">
        <f>SUM(C11974:C11979)</f>
        <v>4.75</v>
      </c>
      <c r="F11998" s="51">
        <f>VLOOKUP(A11998,'[1]Componentes APUs'!$A$1:$D$14,4,0)</f>
        <v>3787.878787878788</v>
      </c>
      <c r="G11998" s="51">
        <f>ROUNDUP(F11998*(E11998/21)/E11965,0)</f>
        <v>286</v>
      </c>
    </row>
    <row r="11999" spans="1:7" x14ac:dyDescent="0.25">
      <c r="A11999" s="50" t="s">
        <v>79</v>
      </c>
      <c r="B11999" s="72" t="str">
        <f>VLOOKUP(A11999,'[1]Componentes APUs'!$A$1:$D$14,2,0)</f>
        <v>Gafas protectoras filtro UV</v>
      </c>
      <c r="C11999" s="73"/>
      <c r="D11999" s="50" t="str">
        <f>VLOOKUP(A11999,'[1]Componentes APUs'!$A$1:$D$14,3,0)</f>
        <v>U</v>
      </c>
      <c r="E11999" s="50">
        <f>SUM(C11974:C11979)</f>
        <v>4.75</v>
      </c>
      <c r="F11999" s="51">
        <f>VLOOKUP(A11999,'[1]Componentes APUs'!$A$1:$D$14,4,0)</f>
        <v>2777.7777777777778</v>
      </c>
      <c r="G11999" s="51">
        <f>ROUNDUP(F11999*(E11999/21)/E11965,0)</f>
        <v>210</v>
      </c>
    </row>
    <row r="12000" spans="1:7" x14ac:dyDescent="0.25">
      <c r="A12000" s="69" t="s">
        <v>402</v>
      </c>
      <c r="B12000" s="72" t="str">
        <f>VLOOKUP(A12000,'[1]Componentes APUs'!$A$1:$D$14,2,0)</f>
        <v>Bota de seguridad PVC dielectrica</v>
      </c>
      <c r="C12000" s="73"/>
      <c r="D12000" s="50" t="str">
        <f>VLOOKUP(A12000,'[1]Componentes APUs'!$A$1:$D$14,3,0)</f>
        <v>Par</v>
      </c>
      <c r="E12000" s="50">
        <f>SUM(C11974:C11979)</f>
        <v>4.75</v>
      </c>
      <c r="F12000" s="51">
        <f>VLOOKUP(A12000,'[1]Componentes APUs'!$A$1:$D$14,4,0)</f>
        <v>2916.6666666666665</v>
      </c>
      <c r="G12000" s="51">
        <f>ROUNDUP(F12000*(E12000/21)/E11965,0)</f>
        <v>220</v>
      </c>
    </row>
    <row r="12001" spans="1:7" x14ac:dyDescent="0.25">
      <c r="A12001" s="50" t="s">
        <v>403</v>
      </c>
      <c r="B12001" s="72" t="str">
        <f>VLOOKUP(A12001,'[1]Componentes APUs'!$A$1:$D$14,2,0)</f>
        <v>Capuchon</v>
      </c>
      <c r="C12001" s="73"/>
      <c r="D12001" s="50" t="str">
        <f>VLOOKUP(A12001,'[1]Componentes APUs'!$A$1:$D$14,3,0)</f>
        <v>U</v>
      </c>
      <c r="E12001" s="50">
        <f>SUM(C11974:C11979)</f>
        <v>4.75</v>
      </c>
      <c r="F12001" s="51">
        <f>VLOOKUP(A12001,'[1]Componentes APUs'!$A$1:$D$14,4,0)</f>
        <v>2525.2525252525252</v>
      </c>
      <c r="G12001" s="51">
        <f>ROUNDUP(F12001*(E12001/21)/E11965,0)</f>
        <v>191</v>
      </c>
    </row>
    <row r="12002" spans="1:7" x14ac:dyDescent="0.25">
      <c r="A12002" s="69" t="s">
        <v>81</v>
      </c>
      <c r="B12002" s="72" t="str">
        <f>VLOOKUP(A12002,'[1]Componentes APUs'!$A$1:$D$14,2,0)</f>
        <v>Guantes Protectores  - ingeniero reforzados</v>
      </c>
      <c r="C12002" s="73"/>
      <c r="D12002" s="50" t="str">
        <f>VLOOKUP(A12002,'[1]Componentes APUs'!$A$1:$D$14,3,0)</f>
        <v>Par</v>
      </c>
      <c r="E12002" s="50">
        <f>C11976+C11977+C11979</f>
        <v>4</v>
      </c>
      <c r="F12002" s="51">
        <f>VLOOKUP(A12002,'[1]Componentes APUs'!$A$1:$D$14,4,0)</f>
        <v>2525.2525252525252</v>
      </c>
      <c r="G12002" s="51">
        <f>ROUNDUP(F12002*(E12002/21)/E11965,0)</f>
        <v>161</v>
      </c>
    </row>
    <row r="12003" spans="1:7" x14ac:dyDescent="0.25">
      <c r="A12003" s="50" t="s">
        <v>83</v>
      </c>
      <c r="B12003" s="72" t="str">
        <f>VLOOKUP(A12003,'[1]Componentes APUs'!$A$1:$D$14,2,0)</f>
        <v>Impermeable (pantalon camisa)</v>
      </c>
      <c r="C12003" s="73"/>
      <c r="D12003" s="50" t="str">
        <f>VLOOKUP(A12003,'[1]Componentes APUs'!$A$1:$D$14,3,0)</f>
        <v>U</v>
      </c>
      <c r="E12003" s="50">
        <f>SUM(C11974:C11979)</f>
        <v>4.75</v>
      </c>
      <c r="F12003" s="51">
        <f>VLOOKUP(A12003,'[1]Componentes APUs'!$A$1:$D$14,4,0)</f>
        <v>3750</v>
      </c>
      <c r="G12003" s="51">
        <f>ROUNDUP(F12003*(E12003/21)/E11965,0)</f>
        <v>283</v>
      </c>
    </row>
    <row r="12004" spans="1:7" x14ac:dyDescent="0.25">
      <c r="A12004" s="69" t="s">
        <v>85</v>
      </c>
      <c r="B12004" s="72" t="str">
        <f>VLOOKUP(A12004,'[1]Componentes APUs'!$A$1:$D$14,2,0)</f>
        <v>Jean Dielectrico</v>
      </c>
      <c r="C12004" s="73"/>
      <c r="D12004" s="50" t="str">
        <f>VLOOKUP(A12004,'[1]Componentes APUs'!$A$1:$D$14,3,0)</f>
        <v>U</v>
      </c>
      <c r="E12004" s="50">
        <f>SUM(C11974:C11979)</f>
        <v>4.75</v>
      </c>
      <c r="F12004" s="51">
        <f>VLOOKUP(A12004,'[1]Componentes APUs'!$A$1:$D$14,4,0)</f>
        <v>7575.757575757576</v>
      </c>
      <c r="G12004" s="51">
        <f>ROUNDUP(F12004*(E12004/21)/E11965,0)</f>
        <v>572</v>
      </c>
    </row>
    <row r="12005" spans="1:7" x14ac:dyDescent="0.25">
      <c r="A12005" s="50" t="s">
        <v>87</v>
      </c>
      <c r="B12005" s="72" t="str">
        <f>VLOOKUP(A12005,'[1]Componentes APUs'!$A$1:$D$14,2,0)</f>
        <v>Casco dielectrico Tipo 2 Clase E con barboquejo</v>
      </c>
      <c r="C12005" s="73"/>
      <c r="D12005" s="50" t="str">
        <f>VLOOKUP(A12005,'[1]Componentes APUs'!$A$1:$D$14,3,0)</f>
        <v>U</v>
      </c>
      <c r="E12005" s="53">
        <f>IF(A11976="MO-3",C11976,0)</f>
        <v>2</v>
      </c>
      <c r="F12005" s="51">
        <f>VLOOKUP(A12005,'[1]Componentes APUs'!$A$1:$D$14,4,0)</f>
        <v>7500</v>
      </c>
      <c r="G12005" s="51">
        <f>ROUNDUP(F12005*(E12005/21)/E11965,0)</f>
        <v>239</v>
      </c>
    </row>
    <row r="12006" spans="1:7" x14ac:dyDescent="0.25">
      <c r="A12006" s="69" t="s">
        <v>89</v>
      </c>
      <c r="B12006" s="72" t="str">
        <f>VLOOKUP(A12006,'[1]Componentes APUs'!$A$1:$D$14,2,0)</f>
        <v>Kit de rescate para trabajo en alturas</v>
      </c>
      <c r="C12006" s="73"/>
      <c r="D12006" s="50" t="str">
        <f>VLOOKUP(A12006,'[1]Componentes APUs'!$A$1:$D$14,3,0)</f>
        <v>U</v>
      </c>
      <c r="E12006" s="50">
        <f>IF(AND(A11976="MO-3",C11976=2),1,0)</f>
        <v>1</v>
      </c>
      <c r="F12006" s="51">
        <f>VLOOKUP(A12006,'[1]Componentes APUs'!$A$1:$D$14,4,0)</f>
        <v>37500</v>
      </c>
      <c r="G12006" s="51">
        <f>ROUNDUP(F12006*(E12006/21)/E11965,0)</f>
        <v>596</v>
      </c>
    </row>
    <row r="12007" spans="1:7" x14ac:dyDescent="0.25">
      <c r="A12007" s="50" t="s">
        <v>91</v>
      </c>
      <c r="B12007" s="72" t="str">
        <f>VLOOKUP(A12007,'[1]Componentes APUs'!$A$1:$D$14,2,0)</f>
        <v>Equipo completo para trabajo en alturas con pretales (Arnes dielectrico, 1 mosqueton de seguridad, tie off dielectrico, eslinga de posicionamiento, juego de pretales)</v>
      </c>
      <c r="C12007" s="73"/>
      <c r="D12007" s="50" t="str">
        <f>VLOOKUP(A12007,'[1]Componentes APUs'!$A$1:$D$14,3,0)</f>
        <v>U</v>
      </c>
      <c r="E12007" s="50">
        <f>IF(A11976="MO-3",C11976,0)</f>
        <v>2</v>
      </c>
      <c r="F12007" s="51">
        <f>VLOOKUP(A12007,'[1]Componentes APUs'!$A$1:$D$14,4,0)</f>
        <v>26041.666666666668</v>
      </c>
      <c r="G12007" s="51">
        <f>ROUNDUP(F12007*(E12007/21)/E11965,0)</f>
        <v>827</v>
      </c>
    </row>
    <row r="12008" spans="1:7" x14ac:dyDescent="0.25">
      <c r="A12008" s="219" t="s">
        <v>95</v>
      </c>
      <c r="B12008" s="219"/>
      <c r="C12008" s="219"/>
      <c r="D12008" s="219"/>
      <c r="E12008" s="219"/>
      <c r="F12008" s="219"/>
      <c r="G12008" s="52">
        <f>SUM(G11995:G12007)</f>
        <v>5240</v>
      </c>
    </row>
    <row r="12009" spans="1:7" x14ac:dyDescent="0.25">
      <c r="A12009" s="56"/>
      <c r="B12009" s="57"/>
      <c r="C12009" s="57"/>
      <c r="D12009" s="57"/>
      <c r="E12009" s="57"/>
      <c r="F12009" s="57"/>
      <c r="G12009" s="58"/>
    </row>
    <row r="12010" spans="1:7" x14ac:dyDescent="0.25">
      <c r="A12010" s="219" t="s">
        <v>96</v>
      </c>
      <c r="B12010" s="219"/>
      <c r="C12010" s="219"/>
      <c r="D12010" s="219"/>
      <c r="E12010" s="219"/>
      <c r="F12010" s="219"/>
      <c r="G12010" s="219"/>
    </row>
    <row r="12011" spans="1:7" x14ac:dyDescent="0.25">
      <c r="A12011" s="49" t="s">
        <v>35</v>
      </c>
      <c r="B12011" s="225" t="s">
        <v>36</v>
      </c>
      <c r="C12011" s="225"/>
      <c r="D12011" s="49" t="s">
        <v>37</v>
      </c>
      <c r="E12011" s="49" t="s">
        <v>38</v>
      </c>
      <c r="F12011" s="49" t="s">
        <v>39</v>
      </c>
      <c r="G12011" s="49" t="s">
        <v>40</v>
      </c>
    </row>
    <row r="12012" spans="1:7" x14ac:dyDescent="0.25">
      <c r="A12012" s="69" t="s">
        <v>97</v>
      </c>
      <c r="B12012" s="72" t="str">
        <f>VLOOKUP(A12012,'[1]Componentes APUs'!$N$1:$Q$30,2,0)</f>
        <v>Camioneta</v>
      </c>
      <c r="C12012" s="73"/>
      <c r="D12012" s="70" t="str">
        <f>VLOOKUP(A12012,'[1]Componentes APUs'!$N$1:$Q$30,3,0)</f>
        <v>U</v>
      </c>
      <c r="E12012" s="50">
        <v>1</v>
      </c>
      <c r="F12012" s="51">
        <f>VLOOKUP(A12012,'[1]Componentes APUs'!$N$1:$Q$30,4,0)</f>
        <v>5500000</v>
      </c>
      <c r="G12012" s="51">
        <f>IFERROR(ROUNDUP(F12012*(E12012/21)/E11965,0),"-")</f>
        <v>87302</v>
      </c>
    </row>
    <row r="12013" spans="1:7" x14ac:dyDescent="0.25">
      <c r="A12013" s="50" t="s">
        <v>321</v>
      </c>
      <c r="B12013" s="72" t="str">
        <f>VLOOKUP(A12013,'[1]Componentes APUs'!$N$1:$Q$30,2,0)</f>
        <v>Grúa Hidráulica</v>
      </c>
      <c r="C12013" s="73"/>
      <c r="D12013" s="70" t="str">
        <f>VLOOKUP(A12013,'[1]Componentes APUs'!$N$1:$Q$30,3,0)</f>
        <v>U</v>
      </c>
      <c r="E12013" s="50">
        <v>0</v>
      </c>
      <c r="F12013" s="51">
        <f>VLOOKUP(A12013,'[1]Componentes APUs'!$N$1:$Q$30,4,0)</f>
        <v>21000000</v>
      </c>
      <c r="G12013" s="51">
        <f>IFERROR(ROUNDUP(F12013*(E12013/21)/E11965,0),"-")</f>
        <v>0</v>
      </c>
    </row>
    <row r="12014" spans="1:7" x14ac:dyDescent="0.25">
      <c r="A12014" s="69" t="s">
        <v>322</v>
      </c>
      <c r="B12014" s="72" t="str">
        <f>VLOOKUP(A12014,'[1]Componentes APUs'!$N$1:$Q$30,2,0)</f>
        <v>Camabaja</v>
      </c>
      <c r="C12014" s="73"/>
      <c r="D12014" s="70" t="str">
        <f>VLOOKUP(A12014,'[1]Componentes APUs'!$N$1:$Q$30,3,0)</f>
        <v>TON/KM</v>
      </c>
      <c r="E12014" s="50">
        <v>0</v>
      </c>
      <c r="F12014" s="51">
        <f>VLOOKUP(A12014,'[1]Componentes APUs'!$N$1:$Q$30,4,0)</f>
        <v>611</v>
      </c>
      <c r="G12014" s="51">
        <f>IFERROR(ROUNDUP(F12014*(E12014/21)/E11965,0),"-")</f>
        <v>0</v>
      </c>
    </row>
    <row r="12015" spans="1:7" x14ac:dyDescent="0.25">
      <c r="A12015" s="50" t="s">
        <v>323</v>
      </c>
      <c r="B12015" s="72" t="str">
        <f>VLOOKUP(A12015,'[1]Componentes APUs'!$N$1:$Q$30,2,0)</f>
        <v>Volqueta</v>
      </c>
      <c r="C12015" s="73"/>
      <c r="D12015" s="70" t="str">
        <f>VLOOKUP(A12015,'[1]Componentes APUs'!$N$1:$Q$30,3,0)</f>
        <v>U</v>
      </c>
      <c r="E12015" s="50">
        <v>0</v>
      </c>
      <c r="F12015" s="51">
        <f>VLOOKUP(A12015,'[1]Componentes APUs'!$N$1:$Q$30,4,0)</f>
        <v>18900000</v>
      </c>
      <c r="G12015" s="51">
        <f>IFERROR(ROUNDUP(F12015*(E12015/21)/E11965,0),"-")</f>
        <v>0</v>
      </c>
    </row>
    <row r="12016" spans="1:7" x14ac:dyDescent="0.25">
      <c r="A12016" s="69" t="s">
        <v>324</v>
      </c>
      <c r="B12016" s="72" t="str">
        <f>VLOOKUP(A12016,'[1]Componentes APUs'!$N$1:$Q$30,2,0)</f>
        <v>Retroexcavadora</v>
      </c>
      <c r="C12016" s="73"/>
      <c r="D12016" s="70" t="str">
        <f>VLOOKUP(A12016,'[1]Componentes APUs'!$N$1:$Q$30,3,0)</f>
        <v>U</v>
      </c>
      <c r="E12016" s="50">
        <v>0</v>
      </c>
      <c r="F12016" s="51">
        <f>VLOOKUP(A12016,'[1]Componentes APUs'!$N$1:$Q$30,4,0)</f>
        <v>1494459.54</v>
      </c>
      <c r="G12016" s="51">
        <f>IFERROR(ROUNDUP(F12016*(E12016/21)/E11965,0),"-")</f>
        <v>0</v>
      </c>
    </row>
    <row r="12017" spans="1:7" x14ac:dyDescent="0.25">
      <c r="A12017" s="219" t="s">
        <v>99</v>
      </c>
      <c r="B12017" s="219"/>
      <c r="C12017" s="219"/>
      <c r="D12017" s="219"/>
      <c r="E12017" s="219"/>
      <c r="F12017" s="219"/>
      <c r="G12017" s="52">
        <f>SUM(G12012:G12016)</f>
        <v>87302</v>
      </c>
    </row>
    <row r="12018" spans="1:7" x14ac:dyDescent="0.25">
      <c r="A12018" s="56"/>
      <c r="B12018" s="57"/>
      <c r="C12018" s="57"/>
      <c r="D12018" s="57"/>
      <c r="E12018" s="57"/>
      <c r="F12018" s="57"/>
      <c r="G12018" s="58"/>
    </row>
    <row r="12019" spans="1:7" x14ac:dyDescent="0.25">
      <c r="A12019" s="219" t="s">
        <v>1516</v>
      </c>
      <c r="B12019" s="219"/>
      <c r="C12019" s="219"/>
      <c r="D12019" s="219"/>
      <c r="E12019" s="219"/>
      <c r="F12019" s="219"/>
      <c r="G12019" s="52">
        <f>G12017+G12008+G11991+G11980+G11970</f>
        <v>24226638</v>
      </c>
    </row>
    <row r="12020" spans="1:7" x14ac:dyDescent="0.25">
      <c r="A12020" s="59"/>
      <c r="B12020" s="60"/>
      <c r="C12020" s="60"/>
      <c r="D12020" s="60"/>
      <c r="E12020" s="57"/>
      <c r="F12020" s="57"/>
      <c r="G12020" s="58"/>
    </row>
    <row r="12021" spans="1:7" x14ac:dyDescent="0.25">
      <c r="A12021" s="64"/>
      <c r="D12021" s="55"/>
      <c r="E12021" s="49" t="s">
        <v>25</v>
      </c>
      <c r="F12021" s="54">
        <v>0.15</v>
      </c>
      <c r="G12021" s="51">
        <f>G12019*F12021</f>
        <v>3633995.6999999997</v>
      </c>
    </row>
    <row r="12022" spans="1:7" x14ac:dyDescent="0.25">
      <c r="A12022" s="64"/>
      <c r="D12022" s="55"/>
      <c r="E12022" s="49" t="s">
        <v>26</v>
      </c>
      <c r="F12022" s="54">
        <v>0.05</v>
      </c>
      <c r="G12022" s="51">
        <f>G12019*F12022</f>
        <v>1211331.9000000001</v>
      </c>
    </row>
    <row r="12023" spans="1:7" x14ac:dyDescent="0.25">
      <c r="A12023" s="61"/>
      <c r="B12023" s="65"/>
      <c r="C12023" s="65"/>
      <c r="D12023" s="62"/>
      <c r="E12023" s="49" t="s">
        <v>27</v>
      </c>
      <c r="F12023" s="54">
        <v>0.05</v>
      </c>
      <c r="G12023" s="51">
        <f>G12019*F12023</f>
        <v>1211331.9000000001</v>
      </c>
    </row>
    <row r="12024" spans="1:7" x14ac:dyDescent="0.25">
      <c r="A12024" s="61"/>
      <c r="B12024" s="62"/>
      <c r="C12024" s="62"/>
      <c r="D12024" s="62"/>
      <c r="E12024" s="62"/>
      <c r="F12024" s="62"/>
      <c r="G12024" s="63"/>
    </row>
    <row r="12025" spans="1:7" x14ac:dyDescent="0.25">
      <c r="A12025" s="219" t="s">
        <v>1517</v>
      </c>
      <c r="B12025" s="219"/>
      <c r="C12025" s="219"/>
      <c r="D12025" s="219"/>
      <c r="E12025" s="219"/>
      <c r="F12025" s="219"/>
      <c r="G12025" s="52">
        <f>G12019+G12021+G12022+G12023</f>
        <v>30283297.499999996</v>
      </c>
    </row>
    <row r="12026" spans="1:7" x14ac:dyDescent="0.25">
      <c r="A12026" s="59"/>
      <c r="B12026" s="60"/>
      <c r="C12026" s="60"/>
      <c r="D12026" s="60"/>
      <c r="E12026" s="57"/>
      <c r="F12026" s="57"/>
      <c r="G12026" s="58"/>
    </row>
    <row r="12027" spans="1:7" x14ac:dyDescent="0.25">
      <c r="A12027" s="64"/>
      <c r="D12027" s="55"/>
      <c r="E12027" s="49" t="s">
        <v>102</v>
      </c>
      <c r="F12027" s="49" t="s">
        <v>103</v>
      </c>
      <c r="G12027" s="51">
        <f>G12023*19%</f>
        <v>230153.06100000002</v>
      </c>
    </row>
    <row r="12028" spans="1:7" x14ac:dyDescent="0.25">
      <c r="A12028" s="61"/>
      <c r="B12028" s="62"/>
      <c r="C12028" s="62"/>
      <c r="D12028" s="62"/>
      <c r="E12028" s="57"/>
      <c r="F12028" s="57"/>
      <c r="G12028" s="58"/>
    </row>
    <row r="12029" spans="1:7" x14ac:dyDescent="0.25">
      <c r="A12029" s="219" t="s">
        <v>104</v>
      </c>
      <c r="B12029" s="219"/>
      <c r="C12029" s="219"/>
      <c r="D12029" s="219"/>
      <c r="E12029" s="219"/>
      <c r="F12029" s="219"/>
      <c r="G12029" s="52">
        <f>G12027+G12025</f>
        <v>30513450.560999997</v>
      </c>
    </row>
    <row r="12031" spans="1:7" x14ac:dyDescent="0.25">
      <c r="A12031" s="140" t="s">
        <v>29</v>
      </c>
      <c r="B12031" s="240" t="s">
        <v>30</v>
      </c>
      <c r="C12031" s="240"/>
      <c r="D12031" s="140" t="s">
        <v>31</v>
      </c>
      <c r="E12031" s="140" t="s">
        <v>32</v>
      </c>
      <c r="F12031" s="140" t="s">
        <v>189</v>
      </c>
      <c r="G12031" s="140" t="s">
        <v>33</v>
      </c>
    </row>
    <row r="12032" spans="1:7" ht="55.5" customHeight="1" x14ac:dyDescent="0.25">
      <c r="A12032" s="50" t="str">
        <f>Presupuesto!B219</f>
        <v>028_N3</v>
      </c>
      <c r="B12032" s="220" t="str">
        <f>Presupuesto!C219</f>
        <v>SUMINISTRO E INSTALACIÓN DE TRANSFORMADOR DE CORRIENTE. USO EXTERIOR. TRIPLE NÚCLEO: ( N1:75-150/5 CL: 0,5S, N2:75-150/5 CL: 0,5S, N3:75-150/5 CL: 5P20, BURDEN: 25 VA) UM:38KV, ISC:12.5KA. INCLUYE PROTOCOLOS DE PRUEBA DE PRECISIÓN DE FABRICANTE Y LABORATORIO ACREDITADO.</v>
      </c>
      <c r="C12032" s="220"/>
      <c r="D12032" s="50" t="s">
        <v>18</v>
      </c>
      <c r="E12032" s="50">
        <v>3</v>
      </c>
      <c r="F12032" s="50"/>
      <c r="G12032" s="51">
        <f>G12097</f>
        <v>30513450.560999997</v>
      </c>
    </row>
    <row r="12033" spans="1:7" x14ac:dyDescent="0.25">
      <c r="A12033" s="219" t="s">
        <v>34</v>
      </c>
      <c r="B12033" s="219"/>
      <c r="C12033" s="219"/>
      <c r="D12033" s="219"/>
      <c r="E12033" s="219"/>
      <c r="F12033" s="219"/>
      <c r="G12033" s="219"/>
    </row>
    <row r="12034" spans="1:7" x14ac:dyDescent="0.25">
      <c r="A12034" s="49" t="s">
        <v>35</v>
      </c>
      <c r="B12034" s="219" t="s">
        <v>36</v>
      </c>
      <c r="C12034" s="219"/>
      <c r="D12034" s="49" t="s">
        <v>37</v>
      </c>
      <c r="E12034" s="49" t="s">
        <v>38</v>
      </c>
      <c r="F12034" s="49" t="s">
        <v>39</v>
      </c>
      <c r="G12034" s="49" t="s">
        <v>40</v>
      </c>
    </row>
    <row r="12035" spans="1:7" ht="59.25" customHeight="1" x14ac:dyDescent="0.25">
      <c r="A12035" s="17" t="str">
        <f>Material!A28</f>
        <v>MA-27</v>
      </c>
      <c r="B12035" s="221" t="str">
        <f>IFERROR(VLOOKUP(A12035,Material!$A:$J,2,0),"-")</f>
        <v>TRANSFORMADOR DE CORRIENTE. USO EXTERIOR. TRIPLE NÚCLEO: ( N1:75-150/5 CL: 0,5S, N2:75-150/5 CL: 0,5S, N3:75-150/5 CL: 5P20) UM:38KV, ISC:12.5KA MIN, RELACIÓN DE TRANSFORMACIÓN AJUSTADA SEGÚN DISEÑO. INCLUYE PROTOCOLOS DE PRUEBA DE PRECISIÓN DE FABRICANTE Y LABORATORIO ACREDITADO.</v>
      </c>
      <c r="C12035" s="222"/>
      <c r="D12035" s="50" t="str">
        <f>IFERROR(VLOOKUP(A12035,Material!$A:$J,4,0),"-")</f>
        <v>UN</v>
      </c>
      <c r="E12035" s="50">
        <v>1</v>
      </c>
      <c r="F12035" s="51">
        <f>IFERROR(VLOOKUP(A12035,Material!$A:$J,3,0),"-")</f>
        <v>23776200</v>
      </c>
      <c r="G12035" s="51">
        <f t="shared" ref="G12035:G12037" si="169">IFERROR(ROUNDUP(F12035*E12035,0),"-")</f>
        <v>23776200</v>
      </c>
    </row>
    <row r="12036" spans="1:7" x14ac:dyDescent="0.25">
      <c r="A12036" s="17"/>
      <c r="B12036" s="72" t="str">
        <f>IFERROR(VLOOKUP(A12036,Material!$A:$J,2,0),"-")</f>
        <v>-</v>
      </c>
      <c r="C12036" s="73"/>
      <c r="D12036" s="50" t="str">
        <f>IFERROR(VLOOKUP(A12036,Material!$A:$J,4,0),"-")</f>
        <v>-</v>
      </c>
      <c r="E12036" s="50"/>
      <c r="F12036" s="51" t="str">
        <f>IFERROR(VLOOKUP(A12036,Material!$A:$J,3,0),"-")</f>
        <v>-</v>
      </c>
      <c r="G12036" s="51" t="str">
        <f t="shared" si="169"/>
        <v>-</v>
      </c>
    </row>
    <row r="12037" spans="1:7" x14ac:dyDescent="0.25">
      <c r="A12037" s="50"/>
      <c r="B12037" s="75" t="str">
        <f>IFERROR(VLOOKUP(A12037,Material!$A:$J,2,0),"-")</f>
        <v>-</v>
      </c>
      <c r="C12037" s="76"/>
      <c r="D12037" s="50" t="str">
        <f>IFERROR(VLOOKUP(A12037,Material!$A:$J,4,0),"-")</f>
        <v>-</v>
      </c>
      <c r="E12037" s="50"/>
      <c r="F12037" s="51" t="str">
        <f>IFERROR(VLOOKUP(A12037,Material!$A:$J,3,0),"-")</f>
        <v>-</v>
      </c>
      <c r="G12037" s="51" t="str">
        <f t="shared" si="169"/>
        <v>-</v>
      </c>
    </row>
    <row r="12038" spans="1:7" x14ac:dyDescent="0.25">
      <c r="A12038" s="219" t="s">
        <v>41</v>
      </c>
      <c r="B12038" s="219"/>
      <c r="C12038" s="219"/>
      <c r="D12038" s="219"/>
      <c r="E12038" s="219"/>
      <c r="F12038" s="219"/>
      <c r="G12038" s="52">
        <f>SUM(G12035:G12037)</f>
        <v>23776200</v>
      </c>
    </row>
    <row r="12039" spans="1:7" x14ac:dyDescent="0.25">
      <c r="A12039" s="56"/>
      <c r="B12039" s="57"/>
      <c r="C12039" s="57"/>
      <c r="D12039" s="57"/>
      <c r="E12039" s="57"/>
      <c r="F12039" s="57"/>
      <c r="G12039" s="58"/>
    </row>
    <row r="12040" spans="1:7" x14ac:dyDescent="0.25">
      <c r="A12040" s="219" t="s">
        <v>42</v>
      </c>
      <c r="B12040" s="219"/>
      <c r="C12040" s="219"/>
      <c r="D12040" s="219"/>
      <c r="E12040" s="219"/>
      <c r="F12040" s="219"/>
      <c r="G12040" s="219"/>
    </row>
    <row r="12041" spans="1:7" x14ac:dyDescent="0.25">
      <c r="A12041" s="49" t="s">
        <v>35</v>
      </c>
      <c r="B12041" s="49" t="s">
        <v>36</v>
      </c>
      <c r="C12041" s="49" t="s">
        <v>38</v>
      </c>
      <c r="D12041" s="49" t="s">
        <v>43</v>
      </c>
      <c r="E12041" s="49" t="s">
        <v>44</v>
      </c>
      <c r="F12041" s="49" t="s">
        <v>45</v>
      </c>
      <c r="G12041" s="49" t="s">
        <v>40</v>
      </c>
    </row>
    <row r="12042" spans="1:7" x14ac:dyDescent="0.25">
      <c r="A12042" s="50" t="s">
        <v>319</v>
      </c>
      <c r="B12042" s="68" t="str">
        <f>VLOOKUP(A12042,'[1]Componentes APUs'!$H$1:$L$25,2,0)</f>
        <v>Ingeniero Residente de Obra</v>
      </c>
      <c r="C12042" s="93">
        <v>0.25</v>
      </c>
      <c r="D12042" s="50">
        <f>VLOOKUP(A12042,'[1]Componentes APUs'!$H$1:$L$25,3,0)</f>
        <v>4</v>
      </c>
      <c r="E12042" s="51">
        <f>VLOOKUP(A12042,'[1]Componentes APUs'!$H$1:$L$25,4,0)</f>
        <v>271142.85714285716</v>
      </c>
      <c r="F12042" s="51">
        <f>VLOOKUP(A12042,'[1]Componentes APUs'!$H$1:$L$25,5,0)</f>
        <v>162685.71428571429</v>
      </c>
      <c r="G12042" s="51">
        <f>ROUNDUP((E12042+F12042)*C12042/E12032,0)</f>
        <v>36153</v>
      </c>
    </row>
    <row r="12043" spans="1:7" x14ac:dyDescent="0.25">
      <c r="A12043" s="50" t="s">
        <v>320</v>
      </c>
      <c r="B12043" s="68" t="str">
        <f>VLOOKUP(A12043,'[1]Componentes APUs'!$H$1:$L$25,2,0)</f>
        <v>Tecnico Supervisor</v>
      </c>
      <c r="C12043" s="93">
        <v>0.25</v>
      </c>
      <c r="D12043" s="50">
        <f>VLOOKUP(A12043,'[1]Componentes APUs'!$H$1:$L$25,3,0)</f>
        <v>2.2999999999999998</v>
      </c>
      <c r="E12043" s="51">
        <f>VLOOKUP(A12043,'[1]Componentes APUs'!$H$1:$L$25,4,0)</f>
        <v>155907.14285714284</v>
      </c>
      <c r="F12043" s="51">
        <f>VLOOKUP(A12043,'[1]Componentes APUs'!$H$1:$L$25,5,0)</f>
        <v>93544.285714285696</v>
      </c>
      <c r="G12043" s="51">
        <f>ROUNDUP((E12043+F12043)*C12043/E12032,0)</f>
        <v>20788</v>
      </c>
    </row>
    <row r="12044" spans="1:7" x14ac:dyDescent="0.25">
      <c r="A12044" s="50" t="s">
        <v>46</v>
      </c>
      <c r="B12044" s="68" t="str">
        <f>VLOOKUP(A12044,'[1]Componentes APUs'!$H$1:$L$25,2,0)</f>
        <v>Tecnico Liniero</v>
      </c>
      <c r="C12044" s="93">
        <v>2</v>
      </c>
      <c r="D12044" s="50">
        <f>VLOOKUP(A12044,'[1]Componentes APUs'!$H$1:$L$25,3,0)</f>
        <v>2</v>
      </c>
      <c r="E12044" s="51">
        <f>VLOOKUP(A12044,'[1]Componentes APUs'!$H$1:$L$25,4,0)</f>
        <v>154619.04761904763</v>
      </c>
      <c r="F12044" s="51">
        <f>VLOOKUP(A12044,'[1]Componentes APUs'!$H$1:$L$25,5,0)</f>
        <v>92771.42857142858</v>
      </c>
      <c r="G12044" s="51">
        <f>ROUNDUP((E12044+F12044)*C12044/E12032,0)</f>
        <v>164927</v>
      </c>
    </row>
    <row r="12045" spans="1:7" x14ac:dyDescent="0.25">
      <c r="A12045" s="50" t="s">
        <v>48</v>
      </c>
      <c r="B12045" s="68" t="str">
        <f>VLOOKUP(A12045,'[1]Componentes APUs'!$H$1:$L$25,2,0)</f>
        <v>Ayudante Calificado</v>
      </c>
      <c r="C12045" s="93">
        <v>1</v>
      </c>
      <c r="D12045" s="50">
        <f>VLOOKUP(A12045,'[1]Componentes APUs'!$H$1:$L$25,3,0)</f>
        <v>1.5</v>
      </c>
      <c r="E12045" s="51">
        <f>VLOOKUP(A12045,'[1]Componentes APUs'!$H$1:$L$25,4,0)</f>
        <v>115964.28571428571</v>
      </c>
      <c r="F12045" s="51">
        <f>VLOOKUP(A12045,'[1]Componentes APUs'!$H$1:$L$25,5,0)</f>
        <v>69578.57142857142</v>
      </c>
      <c r="G12045" s="51">
        <f>ROUNDUP((E12045+F12045)*C12045/E12032,0)</f>
        <v>61848</v>
      </c>
    </row>
    <row r="12046" spans="1:7" x14ac:dyDescent="0.25">
      <c r="A12046" s="50" t="s">
        <v>50</v>
      </c>
      <c r="B12046" s="68" t="str">
        <f>VLOOKUP(A12046,'[1]Componentes APUs'!$H$1:$L$25,2,0)</f>
        <v>Profesional en SST</v>
      </c>
      <c r="C12046" s="93">
        <v>0.25</v>
      </c>
      <c r="D12046" s="50">
        <f>VLOOKUP(A12046,'[1]Componentes APUs'!$H$1:$L$25,3,0)</f>
        <v>2.5</v>
      </c>
      <c r="E12046" s="51">
        <f>VLOOKUP(A12046,'[1]Componentes APUs'!$H$1:$L$25,4,0)</f>
        <v>169464.28571428571</v>
      </c>
      <c r="F12046" s="51">
        <f>VLOOKUP(A12046,'[1]Componentes APUs'!$H$1:$L$25,5,0)</f>
        <v>101678.57142857142</v>
      </c>
      <c r="G12046" s="51">
        <f>ROUNDUP((E12046+F12046)*C12046/E12032,0)</f>
        <v>22596</v>
      </c>
    </row>
    <row r="12047" spans="1:7" x14ac:dyDescent="0.25">
      <c r="A12047" s="50" t="s">
        <v>52</v>
      </c>
      <c r="B12047" s="68" t="str">
        <f>VLOOKUP(A12047,'[1]Componentes APUs'!$H$1:$L$25,2,0)</f>
        <v>Ayudante No Calificado</v>
      </c>
      <c r="C12047" s="93">
        <v>1</v>
      </c>
      <c r="D12047" s="50">
        <f>VLOOKUP(A12047,'[1]Componentes APUs'!$H$1:$L$25,3,0)</f>
        <v>1</v>
      </c>
      <c r="E12047" s="51">
        <f>VLOOKUP(A12047,'[1]Componentes APUs'!$H$1:$L$25,4,0)</f>
        <v>77309.523809523816</v>
      </c>
      <c r="F12047" s="51">
        <f>VLOOKUP(A12047,'[1]Componentes APUs'!$H$1:$L$25,5,0)</f>
        <v>46385.71428571429</v>
      </c>
      <c r="G12047" s="51">
        <f>ROUNDUP((E12047+F12047)*C12047/E12032,0)</f>
        <v>41232</v>
      </c>
    </row>
    <row r="12048" spans="1:7" x14ac:dyDescent="0.25">
      <c r="A12048" s="219" t="s">
        <v>56</v>
      </c>
      <c r="B12048" s="219"/>
      <c r="C12048" s="219"/>
      <c r="D12048" s="219"/>
      <c r="E12048" s="219"/>
      <c r="F12048" s="219"/>
      <c r="G12048" s="52">
        <f>SUM(G12042:G12047)</f>
        <v>347544</v>
      </c>
    </row>
    <row r="12049" spans="1:7" x14ac:dyDescent="0.25">
      <c r="A12049" s="56"/>
      <c r="B12049" s="57"/>
      <c r="C12049" s="57"/>
      <c r="D12049" s="57"/>
      <c r="E12049" s="57"/>
      <c r="F12049" s="57"/>
      <c r="G12049" s="58"/>
    </row>
    <row r="12050" spans="1:7" x14ac:dyDescent="0.25">
      <c r="A12050" s="219" t="s">
        <v>57</v>
      </c>
      <c r="B12050" s="219"/>
      <c r="C12050" s="219"/>
      <c r="D12050" s="219"/>
      <c r="E12050" s="219"/>
      <c r="F12050" s="219"/>
      <c r="G12050" s="219"/>
    </row>
    <row r="12051" spans="1:7" x14ac:dyDescent="0.25">
      <c r="A12051" s="49" t="s">
        <v>35</v>
      </c>
      <c r="B12051" s="219" t="s">
        <v>36</v>
      </c>
      <c r="C12051" s="219"/>
      <c r="D12051" s="49" t="s">
        <v>37</v>
      </c>
      <c r="E12051" s="49" t="s">
        <v>38</v>
      </c>
      <c r="F12051" s="49" t="s">
        <v>39</v>
      </c>
      <c r="G12051" s="49" t="s">
        <v>40</v>
      </c>
    </row>
    <row r="12052" spans="1:7" x14ac:dyDescent="0.25">
      <c r="A12052" s="50" t="s">
        <v>326</v>
      </c>
      <c r="B12052" s="220" t="str">
        <f>VLOOKUP(A12052,'[1]Componentes APUs'!$S$1:$V$10,2,0)</f>
        <v>Juego Llaves</v>
      </c>
      <c r="C12052" s="220"/>
      <c r="D12052" s="50" t="s">
        <v>18</v>
      </c>
      <c r="E12052" s="50">
        <v>2</v>
      </c>
      <c r="F12052" s="51">
        <f>VLOOKUP(A12052,'[1]Componentes APUs'!$S$1:$V$10,4,0)</f>
        <v>9167</v>
      </c>
      <c r="G12052" s="51">
        <f>ROUNDUP(F12052*((E12052/21)/E12032),0)</f>
        <v>292</v>
      </c>
    </row>
    <row r="12053" spans="1:7" x14ac:dyDescent="0.25">
      <c r="A12053" s="50" t="s">
        <v>58</v>
      </c>
      <c r="B12053" s="220" t="str">
        <f>VLOOKUP(A12053,'[1]Componentes APUs'!$S$1:$V$10,2,0)</f>
        <v>Manila de servicio</v>
      </c>
      <c r="C12053" s="220"/>
      <c r="D12053" s="50" t="s">
        <v>18</v>
      </c>
      <c r="E12053" s="50">
        <v>2</v>
      </c>
      <c r="F12053" s="51">
        <f>VLOOKUP(A12053,'[1]Componentes APUs'!$S$1:$V$10,4,0)</f>
        <v>2333</v>
      </c>
      <c r="G12053" s="51">
        <f>ROUNDUP(F12053*((E12053/21)/E12032),0)</f>
        <v>75</v>
      </c>
    </row>
    <row r="12054" spans="1:7" x14ac:dyDescent="0.25">
      <c r="A12054" s="50" t="s">
        <v>327</v>
      </c>
      <c r="B12054" s="220" t="str">
        <f>VLOOKUP(A12054,'[1]Componentes APUs'!$S$1:$V$10,2,0)</f>
        <v>Tula portaherramientas</v>
      </c>
      <c r="C12054" s="220"/>
      <c r="D12054" s="50" t="s">
        <v>18</v>
      </c>
      <c r="E12054" s="50">
        <v>2</v>
      </c>
      <c r="F12054" s="51">
        <f>VLOOKUP(A12054,'[1]Componentes APUs'!$S$1:$V$10,4,0)</f>
        <v>1250</v>
      </c>
      <c r="G12054" s="51">
        <f>ROUNDUP(F12054*((E12054/21)/E12032),0)</f>
        <v>40</v>
      </c>
    </row>
    <row r="12055" spans="1:7" x14ac:dyDescent="0.25">
      <c r="A12055" s="50" t="s">
        <v>60</v>
      </c>
      <c r="B12055" s="220" t="str">
        <f>VLOOKUP(A12055,'[1]Componentes APUs'!$S$1:$V$10,2,0)</f>
        <v>Agarradoras</v>
      </c>
      <c r="C12055" s="220"/>
      <c r="D12055" s="50" t="s">
        <v>18</v>
      </c>
      <c r="E12055" s="50">
        <v>0</v>
      </c>
      <c r="F12055" s="51">
        <f>VLOOKUP(A12055,'[1]Componentes APUs'!$S$1:$V$10,4,0)</f>
        <v>125000</v>
      </c>
      <c r="G12055" s="51">
        <f>ROUNDUP(F12055*((E12055/21)/E12032),0)</f>
        <v>0</v>
      </c>
    </row>
    <row r="12056" spans="1:7" x14ac:dyDescent="0.25">
      <c r="A12056" s="50" t="s">
        <v>62</v>
      </c>
      <c r="B12056" s="220" t="str">
        <f>VLOOKUP(A12056,'[1]Componentes APUs'!$S$1:$V$10,2,0)</f>
        <v>Templadoras</v>
      </c>
      <c r="C12056" s="220"/>
      <c r="D12056" s="50" t="s">
        <v>18</v>
      </c>
      <c r="E12056" s="50">
        <v>0</v>
      </c>
      <c r="F12056" s="51">
        <f>VLOOKUP(A12056,'[1]Componentes APUs'!$S$1:$V$10,4,0)</f>
        <v>250000</v>
      </c>
      <c r="G12056" s="51">
        <f>ROUNDUP(F12056*((E12056/21)/E12032),0)</f>
        <v>0</v>
      </c>
    </row>
    <row r="12057" spans="1:7" x14ac:dyDescent="0.25">
      <c r="A12057" s="50" t="s">
        <v>328</v>
      </c>
      <c r="B12057" s="220" t="str">
        <f>VLOOKUP(A12057,'[1]Componentes APUs'!$S$1:$V$10,2,0)</f>
        <v>Herramienta Menor</v>
      </c>
      <c r="C12057" s="220"/>
      <c r="D12057" s="50" t="s">
        <v>18</v>
      </c>
      <c r="E12057" s="50">
        <v>2</v>
      </c>
      <c r="F12057" s="51">
        <f>VLOOKUP(A12057,'[1]Componentes APUs'!$S$1:$V$10,4,0)</f>
        <v>75758</v>
      </c>
      <c r="G12057" s="51">
        <f>ROUNDUP(F12057*((E12057/21)/E12032),0)</f>
        <v>2406</v>
      </c>
    </row>
    <row r="12058" spans="1:7" x14ac:dyDescent="0.25">
      <c r="A12058" s="50" t="s">
        <v>66</v>
      </c>
      <c r="B12058" s="220" t="str">
        <f>VLOOKUP(A12058,'[1]Componentes APUs'!$S$1:$V$10,2,0)</f>
        <v>Diferencial 2 Toneladas</v>
      </c>
      <c r="C12058" s="220"/>
      <c r="D12058" s="50" t="s">
        <v>18</v>
      </c>
      <c r="E12058" s="50">
        <v>1</v>
      </c>
      <c r="F12058" s="51">
        <f>VLOOKUP(A12058,'[1]Componentes APUs'!$S$1:$V$10,4,0)</f>
        <v>474905</v>
      </c>
      <c r="G12058" s="51">
        <f>ROUNDUP(F12058*((E12058/21)/E12032),0)</f>
        <v>7539</v>
      </c>
    </row>
    <row r="12059" spans="1:7" x14ac:dyDescent="0.25">
      <c r="A12059" s="219" t="s">
        <v>69</v>
      </c>
      <c r="B12059" s="219"/>
      <c r="C12059" s="219"/>
      <c r="D12059" s="219"/>
      <c r="E12059" s="219"/>
      <c r="F12059" s="219"/>
      <c r="G12059" s="52">
        <f>SUM(G12052:G12058)</f>
        <v>10352</v>
      </c>
    </row>
    <row r="12060" spans="1:7" x14ac:dyDescent="0.25">
      <c r="A12060" s="56"/>
      <c r="B12060" s="57"/>
      <c r="C12060" s="57"/>
      <c r="D12060" s="57"/>
      <c r="E12060" s="57"/>
      <c r="F12060" s="57"/>
      <c r="G12060" s="58"/>
    </row>
    <row r="12061" spans="1:7" x14ac:dyDescent="0.25">
      <c r="A12061" s="219" t="s">
        <v>70</v>
      </c>
      <c r="B12061" s="219"/>
      <c r="C12061" s="219"/>
      <c r="D12061" s="219"/>
      <c r="E12061" s="219"/>
      <c r="F12061" s="219"/>
      <c r="G12061" s="219"/>
    </row>
    <row r="12062" spans="1:7" x14ac:dyDescent="0.25">
      <c r="A12062" s="49" t="s">
        <v>35</v>
      </c>
      <c r="B12062" s="219" t="s">
        <v>36</v>
      </c>
      <c r="C12062" s="219"/>
      <c r="D12062" s="49" t="s">
        <v>37</v>
      </c>
      <c r="E12062" s="49" t="s">
        <v>38</v>
      </c>
      <c r="F12062" s="49" t="s">
        <v>39</v>
      </c>
      <c r="G12062" s="49" t="s">
        <v>40</v>
      </c>
    </row>
    <row r="12063" spans="1:7" x14ac:dyDescent="0.25">
      <c r="A12063" s="50" t="s">
        <v>71</v>
      </c>
      <c r="B12063" s="71" t="str">
        <f>VLOOKUP(A12063,'[1]Componentes APUs'!$A$1:$D$14,2,0)</f>
        <v>Camisa indigo sin partes metalicas</v>
      </c>
      <c r="C12063" s="71"/>
      <c r="D12063" s="50" t="str">
        <f>VLOOKUP(A12063,'[1]Componentes APUs'!$A$1:$D$14,3,0)</f>
        <v>U</v>
      </c>
      <c r="E12063" s="50">
        <f>SUM(C12042:C12047)</f>
        <v>4.75</v>
      </c>
      <c r="F12063" s="51">
        <f>VLOOKUP(A12063,'[1]Componentes APUs'!$A$1:$D$14,4,0)</f>
        <v>8585.8585858585866</v>
      </c>
      <c r="G12063" s="51">
        <f>ROUNDUP(F12063*(E12063/21)/E12032,0)</f>
        <v>648</v>
      </c>
    </row>
    <row r="12064" spans="1:7" x14ac:dyDescent="0.25">
      <c r="A12064" s="69" t="s">
        <v>73</v>
      </c>
      <c r="B12064" s="72" t="str">
        <f>VLOOKUP(A12064,'[1]Componentes APUs'!$A$1:$D$14,2,0)</f>
        <v>Bota de seguridad dielectrica</v>
      </c>
      <c r="C12064" s="73"/>
      <c r="D12064" s="70" t="str">
        <f>VLOOKUP(A12064,'[1]Componentes APUs'!$A$1:$D$14,3,0)</f>
        <v>Par</v>
      </c>
      <c r="E12064" s="50">
        <f>SUM(C12042:C12047)</f>
        <v>4.75</v>
      </c>
      <c r="F12064" s="51">
        <f>VLOOKUP(A12064,'[1]Componentes APUs'!$A$1:$D$14,4,0)</f>
        <v>7500</v>
      </c>
      <c r="G12064" s="51">
        <f>ROUNDUP(F12064*(E12064/21)/E12032,0)</f>
        <v>566</v>
      </c>
    </row>
    <row r="12065" spans="1:7" x14ac:dyDescent="0.25">
      <c r="A12065" s="50" t="s">
        <v>76</v>
      </c>
      <c r="B12065" s="72" t="str">
        <f>VLOOKUP(A12065,'[1]Componentes APUs'!$A$1:$D$14,2,0)</f>
        <v>Casco dielectrico Tipo 1 Clase E con barbuquejo</v>
      </c>
      <c r="C12065" s="73"/>
      <c r="D12065" s="50" t="str">
        <f>VLOOKUP(A12065,'[1]Componentes APUs'!$A$1:$D$14,3,0)</f>
        <v>U</v>
      </c>
      <c r="E12065" s="50">
        <f>C12042+C12043+C12046+C12047+C12045+IF(A12044&lt;&gt;"MO-3",C12044,0)</f>
        <v>2.75</v>
      </c>
      <c r="F12065" s="51">
        <f>VLOOKUP(A12065,'[1]Componentes APUs'!$A$1:$D$14,4,0)</f>
        <v>10101.010101010101</v>
      </c>
      <c r="G12065" s="51">
        <f>ROUNDUP(F12065*(E12065/21)/E12032,0)</f>
        <v>441</v>
      </c>
    </row>
    <row r="12066" spans="1:7" x14ac:dyDescent="0.25">
      <c r="A12066" s="69" t="s">
        <v>77</v>
      </c>
      <c r="B12066" s="72" t="str">
        <f>VLOOKUP(A12066,'[1]Componentes APUs'!$A$1:$D$14,2,0)</f>
        <v>Correa plastica y antiflama</v>
      </c>
      <c r="C12066" s="73"/>
      <c r="D12066" s="50" t="str">
        <f>VLOOKUP(A12066,'[1]Componentes APUs'!$A$1:$D$14,3,0)</f>
        <v>U</v>
      </c>
      <c r="E12066" s="50">
        <f>SUM(C12042:C12047)</f>
        <v>4.75</v>
      </c>
      <c r="F12066" s="51">
        <f>VLOOKUP(A12066,'[1]Componentes APUs'!$A$1:$D$14,4,0)</f>
        <v>3787.878787878788</v>
      </c>
      <c r="G12066" s="51">
        <f>ROUNDUP(F12066*(E12066/21)/E12032,0)</f>
        <v>286</v>
      </c>
    </row>
    <row r="12067" spans="1:7" x14ac:dyDescent="0.25">
      <c r="A12067" s="50" t="s">
        <v>79</v>
      </c>
      <c r="B12067" s="72" t="str">
        <f>VLOOKUP(A12067,'[1]Componentes APUs'!$A$1:$D$14,2,0)</f>
        <v>Gafas protectoras filtro UV</v>
      </c>
      <c r="C12067" s="73"/>
      <c r="D12067" s="50" t="str">
        <f>VLOOKUP(A12067,'[1]Componentes APUs'!$A$1:$D$14,3,0)</f>
        <v>U</v>
      </c>
      <c r="E12067" s="50">
        <f>SUM(C12042:C12047)</f>
        <v>4.75</v>
      </c>
      <c r="F12067" s="51">
        <f>VLOOKUP(A12067,'[1]Componentes APUs'!$A$1:$D$14,4,0)</f>
        <v>2777.7777777777778</v>
      </c>
      <c r="G12067" s="51">
        <f>ROUNDUP(F12067*(E12067/21)/E12032,0)</f>
        <v>210</v>
      </c>
    </row>
    <row r="12068" spans="1:7" x14ac:dyDescent="0.25">
      <c r="A12068" s="69" t="s">
        <v>402</v>
      </c>
      <c r="B12068" s="72" t="str">
        <f>VLOOKUP(A12068,'[1]Componentes APUs'!$A$1:$D$14,2,0)</f>
        <v>Bota de seguridad PVC dielectrica</v>
      </c>
      <c r="C12068" s="73"/>
      <c r="D12068" s="50" t="str">
        <f>VLOOKUP(A12068,'[1]Componentes APUs'!$A$1:$D$14,3,0)</f>
        <v>Par</v>
      </c>
      <c r="E12068" s="50">
        <f>SUM(C12042:C12047)</f>
        <v>4.75</v>
      </c>
      <c r="F12068" s="51">
        <f>VLOOKUP(A12068,'[1]Componentes APUs'!$A$1:$D$14,4,0)</f>
        <v>2916.6666666666665</v>
      </c>
      <c r="G12068" s="51">
        <f>ROUNDUP(F12068*(E12068/21)/E12032,0)</f>
        <v>220</v>
      </c>
    </row>
    <row r="12069" spans="1:7" x14ac:dyDescent="0.25">
      <c r="A12069" s="50" t="s">
        <v>403</v>
      </c>
      <c r="B12069" s="72" t="str">
        <f>VLOOKUP(A12069,'[1]Componentes APUs'!$A$1:$D$14,2,0)</f>
        <v>Capuchon</v>
      </c>
      <c r="C12069" s="73"/>
      <c r="D12069" s="50" t="str">
        <f>VLOOKUP(A12069,'[1]Componentes APUs'!$A$1:$D$14,3,0)</f>
        <v>U</v>
      </c>
      <c r="E12069" s="50">
        <f>SUM(C12042:C12047)</f>
        <v>4.75</v>
      </c>
      <c r="F12069" s="51">
        <f>VLOOKUP(A12069,'[1]Componentes APUs'!$A$1:$D$14,4,0)</f>
        <v>2525.2525252525252</v>
      </c>
      <c r="G12069" s="51">
        <f>ROUNDUP(F12069*(E12069/21)/E12032,0)</f>
        <v>191</v>
      </c>
    </row>
    <row r="12070" spans="1:7" x14ac:dyDescent="0.25">
      <c r="A12070" s="69" t="s">
        <v>81</v>
      </c>
      <c r="B12070" s="72" t="str">
        <f>VLOOKUP(A12070,'[1]Componentes APUs'!$A$1:$D$14,2,0)</f>
        <v>Guantes Protectores  - ingeniero reforzados</v>
      </c>
      <c r="C12070" s="73"/>
      <c r="D12070" s="50" t="str">
        <f>VLOOKUP(A12070,'[1]Componentes APUs'!$A$1:$D$14,3,0)</f>
        <v>Par</v>
      </c>
      <c r="E12070" s="50">
        <f>C12044+C12045+C12047</f>
        <v>4</v>
      </c>
      <c r="F12070" s="51">
        <f>VLOOKUP(A12070,'[1]Componentes APUs'!$A$1:$D$14,4,0)</f>
        <v>2525.2525252525252</v>
      </c>
      <c r="G12070" s="51">
        <f>ROUNDUP(F12070*(E12070/21)/E12032,0)</f>
        <v>161</v>
      </c>
    </row>
    <row r="12071" spans="1:7" x14ac:dyDescent="0.25">
      <c r="A12071" s="50" t="s">
        <v>83</v>
      </c>
      <c r="B12071" s="72" t="str">
        <f>VLOOKUP(A12071,'[1]Componentes APUs'!$A$1:$D$14,2,0)</f>
        <v>Impermeable (pantalon camisa)</v>
      </c>
      <c r="C12071" s="73"/>
      <c r="D12071" s="50" t="str">
        <f>VLOOKUP(A12071,'[1]Componentes APUs'!$A$1:$D$14,3,0)</f>
        <v>U</v>
      </c>
      <c r="E12071" s="50">
        <f>SUM(C12042:C12047)</f>
        <v>4.75</v>
      </c>
      <c r="F12071" s="51">
        <f>VLOOKUP(A12071,'[1]Componentes APUs'!$A$1:$D$14,4,0)</f>
        <v>3750</v>
      </c>
      <c r="G12071" s="51">
        <f>ROUNDUP(F12071*(E12071/21)/E12032,0)</f>
        <v>283</v>
      </c>
    </row>
    <row r="12072" spans="1:7" x14ac:dyDescent="0.25">
      <c r="A12072" s="69" t="s">
        <v>85</v>
      </c>
      <c r="B12072" s="72" t="str">
        <f>VLOOKUP(A12072,'[1]Componentes APUs'!$A$1:$D$14,2,0)</f>
        <v>Jean Dielectrico</v>
      </c>
      <c r="C12072" s="73"/>
      <c r="D12072" s="50" t="str">
        <f>VLOOKUP(A12072,'[1]Componentes APUs'!$A$1:$D$14,3,0)</f>
        <v>U</v>
      </c>
      <c r="E12072" s="50">
        <f>SUM(C12042:C12047)</f>
        <v>4.75</v>
      </c>
      <c r="F12072" s="51">
        <f>VLOOKUP(A12072,'[1]Componentes APUs'!$A$1:$D$14,4,0)</f>
        <v>7575.757575757576</v>
      </c>
      <c r="G12072" s="51">
        <f>ROUNDUP(F12072*(E12072/21)/E12032,0)</f>
        <v>572</v>
      </c>
    </row>
    <row r="12073" spans="1:7" x14ac:dyDescent="0.25">
      <c r="A12073" s="50" t="s">
        <v>87</v>
      </c>
      <c r="B12073" s="72" t="str">
        <f>VLOOKUP(A12073,'[1]Componentes APUs'!$A$1:$D$14,2,0)</f>
        <v>Casco dielectrico Tipo 2 Clase E con barboquejo</v>
      </c>
      <c r="C12073" s="73"/>
      <c r="D12073" s="50" t="str">
        <f>VLOOKUP(A12073,'[1]Componentes APUs'!$A$1:$D$14,3,0)</f>
        <v>U</v>
      </c>
      <c r="E12073" s="53">
        <f>IF(A12044="MO-3",C12044,0)</f>
        <v>2</v>
      </c>
      <c r="F12073" s="51">
        <f>VLOOKUP(A12073,'[1]Componentes APUs'!$A$1:$D$14,4,0)</f>
        <v>7500</v>
      </c>
      <c r="G12073" s="51">
        <f>ROUNDUP(F12073*(E12073/21)/E12032,0)</f>
        <v>239</v>
      </c>
    </row>
    <row r="12074" spans="1:7" x14ac:dyDescent="0.25">
      <c r="A12074" s="69" t="s">
        <v>89</v>
      </c>
      <c r="B12074" s="72" t="str">
        <f>VLOOKUP(A12074,'[1]Componentes APUs'!$A$1:$D$14,2,0)</f>
        <v>Kit de rescate para trabajo en alturas</v>
      </c>
      <c r="C12074" s="73"/>
      <c r="D12074" s="50" t="str">
        <f>VLOOKUP(A12074,'[1]Componentes APUs'!$A$1:$D$14,3,0)</f>
        <v>U</v>
      </c>
      <c r="E12074" s="50">
        <f>IF(AND(A12044="MO-3",C12044=2),1,0)</f>
        <v>1</v>
      </c>
      <c r="F12074" s="51">
        <f>VLOOKUP(A12074,'[1]Componentes APUs'!$A$1:$D$14,4,0)</f>
        <v>37500</v>
      </c>
      <c r="G12074" s="51">
        <f>ROUNDUP(F12074*(E12074/21)/E12032,0)</f>
        <v>596</v>
      </c>
    </row>
    <row r="12075" spans="1:7" x14ac:dyDescent="0.25">
      <c r="A12075" s="50" t="s">
        <v>91</v>
      </c>
      <c r="B12075" s="72" t="str">
        <f>VLOOKUP(A12075,'[1]Componentes APUs'!$A$1:$D$14,2,0)</f>
        <v>Equipo completo para trabajo en alturas con pretales (Arnes dielectrico, 1 mosqueton de seguridad, tie off dielectrico, eslinga de posicionamiento, juego de pretales)</v>
      </c>
      <c r="C12075" s="73"/>
      <c r="D12075" s="50" t="str">
        <f>VLOOKUP(A12075,'[1]Componentes APUs'!$A$1:$D$14,3,0)</f>
        <v>U</v>
      </c>
      <c r="E12075" s="50">
        <f>IF(A12044="MO-3",C12044,0)</f>
        <v>2</v>
      </c>
      <c r="F12075" s="51">
        <f>VLOOKUP(A12075,'[1]Componentes APUs'!$A$1:$D$14,4,0)</f>
        <v>26041.666666666668</v>
      </c>
      <c r="G12075" s="51">
        <f>ROUNDUP(F12075*(E12075/21)/E12032,0)</f>
        <v>827</v>
      </c>
    </row>
    <row r="12076" spans="1:7" x14ac:dyDescent="0.25">
      <c r="A12076" s="219" t="s">
        <v>95</v>
      </c>
      <c r="B12076" s="219"/>
      <c r="C12076" s="219"/>
      <c r="D12076" s="219"/>
      <c r="E12076" s="219"/>
      <c r="F12076" s="219"/>
      <c r="G12076" s="52">
        <f>SUM(G12063:G12075)</f>
        <v>5240</v>
      </c>
    </row>
    <row r="12077" spans="1:7" x14ac:dyDescent="0.25">
      <c r="A12077" s="56"/>
      <c r="B12077" s="57"/>
      <c r="C12077" s="57"/>
      <c r="D12077" s="57"/>
      <c r="E12077" s="57"/>
      <c r="F12077" s="57"/>
      <c r="G12077" s="58"/>
    </row>
    <row r="12078" spans="1:7" x14ac:dyDescent="0.25">
      <c r="A12078" s="219" t="s">
        <v>96</v>
      </c>
      <c r="B12078" s="219"/>
      <c r="C12078" s="219"/>
      <c r="D12078" s="219"/>
      <c r="E12078" s="219"/>
      <c r="F12078" s="219"/>
      <c r="G12078" s="219"/>
    </row>
    <row r="12079" spans="1:7" x14ac:dyDescent="0.25">
      <c r="A12079" s="49" t="s">
        <v>35</v>
      </c>
      <c r="B12079" s="225" t="s">
        <v>36</v>
      </c>
      <c r="C12079" s="225"/>
      <c r="D12079" s="49" t="s">
        <v>37</v>
      </c>
      <c r="E12079" s="49" t="s">
        <v>38</v>
      </c>
      <c r="F12079" s="49" t="s">
        <v>39</v>
      </c>
      <c r="G12079" s="49" t="s">
        <v>40</v>
      </c>
    </row>
    <row r="12080" spans="1:7" x14ac:dyDescent="0.25">
      <c r="A12080" s="69" t="s">
        <v>97</v>
      </c>
      <c r="B12080" s="72" t="str">
        <f>VLOOKUP(A12080,'[1]Componentes APUs'!$N$1:$Q$30,2,0)</f>
        <v>Camioneta</v>
      </c>
      <c r="C12080" s="73"/>
      <c r="D12080" s="70" t="str">
        <f>VLOOKUP(A12080,'[1]Componentes APUs'!$N$1:$Q$30,3,0)</f>
        <v>U</v>
      </c>
      <c r="E12080" s="50">
        <v>1</v>
      </c>
      <c r="F12080" s="51">
        <f>VLOOKUP(A12080,'[1]Componentes APUs'!$N$1:$Q$30,4,0)</f>
        <v>5500000</v>
      </c>
      <c r="G12080" s="51">
        <f>IFERROR(ROUNDUP(F12080*(E12080/21)/E12032,0),"-")</f>
        <v>87302</v>
      </c>
    </row>
    <row r="12081" spans="1:7" x14ac:dyDescent="0.25">
      <c r="A12081" s="50" t="s">
        <v>321</v>
      </c>
      <c r="B12081" s="72" t="str">
        <f>VLOOKUP(A12081,'[1]Componentes APUs'!$N$1:$Q$30,2,0)</f>
        <v>Grúa Hidráulica</v>
      </c>
      <c r="C12081" s="73"/>
      <c r="D12081" s="70" t="str">
        <f>VLOOKUP(A12081,'[1]Componentes APUs'!$N$1:$Q$30,3,0)</f>
        <v>U</v>
      </c>
      <c r="E12081" s="50">
        <v>0</v>
      </c>
      <c r="F12081" s="51">
        <f>VLOOKUP(A12081,'[1]Componentes APUs'!$N$1:$Q$30,4,0)</f>
        <v>21000000</v>
      </c>
      <c r="G12081" s="51">
        <f>IFERROR(ROUNDUP(F12081*(E12081/21)/E12032,0),"-")</f>
        <v>0</v>
      </c>
    </row>
    <row r="12082" spans="1:7" x14ac:dyDescent="0.25">
      <c r="A12082" s="69" t="s">
        <v>322</v>
      </c>
      <c r="B12082" s="72" t="str">
        <f>VLOOKUP(A12082,'[1]Componentes APUs'!$N$1:$Q$30,2,0)</f>
        <v>Camabaja</v>
      </c>
      <c r="C12082" s="73"/>
      <c r="D12082" s="70" t="str">
        <f>VLOOKUP(A12082,'[1]Componentes APUs'!$N$1:$Q$30,3,0)</f>
        <v>TON/KM</v>
      </c>
      <c r="E12082" s="50">
        <v>0</v>
      </c>
      <c r="F12082" s="51">
        <f>VLOOKUP(A12082,'[1]Componentes APUs'!$N$1:$Q$30,4,0)</f>
        <v>611</v>
      </c>
      <c r="G12082" s="51">
        <f>IFERROR(ROUNDUP(F12082*(E12082/21)/E12032,0),"-")</f>
        <v>0</v>
      </c>
    </row>
    <row r="12083" spans="1:7" x14ac:dyDescent="0.25">
      <c r="A12083" s="50" t="s">
        <v>323</v>
      </c>
      <c r="B12083" s="72" t="str">
        <f>VLOOKUP(A12083,'[1]Componentes APUs'!$N$1:$Q$30,2,0)</f>
        <v>Volqueta</v>
      </c>
      <c r="C12083" s="73"/>
      <c r="D12083" s="70" t="str">
        <f>VLOOKUP(A12083,'[1]Componentes APUs'!$N$1:$Q$30,3,0)</f>
        <v>U</v>
      </c>
      <c r="E12083" s="50">
        <v>0</v>
      </c>
      <c r="F12083" s="51">
        <f>VLOOKUP(A12083,'[1]Componentes APUs'!$N$1:$Q$30,4,0)</f>
        <v>18900000</v>
      </c>
      <c r="G12083" s="51">
        <f>IFERROR(ROUNDUP(F12083*(E12083/21)/E12032,0),"-")</f>
        <v>0</v>
      </c>
    </row>
    <row r="12084" spans="1:7" x14ac:dyDescent="0.25">
      <c r="A12084" s="69" t="s">
        <v>324</v>
      </c>
      <c r="B12084" s="72" t="str">
        <f>VLOOKUP(A12084,'[1]Componentes APUs'!$N$1:$Q$30,2,0)</f>
        <v>Retroexcavadora</v>
      </c>
      <c r="C12084" s="73"/>
      <c r="D12084" s="70" t="str">
        <f>VLOOKUP(A12084,'[1]Componentes APUs'!$N$1:$Q$30,3,0)</f>
        <v>U</v>
      </c>
      <c r="E12084" s="50">
        <v>0</v>
      </c>
      <c r="F12084" s="51">
        <f>VLOOKUP(A12084,'[1]Componentes APUs'!$N$1:$Q$30,4,0)</f>
        <v>1494459.54</v>
      </c>
      <c r="G12084" s="51">
        <f>IFERROR(ROUNDUP(F12084*(E12084/21)/E12032,0),"-")</f>
        <v>0</v>
      </c>
    </row>
    <row r="12085" spans="1:7" x14ac:dyDescent="0.25">
      <c r="A12085" s="219" t="s">
        <v>99</v>
      </c>
      <c r="B12085" s="219"/>
      <c r="C12085" s="219"/>
      <c r="D12085" s="219"/>
      <c r="E12085" s="219"/>
      <c r="F12085" s="219"/>
      <c r="G12085" s="52">
        <f>SUM(G12080:G12084)</f>
        <v>87302</v>
      </c>
    </row>
    <row r="12086" spans="1:7" x14ac:dyDescent="0.25">
      <c r="A12086" s="56"/>
      <c r="B12086" s="57"/>
      <c r="C12086" s="57"/>
      <c r="D12086" s="57"/>
      <c r="E12086" s="57"/>
      <c r="F12086" s="57"/>
      <c r="G12086" s="58"/>
    </row>
    <row r="12087" spans="1:7" x14ac:dyDescent="0.25">
      <c r="A12087" s="219" t="s">
        <v>1516</v>
      </c>
      <c r="B12087" s="219"/>
      <c r="C12087" s="219"/>
      <c r="D12087" s="219"/>
      <c r="E12087" s="219"/>
      <c r="F12087" s="219"/>
      <c r="G12087" s="52">
        <f>G12085+G12076+G12059+G12048+G12038</f>
        <v>24226638</v>
      </c>
    </row>
    <row r="12088" spans="1:7" x14ac:dyDescent="0.25">
      <c r="A12088" s="59"/>
      <c r="B12088" s="60"/>
      <c r="C12088" s="60"/>
      <c r="D12088" s="60"/>
      <c r="E12088" s="57"/>
      <c r="F12088" s="57"/>
      <c r="G12088" s="58"/>
    </row>
    <row r="12089" spans="1:7" x14ac:dyDescent="0.25">
      <c r="A12089" s="64"/>
      <c r="D12089" s="55"/>
      <c r="E12089" s="49" t="s">
        <v>25</v>
      </c>
      <c r="F12089" s="54">
        <v>0.15</v>
      </c>
      <c r="G12089" s="51">
        <f>G12087*F12089</f>
        <v>3633995.6999999997</v>
      </c>
    </row>
    <row r="12090" spans="1:7" x14ac:dyDescent="0.25">
      <c r="A12090" s="64"/>
      <c r="D12090" s="55"/>
      <c r="E12090" s="49" t="s">
        <v>26</v>
      </c>
      <c r="F12090" s="54">
        <v>0.05</v>
      </c>
      <c r="G12090" s="51">
        <f>G12087*F12090</f>
        <v>1211331.9000000001</v>
      </c>
    </row>
    <row r="12091" spans="1:7" x14ac:dyDescent="0.25">
      <c r="A12091" s="61"/>
      <c r="B12091" s="65"/>
      <c r="C12091" s="65"/>
      <c r="D12091" s="62"/>
      <c r="E12091" s="49" t="s">
        <v>27</v>
      </c>
      <c r="F12091" s="54">
        <v>0.05</v>
      </c>
      <c r="G12091" s="51">
        <f>G12087*F12091</f>
        <v>1211331.9000000001</v>
      </c>
    </row>
    <row r="12092" spans="1:7" x14ac:dyDescent="0.25">
      <c r="A12092" s="61"/>
      <c r="B12092" s="62"/>
      <c r="C12092" s="62"/>
      <c r="D12092" s="62"/>
      <c r="E12092" s="62"/>
      <c r="F12092" s="62"/>
      <c r="G12092" s="63"/>
    </row>
    <row r="12093" spans="1:7" x14ac:dyDescent="0.25">
      <c r="A12093" s="219" t="s">
        <v>1517</v>
      </c>
      <c r="B12093" s="219"/>
      <c r="C12093" s="219"/>
      <c r="D12093" s="219"/>
      <c r="E12093" s="219"/>
      <c r="F12093" s="219"/>
      <c r="G12093" s="52">
        <f>G12087+G12089+G12090+G12091</f>
        <v>30283297.499999996</v>
      </c>
    </row>
    <row r="12094" spans="1:7" x14ac:dyDescent="0.25">
      <c r="A12094" s="59"/>
      <c r="B12094" s="60"/>
      <c r="C12094" s="60"/>
      <c r="D12094" s="60"/>
      <c r="E12094" s="57"/>
      <c r="F12094" s="57"/>
      <c r="G12094" s="58"/>
    </row>
    <row r="12095" spans="1:7" x14ac:dyDescent="0.25">
      <c r="A12095" s="64"/>
      <c r="D12095" s="55"/>
      <c r="E12095" s="49" t="s">
        <v>102</v>
      </c>
      <c r="F12095" s="49" t="s">
        <v>103</v>
      </c>
      <c r="G12095" s="51">
        <f>G12091*19%</f>
        <v>230153.06100000002</v>
      </c>
    </row>
    <row r="12096" spans="1:7" x14ac:dyDescent="0.25">
      <c r="A12096" s="61"/>
      <c r="B12096" s="62"/>
      <c r="C12096" s="62"/>
      <c r="D12096" s="62"/>
      <c r="E12096" s="57"/>
      <c r="F12096" s="57"/>
      <c r="G12096" s="58"/>
    </row>
    <row r="12097" spans="1:7" x14ac:dyDescent="0.25">
      <c r="A12097" s="219" t="s">
        <v>104</v>
      </c>
      <c r="B12097" s="219"/>
      <c r="C12097" s="219"/>
      <c r="D12097" s="219"/>
      <c r="E12097" s="219"/>
      <c r="F12097" s="219"/>
      <c r="G12097" s="52">
        <f>G12095+G12093</f>
        <v>30513450.560999997</v>
      </c>
    </row>
    <row r="12099" spans="1:7" x14ac:dyDescent="0.25">
      <c r="A12099" s="140" t="s">
        <v>29</v>
      </c>
      <c r="B12099" s="240" t="s">
        <v>30</v>
      </c>
      <c r="C12099" s="240"/>
      <c r="D12099" s="140" t="s">
        <v>31</v>
      </c>
      <c r="E12099" s="140" t="s">
        <v>32</v>
      </c>
      <c r="F12099" s="140" t="s">
        <v>189</v>
      </c>
      <c r="G12099" s="140" t="s">
        <v>33</v>
      </c>
    </row>
    <row r="12100" spans="1:7" ht="49.5" customHeight="1" x14ac:dyDescent="0.25">
      <c r="A12100" s="50" t="str">
        <f>Presupuesto!B220</f>
        <v>029_N3</v>
      </c>
      <c r="B12100" s="220" t="str">
        <f>Presupuesto!C220</f>
        <v>SUMINISTRO E INSTALACIÓN DE TRANSFORMADOR DE CORRIENTE. USO EXTERIOR. TRIPLE NÚCLEO: ( N1:150-300/5 CL: 0,5S, N2:150-300/5 CL: 0,5S, N3:150-300/5 CL: 5P20, BURDEN: 25 VA). UM:38KV, ISC:12.5KA. INCLUYE PROTOCOLOS DE PRUEBA DE PRECISIÓN DE FABRICANTE Y LABORATORIO ACREDITADO.</v>
      </c>
      <c r="C12100" s="220"/>
      <c r="D12100" s="50" t="s">
        <v>18</v>
      </c>
      <c r="E12100" s="50">
        <v>3</v>
      </c>
      <c r="F12100" s="50"/>
      <c r="G12100" s="51">
        <f>G12164</f>
        <v>30513450.560999997</v>
      </c>
    </row>
    <row r="12101" spans="1:7" x14ac:dyDescent="0.25">
      <c r="A12101" s="219" t="s">
        <v>34</v>
      </c>
      <c r="B12101" s="219"/>
      <c r="C12101" s="219"/>
      <c r="D12101" s="219"/>
      <c r="E12101" s="219"/>
      <c r="F12101" s="219"/>
      <c r="G12101" s="219"/>
    </row>
    <row r="12102" spans="1:7" x14ac:dyDescent="0.25">
      <c r="A12102" s="49" t="s">
        <v>35</v>
      </c>
      <c r="B12102" s="219" t="s">
        <v>36</v>
      </c>
      <c r="C12102" s="219"/>
      <c r="D12102" s="49" t="s">
        <v>37</v>
      </c>
      <c r="E12102" s="49" t="s">
        <v>38</v>
      </c>
      <c r="F12102" s="49" t="s">
        <v>39</v>
      </c>
      <c r="G12102" s="49" t="s">
        <v>40</v>
      </c>
    </row>
    <row r="12103" spans="1:7" ht="67.5" customHeight="1" x14ac:dyDescent="0.25">
      <c r="A12103" s="17" t="str">
        <f>Material!A29</f>
        <v>MA-28</v>
      </c>
      <c r="B12103" s="221" t="str">
        <f>IFERROR(VLOOKUP(A12103,Material!$A:$J,2,0),"-")</f>
        <v>TRANSFORMADOR DE CORRIENTE. USO EXTERIOR. TRIPLE NÚCLEO: ( N1:150-300/5 CL: 0,5S, N2:150-300/5 CL: 0,5S, N3:150-300/5 CL: 5P20). UM:38KV, ISC:12.5KA MIN, RELACIÓN DE TRANSFORMACIÓN AJUSTADA SEGÚN DISEÑO. INCLUYE PROTOCOLOS DE PRUEBA DE PRECISIÓN DE FABRICANTE Y LABORATORIO ACREDITADO.</v>
      </c>
      <c r="C12103" s="222"/>
      <c r="D12103" s="50" t="str">
        <f>IFERROR(VLOOKUP(A12103,Material!$A:$J,4,0),"-")</f>
        <v>UN</v>
      </c>
      <c r="E12103" s="50">
        <v>1</v>
      </c>
      <c r="F12103" s="51">
        <f>IFERROR(VLOOKUP(A12103,Material!$A:$J,3,0),"-")</f>
        <v>23776200</v>
      </c>
      <c r="G12103" s="51">
        <f t="shared" ref="G12103:G12104" si="170">IFERROR(ROUNDUP(F12103*E12103,0),"-")</f>
        <v>23776200</v>
      </c>
    </row>
    <row r="12104" spans="1:7" x14ac:dyDescent="0.25">
      <c r="A12104" s="17"/>
      <c r="B12104" s="72" t="str">
        <f>IFERROR(VLOOKUP(A12104,Material!$A:$J,2,0),"-")</f>
        <v>-</v>
      </c>
      <c r="C12104" s="73"/>
      <c r="D12104" s="50" t="str">
        <f>IFERROR(VLOOKUP(A12104,Material!$A:$J,4,0),"-")</f>
        <v>-</v>
      </c>
      <c r="E12104" s="50"/>
      <c r="F12104" s="51" t="str">
        <f>IFERROR(VLOOKUP(A12104,Material!$A:$J,3,0),"-")</f>
        <v>-</v>
      </c>
      <c r="G12104" s="51" t="str">
        <f t="shared" si="170"/>
        <v>-</v>
      </c>
    </row>
    <row r="12105" spans="1:7" x14ac:dyDescent="0.25">
      <c r="A12105" s="219" t="s">
        <v>41</v>
      </c>
      <c r="B12105" s="219"/>
      <c r="C12105" s="219"/>
      <c r="D12105" s="219"/>
      <c r="E12105" s="219"/>
      <c r="F12105" s="219"/>
      <c r="G12105" s="52">
        <f>SUM(G12103:G12104)</f>
        <v>23776200</v>
      </c>
    </row>
    <row r="12106" spans="1:7" x14ac:dyDescent="0.25">
      <c r="A12106" s="56"/>
      <c r="B12106" s="57"/>
      <c r="C12106" s="57"/>
      <c r="D12106" s="57"/>
      <c r="E12106" s="57"/>
      <c r="F12106" s="57"/>
      <c r="G12106" s="58"/>
    </row>
    <row r="12107" spans="1:7" x14ac:dyDescent="0.25">
      <c r="A12107" s="219" t="s">
        <v>42</v>
      </c>
      <c r="B12107" s="219"/>
      <c r="C12107" s="219"/>
      <c r="D12107" s="219"/>
      <c r="E12107" s="219"/>
      <c r="F12107" s="219"/>
      <c r="G12107" s="219"/>
    </row>
    <row r="12108" spans="1:7" x14ac:dyDescent="0.25">
      <c r="A12108" s="49" t="s">
        <v>35</v>
      </c>
      <c r="B12108" s="49" t="s">
        <v>36</v>
      </c>
      <c r="C12108" s="49" t="s">
        <v>38</v>
      </c>
      <c r="D12108" s="49" t="s">
        <v>43</v>
      </c>
      <c r="E12108" s="49" t="s">
        <v>44</v>
      </c>
      <c r="F12108" s="49" t="s">
        <v>45</v>
      </c>
      <c r="G12108" s="49" t="s">
        <v>40</v>
      </c>
    </row>
    <row r="12109" spans="1:7" x14ac:dyDescent="0.25">
      <c r="A12109" s="50" t="s">
        <v>319</v>
      </c>
      <c r="B12109" s="68" t="str">
        <f>VLOOKUP(A12109,'[1]Componentes APUs'!$H$1:$L$25,2,0)</f>
        <v>Ingeniero Residente de Obra</v>
      </c>
      <c r="C12109" s="93">
        <v>0.25</v>
      </c>
      <c r="D12109" s="50">
        <f>VLOOKUP(A12109,'[1]Componentes APUs'!$H$1:$L$25,3,0)</f>
        <v>4</v>
      </c>
      <c r="E12109" s="51">
        <f>VLOOKUP(A12109,'[1]Componentes APUs'!$H$1:$L$25,4,0)</f>
        <v>271142.85714285716</v>
      </c>
      <c r="F12109" s="51">
        <f>VLOOKUP(A12109,'[1]Componentes APUs'!$H$1:$L$25,5,0)</f>
        <v>162685.71428571429</v>
      </c>
      <c r="G12109" s="51">
        <f>ROUNDUP((E12109+F12109)*C12109/E12100,0)</f>
        <v>36153</v>
      </c>
    </row>
    <row r="12110" spans="1:7" x14ac:dyDescent="0.25">
      <c r="A12110" s="50" t="s">
        <v>320</v>
      </c>
      <c r="B12110" s="68" t="str">
        <f>VLOOKUP(A12110,'[1]Componentes APUs'!$H$1:$L$25,2,0)</f>
        <v>Tecnico Supervisor</v>
      </c>
      <c r="C12110" s="93">
        <v>0.25</v>
      </c>
      <c r="D12110" s="50">
        <f>VLOOKUP(A12110,'[1]Componentes APUs'!$H$1:$L$25,3,0)</f>
        <v>2.2999999999999998</v>
      </c>
      <c r="E12110" s="51">
        <f>VLOOKUP(A12110,'[1]Componentes APUs'!$H$1:$L$25,4,0)</f>
        <v>155907.14285714284</v>
      </c>
      <c r="F12110" s="51">
        <f>VLOOKUP(A12110,'[1]Componentes APUs'!$H$1:$L$25,5,0)</f>
        <v>93544.285714285696</v>
      </c>
      <c r="G12110" s="51">
        <f>ROUNDUP((E12110+F12110)*C12110/E12100,0)</f>
        <v>20788</v>
      </c>
    </row>
    <row r="12111" spans="1:7" x14ac:dyDescent="0.25">
      <c r="A12111" s="50" t="s">
        <v>46</v>
      </c>
      <c r="B12111" s="68" t="str">
        <f>VLOOKUP(A12111,'[1]Componentes APUs'!$H$1:$L$25,2,0)</f>
        <v>Tecnico Liniero</v>
      </c>
      <c r="C12111" s="93">
        <v>2</v>
      </c>
      <c r="D12111" s="50">
        <f>VLOOKUP(A12111,'[1]Componentes APUs'!$H$1:$L$25,3,0)</f>
        <v>2</v>
      </c>
      <c r="E12111" s="51">
        <f>VLOOKUP(A12111,'[1]Componentes APUs'!$H$1:$L$25,4,0)</f>
        <v>154619.04761904763</v>
      </c>
      <c r="F12111" s="51">
        <f>VLOOKUP(A12111,'[1]Componentes APUs'!$H$1:$L$25,5,0)</f>
        <v>92771.42857142858</v>
      </c>
      <c r="G12111" s="51">
        <f>ROUNDUP((E12111+F12111)*C12111/E12100,0)</f>
        <v>164927</v>
      </c>
    </row>
    <row r="12112" spans="1:7" x14ac:dyDescent="0.25">
      <c r="A12112" s="50" t="s">
        <v>48</v>
      </c>
      <c r="B12112" s="68" t="str">
        <f>VLOOKUP(A12112,'[1]Componentes APUs'!$H$1:$L$25,2,0)</f>
        <v>Ayudante Calificado</v>
      </c>
      <c r="C12112" s="93">
        <v>1</v>
      </c>
      <c r="D12112" s="50">
        <f>VLOOKUP(A12112,'[1]Componentes APUs'!$H$1:$L$25,3,0)</f>
        <v>1.5</v>
      </c>
      <c r="E12112" s="51">
        <f>VLOOKUP(A12112,'[1]Componentes APUs'!$H$1:$L$25,4,0)</f>
        <v>115964.28571428571</v>
      </c>
      <c r="F12112" s="51">
        <f>VLOOKUP(A12112,'[1]Componentes APUs'!$H$1:$L$25,5,0)</f>
        <v>69578.57142857142</v>
      </c>
      <c r="G12112" s="51">
        <f>ROUNDUP((E12112+F12112)*C12112/E12100,0)</f>
        <v>61848</v>
      </c>
    </row>
    <row r="12113" spans="1:7" x14ac:dyDescent="0.25">
      <c r="A12113" s="50" t="s">
        <v>50</v>
      </c>
      <c r="B12113" s="68" t="str">
        <f>VLOOKUP(A12113,'[1]Componentes APUs'!$H$1:$L$25,2,0)</f>
        <v>Profesional en SST</v>
      </c>
      <c r="C12113" s="93">
        <v>0.25</v>
      </c>
      <c r="D12113" s="50">
        <f>VLOOKUP(A12113,'[1]Componentes APUs'!$H$1:$L$25,3,0)</f>
        <v>2.5</v>
      </c>
      <c r="E12113" s="51">
        <f>VLOOKUP(A12113,'[1]Componentes APUs'!$H$1:$L$25,4,0)</f>
        <v>169464.28571428571</v>
      </c>
      <c r="F12113" s="51">
        <f>VLOOKUP(A12113,'[1]Componentes APUs'!$H$1:$L$25,5,0)</f>
        <v>101678.57142857142</v>
      </c>
      <c r="G12113" s="51">
        <f>ROUNDUP((E12113+F12113)*C12113/E12100,0)</f>
        <v>22596</v>
      </c>
    </row>
    <row r="12114" spans="1:7" x14ac:dyDescent="0.25">
      <c r="A12114" s="50" t="s">
        <v>52</v>
      </c>
      <c r="B12114" s="68" t="str">
        <f>VLOOKUP(A12114,'[1]Componentes APUs'!$H$1:$L$25,2,0)</f>
        <v>Ayudante No Calificado</v>
      </c>
      <c r="C12114" s="93">
        <v>1</v>
      </c>
      <c r="D12114" s="50">
        <f>VLOOKUP(A12114,'[1]Componentes APUs'!$H$1:$L$25,3,0)</f>
        <v>1</v>
      </c>
      <c r="E12114" s="51">
        <f>VLOOKUP(A12114,'[1]Componentes APUs'!$H$1:$L$25,4,0)</f>
        <v>77309.523809523816</v>
      </c>
      <c r="F12114" s="51">
        <f>VLOOKUP(A12114,'[1]Componentes APUs'!$H$1:$L$25,5,0)</f>
        <v>46385.71428571429</v>
      </c>
      <c r="G12114" s="51">
        <f>ROUNDUP((E12114+F12114)*C12114/E12100,0)</f>
        <v>41232</v>
      </c>
    </row>
    <row r="12115" spans="1:7" x14ac:dyDescent="0.25">
      <c r="A12115" s="219" t="s">
        <v>56</v>
      </c>
      <c r="B12115" s="219"/>
      <c r="C12115" s="219"/>
      <c r="D12115" s="219"/>
      <c r="E12115" s="219"/>
      <c r="F12115" s="219"/>
      <c r="G12115" s="52">
        <f>SUM(G12109:G12114)</f>
        <v>347544</v>
      </c>
    </row>
    <row r="12116" spans="1:7" x14ac:dyDescent="0.25">
      <c r="A12116" s="56"/>
      <c r="B12116" s="57"/>
      <c r="C12116" s="57"/>
      <c r="D12116" s="57"/>
      <c r="E12116" s="57"/>
      <c r="F12116" s="57"/>
      <c r="G12116" s="58"/>
    </row>
    <row r="12117" spans="1:7" x14ac:dyDescent="0.25">
      <c r="A12117" s="219" t="s">
        <v>57</v>
      </c>
      <c r="B12117" s="219"/>
      <c r="C12117" s="219"/>
      <c r="D12117" s="219"/>
      <c r="E12117" s="219"/>
      <c r="F12117" s="219"/>
      <c r="G12117" s="219"/>
    </row>
    <row r="12118" spans="1:7" x14ac:dyDescent="0.25">
      <c r="A12118" s="49" t="s">
        <v>35</v>
      </c>
      <c r="B12118" s="219" t="s">
        <v>36</v>
      </c>
      <c r="C12118" s="219"/>
      <c r="D12118" s="49" t="s">
        <v>37</v>
      </c>
      <c r="E12118" s="49" t="s">
        <v>38</v>
      </c>
      <c r="F12118" s="49" t="s">
        <v>39</v>
      </c>
      <c r="G12118" s="49" t="s">
        <v>40</v>
      </c>
    </row>
    <row r="12119" spans="1:7" x14ac:dyDescent="0.25">
      <c r="A12119" s="50" t="s">
        <v>326</v>
      </c>
      <c r="B12119" s="220" t="str">
        <f>VLOOKUP(A12119,'[1]Componentes APUs'!$S$1:$V$10,2,0)</f>
        <v>Juego Llaves</v>
      </c>
      <c r="C12119" s="220"/>
      <c r="D12119" s="50" t="s">
        <v>18</v>
      </c>
      <c r="E12119" s="50">
        <v>2</v>
      </c>
      <c r="F12119" s="51">
        <f>VLOOKUP(A12119,'[1]Componentes APUs'!$S$1:$V$10,4,0)</f>
        <v>9167</v>
      </c>
      <c r="G12119" s="51">
        <f>ROUNDUP(F12119*((E12119/21)/E12100),0)</f>
        <v>292</v>
      </c>
    </row>
    <row r="12120" spans="1:7" x14ac:dyDescent="0.25">
      <c r="A12120" s="50" t="s">
        <v>58</v>
      </c>
      <c r="B12120" s="220" t="str">
        <f>VLOOKUP(A12120,'[1]Componentes APUs'!$S$1:$V$10,2,0)</f>
        <v>Manila de servicio</v>
      </c>
      <c r="C12120" s="220"/>
      <c r="D12120" s="50" t="s">
        <v>18</v>
      </c>
      <c r="E12120" s="50">
        <v>2</v>
      </c>
      <c r="F12120" s="51">
        <f>VLOOKUP(A12120,'[1]Componentes APUs'!$S$1:$V$10,4,0)</f>
        <v>2333</v>
      </c>
      <c r="G12120" s="51">
        <f>ROUNDUP(F12120*((E12120/21)/E12100),0)</f>
        <v>75</v>
      </c>
    </row>
    <row r="12121" spans="1:7" x14ac:dyDescent="0.25">
      <c r="A12121" s="50" t="s">
        <v>327</v>
      </c>
      <c r="B12121" s="220" t="str">
        <f>VLOOKUP(A12121,'[1]Componentes APUs'!$S$1:$V$10,2,0)</f>
        <v>Tula portaherramientas</v>
      </c>
      <c r="C12121" s="220"/>
      <c r="D12121" s="50" t="s">
        <v>18</v>
      </c>
      <c r="E12121" s="50">
        <v>2</v>
      </c>
      <c r="F12121" s="51">
        <f>VLOOKUP(A12121,'[1]Componentes APUs'!$S$1:$V$10,4,0)</f>
        <v>1250</v>
      </c>
      <c r="G12121" s="51">
        <f>ROUNDUP(F12121*((E12121/21)/E12100),0)</f>
        <v>40</v>
      </c>
    </row>
    <row r="12122" spans="1:7" x14ac:dyDescent="0.25">
      <c r="A12122" s="50" t="s">
        <v>60</v>
      </c>
      <c r="B12122" s="220" t="str">
        <f>VLOOKUP(A12122,'[1]Componentes APUs'!$S$1:$V$10,2,0)</f>
        <v>Agarradoras</v>
      </c>
      <c r="C12122" s="220"/>
      <c r="D12122" s="50" t="s">
        <v>18</v>
      </c>
      <c r="E12122" s="50">
        <v>0</v>
      </c>
      <c r="F12122" s="51">
        <f>VLOOKUP(A12122,'[1]Componentes APUs'!$S$1:$V$10,4,0)</f>
        <v>125000</v>
      </c>
      <c r="G12122" s="51">
        <f>ROUNDUP(F12122*((E12122/21)/E12100),0)</f>
        <v>0</v>
      </c>
    </row>
    <row r="12123" spans="1:7" x14ac:dyDescent="0.25">
      <c r="A12123" s="50" t="s">
        <v>62</v>
      </c>
      <c r="B12123" s="220" t="str">
        <f>VLOOKUP(A12123,'[1]Componentes APUs'!$S$1:$V$10,2,0)</f>
        <v>Templadoras</v>
      </c>
      <c r="C12123" s="220"/>
      <c r="D12123" s="50" t="s">
        <v>18</v>
      </c>
      <c r="E12123" s="50">
        <v>0</v>
      </c>
      <c r="F12123" s="51">
        <f>VLOOKUP(A12123,'[1]Componentes APUs'!$S$1:$V$10,4,0)</f>
        <v>250000</v>
      </c>
      <c r="G12123" s="51">
        <f>ROUNDUP(F12123*((E12123/21)/E12100),0)</f>
        <v>0</v>
      </c>
    </row>
    <row r="12124" spans="1:7" x14ac:dyDescent="0.25">
      <c r="A12124" s="50" t="s">
        <v>328</v>
      </c>
      <c r="B12124" s="220" t="str">
        <f>VLOOKUP(A12124,'[1]Componentes APUs'!$S$1:$V$10,2,0)</f>
        <v>Herramienta Menor</v>
      </c>
      <c r="C12124" s="220"/>
      <c r="D12124" s="50" t="s">
        <v>18</v>
      </c>
      <c r="E12124" s="50">
        <v>2</v>
      </c>
      <c r="F12124" s="51">
        <f>VLOOKUP(A12124,'[1]Componentes APUs'!$S$1:$V$10,4,0)</f>
        <v>75758</v>
      </c>
      <c r="G12124" s="51">
        <f>ROUNDUP(F12124*((E12124/21)/E12100),0)</f>
        <v>2406</v>
      </c>
    </row>
    <row r="12125" spans="1:7" x14ac:dyDescent="0.25">
      <c r="A12125" s="50" t="s">
        <v>66</v>
      </c>
      <c r="B12125" s="220" t="str">
        <f>VLOOKUP(A12125,'[1]Componentes APUs'!$S$1:$V$10,2,0)</f>
        <v>Diferencial 2 Toneladas</v>
      </c>
      <c r="C12125" s="220"/>
      <c r="D12125" s="50" t="s">
        <v>18</v>
      </c>
      <c r="E12125" s="50">
        <v>1</v>
      </c>
      <c r="F12125" s="51">
        <f>VLOOKUP(A12125,'[1]Componentes APUs'!$S$1:$V$10,4,0)</f>
        <v>474905</v>
      </c>
      <c r="G12125" s="51">
        <f>ROUNDUP(F12125*((E12125/21)/E12100),0)</f>
        <v>7539</v>
      </c>
    </row>
    <row r="12126" spans="1:7" x14ac:dyDescent="0.25">
      <c r="A12126" s="219" t="s">
        <v>69</v>
      </c>
      <c r="B12126" s="219"/>
      <c r="C12126" s="219"/>
      <c r="D12126" s="219"/>
      <c r="E12126" s="219"/>
      <c r="F12126" s="219"/>
      <c r="G12126" s="52">
        <f>SUM(G12119:G12125)</f>
        <v>10352</v>
      </c>
    </row>
    <row r="12127" spans="1:7" x14ac:dyDescent="0.25">
      <c r="A12127" s="56"/>
      <c r="B12127" s="57"/>
      <c r="C12127" s="57"/>
      <c r="D12127" s="57"/>
      <c r="E12127" s="57"/>
      <c r="F12127" s="57"/>
      <c r="G12127" s="58"/>
    </row>
    <row r="12128" spans="1:7" x14ac:dyDescent="0.25">
      <c r="A12128" s="219" t="s">
        <v>70</v>
      </c>
      <c r="B12128" s="219"/>
      <c r="C12128" s="219"/>
      <c r="D12128" s="219"/>
      <c r="E12128" s="219"/>
      <c r="F12128" s="219"/>
      <c r="G12128" s="219"/>
    </row>
    <row r="12129" spans="1:7" x14ac:dyDescent="0.25">
      <c r="A12129" s="49" t="s">
        <v>35</v>
      </c>
      <c r="B12129" s="219" t="s">
        <v>36</v>
      </c>
      <c r="C12129" s="219"/>
      <c r="D12129" s="49" t="s">
        <v>37</v>
      </c>
      <c r="E12129" s="49" t="s">
        <v>38</v>
      </c>
      <c r="F12129" s="49" t="s">
        <v>39</v>
      </c>
      <c r="G12129" s="49" t="s">
        <v>40</v>
      </c>
    </row>
    <row r="12130" spans="1:7" x14ac:dyDescent="0.25">
      <c r="A12130" s="50" t="s">
        <v>71</v>
      </c>
      <c r="B12130" s="71" t="str">
        <f>VLOOKUP(A12130,'[1]Componentes APUs'!$A$1:$D$14,2,0)</f>
        <v>Camisa indigo sin partes metalicas</v>
      </c>
      <c r="C12130" s="71"/>
      <c r="D12130" s="50" t="str">
        <f>VLOOKUP(A12130,'[1]Componentes APUs'!$A$1:$D$14,3,0)</f>
        <v>U</v>
      </c>
      <c r="E12130" s="50">
        <f>SUM(C12109:C12114)</f>
        <v>4.75</v>
      </c>
      <c r="F12130" s="51">
        <f>VLOOKUP(A12130,'[1]Componentes APUs'!$A$1:$D$14,4,0)</f>
        <v>8585.8585858585866</v>
      </c>
      <c r="G12130" s="51">
        <f>ROUNDUP(F12130*(E12130/21)/E12100,0)</f>
        <v>648</v>
      </c>
    </row>
    <row r="12131" spans="1:7" x14ac:dyDescent="0.25">
      <c r="A12131" s="69" t="s">
        <v>73</v>
      </c>
      <c r="B12131" s="72" t="str">
        <f>VLOOKUP(A12131,'[1]Componentes APUs'!$A$1:$D$14,2,0)</f>
        <v>Bota de seguridad dielectrica</v>
      </c>
      <c r="C12131" s="73"/>
      <c r="D12131" s="70" t="str">
        <f>VLOOKUP(A12131,'[1]Componentes APUs'!$A$1:$D$14,3,0)</f>
        <v>Par</v>
      </c>
      <c r="E12131" s="50">
        <f>SUM(C12109:C12114)</f>
        <v>4.75</v>
      </c>
      <c r="F12131" s="51">
        <f>VLOOKUP(A12131,'[1]Componentes APUs'!$A$1:$D$14,4,0)</f>
        <v>7500</v>
      </c>
      <c r="G12131" s="51">
        <f>ROUNDUP(F12131*(E12131/21)/E12100,0)</f>
        <v>566</v>
      </c>
    </row>
    <row r="12132" spans="1:7" x14ac:dyDescent="0.25">
      <c r="A12132" s="50" t="s">
        <v>76</v>
      </c>
      <c r="B12132" s="72" t="str">
        <f>VLOOKUP(A12132,'[1]Componentes APUs'!$A$1:$D$14,2,0)</f>
        <v>Casco dielectrico Tipo 1 Clase E con barbuquejo</v>
      </c>
      <c r="C12132" s="73"/>
      <c r="D12132" s="50" t="str">
        <f>VLOOKUP(A12132,'[1]Componentes APUs'!$A$1:$D$14,3,0)</f>
        <v>U</v>
      </c>
      <c r="E12132" s="50">
        <f>C12109+C12110+C12113+C12114+C12112+IF(A12111&lt;&gt;"MO-3",C12111,0)</f>
        <v>2.75</v>
      </c>
      <c r="F12132" s="51">
        <f>VLOOKUP(A12132,'[1]Componentes APUs'!$A$1:$D$14,4,0)</f>
        <v>10101.010101010101</v>
      </c>
      <c r="G12132" s="51">
        <f>ROUNDUP(F12132*(E12132/21)/E12100,0)</f>
        <v>441</v>
      </c>
    </row>
    <row r="12133" spans="1:7" x14ac:dyDescent="0.25">
      <c r="A12133" s="69" t="s">
        <v>77</v>
      </c>
      <c r="B12133" s="72" t="str">
        <f>VLOOKUP(A12133,'[1]Componentes APUs'!$A$1:$D$14,2,0)</f>
        <v>Correa plastica y antiflama</v>
      </c>
      <c r="C12133" s="73"/>
      <c r="D12133" s="50" t="str">
        <f>VLOOKUP(A12133,'[1]Componentes APUs'!$A$1:$D$14,3,0)</f>
        <v>U</v>
      </c>
      <c r="E12133" s="50">
        <f>SUM(C12109:C12114)</f>
        <v>4.75</v>
      </c>
      <c r="F12133" s="51">
        <f>VLOOKUP(A12133,'[1]Componentes APUs'!$A$1:$D$14,4,0)</f>
        <v>3787.878787878788</v>
      </c>
      <c r="G12133" s="51">
        <f>ROUNDUP(F12133*(E12133/21)/E12100,0)</f>
        <v>286</v>
      </c>
    </row>
    <row r="12134" spans="1:7" x14ac:dyDescent="0.25">
      <c r="A12134" s="50" t="s">
        <v>79</v>
      </c>
      <c r="B12134" s="72" t="str">
        <f>VLOOKUP(A12134,'[1]Componentes APUs'!$A$1:$D$14,2,0)</f>
        <v>Gafas protectoras filtro UV</v>
      </c>
      <c r="C12134" s="73"/>
      <c r="D12134" s="50" t="str">
        <f>VLOOKUP(A12134,'[1]Componentes APUs'!$A$1:$D$14,3,0)</f>
        <v>U</v>
      </c>
      <c r="E12134" s="50">
        <f>SUM(C12109:C12114)</f>
        <v>4.75</v>
      </c>
      <c r="F12134" s="51">
        <f>VLOOKUP(A12134,'[1]Componentes APUs'!$A$1:$D$14,4,0)</f>
        <v>2777.7777777777778</v>
      </c>
      <c r="G12134" s="51">
        <f>ROUNDUP(F12134*(E12134/21)/E12100,0)</f>
        <v>210</v>
      </c>
    </row>
    <row r="12135" spans="1:7" x14ac:dyDescent="0.25">
      <c r="A12135" s="69" t="s">
        <v>402</v>
      </c>
      <c r="B12135" s="72" t="str">
        <f>VLOOKUP(A12135,'[1]Componentes APUs'!$A$1:$D$14,2,0)</f>
        <v>Bota de seguridad PVC dielectrica</v>
      </c>
      <c r="C12135" s="73"/>
      <c r="D12135" s="50" t="str">
        <f>VLOOKUP(A12135,'[1]Componentes APUs'!$A$1:$D$14,3,0)</f>
        <v>Par</v>
      </c>
      <c r="E12135" s="50">
        <f>SUM(C12109:C12114)</f>
        <v>4.75</v>
      </c>
      <c r="F12135" s="51">
        <f>VLOOKUP(A12135,'[1]Componentes APUs'!$A$1:$D$14,4,0)</f>
        <v>2916.6666666666665</v>
      </c>
      <c r="G12135" s="51">
        <f>ROUNDUP(F12135*(E12135/21)/E12100,0)</f>
        <v>220</v>
      </c>
    </row>
    <row r="12136" spans="1:7" x14ac:dyDescent="0.25">
      <c r="A12136" s="50" t="s">
        <v>403</v>
      </c>
      <c r="B12136" s="72" t="str">
        <f>VLOOKUP(A12136,'[1]Componentes APUs'!$A$1:$D$14,2,0)</f>
        <v>Capuchon</v>
      </c>
      <c r="C12136" s="73"/>
      <c r="D12136" s="50" t="str">
        <f>VLOOKUP(A12136,'[1]Componentes APUs'!$A$1:$D$14,3,0)</f>
        <v>U</v>
      </c>
      <c r="E12136" s="50">
        <f>SUM(C12109:C12114)</f>
        <v>4.75</v>
      </c>
      <c r="F12136" s="51">
        <f>VLOOKUP(A12136,'[1]Componentes APUs'!$A$1:$D$14,4,0)</f>
        <v>2525.2525252525252</v>
      </c>
      <c r="G12136" s="51">
        <f>ROUNDUP(F12136*(E12136/21)/E12100,0)</f>
        <v>191</v>
      </c>
    </row>
    <row r="12137" spans="1:7" x14ac:dyDescent="0.25">
      <c r="A12137" s="69" t="s">
        <v>81</v>
      </c>
      <c r="B12137" s="72" t="str">
        <f>VLOOKUP(A12137,'[1]Componentes APUs'!$A$1:$D$14,2,0)</f>
        <v>Guantes Protectores  - ingeniero reforzados</v>
      </c>
      <c r="C12137" s="73"/>
      <c r="D12137" s="50" t="str">
        <f>VLOOKUP(A12137,'[1]Componentes APUs'!$A$1:$D$14,3,0)</f>
        <v>Par</v>
      </c>
      <c r="E12137" s="50">
        <f>C12111+C12112+C12114</f>
        <v>4</v>
      </c>
      <c r="F12137" s="51">
        <f>VLOOKUP(A12137,'[1]Componentes APUs'!$A$1:$D$14,4,0)</f>
        <v>2525.2525252525252</v>
      </c>
      <c r="G12137" s="51">
        <f>ROUNDUP(F12137*(E12137/21)/E12100,0)</f>
        <v>161</v>
      </c>
    </row>
    <row r="12138" spans="1:7" x14ac:dyDescent="0.25">
      <c r="A12138" s="50" t="s">
        <v>83</v>
      </c>
      <c r="B12138" s="72" t="str">
        <f>VLOOKUP(A12138,'[1]Componentes APUs'!$A$1:$D$14,2,0)</f>
        <v>Impermeable (pantalon camisa)</v>
      </c>
      <c r="C12138" s="73"/>
      <c r="D12138" s="50" t="str">
        <f>VLOOKUP(A12138,'[1]Componentes APUs'!$A$1:$D$14,3,0)</f>
        <v>U</v>
      </c>
      <c r="E12138" s="50">
        <f>SUM(C12109:C12114)</f>
        <v>4.75</v>
      </c>
      <c r="F12138" s="51">
        <f>VLOOKUP(A12138,'[1]Componentes APUs'!$A$1:$D$14,4,0)</f>
        <v>3750</v>
      </c>
      <c r="G12138" s="51">
        <f>ROUNDUP(F12138*(E12138/21)/E12100,0)</f>
        <v>283</v>
      </c>
    </row>
    <row r="12139" spans="1:7" x14ac:dyDescent="0.25">
      <c r="A12139" s="69" t="s">
        <v>85</v>
      </c>
      <c r="B12139" s="72" t="str">
        <f>VLOOKUP(A12139,'[1]Componentes APUs'!$A$1:$D$14,2,0)</f>
        <v>Jean Dielectrico</v>
      </c>
      <c r="C12139" s="73"/>
      <c r="D12139" s="50" t="str">
        <f>VLOOKUP(A12139,'[1]Componentes APUs'!$A$1:$D$14,3,0)</f>
        <v>U</v>
      </c>
      <c r="E12139" s="50">
        <f>SUM(C12109:C12114)</f>
        <v>4.75</v>
      </c>
      <c r="F12139" s="51">
        <f>VLOOKUP(A12139,'[1]Componentes APUs'!$A$1:$D$14,4,0)</f>
        <v>7575.757575757576</v>
      </c>
      <c r="G12139" s="51">
        <f>ROUNDUP(F12139*(E12139/21)/E12100,0)</f>
        <v>572</v>
      </c>
    </row>
    <row r="12140" spans="1:7" x14ac:dyDescent="0.25">
      <c r="A12140" s="50" t="s">
        <v>87</v>
      </c>
      <c r="B12140" s="72" t="str">
        <f>VLOOKUP(A12140,'[1]Componentes APUs'!$A$1:$D$14,2,0)</f>
        <v>Casco dielectrico Tipo 2 Clase E con barboquejo</v>
      </c>
      <c r="C12140" s="73"/>
      <c r="D12140" s="50" t="str">
        <f>VLOOKUP(A12140,'[1]Componentes APUs'!$A$1:$D$14,3,0)</f>
        <v>U</v>
      </c>
      <c r="E12140" s="53">
        <f>IF(A12111="MO-3",C12111,0)</f>
        <v>2</v>
      </c>
      <c r="F12140" s="51">
        <f>VLOOKUP(A12140,'[1]Componentes APUs'!$A$1:$D$14,4,0)</f>
        <v>7500</v>
      </c>
      <c r="G12140" s="51">
        <f>ROUNDUP(F12140*(E12140/21)/E12100,0)</f>
        <v>239</v>
      </c>
    </row>
    <row r="12141" spans="1:7" x14ac:dyDescent="0.25">
      <c r="A12141" s="69" t="s">
        <v>89</v>
      </c>
      <c r="B12141" s="72" t="str">
        <f>VLOOKUP(A12141,'[1]Componentes APUs'!$A$1:$D$14,2,0)</f>
        <v>Kit de rescate para trabajo en alturas</v>
      </c>
      <c r="C12141" s="73"/>
      <c r="D12141" s="50" t="str">
        <f>VLOOKUP(A12141,'[1]Componentes APUs'!$A$1:$D$14,3,0)</f>
        <v>U</v>
      </c>
      <c r="E12141" s="50">
        <f>IF(AND(A12111="MO-3",C12111=2),1,0)</f>
        <v>1</v>
      </c>
      <c r="F12141" s="51">
        <f>VLOOKUP(A12141,'[1]Componentes APUs'!$A$1:$D$14,4,0)</f>
        <v>37500</v>
      </c>
      <c r="G12141" s="51">
        <f>ROUNDUP(F12141*(E12141/21)/E12100,0)</f>
        <v>596</v>
      </c>
    </row>
    <row r="12142" spans="1:7" x14ac:dyDescent="0.25">
      <c r="A12142" s="50" t="s">
        <v>91</v>
      </c>
      <c r="B12142" s="72" t="str">
        <f>VLOOKUP(A12142,'[1]Componentes APUs'!$A$1:$D$14,2,0)</f>
        <v>Equipo completo para trabajo en alturas con pretales (Arnes dielectrico, 1 mosqueton de seguridad, tie off dielectrico, eslinga de posicionamiento, juego de pretales)</v>
      </c>
      <c r="C12142" s="73"/>
      <c r="D12142" s="50" t="str">
        <f>VLOOKUP(A12142,'[1]Componentes APUs'!$A$1:$D$14,3,0)</f>
        <v>U</v>
      </c>
      <c r="E12142" s="50">
        <f>IF(A12111="MO-3",C12111,0)</f>
        <v>2</v>
      </c>
      <c r="F12142" s="51">
        <f>VLOOKUP(A12142,'[1]Componentes APUs'!$A$1:$D$14,4,0)</f>
        <v>26041.666666666668</v>
      </c>
      <c r="G12142" s="51">
        <f>ROUNDUP(F12142*(E12142/21)/E12100,0)</f>
        <v>827</v>
      </c>
    </row>
    <row r="12143" spans="1:7" x14ac:dyDescent="0.25">
      <c r="A12143" s="219" t="s">
        <v>95</v>
      </c>
      <c r="B12143" s="219"/>
      <c r="C12143" s="219"/>
      <c r="D12143" s="219"/>
      <c r="E12143" s="219"/>
      <c r="F12143" s="219"/>
      <c r="G12143" s="52">
        <f>SUM(G12130:G12142)</f>
        <v>5240</v>
      </c>
    </row>
    <row r="12144" spans="1:7" x14ac:dyDescent="0.25">
      <c r="A12144" s="56"/>
      <c r="B12144" s="57"/>
      <c r="C12144" s="57"/>
      <c r="D12144" s="57"/>
      <c r="E12144" s="57"/>
      <c r="F12144" s="57"/>
      <c r="G12144" s="58"/>
    </row>
    <row r="12145" spans="1:7" x14ac:dyDescent="0.25">
      <c r="A12145" s="219" t="s">
        <v>96</v>
      </c>
      <c r="B12145" s="219"/>
      <c r="C12145" s="219"/>
      <c r="D12145" s="219"/>
      <c r="E12145" s="219"/>
      <c r="F12145" s="219"/>
      <c r="G12145" s="219"/>
    </row>
    <row r="12146" spans="1:7" x14ac:dyDescent="0.25">
      <c r="A12146" s="49" t="s">
        <v>35</v>
      </c>
      <c r="B12146" s="225" t="s">
        <v>36</v>
      </c>
      <c r="C12146" s="225"/>
      <c r="D12146" s="49" t="s">
        <v>37</v>
      </c>
      <c r="E12146" s="49" t="s">
        <v>38</v>
      </c>
      <c r="F12146" s="49" t="s">
        <v>39</v>
      </c>
      <c r="G12146" s="49" t="s">
        <v>40</v>
      </c>
    </row>
    <row r="12147" spans="1:7" x14ac:dyDescent="0.25">
      <c r="A12147" s="69" t="s">
        <v>97</v>
      </c>
      <c r="B12147" s="72" t="str">
        <f>VLOOKUP(A12147,'[1]Componentes APUs'!$N$1:$Q$30,2,0)</f>
        <v>Camioneta</v>
      </c>
      <c r="C12147" s="73"/>
      <c r="D12147" s="70" t="str">
        <f>VLOOKUP(A12147,'[1]Componentes APUs'!$N$1:$Q$30,3,0)</f>
        <v>U</v>
      </c>
      <c r="E12147" s="50">
        <v>1</v>
      </c>
      <c r="F12147" s="51">
        <f>VLOOKUP(A12147,'[1]Componentes APUs'!$N$1:$Q$30,4,0)</f>
        <v>5500000</v>
      </c>
      <c r="G12147" s="51">
        <f>IFERROR(ROUNDUP(F12147*(E12147/21)/E12100,0),"-")</f>
        <v>87302</v>
      </c>
    </row>
    <row r="12148" spans="1:7" x14ac:dyDescent="0.25">
      <c r="A12148" s="50" t="s">
        <v>321</v>
      </c>
      <c r="B12148" s="72" t="str">
        <f>VLOOKUP(A12148,'[1]Componentes APUs'!$N$1:$Q$30,2,0)</f>
        <v>Grúa Hidráulica</v>
      </c>
      <c r="C12148" s="73"/>
      <c r="D12148" s="70" t="str">
        <f>VLOOKUP(A12148,'[1]Componentes APUs'!$N$1:$Q$30,3,0)</f>
        <v>U</v>
      </c>
      <c r="E12148" s="50">
        <v>0</v>
      </c>
      <c r="F12148" s="51">
        <f>VLOOKUP(A12148,'[1]Componentes APUs'!$N$1:$Q$30,4,0)</f>
        <v>21000000</v>
      </c>
      <c r="G12148" s="51">
        <f>IFERROR(ROUNDUP(F12148*(E12148/21)/E12100,0),"-")</f>
        <v>0</v>
      </c>
    </row>
    <row r="12149" spans="1:7" x14ac:dyDescent="0.25">
      <c r="A12149" s="69" t="s">
        <v>322</v>
      </c>
      <c r="B12149" s="72" t="str">
        <f>VLOOKUP(A12149,'[1]Componentes APUs'!$N$1:$Q$30,2,0)</f>
        <v>Camabaja</v>
      </c>
      <c r="C12149" s="73"/>
      <c r="D12149" s="70" t="str">
        <f>VLOOKUP(A12149,'[1]Componentes APUs'!$N$1:$Q$30,3,0)</f>
        <v>TON/KM</v>
      </c>
      <c r="E12149" s="50">
        <v>0</v>
      </c>
      <c r="F12149" s="51">
        <f>VLOOKUP(A12149,'[1]Componentes APUs'!$N$1:$Q$30,4,0)</f>
        <v>611</v>
      </c>
      <c r="G12149" s="51">
        <f>IFERROR(ROUNDUP(F12149*(E12149/21)/E12100,0),"-")</f>
        <v>0</v>
      </c>
    </row>
    <row r="12150" spans="1:7" x14ac:dyDescent="0.25">
      <c r="A12150" s="50" t="s">
        <v>323</v>
      </c>
      <c r="B12150" s="72" t="str">
        <f>VLOOKUP(A12150,'[1]Componentes APUs'!$N$1:$Q$30,2,0)</f>
        <v>Volqueta</v>
      </c>
      <c r="C12150" s="73"/>
      <c r="D12150" s="70" t="str">
        <f>VLOOKUP(A12150,'[1]Componentes APUs'!$N$1:$Q$30,3,0)</f>
        <v>U</v>
      </c>
      <c r="E12150" s="50">
        <v>0</v>
      </c>
      <c r="F12150" s="51">
        <f>VLOOKUP(A12150,'[1]Componentes APUs'!$N$1:$Q$30,4,0)</f>
        <v>18900000</v>
      </c>
      <c r="G12150" s="51">
        <f>IFERROR(ROUNDUP(F12150*(E12150/21)/E12100,0),"-")</f>
        <v>0</v>
      </c>
    </row>
    <row r="12151" spans="1:7" x14ac:dyDescent="0.25">
      <c r="A12151" s="69" t="s">
        <v>324</v>
      </c>
      <c r="B12151" s="72" t="str">
        <f>VLOOKUP(A12151,'[1]Componentes APUs'!$N$1:$Q$30,2,0)</f>
        <v>Retroexcavadora</v>
      </c>
      <c r="C12151" s="73"/>
      <c r="D12151" s="70" t="str">
        <f>VLOOKUP(A12151,'[1]Componentes APUs'!$N$1:$Q$30,3,0)</f>
        <v>U</v>
      </c>
      <c r="E12151" s="50">
        <v>0</v>
      </c>
      <c r="F12151" s="51">
        <f>VLOOKUP(A12151,'[1]Componentes APUs'!$N$1:$Q$30,4,0)</f>
        <v>1494459.54</v>
      </c>
      <c r="G12151" s="51">
        <f>IFERROR(ROUNDUP(F12151*(E12151/21)/E12100,0),"-")</f>
        <v>0</v>
      </c>
    </row>
    <row r="12152" spans="1:7" x14ac:dyDescent="0.25">
      <c r="A12152" s="219" t="s">
        <v>99</v>
      </c>
      <c r="B12152" s="219"/>
      <c r="C12152" s="219"/>
      <c r="D12152" s="219"/>
      <c r="E12152" s="219"/>
      <c r="F12152" s="219"/>
      <c r="G12152" s="52">
        <f>SUM(G12147:G12151)</f>
        <v>87302</v>
      </c>
    </row>
    <row r="12153" spans="1:7" x14ac:dyDescent="0.25">
      <c r="A12153" s="56"/>
      <c r="B12153" s="57"/>
      <c r="C12153" s="57"/>
      <c r="D12153" s="57"/>
      <c r="E12153" s="57"/>
      <c r="F12153" s="57"/>
      <c r="G12153" s="58"/>
    </row>
    <row r="12154" spans="1:7" x14ac:dyDescent="0.25">
      <c r="A12154" s="219" t="s">
        <v>1516</v>
      </c>
      <c r="B12154" s="219"/>
      <c r="C12154" s="219"/>
      <c r="D12154" s="219"/>
      <c r="E12154" s="219"/>
      <c r="F12154" s="219"/>
      <c r="G12154" s="52">
        <f>G12152+G12143+G12126+G12115+G12105</f>
        <v>24226638</v>
      </c>
    </row>
    <row r="12155" spans="1:7" x14ac:dyDescent="0.25">
      <c r="A12155" s="59"/>
      <c r="B12155" s="60"/>
      <c r="C12155" s="60"/>
      <c r="D12155" s="60"/>
      <c r="E12155" s="57"/>
      <c r="F12155" s="57"/>
      <c r="G12155" s="58"/>
    </row>
    <row r="12156" spans="1:7" x14ac:dyDescent="0.25">
      <c r="A12156" s="64"/>
      <c r="D12156" s="55"/>
      <c r="E12156" s="49" t="s">
        <v>25</v>
      </c>
      <c r="F12156" s="54">
        <v>0.15</v>
      </c>
      <c r="G12156" s="51">
        <f>G12154*F12156</f>
        <v>3633995.6999999997</v>
      </c>
    </row>
    <row r="12157" spans="1:7" x14ac:dyDescent="0.25">
      <c r="A12157" s="64"/>
      <c r="D12157" s="55"/>
      <c r="E12157" s="49" t="s">
        <v>26</v>
      </c>
      <c r="F12157" s="54">
        <v>0.05</v>
      </c>
      <c r="G12157" s="51">
        <f>G12154*F12157</f>
        <v>1211331.9000000001</v>
      </c>
    </row>
    <row r="12158" spans="1:7" x14ac:dyDescent="0.25">
      <c r="A12158" s="61"/>
      <c r="B12158" s="65"/>
      <c r="C12158" s="65"/>
      <c r="D12158" s="62"/>
      <c r="E12158" s="49" t="s">
        <v>27</v>
      </c>
      <c r="F12158" s="54">
        <v>0.05</v>
      </c>
      <c r="G12158" s="51">
        <f>G12154*F12158</f>
        <v>1211331.9000000001</v>
      </c>
    </row>
    <row r="12159" spans="1:7" x14ac:dyDescent="0.25">
      <c r="A12159" s="61"/>
      <c r="B12159" s="62"/>
      <c r="C12159" s="62"/>
      <c r="D12159" s="62"/>
      <c r="E12159" s="62"/>
      <c r="F12159" s="62"/>
      <c r="G12159" s="63"/>
    </row>
    <row r="12160" spans="1:7" x14ac:dyDescent="0.25">
      <c r="A12160" s="219" t="s">
        <v>1517</v>
      </c>
      <c r="B12160" s="219"/>
      <c r="C12160" s="219"/>
      <c r="D12160" s="219"/>
      <c r="E12160" s="219"/>
      <c r="F12160" s="219"/>
      <c r="G12160" s="52">
        <f>G12154+G12156+G12157+G12158</f>
        <v>30283297.499999996</v>
      </c>
    </row>
    <row r="12161" spans="1:7" x14ac:dyDescent="0.25">
      <c r="A12161" s="59"/>
      <c r="B12161" s="60"/>
      <c r="C12161" s="60"/>
      <c r="D12161" s="60"/>
      <c r="E12161" s="57"/>
      <c r="F12161" s="57"/>
      <c r="G12161" s="58"/>
    </row>
    <row r="12162" spans="1:7" x14ac:dyDescent="0.25">
      <c r="A12162" s="64"/>
      <c r="D12162" s="55"/>
      <c r="E12162" s="49" t="s">
        <v>102</v>
      </c>
      <c r="F12162" s="49" t="s">
        <v>103</v>
      </c>
      <c r="G12162" s="51">
        <f>G12158*19%</f>
        <v>230153.06100000002</v>
      </c>
    </row>
    <row r="12163" spans="1:7" x14ac:dyDescent="0.25">
      <c r="A12163" s="61"/>
      <c r="B12163" s="62"/>
      <c r="C12163" s="62"/>
      <c r="D12163" s="62"/>
      <c r="E12163" s="57"/>
      <c r="F12163" s="57"/>
      <c r="G12163" s="58"/>
    </row>
    <row r="12164" spans="1:7" x14ac:dyDescent="0.25">
      <c r="A12164" s="219" t="s">
        <v>104</v>
      </c>
      <c r="B12164" s="219"/>
      <c r="C12164" s="219"/>
      <c r="D12164" s="219"/>
      <c r="E12164" s="219"/>
      <c r="F12164" s="219"/>
      <c r="G12164" s="52">
        <f>G12162+G12160</f>
        <v>30513450.560999997</v>
      </c>
    </row>
    <row r="12166" spans="1:7" x14ac:dyDescent="0.25">
      <c r="A12166" s="74" t="s">
        <v>29</v>
      </c>
      <c r="B12166" s="237" t="s">
        <v>30</v>
      </c>
      <c r="C12166" s="238"/>
      <c r="D12166" s="74" t="s">
        <v>31</v>
      </c>
      <c r="E12166" s="74" t="s">
        <v>32</v>
      </c>
      <c r="F12166" s="74" t="s">
        <v>189</v>
      </c>
      <c r="G12166" s="74" t="s">
        <v>33</v>
      </c>
    </row>
    <row r="12167" spans="1:7" ht="39.75" customHeight="1" x14ac:dyDescent="0.25">
      <c r="A12167" s="50" t="str">
        <f>Presupuesto!B221</f>
        <v>030_N3</v>
      </c>
      <c r="B12167" s="220" t="str">
        <f>Presupuesto!C221</f>
        <v>SUMINISTRO E INSTALACIÓN DE TRANSFORMADOR DE TENSIÓN. USO EXTERIOR. NUCLEO SENCILLO. (N1: 34,5√3/115√3. CL 0.5,  1 VA).</v>
      </c>
      <c r="C12167" s="220"/>
      <c r="D12167" s="50" t="s">
        <v>18</v>
      </c>
      <c r="E12167" s="50">
        <v>3</v>
      </c>
      <c r="F12167" s="50"/>
      <c r="G12167" s="51">
        <f>G12232</f>
        <v>27276031.760999996</v>
      </c>
    </row>
    <row r="12168" spans="1:7" x14ac:dyDescent="0.25">
      <c r="A12168" s="219" t="s">
        <v>34</v>
      </c>
      <c r="B12168" s="219"/>
      <c r="C12168" s="219"/>
      <c r="D12168" s="219"/>
      <c r="E12168" s="219"/>
      <c r="F12168" s="219"/>
      <c r="G12168" s="219"/>
    </row>
    <row r="12169" spans="1:7" x14ac:dyDescent="0.25">
      <c r="A12169" s="49" t="s">
        <v>35</v>
      </c>
      <c r="B12169" s="219" t="s">
        <v>36</v>
      </c>
      <c r="C12169" s="219"/>
      <c r="D12169" s="49" t="s">
        <v>37</v>
      </c>
      <c r="E12169" s="49" t="s">
        <v>38</v>
      </c>
      <c r="F12169" s="49" t="s">
        <v>39</v>
      </c>
      <c r="G12169" s="49" t="s">
        <v>40</v>
      </c>
    </row>
    <row r="12170" spans="1:7" ht="27.75" customHeight="1" x14ac:dyDescent="0.25">
      <c r="A12170" s="17" t="str">
        <f>Material!A30</f>
        <v>MA-29</v>
      </c>
      <c r="B12170" s="221" t="str">
        <f>IFERROR(VLOOKUP(A12170,Material!$A:$J,2,0),"-")</f>
        <v>TRANSFORMADOR DE TENSIÓN. USO EXTERIOR. NUCLEO SENCILLO. (N1: 34,5√3/115√3. CL 0.5,  1 VA).</v>
      </c>
      <c r="C12170" s="222"/>
      <c r="D12170" s="50" t="str">
        <f>IFERROR(VLOOKUP(A12170,Material!$A:$J,4,0),"-")</f>
        <v>UN</v>
      </c>
      <c r="E12170" s="50">
        <v>1</v>
      </c>
      <c r="F12170" s="51">
        <f>IFERROR(VLOOKUP(A12170,Material!$A:$J,3,0),"-")</f>
        <v>21205800</v>
      </c>
      <c r="G12170" s="51">
        <f t="shared" ref="G12170:G12172" si="171">IFERROR(ROUNDUP(F12170*E12170,0),"-")</f>
        <v>21205800</v>
      </c>
    </row>
    <row r="12171" spans="1:7" x14ac:dyDescent="0.25">
      <c r="A12171" s="17"/>
      <c r="B12171" s="72" t="str">
        <f>IFERROR(VLOOKUP(A12171,Material!$A:$J,2,0),"-")</f>
        <v>-</v>
      </c>
      <c r="C12171" s="73"/>
      <c r="D12171" s="50" t="str">
        <f>IFERROR(VLOOKUP(A12171,Material!$A:$J,4,0),"-")</f>
        <v>-</v>
      </c>
      <c r="E12171" s="50"/>
      <c r="F12171" s="51" t="str">
        <f>IFERROR(VLOOKUP(A12171,Material!$A:$J,3,0),"-")</f>
        <v>-</v>
      </c>
      <c r="G12171" s="51" t="str">
        <f t="shared" si="171"/>
        <v>-</v>
      </c>
    </row>
    <row r="12172" spans="1:7" x14ac:dyDescent="0.25">
      <c r="A12172" s="50"/>
      <c r="B12172" s="75" t="str">
        <f>IFERROR(VLOOKUP(A12172,Material!$A:$J,2,0),"-")</f>
        <v>-</v>
      </c>
      <c r="C12172" s="76"/>
      <c r="D12172" s="50" t="str">
        <f>IFERROR(VLOOKUP(A12172,Material!$A:$J,4,0),"-")</f>
        <v>-</v>
      </c>
      <c r="E12172" s="50"/>
      <c r="F12172" s="51" t="str">
        <f>IFERROR(VLOOKUP(A12172,Material!$A:$J,3,0),"-")</f>
        <v>-</v>
      </c>
      <c r="G12172" s="51" t="str">
        <f t="shared" si="171"/>
        <v>-</v>
      </c>
    </row>
    <row r="12173" spans="1:7" x14ac:dyDescent="0.25">
      <c r="A12173" s="219" t="s">
        <v>41</v>
      </c>
      <c r="B12173" s="219"/>
      <c r="C12173" s="219"/>
      <c r="D12173" s="219"/>
      <c r="E12173" s="219"/>
      <c r="F12173" s="219"/>
      <c r="G12173" s="52">
        <f>SUM(G12170:G12172)</f>
        <v>21205800</v>
      </c>
    </row>
    <row r="12174" spans="1:7" x14ac:dyDescent="0.25">
      <c r="A12174" s="56"/>
      <c r="B12174" s="57"/>
      <c r="C12174" s="57"/>
      <c r="D12174" s="57"/>
      <c r="E12174" s="57"/>
      <c r="F12174" s="57"/>
      <c r="G12174" s="58"/>
    </row>
    <row r="12175" spans="1:7" x14ac:dyDescent="0.25">
      <c r="A12175" s="219" t="s">
        <v>42</v>
      </c>
      <c r="B12175" s="219"/>
      <c r="C12175" s="219"/>
      <c r="D12175" s="219"/>
      <c r="E12175" s="219"/>
      <c r="F12175" s="219"/>
      <c r="G12175" s="219"/>
    </row>
    <row r="12176" spans="1:7" x14ac:dyDescent="0.25">
      <c r="A12176" s="49" t="s">
        <v>35</v>
      </c>
      <c r="B12176" s="49" t="s">
        <v>36</v>
      </c>
      <c r="C12176" s="49" t="s">
        <v>38</v>
      </c>
      <c r="D12176" s="49" t="s">
        <v>43</v>
      </c>
      <c r="E12176" s="49" t="s">
        <v>44</v>
      </c>
      <c r="F12176" s="49" t="s">
        <v>45</v>
      </c>
      <c r="G12176" s="49" t="s">
        <v>40</v>
      </c>
    </row>
    <row r="12177" spans="1:7" x14ac:dyDescent="0.25">
      <c r="A12177" s="50" t="s">
        <v>319</v>
      </c>
      <c r="B12177" s="68" t="str">
        <f>VLOOKUP(A12177,'[1]Componentes APUs'!$H$1:$L$25,2,0)</f>
        <v>Ingeniero Residente de Obra</v>
      </c>
      <c r="C12177" s="93">
        <v>0.25</v>
      </c>
      <c r="D12177" s="50">
        <f>VLOOKUP(A12177,'[1]Componentes APUs'!$H$1:$L$25,3,0)</f>
        <v>4</v>
      </c>
      <c r="E12177" s="51">
        <f>VLOOKUP(A12177,'[1]Componentes APUs'!$H$1:$L$25,4,0)</f>
        <v>271142.85714285716</v>
      </c>
      <c r="F12177" s="51">
        <f>VLOOKUP(A12177,'[1]Componentes APUs'!$H$1:$L$25,5,0)</f>
        <v>162685.71428571429</v>
      </c>
      <c r="G12177" s="51">
        <f>ROUNDUP((E12177+F12177)*C12177/E12167,0)</f>
        <v>36153</v>
      </c>
    </row>
    <row r="12178" spans="1:7" x14ac:dyDescent="0.25">
      <c r="A12178" s="50" t="s">
        <v>320</v>
      </c>
      <c r="B12178" s="68" t="str">
        <f>VLOOKUP(A12178,'[1]Componentes APUs'!$H$1:$L$25,2,0)</f>
        <v>Tecnico Supervisor</v>
      </c>
      <c r="C12178" s="93">
        <v>0.25</v>
      </c>
      <c r="D12178" s="50">
        <f>VLOOKUP(A12178,'[1]Componentes APUs'!$H$1:$L$25,3,0)</f>
        <v>2.2999999999999998</v>
      </c>
      <c r="E12178" s="51">
        <f>VLOOKUP(A12178,'[1]Componentes APUs'!$H$1:$L$25,4,0)</f>
        <v>155907.14285714284</v>
      </c>
      <c r="F12178" s="51">
        <f>VLOOKUP(A12178,'[1]Componentes APUs'!$H$1:$L$25,5,0)</f>
        <v>93544.285714285696</v>
      </c>
      <c r="G12178" s="51">
        <f>ROUNDUP((E12178+F12178)*C12178/E12167,0)</f>
        <v>20788</v>
      </c>
    </row>
    <row r="12179" spans="1:7" x14ac:dyDescent="0.25">
      <c r="A12179" s="50" t="s">
        <v>46</v>
      </c>
      <c r="B12179" s="68" t="str">
        <f>VLOOKUP(A12179,'[1]Componentes APUs'!$H$1:$L$25,2,0)</f>
        <v>Tecnico Liniero</v>
      </c>
      <c r="C12179" s="93">
        <v>2</v>
      </c>
      <c r="D12179" s="50">
        <f>VLOOKUP(A12179,'[1]Componentes APUs'!$H$1:$L$25,3,0)</f>
        <v>2</v>
      </c>
      <c r="E12179" s="51">
        <f>VLOOKUP(A12179,'[1]Componentes APUs'!$H$1:$L$25,4,0)</f>
        <v>154619.04761904763</v>
      </c>
      <c r="F12179" s="51">
        <f>VLOOKUP(A12179,'[1]Componentes APUs'!$H$1:$L$25,5,0)</f>
        <v>92771.42857142858</v>
      </c>
      <c r="G12179" s="51">
        <f>ROUNDUP((E12179+F12179)*C12179/E12167,0)</f>
        <v>164927</v>
      </c>
    </row>
    <row r="12180" spans="1:7" x14ac:dyDescent="0.25">
      <c r="A12180" s="50" t="s">
        <v>48</v>
      </c>
      <c r="B12180" s="68" t="str">
        <f>VLOOKUP(A12180,'[1]Componentes APUs'!$H$1:$L$25,2,0)</f>
        <v>Ayudante Calificado</v>
      </c>
      <c r="C12180" s="93">
        <v>1</v>
      </c>
      <c r="D12180" s="50">
        <f>VLOOKUP(A12180,'[1]Componentes APUs'!$H$1:$L$25,3,0)</f>
        <v>1.5</v>
      </c>
      <c r="E12180" s="51">
        <f>VLOOKUP(A12180,'[1]Componentes APUs'!$H$1:$L$25,4,0)</f>
        <v>115964.28571428571</v>
      </c>
      <c r="F12180" s="51">
        <f>VLOOKUP(A12180,'[1]Componentes APUs'!$H$1:$L$25,5,0)</f>
        <v>69578.57142857142</v>
      </c>
      <c r="G12180" s="51">
        <f>ROUNDUP((E12180+F12180)*C12180/E12167,0)</f>
        <v>61848</v>
      </c>
    </row>
    <row r="12181" spans="1:7" x14ac:dyDescent="0.25">
      <c r="A12181" s="50" t="s">
        <v>50</v>
      </c>
      <c r="B12181" s="68" t="str">
        <f>VLOOKUP(A12181,'[1]Componentes APUs'!$H$1:$L$25,2,0)</f>
        <v>Profesional en SST</v>
      </c>
      <c r="C12181" s="93">
        <v>0.25</v>
      </c>
      <c r="D12181" s="50">
        <f>VLOOKUP(A12181,'[1]Componentes APUs'!$H$1:$L$25,3,0)</f>
        <v>2.5</v>
      </c>
      <c r="E12181" s="51">
        <f>VLOOKUP(A12181,'[1]Componentes APUs'!$H$1:$L$25,4,0)</f>
        <v>169464.28571428571</v>
      </c>
      <c r="F12181" s="51">
        <f>VLOOKUP(A12181,'[1]Componentes APUs'!$H$1:$L$25,5,0)</f>
        <v>101678.57142857142</v>
      </c>
      <c r="G12181" s="51">
        <f>ROUNDUP((E12181+F12181)*C12181/E12167,0)</f>
        <v>22596</v>
      </c>
    </row>
    <row r="12182" spans="1:7" x14ac:dyDescent="0.25">
      <c r="A12182" s="50" t="s">
        <v>52</v>
      </c>
      <c r="B12182" s="68" t="str">
        <f>VLOOKUP(A12182,'[1]Componentes APUs'!$H$1:$L$25,2,0)</f>
        <v>Ayudante No Calificado</v>
      </c>
      <c r="C12182" s="93">
        <v>1</v>
      </c>
      <c r="D12182" s="50">
        <f>VLOOKUP(A12182,'[1]Componentes APUs'!$H$1:$L$25,3,0)</f>
        <v>1</v>
      </c>
      <c r="E12182" s="51">
        <f>VLOOKUP(A12182,'[1]Componentes APUs'!$H$1:$L$25,4,0)</f>
        <v>77309.523809523816</v>
      </c>
      <c r="F12182" s="51">
        <f>VLOOKUP(A12182,'[1]Componentes APUs'!$H$1:$L$25,5,0)</f>
        <v>46385.71428571429</v>
      </c>
      <c r="G12182" s="51">
        <f>ROUNDUP((E12182+F12182)*C12182/E12167,0)</f>
        <v>41232</v>
      </c>
    </row>
    <row r="12183" spans="1:7" x14ac:dyDescent="0.25">
      <c r="A12183" s="219" t="s">
        <v>56</v>
      </c>
      <c r="B12183" s="219"/>
      <c r="C12183" s="219"/>
      <c r="D12183" s="219"/>
      <c r="E12183" s="219"/>
      <c r="F12183" s="219"/>
      <c r="G12183" s="52">
        <f>SUM(G12177:G12182)</f>
        <v>347544</v>
      </c>
    </row>
    <row r="12184" spans="1:7" x14ac:dyDescent="0.25">
      <c r="A12184" s="56"/>
      <c r="B12184" s="57"/>
      <c r="C12184" s="57"/>
      <c r="D12184" s="57"/>
      <c r="E12184" s="57"/>
      <c r="F12184" s="57"/>
      <c r="G12184" s="58"/>
    </row>
    <row r="12185" spans="1:7" x14ac:dyDescent="0.25">
      <c r="A12185" s="219" t="s">
        <v>57</v>
      </c>
      <c r="B12185" s="219"/>
      <c r="C12185" s="219"/>
      <c r="D12185" s="219"/>
      <c r="E12185" s="219"/>
      <c r="F12185" s="219"/>
      <c r="G12185" s="219"/>
    </row>
    <row r="12186" spans="1:7" x14ac:dyDescent="0.25">
      <c r="A12186" s="49" t="s">
        <v>35</v>
      </c>
      <c r="B12186" s="219" t="s">
        <v>36</v>
      </c>
      <c r="C12186" s="219"/>
      <c r="D12186" s="49" t="s">
        <v>37</v>
      </c>
      <c r="E12186" s="49" t="s">
        <v>38</v>
      </c>
      <c r="F12186" s="49" t="s">
        <v>39</v>
      </c>
      <c r="G12186" s="49" t="s">
        <v>40</v>
      </c>
    </row>
    <row r="12187" spans="1:7" x14ac:dyDescent="0.25">
      <c r="A12187" s="50" t="s">
        <v>326</v>
      </c>
      <c r="B12187" s="220" t="str">
        <f>VLOOKUP(A12187,'[1]Componentes APUs'!$S$1:$V$10,2,0)</f>
        <v>Juego Llaves</v>
      </c>
      <c r="C12187" s="220"/>
      <c r="D12187" s="50" t="s">
        <v>18</v>
      </c>
      <c r="E12187" s="50">
        <v>2</v>
      </c>
      <c r="F12187" s="51">
        <f>VLOOKUP(A12187,'[1]Componentes APUs'!$S$1:$V$10,4,0)</f>
        <v>9167</v>
      </c>
      <c r="G12187" s="51">
        <f>ROUNDUP(F12187*((E12187/21)/E12167),0)</f>
        <v>292</v>
      </c>
    </row>
    <row r="12188" spans="1:7" x14ac:dyDescent="0.25">
      <c r="A12188" s="50" t="s">
        <v>58</v>
      </c>
      <c r="B12188" s="220" t="str">
        <f>VLOOKUP(A12188,'[1]Componentes APUs'!$S$1:$V$10,2,0)</f>
        <v>Manila de servicio</v>
      </c>
      <c r="C12188" s="220"/>
      <c r="D12188" s="50" t="s">
        <v>18</v>
      </c>
      <c r="E12188" s="50">
        <v>2</v>
      </c>
      <c r="F12188" s="51">
        <f>VLOOKUP(A12188,'[1]Componentes APUs'!$S$1:$V$10,4,0)</f>
        <v>2333</v>
      </c>
      <c r="G12188" s="51">
        <f>ROUNDUP(F12188*((E12188/21)/E12167),0)</f>
        <v>75</v>
      </c>
    </row>
    <row r="12189" spans="1:7" x14ac:dyDescent="0.25">
      <c r="A12189" s="50" t="s">
        <v>327</v>
      </c>
      <c r="B12189" s="220" t="str">
        <f>VLOOKUP(A12189,'[1]Componentes APUs'!$S$1:$V$10,2,0)</f>
        <v>Tula portaherramientas</v>
      </c>
      <c r="C12189" s="220"/>
      <c r="D12189" s="50" t="s">
        <v>18</v>
      </c>
      <c r="E12189" s="50">
        <v>2</v>
      </c>
      <c r="F12189" s="51">
        <f>VLOOKUP(A12189,'[1]Componentes APUs'!$S$1:$V$10,4,0)</f>
        <v>1250</v>
      </c>
      <c r="G12189" s="51">
        <f>ROUNDUP(F12189*((E12189/21)/E12167),0)</f>
        <v>40</v>
      </c>
    </row>
    <row r="12190" spans="1:7" x14ac:dyDescent="0.25">
      <c r="A12190" s="50" t="s">
        <v>60</v>
      </c>
      <c r="B12190" s="220" t="str">
        <f>VLOOKUP(A12190,'[1]Componentes APUs'!$S$1:$V$10,2,0)</f>
        <v>Agarradoras</v>
      </c>
      <c r="C12190" s="220"/>
      <c r="D12190" s="50" t="s">
        <v>18</v>
      </c>
      <c r="E12190" s="50">
        <v>0</v>
      </c>
      <c r="F12190" s="51">
        <f>VLOOKUP(A12190,'[1]Componentes APUs'!$S$1:$V$10,4,0)</f>
        <v>125000</v>
      </c>
      <c r="G12190" s="51">
        <f>ROUNDUP(F12190*((E12190/21)/E12167),0)</f>
        <v>0</v>
      </c>
    </row>
    <row r="12191" spans="1:7" x14ac:dyDescent="0.25">
      <c r="A12191" s="50" t="s">
        <v>62</v>
      </c>
      <c r="B12191" s="220" t="str">
        <f>VLOOKUP(A12191,'[1]Componentes APUs'!$S$1:$V$10,2,0)</f>
        <v>Templadoras</v>
      </c>
      <c r="C12191" s="220"/>
      <c r="D12191" s="50" t="s">
        <v>18</v>
      </c>
      <c r="E12191" s="50">
        <v>0</v>
      </c>
      <c r="F12191" s="51">
        <f>VLOOKUP(A12191,'[1]Componentes APUs'!$S$1:$V$10,4,0)</f>
        <v>250000</v>
      </c>
      <c r="G12191" s="51">
        <f>ROUNDUP(F12191*((E12191/21)/E12167),0)</f>
        <v>0</v>
      </c>
    </row>
    <row r="12192" spans="1:7" x14ac:dyDescent="0.25">
      <c r="A12192" s="50" t="s">
        <v>328</v>
      </c>
      <c r="B12192" s="220" t="str">
        <f>VLOOKUP(A12192,'[1]Componentes APUs'!$S$1:$V$10,2,0)</f>
        <v>Herramienta Menor</v>
      </c>
      <c r="C12192" s="220"/>
      <c r="D12192" s="50" t="s">
        <v>18</v>
      </c>
      <c r="E12192" s="50">
        <v>2</v>
      </c>
      <c r="F12192" s="51">
        <f>VLOOKUP(A12192,'[1]Componentes APUs'!$S$1:$V$10,4,0)</f>
        <v>75758</v>
      </c>
      <c r="G12192" s="51">
        <f>ROUNDUP(F12192*((E12192/21)/E12167),0)</f>
        <v>2406</v>
      </c>
    </row>
    <row r="12193" spans="1:7" x14ac:dyDescent="0.25">
      <c r="A12193" s="50" t="s">
        <v>66</v>
      </c>
      <c r="B12193" s="220" t="str">
        <f>VLOOKUP(A12193,'[1]Componentes APUs'!$S$1:$V$10,2,0)</f>
        <v>Diferencial 2 Toneladas</v>
      </c>
      <c r="C12193" s="220"/>
      <c r="D12193" s="50" t="s">
        <v>18</v>
      </c>
      <c r="E12193" s="50">
        <v>1</v>
      </c>
      <c r="F12193" s="51">
        <f>VLOOKUP(A12193,'[1]Componentes APUs'!$S$1:$V$10,4,0)</f>
        <v>474905</v>
      </c>
      <c r="G12193" s="51">
        <f>ROUNDUP(F12193*((E12193/21)/E12167),0)</f>
        <v>7539</v>
      </c>
    </row>
    <row r="12194" spans="1:7" x14ac:dyDescent="0.25">
      <c r="A12194" s="219" t="s">
        <v>69</v>
      </c>
      <c r="B12194" s="219"/>
      <c r="C12194" s="219"/>
      <c r="D12194" s="219"/>
      <c r="E12194" s="219"/>
      <c r="F12194" s="219"/>
      <c r="G12194" s="52">
        <f>SUM(G12187:G12193)</f>
        <v>10352</v>
      </c>
    </row>
    <row r="12195" spans="1:7" x14ac:dyDescent="0.25">
      <c r="A12195" s="56"/>
      <c r="B12195" s="57"/>
      <c r="C12195" s="57"/>
      <c r="D12195" s="57"/>
      <c r="E12195" s="57"/>
      <c r="F12195" s="57"/>
      <c r="G12195" s="58"/>
    </row>
    <row r="12196" spans="1:7" x14ac:dyDescent="0.25">
      <c r="A12196" s="219" t="s">
        <v>70</v>
      </c>
      <c r="B12196" s="219"/>
      <c r="C12196" s="219"/>
      <c r="D12196" s="219"/>
      <c r="E12196" s="219"/>
      <c r="F12196" s="219"/>
      <c r="G12196" s="219"/>
    </row>
    <row r="12197" spans="1:7" x14ac:dyDescent="0.25">
      <c r="A12197" s="49" t="s">
        <v>35</v>
      </c>
      <c r="B12197" s="219" t="s">
        <v>36</v>
      </c>
      <c r="C12197" s="219"/>
      <c r="D12197" s="49" t="s">
        <v>37</v>
      </c>
      <c r="E12197" s="49" t="s">
        <v>38</v>
      </c>
      <c r="F12197" s="49" t="s">
        <v>39</v>
      </c>
      <c r="G12197" s="49" t="s">
        <v>40</v>
      </c>
    </row>
    <row r="12198" spans="1:7" x14ac:dyDescent="0.25">
      <c r="A12198" s="50" t="s">
        <v>71</v>
      </c>
      <c r="B12198" s="71" t="str">
        <f>VLOOKUP(A12198,'[1]Componentes APUs'!$A$1:$D$14,2,0)</f>
        <v>Camisa indigo sin partes metalicas</v>
      </c>
      <c r="C12198" s="71"/>
      <c r="D12198" s="50" t="str">
        <f>VLOOKUP(A12198,'[1]Componentes APUs'!$A$1:$D$14,3,0)</f>
        <v>U</v>
      </c>
      <c r="E12198" s="50">
        <f>SUM(C12177:C12182)</f>
        <v>4.75</v>
      </c>
      <c r="F12198" s="51">
        <f>VLOOKUP(A12198,'[1]Componentes APUs'!$A$1:$D$14,4,0)</f>
        <v>8585.8585858585866</v>
      </c>
      <c r="G12198" s="51">
        <f>ROUNDUP(F12198*(E12198/21)/E12167,0)</f>
        <v>648</v>
      </c>
    </row>
    <row r="12199" spans="1:7" x14ac:dyDescent="0.25">
      <c r="A12199" s="69" t="s">
        <v>73</v>
      </c>
      <c r="B12199" s="72" t="str">
        <f>VLOOKUP(A12199,'[1]Componentes APUs'!$A$1:$D$14,2,0)</f>
        <v>Bota de seguridad dielectrica</v>
      </c>
      <c r="C12199" s="73"/>
      <c r="D12199" s="70" t="str">
        <f>VLOOKUP(A12199,'[1]Componentes APUs'!$A$1:$D$14,3,0)</f>
        <v>Par</v>
      </c>
      <c r="E12199" s="50">
        <f>SUM(C12177:C12182)</f>
        <v>4.75</v>
      </c>
      <c r="F12199" s="51">
        <f>VLOOKUP(A12199,'[1]Componentes APUs'!$A$1:$D$14,4,0)</f>
        <v>7500</v>
      </c>
      <c r="G12199" s="51">
        <f>ROUNDUP(F12199*(E12199/21)/E12167,0)</f>
        <v>566</v>
      </c>
    </row>
    <row r="12200" spans="1:7" x14ac:dyDescent="0.25">
      <c r="A12200" s="50" t="s">
        <v>76</v>
      </c>
      <c r="B12200" s="72" t="str">
        <f>VLOOKUP(A12200,'[1]Componentes APUs'!$A$1:$D$14,2,0)</f>
        <v>Casco dielectrico Tipo 1 Clase E con barbuquejo</v>
      </c>
      <c r="C12200" s="73"/>
      <c r="D12200" s="50" t="str">
        <f>VLOOKUP(A12200,'[1]Componentes APUs'!$A$1:$D$14,3,0)</f>
        <v>U</v>
      </c>
      <c r="E12200" s="50">
        <f>C12177+C12178+C12181+C12182+C12180+IF(A12179&lt;&gt;"MO-3",C12179,0)</f>
        <v>2.75</v>
      </c>
      <c r="F12200" s="51">
        <f>VLOOKUP(A12200,'[1]Componentes APUs'!$A$1:$D$14,4,0)</f>
        <v>10101.010101010101</v>
      </c>
      <c r="G12200" s="51">
        <f>ROUNDUP(F12200*(E12200/21)/E12167,0)</f>
        <v>441</v>
      </c>
    </row>
    <row r="12201" spans="1:7" x14ac:dyDescent="0.25">
      <c r="A12201" s="69" t="s">
        <v>77</v>
      </c>
      <c r="B12201" s="72" t="str">
        <f>VLOOKUP(A12201,'[1]Componentes APUs'!$A$1:$D$14,2,0)</f>
        <v>Correa plastica y antiflama</v>
      </c>
      <c r="C12201" s="73"/>
      <c r="D12201" s="50" t="str">
        <f>VLOOKUP(A12201,'[1]Componentes APUs'!$A$1:$D$14,3,0)</f>
        <v>U</v>
      </c>
      <c r="E12201" s="50">
        <f>SUM(C12177:C12182)</f>
        <v>4.75</v>
      </c>
      <c r="F12201" s="51">
        <f>VLOOKUP(A12201,'[1]Componentes APUs'!$A$1:$D$14,4,0)</f>
        <v>3787.878787878788</v>
      </c>
      <c r="G12201" s="51">
        <f>ROUNDUP(F12201*(E12201/21)/E12167,0)</f>
        <v>286</v>
      </c>
    </row>
    <row r="12202" spans="1:7" x14ac:dyDescent="0.25">
      <c r="A12202" s="50" t="s">
        <v>79</v>
      </c>
      <c r="B12202" s="72" t="str">
        <f>VLOOKUP(A12202,'[1]Componentes APUs'!$A$1:$D$14,2,0)</f>
        <v>Gafas protectoras filtro UV</v>
      </c>
      <c r="C12202" s="73"/>
      <c r="D12202" s="50" t="str">
        <f>VLOOKUP(A12202,'[1]Componentes APUs'!$A$1:$D$14,3,0)</f>
        <v>U</v>
      </c>
      <c r="E12202" s="50">
        <f>SUM(C12177:C12182)</f>
        <v>4.75</v>
      </c>
      <c r="F12202" s="51">
        <f>VLOOKUP(A12202,'[1]Componentes APUs'!$A$1:$D$14,4,0)</f>
        <v>2777.7777777777778</v>
      </c>
      <c r="G12202" s="51">
        <f>ROUNDUP(F12202*(E12202/21)/E12167,0)</f>
        <v>210</v>
      </c>
    </row>
    <row r="12203" spans="1:7" x14ac:dyDescent="0.25">
      <c r="A12203" s="69" t="s">
        <v>402</v>
      </c>
      <c r="B12203" s="72" t="str">
        <f>VLOOKUP(A12203,'[1]Componentes APUs'!$A$1:$D$14,2,0)</f>
        <v>Bota de seguridad PVC dielectrica</v>
      </c>
      <c r="C12203" s="73"/>
      <c r="D12203" s="50" t="str">
        <f>VLOOKUP(A12203,'[1]Componentes APUs'!$A$1:$D$14,3,0)</f>
        <v>Par</v>
      </c>
      <c r="E12203" s="50">
        <f>SUM(C12177:C12182)</f>
        <v>4.75</v>
      </c>
      <c r="F12203" s="51">
        <f>VLOOKUP(A12203,'[1]Componentes APUs'!$A$1:$D$14,4,0)</f>
        <v>2916.6666666666665</v>
      </c>
      <c r="G12203" s="51">
        <f>ROUNDUP(F12203*(E12203/21)/E12167,0)</f>
        <v>220</v>
      </c>
    </row>
    <row r="12204" spans="1:7" x14ac:dyDescent="0.25">
      <c r="A12204" s="50" t="s">
        <v>403</v>
      </c>
      <c r="B12204" s="72" t="str">
        <f>VLOOKUP(A12204,'[1]Componentes APUs'!$A$1:$D$14,2,0)</f>
        <v>Capuchon</v>
      </c>
      <c r="C12204" s="73"/>
      <c r="D12204" s="50" t="str">
        <f>VLOOKUP(A12204,'[1]Componentes APUs'!$A$1:$D$14,3,0)</f>
        <v>U</v>
      </c>
      <c r="E12204" s="50">
        <f>SUM(C12177:C12182)</f>
        <v>4.75</v>
      </c>
      <c r="F12204" s="51">
        <f>VLOOKUP(A12204,'[1]Componentes APUs'!$A$1:$D$14,4,0)</f>
        <v>2525.2525252525252</v>
      </c>
      <c r="G12204" s="51">
        <f>ROUNDUP(F12204*(E12204/21)/E12167,0)</f>
        <v>191</v>
      </c>
    </row>
    <row r="12205" spans="1:7" x14ac:dyDescent="0.25">
      <c r="A12205" s="69" t="s">
        <v>81</v>
      </c>
      <c r="B12205" s="72" t="str">
        <f>VLOOKUP(A12205,'[1]Componentes APUs'!$A$1:$D$14,2,0)</f>
        <v>Guantes Protectores  - ingeniero reforzados</v>
      </c>
      <c r="C12205" s="73"/>
      <c r="D12205" s="50" t="str">
        <f>VLOOKUP(A12205,'[1]Componentes APUs'!$A$1:$D$14,3,0)</f>
        <v>Par</v>
      </c>
      <c r="E12205" s="50">
        <f>C12179+C12180+C12182</f>
        <v>4</v>
      </c>
      <c r="F12205" s="51">
        <f>VLOOKUP(A12205,'[1]Componentes APUs'!$A$1:$D$14,4,0)</f>
        <v>2525.2525252525252</v>
      </c>
      <c r="G12205" s="51">
        <f>ROUNDUP(F12205*(E12205/21)/E12167,0)</f>
        <v>161</v>
      </c>
    </row>
    <row r="12206" spans="1:7" x14ac:dyDescent="0.25">
      <c r="A12206" s="50" t="s">
        <v>83</v>
      </c>
      <c r="B12206" s="72" t="str">
        <f>VLOOKUP(A12206,'[1]Componentes APUs'!$A$1:$D$14,2,0)</f>
        <v>Impermeable (pantalon camisa)</v>
      </c>
      <c r="C12206" s="73"/>
      <c r="D12206" s="50" t="str">
        <f>VLOOKUP(A12206,'[1]Componentes APUs'!$A$1:$D$14,3,0)</f>
        <v>U</v>
      </c>
      <c r="E12206" s="50">
        <f>SUM(C12177:C12182)</f>
        <v>4.75</v>
      </c>
      <c r="F12206" s="51">
        <f>VLOOKUP(A12206,'[1]Componentes APUs'!$A$1:$D$14,4,0)</f>
        <v>3750</v>
      </c>
      <c r="G12206" s="51">
        <f>ROUNDUP(F12206*(E12206/21)/E12167,0)</f>
        <v>283</v>
      </c>
    </row>
    <row r="12207" spans="1:7" x14ac:dyDescent="0.25">
      <c r="A12207" s="69" t="s">
        <v>85</v>
      </c>
      <c r="B12207" s="72" t="str">
        <f>VLOOKUP(A12207,'[1]Componentes APUs'!$A$1:$D$14,2,0)</f>
        <v>Jean Dielectrico</v>
      </c>
      <c r="C12207" s="73"/>
      <c r="D12207" s="50" t="str">
        <f>VLOOKUP(A12207,'[1]Componentes APUs'!$A$1:$D$14,3,0)</f>
        <v>U</v>
      </c>
      <c r="E12207" s="50">
        <f>SUM(C12177:C12182)</f>
        <v>4.75</v>
      </c>
      <c r="F12207" s="51">
        <f>VLOOKUP(A12207,'[1]Componentes APUs'!$A$1:$D$14,4,0)</f>
        <v>7575.757575757576</v>
      </c>
      <c r="G12207" s="51">
        <f>ROUNDUP(F12207*(E12207/21)/E12167,0)</f>
        <v>572</v>
      </c>
    </row>
    <row r="12208" spans="1:7" x14ac:dyDescent="0.25">
      <c r="A12208" s="50" t="s">
        <v>87</v>
      </c>
      <c r="B12208" s="72" t="str">
        <f>VLOOKUP(A12208,'[1]Componentes APUs'!$A$1:$D$14,2,0)</f>
        <v>Casco dielectrico Tipo 2 Clase E con barboquejo</v>
      </c>
      <c r="C12208" s="73"/>
      <c r="D12208" s="50" t="str">
        <f>VLOOKUP(A12208,'[1]Componentes APUs'!$A$1:$D$14,3,0)</f>
        <v>U</v>
      </c>
      <c r="E12208" s="53">
        <f>IF(A12179="MO-3",C12179,0)</f>
        <v>2</v>
      </c>
      <c r="F12208" s="51">
        <f>VLOOKUP(A12208,'[1]Componentes APUs'!$A$1:$D$14,4,0)</f>
        <v>7500</v>
      </c>
      <c r="G12208" s="51">
        <f>ROUNDUP(F12208*(E12208/21)/E12167,0)</f>
        <v>239</v>
      </c>
    </row>
    <row r="12209" spans="1:7" x14ac:dyDescent="0.25">
      <c r="A12209" s="69" t="s">
        <v>89</v>
      </c>
      <c r="B12209" s="72" t="str">
        <f>VLOOKUP(A12209,'[1]Componentes APUs'!$A$1:$D$14,2,0)</f>
        <v>Kit de rescate para trabajo en alturas</v>
      </c>
      <c r="C12209" s="73"/>
      <c r="D12209" s="50" t="str">
        <f>VLOOKUP(A12209,'[1]Componentes APUs'!$A$1:$D$14,3,0)</f>
        <v>U</v>
      </c>
      <c r="E12209" s="50">
        <f>IF(AND(A12179="MO-3",C12179=2),1,0)</f>
        <v>1</v>
      </c>
      <c r="F12209" s="51">
        <f>VLOOKUP(A12209,'[1]Componentes APUs'!$A$1:$D$14,4,0)</f>
        <v>37500</v>
      </c>
      <c r="G12209" s="51">
        <f>ROUNDUP(F12209*(E12209/21)/E12167,0)</f>
        <v>596</v>
      </c>
    </row>
    <row r="12210" spans="1:7" x14ac:dyDescent="0.25">
      <c r="A12210" s="50" t="s">
        <v>91</v>
      </c>
      <c r="B12210" s="72" t="str">
        <f>VLOOKUP(A12210,'[1]Componentes APUs'!$A$1:$D$14,2,0)</f>
        <v>Equipo completo para trabajo en alturas con pretales (Arnes dielectrico, 1 mosqueton de seguridad, tie off dielectrico, eslinga de posicionamiento, juego de pretales)</v>
      </c>
      <c r="C12210" s="73"/>
      <c r="D12210" s="50" t="str">
        <f>VLOOKUP(A12210,'[1]Componentes APUs'!$A$1:$D$14,3,0)</f>
        <v>U</v>
      </c>
      <c r="E12210" s="50">
        <f>IF(A12179="MO-3",C12179,0)</f>
        <v>2</v>
      </c>
      <c r="F12210" s="51">
        <f>VLOOKUP(A12210,'[1]Componentes APUs'!$A$1:$D$14,4,0)</f>
        <v>26041.666666666668</v>
      </c>
      <c r="G12210" s="51">
        <f>ROUNDUP(F12210*(E12210/21)/E12167,0)</f>
        <v>827</v>
      </c>
    </row>
    <row r="12211" spans="1:7" x14ac:dyDescent="0.25">
      <c r="A12211" s="219" t="s">
        <v>95</v>
      </c>
      <c r="B12211" s="219"/>
      <c r="C12211" s="219"/>
      <c r="D12211" s="219"/>
      <c r="E12211" s="219"/>
      <c r="F12211" s="219"/>
      <c r="G12211" s="52">
        <f>SUM(G12198:G12210)</f>
        <v>5240</v>
      </c>
    </row>
    <row r="12212" spans="1:7" x14ac:dyDescent="0.25">
      <c r="A12212" s="56"/>
      <c r="B12212" s="57"/>
      <c r="C12212" s="57"/>
      <c r="D12212" s="57"/>
      <c r="E12212" s="57"/>
      <c r="F12212" s="57"/>
      <c r="G12212" s="58"/>
    </row>
    <row r="12213" spans="1:7" x14ac:dyDescent="0.25">
      <c r="A12213" s="219" t="s">
        <v>96</v>
      </c>
      <c r="B12213" s="219"/>
      <c r="C12213" s="219"/>
      <c r="D12213" s="219"/>
      <c r="E12213" s="219"/>
      <c r="F12213" s="219"/>
      <c r="G12213" s="219"/>
    </row>
    <row r="12214" spans="1:7" x14ac:dyDescent="0.25">
      <c r="A12214" s="49" t="s">
        <v>35</v>
      </c>
      <c r="B12214" s="225" t="s">
        <v>36</v>
      </c>
      <c r="C12214" s="225"/>
      <c r="D12214" s="49" t="s">
        <v>37</v>
      </c>
      <c r="E12214" s="49" t="s">
        <v>38</v>
      </c>
      <c r="F12214" s="49" t="s">
        <v>39</v>
      </c>
      <c r="G12214" s="49" t="s">
        <v>40</v>
      </c>
    </row>
    <row r="12215" spans="1:7" x14ac:dyDescent="0.25">
      <c r="A12215" s="69" t="s">
        <v>97</v>
      </c>
      <c r="B12215" s="72" t="str">
        <f>VLOOKUP(A12215,'[1]Componentes APUs'!$N$1:$Q$30,2,0)</f>
        <v>Camioneta</v>
      </c>
      <c r="C12215" s="73"/>
      <c r="D12215" s="70" t="str">
        <f>VLOOKUP(A12215,'[1]Componentes APUs'!$N$1:$Q$30,3,0)</f>
        <v>U</v>
      </c>
      <c r="E12215" s="50">
        <v>1</v>
      </c>
      <c r="F12215" s="51">
        <f>VLOOKUP(A12215,'[1]Componentes APUs'!$N$1:$Q$30,4,0)</f>
        <v>5500000</v>
      </c>
      <c r="G12215" s="51">
        <f>IFERROR(ROUNDUP(F12215*(E12215/21)/E12167,0),"-")</f>
        <v>87302</v>
      </c>
    </row>
    <row r="12216" spans="1:7" x14ac:dyDescent="0.25">
      <c r="A12216" s="50" t="s">
        <v>321</v>
      </c>
      <c r="B12216" s="72" t="str">
        <f>VLOOKUP(A12216,'[1]Componentes APUs'!$N$1:$Q$30,2,0)</f>
        <v>Grúa Hidráulica</v>
      </c>
      <c r="C12216" s="73"/>
      <c r="D12216" s="70" t="str">
        <f>VLOOKUP(A12216,'[1]Componentes APUs'!$N$1:$Q$30,3,0)</f>
        <v>U</v>
      </c>
      <c r="E12216" s="50">
        <v>0</v>
      </c>
      <c r="F12216" s="51">
        <f>VLOOKUP(A12216,'[1]Componentes APUs'!$N$1:$Q$30,4,0)</f>
        <v>21000000</v>
      </c>
      <c r="G12216" s="51">
        <f>IFERROR(ROUNDUP(F12216*(E12216/21)/E12167,0),"-")</f>
        <v>0</v>
      </c>
    </row>
    <row r="12217" spans="1:7" x14ac:dyDescent="0.25">
      <c r="A12217" s="69" t="s">
        <v>322</v>
      </c>
      <c r="B12217" s="72" t="str">
        <f>VLOOKUP(A12217,'[1]Componentes APUs'!$N$1:$Q$30,2,0)</f>
        <v>Camabaja</v>
      </c>
      <c r="C12217" s="73"/>
      <c r="D12217" s="70" t="str">
        <f>VLOOKUP(A12217,'[1]Componentes APUs'!$N$1:$Q$30,3,0)</f>
        <v>TON/KM</v>
      </c>
      <c r="E12217" s="50">
        <v>0</v>
      </c>
      <c r="F12217" s="51">
        <f>VLOOKUP(A12217,'[1]Componentes APUs'!$N$1:$Q$30,4,0)</f>
        <v>611</v>
      </c>
      <c r="G12217" s="51">
        <f>IFERROR(ROUNDUP(F12217*(E12217/21)/E12167,0),"-")</f>
        <v>0</v>
      </c>
    </row>
    <row r="12218" spans="1:7" x14ac:dyDescent="0.25">
      <c r="A12218" s="50" t="s">
        <v>323</v>
      </c>
      <c r="B12218" s="72" t="str">
        <f>VLOOKUP(A12218,'[1]Componentes APUs'!$N$1:$Q$30,2,0)</f>
        <v>Volqueta</v>
      </c>
      <c r="C12218" s="73"/>
      <c r="D12218" s="70" t="str">
        <f>VLOOKUP(A12218,'[1]Componentes APUs'!$N$1:$Q$30,3,0)</f>
        <v>U</v>
      </c>
      <c r="E12218" s="50">
        <v>0</v>
      </c>
      <c r="F12218" s="51">
        <f>VLOOKUP(A12218,'[1]Componentes APUs'!$N$1:$Q$30,4,0)</f>
        <v>18900000</v>
      </c>
      <c r="G12218" s="51">
        <f>IFERROR(ROUNDUP(F12218*(E12218/21)/E12167,0),"-")</f>
        <v>0</v>
      </c>
    </row>
    <row r="12219" spans="1:7" x14ac:dyDescent="0.25">
      <c r="A12219" s="69" t="s">
        <v>324</v>
      </c>
      <c r="B12219" s="72" t="str">
        <f>VLOOKUP(A12219,'[1]Componentes APUs'!$N$1:$Q$30,2,0)</f>
        <v>Retroexcavadora</v>
      </c>
      <c r="C12219" s="73"/>
      <c r="D12219" s="70" t="str">
        <f>VLOOKUP(A12219,'[1]Componentes APUs'!$N$1:$Q$30,3,0)</f>
        <v>U</v>
      </c>
      <c r="E12219" s="50">
        <v>0</v>
      </c>
      <c r="F12219" s="51">
        <f>VLOOKUP(A12219,'[1]Componentes APUs'!$N$1:$Q$30,4,0)</f>
        <v>1494459.54</v>
      </c>
      <c r="G12219" s="51">
        <f>IFERROR(ROUNDUP(F12219*(E12219/21)/E12167,0),"-")</f>
        <v>0</v>
      </c>
    </row>
    <row r="12220" spans="1:7" x14ac:dyDescent="0.25">
      <c r="A12220" s="219" t="s">
        <v>99</v>
      </c>
      <c r="B12220" s="219"/>
      <c r="C12220" s="219"/>
      <c r="D12220" s="219"/>
      <c r="E12220" s="219"/>
      <c r="F12220" s="219"/>
      <c r="G12220" s="52">
        <f>SUM(G12215:G12219)</f>
        <v>87302</v>
      </c>
    </row>
    <row r="12221" spans="1:7" x14ac:dyDescent="0.25">
      <c r="A12221" s="56"/>
      <c r="B12221" s="57"/>
      <c r="C12221" s="57"/>
      <c r="D12221" s="57"/>
      <c r="E12221" s="57"/>
      <c r="F12221" s="57"/>
      <c r="G12221" s="58"/>
    </row>
    <row r="12222" spans="1:7" x14ac:dyDescent="0.25">
      <c r="A12222" s="219" t="s">
        <v>1516</v>
      </c>
      <c r="B12222" s="219"/>
      <c r="C12222" s="219"/>
      <c r="D12222" s="219"/>
      <c r="E12222" s="219"/>
      <c r="F12222" s="219"/>
      <c r="G12222" s="52">
        <f>G12220+G12211+G12194+G12183+G12173</f>
        <v>21656238</v>
      </c>
    </row>
    <row r="12223" spans="1:7" x14ac:dyDescent="0.25">
      <c r="A12223" s="59"/>
      <c r="B12223" s="60"/>
      <c r="C12223" s="60"/>
      <c r="D12223" s="60"/>
      <c r="E12223" s="57"/>
      <c r="F12223" s="57"/>
      <c r="G12223" s="58"/>
    </row>
    <row r="12224" spans="1:7" x14ac:dyDescent="0.25">
      <c r="A12224" s="64"/>
      <c r="D12224" s="55"/>
      <c r="E12224" s="49" t="s">
        <v>25</v>
      </c>
      <c r="F12224" s="54">
        <v>0.15</v>
      </c>
      <c r="G12224" s="51">
        <f>G12222*F12224</f>
        <v>3248435.6999999997</v>
      </c>
    </row>
    <row r="12225" spans="1:7" x14ac:dyDescent="0.25">
      <c r="A12225" s="64"/>
      <c r="D12225" s="55"/>
      <c r="E12225" s="49" t="s">
        <v>26</v>
      </c>
      <c r="F12225" s="54">
        <v>0.05</v>
      </c>
      <c r="G12225" s="51">
        <f>G12222*F12225</f>
        <v>1082811.9000000001</v>
      </c>
    </row>
    <row r="12226" spans="1:7" x14ac:dyDescent="0.25">
      <c r="A12226" s="61"/>
      <c r="B12226" s="65"/>
      <c r="C12226" s="65"/>
      <c r="D12226" s="62"/>
      <c r="E12226" s="49" t="s">
        <v>27</v>
      </c>
      <c r="F12226" s="54">
        <v>0.05</v>
      </c>
      <c r="G12226" s="51">
        <f>G12222*F12226</f>
        <v>1082811.9000000001</v>
      </c>
    </row>
    <row r="12227" spans="1:7" x14ac:dyDescent="0.25">
      <c r="A12227" s="61"/>
      <c r="B12227" s="62"/>
      <c r="C12227" s="62"/>
      <c r="D12227" s="62"/>
      <c r="E12227" s="62"/>
      <c r="F12227" s="62"/>
      <c r="G12227" s="63"/>
    </row>
    <row r="12228" spans="1:7" x14ac:dyDescent="0.25">
      <c r="A12228" s="219" t="s">
        <v>1517</v>
      </c>
      <c r="B12228" s="219"/>
      <c r="C12228" s="219"/>
      <c r="D12228" s="219"/>
      <c r="E12228" s="219"/>
      <c r="F12228" s="219"/>
      <c r="G12228" s="52">
        <f>G12222+G12224+G12225+G12226</f>
        <v>27070297.499999996</v>
      </c>
    </row>
    <row r="12229" spans="1:7" x14ac:dyDescent="0.25">
      <c r="A12229" s="59"/>
      <c r="B12229" s="60"/>
      <c r="C12229" s="60"/>
      <c r="D12229" s="60"/>
      <c r="E12229" s="57"/>
      <c r="F12229" s="57"/>
      <c r="G12229" s="58"/>
    </row>
    <row r="12230" spans="1:7" x14ac:dyDescent="0.25">
      <c r="A12230" s="64"/>
      <c r="D12230" s="55"/>
      <c r="E12230" s="49" t="s">
        <v>102</v>
      </c>
      <c r="F12230" s="49" t="s">
        <v>103</v>
      </c>
      <c r="G12230" s="51">
        <f>G12226*19%</f>
        <v>205734.26100000003</v>
      </c>
    </row>
    <row r="12231" spans="1:7" x14ac:dyDescent="0.25">
      <c r="A12231" s="61"/>
      <c r="B12231" s="62"/>
      <c r="C12231" s="62"/>
      <c r="D12231" s="62"/>
      <c r="E12231" s="57"/>
      <c r="F12231" s="57"/>
      <c r="G12231" s="58"/>
    </row>
    <row r="12232" spans="1:7" x14ac:dyDescent="0.25">
      <c r="A12232" s="219" t="s">
        <v>104</v>
      </c>
      <c r="B12232" s="219"/>
      <c r="C12232" s="219"/>
      <c r="D12232" s="219"/>
      <c r="E12232" s="219"/>
      <c r="F12232" s="219"/>
      <c r="G12232" s="52">
        <f>G12230+G12228</f>
        <v>27276031.760999996</v>
      </c>
    </row>
    <row r="12234" spans="1:7" x14ac:dyDescent="0.25">
      <c r="A12234" s="74" t="s">
        <v>29</v>
      </c>
      <c r="B12234" s="226" t="s">
        <v>30</v>
      </c>
      <c r="C12234" s="226"/>
      <c r="D12234" s="74" t="s">
        <v>31</v>
      </c>
      <c r="E12234" s="74" t="s">
        <v>32</v>
      </c>
      <c r="F12234" s="74" t="s">
        <v>189</v>
      </c>
      <c r="G12234" s="74" t="s">
        <v>33</v>
      </c>
    </row>
    <row r="12235" spans="1:7" ht="34.5" customHeight="1" x14ac:dyDescent="0.25">
      <c r="A12235" s="50" t="str">
        <f>Presupuesto!B222</f>
        <v>031_N3</v>
      </c>
      <c r="B12235" s="220" t="str">
        <f>Presupuesto!C222</f>
        <v>SUMINISTRO E INSTALACIÓN DE TRANSFORMADOR DE TENSIÓN. USO EXTERIOR. DOBLE NUCLEO. (N1: 34,5√3/115√3 - CL 0.5-10 VA; N2: 34,5√3/115√3- CL: 3P-10VA)</v>
      </c>
      <c r="C12235" s="220"/>
      <c r="D12235" s="50" t="s">
        <v>18</v>
      </c>
      <c r="E12235" s="50">
        <v>3</v>
      </c>
      <c r="F12235" s="50"/>
      <c r="G12235" s="51">
        <f>G12300</f>
        <v>27276031.760999996</v>
      </c>
    </row>
    <row r="12236" spans="1:7" x14ac:dyDescent="0.25">
      <c r="A12236" s="219" t="s">
        <v>34</v>
      </c>
      <c r="B12236" s="219"/>
      <c r="C12236" s="219"/>
      <c r="D12236" s="219"/>
      <c r="E12236" s="219"/>
      <c r="F12236" s="219"/>
      <c r="G12236" s="219"/>
    </row>
    <row r="12237" spans="1:7" x14ac:dyDescent="0.25">
      <c r="A12237" s="49" t="s">
        <v>35</v>
      </c>
      <c r="B12237" s="219" t="s">
        <v>36</v>
      </c>
      <c r="C12237" s="219"/>
      <c r="D12237" s="49" t="s">
        <v>37</v>
      </c>
      <c r="E12237" s="49" t="s">
        <v>38</v>
      </c>
      <c r="F12237" s="49" t="s">
        <v>39</v>
      </c>
      <c r="G12237" s="49" t="s">
        <v>40</v>
      </c>
    </row>
    <row r="12238" spans="1:7" ht="30" customHeight="1" x14ac:dyDescent="0.25">
      <c r="A12238" s="17" t="str">
        <f>Material!A31</f>
        <v>MA-30</v>
      </c>
      <c r="B12238" s="221" t="str">
        <f>IFERROR(VLOOKUP(A12238,Material!$A:$J,2,0),"-")</f>
        <v>TRANSFORMADOR DE TENSIÓN. USO EXTERIOR. DOBLE NUCLEO. (N1: 34,5√3/115√3. CL 0,5, 10 VA; N2: 34,5√3/115√3.CL 3P)</v>
      </c>
      <c r="C12238" s="222"/>
      <c r="D12238" s="50" t="str">
        <f>IFERROR(VLOOKUP(A12238,Material!$A:$J,4,0),"-")</f>
        <v>UN</v>
      </c>
      <c r="E12238" s="50">
        <v>1</v>
      </c>
      <c r="F12238" s="51">
        <f>IFERROR(VLOOKUP(A12238,Material!$A:$J,3,0),"-")</f>
        <v>21205800</v>
      </c>
      <c r="G12238" s="51">
        <f t="shared" ref="G12238:G12240" si="172">IFERROR(ROUNDUP(F12238*E12238,0),"-")</f>
        <v>21205800</v>
      </c>
    </row>
    <row r="12239" spans="1:7" x14ac:dyDescent="0.25">
      <c r="A12239" s="17"/>
      <c r="B12239" s="232" t="str">
        <f>IFERROR(VLOOKUP(A12239,Material!$A:$J,2,0),"-")</f>
        <v>-</v>
      </c>
      <c r="C12239" s="233"/>
      <c r="D12239" s="50" t="str">
        <f>IFERROR(VLOOKUP(A12239,Material!$A:$J,4,0),"-")</f>
        <v>-</v>
      </c>
      <c r="E12239" s="50"/>
      <c r="F12239" s="51" t="str">
        <f>IFERROR(VLOOKUP(A12239,Material!$A:$J,3,0),"-")</f>
        <v>-</v>
      </c>
      <c r="G12239" s="51" t="str">
        <f t="shared" si="172"/>
        <v>-</v>
      </c>
    </row>
    <row r="12240" spans="1:7" x14ac:dyDescent="0.25">
      <c r="A12240" s="17"/>
      <c r="B12240" s="232" t="str">
        <f>IFERROR(VLOOKUP(A12240,Material!$A:$J,2,0),"-")</f>
        <v>-</v>
      </c>
      <c r="C12240" s="233"/>
      <c r="D12240" s="50" t="str">
        <f>IFERROR(VLOOKUP(A12240,Material!$A:$J,4,0),"-")</f>
        <v>-</v>
      </c>
      <c r="E12240" s="50"/>
      <c r="F12240" s="51" t="str">
        <f>IFERROR(VLOOKUP(A12240,Material!$A:$J,3,0),"-")</f>
        <v>-</v>
      </c>
      <c r="G12240" s="51" t="str">
        <f t="shared" si="172"/>
        <v>-</v>
      </c>
    </row>
    <row r="12241" spans="1:7" x14ac:dyDescent="0.25">
      <c r="A12241" s="219" t="s">
        <v>41</v>
      </c>
      <c r="B12241" s="219"/>
      <c r="C12241" s="219"/>
      <c r="D12241" s="219"/>
      <c r="E12241" s="219"/>
      <c r="F12241" s="219"/>
      <c r="G12241" s="52">
        <f>SUM(G12238:G12240)</f>
        <v>21205800</v>
      </c>
    </row>
    <row r="12242" spans="1:7" x14ac:dyDescent="0.25">
      <c r="A12242" s="56"/>
      <c r="B12242" s="57"/>
      <c r="C12242" s="57"/>
      <c r="D12242" s="57"/>
      <c r="E12242" s="57"/>
      <c r="F12242" s="57"/>
      <c r="G12242" s="58"/>
    </row>
    <row r="12243" spans="1:7" x14ac:dyDescent="0.25">
      <c r="A12243" s="219" t="s">
        <v>42</v>
      </c>
      <c r="B12243" s="219"/>
      <c r="C12243" s="219"/>
      <c r="D12243" s="219"/>
      <c r="E12243" s="219"/>
      <c r="F12243" s="219"/>
      <c r="G12243" s="219"/>
    </row>
    <row r="12244" spans="1:7" x14ac:dyDescent="0.25">
      <c r="A12244" s="49" t="s">
        <v>35</v>
      </c>
      <c r="B12244" s="49" t="s">
        <v>36</v>
      </c>
      <c r="C12244" s="49" t="s">
        <v>38</v>
      </c>
      <c r="D12244" s="49" t="s">
        <v>43</v>
      </c>
      <c r="E12244" s="49" t="s">
        <v>44</v>
      </c>
      <c r="F12244" s="49" t="s">
        <v>45</v>
      </c>
      <c r="G12244" s="49" t="s">
        <v>40</v>
      </c>
    </row>
    <row r="12245" spans="1:7" x14ac:dyDescent="0.25">
      <c r="A12245" s="50" t="s">
        <v>319</v>
      </c>
      <c r="B12245" s="68" t="str">
        <f>VLOOKUP(A12245,'[1]Componentes APUs'!$H$1:$L$25,2,0)</f>
        <v>Ingeniero Residente de Obra</v>
      </c>
      <c r="C12245" s="93">
        <v>0.25</v>
      </c>
      <c r="D12245" s="50">
        <f>VLOOKUP(A12245,'[1]Componentes APUs'!$H$1:$L$25,3,0)</f>
        <v>4</v>
      </c>
      <c r="E12245" s="51">
        <f>VLOOKUP(A12245,'[1]Componentes APUs'!$H$1:$L$25,4,0)</f>
        <v>271142.85714285716</v>
      </c>
      <c r="F12245" s="51">
        <f>VLOOKUP(A12245,'[1]Componentes APUs'!$H$1:$L$25,5,0)</f>
        <v>162685.71428571429</v>
      </c>
      <c r="G12245" s="51">
        <f>ROUNDUP((E12245+F12245)*C12245/E12235,0)</f>
        <v>36153</v>
      </c>
    </row>
    <row r="12246" spans="1:7" x14ac:dyDescent="0.25">
      <c r="A12246" s="50" t="s">
        <v>320</v>
      </c>
      <c r="B12246" s="68" t="str">
        <f>VLOOKUP(A12246,'[1]Componentes APUs'!$H$1:$L$25,2,0)</f>
        <v>Tecnico Supervisor</v>
      </c>
      <c r="C12246" s="93">
        <v>0.25</v>
      </c>
      <c r="D12246" s="50">
        <f>VLOOKUP(A12246,'[1]Componentes APUs'!$H$1:$L$25,3,0)</f>
        <v>2.2999999999999998</v>
      </c>
      <c r="E12246" s="51">
        <f>VLOOKUP(A12246,'[1]Componentes APUs'!$H$1:$L$25,4,0)</f>
        <v>155907.14285714284</v>
      </c>
      <c r="F12246" s="51">
        <f>VLOOKUP(A12246,'[1]Componentes APUs'!$H$1:$L$25,5,0)</f>
        <v>93544.285714285696</v>
      </c>
      <c r="G12246" s="51">
        <f>ROUNDUP((E12246+F12246)*C12246/E12235,0)</f>
        <v>20788</v>
      </c>
    </row>
    <row r="12247" spans="1:7" x14ac:dyDescent="0.25">
      <c r="A12247" s="50" t="s">
        <v>46</v>
      </c>
      <c r="B12247" s="68" t="str">
        <f>VLOOKUP(A12247,'[1]Componentes APUs'!$H$1:$L$25,2,0)</f>
        <v>Tecnico Liniero</v>
      </c>
      <c r="C12247" s="93">
        <v>2</v>
      </c>
      <c r="D12247" s="50">
        <f>VLOOKUP(A12247,'[1]Componentes APUs'!$H$1:$L$25,3,0)</f>
        <v>2</v>
      </c>
      <c r="E12247" s="51">
        <f>VLOOKUP(A12247,'[1]Componentes APUs'!$H$1:$L$25,4,0)</f>
        <v>154619.04761904763</v>
      </c>
      <c r="F12247" s="51">
        <f>VLOOKUP(A12247,'[1]Componentes APUs'!$H$1:$L$25,5,0)</f>
        <v>92771.42857142858</v>
      </c>
      <c r="G12247" s="51">
        <f>ROUNDUP((E12247+F12247)*C12247/E12235,0)</f>
        <v>164927</v>
      </c>
    </row>
    <row r="12248" spans="1:7" x14ac:dyDescent="0.25">
      <c r="A12248" s="50" t="s">
        <v>48</v>
      </c>
      <c r="B12248" s="68" t="str">
        <f>VLOOKUP(A12248,'[1]Componentes APUs'!$H$1:$L$25,2,0)</f>
        <v>Ayudante Calificado</v>
      </c>
      <c r="C12248" s="93">
        <v>1</v>
      </c>
      <c r="D12248" s="50">
        <f>VLOOKUP(A12248,'[1]Componentes APUs'!$H$1:$L$25,3,0)</f>
        <v>1.5</v>
      </c>
      <c r="E12248" s="51">
        <f>VLOOKUP(A12248,'[1]Componentes APUs'!$H$1:$L$25,4,0)</f>
        <v>115964.28571428571</v>
      </c>
      <c r="F12248" s="51">
        <f>VLOOKUP(A12248,'[1]Componentes APUs'!$H$1:$L$25,5,0)</f>
        <v>69578.57142857142</v>
      </c>
      <c r="G12248" s="51">
        <f>ROUNDUP((E12248+F12248)*C12248/E12235,0)</f>
        <v>61848</v>
      </c>
    </row>
    <row r="12249" spans="1:7" x14ac:dyDescent="0.25">
      <c r="A12249" s="50" t="s">
        <v>50</v>
      </c>
      <c r="B12249" s="68" t="str">
        <f>VLOOKUP(A12249,'[1]Componentes APUs'!$H$1:$L$25,2,0)</f>
        <v>Profesional en SST</v>
      </c>
      <c r="C12249" s="93">
        <v>0.25</v>
      </c>
      <c r="D12249" s="50">
        <f>VLOOKUP(A12249,'[1]Componentes APUs'!$H$1:$L$25,3,0)</f>
        <v>2.5</v>
      </c>
      <c r="E12249" s="51">
        <f>VLOOKUP(A12249,'[1]Componentes APUs'!$H$1:$L$25,4,0)</f>
        <v>169464.28571428571</v>
      </c>
      <c r="F12249" s="51">
        <f>VLOOKUP(A12249,'[1]Componentes APUs'!$H$1:$L$25,5,0)</f>
        <v>101678.57142857142</v>
      </c>
      <c r="G12249" s="51">
        <f>ROUNDUP((E12249+F12249)*C12249/E12235,0)</f>
        <v>22596</v>
      </c>
    </row>
    <row r="12250" spans="1:7" x14ac:dyDescent="0.25">
      <c r="A12250" s="50" t="s">
        <v>52</v>
      </c>
      <c r="B12250" s="68" t="str">
        <f>VLOOKUP(A12250,'[1]Componentes APUs'!$H$1:$L$25,2,0)</f>
        <v>Ayudante No Calificado</v>
      </c>
      <c r="C12250" s="93">
        <v>1</v>
      </c>
      <c r="D12250" s="50">
        <f>VLOOKUP(A12250,'[1]Componentes APUs'!$H$1:$L$25,3,0)</f>
        <v>1</v>
      </c>
      <c r="E12250" s="51">
        <f>VLOOKUP(A12250,'[1]Componentes APUs'!$H$1:$L$25,4,0)</f>
        <v>77309.523809523816</v>
      </c>
      <c r="F12250" s="51">
        <f>VLOOKUP(A12250,'[1]Componentes APUs'!$H$1:$L$25,5,0)</f>
        <v>46385.71428571429</v>
      </c>
      <c r="G12250" s="51">
        <f>ROUNDUP((E12250+F12250)*C12250/E12235,0)</f>
        <v>41232</v>
      </c>
    </row>
    <row r="12251" spans="1:7" x14ac:dyDescent="0.25">
      <c r="A12251" s="219" t="s">
        <v>56</v>
      </c>
      <c r="B12251" s="219"/>
      <c r="C12251" s="219"/>
      <c r="D12251" s="219"/>
      <c r="E12251" s="219"/>
      <c r="F12251" s="219"/>
      <c r="G12251" s="52">
        <f>SUM(G12245:G12250)</f>
        <v>347544</v>
      </c>
    </row>
    <row r="12252" spans="1:7" x14ac:dyDescent="0.25">
      <c r="A12252" s="56"/>
      <c r="B12252" s="57"/>
      <c r="C12252" s="57"/>
      <c r="D12252" s="57"/>
      <c r="E12252" s="57"/>
      <c r="F12252" s="57"/>
      <c r="G12252" s="58"/>
    </row>
    <row r="12253" spans="1:7" x14ac:dyDescent="0.25">
      <c r="A12253" s="219" t="s">
        <v>57</v>
      </c>
      <c r="B12253" s="219"/>
      <c r="C12253" s="219"/>
      <c r="D12253" s="219"/>
      <c r="E12253" s="219"/>
      <c r="F12253" s="219"/>
      <c r="G12253" s="219"/>
    </row>
    <row r="12254" spans="1:7" x14ac:dyDescent="0.25">
      <c r="A12254" s="49" t="s">
        <v>35</v>
      </c>
      <c r="B12254" s="219" t="s">
        <v>36</v>
      </c>
      <c r="C12254" s="219"/>
      <c r="D12254" s="49" t="s">
        <v>37</v>
      </c>
      <c r="E12254" s="49" t="s">
        <v>38</v>
      </c>
      <c r="F12254" s="49" t="s">
        <v>39</v>
      </c>
      <c r="G12254" s="49" t="s">
        <v>40</v>
      </c>
    </row>
    <row r="12255" spans="1:7" x14ac:dyDescent="0.25">
      <c r="A12255" s="50" t="s">
        <v>326</v>
      </c>
      <c r="B12255" s="220" t="str">
        <f>VLOOKUP(A12255,'[1]Componentes APUs'!$S$1:$V$10,2,0)</f>
        <v>Juego Llaves</v>
      </c>
      <c r="C12255" s="220"/>
      <c r="D12255" s="50" t="s">
        <v>18</v>
      </c>
      <c r="E12255" s="50">
        <v>2</v>
      </c>
      <c r="F12255" s="51">
        <f>VLOOKUP(A12255,'[1]Componentes APUs'!$S$1:$V$10,4,0)</f>
        <v>9167</v>
      </c>
      <c r="G12255" s="51">
        <f>ROUNDUP(F12255*((E12255/21)/E12235),0)</f>
        <v>292</v>
      </c>
    </row>
    <row r="12256" spans="1:7" x14ac:dyDescent="0.25">
      <c r="A12256" s="50" t="s">
        <v>58</v>
      </c>
      <c r="B12256" s="220" t="str">
        <f>VLOOKUP(A12256,'[1]Componentes APUs'!$S$1:$V$10,2,0)</f>
        <v>Manila de servicio</v>
      </c>
      <c r="C12256" s="220"/>
      <c r="D12256" s="50" t="s">
        <v>18</v>
      </c>
      <c r="E12256" s="50">
        <v>2</v>
      </c>
      <c r="F12256" s="51">
        <f>VLOOKUP(A12256,'[1]Componentes APUs'!$S$1:$V$10,4,0)</f>
        <v>2333</v>
      </c>
      <c r="G12256" s="51">
        <f>ROUNDUP(F12256*((E12256/21)/E12235),0)</f>
        <v>75</v>
      </c>
    </row>
    <row r="12257" spans="1:7" x14ac:dyDescent="0.25">
      <c r="A12257" s="50" t="s">
        <v>327</v>
      </c>
      <c r="B12257" s="220" t="str">
        <f>VLOOKUP(A12257,'[1]Componentes APUs'!$S$1:$V$10,2,0)</f>
        <v>Tula portaherramientas</v>
      </c>
      <c r="C12257" s="220"/>
      <c r="D12257" s="50" t="s">
        <v>18</v>
      </c>
      <c r="E12257" s="50">
        <v>2</v>
      </c>
      <c r="F12257" s="51">
        <f>VLOOKUP(A12257,'[1]Componentes APUs'!$S$1:$V$10,4,0)</f>
        <v>1250</v>
      </c>
      <c r="G12257" s="51">
        <f>ROUNDUP(F12257*((E12257/21)/E12235),0)</f>
        <v>40</v>
      </c>
    </row>
    <row r="12258" spans="1:7" x14ac:dyDescent="0.25">
      <c r="A12258" s="50" t="s">
        <v>60</v>
      </c>
      <c r="B12258" s="220" t="str">
        <f>VLOOKUP(A12258,'[1]Componentes APUs'!$S$1:$V$10,2,0)</f>
        <v>Agarradoras</v>
      </c>
      <c r="C12258" s="220"/>
      <c r="D12258" s="50" t="s">
        <v>18</v>
      </c>
      <c r="E12258" s="50">
        <v>0</v>
      </c>
      <c r="F12258" s="51">
        <f>VLOOKUP(A12258,'[1]Componentes APUs'!$S$1:$V$10,4,0)</f>
        <v>125000</v>
      </c>
      <c r="G12258" s="51">
        <f>ROUNDUP(F12258*((E12258/21)/E12235),0)</f>
        <v>0</v>
      </c>
    </row>
    <row r="12259" spans="1:7" x14ac:dyDescent="0.25">
      <c r="A12259" s="50" t="s">
        <v>62</v>
      </c>
      <c r="B12259" s="220" t="str">
        <f>VLOOKUP(A12259,'[1]Componentes APUs'!$S$1:$V$10,2,0)</f>
        <v>Templadoras</v>
      </c>
      <c r="C12259" s="220"/>
      <c r="D12259" s="50" t="s">
        <v>18</v>
      </c>
      <c r="E12259" s="50">
        <v>0</v>
      </c>
      <c r="F12259" s="51">
        <f>VLOOKUP(A12259,'[1]Componentes APUs'!$S$1:$V$10,4,0)</f>
        <v>250000</v>
      </c>
      <c r="G12259" s="51">
        <f>ROUNDUP(F12259*((E12259/21)/E12235),0)</f>
        <v>0</v>
      </c>
    </row>
    <row r="12260" spans="1:7" x14ac:dyDescent="0.25">
      <c r="A12260" s="50" t="s">
        <v>328</v>
      </c>
      <c r="B12260" s="220" t="str">
        <f>VLOOKUP(A12260,'[1]Componentes APUs'!$S$1:$V$10,2,0)</f>
        <v>Herramienta Menor</v>
      </c>
      <c r="C12260" s="220"/>
      <c r="D12260" s="50" t="s">
        <v>18</v>
      </c>
      <c r="E12260" s="50">
        <v>2</v>
      </c>
      <c r="F12260" s="51">
        <f>VLOOKUP(A12260,'[1]Componentes APUs'!$S$1:$V$10,4,0)</f>
        <v>75758</v>
      </c>
      <c r="G12260" s="51">
        <f>ROUNDUP(F12260*((E12260/21)/E12235),0)</f>
        <v>2406</v>
      </c>
    </row>
    <row r="12261" spans="1:7" x14ac:dyDescent="0.25">
      <c r="A12261" s="50" t="s">
        <v>66</v>
      </c>
      <c r="B12261" s="220" t="str">
        <f>VLOOKUP(A12261,'[1]Componentes APUs'!$S$1:$V$10,2,0)</f>
        <v>Diferencial 2 Toneladas</v>
      </c>
      <c r="C12261" s="220"/>
      <c r="D12261" s="50" t="s">
        <v>18</v>
      </c>
      <c r="E12261" s="50">
        <v>1</v>
      </c>
      <c r="F12261" s="51">
        <f>VLOOKUP(A12261,'[1]Componentes APUs'!$S$1:$V$10,4,0)</f>
        <v>474905</v>
      </c>
      <c r="G12261" s="51">
        <f>ROUNDUP(F12261*((E12261/21)/E12235),0)</f>
        <v>7539</v>
      </c>
    </row>
    <row r="12262" spans="1:7" x14ac:dyDescent="0.25">
      <c r="A12262" s="219" t="s">
        <v>69</v>
      </c>
      <c r="B12262" s="219"/>
      <c r="C12262" s="219"/>
      <c r="D12262" s="219"/>
      <c r="E12262" s="219"/>
      <c r="F12262" s="219"/>
      <c r="G12262" s="52">
        <f>SUM(G12255:G12261)</f>
        <v>10352</v>
      </c>
    </row>
    <row r="12263" spans="1:7" x14ac:dyDescent="0.25">
      <c r="A12263" s="56"/>
      <c r="B12263" s="57"/>
      <c r="C12263" s="57"/>
      <c r="D12263" s="57"/>
      <c r="E12263" s="57"/>
      <c r="F12263" s="57"/>
      <c r="G12263" s="58"/>
    </row>
    <row r="12264" spans="1:7" x14ac:dyDescent="0.25">
      <c r="A12264" s="219" t="s">
        <v>70</v>
      </c>
      <c r="B12264" s="219"/>
      <c r="C12264" s="219"/>
      <c r="D12264" s="219"/>
      <c r="E12264" s="219"/>
      <c r="F12264" s="219"/>
      <c r="G12264" s="219"/>
    </row>
    <row r="12265" spans="1:7" x14ac:dyDescent="0.25">
      <c r="A12265" s="49" t="s">
        <v>35</v>
      </c>
      <c r="B12265" s="219" t="s">
        <v>36</v>
      </c>
      <c r="C12265" s="219"/>
      <c r="D12265" s="49" t="s">
        <v>37</v>
      </c>
      <c r="E12265" s="49" t="s">
        <v>38</v>
      </c>
      <c r="F12265" s="49" t="s">
        <v>39</v>
      </c>
      <c r="G12265" s="49" t="s">
        <v>40</v>
      </c>
    </row>
    <row r="12266" spans="1:7" x14ac:dyDescent="0.25">
      <c r="A12266" s="50" t="s">
        <v>71</v>
      </c>
      <c r="B12266" s="71" t="str">
        <f>VLOOKUP(A12266,'[1]Componentes APUs'!$A$1:$D$14,2,0)</f>
        <v>Camisa indigo sin partes metalicas</v>
      </c>
      <c r="C12266" s="71"/>
      <c r="D12266" s="50" t="str">
        <f>VLOOKUP(A12266,'[1]Componentes APUs'!$A$1:$D$14,3,0)</f>
        <v>U</v>
      </c>
      <c r="E12266" s="50">
        <f>SUM(C12245:C12250)</f>
        <v>4.75</v>
      </c>
      <c r="F12266" s="51">
        <f>VLOOKUP(A12266,'[1]Componentes APUs'!$A$1:$D$14,4,0)</f>
        <v>8585.8585858585866</v>
      </c>
      <c r="G12266" s="51">
        <f>ROUNDUP(F12266*(E12266/21)/E12235,0)</f>
        <v>648</v>
      </c>
    </row>
    <row r="12267" spans="1:7" x14ac:dyDescent="0.25">
      <c r="A12267" s="69" t="s">
        <v>73</v>
      </c>
      <c r="B12267" s="72" t="str">
        <f>VLOOKUP(A12267,'[1]Componentes APUs'!$A$1:$D$14,2,0)</f>
        <v>Bota de seguridad dielectrica</v>
      </c>
      <c r="C12267" s="73"/>
      <c r="D12267" s="70" t="str">
        <f>VLOOKUP(A12267,'[1]Componentes APUs'!$A$1:$D$14,3,0)</f>
        <v>Par</v>
      </c>
      <c r="E12267" s="50">
        <f>SUM(C12245:C12250)</f>
        <v>4.75</v>
      </c>
      <c r="F12267" s="51">
        <f>VLOOKUP(A12267,'[1]Componentes APUs'!$A$1:$D$14,4,0)</f>
        <v>7500</v>
      </c>
      <c r="G12267" s="51">
        <f>ROUNDUP(F12267*(E12267/21)/E12235,0)</f>
        <v>566</v>
      </c>
    </row>
    <row r="12268" spans="1:7" x14ac:dyDescent="0.25">
      <c r="A12268" s="50" t="s">
        <v>76</v>
      </c>
      <c r="B12268" s="72" t="str">
        <f>VLOOKUP(A12268,'[1]Componentes APUs'!$A$1:$D$14,2,0)</f>
        <v>Casco dielectrico Tipo 1 Clase E con barbuquejo</v>
      </c>
      <c r="C12268" s="73"/>
      <c r="D12268" s="50" t="str">
        <f>VLOOKUP(A12268,'[1]Componentes APUs'!$A$1:$D$14,3,0)</f>
        <v>U</v>
      </c>
      <c r="E12268" s="50">
        <f>C12245+C12246+C12249+C12250+C12248+IF(A12247&lt;&gt;"MO-3",C12247,0)</f>
        <v>2.75</v>
      </c>
      <c r="F12268" s="51">
        <f>VLOOKUP(A12268,'[1]Componentes APUs'!$A$1:$D$14,4,0)</f>
        <v>10101.010101010101</v>
      </c>
      <c r="G12268" s="51">
        <f>ROUNDUP(F12268*(E12268/21)/E12235,0)</f>
        <v>441</v>
      </c>
    </row>
    <row r="12269" spans="1:7" x14ac:dyDescent="0.25">
      <c r="A12269" s="69" t="s">
        <v>77</v>
      </c>
      <c r="B12269" s="72" t="str">
        <f>VLOOKUP(A12269,'[1]Componentes APUs'!$A$1:$D$14,2,0)</f>
        <v>Correa plastica y antiflama</v>
      </c>
      <c r="C12269" s="73"/>
      <c r="D12269" s="50" t="str">
        <f>VLOOKUP(A12269,'[1]Componentes APUs'!$A$1:$D$14,3,0)</f>
        <v>U</v>
      </c>
      <c r="E12269" s="50">
        <f>SUM(C12245:C12250)</f>
        <v>4.75</v>
      </c>
      <c r="F12269" s="51">
        <f>VLOOKUP(A12269,'[1]Componentes APUs'!$A$1:$D$14,4,0)</f>
        <v>3787.878787878788</v>
      </c>
      <c r="G12269" s="51">
        <f>ROUNDUP(F12269*(E12269/21)/E12235,0)</f>
        <v>286</v>
      </c>
    </row>
    <row r="12270" spans="1:7" x14ac:dyDescent="0.25">
      <c r="A12270" s="50" t="s">
        <v>79</v>
      </c>
      <c r="B12270" s="72" t="str">
        <f>VLOOKUP(A12270,'[1]Componentes APUs'!$A$1:$D$14,2,0)</f>
        <v>Gafas protectoras filtro UV</v>
      </c>
      <c r="C12270" s="73"/>
      <c r="D12270" s="50" t="str">
        <f>VLOOKUP(A12270,'[1]Componentes APUs'!$A$1:$D$14,3,0)</f>
        <v>U</v>
      </c>
      <c r="E12270" s="50">
        <f>SUM(C12245:C12250)</f>
        <v>4.75</v>
      </c>
      <c r="F12270" s="51">
        <f>VLOOKUP(A12270,'[1]Componentes APUs'!$A$1:$D$14,4,0)</f>
        <v>2777.7777777777778</v>
      </c>
      <c r="G12270" s="51">
        <f>ROUNDUP(F12270*(E12270/21)/E12235,0)</f>
        <v>210</v>
      </c>
    </row>
    <row r="12271" spans="1:7" x14ac:dyDescent="0.25">
      <c r="A12271" s="69" t="s">
        <v>402</v>
      </c>
      <c r="B12271" s="72" t="str">
        <f>VLOOKUP(A12271,'[1]Componentes APUs'!$A$1:$D$14,2,0)</f>
        <v>Bota de seguridad PVC dielectrica</v>
      </c>
      <c r="C12271" s="73"/>
      <c r="D12271" s="50" t="str">
        <f>VLOOKUP(A12271,'[1]Componentes APUs'!$A$1:$D$14,3,0)</f>
        <v>Par</v>
      </c>
      <c r="E12271" s="50">
        <f>SUM(C12245:C12250)</f>
        <v>4.75</v>
      </c>
      <c r="F12271" s="51">
        <f>VLOOKUP(A12271,'[1]Componentes APUs'!$A$1:$D$14,4,0)</f>
        <v>2916.6666666666665</v>
      </c>
      <c r="G12271" s="51">
        <f>ROUNDUP(F12271*(E12271/21)/E12235,0)</f>
        <v>220</v>
      </c>
    </row>
    <row r="12272" spans="1:7" x14ac:dyDescent="0.25">
      <c r="A12272" s="50" t="s">
        <v>403</v>
      </c>
      <c r="B12272" s="72" t="str">
        <f>VLOOKUP(A12272,'[1]Componentes APUs'!$A$1:$D$14,2,0)</f>
        <v>Capuchon</v>
      </c>
      <c r="C12272" s="73"/>
      <c r="D12272" s="50" t="str">
        <f>VLOOKUP(A12272,'[1]Componentes APUs'!$A$1:$D$14,3,0)</f>
        <v>U</v>
      </c>
      <c r="E12272" s="50">
        <f>SUM(C12245:C12250)</f>
        <v>4.75</v>
      </c>
      <c r="F12272" s="51">
        <f>VLOOKUP(A12272,'[1]Componentes APUs'!$A$1:$D$14,4,0)</f>
        <v>2525.2525252525252</v>
      </c>
      <c r="G12272" s="51">
        <f>ROUNDUP(F12272*(E12272/21)/E12235,0)</f>
        <v>191</v>
      </c>
    </row>
    <row r="12273" spans="1:7" x14ac:dyDescent="0.25">
      <c r="A12273" s="69" t="s">
        <v>81</v>
      </c>
      <c r="B12273" s="72" t="str">
        <f>VLOOKUP(A12273,'[1]Componentes APUs'!$A$1:$D$14,2,0)</f>
        <v>Guantes Protectores  - ingeniero reforzados</v>
      </c>
      <c r="C12273" s="73"/>
      <c r="D12273" s="50" t="str">
        <f>VLOOKUP(A12273,'[1]Componentes APUs'!$A$1:$D$14,3,0)</f>
        <v>Par</v>
      </c>
      <c r="E12273" s="50">
        <f>C12247+C12248+C12250</f>
        <v>4</v>
      </c>
      <c r="F12273" s="51">
        <f>VLOOKUP(A12273,'[1]Componentes APUs'!$A$1:$D$14,4,0)</f>
        <v>2525.2525252525252</v>
      </c>
      <c r="G12273" s="51">
        <f>ROUNDUP(F12273*(E12273/21)/E12235,0)</f>
        <v>161</v>
      </c>
    </row>
    <row r="12274" spans="1:7" x14ac:dyDescent="0.25">
      <c r="A12274" s="50" t="s">
        <v>83</v>
      </c>
      <c r="B12274" s="72" t="str">
        <f>VLOOKUP(A12274,'[1]Componentes APUs'!$A$1:$D$14,2,0)</f>
        <v>Impermeable (pantalon camisa)</v>
      </c>
      <c r="C12274" s="73"/>
      <c r="D12274" s="50" t="str">
        <f>VLOOKUP(A12274,'[1]Componentes APUs'!$A$1:$D$14,3,0)</f>
        <v>U</v>
      </c>
      <c r="E12274" s="50">
        <f>SUM(C12245:C12250)</f>
        <v>4.75</v>
      </c>
      <c r="F12274" s="51">
        <f>VLOOKUP(A12274,'[1]Componentes APUs'!$A$1:$D$14,4,0)</f>
        <v>3750</v>
      </c>
      <c r="G12274" s="51">
        <f>ROUNDUP(F12274*(E12274/21)/E12235,0)</f>
        <v>283</v>
      </c>
    </row>
    <row r="12275" spans="1:7" x14ac:dyDescent="0.25">
      <c r="A12275" s="69" t="s">
        <v>85</v>
      </c>
      <c r="B12275" s="72" t="str">
        <f>VLOOKUP(A12275,'[1]Componentes APUs'!$A$1:$D$14,2,0)</f>
        <v>Jean Dielectrico</v>
      </c>
      <c r="C12275" s="73"/>
      <c r="D12275" s="50" t="str">
        <f>VLOOKUP(A12275,'[1]Componentes APUs'!$A$1:$D$14,3,0)</f>
        <v>U</v>
      </c>
      <c r="E12275" s="50">
        <f>SUM(C12245:C12250)</f>
        <v>4.75</v>
      </c>
      <c r="F12275" s="51">
        <f>VLOOKUP(A12275,'[1]Componentes APUs'!$A$1:$D$14,4,0)</f>
        <v>7575.757575757576</v>
      </c>
      <c r="G12275" s="51">
        <f>ROUNDUP(F12275*(E12275/21)/E12235,0)</f>
        <v>572</v>
      </c>
    </row>
    <row r="12276" spans="1:7" x14ac:dyDescent="0.25">
      <c r="A12276" s="50" t="s">
        <v>87</v>
      </c>
      <c r="B12276" s="72" t="str">
        <f>VLOOKUP(A12276,'[1]Componentes APUs'!$A$1:$D$14,2,0)</f>
        <v>Casco dielectrico Tipo 2 Clase E con barboquejo</v>
      </c>
      <c r="C12276" s="73"/>
      <c r="D12276" s="50" t="str">
        <f>VLOOKUP(A12276,'[1]Componentes APUs'!$A$1:$D$14,3,0)</f>
        <v>U</v>
      </c>
      <c r="E12276" s="53">
        <f>IF(A12247="MO-3",C12247,0)</f>
        <v>2</v>
      </c>
      <c r="F12276" s="51">
        <f>VLOOKUP(A12276,'[1]Componentes APUs'!$A$1:$D$14,4,0)</f>
        <v>7500</v>
      </c>
      <c r="G12276" s="51">
        <f>ROUNDUP(F12276*(E12276/21)/E12235,0)</f>
        <v>239</v>
      </c>
    </row>
    <row r="12277" spans="1:7" x14ac:dyDescent="0.25">
      <c r="A12277" s="69" t="s">
        <v>89</v>
      </c>
      <c r="B12277" s="72" t="str">
        <f>VLOOKUP(A12277,'[1]Componentes APUs'!$A$1:$D$14,2,0)</f>
        <v>Kit de rescate para trabajo en alturas</v>
      </c>
      <c r="C12277" s="73"/>
      <c r="D12277" s="50" t="str">
        <f>VLOOKUP(A12277,'[1]Componentes APUs'!$A$1:$D$14,3,0)</f>
        <v>U</v>
      </c>
      <c r="E12277" s="50">
        <f>IF(AND(A12247="MO-3",C12247=2),1,0)</f>
        <v>1</v>
      </c>
      <c r="F12277" s="51">
        <f>VLOOKUP(A12277,'[1]Componentes APUs'!$A$1:$D$14,4,0)</f>
        <v>37500</v>
      </c>
      <c r="G12277" s="51">
        <f>ROUNDUP(F12277*(E12277/21)/E12235,0)</f>
        <v>596</v>
      </c>
    </row>
    <row r="12278" spans="1:7" x14ac:dyDescent="0.25">
      <c r="A12278" s="50" t="s">
        <v>91</v>
      </c>
      <c r="B12278" s="72" t="str">
        <f>VLOOKUP(A12278,'[1]Componentes APUs'!$A$1:$D$14,2,0)</f>
        <v>Equipo completo para trabajo en alturas con pretales (Arnes dielectrico, 1 mosqueton de seguridad, tie off dielectrico, eslinga de posicionamiento, juego de pretales)</v>
      </c>
      <c r="C12278" s="73"/>
      <c r="D12278" s="50" t="str">
        <f>VLOOKUP(A12278,'[1]Componentes APUs'!$A$1:$D$14,3,0)</f>
        <v>U</v>
      </c>
      <c r="E12278" s="50">
        <f>IF(A12247="MO-3",C12247,0)</f>
        <v>2</v>
      </c>
      <c r="F12278" s="51">
        <f>VLOOKUP(A12278,'[1]Componentes APUs'!$A$1:$D$14,4,0)</f>
        <v>26041.666666666668</v>
      </c>
      <c r="G12278" s="51">
        <f>ROUNDUP(F12278*(E12278/21)/E12235,0)</f>
        <v>827</v>
      </c>
    </row>
    <row r="12279" spans="1:7" x14ac:dyDescent="0.25">
      <c r="A12279" s="219" t="s">
        <v>95</v>
      </c>
      <c r="B12279" s="219"/>
      <c r="C12279" s="219"/>
      <c r="D12279" s="219"/>
      <c r="E12279" s="219"/>
      <c r="F12279" s="219"/>
      <c r="G12279" s="52">
        <f>SUM(G12266:G12278)</f>
        <v>5240</v>
      </c>
    </row>
    <row r="12280" spans="1:7" x14ac:dyDescent="0.25">
      <c r="A12280" s="56"/>
      <c r="B12280" s="57"/>
      <c r="C12280" s="57"/>
      <c r="D12280" s="57"/>
      <c r="E12280" s="57"/>
      <c r="F12280" s="57"/>
      <c r="G12280" s="58"/>
    </row>
    <row r="12281" spans="1:7" x14ac:dyDescent="0.25">
      <c r="A12281" s="219" t="s">
        <v>96</v>
      </c>
      <c r="B12281" s="219"/>
      <c r="C12281" s="219"/>
      <c r="D12281" s="219"/>
      <c r="E12281" s="219"/>
      <c r="F12281" s="219"/>
      <c r="G12281" s="219"/>
    </row>
    <row r="12282" spans="1:7" x14ac:dyDescent="0.25">
      <c r="A12282" s="49" t="s">
        <v>35</v>
      </c>
      <c r="B12282" s="225" t="s">
        <v>36</v>
      </c>
      <c r="C12282" s="225"/>
      <c r="D12282" s="49" t="s">
        <v>37</v>
      </c>
      <c r="E12282" s="49" t="s">
        <v>38</v>
      </c>
      <c r="F12282" s="49" t="s">
        <v>39</v>
      </c>
      <c r="G12282" s="49" t="s">
        <v>40</v>
      </c>
    </row>
    <row r="12283" spans="1:7" x14ac:dyDescent="0.25">
      <c r="A12283" s="69" t="s">
        <v>97</v>
      </c>
      <c r="B12283" s="72" t="str">
        <f>VLOOKUP(A12283,'[1]Componentes APUs'!$N$1:$Q$30,2,0)</f>
        <v>Camioneta</v>
      </c>
      <c r="C12283" s="73"/>
      <c r="D12283" s="70" t="str">
        <f>VLOOKUP(A12283,'[1]Componentes APUs'!$N$1:$Q$30,3,0)</f>
        <v>U</v>
      </c>
      <c r="E12283" s="50">
        <v>1</v>
      </c>
      <c r="F12283" s="51">
        <f>VLOOKUP(A12283,'[1]Componentes APUs'!$N$1:$Q$30,4,0)</f>
        <v>5500000</v>
      </c>
      <c r="G12283" s="51">
        <f>IFERROR(ROUNDUP(F12283*(E12283/21)/E12235,0),"-")</f>
        <v>87302</v>
      </c>
    </row>
    <row r="12284" spans="1:7" x14ac:dyDescent="0.25">
      <c r="A12284" s="50" t="s">
        <v>321</v>
      </c>
      <c r="B12284" s="72" t="str">
        <f>VLOOKUP(A12284,'[1]Componentes APUs'!$N$1:$Q$30,2,0)</f>
        <v>Grúa Hidráulica</v>
      </c>
      <c r="C12284" s="73"/>
      <c r="D12284" s="70" t="str">
        <f>VLOOKUP(A12284,'[1]Componentes APUs'!$N$1:$Q$30,3,0)</f>
        <v>U</v>
      </c>
      <c r="E12284" s="50">
        <v>0</v>
      </c>
      <c r="F12284" s="51">
        <f>VLOOKUP(A12284,'[1]Componentes APUs'!$N$1:$Q$30,4,0)</f>
        <v>21000000</v>
      </c>
      <c r="G12284" s="51">
        <f>IFERROR(ROUNDUP(F12284*(E12284/21)/E12235,0),"-")</f>
        <v>0</v>
      </c>
    </row>
    <row r="12285" spans="1:7" x14ac:dyDescent="0.25">
      <c r="A12285" s="69" t="s">
        <v>322</v>
      </c>
      <c r="B12285" s="72" t="str">
        <f>VLOOKUP(A12285,'[1]Componentes APUs'!$N$1:$Q$30,2,0)</f>
        <v>Camabaja</v>
      </c>
      <c r="C12285" s="73"/>
      <c r="D12285" s="70" t="str">
        <f>VLOOKUP(A12285,'[1]Componentes APUs'!$N$1:$Q$30,3,0)</f>
        <v>TON/KM</v>
      </c>
      <c r="E12285" s="50">
        <v>0</v>
      </c>
      <c r="F12285" s="51">
        <f>VLOOKUP(A12285,'[1]Componentes APUs'!$N$1:$Q$30,4,0)</f>
        <v>611</v>
      </c>
      <c r="G12285" s="51">
        <f>IFERROR(ROUNDUP(F12285*(E12285/21)/E12235,0),"-")</f>
        <v>0</v>
      </c>
    </row>
    <row r="12286" spans="1:7" x14ac:dyDescent="0.25">
      <c r="A12286" s="50" t="s">
        <v>323</v>
      </c>
      <c r="B12286" s="72" t="str">
        <f>VLOOKUP(A12286,'[1]Componentes APUs'!$N$1:$Q$30,2,0)</f>
        <v>Volqueta</v>
      </c>
      <c r="C12286" s="73"/>
      <c r="D12286" s="70" t="str">
        <f>VLOOKUP(A12286,'[1]Componentes APUs'!$N$1:$Q$30,3,0)</f>
        <v>U</v>
      </c>
      <c r="E12286" s="50">
        <v>0</v>
      </c>
      <c r="F12286" s="51">
        <f>VLOOKUP(A12286,'[1]Componentes APUs'!$N$1:$Q$30,4,0)</f>
        <v>18900000</v>
      </c>
      <c r="G12286" s="51">
        <f>IFERROR(ROUNDUP(F12286*(E12286/21)/E12235,0),"-")</f>
        <v>0</v>
      </c>
    </row>
    <row r="12287" spans="1:7" x14ac:dyDescent="0.25">
      <c r="A12287" s="69" t="s">
        <v>324</v>
      </c>
      <c r="B12287" s="72" t="str">
        <f>VLOOKUP(A12287,'[1]Componentes APUs'!$N$1:$Q$30,2,0)</f>
        <v>Retroexcavadora</v>
      </c>
      <c r="C12287" s="73"/>
      <c r="D12287" s="70" t="str">
        <f>VLOOKUP(A12287,'[1]Componentes APUs'!$N$1:$Q$30,3,0)</f>
        <v>U</v>
      </c>
      <c r="E12287" s="50">
        <v>0</v>
      </c>
      <c r="F12287" s="51">
        <f>VLOOKUP(A12287,'[1]Componentes APUs'!$N$1:$Q$30,4,0)</f>
        <v>1494459.54</v>
      </c>
      <c r="G12287" s="51">
        <f>IFERROR(ROUNDUP(F12287*(E12287/21)/E12235,0),"-")</f>
        <v>0</v>
      </c>
    </row>
    <row r="12288" spans="1:7" x14ac:dyDescent="0.25">
      <c r="A12288" s="219" t="s">
        <v>99</v>
      </c>
      <c r="B12288" s="219"/>
      <c r="C12288" s="219"/>
      <c r="D12288" s="219"/>
      <c r="E12288" s="219"/>
      <c r="F12288" s="219"/>
      <c r="G12288" s="52">
        <f>SUM(G12283:G12287)</f>
        <v>87302</v>
      </c>
    </row>
    <row r="12289" spans="1:7" x14ac:dyDescent="0.25">
      <c r="A12289" s="56"/>
      <c r="B12289" s="57"/>
      <c r="C12289" s="57"/>
      <c r="D12289" s="57"/>
      <c r="E12289" s="57"/>
      <c r="F12289" s="57"/>
      <c r="G12289" s="58"/>
    </row>
    <row r="12290" spans="1:7" x14ac:dyDescent="0.25">
      <c r="A12290" s="219" t="s">
        <v>1516</v>
      </c>
      <c r="B12290" s="219"/>
      <c r="C12290" s="219"/>
      <c r="D12290" s="219"/>
      <c r="E12290" s="219"/>
      <c r="F12290" s="219"/>
      <c r="G12290" s="52">
        <f>G12288+G12279+G12262+G12251+G12241</f>
        <v>21656238</v>
      </c>
    </row>
    <row r="12291" spans="1:7" x14ac:dyDescent="0.25">
      <c r="A12291" s="59"/>
      <c r="B12291" s="60"/>
      <c r="C12291" s="60"/>
      <c r="D12291" s="60"/>
      <c r="E12291" s="57"/>
      <c r="F12291" s="57"/>
      <c r="G12291" s="58"/>
    </row>
    <row r="12292" spans="1:7" x14ac:dyDescent="0.25">
      <c r="A12292" s="64"/>
      <c r="D12292" s="55"/>
      <c r="E12292" s="49" t="s">
        <v>25</v>
      </c>
      <c r="F12292" s="54">
        <v>0.15</v>
      </c>
      <c r="G12292" s="51">
        <f>G12290*F12292</f>
        <v>3248435.6999999997</v>
      </c>
    </row>
    <row r="12293" spans="1:7" x14ac:dyDescent="0.25">
      <c r="A12293" s="64"/>
      <c r="D12293" s="55"/>
      <c r="E12293" s="49" t="s">
        <v>26</v>
      </c>
      <c r="F12293" s="54">
        <v>0.05</v>
      </c>
      <c r="G12293" s="51">
        <f>G12290*F12293</f>
        <v>1082811.9000000001</v>
      </c>
    </row>
    <row r="12294" spans="1:7" x14ac:dyDescent="0.25">
      <c r="A12294" s="61"/>
      <c r="B12294" s="65"/>
      <c r="C12294" s="65"/>
      <c r="D12294" s="62"/>
      <c r="E12294" s="49" t="s">
        <v>27</v>
      </c>
      <c r="F12294" s="54">
        <v>0.05</v>
      </c>
      <c r="G12294" s="51">
        <f>G12290*F12294</f>
        <v>1082811.9000000001</v>
      </c>
    </row>
    <row r="12295" spans="1:7" x14ac:dyDescent="0.25">
      <c r="A12295" s="61"/>
      <c r="B12295" s="62"/>
      <c r="C12295" s="62"/>
      <c r="D12295" s="62"/>
      <c r="E12295" s="62"/>
      <c r="F12295" s="62"/>
      <c r="G12295" s="63"/>
    </row>
    <row r="12296" spans="1:7" x14ac:dyDescent="0.25">
      <c r="A12296" s="219" t="s">
        <v>1517</v>
      </c>
      <c r="B12296" s="219"/>
      <c r="C12296" s="219"/>
      <c r="D12296" s="219"/>
      <c r="E12296" s="219"/>
      <c r="F12296" s="219"/>
      <c r="G12296" s="52">
        <f>G12290+G12292+G12293+G12294</f>
        <v>27070297.499999996</v>
      </c>
    </row>
    <row r="12297" spans="1:7" x14ac:dyDescent="0.25">
      <c r="A12297" s="59"/>
      <c r="B12297" s="60"/>
      <c r="C12297" s="60"/>
      <c r="D12297" s="60"/>
      <c r="E12297" s="57"/>
      <c r="F12297" s="57"/>
      <c r="G12297" s="58"/>
    </row>
    <row r="12298" spans="1:7" x14ac:dyDescent="0.25">
      <c r="A12298" s="64"/>
      <c r="D12298" s="55"/>
      <c r="E12298" s="49" t="s">
        <v>102</v>
      </c>
      <c r="F12298" s="49" t="s">
        <v>103</v>
      </c>
      <c r="G12298" s="51">
        <f>G12294*19%</f>
        <v>205734.26100000003</v>
      </c>
    </row>
    <row r="12299" spans="1:7" x14ac:dyDescent="0.25">
      <c r="A12299" s="61"/>
      <c r="B12299" s="62"/>
      <c r="C12299" s="62"/>
      <c r="D12299" s="62"/>
      <c r="E12299" s="57"/>
      <c r="F12299" s="57"/>
      <c r="G12299" s="58"/>
    </row>
    <row r="12300" spans="1:7" x14ac:dyDescent="0.25">
      <c r="A12300" s="219" t="s">
        <v>104</v>
      </c>
      <c r="B12300" s="219"/>
      <c r="C12300" s="219"/>
      <c r="D12300" s="219"/>
      <c r="E12300" s="219"/>
      <c r="F12300" s="219"/>
      <c r="G12300" s="52">
        <f>G12298+G12296</f>
        <v>27276031.760999996</v>
      </c>
    </row>
    <row r="12302" spans="1:7" x14ac:dyDescent="0.25">
      <c r="A12302" s="74" t="s">
        <v>29</v>
      </c>
      <c r="B12302" s="226" t="s">
        <v>30</v>
      </c>
      <c r="C12302" s="226"/>
      <c r="D12302" s="74" t="s">
        <v>31</v>
      </c>
      <c r="E12302" s="74" t="s">
        <v>32</v>
      </c>
      <c r="F12302" s="74" t="s">
        <v>189</v>
      </c>
      <c r="G12302" s="74" t="s">
        <v>33</v>
      </c>
    </row>
    <row r="12303" spans="1:7" ht="73.5" customHeight="1" x14ac:dyDescent="0.25">
      <c r="A12303" s="50" t="str">
        <f>Presupuesto!B223</f>
        <v>032_N3</v>
      </c>
      <c r="B12303" s="220" t="str">
        <f>Presupuesto!C223</f>
        <v>SUMINISTRO E INSTALACIÓN DE TABLERO AUTOSOPORTADO DE FABRICACIÓN ESPECIAL. DE USO INTERIOR. IP 54. LAMINA DE ACERO GALVANIZADA CALIBRE 18. PARA ALBERGAR HASTA 6 EQUIPOS DE MEDIDA SEMIDIRECTA, SEGÚN DIAGRAMA UNIFILAR (+Q01A, +Q01B,+Q03A,+Q03B). INCLUYE ILUMINACIÓN, RESISTENCIA PARA CALEFACCIÓN, BREAKERS DE PROTECCIÓN, CANALETAS Y DEMÁS ACCESORIOS.</v>
      </c>
      <c r="C12303" s="220"/>
      <c r="D12303" s="50" t="s">
        <v>8</v>
      </c>
      <c r="E12303" s="50">
        <f>1/2</f>
        <v>0.5</v>
      </c>
      <c r="F12303" s="50"/>
      <c r="G12303" s="51">
        <f>G12370</f>
        <v>14945606.109500002</v>
      </c>
    </row>
    <row r="12304" spans="1:7" x14ac:dyDescent="0.25">
      <c r="A12304" s="219" t="s">
        <v>34</v>
      </c>
      <c r="B12304" s="219"/>
      <c r="C12304" s="219"/>
      <c r="D12304" s="219"/>
      <c r="E12304" s="219"/>
      <c r="F12304" s="219"/>
      <c r="G12304" s="219"/>
    </row>
    <row r="12305" spans="1:7" x14ac:dyDescent="0.25">
      <c r="A12305" s="49" t="s">
        <v>35</v>
      </c>
      <c r="B12305" s="219" t="s">
        <v>36</v>
      </c>
      <c r="C12305" s="219"/>
      <c r="D12305" s="49" t="s">
        <v>37</v>
      </c>
      <c r="E12305" s="49" t="s">
        <v>38</v>
      </c>
      <c r="F12305" s="49" t="s">
        <v>39</v>
      </c>
      <c r="G12305" s="49" t="s">
        <v>40</v>
      </c>
    </row>
    <row r="12306" spans="1:7" ht="39" customHeight="1" x14ac:dyDescent="0.25">
      <c r="A12306" s="17" t="str">
        <f>Material!A32</f>
        <v>MA-31</v>
      </c>
      <c r="B12306" s="251" t="str">
        <f>IFERROR(VLOOKUP(A12306,Material!$A:$J,2,0),"-")</f>
        <v>TABLERO AUTOSOPORTADO DE FABRICACIÓN ESPECIAL. DE USO INTERIOR. IP 65. LAMINA DE ACERO GALVANIZADA CALIBRE 18. PARA ALBERGAR HASTA 6 EQUIPOS DE MEDIDA SEMIDIRECTA</v>
      </c>
      <c r="C12306" s="252"/>
      <c r="D12306" s="50" t="str">
        <f>IFERROR(VLOOKUP(A12306,Material!$A:$J,4,0),"-")</f>
        <v>UN</v>
      </c>
      <c r="E12306" s="50">
        <v>1</v>
      </c>
      <c r="F12306" s="51">
        <f>IFERROR(VLOOKUP(A12306,Material!$A:$J,3,0),"-")</f>
        <v>9100000</v>
      </c>
      <c r="G12306" s="51">
        <f t="shared" ref="G12306:G12312" si="173">IFERROR(ROUNDUP(F12306*E12306,0),"-")</f>
        <v>9100000</v>
      </c>
    </row>
    <row r="12307" spans="1:7" x14ac:dyDescent="0.25">
      <c r="A12307" s="17" t="str">
        <f>Material!A33</f>
        <v>MA-32</v>
      </c>
      <c r="B12307" s="251" t="str">
        <f>IFERROR(VLOOKUP(A12307,Material!$A:$J,2,0),"-")</f>
        <v>LÁMPARA LED</v>
      </c>
      <c r="C12307" s="252"/>
      <c r="D12307" s="50" t="str">
        <f>IFERROR(VLOOKUP(A12307,Material!$A:$J,4,0),"-")</f>
        <v>UN</v>
      </c>
      <c r="E12307" s="50">
        <v>1</v>
      </c>
      <c r="F12307" s="51">
        <f>IFERROR(VLOOKUP(A12307,Material!$A:$J,3,0),"-")</f>
        <v>307373.88256268692</v>
      </c>
      <c r="G12307" s="51">
        <f t="shared" si="173"/>
        <v>307374</v>
      </c>
    </row>
    <row r="12308" spans="1:7" x14ac:dyDescent="0.25">
      <c r="A12308" s="17" t="str">
        <f>Material!A142</f>
        <v>MA-141</v>
      </c>
      <c r="B12308" s="251" t="str">
        <f>IFERROR(VLOOKUP(A12308,Material!$A:$J,2,0),"-")</f>
        <v>CAJA RAWELT</v>
      </c>
      <c r="C12308" s="252"/>
      <c r="D12308" s="50" t="str">
        <f>IFERROR(VLOOKUP(A12308,Material!$A:$J,4,0),"-")</f>
        <v>UN</v>
      </c>
      <c r="E12308" s="50">
        <v>1</v>
      </c>
      <c r="F12308" s="51">
        <f>IFERROR(VLOOKUP(A12308,Material!$A:$J,3,0),"-")</f>
        <v>13778.7</v>
      </c>
      <c r="G12308" s="51">
        <f t="shared" si="173"/>
        <v>13779</v>
      </c>
    </row>
    <row r="12309" spans="1:7" x14ac:dyDescent="0.25">
      <c r="A12309" s="17" t="str">
        <f>Material!A230</f>
        <v>MA-229</v>
      </c>
      <c r="B12309" s="251" t="str">
        <f>IFERROR(VLOOKUP(A12309,Material!$A:$J,2,0),"-")</f>
        <v>TOMA CORRIENTE LEVITON</v>
      </c>
      <c r="C12309" s="252"/>
      <c r="D12309" s="50" t="str">
        <f>IFERROR(VLOOKUP(A12309,Material!$A:$J,4,0),"-")</f>
        <v>UN</v>
      </c>
      <c r="E12309" s="50">
        <v>1</v>
      </c>
      <c r="F12309" s="51">
        <f>IFERROR(VLOOKUP(A12309,Material!$A:$J,3,0),"-")</f>
        <v>4615</v>
      </c>
      <c r="G12309" s="51">
        <f t="shared" si="173"/>
        <v>4615</v>
      </c>
    </row>
    <row r="12310" spans="1:7" x14ac:dyDescent="0.25">
      <c r="A12310" s="17" t="str">
        <f>Material!A34</f>
        <v>MA-33</v>
      </c>
      <c r="B12310" s="251" t="str">
        <f>IFERROR(VLOOKUP(A12310,Material!$A:$J,2,0),"-")</f>
        <v>RESISTENCIA DE CALEFACCIÓN PARA CUADROS ELÉCTRICOS 30W. IP20</v>
      </c>
      <c r="C12310" s="252"/>
      <c r="D12310" s="50" t="str">
        <f>IFERROR(VLOOKUP(A12310,Material!$A:$J,4,0),"-")</f>
        <v>UN</v>
      </c>
      <c r="E12310" s="50">
        <v>1</v>
      </c>
      <c r="F12310" s="51">
        <f>IFERROR(VLOOKUP(A12310,Material!$A:$J,3,0),"-")</f>
        <v>262031.83808815968</v>
      </c>
      <c r="G12310" s="51">
        <f t="shared" si="173"/>
        <v>262032</v>
      </c>
    </row>
    <row r="12311" spans="1:7" x14ac:dyDescent="0.25">
      <c r="A12311" s="17" t="str">
        <f>Material!A35</f>
        <v>MA-34</v>
      </c>
      <c r="B12311" s="251" t="str">
        <f>IFERROR(VLOOKUP(A12311,Material!$A:$J,2,0),"-")</f>
        <v>BREAKER DE RIEL MONOPOLAR 1 X 20 AMP 6 KA</v>
      </c>
      <c r="C12311" s="252"/>
      <c r="D12311" s="50" t="str">
        <f>IFERROR(VLOOKUP(A12311,Material!$A:$J,4,0),"-")</f>
        <v>UN</v>
      </c>
      <c r="E12311" s="50">
        <v>1</v>
      </c>
      <c r="F12311" s="51">
        <f>IFERROR(VLOOKUP(A12311,Material!$A:$J,3,0),"-")</f>
        <v>23790</v>
      </c>
      <c r="G12311" s="51">
        <f t="shared" si="173"/>
        <v>23790</v>
      </c>
    </row>
    <row r="12312" spans="1:7" x14ac:dyDescent="0.25">
      <c r="A12312" s="17" t="str">
        <f>Material!A37</f>
        <v>MA-36</v>
      </c>
      <c r="B12312" s="251" t="str">
        <f>IFERROR(VLOOKUP(A12312,Material!$A:$J,2,0),"-")</f>
        <v>CANALETAS RANURADA 40X60 MM</v>
      </c>
      <c r="C12312" s="252"/>
      <c r="D12312" s="50" t="str">
        <f>IFERROR(VLOOKUP(A12312,Material!$A:$J,4,0),"-")</f>
        <v>ML</v>
      </c>
      <c r="E12312" s="50">
        <v>8</v>
      </c>
      <c r="F12312" s="51">
        <f>IFERROR(VLOOKUP(A12312,Material!$A:$J,3,0),"-")</f>
        <v>31908.5</v>
      </c>
      <c r="G12312" s="51">
        <f t="shared" si="173"/>
        <v>255268</v>
      </c>
    </row>
    <row r="12313" spans="1:7" x14ac:dyDescent="0.25">
      <c r="A12313" s="219" t="s">
        <v>41</v>
      </c>
      <c r="B12313" s="219"/>
      <c r="C12313" s="219"/>
      <c r="D12313" s="219"/>
      <c r="E12313" s="219"/>
      <c r="F12313" s="219"/>
      <c r="G12313" s="52">
        <f>SUM(G12306:G12312)</f>
        <v>9966858</v>
      </c>
    </row>
    <row r="12314" spans="1:7" x14ac:dyDescent="0.25">
      <c r="A12314" s="56"/>
      <c r="B12314" s="57"/>
      <c r="C12314" s="57"/>
      <c r="D12314" s="57"/>
      <c r="E12314" s="57"/>
      <c r="F12314" s="57"/>
      <c r="G12314" s="58"/>
    </row>
    <row r="12315" spans="1:7" x14ac:dyDescent="0.25">
      <c r="A12315" s="219" t="s">
        <v>42</v>
      </c>
      <c r="B12315" s="219"/>
      <c r="C12315" s="219"/>
      <c r="D12315" s="219"/>
      <c r="E12315" s="219"/>
      <c r="F12315" s="219"/>
      <c r="G12315" s="219"/>
    </row>
    <row r="12316" spans="1:7" x14ac:dyDescent="0.25">
      <c r="A12316" s="49" t="s">
        <v>35</v>
      </c>
      <c r="B12316" s="49" t="s">
        <v>36</v>
      </c>
      <c r="C12316" s="49" t="s">
        <v>38</v>
      </c>
      <c r="D12316" s="49" t="s">
        <v>43</v>
      </c>
      <c r="E12316" s="49" t="s">
        <v>44</v>
      </c>
      <c r="F12316" s="49" t="s">
        <v>45</v>
      </c>
      <c r="G12316" s="49" t="s">
        <v>40</v>
      </c>
    </row>
    <row r="12317" spans="1:7" x14ac:dyDescent="0.25">
      <c r="A12317" s="50" t="s">
        <v>319</v>
      </c>
      <c r="B12317" s="68" t="str">
        <f>VLOOKUP(A12317,'[1]Componentes APUs'!$H$1:$L$25,2,0)</f>
        <v>Ingeniero Residente de Obra</v>
      </c>
      <c r="C12317" s="93">
        <v>0.25</v>
      </c>
      <c r="D12317" s="50">
        <f>VLOOKUP(A12317,'[1]Componentes APUs'!$H$1:$L$25,3,0)</f>
        <v>4</v>
      </c>
      <c r="E12317" s="51">
        <f>VLOOKUP(A12317,'[1]Componentes APUs'!$H$1:$L$25,4,0)</f>
        <v>271142.85714285716</v>
      </c>
      <c r="F12317" s="51">
        <f>VLOOKUP(A12317,'[1]Componentes APUs'!$H$1:$L$25,5,0)</f>
        <v>162685.71428571429</v>
      </c>
      <c r="G12317" s="51">
        <f>ROUNDUP((E12317+F12317)*C12317/E12303,0)</f>
        <v>216915</v>
      </c>
    </row>
    <row r="12318" spans="1:7" x14ac:dyDescent="0.25">
      <c r="A12318" s="50" t="s">
        <v>320</v>
      </c>
      <c r="B12318" s="68" t="str">
        <f>VLOOKUP(A12318,'[1]Componentes APUs'!$H$1:$L$25,2,0)</f>
        <v>Tecnico Supervisor</v>
      </c>
      <c r="C12318" s="93">
        <v>0.25</v>
      </c>
      <c r="D12318" s="50">
        <f>VLOOKUP(A12318,'[1]Componentes APUs'!$H$1:$L$25,3,0)</f>
        <v>2.2999999999999998</v>
      </c>
      <c r="E12318" s="51">
        <f>VLOOKUP(A12318,'[1]Componentes APUs'!$H$1:$L$25,4,0)</f>
        <v>155907.14285714284</v>
      </c>
      <c r="F12318" s="51">
        <f>VLOOKUP(A12318,'[1]Componentes APUs'!$H$1:$L$25,5,0)</f>
        <v>93544.285714285696</v>
      </c>
      <c r="G12318" s="51">
        <f>ROUNDUP((E12318+F12318)*C12318/E12303,0)</f>
        <v>124726</v>
      </c>
    </row>
    <row r="12319" spans="1:7" x14ac:dyDescent="0.25">
      <c r="A12319" s="50" t="s">
        <v>46</v>
      </c>
      <c r="B12319" s="68" t="str">
        <f>VLOOKUP(A12319,'[1]Componentes APUs'!$H$1:$L$25,2,0)</f>
        <v>Tecnico Liniero</v>
      </c>
      <c r="C12319" s="93">
        <v>1</v>
      </c>
      <c r="D12319" s="50">
        <f>VLOOKUP(A12319,'[1]Componentes APUs'!$H$1:$L$25,3,0)</f>
        <v>2</v>
      </c>
      <c r="E12319" s="51">
        <f>VLOOKUP(A12319,'[1]Componentes APUs'!$H$1:$L$25,4,0)</f>
        <v>154619.04761904763</v>
      </c>
      <c r="F12319" s="51">
        <f>VLOOKUP(A12319,'[1]Componentes APUs'!$H$1:$L$25,5,0)</f>
        <v>92771.42857142858</v>
      </c>
      <c r="G12319" s="51">
        <f>ROUNDUP((E12319+F12319)*C12319/E12303,0)</f>
        <v>494781</v>
      </c>
    </row>
    <row r="12320" spans="1:7" x14ac:dyDescent="0.25">
      <c r="A12320" s="50" t="s">
        <v>48</v>
      </c>
      <c r="B12320" s="68" t="str">
        <f>VLOOKUP(A12320,'[1]Componentes APUs'!$H$1:$L$25,2,0)</f>
        <v>Ayudante Calificado</v>
      </c>
      <c r="C12320" s="93">
        <v>1</v>
      </c>
      <c r="D12320" s="50">
        <f>VLOOKUP(A12320,'[1]Componentes APUs'!$H$1:$L$25,3,0)</f>
        <v>1.5</v>
      </c>
      <c r="E12320" s="51">
        <f>VLOOKUP(A12320,'[1]Componentes APUs'!$H$1:$L$25,4,0)</f>
        <v>115964.28571428571</v>
      </c>
      <c r="F12320" s="51">
        <f>VLOOKUP(A12320,'[1]Componentes APUs'!$H$1:$L$25,5,0)</f>
        <v>69578.57142857142</v>
      </c>
      <c r="G12320" s="51">
        <f>ROUNDUP((E12320+F12320)*C12320/E12303,0)</f>
        <v>371086</v>
      </c>
    </row>
    <row r="12321" spans="1:7" x14ac:dyDescent="0.25">
      <c r="A12321" s="50" t="s">
        <v>50</v>
      </c>
      <c r="B12321" s="68" t="str">
        <f>VLOOKUP(A12321,'[1]Componentes APUs'!$H$1:$L$25,2,0)</f>
        <v>Profesional en SST</v>
      </c>
      <c r="C12321" s="93">
        <v>0.25</v>
      </c>
      <c r="D12321" s="50">
        <f>VLOOKUP(A12321,'[1]Componentes APUs'!$H$1:$L$25,3,0)</f>
        <v>2.5</v>
      </c>
      <c r="E12321" s="51">
        <f>VLOOKUP(A12321,'[1]Componentes APUs'!$H$1:$L$25,4,0)</f>
        <v>169464.28571428571</v>
      </c>
      <c r="F12321" s="51">
        <f>VLOOKUP(A12321,'[1]Componentes APUs'!$H$1:$L$25,5,0)</f>
        <v>101678.57142857142</v>
      </c>
      <c r="G12321" s="51">
        <f>ROUNDUP((E12321+F12321)*C12321/E12303,0)</f>
        <v>135572</v>
      </c>
    </row>
    <row r="12322" spans="1:7" x14ac:dyDescent="0.25">
      <c r="A12322" s="50" t="s">
        <v>52</v>
      </c>
      <c r="B12322" s="68" t="str">
        <f>VLOOKUP(A12322,'[1]Componentes APUs'!$H$1:$L$25,2,0)</f>
        <v>Ayudante No Calificado</v>
      </c>
      <c r="C12322" s="93">
        <v>0</v>
      </c>
      <c r="D12322" s="50">
        <f>VLOOKUP(A12322,'[1]Componentes APUs'!$H$1:$L$25,3,0)</f>
        <v>1</v>
      </c>
      <c r="E12322" s="51">
        <f>VLOOKUP(A12322,'[1]Componentes APUs'!$H$1:$L$25,4,0)</f>
        <v>77309.523809523816</v>
      </c>
      <c r="F12322" s="51">
        <f>VLOOKUP(A12322,'[1]Componentes APUs'!$H$1:$L$25,5,0)</f>
        <v>46385.71428571429</v>
      </c>
      <c r="G12322" s="51">
        <f>ROUNDUP((E12322+F12322)*C12322/E12303,0)</f>
        <v>0</v>
      </c>
    </row>
    <row r="12323" spans="1:7" x14ac:dyDescent="0.25">
      <c r="A12323" s="219" t="s">
        <v>56</v>
      </c>
      <c r="B12323" s="219"/>
      <c r="C12323" s="219"/>
      <c r="D12323" s="219"/>
      <c r="E12323" s="219"/>
      <c r="F12323" s="219"/>
      <c r="G12323" s="52">
        <f>SUM(G12317:G12322)</f>
        <v>1343080</v>
      </c>
    </row>
    <row r="12324" spans="1:7" x14ac:dyDescent="0.25">
      <c r="A12324" s="56"/>
      <c r="B12324" s="57"/>
      <c r="C12324" s="57"/>
      <c r="D12324" s="57"/>
      <c r="E12324" s="57"/>
      <c r="F12324" s="57"/>
      <c r="G12324" s="58"/>
    </row>
    <row r="12325" spans="1:7" x14ac:dyDescent="0.25">
      <c r="A12325" s="219" t="s">
        <v>57</v>
      </c>
      <c r="B12325" s="219"/>
      <c r="C12325" s="219"/>
      <c r="D12325" s="219"/>
      <c r="E12325" s="219"/>
      <c r="F12325" s="219"/>
      <c r="G12325" s="219"/>
    </row>
    <row r="12326" spans="1:7" x14ac:dyDescent="0.25">
      <c r="A12326" s="49" t="s">
        <v>35</v>
      </c>
      <c r="B12326" s="219" t="s">
        <v>36</v>
      </c>
      <c r="C12326" s="219"/>
      <c r="D12326" s="49" t="s">
        <v>37</v>
      </c>
      <c r="E12326" s="49" t="s">
        <v>38</v>
      </c>
      <c r="F12326" s="49" t="s">
        <v>39</v>
      </c>
      <c r="G12326" s="49" t="s">
        <v>40</v>
      </c>
    </row>
    <row r="12327" spans="1:7" x14ac:dyDescent="0.25">
      <c r="A12327" s="50" t="s">
        <v>326</v>
      </c>
      <c r="B12327" s="220" t="str">
        <f>VLOOKUP(A12327,'[1]Componentes APUs'!$S$1:$V$10,2,0)</f>
        <v>Juego Llaves</v>
      </c>
      <c r="C12327" s="220"/>
      <c r="D12327" s="50" t="s">
        <v>18</v>
      </c>
      <c r="E12327" s="50">
        <v>2</v>
      </c>
      <c r="F12327" s="51">
        <f>VLOOKUP(A12327,'[1]Componentes APUs'!$S$1:$V$10,4,0)</f>
        <v>9167</v>
      </c>
      <c r="G12327" s="51">
        <f>ROUNDUP(F12327*((E12327/21)/E12303),0)</f>
        <v>1747</v>
      </c>
    </row>
    <row r="12328" spans="1:7" x14ac:dyDescent="0.25">
      <c r="A12328" s="50" t="s">
        <v>58</v>
      </c>
      <c r="B12328" s="220" t="str">
        <f>VLOOKUP(A12328,'[1]Componentes APUs'!$S$1:$V$10,2,0)</f>
        <v>Manila de servicio</v>
      </c>
      <c r="C12328" s="220"/>
      <c r="D12328" s="50" t="s">
        <v>18</v>
      </c>
      <c r="E12328" s="50">
        <v>2</v>
      </c>
      <c r="F12328" s="51">
        <f>VLOOKUP(A12328,'[1]Componentes APUs'!$S$1:$V$10,4,0)</f>
        <v>2333</v>
      </c>
      <c r="G12328" s="51">
        <f>ROUNDUP(F12328*((E12328/21)/E12303),0)</f>
        <v>445</v>
      </c>
    </row>
    <row r="12329" spans="1:7" x14ac:dyDescent="0.25">
      <c r="A12329" s="50" t="s">
        <v>327</v>
      </c>
      <c r="B12329" s="220" t="str">
        <f>VLOOKUP(A12329,'[1]Componentes APUs'!$S$1:$V$10,2,0)</f>
        <v>Tula portaherramientas</v>
      </c>
      <c r="C12329" s="220"/>
      <c r="D12329" s="50" t="s">
        <v>18</v>
      </c>
      <c r="E12329" s="50">
        <v>2</v>
      </c>
      <c r="F12329" s="51">
        <f>VLOOKUP(A12329,'[1]Componentes APUs'!$S$1:$V$10,4,0)</f>
        <v>1250</v>
      </c>
      <c r="G12329" s="51">
        <f>ROUNDUP(F12329*((E12329/21)/E12303),0)</f>
        <v>239</v>
      </c>
    </row>
    <row r="12330" spans="1:7" x14ac:dyDescent="0.25">
      <c r="A12330" s="50" t="s">
        <v>60</v>
      </c>
      <c r="B12330" s="220" t="str">
        <f>VLOOKUP(A12330,'[1]Componentes APUs'!$S$1:$V$10,2,0)</f>
        <v>Agarradoras</v>
      </c>
      <c r="C12330" s="220"/>
      <c r="D12330" s="50" t="s">
        <v>18</v>
      </c>
      <c r="E12330" s="50">
        <v>0</v>
      </c>
      <c r="F12330" s="51">
        <f>VLOOKUP(A12330,'[1]Componentes APUs'!$S$1:$V$10,4,0)</f>
        <v>125000</v>
      </c>
      <c r="G12330" s="51">
        <f>ROUNDUP(F12330*((E12330/21)/E12303),0)</f>
        <v>0</v>
      </c>
    </row>
    <row r="12331" spans="1:7" x14ac:dyDescent="0.25">
      <c r="A12331" s="50" t="s">
        <v>62</v>
      </c>
      <c r="B12331" s="220" t="str">
        <f>VLOOKUP(A12331,'[1]Componentes APUs'!$S$1:$V$10,2,0)</f>
        <v>Templadoras</v>
      </c>
      <c r="C12331" s="220"/>
      <c r="D12331" s="50" t="s">
        <v>18</v>
      </c>
      <c r="E12331" s="50">
        <v>0</v>
      </c>
      <c r="F12331" s="51">
        <f>VLOOKUP(A12331,'[1]Componentes APUs'!$S$1:$V$10,4,0)</f>
        <v>250000</v>
      </c>
      <c r="G12331" s="51">
        <f>ROUNDUP(F12331*((E12331/21)/E12303),0)</f>
        <v>0</v>
      </c>
    </row>
    <row r="12332" spans="1:7" x14ac:dyDescent="0.25">
      <c r="A12332" s="50" t="s">
        <v>328</v>
      </c>
      <c r="B12332" s="220" t="str">
        <f>VLOOKUP(A12332,'[1]Componentes APUs'!$S$1:$V$10,2,0)</f>
        <v>Herramienta Menor</v>
      </c>
      <c r="C12332" s="220"/>
      <c r="D12332" s="50" t="s">
        <v>18</v>
      </c>
      <c r="E12332" s="50">
        <v>2</v>
      </c>
      <c r="F12332" s="51">
        <f>VLOOKUP(A12332,'[1]Componentes APUs'!$S$1:$V$10,4,0)</f>
        <v>75758</v>
      </c>
      <c r="G12332" s="51">
        <f>ROUNDUP(F12332*((E12332/21)/E12303),0)</f>
        <v>14431</v>
      </c>
    </row>
    <row r="12333" spans="1:7" x14ac:dyDescent="0.25">
      <c r="A12333" s="219" t="s">
        <v>69</v>
      </c>
      <c r="B12333" s="219"/>
      <c r="C12333" s="219"/>
      <c r="D12333" s="219"/>
      <c r="E12333" s="219"/>
      <c r="F12333" s="219"/>
      <c r="G12333" s="52">
        <f>SUM(G12327:G12332)</f>
        <v>16862</v>
      </c>
    </row>
    <row r="12334" spans="1:7" x14ac:dyDescent="0.25">
      <c r="A12334" s="56"/>
      <c r="B12334" s="57"/>
      <c r="C12334" s="57"/>
      <c r="D12334" s="57"/>
      <c r="E12334" s="57"/>
      <c r="F12334" s="57"/>
      <c r="G12334" s="58"/>
    </row>
    <row r="12335" spans="1:7" x14ac:dyDescent="0.25">
      <c r="A12335" s="219" t="s">
        <v>70</v>
      </c>
      <c r="B12335" s="219"/>
      <c r="C12335" s="219"/>
      <c r="D12335" s="219"/>
      <c r="E12335" s="219"/>
      <c r="F12335" s="219"/>
      <c r="G12335" s="219"/>
    </row>
    <row r="12336" spans="1:7" x14ac:dyDescent="0.25">
      <c r="A12336" s="49" t="s">
        <v>35</v>
      </c>
      <c r="B12336" s="219" t="s">
        <v>36</v>
      </c>
      <c r="C12336" s="219"/>
      <c r="D12336" s="49" t="s">
        <v>37</v>
      </c>
      <c r="E12336" s="49" t="s">
        <v>38</v>
      </c>
      <c r="F12336" s="49" t="s">
        <v>39</v>
      </c>
      <c r="G12336" s="49" t="s">
        <v>40</v>
      </c>
    </row>
    <row r="12337" spans="1:7" x14ac:dyDescent="0.25">
      <c r="A12337" s="50" t="s">
        <v>71</v>
      </c>
      <c r="B12337" s="71" t="str">
        <f>VLOOKUP(A12337,'[1]Componentes APUs'!$A$1:$D$14,2,0)</f>
        <v>Camisa indigo sin partes metalicas</v>
      </c>
      <c r="C12337" s="71"/>
      <c r="D12337" s="50" t="str">
        <f>VLOOKUP(A12337,'[1]Componentes APUs'!$A$1:$D$14,3,0)</f>
        <v>U</v>
      </c>
      <c r="E12337" s="50">
        <f>SUM(C12317:C12322)</f>
        <v>2.75</v>
      </c>
      <c r="F12337" s="51">
        <f>VLOOKUP(A12337,'[1]Componentes APUs'!$A$1:$D$14,4,0)</f>
        <v>8585.8585858585866</v>
      </c>
      <c r="G12337" s="51">
        <f>ROUNDUP(F12337*(E12337/21)/E12303,0)</f>
        <v>2249</v>
      </c>
    </row>
    <row r="12338" spans="1:7" x14ac:dyDescent="0.25">
      <c r="A12338" s="69" t="s">
        <v>73</v>
      </c>
      <c r="B12338" s="72" t="str">
        <f>VLOOKUP(A12338,'[1]Componentes APUs'!$A$1:$D$14,2,0)</f>
        <v>Bota de seguridad dielectrica</v>
      </c>
      <c r="C12338" s="73"/>
      <c r="D12338" s="70" t="str">
        <f>VLOOKUP(A12338,'[1]Componentes APUs'!$A$1:$D$14,3,0)</f>
        <v>Par</v>
      </c>
      <c r="E12338" s="50">
        <f>SUM(C12317:C12322)</f>
        <v>2.75</v>
      </c>
      <c r="F12338" s="51">
        <f>VLOOKUP(A12338,'[1]Componentes APUs'!$A$1:$D$14,4,0)</f>
        <v>7500</v>
      </c>
      <c r="G12338" s="51">
        <f>ROUNDUP(F12338*(E12338/21)/E12303,0)</f>
        <v>1965</v>
      </c>
    </row>
    <row r="12339" spans="1:7" x14ac:dyDescent="0.25">
      <c r="A12339" s="50" t="s">
        <v>76</v>
      </c>
      <c r="B12339" s="72" t="str">
        <f>VLOOKUP(A12339,'[1]Componentes APUs'!$A$1:$D$14,2,0)</f>
        <v>Casco dielectrico Tipo 1 Clase E con barbuquejo</v>
      </c>
      <c r="C12339" s="73"/>
      <c r="D12339" s="50" t="str">
        <f>VLOOKUP(A12339,'[1]Componentes APUs'!$A$1:$D$14,3,0)</f>
        <v>U</v>
      </c>
      <c r="E12339" s="50">
        <f>C12322+C12317+C12320+C12321+C12318+IF(A12319&lt;&gt;"MO-3",C12319,0)</f>
        <v>1.75</v>
      </c>
      <c r="F12339" s="51">
        <f>VLOOKUP(A12339,'[1]Componentes APUs'!$A$1:$D$14,4,0)</f>
        <v>10101.010101010101</v>
      </c>
      <c r="G12339" s="51">
        <f>ROUNDUP(F12339*(E12339/21)/E12303,0)</f>
        <v>1684</v>
      </c>
    </row>
    <row r="12340" spans="1:7" x14ac:dyDescent="0.25">
      <c r="A12340" s="69" t="s">
        <v>77</v>
      </c>
      <c r="B12340" s="72" t="str">
        <f>VLOOKUP(A12340,'[1]Componentes APUs'!$A$1:$D$14,2,0)</f>
        <v>Correa plastica y antiflama</v>
      </c>
      <c r="C12340" s="73"/>
      <c r="D12340" s="50" t="str">
        <f>VLOOKUP(A12340,'[1]Componentes APUs'!$A$1:$D$14,3,0)</f>
        <v>U</v>
      </c>
      <c r="E12340" s="50">
        <f>SUM(C12317:C12322)</f>
        <v>2.75</v>
      </c>
      <c r="F12340" s="51">
        <f>VLOOKUP(A12340,'[1]Componentes APUs'!$A$1:$D$14,4,0)</f>
        <v>3787.878787878788</v>
      </c>
      <c r="G12340" s="51">
        <f>ROUNDUP(F12340*(E12340/21)/E12303,0)</f>
        <v>993</v>
      </c>
    </row>
    <row r="12341" spans="1:7" x14ac:dyDescent="0.25">
      <c r="A12341" s="50" t="s">
        <v>79</v>
      </c>
      <c r="B12341" s="72" t="str">
        <f>VLOOKUP(A12341,'[1]Componentes APUs'!$A$1:$D$14,2,0)</f>
        <v>Gafas protectoras filtro UV</v>
      </c>
      <c r="C12341" s="73"/>
      <c r="D12341" s="50" t="str">
        <f>VLOOKUP(A12341,'[1]Componentes APUs'!$A$1:$D$14,3,0)</f>
        <v>U</v>
      </c>
      <c r="E12341" s="50">
        <f>SUM(C12317:C12322)</f>
        <v>2.75</v>
      </c>
      <c r="F12341" s="51">
        <f>VLOOKUP(A12341,'[1]Componentes APUs'!$A$1:$D$14,4,0)</f>
        <v>2777.7777777777778</v>
      </c>
      <c r="G12341" s="51">
        <f>ROUNDUP(F12341*(E12341/21)/E12303,0)</f>
        <v>728</v>
      </c>
    </row>
    <row r="12342" spans="1:7" x14ac:dyDescent="0.25">
      <c r="A12342" s="69" t="s">
        <v>402</v>
      </c>
      <c r="B12342" s="72" t="str">
        <f>VLOOKUP(A12342,'[1]Componentes APUs'!$A$1:$D$14,2,0)</f>
        <v>Bota de seguridad PVC dielectrica</v>
      </c>
      <c r="C12342" s="73"/>
      <c r="D12342" s="50" t="str">
        <f>VLOOKUP(A12342,'[1]Componentes APUs'!$A$1:$D$14,3,0)</f>
        <v>Par</v>
      </c>
      <c r="E12342" s="50">
        <f>SUM(C12317:C12322)</f>
        <v>2.75</v>
      </c>
      <c r="F12342" s="51">
        <f>VLOOKUP(A12342,'[1]Componentes APUs'!$A$1:$D$14,4,0)</f>
        <v>2916.6666666666665</v>
      </c>
      <c r="G12342" s="51">
        <f>ROUNDUP(F12342*(E12342/21)/E12303,0)</f>
        <v>764</v>
      </c>
    </row>
    <row r="12343" spans="1:7" x14ac:dyDescent="0.25">
      <c r="A12343" s="50" t="s">
        <v>403</v>
      </c>
      <c r="B12343" s="72" t="str">
        <f>VLOOKUP(A12343,'[1]Componentes APUs'!$A$1:$D$14,2,0)</f>
        <v>Capuchon</v>
      </c>
      <c r="C12343" s="73"/>
      <c r="D12343" s="50" t="str">
        <f>VLOOKUP(A12343,'[1]Componentes APUs'!$A$1:$D$14,3,0)</f>
        <v>U</v>
      </c>
      <c r="E12343" s="50">
        <f>SUM(C12317:C12322)</f>
        <v>2.75</v>
      </c>
      <c r="F12343" s="51">
        <f>VLOOKUP(A12343,'[1]Componentes APUs'!$A$1:$D$14,4,0)</f>
        <v>2525.2525252525252</v>
      </c>
      <c r="G12343" s="51">
        <f>ROUNDUP(F12343*(E12343/21)/E12303,0)</f>
        <v>662</v>
      </c>
    </row>
    <row r="12344" spans="1:7" x14ac:dyDescent="0.25">
      <c r="A12344" s="69" t="s">
        <v>81</v>
      </c>
      <c r="B12344" s="72" t="str">
        <f>VLOOKUP(A12344,'[1]Componentes APUs'!$A$1:$D$14,2,0)</f>
        <v>Guantes Protectores  - ingeniero reforzados</v>
      </c>
      <c r="C12344" s="73"/>
      <c r="D12344" s="50" t="str">
        <f>VLOOKUP(A12344,'[1]Componentes APUs'!$A$1:$D$14,3,0)</f>
        <v>Par</v>
      </c>
      <c r="E12344" s="50">
        <f>C12319+C12320+C12322</f>
        <v>2</v>
      </c>
      <c r="F12344" s="51">
        <f>VLOOKUP(A12344,'[1]Componentes APUs'!$A$1:$D$14,4,0)</f>
        <v>2525.2525252525252</v>
      </c>
      <c r="G12344" s="51">
        <f>ROUNDUP(F12344*(E12344/21)/E12303,0)</f>
        <v>482</v>
      </c>
    </row>
    <row r="12345" spans="1:7" x14ac:dyDescent="0.25">
      <c r="A12345" s="50" t="s">
        <v>83</v>
      </c>
      <c r="B12345" s="72" t="str">
        <f>VLOOKUP(A12345,'[1]Componentes APUs'!$A$1:$D$14,2,0)</f>
        <v>Impermeable (pantalon camisa)</v>
      </c>
      <c r="C12345" s="73"/>
      <c r="D12345" s="50" t="str">
        <f>VLOOKUP(A12345,'[1]Componentes APUs'!$A$1:$D$14,3,0)</f>
        <v>U</v>
      </c>
      <c r="E12345" s="50">
        <f>SUM(C12317:C12322)</f>
        <v>2.75</v>
      </c>
      <c r="F12345" s="51">
        <f>VLOOKUP(A12345,'[1]Componentes APUs'!$A$1:$D$14,4,0)</f>
        <v>3750</v>
      </c>
      <c r="G12345" s="51">
        <f>ROUNDUP(F12345*(E12345/21)/E12303,0)</f>
        <v>983</v>
      </c>
    </row>
    <row r="12346" spans="1:7" x14ac:dyDescent="0.25">
      <c r="A12346" s="69" t="s">
        <v>85</v>
      </c>
      <c r="B12346" s="72" t="str">
        <f>VLOOKUP(A12346,'[1]Componentes APUs'!$A$1:$D$14,2,0)</f>
        <v>Jean Dielectrico</v>
      </c>
      <c r="C12346" s="73"/>
      <c r="D12346" s="50" t="str">
        <f>VLOOKUP(A12346,'[1]Componentes APUs'!$A$1:$D$14,3,0)</f>
        <v>U</v>
      </c>
      <c r="E12346" s="50">
        <f>SUM(C12317:C12322)</f>
        <v>2.75</v>
      </c>
      <c r="F12346" s="51">
        <f>VLOOKUP(A12346,'[1]Componentes APUs'!$A$1:$D$14,4,0)</f>
        <v>7575.757575757576</v>
      </c>
      <c r="G12346" s="51">
        <f>ROUNDUP(F12346*(E12346/21)/E12303,0)</f>
        <v>1985</v>
      </c>
    </row>
    <row r="12347" spans="1:7" x14ac:dyDescent="0.25">
      <c r="A12347" s="50" t="s">
        <v>87</v>
      </c>
      <c r="B12347" s="72" t="str">
        <f>VLOOKUP(A12347,'[1]Componentes APUs'!$A$1:$D$14,2,0)</f>
        <v>Casco dielectrico Tipo 2 Clase E con barboquejo</v>
      </c>
      <c r="C12347" s="73"/>
      <c r="D12347" s="50" t="str">
        <f>VLOOKUP(A12347,'[1]Componentes APUs'!$A$1:$D$14,3,0)</f>
        <v>U</v>
      </c>
      <c r="E12347" s="53">
        <f>IF(A12319="MO-3",C12319,0)</f>
        <v>1</v>
      </c>
      <c r="F12347" s="51">
        <f>VLOOKUP(A12347,'[1]Componentes APUs'!$A$1:$D$14,4,0)</f>
        <v>7500</v>
      </c>
      <c r="G12347" s="51">
        <f>ROUNDUP(F12347*(E12347/21)/E12303,0)</f>
        <v>715</v>
      </c>
    </row>
    <row r="12348" spans="1:7" x14ac:dyDescent="0.25">
      <c r="A12348" s="69" t="s">
        <v>89</v>
      </c>
      <c r="B12348" s="72" t="str">
        <f>VLOOKUP(A12348,'[1]Componentes APUs'!$A$1:$D$14,2,0)</f>
        <v>Kit de rescate para trabajo en alturas</v>
      </c>
      <c r="C12348" s="73"/>
      <c r="D12348" s="50" t="str">
        <f>VLOOKUP(A12348,'[1]Componentes APUs'!$A$1:$D$14,3,0)</f>
        <v>U</v>
      </c>
      <c r="E12348" s="50">
        <f>IF(AND(A12319="MO-3",C12319=2),1,0)</f>
        <v>0</v>
      </c>
      <c r="F12348" s="51">
        <f>VLOOKUP(A12348,'[1]Componentes APUs'!$A$1:$D$14,4,0)</f>
        <v>37500</v>
      </c>
      <c r="G12348" s="51">
        <f>ROUNDUP(F12348*(E12348/21)/E12303,0)</f>
        <v>0</v>
      </c>
    </row>
    <row r="12349" spans="1:7" x14ac:dyDescent="0.25">
      <c r="A12349" s="50" t="s">
        <v>91</v>
      </c>
      <c r="B12349" s="72" t="str">
        <f>VLOOKUP(A12349,'[1]Componentes APUs'!$A$1:$D$14,2,0)</f>
        <v>Equipo completo para trabajo en alturas con pretales (Arnes dielectrico, 1 mosqueton de seguridad, tie off dielectrico, eslinga de posicionamiento, juego de pretales)</v>
      </c>
      <c r="C12349" s="73"/>
      <c r="D12349" s="50" t="str">
        <f>VLOOKUP(A12349,'[1]Componentes APUs'!$A$1:$D$14,3,0)</f>
        <v>U</v>
      </c>
      <c r="E12349" s="50">
        <f>IF(A12319="MO-3",C12319,0)</f>
        <v>1</v>
      </c>
      <c r="F12349" s="51">
        <f>VLOOKUP(A12349,'[1]Componentes APUs'!$A$1:$D$14,4,0)</f>
        <v>26041.666666666668</v>
      </c>
      <c r="G12349" s="51">
        <f>ROUNDUP(F12349*(E12349/21)/E12303,0)</f>
        <v>2481</v>
      </c>
    </row>
    <row r="12350" spans="1:7" x14ac:dyDescent="0.25">
      <c r="A12350" s="219" t="s">
        <v>95</v>
      </c>
      <c r="B12350" s="219"/>
      <c r="C12350" s="219"/>
      <c r="D12350" s="219"/>
      <c r="E12350" s="219"/>
      <c r="F12350" s="219"/>
      <c r="G12350" s="52">
        <f>SUM(G12337:G12349)</f>
        <v>15691</v>
      </c>
    </row>
    <row r="12351" spans="1:7" x14ac:dyDescent="0.25">
      <c r="A12351" s="56"/>
      <c r="B12351" s="57"/>
      <c r="C12351" s="57"/>
      <c r="D12351" s="57"/>
      <c r="E12351" s="57"/>
      <c r="F12351" s="57"/>
      <c r="G12351" s="58"/>
    </row>
    <row r="12352" spans="1:7" x14ac:dyDescent="0.25">
      <c r="A12352" s="219" t="s">
        <v>96</v>
      </c>
      <c r="B12352" s="219"/>
      <c r="C12352" s="219"/>
      <c r="D12352" s="219"/>
      <c r="E12352" s="219"/>
      <c r="F12352" s="219"/>
      <c r="G12352" s="219"/>
    </row>
    <row r="12353" spans="1:7" x14ac:dyDescent="0.25">
      <c r="A12353" s="49" t="s">
        <v>35</v>
      </c>
      <c r="B12353" s="225" t="s">
        <v>36</v>
      </c>
      <c r="C12353" s="225"/>
      <c r="D12353" s="49" t="s">
        <v>37</v>
      </c>
      <c r="E12353" s="49" t="s">
        <v>38</v>
      </c>
      <c r="F12353" s="49" t="s">
        <v>39</v>
      </c>
      <c r="G12353" s="49" t="s">
        <v>40</v>
      </c>
    </row>
    <row r="12354" spans="1:7" x14ac:dyDescent="0.25">
      <c r="A12354" s="69" t="s">
        <v>97</v>
      </c>
      <c r="B12354" s="72" t="str">
        <f>VLOOKUP(A12354,'[1]Componentes APUs'!$N$1:$Q$30,2,0)</f>
        <v>Camioneta</v>
      </c>
      <c r="C12354" s="73"/>
      <c r="D12354" s="70" t="str">
        <f>VLOOKUP(A12354,'[1]Componentes APUs'!$N$1:$Q$30,3,0)</f>
        <v>U</v>
      </c>
      <c r="E12354" s="50">
        <v>1</v>
      </c>
      <c r="F12354" s="51">
        <f>VLOOKUP(A12354,'[1]Componentes APUs'!$N$1:$Q$30,4,0)</f>
        <v>5500000</v>
      </c>
      <c r="G12354" s="51">
        <f>IFERROR(ROUNDUP(F12354*(E12354/21)/E12303,0),"-")</f>
        <v>523810</v>
      </c>
    </row>
    <row r="12355" spans="1:7" x14ac:dyDescent="0.25">
      <c r="A12355" s="50" t="s">
        <v>321</v>
      </c>
      <c r="B12355" s="72" t="str">
        <f>VLOOKUP(A12355,'[1]Componentes APUs'!$N$1:$Q$30,2,0)</f>
        <v>Grúa Hidráulica</v>
      </c>
      <c r="C12355" s="73"/>
      <c r="D12355" s="70" t="str">
        <f>VLOOKUP(A12355,'[1]Componentes APUs'!$N$1:$Q$30,3,0)</f>
        <v>U</v>
      </c>
      <c r="E12355" s="50">
        <v>0</v>
      </c>
      <c r="F12355" s="51">
        <f>VLOOKUP(A12355,'[1]Componentes APUs'!$N$1:$Q$30,4,0)</f>
        <v>21000000</v>
      </c>
      <c r="G12355" s="51">
        <f>IFERROR(ROUNDUP(F12355*(E12355/21)/E12303,0),"-")</f>
        <v>0</v>
      </c>
    </row>
    <row r="12356" spans="1:7" x14ac:dyDescent="0.25">
      <c r="A12356" s="69" t="s">
        <v>322</v>
      </c>
      <c r="B12356" s="72" t="str">
        <f>VLOOKUP(A12356,'[1]Componentes APUs'!$N$1:$Q$30,2,0)</f>
        <v>Camabaja</v>
      </c>
      <c r="C12356" s="73"/>
      <c r="D12356" s="70" t="str">
        <f>VLOOKUP(A12356,'[1]Componentes APUs'!$N$1:$Q$30,3,0)</f>
        <v>TON/KM</v>
      </c>
      <c r="E12356" s="50">
        <v>0</v>
      </c>
      <c r="F12356" s="51">
        <f>VLOOKUP(A12356,'[1]Componentes APUs'!$N$1:$Q$30,4,0)</f>
        <v>611</v>
      </c>
      <c r="G12356" s="51">
        <f>IFERROR(ROUNDUP(F12356*(E12356/21)/E12303,0),"-")</f>
        <v>0</v>
      </c>
    </row>
    <row r="12357" spans="1:7" x14ac:dyDescent="0.25">
      <c r="A12357" s="50" t="s">
        <v>323</v>
      </c>
      <c r="B12357" s="72" t="str">
        <f>VLOOKUP(A12357,'[1]Componentes APUs'!$N$1:$Q$30,2,0)</f>
        <v>Volqueta</v>
      </c>
      <c r="C12357" s="73"/>
      <c r="D12357" s="70" t="str">
        <f>VLOOKUP(A12357,'[1]Componentes APUs'!$N$1:$Q$30,3,0)</f>
        <v>U</v>
      </c>
      <c r="E12357" s="50">
        <v>0</v>
      </c>
      <c r="F12357" s="51">
        <f>VLOOKUP(A12357,'[1]Componentes APUs'!$N$1:$Q$30,4,0)</f>
        <v>18900000</v>
      </c>
      <c r="G12357" s="51">
        <f>IFERROR(ROUNDUP(F12357*(E12357/21)/E12303,0),"-")</f>
        <v>0</v>
      </c>
    </row>
    <row r="12358" spans="1:7" x14ac:dyDescent="0.25">
      <c r="A12358" s="219" t="s">
        <v>99</v>
      </c>
      <c r="B12358" s="219"/>
      <c r="C12358" s="219"/>
      <c r="D12358" s="219"/>
      <c r="E12358" s="219"/>
      <c r="F12358" s="219"/>
      <c r="G12358" s="52">
        <f>SUM(G12354:G12357)</f>
        <v>523810</v>
      </c>
    </row>
    <row r="12359" spans="1:7" x14ac:dyDescent="0.25">
      <c r="A12359" s="56"/>
      <c r="B12359" s="57"/>
      <c r="C12359" s="57"/>
      <c r="D12359" s="57"/>
      <c r="E12359" s="57"/>
      <c r="F12359" s="57"/>
      <c r="G12359" s="58"/>
    </row>
    <row r="12360" spans="1:7" x14ac:dyDescent="0.25">
      <c r="A12360" s="219" t="s">
        <v>1516</v>
      </c>
      <c r="B12360" s="219"/>
      <c r="C12360" s="219"/>
      <c r="D12360" s="219"/>
      <c r="E12360" s="219"/>
      <c r="F12360" s="219"/>
      <c r="G12360" s="52">
        <f>G12358+G12350+G12333+G12323+G12313</f>
        <v>11866301</v>
      </c>
    </row>
    <row r="12361" spans="1:7" x14ac:dyDescent="0.25">
      <c r="A12361" s="59"/>
      <c r="B12361" s="60"/>
      <c r="C12361" s="60"/>
      <c r="D12361" s="60"/>
      <c r="E12361" s="57"/>
      <c r="F12361" s="57"/>
      <c r="G12361" s="58"/>
    </row>
    <row r="12362" spans="1:7" x14ac:dyDescent="0.25">
      <c r="A12362" s="64"/>
      <c r="D12362" s="55"/>
      <c r="E12362" s="49" t="s">
        <v>25</v>
      </c>
      <c r="F12362" s="54">
        <v>0.15</v>
      </c>
      <c r="G12362" s="51">
        <f>G12360*F12362</f>
        <v>1779945.15</v>
      </c>
    </row>
    <row r="12363" spans="1:7" x14ac:dyDescent="0.25">
      <c r="A12363" s="64"/>
      <c r="D12363" s="55"/>
      <c r="E12363" s="49" t="s">
        <v>26</v>
      </c>
      <c r="F12363" s="54">
        <v>0.05</v>
      </c>
      <c r="G12363" s="51">
        <f>G12360*F12363</f>
        <v>593315.05000000005</v>
      </c>
    </row>
    <row r="12364" spans="1:7" x14ac:dyDescent="0.25">
      <c r="A12364" s="61"/>
      <c r="B12364" s="65"/>
      <c r="C12364" s="65"/>
      <c r="D12364" s="62"/>
      <c r="E12364" s="49" t="s">
        <v>27</v>
      </c>
      <c r="F12364" s="54">
        <v>0.05</v>
      </c>
      <c r="G12364" s="51">
        <f>G12360*F12364</f>
        <v>593315.05000000005</v>
      </c>
    </row>
    <row r="12365" spans="1:7" x14ac:dyDescent="0.25">
      <c r="A12365" s="61"/>
      <c r="B12365" s="62"/>
      <c r="C12365" s="62"/>
      <c r="D12365" s="62"/>
      <c r="E12365" s="62"/>
      <c r="F12365" s="62"/>
      <c r="G12365" s="63"/>
    </row>
    <row r="12366" spans="1:7" x14ac:dyDescent="0.25">
      <c r="A12366" s="219" t="s">
        <v>1517</v>
      </c>
      <c r="B12366" s="219"/>
      <c r="C12366" s="219"/>
      <c r="D12366" s="219"/>
      <c r="E12366" s="219"/>
      <c r="F12366" s="219"/>
      <c r="G12366" s="52">
        <f>G12360+G12362+G12363+G12364</f>
        <v>14832876.250000002</v>
      </c>
    </row>
    <row r="12367" spans="1:7" x14ac:dyDescent="0.25">
      <c r="A12367" s="59"/>
      <c r="B12367" s="60"/>
      <c r="C12367" s="60"/>
      <c r="D12367" s="60"/>
      <c r="E12367" s="57"/>
      <c r="F12367" s="57"/>
      <c r="G12367" s="58"/>
    </row>
    <row r="12368" spans="1:7" x14ac:dyDescent="0.25">
      <c r="A12368" s="64"/>
      <c r="D12368" s="55"/>
      <c r="E12368" s="49" t="s">
        <v>102</v>
      </c>
      <c r="F12368" s="49" t="s">
        <v>103</v>
      </c>
      <c r="G12368" s="51">
        <f>G12364*19%</f>
        <v>112729.85950000001</v>
      </c>
    </row>
    <row r="12369" spans="1:7" x14ac:dyDescent="0.25">
      <c r="A12369" s="61"/>
      <c r="B12369" s="62"/>
      <c r="C12369" s="62"/>
      <c r="D12369" s="62"/>
      <c r="E12369" s="57"/>
      <c r="F12369" s="57"/>
      <c r="G12369" s="58"/>
    </row>
    <row r="12370" spans="1:7" x14ac:dyDescent="0.25">
      <c r="A12370" s="219" t="s">
        <v>104</v>
      </c>
      <c r="B12370" s="219"/>
      <c r="C12370" s="219"/>
      <c r="D12370" s="219"/>
      <c r="E12370" s="219"/>
      <c r="F12370" s="219"/>
      <c r="G12370" s="52">
        <f>G12368+G12366</f>
        <v>14945606.109500002</v>
      </c>
    </row>
    <row r="12372" spans="1:7" x14ac:dyDescent="0.25">
      <c r="A12372" s="74" t="s">
        <v>29</v>
      </c>
      <c r="B12372" s="226" t="s">
        <v>30</v>
      </c>
      <c r="C12372" s="226"/>
      <c r="D12372" s="74" t="s">
        <v>31</v>
      </c>
      <c r="E12372" s="74" t="s">
        <v>32</v>
      </c>
      <c r="F12372" s="74" t="s">
        <v>189</v>
      </c>
      <c r="G12372" s="74" t="s">
        <v>33</v>
      </c>
    </row>
    <row r="12373" spans="1:7" ht="70.5" customHeight="1" x14ac:dyDescent="0.25">
      <c r="A12373" s="50" t="str">
        <f>Presupuesto!B224</f>
        <v>033_N3</v>
      </c>
      <c r="B12373" s="220" t="str">
        <f>Presupuesto!C224</f>
        <v>SUMINISTRO E INSTALACIÓN DE MEDIDOR DE ENERGÍA KWH-KVARH  CL 0.2S, DE CONEXIÓN INDIRECTA, MULTIFUNCIONAL CON INSTRUMENTACIÓN Y CURVA DE CARGA, MÍNIMO 8 CANALES, PUERTO ETERNET Y DOS PUERTOS SERIALES, CALIBRADO EN KWH Y KVARH CUATRO CUADRANTES Y BORNERAS CORTOCIRCUITABLES (+Q01A, +Q03A). INCLUYE PRUEBAS DE CALIBRACIÓN POR LABORATORIO ACREDITADO.</v>
      </c>
      <c r="C12373" s="220"/>
      <c r="D12373" s="50" t="s">
        <v>18</v>
      </c>
      <c r="E12373" s="50">
        <v>2</v>
      </c>
      <c r="F12373" s="50"/>
      <c r="G12373" s="51">
        <f>G12438</f>
        <v>6291946.8645000001</v>
      </c>
    </row>
    <row r="12374" spans="1:7" x14ac:dyDescent="0.25">
      <c r="A12374" s="219" t="s">
        <v>34</v>
      </c>
      <c r="B12374" s="219"/>
      <c r="C12374" s="219"/>
      <c r="D12374" s="219"/>
      <c r="E12374" s="219"/>
      <c r="F12374" s="219"/>
      <c r="G12374" s="219"/>
    </row>
    <row r="12375" spans="1:7" x14ac:dyDescent="0.25">
      <c r="A12375" s="49" t="s">
        <v>35</v>
      </c>
      <c r="B12375" s="219" t="s">
        <v>36</v>
      </c>
      <c r="C12375" s="219"/>
      <c r="D12375" s="49" t="s">
        <v>37</v>
      </c>
      <c r="E12375" s="49" t="s">
        <v>38</v>
      </c>
      <c r="F12375" s="49" t="s">
        <v>39</v>
      </c>
      <c r="G12375" s="49" t="s">
        <v>40</v>
      </c>
    </row>
    <row r="12376" spans="1:7" ht="75" customHeight="1" x14ac:dyDescent="0.25">
      <c r="A12376" s="17" t="str">
        <f>Material!A38</f>
        <v>MA-37</v>
      </c>
      <c r="B12376" s="221" t="str">
        <f>IFERROR(VLOOKUP(A12376,Material!$A:$J,2,0),"-")</f>
        <v>MEDIDOR DE ENERGÍA KWH-KVARH  CL 0.5S, DE CONEXIÓN INDIRECTA, MULTIFUNCIONAL CON INSTRUMENTACIÓN Y CURVA DE CARGA, MÍNIMO 8 CANALES, PUERTO ETERNET Y DOS PUERTOS SERIALES, CALIBRADO EN KWH Y KVARH CUATRO CUADRANTES Y BORNERAS CORTOCIRCUITABLES (+Q01A, +Q03A). INCLUYE PRUEBAS DE CALIBRACIÓN POR LABORATORIO ACREDITADO.</v>
      </c>
      <c r="C12376" s="222"/>
      <c r="D12376" s="50" t="str">
        <f>IFERROR(VLOOKUP(A12376,Material!$A:$J,4,0),"-")</f>
        <v>UN</v>
      </c>
      <c r="E12376" s="50">
        <v>1</v>
      </c>
      <c r="F12376" s="51">
        <f>IFERROR(VLOOKUP(A12376,Material!$A:$J,3,0),"-")</f>
        <v>3445591.5</v>
      </c>
      <c r="G12376" s="51">
        <f t="shared" ref="G12376:G12379" si="174">IFERROR(ROUNDUP(F12376*E12376,0),"-")</f>
        <v>3445592</v>
      </c>
    </row>
    <row r="12377" spans="1:7" x14ac:dyDescent="0.25">
      <c r="A12377" s="17" t="str">
        <f>Material!A36</f>
        <v>MA-35</v>
      </c>
      <c r="B12377" s="72" t="str">
        <f>IFERROR(VLOOKUP(A12377,Material!$A:$J,2,0),"-")</f>
        <v>BLOQUE DE BORNERAS CORTOCIRCUITABLES DE CORRIENTE Y TENSIÓN</v>
      </c>
      <c r="C12377" s="73"/>
      <c r="D12377" s="50" t="str">
        <f>IFERROR(VLOOKUP(A12377,Material!$A:$J,4,0),"-")</f>
        <v>UN</v>
      </c>
      <c r="E12377" s="50">
        <v>1</v>
      </c>
      <c r="F12377" s="51">
        <f>IFERROR(VLOOKUP(A12377,Material!$A:$J,3,0),"-")</f>
        <v>1075128.6000000001</v>
      </c>
      <c r="G12377" s="51">
        <f t="shared" si="174"/>
        <v>1075129</v>
      </c>
    </row>
    <row r="12378" spans="1:7" x14ac:dyDescent="0.25">
      <c r="A12378" s="17"/>
      <c r="B12378" s="72" t="str">
        <f>IFERROR(VLOOKUP(A12378,Material!$A:$J,2,0),"-")</f>
        <v>-</v>
      </c>
      <c r="C12378" s="73"/>
      <c r="D12378" s="50" t="str">
        <f>IFERROR(VLOOKUP(A12378,Material!$A:$J,4,0),"-")</f>
        <v>-</v>
      </c>
      <c r="E12378" s="50"/>
      <c r="F12378" s="51" t="str">
        <f>IFERROR(VLOOKUP(A12378,Material!$A:$J,3,0),"-")</f>
        <v>-</v>
      </c>
      <c r="G12378" s="51" t="str">
        <f t="shared" si="174"/>
        <v>-</v>
      </c>
    </row>
    <row r="12379" spans="1:7" x14ac:dyDescent="0.25">
      <c r="A12379" s="17"/>
      <c r="B12379" s="72" t="str">
        <f>IFERROR(VLOOKUP(A12379,Material!$A:$J,2,0),"-")</f>
        <v>-</v>
      </c>
      <c r="C12379" s="73"/>
      <c r="D12379" s="50" t="str">
        <f>IFERROR(VLOOKUP(A12379,Material!$A:$J,4,0),"-")</f>
        <v>-</v>
      </c>
      <c r="E12379" s="50"/>
      <c r="F12379" s="51" t="str">
        <f>IFERROR(VLOOKUP(A12379,Material!$A:$J,3,0),"-")</f>
        <v>-</v>
      </c>
      <c r="G12379" s="51" t="str">
        <f t="shared" si="174"/>
        <v>-</v>
      </c>
    </row>
    <row r="12380" spans="1:7" x14ac:dyDescent="0.25">
      <c r="A12380" s="219" t="s">
        <v>41</v>
      </c>
      <c r="B12380" s="219"/>
      <c r="C12380" s="219"/>
      <c r="D12380" s="219"/>
      <c r="E12380" s="219"/>
      <c r="F12380" s="219"/>
      <c r="G12380" s="52">
        <f>SUM(G12376:G12379)</f>
        <v>4520721</v>
      </c>
    </row>
    <row r="12381" spans="1:7" x14ac:dyDescent="0.25">
      <c r="A12381" s="56"/>
      <c r="B12381" s="57"/>
      <c r="C12381" s="57"/>
      <c r="D12381" s="57"/>
      <c r="E12381" s="57"/>
      <c r="F12381" s="57"/>
      <c r="G12381" s="58"/>
    </row>
    <row r="12382" spans="1:7" x14ac:dyDescent="0.25">
      <c r="A12382" s="219" t="s">
        <v>42</v>
      </c>
      <c r="B12382" s="219"/>
      <c r="C12382" s="219"/>
      <c r="D12382" s="219"/>
      <c r="E12382" s="219"/>
      <c r="F12382" s="219"/>
      <c r="G12382" s="219"/>
    </row>
    <row r="12383" spans="1:7" x14ac:dyDescent="0.25">
      <c r="A12383" s="49" t="s">
        <v>35</v>
      </c>
      <c r="B12383" s="49" t="s">
        <v>36</v>
      </c>
      <c r="C12383" s="49" t="s">
        <v>38</v>
      </c>
      <c r="D12383" s="49" t="s">
        <v>43</v>
      </c>
      <c r="E12383" s="49" t="s">
        <v>44</v>
      </c>
      <c r="F12383" s="49" t="s">
        <v>45</v>
      </c>
      <c r="G12383" s="49" t="s">
        <v>40</v>
      </c>
    </row>
    <row r="12384" spans="1:7" x14ac:dyDescent="0.25">
      <c r="A12384" s="50" t="s">
        <v>319</v>
      </c>
      <c r="B12384" s="68" t="str">
        <f>VLOOKUP(A12384,'[1]Componentes APUs'!$H$1:$L$25,2,0)</f>
        <v>Ingeniero Residente de Obra</v>
      </c>
      <c r="C12384" s="93">
        <v>0.25</v>
      </c>
      <c r="D12384" s="50">
        <f>VLOOKUP(A12384,'[1]Componentes APUs'!$H$1:$L$25,3,0)</f>
        <v>4</v>
      </c>
      <c r="E12384" s="51">
        <f>VLOOKUP(A12384,'[1]Componentes APUs'!$H$1:$L$25,4,0)</f>
        <v>271142.85714285716</v>
      </c>
      <c r="F12384" s="51">
        <f>VLOOKUP(A12384,'[1]Componentes APUs'!$H$1:$L$25,5,0)</f>
        <v>162685.71428571429</v>
      </c>
      <c r="G12384" s="51">
        <f>ROUNDUP((E12384+F12384)*C12384/E12373,0)</f>
        <v>54229</v>
      </c>
    </row>
    <row r="12385" spans="1:7" x14ac:dyDescent="0.25">
      <c r="A12385" s="50" t="s">
        <v>320</v>
      </c>
      <c r="B12385" s="68" t="str">
        <f>VLOOKUP(A12385,'[1]Componentes APUs'!$H$1:$L$25,2,0)</f>
        <v>Tecnico Supervisor</v>
      </c>
      <c r="C12385" s="93">
        <v>0.25</v>
      </c>
      <c r="D12385" s="50">
        <f>VLOOKUP(A12385,'[1]Componentes APUs'!$H$1:$L$25,3,0)</f>
        <v>2.2999999999999998</v>
      </c>
      <c r="E12385" s="51">
        <f>VLOOKUP(A12385,'[1]Componentes APUs'!$H$1:$L$25,4,0)</f>
        <v>155907.14285714284</v>
      </c>
      <c r="F12385" s="51">
        <f>VLOOKUP(A12385,'[1]Componentes APUs'!$H$1:$L$25,5,0)</f>
        <v>93544.285714285696</v>
      </c>
      <c r="G12385" s="51">
        <f>ROUNDUP((E12385+F12385)*C12385/E12373,0)</f>
        <v>31182</v>
      </c>
    </row>
    <row r="12386" spans="1:7" x14ac:dyDescent="0.25">
      <c r="A12386" s="50" t="s">
        <v>46</v>
      </c>
      <c r="B12386" s="68" t="str">
        <f>VLOOKUP(A12386,'[1]Componentes APUs'!$H$1:$L$25,2,0)</f>
        <v>Tecnico Liniero</v>
      </c>
      <c r="C12386" s="93">
        <v>1</v>
      </c>
      <c r="D12386" s="50">
        <f>VLOOKUP(A12386,'[1]Componentes APUs'!$H$1:$L$25,3,0)</f>
        <v>2</v>
      </c>
      <c r="E12386" s="51">
        <f>VLOOKUP(A12386,'[1]Componentes APUs'!$H$1:$L$25,4,0)</f>
        <v>154619.04761904763</v>
      </c>
      <c r="F12386" s="51">
        <f>VLOOKUP(A12386,'[1]Componentes APUs'!$H$1:$L$25,5,0)</f>
        <v>92771.42857142858</v>
      </c>
      <c r="G12386" s="51">
        <f>ROUNDUP((E12386+F12386)*C12386/E12373,0)</f>
        <v>123696</v>
      </c>
    </row>
    <row r="12387" spans="1:7" x14ac:dyDescent="0.25">
      <c r="A12387" s="50" t="s">
        <v>48</v>
      </c>
      <c r="B12387" s="68" t="str">
        <f>VLOOKUP(A12387,'[1]Componentes APUs'!$H$1:$L$25,2,0)</f>
        <v>Ayudante Calificado</v>
      </c>
      <c r="C12387" s="93">
        <v>1</v>
      </c>
      <c r="D12387" s="50">
        <f>VLOOKUP(A12387,'[1]Componentes APUs'!$H$1:$L$25,3,0)</f>
        <v>1.5</v>
      </c>
      <c r="E12387" s="51">
        <f>VLOOKUP(A12387,'[1]Componentes APUs'!$H$1:$L$25,4,0)</f>
        <v>115964.28571428571</v>
      </c>
      <c r="F12387" s="51">
        <f>VLOOKUP(A12387,'[1]Componentes APUs'!$H$1:$L$25,5,0)</f>
        <v>69578.57142857142</v>
      </c>
      <c r="G12387" s="51">
        <f>ROUNDUP((E12387+F12387)*C12387/E12373,0)</f>
        <v>92772</v>
      </c>
    </row>
    <row r="12388" spans="1:7" x14ac:dyDescent="0.25">
      <c r="A12388" s="50" t="s">
        <v>50</v>
      </c>
      <c r="B12388" s="68" t="str">
        <f>VLOOKUP(A12388,'[1]Componentes APUs'!$H$1:$L$25,2,0)</f>
        <v>Profesional en SST</v>
      </c>
      <c r="C12388" s="93">
        <v>0.25</v>
      </c>
      <c r="D12388" s="50">
        <f>VLOOKUP(A12388,'[1]Componentes APUs'!$H$1:$L$25,3,0)</f>
        <v>2.5</v>
      </c>
      <c r="E12388" s="51">
        <f>VLOOKUP(A12388,'[1]Componentes APUs'!$H$1:$L$25,4,0)</f>
        <v>169464.28571428571</v>
      </c>
      <c r="F12388" s="51">
        <f>VLOOKUP(A12388,'[1]Componentes APUs'!$H$1:$L$25,5,0)</f>
        <v>101678.57142857142</v>
      </c>
      <c r="G12388" s="51">
        <f>ROUNDUP((E12388+F12388)*C12388/E12373,0)</f>
        <v>33893</v>
      </c>
    </row>
    <row r="12389" spans="1:7" x14ac:dyDescent="0.25">
      <c r="A12389" s="50" t="s">
        <v>52</v>
      </c>
      <c r="B12389" s="68" t="str">
        <f>VLOOKUP(A12389,'[1]Componentes APUs'!$H$1:$L$25,2,0)</f>
        <v>Ayudante No Calificado</v>
      </c>
      <c r="C12389" s="93">
        <v>0</v>
      </c>
      <c r="D12389" s="50">
        <f>VLOOKUP(A12389,'[1]Componentes APUs'!$H$1:$L$25,3,0)</f>
        <v>1</v>
      </c>
      <c r="E12389" s="51">
        <f>VLOOKUP(A12389,'[1]Componentes APUs'!$H$1:$L$25,4,0)</f>
        <v>77309.523809523816</v>
      </c>
      <c r="F12389" s="51">
        <f>VLOOKUP(A12389,'[1]Componentes APUs'!$H$1:$L$25,5,0)</f>
        <v>46385.71428571429</v>
      </c>
      <c r="G12389" s="51">
        <f>ROUNDUP((E12389+F12389)*C12389/E12373,0)</f>
        <v>0</v>
      </c>
    </row>
    <row r="12390" spans="1:7" x14ac:dyDescent="0.25">
      <c r="A12390" s="219" t="s">
        <v>56</v>
      </c>
      <c r="B12390" s="219"/>
      <c r="C12390" s="219"/>
      <c r="D12390" s="219"/>
      <c r="E12390" s="219"/>
      <c r="F12390" s="219"/>
      <c r="G12390" s="52">
        <f>SUM(G12384:G12389)</f>
        <v>335772</v>
      </c>
    </row>
    <row r="12391" spans="1:7" x14ac:dyDescent="0.25">
      <c r="A12391" s="56"/>
      <c r="B12391" s="57"/>
      <c r="C12391" s="57"/>
      <c r="D12391" s="57"/>
      <c r="E12391" s="57"/>
      <c r="F12391" s="57"/>
      <c r="G12391" s="58"/>
    </row>
    <row r="12392" spans="1:7" x14ac:dyDescent="0.25">
      <c r="A12392" s="219" t="s">
        <v>57</v>
      </c>
      <c r="B12392" s="219"/>
      <c r="C12392" s="219"/>
      <c r="D12392" s="219"/>
      <c r="E12392" s="219"/>
      <c r="F12392" s="219"/>
      <c r="G12392" s="219"/>
    </row>
    <row r="12393" spans="1:7" x14ac:dyDescent="0.25">
      <c r="A12393" s="49" t="s">
        <v>35</v>
      </c>
      <c r="B12393" s="219" t="s">
        <v>36</v>
      </c>
      <c r="C12393" s="219"/>
      <c r="D12393" s="49" t="s">
        <v>37</v>
      </c>
      <c r="E12393" s="49" t="s">
        <v>38</v>
      </c>
      <c r="F12393" s="49" t="s">
        <v>39</v>
      </c>
      <c r="G12393" s="49" t="s">
        <v>40</v>
      </c>
    </row>
    <row r="12394" spans="1:7" x14ac:dyDescent="0.25">
      <c r="A12394" s="50" t="s">
        <v>326</v>
      </c>
      <c r="B12394" s="220" t="str">
        <f>VLOOKUP(A12394,'[1]Componentes APUs'!$S$1:$V$10,2,0)</f>
        <v>Juego Llaves</v>
      </c>
      <c r="C12394" s="220"/>
      <c r="D12394" s="50" t="s">
        <v>18</v>
      </c>
      <c r="E12394" s="50">
        <v>2</v>
      </c>
      <c r="F12394" s="51">
        <f>VLOOKUP(A12394,'[1]Componentes APUs'!$S$1:$V$10,4,0)</f>
        <v>9167</v>
      </c>
      <c r="G12394" s="51">
        <f>ROUNDUP(F12394*((E12394/21)/E12373),0)</f>
        <v>437</v>
      </c>
    </row>
    <row r="12395" spans="1:7" x14ac:dyDescent="0.25">
      <c r="A12395" s="50" t="s">
        <v>58</v>
      </c>
      <c r="B12395" s="220" t="str">
        <f>VLOOKUP(A12395,'[1]Componentes APUs'!$S$1:$V$10,2,0)</f>
        <v>Manila de servicio</v>
      </c>
      <c r="C12395" s="220"/>
      <c r="D12395" s="50" t="s">
        <v>18</v>
      </c>
      <c r="E12395" s="50">
        <v>2</v>
      </c>
      <c r="F12395" s="51">
        <f>VLOOKUP(A12395,'[1]Componentes APUs'!$S$1:$V$10,4,0)</f>
        <v>2333</v>
      </c>
      <c r="G12395" s="51">
        <f>ROUNDUP(F12395*((E12395/21)/E12373),0)</f>
        <v>112</v>
      </c>
    </row>
    <row r="12396" spans="1:7" x14ac:dyDescent="0.25">
      <c r="A12396" s="50" t="s">
        <v>327</v>
      </c>
      <c r="B12396" s="220" t="str">
        <f>VLOOKUP(A12396,'[1]Componentes APUs'!$S$1:$V$10,2,0)</f>
        <v>Tula portaherramientas</v>
      </c>
      <c r="C12396" s="220"/>
      <c r="D12396" s="50" t="s">
        <v>18</v>
      </c>
      <c r="E12396" s="50">
        <v>2</v>
      </c>
      <c r="F12396" s="51">
        <f>VLOOKUP(A12396,'[1]Componentes APUs'!$S$1:$V$10,4,0)</f>
        <v>1250</v>
      </c>
      <c r="G12396" s="51">
        <f>ROUNDUP(F12396*((E12396/21)/E12373),0)</f>
        <v>60</v>
      </c>
    </row>
    <row r="12397" spans="1:7" x14ac:dyDescent="0.25">
      <c r="A12397" s="50" t="s">
        <v>60</v>
      </c>
      <c r="B12397" s="220" t="str">
        <f>VLOOKUP(A12397,'[1]Componentes APUs'!$S$1:$V$10,2,0)</f>
        <v>Agarradoras</v>
      </c>
      <c r="C12397" s="220"/>
      <c r="D12397" s="50" t="s">
        <v>18</v>
      </c>
      <c r="E12397" s="50">
        <v>0</v>
      </c>
      <c r="F12397" s="51">
        <f>VLOOKUP(A12397,'[1]Componentes APUs'!$S$1:$V$10,4,0)</f>
        <v>125000</v>
      </c>
      <c r="G12397" s="51">
        <f>ROUNDUP(F12397*((E12397/21)/E12373),0)</f>
        <v>0</v>
      </c>
    </row>
    <row r="12398" spans="1:7" x14ac:dyDescent="0.25">
      <c r="A12398" s="50" t="s">
        <v>62</v>
      </c>
      <c r="B12398" s="220" t="str">
        <f>VLOOKUP(A12398,'[1]Componentes APUs'!$S$1:$V$10,2,0)</f>
        <v>Templadoras</v>
      </c>
      <c r="C12398" s="220"/>
      <c r="D12398" s="50" t="s">
        <v>18</v>
      </c>
      <c r="E12398" s="50">
        <v>0</v>
      </c>
      <c r="F12398" s="51">
        <f>VLOOKUP(A12398,'[1]Componentes APUs'!$S$1:$V$10,4,0)</f>
        <v>250000</v>
      </c>
      <c r="G12398" s="51">
        <f>ROUNDUP(F12398*((E12398/21)/E12373),0)</f>
        <v>0</v>
      </c>
    </row>
    <row r="12399" spans="1:7" x14ac:dyDescent="0.25">
      <c r="A12399" s="50" t="s">
        <v>328</v>
      </c>
      <c r="B12399" s="220" t="str">
        <f>VLOOKUP(A12399,'[1]Componentes APUs'!$S$1:$V$10,2,0)</f>
        <v>Herramienta Menor</v>
      </c>
      <c r="C12399" s="220"/>
      <c r="D12399" s="50" t="s">
        <v>18</v>
      </c>
      <c r="E12399" s="50">
        <v>2</v>
      </c>
      <c r="F12399" s="51">
        <f>VLOOKUP(A12399,'[1]Componentes APUs'!$S$1:$V$10,4,0)</f>
        <v>75758</v>
      </c>
      <c r="G12399" s="51">
        <f>ROUNDUP(F12399*((E12399/21)/E12373),0)</f>
        <v>3608</v>
      </c>
    </row>
    <row r="12400" spans="1:7" x14ac:dyDescent="0.25">
      <c r="A12400" s="219" t="s">
        <v>69</v>
      </c>
      <c r="B12400" s="219"/>
      <c r="C12400" s="219"/>
      <c r="D12400" s="219"/>
      <c r="E12400" s="219"/>
      <c r="F12400" s="219"/>
      <c r="G12400" s="52">
        <f>SUM(G12394:G12399)</f>
        <v>4217</v>
      </c>
    </row>
    <row r="12401" spans="1:7" x14ac:dyDescent="0.25">
      <c r="A12401" s="56"/>
      <c r="B12401" s="57"/>
      <c r="C12401" s="57"/>
      <c r="D12401" s="57"/>
      <c r="E12401" s="57"/>
      <c r="F12401" s="57"/>
      <c r="G12401" s="58"/>
    </row>
    <row r="12402" spans="1:7" x14ac:dyDescent="0.25">
      <c r="A12402" s="219" t="s">
        <v>70</v>
      </c>
      <c r="B12402" s="219"/>
      <c r="C12402" s="219"/>
      <c r="D12402" s="219"/>
      <c r="E12402" s="219"/>
      <c r="F12402" s="219"/>
      <c r="G12402" s="219"/>
    </row>
    <row r="12403" spans="1:7" x14ac:dyDescent="0.25">
      <c r="A12403" s="49" t="s">
        <v>35</v>
      </c>
      <c r="B12403" s="219" t="s">
        <v>36</v>
      </c>
      <c r="C12403" s="219"/>
      <c r="D12403" s="49" t="s">
        <v>37</v>
      </c>
      <c r="E12403" s="49" t="s">
        <v>38</v>
      </c>
      <c r="F12403" s="49" t="s">
        <v>39</v>
      </c>
      <c r="G12403" s="49" t="s">
        <v>40</v>
      </c>
    </row>
    <row r="12404" spans="1:7" x14ac:dyDescent="0.25">
      <c r="A12404" s="50" t="s">
        <v>71</v>
      </c>
      <c r="B12404" s="71" t="str">
        <f>VLOOKUP(A12404,'[1]Componentes APUs'!$A$1:$D$14,2,0)</f>
        <v>Camisa indigo sin partes metalicas</v>
      </c>
      <c r="C12404" s="71"/>
      <c r="D12404" s="50" t="str">
        <f>VLOOKUP(A12404,'[1]Componentes APUs'!$A$1:$D$14,3,0)</f>
        <v>U</v>
      </c>
      <c r="E12404" s="50">
        <f>SUM(C12384:C12389)</f>
        <v>2.75</v>
      </c>
      <c r="F12404" s="51">
        <f>VLOOKUP(A12404,'[1]Componentes APUs'!$A$1:$D$14,4,0)</f>
        <v>8585.8585858585866</v>
      </c>
      <c r="G12404" s="51">
        <f>ROUNDUP(F12404*(E12404/21)/E12373,0)</f>
        <v>563</v>
      </c>
    </row>
    <row r="12405" spans="1:7" x14ac:dyDescent="0.25">
      <c r="A12405" s="69" t="s">
        <v>73</v>
      </c>
      <c r="B12405" s="72" t="str">
        <f>VLOOKUP(A12405,'[1]Componentes APUs'!$A$1:$D$14,2,0)</f>
        <v>Bota de seguridad dielectrica</v>
      </c>
      <c r="C12405" s="73"/>
      <c r="D12405" s="70" t="str">
        <f>VLOOKUP(A12405,'[1]Componentes APUs'!$A$1:$D$14,3,0)</f>
        <v>Par</v>
      </c>
      <c r="E12405" s="50">
        <f>SUM(C12384:C12389)</f>
        <v>2.75</v>
      </c>
      <c r="F12405" s="51">
        <f>VLOOKUP(A12405,'[1]Componentes APUs'!$A$1:$D$14,4,0)</f>
        <v>7500</v>
      </c>
      <c r="G12405" s="51">
        <f>ROUNDUP(F12405*(E12405/21)/E12373,0)</f>
        <v>492</v>
      </c>
    </row>
    <row r="12406" spans="1:7" x14ac:dyDescent="0.25">
      <c r="A12406" s="50" t="s">
        <v>76</v>
      </c>
      <c r="B12406" s="72" t="str">
        <f>VLOOKUP(A12406,'[1]Componentes APUs'!$A$1:$D$14,2,0)</f>
        <v>Casco dielectrico Tipo 1 Clase E con barbuquejo</v>
      </c>
      <c r="C12406" s="73"/>
      <c r="D12406" s="50" t="str">
        <f>VLOOKUP(A12406,'[1]Componentes APUs'!$A$1:$D$14,3,0)</f>
        <v>U</v>
      </c>
      <c r="E12406" s="50">
        <f>C12389+C12384+C12387+C12388+C12385+IF(A12386&lt;&gt;"MO-3",C12386,0)</f>
        <v>1.75</v>
      </c>
      <c r="F12406" s="51">
        <f>VLOOKUP(A12406,'[1]Componentes APUs'!$A$1:$D$14,4,0)</f>
        <v>10101.010101010101</v>
      </c>
      <c r="G12406" s="51">
        <f>ROUNDUP(F12406*(E12406/21)/E12373,0)</f>
        <v>421</v>
      </c>
    </row>
    <row r="12407" spans="1:7" x14ac:dyDescent="0.25">
      <c r="A12407" s="69" t="s">
        <v>77</v>
      </c>
      <c r="B12407" s="72" t="str">
        <f>VLOOKUP(A12407,'[1]Componentes APUs'!$A$1:$D$14,2,0)</f>
        <v>Correa plastica y antiflama</v>
      </c>
      <c r="C12407" s="73"/>
      <c r="D12407" s="50" t="str">
        <f>VLOOKUP(A12407,'[1]Componentes APUs'!$A$1:$D$14,3,0)</f>
        <v>U</v>
      </c>
      <c r="E12407" s="50">
        <f>SUM(C12384:C12389)</f>
        <v>2.75</v>
      </c>
      <c r="F12407" s="51">
        <f>VLOOKUP(A12407,'[1]Componentes APUs'!$A$1:$D$14,4,0)</f>
        <v>3787.878787878788</v>
      </c>
      <c r="G12407" s="51">
        <f>ROUNDUP(F12407*(E12407/21)/E12373,0)</f>
        <v>249</v>
      </c>
    </row>
    <row r="12408" spans="1:7" x14ac:dyDescent="0.25">
      <c r="A12408" s="50" t="s">
        <v>79</v>
      </c>
      <c r="B12408" s="72" t="str">
        <f>VLOOKUP(A12408,'[1]Componentes APUs'!$A$1:$D$14,2,0)</f>
        <v>Gafas protectoras filtro UV</v>
      </c>
      <c r="C12408" s="73"/>
      <c r="D12408" s="50" t="str">
        <f>VLOOKUP(A12408,'[1]Componentes APUs'!$A$1:$D$14,3,0)</f>
        <v>U</v>
      </c>
      <c r="E12408" s="50">
        <f>SUM(C12384:C12389)</f>
        <v>2.75</v>
      </c>
      <c r="F12408" s="51">
        <f>VLOOKUP(A12408,'[1]Componentes APUs'!$A$1:$D$14,4,0)</f>
        <v>2777.7777777777778</v>
      </c>
      <c r="G12408" s="51">
        <f>ROUNDUP(F12408*(E12408/21)/E12373,0)</f>
        <v>182</v>
      </c>
    </row>
    <row r="12409" spans="1:7" x14ac:dyDescent="0.25">
      <c r="A12409" s="69" t="s">
        <v>402</v>
      </c>
      <c r="B12409" s="72" t="str">
        <f>VLOOKUP(A12409,'[1]Componentes APUs'!$A$1:$D$14,2,0)</f>
        <v>Bota de seguridad PVC dielectrica</v>
      </c>
      <c r="C12409" s="73"/>
      <c r="D12409" s="50" t="str">
        <f>VLOOKUP(A12409,'[1]Componentes APUs'!$A$1:$D$14,3,0)</f>
        <v>Par</v>
      </c>
      <c r="E12409" s="50">
        <f>SUM(C12384:C12389)</f>
        <v>2.75</v>
      </c>
      <c r="F12409" s="51">
        <f>VLOOKUP(A12409,'[1]Componentes APUs'!$A$1:$D$14,4,0)</f>
        <v>2916.6666666666665</v>
      </c>
      <c r="G12409" s="51">
        <f>ROUNDUP(F12409*(E12409/21)/E12373,0)</f>
        <v>191</v>
      </c>
    </row>
    <row r="12410" spans="1:7" x14ac:dyDescent="0.25">
      <c r="A12410" s="50" t="s">
        <v>403</v>
      </c>
      <c r="B12410" s="72" t="str">
        <f>VLOOKUP(A12410,'[1]Componentes APUs'!$A$1:$D$14,2,0)</f>
        <v>Capuchon</v>
      </c>
      <c r="C12410" s="73"/>
      <c r="D12410" s="50" t="str">
        <f>VLOOKUP(A12410,'[1]Componentes APUs'!$A$1:$D$14,3,0)</f>
        <v>U</v>
      </c>
      <c r="E12410" s="50">
        <f>SUM(C12384:C12389)</f>
        <v>2.75</v>
      </c>
      <c r="F12410" s="51">
        <f>VLOOKUP(A12410,'[1]Componentes APUs'!$A$1:$D$14,4,0)</f>
        <v>2525.2525252525252</v>
      </c>
      <c r="G12410" s="51">
        <f>ROUNDUP(F12410*(E12410/21)/E12373,0)</f>
        <v>166</v>
      </c>
    </row>
    <row r="12411" spans="1:7" x14ac:dyDescent="0.25">
      <c r="A12411" s="69" t="s">
        <v>81</v>
      </c>
      <c r="B12411" s="72" t="str">
        <f>VLOOKUP(A12411,'[1]Componentes APUs'!$A$1:$D$14,2,0)</f>
        <v>Guantes Protectores  - ingeniero reforzados</v>
      </c>
      <c r="C12411" s="73"/>
      <c r="D12411" s="50" t="str">
        <f>VLOOKUP(A12411,'[1]Componentes APUs'!$A$1:$D$14,3,0)</f>
        <v>Par</v>
      </c>
      <c r="E12411" s="50">
        <f>C12386+C12387+C12389</f>
        <v>2</v>
      </c>
      <c r="F12411" s="51">
        <f>VLOOKUP(A12411,'[1]Componentes APUs'!$A$1:$D$14,4,0)</f>
        <v>2525.2525252525252</v>
      </c>
      <c r="G12411" s="51">
        <f>ROUNDUP(F12411*(E12411/21)/E12373,0)</f>
        <v>121</v>
      </c>
    </row>
    <row r="12412" spans="1:7" x14ac:dyDescent="0.25">
      <c r="A12412" s="50" t="s">
        <v>83</v>
      </c>
      <c r="B12412" s="72" t="str">
        <f>VLOOKUP(A12412,'[1]Componentes APUs'!$A$1:$D$14,2,0)</f>
        <v>Impermeable (pantalon camisa)</v>
      </c>
      <c r="C12412" s="73"/>
      <c r="D12412" s="50" t="str">
        <f>VLOOKUP(A12412,'[1]Componentes APUs'!$A$1:$D$14,3,0)</f>
        <v>U</v>
      </c>
      <c r="E12412" s="50">
        <f>SUM(C12384:C12389)</f>
        <v>2.75</v>
      </c>
      <c r="F12412" s="51">
        <f>VLOOKUP(A12412,'[1]Componentes APUs'!$A$1:$D$14,4,0)</f>
        <v>3750</v>
      </c>
      <c r="G12412" s="51">
        <f>ROUNDUP(F12412*(E12412/21)/E12373,0)</f>
        <v>246</v>
      </c>
    </row>
    <row r="12413" spans="1:7" x14ac:dyDescent="0.25">
      <c r="A12413" s="69" t="s">
        <v>85</v>
      </c>
      <c r="B12413" s="72" t="str">
        <f>VLOOKUP(A12413,'[1]Componentes APUs'!$A$1:$D$14,2,0)</f>
        <v>Jean Dielectrico</v>
      </c>
      <c r="C12413" s="73"/>
      <c r="D12413" s="50" t="str">
        <f>VLOOKUP(A12413,'[1]Componentes APUs'!$A$1:$D$14,3,0)</f>
        <v>U</v>
      </c>
      <c r="E12413" s="50">
        <f>SUM(C12384:C12389)</f>
        <v>2.75</v>
      </c>
      <c r="F12413" s="51">
        <f>VLOOKUP(A12413,'[1]Componentes APUs'!$A$1:$D$14,4,0)</f>
        <v>7575.757575757576</v>
      </c>
      <c r="G12413" s="51">
        <f>ROUNDUP(F12413*(E12413/21)/E12373,0)</f>
        <v>497</v>
      </c>
    </row>
    <row r="12414" spans="1:7" x14ac:dyDescent="0.25">
      <c r="A12414" s="50" t="s">
        <v>87</v>
      </c>
      <c r="B12414" s="72" t="str">
        <f>VLOOKUP(A12414,'[1]Componentes APUs'!$A$1:$D$14,2,0)</f>
        <v>Casco dielectrico Tipo 2 Clase E con barboquejo</v>
      </c>
      <c r="C12414" s="73"/>
      <c r="D12414" s="50" t="str">
        <f>VLOOKUP(A12414,'[1]Componentes APUs'!$A$1:$D$14,3,0)</f>
        <v>U</v>
      </c>
      <c r="E12414" s="53">
        <f>IF(A12386="MO-3",C12386,0)</f>
        <v>1</v>
      </c>
      <c r="F12414" s="51">
        <f>VLOOKUP(A12414,'[1]Componentes APUs'!$A$1:$D$14,4,0)</f>
        <v>7500</v>
      </c>
      <c r="G12414" s="51">
        <f>ROUNDUP(F12414*(E12414/21)/E12373,0)</f>
        <v>179</v>
      </c>
    </row>
    <row r="12415" spans="1:7" x14ac:dyDescent="0.25">
      <c r="A12415" s="69" t="s">
        <v>89</v>
      </c>
      <c r="B12415" s="72" t="str">
        <f>VLOOKUP(A12415,'[1]Componentes APUs'!$A$1:$D$14,2,0)</f>
        <v>Kit de rescate para trabajo en alturas</v>
      </c>
      <c r="C12415" s="73"/>
      <c r="D12415" s="50" t="str">
        <f>VLOOKUP(A12415,'[1]Componentes APUs'!$A$1:$D$14,3,0)</f>
        <v>U</v>
      </c>
      <c r="E12415" s="50">
        <f>IF(AND(A12386="MO-3",C12386=2),1,0)</f>
        <v>0</v>
      </c>
      <c r="F12415" s="51">
        <f>VLOOKUP(A12415,'[1]Componentes APUs'!$A$1:$D$14,4,0)</f>
        <v>37500</v>
      </c>
      <c r="G12415" s="51">
        <f>ROUNDUP(F12415*(E12415/21)/E12373,0)</f>
        <v>0</v>
      </c>
    </row>
    <row r="12416" spans="1:7" x14ac:dyDescent="0.25">
      <c r="A12416" s="50" t="s">
        <v>91</v>
      </c>
      <c r="B12416" s="72" t="str">
        <f>VLOOKUP(A12416,'[1]Componentes APUs'!$A$1:$D$14,2,0)</f>
        <v>Equipo completo para trabajo en alturas con pretales (Arnes dielectrico, 1 mosqueton de seguridad, tie off dielectrico, eslinga de posicionamiento, juego de pretales)</v>
      </c>
      <c r="C12416" s="73"/>
      <c r="D12416" s="50" t="str">
        <f>VLOOKUP(A12416,'[1]Componentes APUs'!$A$1:$D$14,3,0)</f>
        <v>U</v>
      </c>
      <c r="E12416" s="50">
        <f>IF(A12386="MO-3",C12386,0)</f>
        <v>1</v>
      </c>
      <c r="F12416" s="51">
        <f>VLOOKUP(A12416,'[1]Componentes APUs'!$A$1:$D$14,4,0)</f>
        <v>26041.666666666668</v>
      </c>
      <c r="G12416" s="51">
        <f>ROUNDUP(F12416*(E12416/21)/E12373,0)</f>
        <v>621</v>
      </c>
    </row>
    <row r="12417" spans="1:7" x14ac:dyDescent="0.25">
      <c r="A12417" s="219" t="s">
        <v>95</v>
      </c>
      <c r="B12417" s="219"/>
      <c r="C12417" s="219"/>
      <c r="D12417" s="219"/>
      <c r="E12417" s="219"/>
      <c r="F12417" s="219"/>
      <c r="G12417" s="52">
        <f>SUM(G12404:G12416)</f>
        <v>3928</v>
      </c>
    </row>
    <row r="12418" spans="1:7" x14ac:dyDescent="0.25">
      <c r="A12418" s="56"/>
      <c r="B12418" s="57"/>
      <c r="C12418" s="57"/>
      <c r="D12418" s="57"/>
      <c r="E12418" s="57"/>
      <c r="F12418" s="57"/>
      <c r="G12418" s="58"/>
    </row>
    <row r="12419" spans="1:7" x14ac:dyDescent="0.25">
      <c r="A12419" s="219" t="s">
        <v>96</v>
      </c>
      <c r="B12419" s="219"/>
      <c r="C12419" s="219"/>
      <c r="D12419" s="219"/>
      <c r="E12419" s="219"/>
      <c r="F12419" s="219"/>
      <c r="G12419" s="219"/>
    </row>
    <row r="12420" spans="1:7" x14ac:dyDescent="0.25">
      <c r="A12420" s="49" t="s">
        <v>35</v>
      </c>
      <c r="B12420" s="225" t="s">
        <v>36</v>
      </c>
      <c r="C12420" s="225"/>
      <c r="D12420" s="49" t="s">
        <v>37</v>
      </c>
      <c r="E12420" s="49" t="s">
        <v>38</v>
      </c>
      <c r="F12420" s="49" t="s">
        <v>39</v>
      </c>
      <c r="G12420" s="49" t="s">
        <v>40</v>
      </c>
    </row>
    <row r="12421" spans="1:7" x14ac:dyDescent="0.25">
      <c r="A12421" s="69" t="s">
        <v>97</v>
      </c>
      <c r="B12421" s="72" t="str">
        <f>VLOOKUP(A12421,'[1]Componentes APUs'!$N$1:$Q$30,2,0)</f>
        <v>Camioneta</v>
      </c>
      <c r="C12421" s="73"/>
      <c r="D12421" s="70" t="str">
        <f>VLOOKUP(A12421,'[1]Componentes APUs'!$N$1:$Q$30,3,0)</f>
        <v>U</v>
      </c>
      <c r="E12421" s="50">
        <v>1</v>
      </c>
      <c r="F12421" s="51">
        <f>VLOOKUP(A12421,'[1]Componentes APUs'!$N$1:$Q$30,4,0)</f>
        <v>5500000</v>
      </c>
      <c r="G12421" s="51">
        <f>IFERROR(ROUNDUP(F12421*(E12421/21)/E12373,0),"-")</f>
        <v>130953</v>
      </c>
    </row>
    <row r="12422" spans="1:7" x14ac:dyDescent="0.25">
      <c r="A12422" s="50" t="s">
        <v>321</v>
      </c>
      <c r="B12422" s="72" t="str">
        <f>VLOOKUP(A12422,'[1]Componentes APUs'!$N$1:$Q$30,2,0)</f>
        <v>Grúa Hidráulica</v>
      </c>
      <c r="C12422" s="73"/>
      <c r="D12422" s="70" t="str">
        <f>VLOOKUP(A12422,'[1]Componentes APUs'!$N$1:$Q$30,3,0)</f>
        <v>U</v>
      </c>
      <c r="E12422" s="50">
        <v>0</v>
      </c>
      <c r="F12422" s="51">
        <f>VLOOKUP(A12422,'[1]Componentes APUs'!$N$1:$Q$30,4,0)</f>
        <v>21000000</v>
      </c>
      <c r="G12422" s="51">
        <f>IFERROR(ROUNDUP(F12422*(E12422/21)/E12373,0),"-")</f>
        <v>0</v>
      </c>
    </row>
    <row r="12423" spans="1:7" x14ac:dyDescent="0.25">
      <c r="A12423" s="69" t="s">
        <v>322</v>
      </c>
      <c r="B12423" s="72" t="str">
        <f>VLOOKUP(A12423,'[1]Componentes APUs'!$N$1:$Q$30,2,0)</f>
        <v>Camabaja</v>
      </c>
      <c r="C12423" s="73"/>
      <c r="D12423" s="70" t="str">
        <f>VLOOKUP(A12423,'[1]Componentes APUs'!$N$1:$Q$30,3,0)</f>
        <v>TON/KM</v>
      </c>
      <c r="E12423" s="50">
        <v>0</v>
      </c>
      <c r="F12423" s="51">
        <f>VLOOKUP(A12423,'[1]Componentes APUs'!$N$1:$Q$30,4,0)</f>
        <v>611</v>
      </c>
      <c r="G12423" s="51">
        <f>IFERROR(ROUNDUP(F12423*(E12423/21)/E12373,0),"-")</f>
        <v>0</v>
      </c>
    </row>
    <row r="12424" spans="1:7" x14ac:dyDescent="0.25">
      <c r="A12424" s="50" t="s">
        <v>323</v>
      </c>
      <c r="B12424" s="72" t="str">
        <f>VLOOKUP(A12424,'[1]Componentes APUs'!$N$1:$Q$30,2,0)</f>
        <v>Volqueta</v>
      </c>
      <c r="C12424" s="73"/>
      <c r="D12424" s="70" t="str">
        <f>VLOOKUP(A12424,'[1]Componentes APUs'!$N$1:$Q$30,3,0)</f>
        <v>U</v>
      </c>
      <c r="E12424" s="50">
        <v>0</v>
      </c>
      <c r="F12424" s="51">
        <f>VLOOKUP(A12424,'[1]Componentes APUs'!$N$1:$Q$30,4,0)</f>
        <v>18900000</v>
      </c>
      <c r="G12424" s="51">
        <f>IFERROR(ROUNDUP(F12424*(E12424/21)/E12373,0),"-")</f>
        <v>0</v>
      </c>
    </row>
    <row r="12425" spans="1:7" x14ac:dyDescent="0.25">
      <c r="A12425" s="69" t="s">
        <v>324</v>
      </c>
      <c r="B12425" s="72" t="str">
        <f>VLOOKUP(A12425,'[1]Componentes APUs'!$N$1:$Q$30,2,0)</f>
        <v>Retroexcavadora</v>
      </c>
      <c r="C12425" s="73"/>
      <c r="D12425" s="70" t="str">
        <f>VLOOKUP(A12425,'[1]Componentes APUs'!$N$1:$Q$30,3,0)</f>
        <v>U</v>
      </c>
      <c r="E12425" s="50">
        <v>0</v>
      </c>
      <c r="F12425" s="51">
        <f>VLOOKUP(A12425,'[1]Componentes APUs'!$N$1:$Q$30,4,0)</f>
        <v>1494459.54</v>
      </c>
      <c r="G12425" s="51">
        <f>IFERROR(ROUNDUP(F12425*(E12425/21)/E12373,0),"-")</f>
        <v>0</v>
      </c>
    </row>
    <row r="12426" spans="1:7" x14ac:dyDescent="0.25">
      <c r="A12426" s="219" t="s">
        <v>99</v>
      </c>
      <c r="B12426" s="219"/>
      <c r="C12426" s="219"/>
      <c r="D12426" s="219"/>
      <c r="E12426" s="219"/>
      <c r="F12426" s="219"/>
      <c r="G12426" s="52">
        <f>SUM(G12421:G12425)</f>
        <v>130953</v>
      </c>
    </row>
    <row r="12427" spans="1:7" x14ac:dyDescent="0.25">
      <c r="A12427" s="56"/>
      <c r="B12427" s="57"/>
      <c r="C12427" s="57"/>
      <c r="D12427" s="57"/>
      <c r="E12427" s="57"/>
      <c r="F12427" s="57"/>
      <c r="G12427" s="58"/>
    </row>
    <row r="12428" spans="1:7" x14ac:dyDescent="0.25">
      <c r="A12428" s="219" t="s">
        <v>1516</v>
      </c>
      <c r="B12428" s="219"/>
      <c r="C12428" s="219"/>
      <c r="D12428" s="219"/>
      <c r="E12428" s="219"/>
      <c r="F12428" s="219"/>
      <c r="G12428" s="52">
        <f>G12426+G12417+G12400+G12390+G12380</f>
        <v>4995591</v>
      </c>
    </row>
    <row r="12429" spans="1:7" x14ac:dyDescent="0.25">
      <c r="A12429" s="59"/>
      <c r="B12429" s="60"/>
      <c r="C12429" s="60"/>
      <c r="D12429" s="60"/>
      <c r="E12429" s="57"/>
      <c r="F12429" s="57"/>
      <c r="G12429" s="58"/>
    </row>
    <row r="12430" spans="1:7" x14ac:dyDescent="0.25">
      <c r="A12430" s="64"/>
      <c r="D12430" s="55"/>
      <c r="E12430" s="49" t="s">
        <v>25</v>
      </c>
      <c r="F12430" s="54">
        <v>0.15</v>
      </c>
      <c r="G12430" s="51">
        <f>G12428*F12430</f>
        <v>749338.65</v>
      </c>
    </row>
    <row r="12431" spans="1:7" x14ac:dyDescent="0.25">
      <c r="A12431" s="64"/>
      <c r="D12431" s="55"/>
      <c r="E12431" s="49" t="s">
        <v>26</v>
      </c>
      <c r="F12431" s="54">
        <v>0.05</v>
      </c>
      <c r="G12431" s="51">
        <f>G12428*F12431</f>
        <v>249779.55000000002</v>
      </c>
    </row>
    <row r="12432" spans="1:7" x14ac:dyDescent="0.25">
      <c r="A12432" s="61"/>
      <c r="B12432" s="65"/>
      <c r="C12432" s="65"/>
      <c r="D12432" s="62"/>
      <c r="E12432" s="49" t="s">
        <v>27</v>
      </c>
      <c r="F12432" s="54">
        <v>0.05</v>
      </c>
      <c r="G12432" s="51">
        <f>G12428*F12432</f>
        <v>249779.55000000002</v>
      </c>
    </row>
    <row r="12433" spans="1:7" x14ac:dyDescent="0.25">
      <c r="A12433" s="61"/>
      <c r="B12433" s="62"/>
      <c r="C12433" s="62"/>
      <c r="D12433" s="62"/>
      <c r="E12433" s="62"/>
      <c r="F12433" s="62"/>
      <c r="G12433" s="63"/>
    </row>
    <row r="12434" spans="1:7" x14ac:dyDescent="0.25">
      <c r="A12434" s="219" t="s">
        <v>1517</v>
      </c>
      <c r="B12434" s="219"/>
      <c r="C12434" s="219"/>
      <c r="D12434" s="219"/>
      <c r="E12434" s="219"/>
      <c r="F12434" s="219"/>
      <c r="G12434" s="52">
        <f>G12428+G12430+G12431+G12432</f>
        <v>6244488.75</v>
      </c>
    </row>
    <row r="12435" spans="1:7" x14ac:dyDescent="0.25">
      <c r="A12435" s="59"/>
      <c r="B12435" s="60"/>
      <c r="C12435" s="60"/>
      <c r="D12435" s="60"/>
      <c r="E12435" s="57"/>
      <c r="F12435" s="57"/>
      <c r="G12435" s="58"/>
    </row>
    <row r="12436" spans="1:7" x14ac:dyDescent="0.25">
      <c r="A12436" s="64"/>
      <c r="D12436" s="55"/>
      <c r="E12436" s="49" t="s">
        <v>102</v>
      </c>
      <c r="F12436" s="49" t="s">
        <v>103</v>
      </c>
      <c r="G12436" s="51">
        <f>G12432*19%</f>
        <v>47458.114500000003</v>
      </c>
    </row>
    <row r="12437" spans="1:7" x14ac:dyDescent="0.25">
      <c r="A12437" s="61"/>
      <c r="B12437" s="62"/>
      <c r="C12437" s="62"/>
      <c r="D12437" s="62"/>
      <c r="E12437" s="57"/>
      <c r="F12437" s="57"/>
      <c r="G12437" s="58"/>
    </row>
    <row r="12438" spans="1:7" x14ac:dyDescent="0.25">
      <c r="A12438" s="219" t="s">
        <v>104</v>
      </c>
      <c r="B12438" s="219"/>
      <c r="C12438" s="219"/>
      <c r="D12438" s="219"/>
      <c r="E12438" s="219"/>
      <c r="F12438" s="219"/>
      <c r="G12438" s="52">
        <f>G12436+G12434</f>
        <v>6291946.8645000001</v>
      </c>
    </row>
    <row r="12440" spans="1:7" x14ac:dyDescent="0.25">
      <c r="A12440" s="74" t="s">
        <v>29</v>
      </c>
      <c r="B12440" s="226" t="s">
        <v>30</v>
      </c>
      <c r="C12440" s="226"/>
      <c r="D12440" s="74" t="s">
        <v>31</v>
      </c>
      <c r="E12440" s="74" t="s">
        <v>32</v>
      </c>
      <c r="F12440" s="74" t="s">
        <v>189</v>
      </c>
      <c r="G12440" s="74" t="s">
        <v>33</v>
      </c>
    </row>
    <row r="12441" spans="1:7" ht="65.25" customHeight="1" x14ac:dyDescent="0.25">
      <c r="A12441" s="50" t="str">
        <f>Presupuesto!B226</f>
        <v>034_N3</v>
      </c>
      <c r="B12441" s="220" t="str">
        <f>Presupuesto!C226</f>
        <v>SUMINISTRO, TRANSPORTE E INSTALACIÓN DE TABLERO AUTOSOPORTADO DE FABRICACIÓN ESPECIAL. DE USO INTERIOR. IP 54. LAMINA DE ACERO GALVANIZADA CALIBRE 18. PARA ALBERGAR HASTA 6 EQUIPOS DE CONTROL, SEGÚN DIAGRAMA UNIFILAR (+R01A). INCLUYE ILUMINACIÓN, RESISTENCIA PARA CALEFACCIÓN, BREAKERS DE PROTECCIÓN.</v>
      </c>
      <c r="C12441" s="220"/>
      <c r="D12441" s="50" t="s">
        <v>18</v>
      </c>
      <c r="E12441" s="50">
        <v>1</v>
      </c>
      <c r="F12441" s="50"/>
      <c r="G12441" s="51">
        <f>G12508</f>
        <v>15343323.4625</v>
      </c>
    </row>
    <row r="12442" spans="1:7" x14ac:dyDescent="0.25">
      <c r="A12442" s="219" t="s">
        <v>34</v>
      </c>
      <c r="B12442" s="219"/>
      <c r="C12442" s="219"/>
      <c r="D12442" s="219"/>
      <c r="E12442" s="219"/>
      <c r="F12442" s="219"/>
      <c r="G12442" s="219"/>
    </row>
    <row r="12443" spans="1:7" x14ac:dyDescent="0.25">
      <c r="A12443" s="49" t="s">
        <v>35</v>
      </c>
      <c r="B12443" s="219" t="s">
        <v>36</v>
      </c>
      <c r="C12443" s="219"/>
      <c r="D12443" s="49" t="s">
        <v>37</v>
      </c>
      <c r="E12443" s="49" t="s">
        <v>38</v>
      </c>
      <c r="F12443" s="49" t="s">
        <v>39</v>
      </c>
      <c r="G12443" s="49" t="s">
        <v>40</v>
      </c>
    </row>
    <row r="12444" spans="1:7" ht="41.25" customHeight="1" x14ac:dyDescent="0.25">
      <c r="A12444" s="17" t="str">
        <f>Material!A32</f>
        <v>MA-31</v>
      </c>
      <c r="B12444" s="221" t="str">
        <f>IFERROR(VLOOKUP(A12444,Material!$A:$H,2,0),"-")</f>
        <v>TABLERO AUTOSOPORTADO DE FABRICACIÓN ESPECIAL. DE USO INTERIOR. IP 65. LAMINA DE ACERO GALVANIZADA CALIBRE 18. PARA ALBERGAR HASTA 6 EQUIPOS DE MEDIDA SEMIDIRECTA</v>
      </c>
      <c r="C12444" s="222"/>
      <c r="D12444" s="50" t="str">
        <f>IFERROR(VLOOKUP(A12444,Material!$A:$H,4,0),"-")</f>
        <v>UN</v>
      </c>
      <c r="E12444" s="50">
        <v>1</v>
      </c>
      <c r="F12444" s="51">
        <f>IFERROR(VLOOKUP(A12444,Material!$A:$H,3,0),"-")</f>
        <v>9100000</v>
      </c>
      <c r="G12444" s="51">
        <f t="shared" ref="G12444:G12449" si="175">IFERROR(ROUNDUP(F12444*E12444,0),"-")</f>
        <v>9100000</v>
      </c>
    </row>
    <row r="12445" spans="1:7" x14ac:dyDescent="0.25">
      <c r="A12445" s="17" t="str">
        <f>Material!A33</f>
        <v>MA-32</v>
      </c>
      <c r="B12445" s="72" t="str">
        <f>IFERROR(VLOOKUP(A12445,Material!$A:$H,2,0),"-")</f>
        <v>LÁMPARA LED</v>
      </c>
      <c r="C12445" s="73"/>
      <c r="D12445" s="50" t="str">
        <f>IFERROR(VLOOKUP(A12445,Material!$A:$H,4,0),"-")</f>
        <v>UN</v>
      </c>
      <c r="E12445" s="50">
        <v>1</v>
      </c>
      <c r="F12445" s="51">
        <f>IFERROR(VLOOKUP(A12445,Material!$A:$H,3,0),"-")</f>
        <v>307373.88256268692</v>
      </c>
      <c r="G12445" s="51">
        <f t="shared" si="175"/>
        <v>307374</v>
      </c>
    </row>
    <row r="12446" spans="1:7" x14ac:dyDescent="0.25">
      <c r="A12446" s="17" t="str">
        <f>Material!A142</f>
        <v>MA-141</v>
      </c>
      <c r="B12446" s="72" t="str">
        <f>IFERROR(VLOOKUP(A12446,Material!$A:$H,2,0),"-")</f>
        <v>CAJA RAWELT</v>
      </c>
      <c r="C12446" s="73"/>
      <c r="D12446" s="50" t="str">
        <f>IFERROR(VLOOKUP(A12446,Material!$A:$H,4,0),"-")</f>
        <v>UN</v>
      </c>
      <c r="E12446" s="50">
        <v>1</v>
      </c>
      <c r="F12446" s="51">
        <f>IFERROR(VLOOKUP(A12446,Material!$A:$H,3,0),"-")</f>
        <v>13778.7</v>
      </c>
      <c r="G12446" s="51">
        <f t="shared" si="175"/>
        <v>13779</v>
      </c>
    </row>
    <row r="12447" spans="1:7" x14ac:dyDescent="0.25">
      <c r="A12447" s="17" t="str">
        <f>Material!A230</f>
        <v>MA-229</v>
      </c>
      <c r="B12447" s="72" t="str">
        <f>IFERROR(VLOOKUP(A12447,Material!$A:$H,2,0),"-")</f>
        <v>TOMA CORRIENTE LEVITON</v>
      </c>
      <c r="C12447" s="73"/>
      <c r="D12447" s="50" t="str">
        <f>IFERROR(VLOOKUP(A12447,Material!$A:$H,4,0),"-")</f>
        <v>UN</v>
      </c>
      <c r="E12447" s="50">
        <v>1</v>
      </c>
      <c r="F12447" s="51">
        <f>IFERROR(VLOOKUP(A12447,Material!$A:$H,3,0),"-")</f>
        <v>4615</v>
      </c>
      <c r="G12447" s="51">
        <f t="shared" si="175"/>
        <v>4615</v>
      </c>
    </row>
    <row r="12448" spans="1:7" x14ac:dyDescent="0.25">
      <c r="A12448" s="17" t="str">
        <f>Material!A34</f>
        <v>MA-33</v>
      </c>
      <c r="B12448" s="72" t="str">
        <f>IFERROR(VLOOKUP(A12448,Material!$A:$H,2,0),"-")</f>
        <v>RESISTENCIA DE CALEFACCIÓN PARA CUADROS ELÉCTRICOS 30W. IP20</v>
      </c>
      <c r="C12448" s="73"/>
      <c r="D12448" s="50" t="str">
        <f>IFERROR(VLOOKUP(A12448,Material!$A:$H,4,0),"-")</f>
        <v>UN</v>
      </c>
      <c r="E12448" s="50">
        <v>1</v>
      </c>
      <c r="F12448" s="51">
        <f>IFERROR(VLOOKUP(A12448,Material!$A:$H,3,0),"-")</f>
        <v>262031.83808815968</v>
      </c>
      <c r="G12448" s="51">
        <f t="shared" si="175"/>
        <v>262032</v>
      </c>
    </row>
    <row r="12449" spans="1:7" x14ac:dyDescent="0.25">
      <c r="A12449" s="17" t="str">
        <f>Material!A35</f>
        <v>MA-34</v>
      </c>
      <c r="B12449" s="75" t="str">
        <f>IFERROR(VLOOKUP(A12449,Material!$A:$H,2,0),"-")</f>
        <v>BREAKER DE RIEL MONOPOLAR 1 X 20 AMP 6 KA</v>
      </c>
      <c r="C12449" s="76"/>
      <c r="D12449" s="50" t="str">
        <f>IFERROR(VLOOKUP(A12449,Material!$A:$H,4,0),"-")</f>
        <v>UN</v>
      </c>
      <c r="E12449" s="50">
        <v>1</v>
      </c>
      <c r="F12449" s="51">
        <f>IFERROR(VLOOKUP(A12449,Material!$A:$H,3,0),"-")</f>
        <v>23790</v>
      </c>
      <c r="G12449" s="51">
        <f t="shared" si="175"/>
        <v>23790</v>
      </c>
    </row>
    <row r="12450" spans="1:7" ht="18" customHeight="1" x14ac:dyDescent="0.25">
      <c r="A12450" s="219" t="s">
        <v>41</v>
      </c>
      <c r="B12450" s="219"/>
      <c r="C12450" s="219"/>
      <c r="D12450" s="219"/>
      <c r="E12450" s="219"/>
      <c r="F12450" s="219"/>
      <c r="G12450" s="52">
        <f>SUM(G12444:G12449)</f>
        <v>9711590</v>
      </c>
    </row>
    <row r="12451" spans="1:7" x14ac:dyDescent="0.25">
      <c r="A12451" s="56"/>
      <c r="B12451" s="57"/>
      <c r="C12451" s="57"/>
      <c r="D12451" s="57"/>
      <c r="E12451" s="57"/>
      <c r="F12451" s="57"/>
      <c r="G12451" s="58"/>
    </row>
    <row r="12452" spans="1:7" x14ac:dyDescent="0.25">
      <c r="A12452" s="219" t="s">
        <v>42</v>
      </c>
      <c r="B12452" s="219"/>
      <c r="C12452" s="219"/>
      <c r="D12452" s="219"/>
      <c r="E12452" s="219"/>
      <c r="F12452" s="219"/>
      <c r="G12452" s="219"/>
    </row>
    <row r="12453" spans="1:7" x14ac:dyDescent="0.25">
      <c r="A12453" s="49" t="s">
        <v>35</v>
      </c>
      <c r="B12453" s="49" t="s">
        <v>36</v>
      </c>
      <c r="C12453" s="49" t="s">
        <v>38</v>
      </c>
      <c r="D12453" s="49" t="s">
        <v>43</v>
      </c>
      <c r="E12453" s="49" t="s">
        <v>44</v>
      </c>
      <c r="F12453" s="49" t="s">
        <v>45</v>
      </c>
      <c r="G12453" s="49" t="s">
        <v>40</v>
      </c>
    </row>
    <row r="12454" spans="1:7" x14ac:dyDescent="0.25">
      <c r="A12454" s="50" t="s">
        <v>319</v>
      </c>
      <c r="B12454" s="68" t="str">
        <f>VLOOKUP(A12454,'Componentes APUs'!$H$1:$L$25,2,0)</f>
        <v>Ingeniero Residente de Obra</v>
      </c>
      <c r="C12454" s="93">
        <v>0.25</v>
      </c>
      <c r="D12454" s="50">
        <f>VLOOKUP(A12454,'Componentes APUs'!$H$1:$L$25,3,0)</f>
        <v>4</v>
      </c>
      <c r="E12454" s="51">
        <f>VLOOKUP(A12454,'Componentes APUs'!$H$1:$L$25,4,0)</f>
        <v>271142.85714285716</v>
      </c>
      <c r="F12454" s="51">
        <f>VLOOKUP(A12454,'Componentes APUs'!$H$1:$L$25,5,0)</f>
        <v>162685.71428571429</v>
      </c>
      <c r="G12454" s="51">
        <f>ROUNDUP((E12454+F12454)*C12454/E12441,0)</f>
        <v>108458</v>
      </c>
    </row>
    <row r="12455" spans="1:7" x14ac:dyDescent="0.25">
      <c r="A12455" s="50" t="s">
        <v>320</v>
      </c>
      <c r="B12455" s="68" t="str">
        <f>VLOOKUP(A12455,'Componentes APUs'!$H$1:$L$25,2,0)</f>
        <v>Tecnico Supervisor</v>
      </c>
      <c r="C12455" s="93">
        <v>0.25</v>
      </c>
      <c r="D12455" s="50">
        <f>VLOOKUP(A12455,'Componentes APUs'!$H$1:$L$25,3,0)</f>
        <v>2.2999999999999998</v>
      </c>
      <c r="E12455" s="51">
        <f>VLOOKUP(A12455,'Componentes APUs'!$H$1:$L$25,4,0)</f>
        <v>155907.14285714284</v>
      </c>
      <c r="F12455" s="51">
        <f>VLOOKUP(A12455,'Componentes APUs'!$H$1:$L$25,5,0)</f>
        <v>93544.285714285696</v>
      </c>
      <c r="G12455" s="51">
        <f>ROUNDUP((E12455+F12455)*C12455/E12441,0)</f>
        <v>62363</v>
      </c>
    </row>
    <row r="12456" spans="1:7" x14ac:dyDescent="0.25">
      <c r="A12456" s="50" t="s">
        <v>46</v>
      </c>
      <c r="B12456" s="68" t="str">
        <f>VLOOKUP(A12456,'Componentes APUs'!$H$1:$L$25,2,0)</f>
        <v>Tecnico Liniero</v>
      </c>
      <c r="C12456" s="93">
        <v>1</v>
      </c>
      <c r="D12456" s="50">
        <f>VLOOKUP(A12456,'Componentes APUs'!$H$1:$L$25,3,0)</f>
        <v>2</v>
      </c>
      <c r="E12456" s="51">
        <f>VLOOKUP(A12456,'Componentes APUs'!$H$1:$L$25,4,0)</f>
        <v>154619.04761904763</v>
      </c>
      <c r="F12456" s="51">
        <f>VLOOKUP(A12456,'Componentes APUs'!$H$1:$L$25,5,0)</f>
        <v>92771.42857142858</v>
      </c>
      <c r="G12456" s="51">
        <f>ROUNDUP((E12456+F12456)*C12456/E12441,0)</f>
        <v>247391</v>
      </c>
    </row>
    <row r="12457" spans="1:7" x14ac:dyDescent="0.25">
      <c r="A12457" s="50" t="s">
        <v>48</v>
      </c>
      <c r="B12457" s="68" t="str">
        <f>VLOOKUP(A12457,'Componentes APUs'!$H$1:$L$25,2,0)</f>
        <v>Ayudante Calificado</v>
      </c>
      <c r="C12457" s="93">
        <v>1</v>
      </c>
      <c r="D12457" s="50">
        <f>VLOOKUP(A12457,'Componentes APUs'!$H$1:$L$25,3,0)</f>
        <v>1.5</v>
      </c>
      <c r="E12457" s="51">
        <f>VLOOKUP(A12457,'Componentes APUs'!$H$1:$L$25,4,0)</f>
        <v>115964.28571428571</v>
      </c>
      <c r="F12457" s="51">
        <f>VLOOKUP(A12457,'Componentes APUs'!$H$1:$L$25,5,0)</f>
        <v>69578.57142857142</v>
      </c>
      <c r="G12457" s="51">
        <f>ROUNDUP((E12457+F12457)*C12457/E12441,0)</f>
        <v>185543</v>
      </c>
    </row>
    <row r="12458" spans="1:7" x14ac:dyDescent="0.25">
      <c r="A12458" s="50" t="s">
        <v>50</v>
      </c>
      <c r="B12458" s="68" t="str">
        <f>VLOOKUP(A12458,'Componentes APUs'!$H$1:$L$25,2,0)</f>
        <v>Profesional en SST</v>
      </c>
      <c r="C12458" s="93">
        <v>0.25</v>
      </c>
      <c r="D12458" s="50">
        <f>VLOOKUP(A12458,'Componentes APUs'!$H$1:$L$25,3,0)</f>
        <v>2.5</v>
      </c>
      <c r="E12458" s="51">
        <f>VLOOKUP(A12458,'Componentes APUs'!$H$1:$L$25,4,0)</f>
        <v>169464.28571428571</v>
      </c>
      <c r="F12458" s="51">
        <f>VLOOKUP(A12458,'Componentes APUs'!$H$1:$L$25,5,0)</f>
        <v>101678.57142857142</v>
      </c>
      <c r="G12458" s="51">
        <f>ROUNDUP((E12458+F12458)*C12458/E12441,0)</f>
        <v>67786</v>
      </c>
    </row>
    <row r="12459" spans="1:7" x14ac:dyDescent="0.25">
      <c r="A12459" s="50" t="s">
        <v>52</v>
      </c>
      <c r="B12459" s="68" t="str">
        <f>VLOOKUP(A12459,'Componentes APUs'!$H$1:$L$25,2,0)</f>
        <v>Ayudante No Calificado</v>
      </c>
      <c r="C12459" s="93">
        <v>0</v>
      </c>
      <c r="D12459" s="50">
        <f>VLOOKUP(A12459,'Componentes APUs'!$H$1:$L$25,3,0)</f>
        <v>1</v>
      </c>
      <c r="E12459" s="51">
        <f>VLOOKUP(A12459,'Componentes APUs'!$H$1:$L$25,4,0)</f>
        <v>77309.523809523816</v>
      </c>
      <c r="F12459" s="51">
        <f>VLOOKUP(A12459,'Componentes APUs'!$H$1:$L$25,5,0)</f>
        <v>46385.71428571429</v>
      </c>
      <c r="G12459" s="51">
        <f>ROUNDUP((E12459+F12459)*C12459/E12441,0)</f>
        <v>0</v>
      </c>
    </row>
    <row r="12460" spans="1:7" x14ac:dyDescent="0.25">
      <c r="A12460" s="50" t="s">
        <v>1121</v>
      </c>
      <c r="B12460" s="68" t="str">
        <f>VLOOKUP(A12460,'Componentes APUs'!$H$1:$L$25,2,0)</f>
        <v>Ingeniero Especialista de Control y Protección Subestación</v>
      </c>
      <c r="C12460" s="93">
        <v>1</v>
      </c>
      <c r="D12460" s="50">
        <f>VLOOKUP(A12460,'Componentes APUs'!$H$1:$L$25,3,0)</f>
        <v>14</v>
      </c>
      <c r="E12460" s="51">
        <f>VLOOKUP(A12460,'Componentes APUs'!$H$1:$L$25,4,0)</f>
        <v>949000</v>
      </c>
      <c r="F12460" s="51">
        <f>VLOOKUP(A12460,'Componentes APUs'!$H$1:$L$25,5,0)</f>
        <v>569400</v>
      </c>
      <c r="G12460" s="51">
        <f>ROUNDUP((E12460+F12460)*C12460/E12441,0)</f>
        <v>1518400</v>
      </c>
    </row>
    <row r="12461" spans="1:7" x14ac:dyDescent="0.25">
      <c r="A12461" s="219" t="s">
        <v>56</v>
      </c>
      <c r="B12461" s="219"/>
      <c r="C12461" s="219"/>
      <c r="D12461" s="219"/>
      <c r="E12461" s="219"/>
      <c r="F12461" s="219"/>
      <c r="G12461" s="52">
        <f>SUM(G12454:G12460)</f>
        <v>2189941</v>
      </c>
    </row>
    <row r="12462" spans="1:7" x14ac:dyDescent="0.25">
      <c r="A12462" s="56"/>
      <c r="B12462" s="57"/>
      <c r="C12462" s="57"/>
      <c r="D12462" s="57"/>
      <c r="E12462" s="57"/>
      <c r="F12462" s="57"/>
      <c r="G12462" s="58"/>
    </row>
    <row r="12463" spans="1:7" x14ac:dyDescent="0.25">
      <c r="A12463" s="219" t="s">
        <v>57</v>
      </c>
      <c r="B12463" s="219"/>
      <c r="C12463" s="219"/>
      <c r="D12463" s="219"/>
      <c r="E12463" s="219"/>
      <c r="F12463" s="219"/>
      <c r="G12463" s="219"/>
    </row>
    <row r="12464" spans="1:7" x14ac:dyDescent="0.25">
      <c r="A12464" s="49" t="s">
        <v>35</v>
      </c>
      <c r="B12464" s="219" t="s">
        <v>36</v>
      </c>
      <c r="C12464" s="219"/>
      <c r="D12464" s="49" t="s">
        <v>37</v>
      </c>
      <c r="E12464" s="49" t="s">
        <v>38</v>
      </c>
      <c r="F12464" s="49" t="s">
        <v>39</v>
      </c>
      <c r="G12464" s="49" t="s">
        <v>40</v>
      </c>
    </row>
    <row r="12465" spans="1:7" x14ac:dyDescent="0.25">
      <c r="A12465" s="50" t="s">
        <v>326</v>
      </c>
      <c r="B12465" s="220" t="str">
        <f>VLOOKUP(A12465,'Componentes APUs'!$S$1:$V$10,2,0)</f>
        <v>Juego Llaves</v>
      </c>
      <c r="C12465" s="220"/>
      <c r="D12465" s="50" t="s">
        <v>18</v>
      </c>
      <c r="E12465" s="50">
        <v>2</v>
      </c>
      <c r="F12465" s="51">
        <f>VLOOKUP(A12465,'Componentes APUs'!$S$1:$V$10,4,0)</f>
        <v>9167</v>
      </c>
      <c r="G12465" s="51">
        <f>ROUNDUP(F12465*((E12465/21)/E12441),0)</f>
        <v>874</v>
      </c>
    </row>
    <row r="12466" spans="1:7" x14ac:dyDescent="0.25">
      <c r="A12466" s="50" t="s">
        <v>58</v>
      </c>
      <c r="B12466" s="220" t="str">
        <f>VLOOKUP(A12466,'Componentes APUs'!$S$1:$V$10,2,0)</f>
        <v>Manila de servicio</v>
      </c>
      <c r="C12466" s="220"/>
      <c r="D12466" s="50" t="s">
        <v>18</v>
      </c>
      <c r="E12466" s="50">
        <v>2</v>
      </c>
      <c r="F12466" s="51">
        <f>VLOOKUP(A12466,'Componentes APUs'!$S$1:$V$10,4,0)</f>
        <v>2333</v>
      </c>
      <c r="G12466" s="51">
        <f>ROUNDUP(F12466*((E12466/21)/E12441),0)</f>
        <v>223</v>
      </c>
    </row>
    <row r="12467" spans="1:7" x14ac:dyDescent="0.25">
      <c r="A12467" s="50" t="s">
        <v>327</v>
      </c>
      <c r="B12467" s="220" t="str">
        <f>VLOOKUP(A12467,'Componentes APUs'!$S$1:$V$10,2,0)</f>
        <v>Tula portaherramientas</v>
      </c>
      <c r="C12467" s="220"/>
      <c r="D12467" s="50" t="s">
        <v>18</v>
      </c>
      <c r="E12467" s="50">
        <v>2</v>
      </c>
      <c r="F12467" s="51">
        <f>VLOOKUP(A12467,'Componentes APUs'!$S$1:$V$10,4,0)</f>
        <v>1250</v>
      </c>
      <c r="G12467" s="51">
        <f>ROUNDUP(F12467*((E12467/21)/E12441),0)</f>
        <v>120</v>
      </c>
    </row>
    <row r="12468" spans="1:7" x14ac:dyDescent="0.25">
      <c r="A12468" s="50" t="s">
        <v>60</v>
      </c>
      <c r="B12468" s="220" t="str">
        <f>VLOOKUP(A12468,'Componentes APUs'!$S$1:$V$10,2,0)</f>
        <v>Agarradoras</v>
      </c>
      <c r="C12468" s="220"/>
      <c r="D12468" s="50" t="s">
        <v>18</v>
      </c>
      <c r="E12468" s="50">
        <v>0</v>
      </c>
      <c r="F12468" s="51">
        <f>VLOOKUP(A12468,'Componentes APUs'!$S$1:$V$10,4,0)</f>
        <v>125000</v>
      </c>
      <c r="G12468" s="51">
        <f>ROUNDUP(F12468*((E12468/21)/E12441),0)</f>
        <v>0</v>
      </c>
    </row>
    <row r="12469" spans="1:7" x14ac:dyDescent="0.25">
      <c r="A12469" s="50" t="s">
        <v>62</v>
      </c>
      <c r="B12469" s="220" t="str">
        <f>VLOOKUP(A12469,'Componentes APUs'!$S$1:$V$10,2,0)</f>
        <v>Templadoras</v>
      </c>
      <c r="C12469" s="220"/>
      <c r="D12469" s="50" t="s">
        <v>18</v>
      </c>
      <c r="E12469" s="50">
        <v>0</v>
      </c>
      <c r="F12469" s="51">
        <f>VLOOKUP(A12469,'Componentes APUs'!$S$1:$V$10,4,0)</f>
        <v>250000</v>
      </c>
      <c r="G12469" s="51">
        <f>ROUNDUP(F12469*((E12469/21)/E12441),0)</f>
        <v>0</v>
      </c>
    </row>
    <row r="12470" spans="1:7" x14ac:dyDescent="0.25">
      <c r="A12470" s="50" t="s">
        <v>328</v>
      </c>
      <c r="B12470" s="220" t="str">
        <f>VLOOKUP(A12470,'Componentes APUs'!$S$1:$V$10,2,0)</f>
        <v>Herramienta Menor</v>
      </c>
      <c r="C12470" s="220"/>
      <c r="D12470" s="50" t="s">
        <v>18</v>
      </c>
      <c r="E12470" s="50">
        <v>2</v>
      </c>
      <c r="F12470" s="51">
        <f>VLOOKUP(A12470,'Componentes APUs'!$S$1:$V$10,4,0)</f>
        <v>75758</v>
      </c>
      <c r="G12470" s="51">
        <f>ROUNDUP(F12470*((E12470/21)/E12441),0)</f>
        <v>7216</v>
      </c>
    </row>
    <row r="12471" spans="1:7" x14ac:dyDescent="0.25">
      <c r="A12471" s="219" t="s">
        <v>69</v>
      </c>
      <c r="B12471" s="219"/>
      <c r="C12471" s="219"/>
      <c r="D12471" s="219"/>
      <c r="E12471" s="219"/>
      <c r="F12471" s="219"/>
      <c r="G12471" s="52">
        <f>SUM(G12465:G12470)</f>
        <v>8433</v>
      </c>
    </row>
    <row r="12472" spans="1:7" x14ac:dyDescent="0.25">
      <c r="A12472" s="56"/>
      <c r="B12472" s="57"/>
      <c r="C12472" s="57"/>
      <c r="D12472" s="57"/>
      <c r="E12472" s="57"/>
      <c r="F12472" s="57"/>
      <c r="G12472" s="58"/>
    </row>
    <row r="12473" spans="1:7" x14ac:dyDescent="0.25">
      <c r="A12473" s="219" t="s">
        <v>70</v>
      </c>
      <c r="B12473" s="219"/>
      <c r="C12473" s="219"/>
      <c r="D12473" s="219"/>
      <c r="E12473" s="219"/>
      <c r="F12473" s="219"/>
      <c r="G12473" s="219"/>
    </row>
    <row r="12474" spans="1:7" x14ac:dyDescent="0.25">
      <c r="A12474" s="49" t="s">
        <v>35</v>
      </c>
      <c r="B12474" s="219" t="s">
        <v>36</v>
      </c>
      <c r="C12474" s="219"/>
      <c r="D12474" s="49" t="s">
        <v>37</v>
      </c>
      <c r="E12474" s="49" t="s">
        <v>38</v>
      </c>
      <c r="F12474" s="49" t="s">
        <v>39</v>
      </c>
      <c r="G12474" s="49" t="s">
        <v>40</v>
      </c>
    </row>
    <row r="12475" spans="1:7" x14ac:dyDescent="0.25">
      <c r="A12475" s="50" t="s">
        <v>71</v>
      </c>
      <c r="B12475" s="71" t="str">
        <f>VLOOKUP(A12475,'Componentes APUs'!$A$1:$D$14,2,0)</f>
        <v>Camisa indigo sin partes metalicas</v>
      </c>
      <c r="C12475" s="71"/>
      <c r="D12475" s="50" t="str">
        <f>VLOOKUP(A12475,'Componentes APUs'!$A$1:$D$14,3,0)</f>
        <v>U</v>
      </c>
      <c r="E12475" s="50">
        <f>SUM(C12454:C12460)</f>
        <v>3.75</v>
      </c>
      <c r="F12475" s="51">
        <f>VLOOKUP(A12475,'Componentes APUs'!$A$1:$D$14,4,0)</f>
        <v>8585.8585858585866</v>
      </c>
      <c r="G12475" s="51">
        <f>ROUNDUP(F12475*(E12475/21)/E12441,0)</f>
        <v>1534</v>
      </c>
    </row>
    <row r="12476" spans="1:7" x14ac:dyDescent="0.25">
      <c r="A12476" s="69" t="s">
        <v>73</v>
      </c>
      <c r="B12476" s="72" t="str">
        <f>VLOOKUP(A12476,'Componentes APUs'!$A$1:$D$14,2,0)</f>
        <v>Bota de seguridad dielectrica</v>
      </c>
      <c r="C12476" s="73"/>
      <c r="D12476" s="70" t="str">
        <f>VLOOKUP(A12476,'Componentes APUs'!$A$1:$D$14,3,0)</f>
        <v>Par</v>
      </c>
      <c r="E12476" s="50">
        <f>SUM(C12454:C12460)</f>
        <v>3.75</v>
      </c>
      <c r="F12476" s="51">
        <f>VLOOKUP(A12476,'Componentes APUs'!$A$1:$D$14,4,0)</f>
        <v>7500</v>
      </c>
      <c r="G12476" s="51">
        <f>ROUNDUP(F12476*(E12476/21)/E12441,0)</f>
        <v>1340</v>
      </c>
    </row>
    <row r="12477" spans="1:7" x14ac:dyDescent="0.25">
      <c r="A12477" s="50" t="s">
        <v>76</v>
      </c>
      <c r="B12477" s="72" t="str">
        <f>VLOOKUP(A12477,'Componentes APUs'!$A$1:$D$14,2,0)</f>
        <v>Casco dielectrico Tipo 1 Clase E con barbuquejo</v>
      </c>
      <c r="C12477" s="73"/>
      <c r="D12477" s="50" t="str">
        <f>VLOOKUP(A12477,'Componentes APUs'!$A$1:$D$14,3,0)</f>
        <v>U</v>
      </c>
      <c r="E12477" s="50">
        <f>C12460+C12455+C12458+C12459+C12454+C12457+IF(A12456&lt;&gt;"MO-3",C12456,0)</f>
        <v>2.75</v>
      </c>
      <c r="F12477" s="51">
        <f>VLOOKUP(A12477,'Componentes APUs'!$A$1:$D$14,4,0)</f>
        <v>10101.010101010101</v>
      </c>
      <c r="G12477" s="51">
        <f>ROUNDUP(F12477*(E12477/21)/E12441,0)</f>
        <v>1323</v>
      </c>
    </row>
    <row r="12478" spans="1:7" x14ac:dyDescent="0.25">
      <c r="A12478" s="69" t="s">
        <v>77</v>
      </c>
      <c r="B12478" s="72" t="str">
        <f>VLOOKUP(A12478,'Componentes APUs'!$A$1:$D$14,2,0)</f>
        <v>Correa plastica y antiflama</v>
      </c>
      <c r="C12478" s="73"/>
      <c r="D12478" s="50" t="str">
        <f>VLOOKUP(A12478,'Componentes APUs'!$A$1:$D$14,3,0)</f>
        <v>U</v>
      </c>
      <c r="E12478" s="50">
        <f>SUM(C12454:C12460)</f>
        <v>3.75</v>
      </c>
      <c r="F12478" s="51">
        <f>VLOOKUP(A12478,'Componentes APUs'!$A$1:$D$14,4,0)</f>
        <v>3787.878787878788</v>
      </c>
      <c r="G12478" s="51">
        <f>ROUNDUP(F12478*(E12478/21)/E12441,0)</f>
        <v>677</v>
      </c>
    </row>
    <row r="12479" spans="1:7" x14ac:dyDescent="0.25">
      <c r="A12479" s="50" t="s">
        <v>79</v>
      </c>
      <c r="B12479" s="72" t="str">
        <f>VLOOKUP(A12479,'Componentes APUs'!$A$1:$D$14,2,0)</f>
        <v>Gafas protectoras filtro UV</v>
      </c>
      <c r="C12479" s="73"/>
      <c r="D12479" s="50" t="str">
        <f>VLOOKUP(A12479,'Componentes APUs'!$A$1:$D$14,3,0)</f>
        <v>U</v>
      </c>
      <c r="E12479" s="50">
        <f>SUM(C12454:C12460)</f>
        <v>3.75</v>
      </c>
      <c r="F12479" s="51">
        <f>VLOOKUP(A12479,'Componentes APUs'!$A$1:$D$14,4,0)</f>
        <v>2777.7777777777778</v>
      </c>
      <c r="G12479" s="51">
        <f>ROUNDUP(F12479*(E12479/21)/E12441,0)</f>
        <v>497</v>
      </c>
    </row>
    <row r="12480" spans="1:7" x14ac:dyDescent="0.25">
      <c r="A12480" s="69" t="s">
        <v>402</v>
      </c>
      <c r="B12480" s="72" t="str">
        <f>VLOOKUP(A12480,'Componentes APUs'!$A$1:$D$14,2,0)</f>
        <v>Bota de seguridad PVC dielectrica</v>
      </c>
      <c r="C12480" s="73"/>
      <c r="D12480" s="50" t="str">
        <f>VLOOKUP(A12480,'Componentes APUs'!$A$1:$D$14,3,0)</f>
        <v>Par</v>
      </c>
      <c r="E12480" s="50">
        <f>SUM(C12454:C12460)</f>
        <v>3.75</v>
      </c>
      <c r="F12480" s="51">
        <f>VLOOKUP(A12480,'Componentes APUs'!$A$1:$D$14,4,0)</f>
        <v>2916.6666666666665</v>
      </c>
      <c r="G12480" s="51">
        <f>ROUNDUP(F12480*(E12480/21)/E12441,0)</f>
        <v>521</v>
      </c>
    </row>
    <row r="12481" spans="1:7" x14ac:dyDescent="0.25">
      <c r="A12481" s="50" t="s">
        <v>403</v>
      </c>
      <c r="B12481" s="72" t="str">
        <f>VLOOKUP(A12481,'Componentes APUs'!$A$1:$D$14,2,0)</f>
        <v>Capuchon</v>
      </c>
      <c r="C12481" s="73"/>
      <c r="D12481" s="50" t="str">
        <f>VLOOKUP(A12481,'Componentes APUs'!$A$1:$D$14,3,0)</f>
        <v>U</v>
      </c>
      <c r="E12481" s="50">
        <f>SUM(C12454:C12460)</f>
        <v>3.75</v>
      </c>
      <c r="F12481" s="51">
        <f>VLOOKUP(A12481,'Componentes APUs'!$A$1:$D$14,4,0)</f>
        <v>2525.2525252525252</v>
      </c>
      <c r="G12481" s="51">
        <f>ROUNDUP(F12481*(E12481/21)/E12441,0)</f>
        <v>451</v>
      </c>
    </row>
    <row r="12482" spans="1:7" x14ac:dyDescent="0.25">
      <c r="A12482" s="69" t="s">
        <v>81</v>
      </c>
      <c r="B12482" s="72" t="str">
        <f>VLOOKUP(A12482,'Componentes APUs'!$A$1:$D$14,2,0)</f>
        <v>Guantes Protectores  - ingeniero reforzados</v>
      </c>
      <c r="C12482" s="73"/>
      <c r="D12482" s="50" t="str">
        <f>VLOOKUP(A12482,'Componentes APUs'!$A$1:$D$14,3,0)</f>
        <v>Par</v>
      </c>
      <c r="E12482" s="50">
        <f>C12456+C12457+C12459</f>
        <v>2</v>
      </c>
      <c r="F12482" s="51">
        <f>VLOOKUP(A12482,'Componentes APUs'!$A$1:$D$14,4,0)</f>
        <v>2525.2525252525252</v>
      </c>
      <c r="G12482" s="51">
        <f>ROUNDUP(F12482*(E12482/21)/E12441,0)</f>
        <v>241</v>
      </c>
    </row>
    <row r="12483" spans="1:7" x14ac:dyDescent="0.25">
      <c r="A12483" s="50" t="s">
        <v>83</v>
      </c>
      <c r="B12483" s="72" t="str">
        <f>VLOOKUP(A12483,'Componentes APUs'!$A$1:$D$14,2,0)</f>
        <v>Impermeable (pantalon camisa)</v>
      </c>
      <c r="C12483" s="73"/>
      <c r="D12483" s="50" t="str">
        <f>VLOOKUP(A12483,'Componentes APUs'!$A$1:$D$14,3,0)</f>
        <v>U</v>
      </c>
      <c r="E12483" s="50">
        <f>SUM(C12454:C12460)</f>
        <v>3.75</v>
      </c>
      <c r="F12483" s="51">
        <f>VLOOKUP(A12483,'Componentes APUs'!$A$1:$D$14,4,0)</f>
        <v>3750</v>
      </c>
      <c r="G12483" s="51">
        <f>ROUNDUP(F12483*(E12483/21)/E12441,0)</f>
        <v>670</v>
      </c>
    </row>
    <row r="12484" spans="1:7" x14ac:dyDescent="0.25">
      <c r="A12484" s="69" t="s">
        <v>85</v>
      </c>
      <c r="B12484" s="72" t="str">
        <f>VLOOKUP(A12484,'Componentes APUs'!$A$1:$D$14,2,0)</f>
        <v>Jean Dielectrico</v>
      </c>
      <c r="C12484" s="73"/>
      <c r="D12484" s="50" t="str">
        <f>VLOOKUP(A12484,'Componentes APUs'!$A$1:$D$14,3,0)</f>
        <v>U</v>
      </c>
      <c r="E12484" s="50">
        <f>SUM(C12454:C12460)</f>
        <v>3.75</v>
      </c>
      <c r="F12484" s="51">
        <f>VLOOKUP(A12484,'Componentes APUs'!$A$1:$D$14,4,0)</f>
        <v>7575.757575757576</v>
      </c>
      <c r="G12484" s="51">
        <f>ROUNDUP(F12484*(E12484/21)/E12441,0)</f>
        <v>1353</v>
      </c>
    </row>
    <row r="12485" spans="1:7" x14ac:dyDescent="0.25">
      <c r="A12485" s="50" t="s">
        <v>87</v>
      </c>
      <c r="B12485" s="72" t="str">
        <f>VLOOKUP(A12485,'Componentes APUs'!$A$1:$D$14,2,0)</f>
        <v>Casco dielectrico Tipo 2 Clase E con barboquejo</v>
      </c>
      <c r="C12485" s="73"/>
      <c r="D12485" s="50" t="str">
        <f>VLOOKUP(A12485,'Componentes APUs'!$A$1:$D$14,3,0)</f>
        <v>U</v>
      </c>
      <c r="E12485" s="53">
        <f>IF(A12456="MO-3",C12456,0)</f>
        <v>1</v>
      </c>
      <c r="F12485" s="51">
        <f>VLOOKUP(A12485,'Componentes APUs'!$A$1:$D$14,4,0)</f>
        <v>7500</v>
      </c>
      <c r="G12485" s="51">
        <f>ROUNDUP(F12485*(E12485/21)/E12441,0)</f>
        <v>358</v>
      </c>
    </row>
    <row r="12486" spans="1:7" x14ac:dyDescent="0.25">
      <c r="A12486" s="69" t="s">
        <v>89</v>
      </c>
      <c r="B12486" s="72" t="str">
        <f>VLOOKUP(A12486,'Componentes APUs'!$A$1:$D$14,2,0)</f>
        <v>Kit de rescate para trabajo en alturas</v>
      </c>
      <c r="C12486" s="73"/>
      <c r="D12486" s="50" t="str">
        <f>VLOOKUP(A12486,'Componentes APUs'!$A$1:$D$14,3,0)</f>
        <v>U</v>
      </c>
      <c r="E12486" s="50">
        <f>IF(AND(A12456="MO-3",C12456=2),1,0)</f>
        <v>0</v>
      </c>
      <c r="F12486" s="51">
        <f>VLOOKUP(A12486,'Componentes APUs'!$A$1:$D$14,4,0)</f>
        <v>37500</v>
      </c>
      <c r="G12486" s="51">
        <f>ROUNDUP(F12486*(E12486/21)/E12441,0)</f>
        <v>0</v>
      </c>
    </row>
    <row r="12487" spans="1:7" x14ac:dyDescent="0.25">
      <c r="A12487" s="50" t="s">
        <v>91</v>
      </c>
      <c r="B12487" s="72" t="str">
        <f>VLOOKUP(A12487,'Componentes APUs'!$A$1:$D$14,2,0)</f>
        <v>Equipo completo para trabajo en alturas con pretales (Arnes dielectrico, 1 mosqueton de seguridad, tie off dielectrico, eslinga de posicionamiento, juego de pretales)</v>
      </c>
      <c r="C12487" s="73"/>
      <c r="D12487" s="50" t="str">
        <f>VLOOKUP(A12487,'Componentes APUs'!$A$1:$D$14,3,0)</f>
        <v>U</v>
      </c>
      <c r="E12487" s="50">
        <f>IF(A12456="MO-3",C12456,0)</f>
        <v>1</v>
      </c>
      <c r="F12487" s="51">
        <f>VLOOKUP(A12487,'Componentes APUs'!$A$1:$D$14,4,0)</f>
        <v>26041.666666666668</v>
      </c>
      <c r="G12487" s="51">
        <f>ROUNDUP(F12487*(E12487/21)/E12441,0)</f>
        <v>1241</v>
      </c>
    </row>
    <row r="12488" spans="1:7" x14ac:dyDescent="0.25">
      <c r="A12488" s="219" t="s">
        <v>95</v>
      </c>
      <c r="B12488" s="219"/>
      <c r="C12488" s="219"/>
      <c r="D12488" s="219"/>
      <c r="E12488" s="219"/>
      <c r="F12488" s="219"/>
      <c r="G12488" s="52">
        <f>SUM(G12475:G12487)</f>
        <v>10206</v>
      </c>
    </row>
    <row r="12489" spans="1:7" x14ac:dyDescent="0.25">
      <c r="A12489" s="56"/>
      <c r="B12489" s="57"/>
      <c r="C12489" s="57"/>
      <c r="D12489" s="57"/>
      <c r="E12489" s="57"/>
      <c r="F12489" s="57"/>
      <c r="G12489" s="58"/>
    </row>
    <row r="12490" spans="1:7" x14ac:dyDescent="0.25">
      <c r="A12490" s="219" t="s">
        <v>96</v>
      </c>
      <c r="B12490" s="219"/>
      <c r="C12490" s="219"/>
      <c r="D12490" s="219"/>
      <c r="E12490" s="219"/>
      <c r="F12490" s="219"/>
      <c r="G12490" s="219"/>
    </row>
    <row r="12491" spans="1:7" x14ac:dyDescent="0.25">
      <c r="A12491" s="49" t="s">
        <v>35</v>
      </c>
      <c r="B12491" s="225" t="s">
        <v>36</v>
      </c>
      <c r="C12491" s="225"/>
      <c r="D12491" s="49" t="s">
        <v>37</v>
      </c>
      <c r="E12491" s="49" t="s">
        <v>38</v>
      </c>
      <c r="F12491" s="49" t="s">
        <v>39</v>
      </c>
      <c r="G12491" s="49" t="s">
        <v>40</v>
      </c>
    </row>
    <row r="12492" spans="1:7" x14ac:dyDescent="0.25">
      <c r="A12492" s="69" t="s">
        <v>97</v>
      </c>
      <c r="B12492" s="72" t="str">
        <f>VLOOKUP(A12492,'Componentes APUs'!$N$1:$Q$30,2,0)</f>
        <v>Camioneta</v>
      </c>
      <c r="C12492" s="73"/>
      <c r="D12492" s="70" t="str">
        <f>VLOOKUP(A12492,'Componentes APUs'!$N$1:$Q$30,3,0)</f>
        <v>U</v>
      </c>
      <c r="E12492" s="50">
        <v>1</v>
      </c>
      <c r="F12492" s="51">
        <f>VLOOKUP(A12492,'Componentes APUs'!$N$1:$Q$30,4,0)</f>
        <v>5500000</v>
      </c>
      <c r="G12492" s="51">
        <f>IFERROR(ROUNDUP(F12492*(E12492/21)/E12441,0),"-")</f>
        <v>261905</v>
      </c>
    </row>
    <row r="12493" spans="1:7" x14ac:dyDescent="0.25">
      <c r="A12493" s="50" t="s">
        <v>321</v>
      </c>
      <c r="B12493" s="72" t="str">
        <f>VLOOKUP(A12493,'Componentes APUs'!$N$1:$Q$30,2,0)</f>
        <v>Grúa Hidráulica</v>
      </c>
      <c r="C12493" s="73"/>
      <c r="D12493" s="70" t="str">
        <f>VLOOKUP(A12493,'Componentes APUs'!$N$1:$Q$30,3,0)</f>
        <v>U</v>
      </c>
      <c r="E12493" s="50">
        <v>0</v>
      </c>
      <c r="F12493" s="51">
        <f>VLOOKUP(A12493,'Componentes APUs'!$N$1:$Q$30,4,0)</f>
        <v>21000000</v>
      </c>
      <c r="G12493" s="51">
        <f>IFERROR(ROUNDUP(F12493*(E12493/21)/E12441,0),"-")</f>
        <v>0</v>
      </c>
    </row>
    <row r="12494" spans="1:7" x14ac:dyDescent="0.25">
      <c r="A12494" s="69" t="s">
        <v>322</v>
      </c>
      <c r="B12494" s="72" t="str">
        <f>VLOOKUP(A12494,'Componentes APUs'!$N$1:$Q$30,2,0)</f>
        <v>Camabaja</v>
      </c>
      <c r="C12494" s="73"/>
      <c r="D12494" s="70" t="str">
        <f>VLOOKUP(A12494,'Componentes APUs'!$N$1:$Q$30,3,0)</f>
        <v>TON/KM</v>
      </c>
      <c r="E12494" s="50">
        <v>0</v>
      </c>
      <c r="F12494" s="51">
        <f>VLOOKUP(A12494,'Componentes APUs'!$N$1:$Q$30,4,0)</f>
        <v>611</v>
      </c>
      <c r="G12494" s="51">
        <f>IFERROR(ROUNDUP(F12494*(E12494/21)/E12441,0),"-")</f>
        <v>0</v>
      </c>
    </row>
    <row r="12495" spans="1:7" x14ac:dyDescent="0.25">
      <c r="A12495" s="50" t="s">
        <v>323</v>
      </c>
      <c r="B12495" s="72" t="str">
        <f>VLOOKUP(A12495,'Componentes APUs'!$N$1:$Q$30,2,0)</f>
        <v>Volqueta</v>
      </c>
      <c r="C12495" s="73"/>
      <c r="D12495" s="70" t="str">
        <f>VLOOKUP(A12495,'Componentes APUs'!$N$1:$Q$30,3,0)</f>
        <v>U</v>
      </c>
      <c r="E12495" s="50">
        <v>0</v>
      </c>
      <c r="F12495" s="51">
        <f>VLOOKUP(A12495,'Componentes APUs'!$N$1:$Q$30,4,0)</f>
        <v>14828184</v>
      </c>
      <c r="G12495" s="51">
        <f>IFERROR(ROUNDUP(F12495*(E12495/21)/E12441,0),"-")</f>
        <v>0</v>
      </c>
    </row>
    <row r="12496" spans="1:7" x14ac:dyDescent="0.25">
      <c r="A12496" s="219" t="s">
        <v>99</v>
      </c>
      <c r="B12496" s="219"/>
      <c r="C12496" s="219"/>
      <c r="D12496" s="219"/>
      <c r="E12496" s="219"/>
      <c r="F12496" s="219"/>
      <c r="G12496" s="52">
        <f>SUM(G12492:G12495)</f>
        <v>261905</v>
      </c>
    </row>
    <row r="12497" spans="1:7" x14ac:dyDescent="0.25">
      <c r="A12497" s="56"/>
      <c r="B12497" s="57"/>
      <c r="C12497" s="57"/>
      <c r="D12497" s="57"/>
      <c r="E12497" s="57"/>
      <c r="F12497" s="57"/>
      <c r="G12497" s="58"/>
    </row>
    <row r="12498" spans="1:7" x14ac:dyDescent="0.25">
      <c r="A12498" s="219" t="s">
        <v>1516</v>
      </c>
      <c r="B12498" s="219"/>
      <c r="C12498" s="219"/>
      <c r="D12498" s="219"/>
      <c r="E12498" s="219"/>
      <c r="F12498" s="219"/>
      <c r="G12498" s="52">
        <f>G12496+G12488+G12471+G12461+G12450</f>
        <v>12182075</v>
      </c>
    </row>
    <row r="12499" spans="1:7" x14ac:dyDescent="0.25">
      <c r="A12499" s="59"/>
      <c r="B12499" s="60"/>
      <c r="C12499" s="60"/>
      <c r="D12499" s="60"/>
      <c r="E12499" s="57"/>
      <c r="F12499" s="57"/>
      <c r="G12499" s="58"/>
    </row>
    <row r="12500" spans="1:7" x14ac:dyDescent="0.25">
      <c r="A12500" s="64"/>
      <c r="D12500" s="55"/>
      <c r="E12500" s="49" t="s">
        <v>25</v>
      </c>
      <c r="F12500" s="54">
        <v>0.15</v>
      </c>
      <c r="G12500" s="51">
        <f>G12498*F12500</f>
        <v>1827311.25</v>
      </c>
    </row>
    <row r="12501" spans="1:7" x14ac:dyDescent="0.25">
      <c r="A12501" s="64"/>
      <c r="D12501" s="55"/>
      <c r="E12501" s="49" t="s">
        <v>26</v>
      </c>
      <c r="F12501" s="54">
        <v>0.05</v>
      </c>
      <c r="G12501" s="51">
        <f>G12498*F12501</f>
        <v>609103.75</v>
      </c>
    </row>
    <row r="12502" spans="1:7" x14ac:dyDescent="0.25">
      <c r="A12502" s="61"/>
      <c r="B12502" s="65"/>
      <c r="C12502" s="65"/>
      <c r="D12502" s="62"/>
      <c r="E12502" s="49" t="s">
        <v>27</v>
      </c>
      <c r="F12502" s="54">
        <v>0.05</v>
      </c>
      <c r="G12502" s="51">
        <f>G12498*F12502</f>
        <v>609103.75</v>
      </c>
    </row>
    <row r="12503" spans="1:7" x14ac:dyDescent="0.25">
      <c r="A12503" s="61"/>
      <c r="B12503" s="62"/>
      <c r="C12503" s="62"/>
      <c r="D12503" s="62"/>
      <c r="E12503" s="62"/>
      <c r="F12503" s="62"/>
      <c r="G12503" s="63"/>
    </row>
    <row r="12504" spans="1:7" x14ac:dyDescent="0.25">
      <c r="A12504" s="219" t="s">
        <v>1517</v>
      </c>
      <c r="B12504" s="219"/>
      <c r="C12504" s="219"/>
      <c r="D12504" s="219"/>
      <c r="E12504" s="219"/>
      <c r="F12504" s="219"/>
      <c r="G12504" s="52">
        <f>G12498+G12500+G12501+G12502</f>
        <v>15227593.75</v>
      </c>
    </row>
    <row r="12505" spans="1:7" x14ac:dyDescent="0.25">
      <c r="A12505" s="59"/>
      <c r="B12505" s="60"/>
      <c r="C12505" s="60"/>
      <c r="D12505" s="60"/>
      <c r="E12505" s="57"/>
      <c r="F12505" s="57"/>
      <c r="G12505" s="58"/>
    </row>
    <row r="12506" spans="1:7" x14ac:dyDescent="0.25">
      <c r="A12506" s="64"/>
      <c r="D12506" s="55"/>
      <c r="E12506" s="49" t="s">
        <v>102</v>
      </c>
      <c r="F12506" s="49" t="s">
        <v>103</v>
      </c>
      <c r="G12506" s="51">
        <f>G12502*19%</f>
        <v>115729.71249999999</v>
      </c>
    </row>
    <row r="12507" spans="1:7" x14ac:dyDescent="0.25">
      <c r="A12507" s="61"/>
      <c r="B12507" s="62"/>
      <c r="C12507" s="62"/>
      <c r="D12507" s="62"/>
      <c r="E12507" s="57"/>
      <c r="F12507" s="57"/>
      <c r="G12507" s="58"/>
    </row>
    <row r="12508" spans="1:7" x14ac:dyDescent="0.25">
      <c r="A12508" s="219" t="s">
        <v>104</v>
      </c>
      <c r="B12508" s="219"/>
      <c r="C12508" s="219"/>
      <c r="D12508" s="219"/>
      <c r="E12508" s="219"/>
      <c r="F12508" s="219"/>
      <c r="G12508" s="52">
        <f>G12506+G12504</f>
        <v>15343323.4625</v>
      </c>
    </row>
    <row r="12510" spans="1:7" x14ac:dyDescent="0.25">
      <c r="A12510" s="74" t="s">
        <v>29</v>
      </c>
      <c r="B12510" s="237" t="s">
        <v>30</v>
      </c>
      <c r="C12510" s="238"/>
      <c r="D12510" s="74" t="s">
        <v>31</v>
      </c>
      <c r="E12510" s="74" t="s">
        <v>32</v>
      </c>
      <c r="F12510" s="74" t="s">
        <v>189</v>
      </c>
      <c r="G12510" s="74" t="s">
        <v>33</v>
      </c>
    </row>
    <row r="12511" spans="1:7" ht="54" customHeight="1" x14ac:dyDescent="0.25">
      <c r="A12511" s="50" t="str">
        <f>Presupuesto!B227</f>
        <v>035_N3</v>
      </c>
      <c r="B12511" s="242" t="str">
        <f>Presupuesto!C227</f>
        <v>SUMINISTRO E INSTALACIÓN DE UNA UNIDAD INTEGRADA DE CONTROL Y PROTECCIÓN (RELÉS: 50, 51, 50N, 51N, 50BFE1/E2,25, 27,59, 74, 79, 67, 67N, 81). PUERTO DE COMUNICACIÓN PARA FIBRA ÓPTICA, PROTOCOLO DE COMUNICACIÓN 61850. PANTALLA TACTIL (IHM). PARA LA BAHÍA DE LÍNEA</v>
      </c>
      <c r="C12511" s="239"/>
      <c r="D12511" s="50" t="s">
        <v>18</v>
      </c>
      <c r="E12511" s="50">
        <v>0.5</v>
      </c>
      <c r="F12511" s="50"/>
      <c r="G12511" s="51">
        <f>G12577</f>
        <v>35683647.681000002</v>
      </c>
    </row>
    <row r="12512" spans="1:7" x14ac:dyDescent="0.25">
      <c r="A12512" s="234" t="s">
        <v>34</v>
      </c>
      <c r="B12512" s="236"/>
      <c r="C12512" s="236"/>
      <c r="D12512" s="236"/>
      <c r="E12512" s="236"/>
      <c r="F12512" s="236"/>
      <c r="G12512" s="235"/>
    </row>
    <row r="12513" spans="1:7" x14ac:dyDescent="0.25">
      <c r="A12513" s="49" t="s">
        <v>35</v>
      </c>
      <c r="B12513" s="234" t="s">
        <v>36</v>
      </c>
      <c r="C12513" s="235"/>
      <c r="D12513" s="49" t="s">
        <v>37</v>
      </c>
      <c r="E12513" s="49" t="s">
        <v>38</v>
      </c>
      <c r="F12513" s="49" t="s">
        <v>39</v>
      </c>
      <c r="G12513" s="49" t="s">
        <v>40</v>
      </c>
    </row>
    <row r="12514" spans="1:7" ht="39.75" customHeight="1" x14ac:dyDescent="0.25">
      <c r="A12514" s="17" t="str">
        <f>Material!A39</f>
        <v>MA-38</v>
      </c>
      <c r="B12514" s="221" t="str">
        <f>IFERROR(VLOOKUP(A12514,Material!$A:$J,2,0),"-")</f>
        <v>RELÉ  (FUNCIONES: 50, 51, 50N, 51N, 50BFE1/E2,25, 27,59, 74, 79, 67, 67N, 81). PUERTO DE COMUNICACIÓN PARA FIBRA ÓPTICA, PROTOCOLO DE COMUNICACIÓN 61850. PANTALLA TACTIL (IHM). PARA LA BAHÍA DE LÍNEA</v>
      </c>
      <c r="C12514" s="222"/>
      <c r="D12514" s="50" t="str">
        <f>IFERROR(VLOOKUP(A12514,Material!$A:$J,4,0),"-")</f>
        <v>UN</v>
      </c>
      <c r="E12514" s="50">
        <v>1</v>
      </c>
      <c r="F12514" s="51">
        <f>IFERROR(VLOOKUP(A12514,Material!$A:$J,3,0),"-")</f>
        <v>23390640</v>
      </c>
      <c r="G12514" s="51">
        <f t="shared" ref="G12514:G12517" si="176">IFERROR(ROUNDUP(F12514*E12514,0),"-")</f>
        <v>23390640</v>
      </c>
    </row>
    <row r="12515" spans="1:7" x14ac:dyDescent="0.25">
      <c r="A12515" s="17"/>
      <c r="B12515" s="72" t="str">
        <f>IFERROR(VLOOKUP(A12515,Material!$A:$J,2,0),"-")</f>
        <v>-</v>
      </c>
      <c r="C12515" s="73"/>
      <c r="D12515" s="50" t="str">
        <f>IFERROR(VLOOKUP(A12515,Material!$A:$J,4,0),"-")</f>
        <v>-</v>
      </c>
      <c r="E12515" s="50"/>
      <c r="F12515" s="51" t="str">
        <f>IFERROR(VLOOKUP(A12515,Material!$A:$J,3,0),"-")</f>
        <v>-</v>
      </c>
      <c r="G12515" s="51" t="str">
        <f t="shared" si="176"/>
        <v>-</v>
      </c>
    </row>
    <row r="12516" spans="1:7" x14ac:dyDescent="0.25">
      <c r="A12516" s="17"/>
      <c r="B12516" s="72" t="str">
        <f>IFERROR(VLOOKUP(A12516,Material!$A:$J,2,0),"-")</f>
        <v>-</v>
      </c>
      <c r="C12516" s="73"/>
      <c r="D12516" s="50" t="str">
        <f>IFERROR(VLOOKUP(A12516,Material!$A:$J,4,0),"-")</f>
        <v>-</v>
      </c>
      <c r="E12516" s="50"/>
      <c r="F12516" s="51" t="str">
        <f>IFERROR(VLOOKUP(A12516,Material!$A:$J,3,0),"-")</f>
        <v>-</v>
      </c>
      <c r="G12516" s="51" t="str">
        <f t="shared" si="176"/>
        <v>-</v>
      </c>
    </row>
    <row r="12517" spans="1:7" x14ac:dyDescent="0.25">
      <c r="A12517" s="17"/>
      <c r="B12517" s="72" t="str">
        <f>IFERROR(VLOOKUP(A12517,Material!$A:$J,2,0),"-")</f>
        <v>-</v>
      </c>
      <c r="C12517" s="73"/>
      <c r="D12517" s="50" t="str">
        <f>IFERROR(VLOOKUP(A12517,Material!$A:$J,4,0),"-")</f>
        <v>-</v>
      </c>
      <c r="E12517" s="50"/>
      <c r="F12517" s="51" t="str">
        <f>IFERROR(VLOOKUP(A12517,Material!$A:$J,3,0),"-")</f>
        <v>-</v>
      </c>
      <c r="G12517" s="51" t="str">
        <f t="shared" si="176"/>
        <v>-</v>
      </c>
    </row>
    <row r="12518" spans="1:7" x14ac:dyDescent="0.25">
      <c r="A12518" s="234" t="s">
        <v>41</v>
      </c>
      <c r="B12518" s="236"/>
      <c r="C12518" s="236"/>
      <c r="D12518" s="236"/>
      <c r="E12518" s="236"/>
      <c r="F12518" s="235"/>
      <c r="G12518" s="52">
        <f>SUM(G12514:G12517)</f>
        <v>23390640</v>
      </c>
    </row>
    <row r="12519" spans="1:7" x14ac:dyDescent="0.25">
      <c r="A12519" s="56"/>
      <c r="B12519" s="57"/>
      <c r="C12519" s="57"/>
      <c r="D12519" s="57"/>
      <c r="E12519" s="57"/>
      <c r="F12519" s="57"/>
      <c r="G12519" s="58"/>
    </row>
    <row r="12520" spans="1:7" x14ac:dyDescent="0.25">
      <c r="A12520" s="234" t="s">
        <v>42</v>
      </c>
      <c r="B12520" s="236"/>
      <c r="C12520" s="236"/>
      <c r="D12520" s="236"/>
      <c r="E12520" s="236"/>
      <c r="F12520" s="236"/>
      <c r="G12520" s="235"/>
    </row>
    <row r="12521" spans="1:7" x14ac:dyDescent="0.25">
      <c r="A12521" s="49" t="s">
        <v>35</v>
      </c>
      <c r="B12521" s="49" t="s">
        <v>36</v>
      </c>
      <c r="C12521" s="49" t="s">
        <v>38</v>
      </c>
      <c r="D12521" s="49" t="s">
        <v>43</v>
      </c>
      <c r="E12521" s="49" t="s">
        <v>44</v>
      </c>
      <c r="F12521" s="49" t="s">
        <v>45</v>
      </c>
      <c r="G12521" s="49" t="s">
        <v>40</v>
      </c>
    </row>
    <row r="12522" spans="1:7" x14ac:dyDescent="0.25">
      <c r="A12522" s="50" t="s">
        <v>319</v>
      </c>
      <c r="B12522" s="68" t="str">
        <f>VLOOKUP(A12522,'[1]Componentes APUs'!$H$1:$L$25,2,0)</f>
        <v>Ingeniero Residente de Obra</v>
      </c>
      <c r="C12522" s="93">
        <v>0.25</v>
      </c>
      <c r="D12522" s="50">
        <f>VLOOKUP(A12522,'[1]Componentes APUs'!$H$1:$L$25,3,0)</f>
        <v>4</v>
      </c>
      <c r="E12522" s="51">
        <f>VLOOKUP(A12522,'[1]Componentes APUs'!$H$1:$L$25,4,0)</f>
        <v>271142.85714285716</v>
      </c>
      <c r="F12522" s="51">
        <f>VLOOKUP(A12522,'[1]Componentes APUs'!$H$1:$L$25,5,0)</f>
        <v>162685.71428571429</v>
      </c>
      <c r="G12522" s="51">
        <f>ROUNDUP((E12522+F12522)*C12522/E12511,0)</f>
        <v>216915</v>
      </c>
    </row>
    <row r="12523" spans="1:7" x14ac:dyDescent="0.25">
      <c r="A12523" s="50" t="s">
        <v>320</v>
      </c>
      <c r="B12523" s="68" t="str">
        <f>VLOOKUP(A12523,'[1]Componentes APUs'!$H$1:$L$25,2,0)</f>
        <v>Tecnico Supervisor</v>
      </c>
      <c r="C12523" s="93">
        <v>0.25</v>
      </c>
      <c r="D12523" s="50">
        <f>VLOOKUP(A12523,'[1]Componentes APUs'!$H$1:$L$25,3,0)</f>
        <v>2.2999999999999998</v>
      </c>
      <c r="E12523" s="51">
        <f>VLOOKUP(A12523,'[1]Componentes APUs'!$H$1:$L$25,4,0)</f>
        <v>155907.14285714284</v>
      </c>
      <c r="F12523" s="51">
        <f>VLOOKUP(A12523,'[1]Componentes APUs'!$H$1:$L$25,5,0)</f>
        <v>93544.285714285696</v>
      </c>
      <c r="G12523" s="51">
        <f>ROUNDUP((E12523+F12523)*C12523/E12511,0)</f>
        <v>124726</v>
      </c>
    </row>
    <row r="12524" spans="1:7" x14ac:dyDescent="0.25">
      <c r="A12524" s="50" t="s">
        <v>46</v>
      </c>
      <c r="B12524" s="68" t="str">
        <f>VLOOKUP(A12524,'[1]Componentes APUs'!$H$1:$L$25,2,0)</f>
        <v>Tecnico Liniero</v>
      </c>
      <c r="C12524" s="93">
        <v>1</v>
      </c>
      <c r="D12524" s="50">
        <f>VLOOKUP(A12524,'[1]Componentes APUs'!$H$1:$L$25,3,0)</f>
        <v>2</v>
      </c>
      <c r="E12524" s="51">
        <f>VLOOKUP(A12524,'[1]Componentes APUs'!$H$1:$L$25,4,0)</f>
        <v>154619.04761904763</v>
      </c>
      <c r="F12524" s="51">
        <f>VLOOKUP(A12524,'[1]Componentes APUs'!$H$1:$L$25,5,0)</f>
        <v>92771.42857142858</v>
      </c>
      <c r="G12524" s="51">
        <f>ROUNDUP((E12524+F12524)*C12524/E12511,0)</f>
        <v>494781</v>
      </c>
    </row>
    <row r="12525" spans="1:7" x14ac:dyDescent="0.25">
      <c r="A12525" s="50" t="s">
        <v>48</v>
      </c>
      <c r="B12525" s="68" t="str">
        <f>VLOOKUP(A12525,'[1]Componentes APUs'!$H$1:$L$25,2,0)</f>
        <v>Ayudante Calificado</v>
      </c>
      <c r="C12525" s="93">
        <v>1</v>
      </c>
      <c r="D12525" s="50">
        <f>VLOOKUP(A12525,'[1]Componentes APUs'!$H$1:$L$25,3,0)</f>
        <v>1.5</v>
      </c>
      <c r="E12525" s="51">
        <f>VLOOKUP(A12525,'[1]Componentes APUs'!$H$1:$L$25,4,0)</f>
        <v>115964.28571428571</v>
      </c>
      <c r="F12525" s="51">
        <f>VLOOKUP(A12525,'[1]Componentes APUs'!$H$1:$L$25,5,0)</f>
        <v>69578.57142857142</v>
      </c>
      <c r="G12525" s="51">
        <f>ROUNDUP((E12525+F12525)*C12525/E12511,0)</f>
        <v>371086</v>
      </c>
    </row>
    <row r="12526" spans="1:7" x14ac:dyDescent="0.25">
      <c r="A12526" s="50" t="s">
        <v>50</v>
      </c>
      <c r="B12526" s="68" t="str">
        <f>VLOOKUP(A12526,'[1]Componentes APUs'!$H$1:$L$25,2,0)</f>
        <v>Profesional en SST</v>
      </c>
      <c r="C12526" s="93">
        <v>0.25</v>
      </c>
      <c r="D12526" s="50">
        <f>VLOOKUP(A12526,'[1]Componentes APUs'!$H$1:$L$25,3,0)</f>
        <v>2.5</v>
      </c>
      <c r="E12526" s="51">
        <f>VLOOKUP(A12526,'[1]Componentes APUs'!$H$1:$L$25,4,0)</f>
        <v>169464.28571428571</v>
      </c>
      <c r="F12526" s="51">
        <f>VLOOKUP(A12526,'[1]Componentes APUs'!$H$1:$L$25,5,0)</f>
        <v>101678.57142857142</v>
      </c>
      <c r="G12526" s="51">
        <f>ROUNDUP((E12526+F12526)*C12526/E12511,0)</f>
        <v>135572</v>
      </c>
    </row>
    <row r="12527" spans="1:7" x14ac:dyDescent="0.25">
      <c r="A12527" s="50" t="s">
        <v>52</v>
      </c>
      <c r="B12527" s="68" t="str">
        <f>VLOOKUP(A12527,'[1]Componentes APUs'!$H$1:$L$25,2,0)</f>
        <v>Ayudante No Calificado</v>
      </c>
      <c r="C12527" s="93">
        <v>0</v>
      </c>
      <c r="D12527" s="50">
        <f>VLOOKUP(A12527,'[1]Componentes APUs'!$H$1:$L$25,3,0)</f>
        <v>1</v>
      </c>
      <c r="E12527" s="51">
        <f>VLOOKUP(A12527,'[1]Componentes APUs'!$H$1:$L$25,4,0)</f>
        <v>77309.523809523816</v>
      </c>
      <c r="F12527" s="51">
        <f>VLOOKUP(A12527,'[1]Componentes APUs'!$H$1:$L$25,5,0)</f>
        <v>46385.71428571429</v>
      </c>
      <c r="G12527" s="51">
        <f>ROUNDUP((E12527+F12527)*C12527/E12511,0)</f>
        <v>0</v>
      </c>
    </row>
    <row r="12528" spans="1:7" x14ac:dyDescent="0.25">
      <c r="A12528" s="50" t="s">
        <v>1121</v>
      </c>
      <c r="B12528" s="68" t="str">
        <f>VLOOKUP(A12528,'[1]Componentes APUs'!$H$1:$L$25,2,0)</f>
        <v>Ingeniero Especialista de Control y Protección Subestación</v>
      </c>
      <c r="C12528" s="93">
        <v>1</v>
      </c>
      <c r="D12528" s="50">
        <f>VLOOKUP(A12528,'[1]Componentes APUs'!$H$1:$L$25,3,0)</f>
        <v>14</v>
      </c>
      <c r="E12528" s="51">
        <f>VLOOKUP(A12528,'[1]Componentes APUs'!$H$1:$L$25,4,0)</f>
        <v>949000</v>
      </c>
      <c r="F12528" s="51">
        <f>VLOOKUP(A12528,'[1]Componentes APUs'!$H$1:$L$25,5,0)</f>
        <v>569400</v>
      </c>
      <c r="G12528" s="51">
        <f>ROUNDUP((E12528+F12528)*C12528/E12511,0)</f>
        <v>3036800</v>
      </c>
    </row>
    <row r="12529" spans="1:7" x14ac:dyDescent="0.25">
      <c r="A12529" s="234" t="s">
        <v>56</v>
      </c>
      <c r="B12529" s="236"/>
      <c r="C12529" s="236"/>
      <c r="D12529" s="236"/>
      <c r="E12529" s="236"/>
      <c r="F12529" s="235"/>
      <c r="G12529" s="52">
        <f>SUM(G12522:G12528)</f>
        <v>4379880</v>
      </c>
    </row>
    <row r="12530" spans="1:7" x14ac:dyDescent="0.25">
      <c r="A12530" s="56"/>
      <c r="B12530" s="57"/>
      <c r="C12530" s="57"/>
      <c r="D12530" s="57"/>
      <c r="E12530" s="57"/>
      <c r="F12530" s="57"/>
      <c r="G12530" s="58"/>
    </row>
    <row r="12531" spans="1:7" x14ac:dyDescent="0.25">
      <c r="A12531" s="234" t="s">
        <v>57</v>
      </c>
      <c r="B12531" s="236"/>
      <c r="C12531" s="236"/>
      <c r="D12531" s="236"/>
      <c r="E12531" s="236"/>
      <c r="F12531" s="236"/>
      <c r="G12531" s="235"/>
    </row>
    <row r="12532" spans="1:7" x14ac:dyDescent="0.25">
      <c r="A12532" s="49" t="s">
        <v>35</v>
      </c>
      <c r="B12532" s="234" t="s">
        <v>36</v>
      </c>
      <c r="C12532" s="235"/>
      <c r="D12532" s="49" t="s">
        <v>37</v>
      </c>
      <c r="E12532" s="49" t="s">
        <v>38</v>
      </c>
      <c r="F12532" s="49" t="s">
        <v>39</v>
      </c>
      <c r="G12532" s="49" t="s">
        <v>40</v>
      </c>
    </row>
    <row r="12533" spans="1:7" x14ac:dyDescent="0.25">
      <c r="A12533" s="50" t="s">
        <v>326</v>
      </c>
      <c r="B12533" s="242" t="str">
        <f>VLOOKUP(A12533,'[1]Componentes APUs'!$S$1:$V$10,2,0)</f>
        <v>Juego Llaves</v>
      </c>
      <c r="C12533" s="239"/>
      <c r="D12533" s="50" t="s">
        <v>18</v>
      </c>
      <c r="E12533" s="50">
        <v>2</v>
      </c>
      <c r="F12533" s="51">
        <f>VLOOKUP(A12533,'[1]Componentes APUs'!$S$1:$V$10,4,0)</f>
        <v>9167</v>
      </c>
      <c r="G12533" s="51">
        <f>ROUNDUP(F12533*((E12533/21)/E12511),0)</f>
        <v>1747</v>
      </c>
    </row>
    <row r="12534" spans="1:7" x14ac:dyDescent="0.25">
      <c r="A12534" s="50" t="s">
        <v>58</v>
      </c>
      <c r="B12534" s="242" t="str">
        <f>VLOOKUP(A12534,'[1]Componentes APUs'!$S$1:$V$10,2,0)</f>
        <v>Manila de servicio</v>
      </c>
      <c r="C12534" s="239"/>
      <c r="D12534" s="50" t="s">
        <v>18</v>
      </c>
      <c r="E12534" s="50">
        <v>2</v>
      </c>
      <c r="F12534" s="51">
        <f>VLOOKUP(A12534,'[1]Componentes APUs'!$S$1:$V$10,4,0)</f>
        <v>2333</v>
      </c>
      <c r="G12534" s="51">
        <f>ROUNDUP(F12534*((E12534/21)/E12511),0)</f>
        <v>445</v>
      </c>
    </row>
    <row r="12535" spans="1:7" x14ac:dyDescent="0.25">
      <c r="A12535" s="50" t="s">
        <v>327</v>
      </c>
      <c r="B12535" s="242" t="str">
        <f>VLOOKUP(A12535,'[1]Componentes APUs'!$S$1:$V$10,2,0)</f>
        <v>Tula portaherramientas</v>
      </c>
      <c r="C12535" s="239"/>
      <c r="D12535" s="50" t="s">
        <v>18</v>
      </c>
      <c r="E12535" s="50">
        <v>2</v>
      </c>
      <c r="F12535" s="51">
        <f>VLOOKUP(A12535,'[1]Componentes APUs'!$S$1:$V$10,4,0)</f>
        <v>1250</v>
      </c>
      <c r="G12535" s="51">
        <f>ROUNDUP(F12535*((E12535/21)/E12511),0)</f>
        <v>239</v>
      </c>
    </row>
    <row r="12536" spans="1:7" x14ac:dyDescent="0.25">
      <c r="A12536" s="50" t="s">
        <v>60</v>
      </c>
      <c r="B12536" s="242" t="str">
        <f>VLOOKUP(A12536,'[1]Componentes APUs'!$S$1:$V$10,2,0)</f>
        <v>Agarradoras</v>
      </c>
      <c r="C12536" s="239"/>
      <c r="D12536" s="50" t="s">
        <v>18</v>
      </c>
      <c r="E12536" s="50">
        <v>0</v>
      </c>
      <c r="F12536" s="51">
        <f>VLOOKUP(A12536,'[1]Componentes APUs'!$S$1:$V$10,4,0)</f>
        <v>125000</v>
      </c>
      <c r="G12536" s="51">
        <f>ROUNDUP(F12536*((E12536/21)/E12511),0)</f>
        <v>0</v>
      </c>
    </row>
    <row r="12537" spans="1:7" x14ac:dyDescent="0.25">
      <c r="A12537" s="50" t="s">
        <v>62</v>
      </c>
      <c r="B12537" s="242" t="str">
        <f>VLOOKUP(A12537,'[1]Componentes APUs'!$S$1:$V$10,2,0)</f>
        <v>Templadoras</v>
      </c>
      <c r="C12537" s="239"/>
      <c r="D12537" s="50" t="s">
        <v>18</v>
      </c>
      <c r="E12537" s="50">
        <v>0</v>
      </c>
      <c r="F12537" s="51">
        <f>VLOOKUP(A12537,'[1]Componentes APUs'!$S$1:$V$10,4,0)</f>
        <v>250000</v>
      </c>
      <c r="G12537" s="51">
        <f>ROUNDUP(F12537*((E12537/21)/E12511),0)</f>
        <v>0</v>
      </c>
    </row>
    <row r="12538" spans="1:7" x14ac:dyDescent="0.25">
      <c r="A12538" s="50" t="s">
        <v>328</v>
      </c>
      <c r="B12538" s="242" t="str">
        <f>VLOOKUP(A12538,'[1]Componentes APUs'!$S$1:$V$10,2,0)</f>
        <v>Herramienta Menor</v>
      </c>
      <c r="C12538" s="239"/>
      <c r="D12538" s="50" t="s">
        <v>18</v>
      </c>
      <c r="E12538" s="50">
        <v>2</v>
      </c>
      <c r="F12538" s="51">
        <f>VLOOKUP(A12538,'[1]Componentes APUs'!$S$1:$V$10,4,0)</f>
        <v>75758</v>
      </c>
      <c r="G12538" s="51">
        <f>ROUNDUP(F12538*((E12538/21)/E12511),0)</f>
        <v>14431</v>
      </c>
    </row>
    <row r="12539" spans="1:7" x14ac:dyDescent="0.25">
      <c r="A12539" s="234" t="s">
        <v>69</v>
      </c>
      <c r="B12539" s="236"/>
      <c r="C12539" s="236"/>
      <c r="D12539" s="236"/>
      <c r="E12539" s="236"/>
      <c r="F12539" s="235"/>
      <c r="G12539" s="52">
        <f>SUM(G12533:G12538)</f>
        <v>16862</v>
      </c>
    </row>
    <row r="12540" spans="1:7" x14ac:dyDescent="0.25">
      <c r="A12540" s="56"/>
      <c r="B12540" s="57"/>
      <c r="C12540" s="57"/>
      <c r="D12540" s="57"/>
      <c r="E12540" s="57"/>
      <c r="F12540" s="57"/>
      <c r="G12540" s="58"/>
    </row>
    <row r="12541" spans="1:7" x14ac:dyDescent="0.25">
      <c r="A12541" s="234" t="s">
        <v>70</v>
      </c>
      <c r="B12541" s="236"/>
      <c r="C12541" s="236"/>
      <c r="D12541" s="236"/>
      <c r="E12541" s="236"/>
      <c r="F12541" s="236"/>
      <c r="G12541" s="235"/>
    </row>
    <row r="12542" spans="1:7" x14ac:dyDescent="0.25">
      <c r="A12542" s="49" t="s">
        <v>35</v>
      </c>
      <c r="B12542" s="234" t="s">
        <v>36</v>
      </c>
      <c r="C12542" s="235"/>
      <c r="D12542" s="49" t="s">
        <v>37</v>
      </c>
      <c r="E12542" s="49" t="s">
        <v>38</v>
      </c>
      <c r="F12542" s="49" t="s">
        <v>39</v>
      </c>
      <c r="G12542" s="49" t="s">
        <v>40</v>
      </c>
    </row>
    <row r="12543" spans="1:7" x14ac:dyDescent="0.25">
      <c r="A12543" s="50" t="s">
        <v>71</v>
      </c>
      <c r="B12543" s="71" t="str">
        <f>VLOOKUP(A12543,'[1]Componentes APUs'!$A$1:$D$14,2,0)</f>
        <v>Camisa indigo sin partes metalicas</v>
      </c>
      <c r="C12543" s="71"/>
      <c r="D12543" s="50" t="str">
        <f>VLOOKUP(A12543,'[1]Componentes APUs'!$A$1:$D$14,3,0)</f>
        <v>U</v>
      </c>
      <c r="E12543" s="50">
        <f>SUM(C12522:C12528)</f>
        <v>3.75</v>
      </c>
      <c r="F12543" s="51">
        <f>VLOOKUP(A12543,'[1]Componentes APUs'!$A$1:$D$14,4,0)</f>
        <v>8585.8585858585866</v>
      </c>
      <c r="G12543" s="51">
        <f>ROUNDUP(F12543*(E12543/21)/E12511,0)</f>
        <v>3067</v>
      </c>
    </row>
    <row r="12544" spans="1:7" x14ac:dyDescent="0.25">
      <c r="A12544" s="69" t="s">
        <v>73</v>
      </c>
      <c r="B12544" s="72" t="str">
        <f>VLOOKUP(A12544,'[1]Componentes APUs'!$A$1:$D$14,2,0)</f>
        <v>Bota de seguridad dielectrica</v>
      </c>
      <c r="C12544" s="73"/>
      <c r="D12544" s="70" t="str">
        <f>VLOOKUP(A12544,'[1]Componentes APUs'!$A$1:$D$14,3,0)</f>
        <v>Par</v>
      </c>
      <c r="E12544" s="50">
        <f>SUM(C12522:C12528)</f>
        <v>3.75</v>
      </c>
      <c r="F12544" s="51">
        <f>VLOOKUP(A12544,'[1]Componentes APUs'!$A$1:$D$14,4,0)</f>
        <v>7500</v>
      </c>
      <c r="G12544" s="51">
        <f>ROUNDUP(F12544*(E12544/21)/E12511,0)</f>
        <v>2679</v>
      </c>
    </row>
    <row r="12545" spans="1:7" x14ac:dyDescent="0.25">
      <c r="A12545" s="50" t="s">
        <v>76</v>
      </c>
      <c r="B12545" s="72" t="str">
        <f>VLOOKUP(A12545,'[1]Componentes APUs'!$A$1:$D$14,2,0)</f>
        <v>Casco dielectrico Tipo 1 Clase E con barbuquejo</v>
      </c>
      <c r="C12545" s="73"/>
      <c r="D12545" s="50" t="str">
        <f>VLOOKUP(A12545,'[1]Componentes APUs'!$A$1:$D$14,3,0)</f>
        <v>U</v>
      </c>
      <c r="E12545" s="50">
        <f>C12528+C12523+C12526+C12527+C12522+C12525+IF(A12524&lt;&gt;"MO-3",C12524,0)</f>
        <v>2.75</v>
      </c>
      <c r="F12545" s="51">
        <f>VLOOKUP(A12545,'[1]Componentes APUs'!$A$1:$D$14,4,0)</f>
        <v>10101.010101010101</v>
      </c>
      <c r="G12545" s="51">
        <f>ROUNDUP(F12545*(E12545/21)/E12511,0)</f>
        <v>2646</v>
      </c>
    </row>
    <row r="12546" spans="1:7" x14ac:dyDescent="0.25">
      <c r="A12546" s="69" t="s">
        <v>77</v>
      </c>
      <c r="B12546" s="72" t="str">
        <f>VLOOKUP(A12546,'[1]Componentes APUs'!$A$1:$D$14,2,0)</f>
        <v>Correa plastica y antiflama</v>
      </c>
      <c r="C12546" s="73"/>
      <c r="D12546" s="50" t="str">
        <f>VLOOKUP(A12546,'[1]Componentes APUs'!$A$1:$D$14,3,0)</f>
        <v>U</v>
      </c>
      <c r="E12546" s="50">
        <f>SUM(C12522:C12528)</f>
        <v>3.75</v>
      </c>
      <c r="F12546" s="51">
        <f>VLOOKUP(A12546,'[1]Componentes APUs'!$A$1:$D$14,4,0)</f>
        <v>3787.878787878788</v>
      </c>
      <c r="G12546" s="51">
        <f>ROUNDUP(F12546*(E12546/21)/E12511,0)</f>
        <v>1353</v>
      </c>
    </row>
    <row r="12547" spans="1:7" x14ac:dyDescent="0.25">
      <c r="A12547" s="50" t="s">
        <v>79</v>
      </c>
      <c r="B12547" s="72" t="str">
        <f>VLOOKUP(A12547,'[1]Componentes APUs'!$A$1:$D$14,2,0)</f>
        <v>Gafas protectoras filtro UV</v>
      </c>
      <c r="C12547" s="73"/>
      <c r="D12547" s="50" t="str">
        <f>VLOOKUP(A12547,'[1]Componentes APUs'!$A$1:$D$14,3,0)</f>
        <v>U</v>
      </c>
      <c r="E12547" s="50">
        <f>SUM(C12522:C12528)</f>
        <v>3.75</v>
      </c>
      <c r="F12547" s="51">
        <f>VLOOKUP(A12547,'[1]Componentes APUs'!$A$1:$D$14,4,0)</f>
        <v>2777.7777777777778</v>
      </c>
      <c r="G12547" s="51">
        <f>ROUNDUP(F12547*(E12547/21)/E12511,0)</f>
        <v>993</v>
      </c>
    </row>
    <row r="12548" spans="1:7" x14ac:dyDescent="0.25">
      <c r="A12548" s="69" t="s">
        <v>402</v>
      </c>
      <c r="B12548" s="72" t="str">
        <f>VLOOKUP(A12548,'[1]Componentes APUs'!$A$1:$D$14,2,0)</f>
        <v>Bota de seguridad PVC dielectrica</v>
      </c>
      <c r="C12548" s="73"/>
      <c r="D12548" s="50" t="str">
        <f>VLOOKUP(A12548,'[1]Componentes APUs'!$A$1:$D$14,3,0)</f>
        <v>Par</v>
      </c>
      <c r="E12548" s="50">
        <f>SUM(C12522:C12528)</f>
        <v>3.75</v>
      </c>
      <c r="F12548" s="51">
        <f>VLOOKUP(A12548,'[1]Componentes APUs'!$A$1:$D$14,4,0)</f>
        <v>2916.6666666666665</v>
      </c>
      <c r="G12548" s="51">
        <f>ROUNDUP(F12548*(E12548/21)/E12511,0)</f>
        <v>1042</v>
      </c>
    </row>
    <row r="12549" spans="1:7" x14ac:dyDescent="0.25">
      <c r="A12549" s="50" t="s">
        <v>403</v>
      </c>
      <c r="B12549" s="72" t="str">
        <f>VLOOKUP(A12549,'[1]Componentes APUs'!$A$1:$D$14,2,0)</f>
        <v>Capuchon</v>
      </c>
      <c r="C12549" s="73"/>
      <c r="D12549" s="50" t="str">
        <f>VLOOKUP(A12549,'[1]Componentes APUs'!$A$1:$D$14,3,0)</f>
        <v>U</v>
      </c>
      <c r="E12549" s="50">
        <f>SUM(C12522:C12528)</f>
        <v>3.75</v>
      </c>
      <c r="F12549" s="51">
        <f>VLOOKUP(A12549,'[1]Componentes APUs'!$A$1:$D$14,4,0)</f>
        <v>2525.2525252525252</v>
      </c>
      <c r="G12549" s="51">
        <f>ROUNDUP(F12549*(E12549/21)/E12511,0)</f>
        <v>902</v>
      </c>
    </row>
    <row r="12550" spans="1:7" x14ac:dyDescent="0.25">
      <c r="A12550" s="69" t="s">
        <v>81</v>
      </c>
      <c r="B12550" s="72" t="str">
        <f>VLOOKUP(A12550,'[1]Componentes APUs'!$A$1:$D$14,2,0)</f>
        <v>Guantes Protectores  - ingeniero reforzados</v>
      </c>
      <c r="C12550" s="73"/>
      <c r="D12550" s="50" t="str">
        <f>VLOOKUP(A12550,'[1]Componentes APUs'!$A$1:$D$14,3,0)</f>
        <v>Par</v>
      </c>
      <c r="E12550" s="50">
        <f>C12524+C12525+C12527</f>
        <v>2</v>
      </c>
      <c r="F12550" s="51">
        <f>VLOOKUP(A12550,'[1]Componentes APUs'!$A$1:$D$14,4,0)</f>
        <v>2525.2525252525252</v>
      </c>
      <c r="G12550" s="51">
        <f>ROUNDUP(F12550*(E12550/21)/E12511,0)</f>
        <v>482</v>
      </c>
    </row>
    <row r="12551" spans="1:7" x14ac:dyDescent="0.25">
      <c r="A12551" s="50" t="s">
        <v>83</v>
      </c>
      <c r="B12551" s="72" t="str">
        <f>VLOOKUP(A12551,'[1]Componentes APUs'!$A$1:$D$14,2,0)</f>
        <v>Impermeable (pantalon camisa)</v>
      </c>
      <c r="C12551" s="73"/>
      <c r="D12551" s="50" t="str">
        <f>VLOOKUP(A12551,'[1]Componentes APUs'!$A$1:$D$14,3,0)</f>
        <v>U</v>
      </c>
      <c r="E12551" s="50">
        <f>SUM(C12522:C12528)</f>
        <v>3.75</v>
      </c>
      <c r="F12551" s="51">
        <f>VLOOKUP(A12551,'[1]Componentes APUs'!$A$1:$D$14,4,0)</f>
        <v>3750</v>
      </c>
      <c r="G12551" s="51">
        <f>ROUNDUP(F12551*(E12551/21)/E12511,0)</f>
        <v>1340</v>
      </c>
    </row>
    <row r="12552" spans="1:7" x14ac:dyDescent="0.25">
      <c r="A12552" s="69" t="s">
        <v>85</v>
      </c>
      <c r="B12552" s="72" t="str">
        <f>VLOOKUP(A12552,'[1]Componentes APUs'!$A$1:$D$14,2,0)</f>
        <v>Jean Dielectrico</v>
      </c>
      <c r="C12552" s="73"/>
      <c r="D12552" s="50" t="str">
        <f>VLOOKUP(A12552,'[1]Componentes APUs'!$A$1:$D$14,3,0)</f>
        <v>U</v>
      </c>
      <c r="E12552" s="50">
        <f>SUM(C12522:C12528)</f>
        <v>3.75</v>
      </c>
      <c r="F12552" s="51">
        <f>VLOOKUP(A12552,'[1]Componentes APUs'!$A$1:$D$14,4,0)</f>
        <v>7575.757575757576</v>
      </c>
      <c r="G12552" s="51">
        <f>ROUNDUP(F12552*(E12552/21)/E12511,0)</f>
        <v>2706</v>
      </c>
    </row>
    <row r="12553" spans="1:7" x14ac:dyDescent="0.25">
      <c r="A12553" s="50" t="s">
        <v>87</v>
      </c>
      <c r="B12553" s="72" t="str">
        <f>VLOOKUP(A12553,'[1]Componentes APUs'!$A$1:$D$14,2,0)</f>
        <v>Casco dielectrico Tipo 2 Clase E con barboquejo</v>
      </c>
      <c r="C12553" s="73"/>
      <c r="D12553" s="50" t="str">
        <f>VLOOKUP(A12553,'[1]Componentes APUs'!$A$1:$D$14,3,0)</f>
        <v>U</v>
      </c>
      <c r="E12553" s="53">
        <f>IF(A12524="MO-3",C12524,0)</f>
        <v>1</v>
      </c>
      <c r="F12553" s="51">
        <f>VLOOKUP(A12553,'[1]Componentes APUs'!$A$1:$D$14,4,0)</f>
        <v>7500</v>
      </c>
      <c r="G12553" s="51">
        <f>ROUNDUP(F12553*(E12553/21)/E12511,0)</f>
        <v>715</v>
      </c>
    </row>
    <row r="12554" spans="1:7" x14ac:dyDescent="0.25">
      <c r="A12554" s="69" t="s">
        <v>89</v>
      </c>
      <c r="B12554" s="72" t="str">
        <f>VLOOKUP(A12554,'[1]Componentes APUs'!$A$1:$D$14,2,0)</f>
        <v>Kit de rescate para trabajo en alturas</v>
      </c>
      <c r="C12554" s="73"/>
      <c r="D12554" s="50" t="str">
        <f>VLOOKUP(A12554,'[1]Componentes APUs'!$A$1:$D$14,3,0)</f>
        <v>U</v>
      </c>
      <c r="E12554" s="50">
        <f>IF(AND(A12524="MO-3",C12524=2),1,0)</f>
        <v>0</v>
      </c>
      <c r="F12554" s="51">
        <f>VLOOKUP(A12554,'[1]Componentes APUs'!$A$1:$D$14,4,0)</f>
        <v>37500</v>
      </c>
      <c r="G12554" s="51">
        <f>ROUNDUP(F12554*(E12554/21)/E12511,0)</f>
        <v>0</v>
      </c>
    </row>
    <row r="12555" spans="1:7" x14ac:dyDescent="0.25">
      <c r="A12555" s="50" t="s">
        <v>91</v>
      </c>
      <c r="B12555" s="72" t="str">
        <f>VLOOKUP(A12555,'[1]Componentes APUs'!$A$1:$D$14,2,0)</f>
        <v>Equipo completo para trabajo en alturas con pretales (Arnes dielectrico, 1 mosqueton de seguridad, tie off dielectrico, eslinga de posicionamiento, juego de pretales)</v>
      </c>
      <c r="C12555" s="73"/>
      <c r="D12555" s="50" t="str">
        <f>VLOOKUP(A12555,'[1]Componentes APUs'!$A$1:$D$14,3,0)</f>
        <v>U</v>
      </c>
      <c r="E12555" s="50">
        <f>IF(A12524="MO-3",C12524,0)</f>
        <v>1</v>
      </c>
      <c r="F12555" s="51">
        <f>VLOOKUP(A12555,'[1]Componentes APUs'!$A$1:$D$14,4,0)</f>
        <v>26041.666666666668</v>
      </c>
      <c r="G12555" s="51">
        <f>ROUNDUP(F12555*(E12555/21)/E12511,0)</f>
        <v>2481</v>
      </c>
    </row>
    <row r="12556" spans="1:7" x14ac:dyDescent="0.25">
      <c r="A12556" s="234" t="s">
        <v>95</v>
      </c>
      <c r="B12556" s="236"/>
      <c r="C12556" s="236"/>
      <c r="D12556" s="236"/>
      <c r="E12556" s="236"/>
      <c r="F12556" s="235"/>
      <c r="G12556" s="52">
        <f>SUM(G12543:G12555)</f>
        <v>20406</v>
      </c>
    </row>
    <row r="12557" spans="1:7" x14ac:dyDescent="0.25">
      <c r="A12557" s="56"/>
      <c r="B12557" s="57"/>
      <c r="C12557" s="57"/>
      <c r="D12557" s="57"/>
      <c r="E12557" s="57"/>
      <c r="F12557" s="57"/>
      <c r="G12557" s="58"/>
    </row>
    <row r="12558" spans="1:7" x14ac:dyDescent="0.25">
      <c r="A12558" s="234" t="s">
        <v>96</v>
      </c>
      <c r="B12558" s="236"/>
      <c r="C12558" s="236"/>
      <c r="D12558" s="236"/>
      <c r="E12558" s="236"/>
      <c r="F12558" s="236"/>
      <c r="G12558" s="235"/>
    </row>
    <row r="12559" spans="1:7" x14ac:dyDescent="0.25">
      <c r="A12559" s="49" t="s">
        <v>35</v>
      </c>
      <c r="B12559" s="234" t="s">
        <v>36</v>
      </c>
      <c r="C12559" s="235"/>
      <c r="D12559" s="49" t="s">
        <v>37</v>
      </c>
      <c r="E12559" s="49" t="s">
        <v>38</v>
      </c>
      <c r="F12559" s="49" t="s">
        <v>39</v>
      </c>
      <c r="G12559" s="49" t="s">
        <v>40</v>
      </c>
    </row>
    <row r="12560" spans="1:7" x14ac:dyDescent="0.25">
      <c r="A12560" s="69" t="s">
        <v>97</v>
      </c>
      <c r="B12560" s="72" t="str">
        <f>VLOOKUP(A12560,'[1]Componentes APUs'!$N$1:$Q$30,2,0)</f>
        <v>Camioneta</v>
      </c>
      <c r="C12560" s="73"/>
      <c r="D12560" s="70" t="str">
        <f>VLOOKUP(A12560,'[1]Componentes APUs'!$N$1:$Q$30,3,0)</f>
        <v>U</v>
      </c>
      <c r="E12560" s="50">
        <v>1</v>
      </c>
      <c r="F12560" s="51">
        <f>VLOOKUP(A12560,'[1]Componentes APUs'!$N$1:$Q$30,4,0)</f>
        <v>5500000</v>
      </c>
      <c r="G12560" s="51">
        <f>IFERROR(ROUNDUP(F12560*(E12560/21)/E12511,0),"-")</f>
        <v>523810</v>
      </c>
    </row>
    <row r="12561" spans="1:7" x14ac:dyDescent="0.25">
      <c r="A12561" s="50" t="s">
        <v>321</v>
      </c>
      <c r="B12561" s="72" t="str">
        <f>VLOOKUP(A12561,'[1]Componentes APUs'!$N$1:$Q$30,2,0)</f>
        <v>Grúa Hidráulica</v>
      </c>
      <c r="C12561" s="73"/>
      <c r="D12561" s="70" t="str">
        <f>VLOOKUP(A12561,'[1]Componentes APUs'!$N$1:$Q$30,3,0)</f>
        <v>U</v>
      </c>
      <c r="E12561" s="50">
        <v>0</v>
      </c>
      <c r="F12561" s="51">
        <f>VLOOKUP(A12561,'[1]Componentes APUs'!$N$1:$Q$30,4,0)</f>
        <v>21000000</v>
      </c>
      <c r="G12561" s="51">
        <f>IFERROR(ROUNDUP(F12561*(E12561/21)/E12511,0),"-")</f>
        <v>0</v>
      </c>
    </row>
    <row r="12562" spans="1:7" x14ac:dyDescent="0.25">
      <c r="A12562" s="69" t="s">
        <v>322</v>
      </c>
      <c r="B12562" s="72" t="str">
        <f>VLOOKUP(A12562,'[1]Componentes APUs'!$N$1:$Q$30,2,0)</f>
        <v>Camabaja</v>
      </c>
      <c r="C12562" s="73"/>
      <c r="D12562" s="70" t="str">
        <f>VLOOKUP(A12562,'[1]Componentes APUs'!$N$1:$Q$30,3,0)</f>
        <v>TON/KM</v>
      </c>
      <c r="E12562" s="50">
        <v>0</v>
      </c>
      <c r="F12562" s="51">
        <f>VLOOKUP(A12562,'[1]Componentes APUs'!$N$1:$Q$30,4,0)</f>
        <v>611</v>
      </c>
      <c r="G12562" s="51">
        <f>IFERROR(ROUNDUP(F12562*(E12562/21)/E12511,0),"-")</f>
        <v>0</v>
      </c>
    </row>
    <row r="12563" spans="1:7" x14ac:dyDescent="0.25">
      <c r="A12563" s="50" t="s">
        <v>323</v>
      </c>
      <c r="B12563" s="72" t="str">
        <f>VLOOKUP(A12563,'[1]Componentes APUs'!$N$1:$Q$30,2,0)</f>
        <v>Volqueta</v>
      </c>
      <c r="C12563" s="73"/>
      <c r="D12563" s="70" t="str">
        <f>VLOOKUP(A12563,'[1]Componentes APUs'!$N$1:$Q$30,3,0)</f>
        <v>U</v>
      </c>
      <c r="E12563" s="50">
        <v>0</v>
      </c>
      <c r="F12563" s="51">
        <f>VLOOKUP(A12563,'[1]Componentes APUs'!$N$1:$Q$30,4,0)</f>
        <v>18900000</v>
      </c>
      <c r="G12563" s="51">
        <f>IFERROR(ROUNDUP(F12563*(E12563/21)/E12511,0),"-")</f>
        <v>0</v>
      </c>
    </row>
    <row r="12564" spans="1:7" x14ac:dyDescent="0.25">
      <c r="A12564" s="69" t="s">
        <v>324</v>
      </c>
      <c r="B12564" s="72" t="str">
        <f>VLOOKUP(A12564,'[1]Componentes APUs'!$N$1:$Q$30,2,0)</f>
        <v>Retroexcavadora</v>
      </c>
      <c r="C12564" s="73"/>
      <c r="D12564" s="70" t="str">
        <f>VLOOKUP(A12564,'[1]Componentes APUs'!$N$1:$Q$30,3,0)</f>
        <v>U</v>
      </c>
      <c r="E12564" s="50">
        <v>0</v>
      </c>
      <c r="F12564" s="51">
        <f>VLOOKUP(A12564,'[1]Componentes APUs'!$N$1:$Q$30,4,0)</f>
        <v>1494459.54</v>
      </c>
      <c r="G12564" s="51">
        <f>IFERROR(ROUNDUP(F12564*(E12564/21)/E12511,0),"-")</f>
        <v>0</v>
      </c>
    </row>
    <row r="12565" spans="1:7" x14ac:dyDescent="0.25">
      <c r="A12565" s="234" t="s">
        <v>99</v>
      </c>
      <c r="B12565" s="236"/>
      <c r="C12565" s="236"/>
      <c r="D12565" s="236"/>
      <c r="E12565" s="236"/>
      <c r="F12565" s="235"/>
      <c r="G12565" s="52">
        <f>SUM(G12560:G12564)</f>
        <v>523810</v>
      </c>
    </row>
    <row r="12566" spans="1:7" x14ac:dyDescent="0.25">
      <c r="A12566" s="56"/>
      <c r="B12566" s="57"/>
      <c r="C12566" s="57"/>
      <c r="D12566" s="57"/>
      <c r="E12566" s="57"/>
      <c r="F12566" s="57"/>
      <c r="G12566" s="58"/>
    </row>
    <row r="12567" spans="1:7" x14ac:dyDescent="0.25">
      <c r="A12567" s="234" t="s">
        <v>1516</v>
      </c>
      <c r="B12567" s="236"/>
      <c r="C12567" s="236"/>
      <c r="D12567" s="236"/>
      <c r="E12567" s="236"/>
      <c r="F12567" s="235"/>
      <c r="G12567" s="52">
        <f>G12565+G12556+G12539+G12529+G12518</f>
        <v>28331598</v>
      </c>
    </row>
    <row r="12568" spans="1:7" x14ac:dyDescent="0.25">
      <c r="A12568" s="59"/>
      <c r="B12568" s="60"/>
      <c r="C12568" s="60"/>
      <c r="D12568" s="60"/>
      <c r="E12568" s="57"/>
      <c r="F12568" s="57"/>
      <c r="G12568" s="58"/>
    </row>
    <row r="12569" spans="1:7" x14ac:dyDescent="0.25">
      <c r="A12569" s="64"/>
      <c r="D12569" s="55"/>
      <c r="E12569" s="49" t="s">
        <v>25</v>
      </c>
      <c r="F12569" s="54">
        <v>0.15</v>
      </c>
      <c r="G12569" s="51">
        <f>G12567*F12569</f>
        <v>4249739.7</v>
      </c>
    </row>
    <row r="12570" spans="1:7" x14ac:dyDescent="0.25">
      <c r="A12570" s="64"/>
      <c r="D12570" s="55"/>
      <c r="E12570" s="49" t="s">
        <v>26</v>
      </c>
      <c r="F12570" s="54">
        <v>0.05</v>
      </c>
      <c r="G12570" s="51">
        <f>G12567*F12570</f>
        <v>1416579.9000000001</v>
      </c>
    </row>
    <row r="12571" spans="1:7" x14ac:dyDescent="0.25">
      <c r="A12571" s="61"/>
      <c r="B12571" s="65"/>
      <c r="C12571" s="65"/>
      <c r="D12571" s="62"/>
      <c r="E12571" s="49" t="s">
        <v>27</v>
      </c>
      <c r="F12571" s="54">
        <v>0.05</v>
      </c>
      <c r="G12571" s="51">
        <f>G12567*F12571</f>
        <v>1416579.9000000001</v>
      </c>
    </row>
    <row r="12572" spans="1:7" x14ac:dyDescent="0.25">
      <c r="A12572" s="61"/>
      <c r="B12572" s="62"/>
      <c r="C12572" s="62"/>
      <c r="D12572" s="62"/>
      <c r="E12572" s="62"/>
      <c r="F12572" s="62"/>
      <c r="G12572" s="63"/>
    </row>
    <row r="12573" spans="1:7" x14ac:dyDescent="0.25">
      <c r="A12573" s="234" t="s">
        <v>1517</v>
      </c>
      <c r="B12573" s="236"/>
      <c r="C12573" s="236"/>
      <c r="D12573" s="236"/>
      <c r="E12573" s="236"/>
      <c r="F12573" s="235"/>
      <c r="G12573" s="52">
        <f>G12567+G12569+G12570+G12571</f>
        <v>35414497.5</v>
      </c>
    </row>
    <row r="12574" spans="1:7" x14ac:dyDescent="0.25">
      <c r="A12574" s="59"/>
      <c r="B12574" s="60"/>
      <c r="C12574" s="60"/>
      <c r="D12574" s="60"/>
      <c r="E12574" s="57"/>
      <c r="F12574" s="57"/>
      <c r="G12574" s="58"/>
    </row>
    <row r="12575" spans="1:7" x14ac:dyDescent="0.25">
      <c r="A12575" s="64"/>
      <c r="D12575" s="55"/>
      <c r="E12575" s="49" t="s">
        <v>102</v>
      </c>
      <c r="F12575" s="49" t="s">
        <v>103</v>
      </c>
      <c r="G12575" s="51">
        <f>G12571*19%</f>
        <v>269150.18100000004</v>
      </c>
    </row>
    <row r="12576" spans="1:7" x14ac:dyDescent="0.25">
      <c r="A12576" s="61"/>
      <c r="B12576" s="62"/>
      <c r="C12576" s="62"/>
      <c r="D12576" s="62"/>
      <c r="E12576" s="57"/>
      <c r="F12576" s="57"/>
      <c r="G12576" s="58"/>
    </row>
    <row r="12577" spans="1:7" x14ac:dyDescent="0.25">
      <c r="A12577" s="234" t="s">
        <v>104</v>
      </c>
      <c r="B12577" s="236"/>
      <c r="C12577" s="236"/>
      <c r="D12577" s="236"/>
      <c r="E12577" s="236"/>
      <c r="F12577" s="235"/>
      <c r="G12577" s="52">
        <f>G12575+G12573</f>
        <v>35683647.681000002</v>
      </c>
    </row>
    <row r="12579" spans="1:7" x14ac:dyDescent="0.25">
      <c r="A12579" s="74" t="s">
        <v>29</v>
      </c>
      <c r="B12579" s="226" t="s">
        <v>30</v>
      </c>
      <c r="C12579" s="226"/>
      <c r="D12579" s="74" t="s">
        <v>31</v>
      </c>
      <c r="E12579" s="74" t="s">
        <v>32</v>
      </c>
      <c r="F12579" s="74" t="s">
        <v>189</v>
      </c>
      <c r="G12579" s="74" t="s">
        <v>33</v>
      </c>
    </row>
    <row r="12580" spans="1:7" ht="60" customHeight="1" x14ac:dyDescent="0.25">
      <c r="A12580" s="50" t="str">
        <f>Presupuesto!B228</f>
        <v>036_N3</v>
      </c>
      <c r="B12580" s="253" t="str">
        <f>Presupuesto!C228</f>
        <v>SUMINISTRO E INSTALACIÓN DE UNA UNIDAD INTEGRADA DE CONTROL Y PROTECCIÓN (RELE CON FUNCIONES: 50,  51, 50N, 51N,50BFE1,E2,27,59,26,49,63,71,96,33,63Q). PUERTO DE COMUNICACIÓN PARA FIBRA ÓPTICA, PROTOCOLO DE COMUNICACIÓN 61850. PANTALLA TACTIL (IHM). PARA LA BAHÍA DE TRANSFORMADOR</v>
      </c>
      <c r="C12580" s="253"/>
      <c r="D12580" s="50" t="s">
        <v>18</v>
      </c>
      <c r="E12580" s="50">
        <v>0.5</v>
      </c>
      <c r="F12580" s="50"/>
      <c r="G12580" s="51">
        <f>G12645</f>
        <v>67968806.664000005</v>
      </c>
    </row>
    <row r="12581" spans="1:7" x14ac:dyDescent="0.25">
      <c r="A12581" s="219" t="s">
        <v>34</v>
      </c>
      <c r="B12581" s="219"/>
      <c r="C12581" s="219"/>
      <c r="D12581" s="219"/>
      <c r="E12581" s="219"/>
      <c r="F12581" s="219"/>
      <c r="G12581" s="219"/>
    </row>
    <row r="12582" spans="1:7" x14ac:dyDescent="0.25">
      <c r="A12582" s="49" t="s">
        <v>35</v>
      </c>
      <c r="B12582" s="219" t="s">
        <v>36</v>
      </c>
      <c r="C12582" s="219"/>
      <c r="D12582" s="49" t="s">
        <v>37</v>
      </c>
      <c r="E12582" s="49" t="s">
        <v>38</v>
      </c>
      <c r="F12582" s="49" t="s">
        <v>39</v>
      </c>
      <c r="G12582" s="49" t="s">
        <v>40</v>
      </c>
    </row>
    <row r="12583" spans="1:7" ht="51.75" customHeight="1" x14ac:dyDescent="0.25">
      <c r="A12583" s="17" t="str">
        <f>Material!A40</f>
        <v>MA-39</v>
      </c>
      <c r="B12583" s="232" t="str">
        <f>IFERROR(VLOOKUP(A12583,Material!$A:$J,2,0),"-")</f>
        <v>RELE (FUNCIONES: 50,  51, 50N, 51N,50BFE1,E2,27,59,26,49,63,71,96,33,63Q). PUERTO DE COMUNICACIÓN PARA FIBRA ÓPTICA, PROTOCOLO DE COMUNICACIÓN 61850. PANTALLA TACTIL (IHM). PARA LA BAHÍA DE TRANSFORMADOR</v>
      </c>
      <c r="C12583" s="233"/>
      <c r="D12583" s="50" t="str">
        <f>IFERROR(VLOOKUP(A12583,Material!$A:$J,4,0),"-")</f>
        <v>UN</v>
      </c>
      <c r="E12583" s="50">
        <v>1</v>
      </c>
      <c r="F12583" s="51">
        <f>IFERROR(VLOOKUP(A12583,Material!$A:$J,3,0),"-")</f>
        <v>49023954</v>
      </c>
      <c r="G12583" s="51">
        <f t="shared" ref="G12583:G12585" si="177">IFERROR(ROUNDUP(F12583*E12583,0),"-")</f>
        <v>49023954</v>
      </c>
    </row>
    <row r="12584" spans="1:7" x14ac:dyDescent="0.25">
      <c r="A12584" s="17"/>
      <c r="B12584" s="72" t="str">
        <f>IFERROR(VLOOKUP(A12584,Material!$A:$J,2,0),"-")</f>
        <v>-</v>
      </c>
      <c r="C12584" s="73"/>
      <c r="D12584" s="50" t="str">
        <f>IFERROR(VLOOKUP(A12584,Material!$A:$J,4,0),"-")</f>
        <v>-</v>
      </c>
      <c r="E12584" s="50"/>
      <c r="F12584" s="51" t="str">
        <f>IFERROR(VLOOKUP(A12584,Material!$A:$J,3,0),"-")</f>
        <v>-</v>
      </c>
      <c r="G12584" s="51" t="str">
        <f t="shared" si="177"/>
        <v>-</v>
      </c>
    </row>
    <row r="12585" spans="1:7" x14ac:dyDescent="0.25">
      <c r="A12585" s="17"/>
      <c r="B12585" s="72" t="str">
        <f>IFERROR(VLOOKUP(A12585,Material!$A:$J,2,0),"-")</f>
        <v>-</v>
      </c>
      <c r="C12585" s="73"/>
      <c r="D12585" s="50" t="str">
        <f>IFERROR(VLOOKUP(A12585,Material!$A:$J,4,0),"-")</f>
        <v>-</v>
      </c>
      <c r="E12585" s="50"/>
      <c r="F12585" s="51" t="str">
        <f>IFERROR(VLOOKUP(A12585,Material!$A:$J,3,0),"-")</f>
        <v>-</v>
      </c>
      <c r="G12585" s="51" t="str">
        <f t="shared" si="177"/>
        <v>-</v>
      </c>
    </row>
    <row r="12586" spans="1:7" x14ac:dyDescent="0.25">
      <c r="A12586" s="219" t="s">
        <v>41</v>
      </c>
      <c r="B12586" s="219"/>
      <c r="C12586" s="219"/>
      <c r="D12586" s="219"/>
      <c r="E12586" s="219"/>
      <c r="F12586" s="219"/>
      <c r="G12586" s="52">
        <f>SUM(G12583:G12585)</f>
        <v>49023954</v>
      </c>
    </row>
    <row r="12587" spans="1:7" x14ac:dyDescent="0.25">
      <c r="A12587" s="56"/>
      <c r="B12587" s="57"/>
      <c r="C12587" s="57"/>
      <c r="D12587" s="57"/>
      <c r="E12587" s="57"/>
      <c r="F12587" s="57"/>
      <c r="G12587" s="58"/>
    </row>
    <row r="12588" spans="1:7" x14ac:dyDescent="0.25">
      <c r="A12588" s="219" t="s">
        <v>42</v>
      </c>
      <c r="B12588" s="219"/>
      <c r="C12588" s="219"/>
      <c r="D12588" s="219"/>
      <c r="E12588" s="219"/>
      <c r="F12588" s="219"/>
      <c r="G12588" s="219"/>
    </row>
    <row r="12589" spans="1:7" x14ac:dyDescent="0.25">
      <c r="A12589" s="49" t="s">
        <v>35</v>
      </c>
      <c r="B12589" s="49" t="s">
        <v>36</v>
      </c>
      <c r="C12589" s="49" t="s">
        <v>38</v>
      </c>
      <c r="D12589" s="49" t="s">
        <v>43</v>
      </c>
      <c r="E12589" s="49" t="s">
        <v>44</v>
      </c>
      <c r="F12589" s="49" t="s">
        <v>45</v>
      </c>
      <c r="G12589" s="49" t="s">
        <v>40</v>
      </c>
    </row>
    <row r="12590" spans="1:7" x14ac:dyDescent="0.25">
      <c r="A12590" s="50" t="s">
        <v>319</v>
      </c>
      <c r="B12590" s="68" t="str">
        <f>VLOOKUP(A12590,'[1]Componentes APUs'!$H$1:$L$25,2,0)</f>
        <v>Ingeniero Residente de Obra</v>
      </c>
      <c r="C12590" s="93">
        <v>0.25</v>
      </c>
      <c r="D12590" s="50">
        <f>VLOOKUP(A12590,'[1]Componentes APUs'!$H$1:$L$25,3,0)</f>
        <v>4</v>
      </c>
      <c r="E12590" s="51">
        <f>VLOOKUP(A12590,'[1]Componentes APUs'!$H$1:$L$25,4,0)</f>
        <v>271142.85714285716</v>
      </c>
      <c r="F12590" s="51">
        <f>VLOOKUP(A12590,'[1]Componentes APUs'!$H$1:$L$25,5,0)</f>
        <v>162685.71428571429</v>
      </c>
      <c r="G12590" s="51">
        <f>ROUNDUP((E12590+F12590)*C12590/E12580,0)</f>
        <v>216915</v>
      </c>
    </row>
    <row r="12591" spans="1:7" x14ac:dyDescent="0.25">
      <c r="A12591" s="50" t="s">
        <v>320</v>
      </c>
      <c r="B12591" s="68" t="str">
        <f>VLOOKUP(A12591,'[1]Componentes APUs'!$H$1:$L$25,2,0)</f>
        <v>Tecnico Supervisor</v>
      </c>
      <c r="C12591" s="93">
        <v>0.25</v>
      </c>
      <c r="D12591" s="50">
        <f>VLOOKUP(A12591,'[1]Componentes APUs'!$H$1:$L$25,3,0)</f>
        <v>2.2999999999999998</v>
      </c>
      <c r="E12591" s="51">
        <f>VLOOKUP(A12591,'[1]Componentes APUs'!$H$1:$L$25,4,0)</f>
        <v>155907.14285714284</v>
      </c>
      <c r="F12591" s="51">
        <f>VLOOKUP(A12591,'[1]Componentes APUs'!$H$1:$L$25,5,0)</f>
        <v>93544.285714285696</v>
      </c>
      <c r="G12591" s="51">
        <f>ROUNDUP((E12591+F12591)*C12591/E12580,0)</f>
        <v>124726</v>
      </c>
    </row>
    <row r="12592" spans="1:7" x14ac:dyDescent="0.25">
      <c r="A12592" s="50" t="s">
        <v>46</v>
      </c>
      <c r="B12592" s="68" t="str">
        <f>VLOOKUP(A12592,'[1]Componentes APUs'!$H$1:$L$25,2,0)</f>
        <v>Tecnico Liniero</v>
      </c>
      <c r="C12592" s="93">
        <v>1</v>
      </c>
      <c r="D12592" s="50">
        <f>VLOOKUP(A12592,'[1]Componentes APUs'!$H$1:$L$25,3,0)</f>
        <v>2</v>
      </c>
      <c r="E12592" s="51">
        <f>VLOOKUP(A12592,'[1]Componentes APUs'!$H$1:$L$25,4,0)</f>
        <v>154619.04761904763</v>
      </c>
      <c r="F12592" s="51">
        <f>VLOOKUP(A12592,'[1]Componentes APUs'!$H$1:$L$25,5,0)</f>
        <v>92771.42857142858</v>
      </c>
      <c r="G12592" s="51">
        <f>ROUNDUP((E12592+F12592)*C12592/E12580,0)</f>
        <v>494781</v>
      </c>
    </row>
    <row r="12593" spans="1:7" x14ac:dyDescent="0.25">
      <c r="A12593" s="50" t="s">
        <v>48</v>
      </c>
      <c r="B12593" s="68" t="str">
        <f>VLOOKUP(A12593,'[1]Componentes APUs'!$H$1:$L$25,2,0)</f>
        <v>Ayudante Calificado</v>
      </c>
      <c r="C12593" s="93">
        <v>1</v>
      </c>
      <c r="D12593" s="50">
        <f>VLOOKUP(A12593,'[1]Componentes APUs'!$H$1:$L$25,3,0)</f>
        <v>1.5</v>
      </c>
      <c r="E12593" s="51">
        <f>VLOOKUP(A12593,'[1]Componentes APUs'!$H$1:$L$25,4,0)</f>
        <v>115964.28571428571</v>
      </c>
      <c r="F12593" s="51">
        <f>VLOOKUP(A12593,'[1]Componentes APUs'!$H$1:$L$25,5,0)</f>
        <v>69578.57142857142</v>
      </c>
      <c r="G12593" s="51">
        <f>ROUNDUP((E12593+F12593)*C12593/E12580,0)</f>
        <v>371086</v>
      </c>
    </row>
    <row r="12594" spans="1:7" x14ac:dyDescent="0.25">
      <c r="A12594" s="50" t="s">
        <v>50</v>
      </c>
      <c r="B12594" s="68" t="str">
        <f>VLOOKUP(A12594,'[1]Componentes APUs'!$H$1:$L$25,2,0)</f>
        <v>Profesional en SST</v>
      </c>
      <c r="C12594" s="93">
        <v>0.25</v>
      </c>
      <c r="D12594" s="50">
        <f>VLOOKUP(A12594,'[1]Componentes APUs'!$H$1:$L$25,3,0)</f>
        <v>2.5</v>
      </c>
      <c r="E12594" s="51">
        <f>VLOOKUP(A12594,'[1]Componentes APUs'!$H$1:$L$25,4,0)</f>
        <v>169464.28571428571</v>
      </c>
      <c r="F12594" s="51">
        <f>VLOOKUP(A12594,'[1]Componentes APUs'!$H$1:$L$25,5,0)</f>
        <v>101678.57142857142</v>
      </c>
      <c r="G12594" s="51">
        <f>ROUNDUP((E12594+F12594)*C12594/E12580,0)</f>
        <v>135572</v>
      </c>
    </row>
    <row r="12595" spans="1:7" x14ac:dyDescent="0.25">
      <c r="A12595" s="50" t="s">
        <v>52</v>
      </c>
      <c r="B12595" s="68" t="str">
        <f>VLOOKUP(A12595,'[1]Componentes APUs'!$H$1:$L$25,2,0)</f>
        <v>Ayudante No Calificado</v>
      </c>
      <c r="C12595" s="93">
        <v>0</v>
      </c>
      <c r="D12595" s="50">
        <f>VLOOKUP(A12595,'[1]Componentes APUs'!$H$1:$L$25,3,0)</f>
        <v>1</v>
      </c>
      <c r="E12595" s="51">
        <f>VLOOKUP(A12595,'[1]Componentes APUs'!$H$1:$L$25,4,0)</f>
        <v>77309.523809523816</v>
      </c>
      <c r="F12595" s="51">
        <f>VLOOKUP(A12595,'[1]Componentes APUs'!$H$1:$L$25,5,0)</f>
        <v>46385.71428571429</v>
      </c>
      <c r="G12595" s="51">
        <f>ROUNDUP((E12595+F12595)*C12595/E12580,0)</f>
        <v>0</v>
      </c>
    </row>
    <row r="12596" spans="1:7" x14ac:dyDescent="0.25">
      <c r="A12596" s="50" t="s">
        <v>1121</v>
      </c>
      <c r="B12596" s="68" t="str">
        <f>VLOOKUP(A12596,'[1]Componentes APUs'!$H$1:$L$25,2,0)</f>
        <v>Ingeniero Especialista de Control y Protección Subestación</v>
      </c>
      <c r="C12596" s="93">
        <v>1</v>
      </c>
      <c r="D12596" s="50">
        <f>VLOOKUP(A12596,'[1]Componentes APUs'!$H$1:$L$25,3,0)</f>
        <v>14</v>
      </c>
      <c r="E12596" s="51">
        <f>VLOOKUP(A12596,'[1]Componentes APUs'!$H$1:$L$25,4,0)</f>
        <v>949000</v>
      </c>
      <c r="F12596" s="51">
        <f>VLOOKUP(A12596,'[1]Componentes APUs'!$H$1:$L$25,5,0)</f>
        <v>569400</v>
      </c>
      <c r="G12596" s="51">
        <f>ROUNDUP((E12596+F12596)*C12596/E12580,0)</f>
        <v>3036800</v>
      </c>
    </row>
    <row r="12597" spans="1:7" x14ac:dyDescent="0.25">
      <c r="A12597" s="219" t="s">
        <v>56</v>
      </c>
      <c r="B12597" s="219"/>
      <c r="C12597" s="219"/>
      <c r="D12597" s="219"/>
      <c r="E12597" s="219"/>
      <c r="F12597" s="219"/>
      <c r="G12597" s="52">
        <f>SUM(G12590:G12596)</f>
        <v>4379880</v>
      </c>
    </row>
    <row r="12598" spans="1:7" x14ac:dyDescent="0.25">
      <c r="A12598" s="56"/>
      <c r="B12598" s="57"/>
      <c r="C12598" s="57"/>
      <c r="D12598" s="57"/>
      <c r="E12598" s="57"/>
      <c r="F12598" s="57"/>
      <c r="G12598" s="58"/>
    </row>
    <row r="12599" spans="1:7" x14ac:dyDescent="0.25">
      <c r="A12599" s="219" t="s">
        <v>57</v>
      </c>
      <c r="B12599" s="219"/>
      <c r="C12599" s="219"/>
      <c r="D12599" s="219"/>
      <c r="E12599" s="219"/>
      <c r="F12599" s="219"/>
      <c r="G12599" s="219"/>
    </row>
    <row r="12600" spans="1:7" x14ac:dyDescent="0.25">
      <c r="A12600" s="49" t="s">
        <v>35</v>
      </c>
      <c r="B12600" s="219" t="s">
        <v>36</v>
      </c>
      <c r="C12600" s="219"/>
      <c r="D12600" s="49" t="s">
        <v>37</v>
      </c>
      <c r="E12600" s="49" t="s">
        <v>38</v>
      </c>
      <c r="F12600" s="49" t="s">
        <v>39</v>
      </c>
      <c r="G12600" s="49" t="s">
        <v>40</v>
      </c>
    </row>
    <row r="12601" spans="1:7" x14ac:dyDescent="0.25">
      <c r="A12601" s="50" t="s">
        <v>326</v>
      </c>
      <c r="B12601" s="220" t="str">
        <f>VLOOKUP(A12601,'[1]Componentes APUs'!$S$1:$V$10,2,0)</f>
        <v>Juego Llaves</v>
      </c>
      <c r="C12601" s="220"/>
      <c r="D12601" s="50" t="s">
        <v>18</v>
      </c>
      <c r="E12601" s="50">
        <v>2</v>
      </c>
      <c r="F12601" s="51">
        <f>VLOOKUP(A12601,'[1]Componentes APUs'!$S$1:$V$10,4,0)</f>
        <v>9167</v>
      </c>
      <c r="G12601" s="51">
        <f>ROUNDUP(F12601*((E12601/21)/E12580),0)</f>
        <v>1747</v>
      </c>
    </row>
    <row r="12602" spans="1:7" x14ac:dyDescent="0.25">
      <c r="A12602" s="50" t="s">
        <v>58</v>
      </c>
      <c r="B12602" s="220" t="str">
        <f>VLOOKUP(A12602,'[1]Componentes APUs'!$S$1:$V$10,2,0)</f>
        <v>Manila de servicio</v>
      </c>
      <c r="C12602" s="220"/>
      <c r="D12602" s="50" t="s">
        <v>18</v>
      </c>
      <c r="E12602" s="50">
        <v>2</v>
      </c>
      <c r="F12602" s="51">
        <f>VLOOKUP(A12602,'[1]Componentes APUs'!$S$1:$V$10,4,0)</f>
        <v>2333</v>
      </c>
      <c r="G12602" s="51">
        <f>ROUNDUP(F12602*((E12602/21)/E12580),0)</f>
        <v>445</v>
      </c>
    </row>
    <row r="12603" spans="1:7" x14ac:dyDescent="0.25">
      <c r="A12603" s="50" t="s">
        <v>327</v>
      </c>
      <c r="B12603" s="220" t="str">
        <f>VLOOKUP(A12603,'[1]Componentes APUs'!$S$1:$V$10,2,0)</f>
        <v>Tula portaherramientas</v>
      </c>
      <c r="C12603" s="220"/>
      <c r="D12603" s="50" t="s">
        <v>18</v>
      </c>
      <c r="E12603" s="50">
        <v>2</v>
      </c>
      <c r="F12603" s="51">
        <f>VLOOKUP(A12603,'[1]Componentes APUs'!$S$1:$V$10,4,0)</f>
        <v>1250</v>
      </c>
      <c r="G12603" s="51">
        <f>ROUNDUP(F12603*((E12603/21)/E12580),0)</f>
        <v>239</v>
      </c>
    </row>
    <row r="12604" spans="1:7" x14ac:dyDescent="0.25">
      <c r="A12604" s="50" t="s">
        <v>60</v>
      </c>
      <c r="B12604" s="220" t="str">
        <f>VLOOKUP(A12604,'[1]Componentes APUs'!$S$1:$V$10,2,0)</f>
        <v>Agarradoras</v>
      </c>
      <c r="C12604" s="220"/>
      <c r="D12604" s="50" t="s">
        <v>18</v>
      </c>
      <c r="E12604" s="50">
        <v>0</v>
      </c>
      <c r="F12604" s="51">
        <f>VLOOKUP(A12604,'[1]Componentes APUs'!$S$1:$V$10,4,0)</f>
        <v>125000</v>
      </c>
      <c r="G12604" s="51">
        <f>ROUNDUP(F12604*((E12604/21)/E12580),0)</f>
        <v>0</v>
      </c>
    </row>
    <row r="12605" spans="1:7" x14ac:dyDescent="0.25">
      <c r="A12605" s="50" t="s">
        <v>62</v>
      </c>
      <c r="B12605" s="220" t="str">
        <f>VLOOKUP(A12605,'[1]Componentes APUs'!$S$1:$V$10,2,0)</f>
        <v>Templadoras</v>
      </c>
      <c r="C12605" s="220"/>
      <c r="D12605" s="50" t="s">
        <v>18</v>
      </c>
      <c r="E12605" s="50">
        <v>0</v>
      </c>
      <c r="F12605" s="51">
        <f>VLOOKUP(A12605,'[1]Componentes APUs'!$S$1:$V$10,4,0)</f>
        <v>250000</v>
      </c>
      <c r="G12605" s="51">
        <f>ROUNDUP(F12605*((E12605/21)/E12580),0)</f>
        <v>0</v>
      </c>
    </row>
    <row r="12606" spans="1:7" x14ac:dyDescent="0.25">
      <c r="A12606" s="50" t="s">
        <v>328</v>
      </c>
      <c r="B12606" s="220" t="str">
        <f>VLOOKUP(A12606,'[1]Componentes APUs'!$S$1:$V$10,2,0)</f>
        <v>Herramienta Menor</v>
      </c>
      <c r="C12606" s="220"/>
      <c r="D12606" s="50" t="s">
        <v>18</v>
      </c>
      <c r="E12606" s="50">
        <v>2</v>
      </c>
      <c r="F12606" s="51">
        <f>VLOOKUP(A12606,'[1]Componentes APUs'!$S$1:$V$10,4,0)</f>
        <v>75758</v>
      </c>
      <c r="G12606" s="51">
        <f>ROUNDUP(F12606*((E12606/21)/E12580),0)</f>
        <v>14431</v>
      </c>
    </row>
    <row r="12607" spans="1:7" x14ac:dyDescent="0.25">
      <c r="A12607" s="219" t="s">
        <v>69</v>
      </c>
      <c r="B12607" s="219"/>
      <c r="C12607" s="219"/>
      <c r="D12607" s="219"/>
      <c r="E12607" s="219"/>
      <c r="F12607" s="219"/>
      <c r="G12607" s="52">
        <f>SUM(G12601:G12606)</f>
        <v>16862</v>
      </c>
    </row>
    <row r="12608" spans="1:7" x14ac:dyDescent="0.25">
      <c r="A12608" s="56"/>
      <c r="B12608" s="57"/>
      <c r="C12608" s="57"/>
      <c r="D12608" s="57"/>
      <c r="E12608" s="57"/>
      <c r="F12608" s="57"/>
      <c r="G12608" s="58"/>
    </row>
    <row r="12609" spans="1:7" x14ac:dyDescent="0.25">
      <c r="A12609" s="219" t="s">
        <v>70</v>
      </c>
      <c r="B12609" s="219"/>
      <c r="C12609" s="219"/>
      <c r="D12609" s="219"/>
      <c r="E12609" s="219"/>
      <c r="F12609" s="219"/>
      <c r="G12609" s="219"/>
    </row>
    <row r="12610" spans="1:7" x14ac:dyDescent="0.25">
      <c r="A12610" s="49" t="s">
        <v>35</v>
      </c>
      <c r="B12610" s="219" t="s">
        <v>36</v>
      </c>
      <c r="C12610" s="219"/>
      <c r="D12610" s="49" t="s">
        <v>37</v>
      </c>
      <c r="E12610" s="49" t="s">
        <v>38</v>
      </c>
      <c r="F12610" s="49" t="s">
        <v>39</v>
      </c>
      <c r="G12610" s="49" t="s">
        <v>40</v>
      </c>
    </row>
    <row r="12611" spans="1:7" x14ac:dyDescent="0.25">
      <c r="A12611" s="50" t="s">
        <v>71</v>
      </c>
      <c r="B12611" s="71" t="str">
        <f>VLOOKUP(A12611,'[1]Componentes APUs'!$A$1:$D$14,2,0)</f>
        <v>Camisa indigo sin partes metalicas</v>
      </c>
      <c r="C12611" s="71"/>
      <c r="D12611" s="50" t="str">
        <f>VLOOKUP(A12611,'[1]Componentes APUs'!$A$1:$D$14,3,0)</f>
        <v>U</v>
      </c>
      <c r="E12611" s="50">
        <f>SUM(C12590:C12596)</f>
        <v>3.75</v>
      </c>
      <c r="F12611" s="51">
        <f>VLOOKUP(A12611,'[1]Componentes APUs'!$A$1:$D$14,4,0)</f>
        <v>8585.8585858585866</v>
      </c>
      <c r="G12611" s="51">
        <f>ROUNDUP(F12611*(E12611/21)/E12580,0)</f>
        <v>3067</v>
      </c>
    </row>
    <row r="12612" spans="1:7" x14ac:dyDescent="0.25">
      <c r="A12612" s="69" t="s">
        <v>73</v>
      </c>
      <c r="B12612" s="72" t="str">
        <f>VLOOKUP(A12612,'[1]Componentes APUs'!$A$1:$D$14,2,0)</f>
        <v>Bota de seguridad dielectrica</v>
      </c>
      <c r="C12612" s="73"/>
      <c r="D12612" s="70" t="str">
        <f>VLOOKUP(A12612,'[1]Componentes APUs'!$A$1:$D$14,3,0)</f>
        <v>Par</v>
      </c>
      <c r="E12612" s="50">
        <f>SUM(C12590:C12596)</f>
        <v>3.75</v>
      </c>
      <c r="F12612" s="51">
        <f>VLOOKUP(A12612,'[1]Componentes APUs'!$A$1:$D$14,4,0)</f>
        <v>7500</v>
      </c>
      <c r="G12612" s="51">
        <f>ROUNDUP(F12612*(E12612/21)/E12580,0)</f>
        <v>2679</v>
      </c>
    </row>
    <row r="12613" spans="1:7" x14ac:dyDescent="0.25">
      <c r="A12613" s="50" t="s">
        <v>76</v>
      </c>
      <c r="B12613" s="72" t="str">
        <f>VLOOKUP(A12613,'[1]Componentes APUs'!$A$1:$D$14,2,0)</f>
        <v>Casco dielectrico Tipo 1 Clase E con barbuquejo</v>
      </c>
      <c r="C12613" s="73"/>
      <c r="D12613" s="50" t="str">
        <f>VLOOKUP(A12613,'[1]Componentes APUs'!$A$1:$D$14,3,0)</f>
        <v>U</v>
      </c>
      <c r="E12613" s="50">
        <f>C12596+C12591+C12594+C12595+C12590+C12593+IF(A12592&lt;&gt;"MO-3",C12592,0)</f>
        <v>2.75</v>
      </c>
      <c r="F12613" s="51">
        <f>VLOOKUP(A12613,'[1]Componentes APUs'!$A$1:$D$14,4,0)</f>
        <v>10101.010101010101</v>
      </c>
      <c r="G12613" s="51">
        <f>ROUNDUP(F12613*(E12613/21)/E12580,0)</f>
        <v>2646</v>
      </c>
    </row>
    <row r="12614" spans="1:7" x14ac:dyDescent="0.25">
      <c r="A12614" s="69" t="s">
        <v>77</v>
      </c>
      <c r="B12614" s="72" t="str">
        <f>VLOOKUP(A12614,'[1]Componentes APUs'!$A$1:$D$14,2,0)</f>
        <v>Correa plastica y antiflama</v>
      </c>
      <c r="C12614" s="73"/>
      <c r="D12614" s="50" t="str">
        <f>VLOOKUP(A12614,'[1]Componentes APUs'!$A$1:$D$14,3,0)</f>
        <v>U</v>
      </c>
      <c r="E12614" s="50">
        <f>SUM(C12590:C12596)</f>
        <v>3.75</v>
      </c>
      <c r="F12614" s="51">
        <f>VLOOKUP(A12614,'[1]Componentes APUs'!$A$1:$D$14,4,0)</f>
        <v>3787.878787878788</v>
      </c>
      <c r="G12614" s="51">
        <f>ROUNDUP(F12614*(E12614/21)/E12580,0)</f>
        <v>1353</v>
      </c>
    </row>
    <row r="12615" spans="1:7" x14ac:dyDescent="0.25">
      <c r="A12615" s="50" t="s">
        <v>79</v>
      </c>
      <c r="B12615" s="72" t="str">
        <f>VLOOKUP(A12615,'[1]Componentes APUs'!$A$1:$D$14,2,0)</f>
        <v>Gafas protectoras filtro UV</v>
      </c>
      <c r="C12615" s="73"/>
      <c r="D12615" s="50" t="str">
        <f>VLOOKUP(A12615,'[1]Componentes APUs'!$A$1:$D$14,3,0)</f>
        <v>U</v>
      </c>
      <c r="E12615" s="50">
        <f>SUM(C12590:C12596)</f>
        <v>3.75</v>
      </c>
      <c r="F12615" s="51">
        <f>VLOOKUP(A12615,'[1]Componentes APUs'!$A$1:$D$14,4,0)</f>
        <v>2777.7777777777778</v>
      </c>
      <c r="G12615" s="51">
        <f>ROUNDUP(F12615*(E12615/21)/E12580,0)</f>
        <v>993</v>
      </c>
    </row>
    <row r="12616" spans="1:7" x14ac:dyDescent="0.25">
      <c r="A12616" s="69" t="s">
        <v>402</v>
      </c>
      <c r="B12616" s="72" t="str">
        <f>VLOOKUP(A12616,'[1]Componentes APUs'!$A$1:$D$14,2,0)</f>
        <v>Bota de seguridad PVC dielectrica</v>
      </c>
      <c r="C12616" s="73"/>
      <c r="D12616" s="50" t="str">
        <f>VLOOKUP(A12616,'[1]Componentes APUs'!$A$1:$D$14,3,0)</f>
        <v>Par</v>
      </c>
      <c r="E12616" s="50">
        <f>SUM(C12590:C12596)</f>
        <v>3.75</v>
      </c>
      <c r="F12616" s="51">
        <f>VLOOKUP(A12616,'[1]Componentes APUs'!$A$1:$D$14,4,0)</f>
        <v>2916.6666666666665</v>
      </c>
      <c r="G12616" s="51">
        <f>ROUNDUP(F12616*(E12616/21)/E12580,0)</f>
        <v>1042</v>
      </c>
    </row>
    <row r="12617" spans="1:7" x14ac:dyDescent="0.25">
      <c r="A12617" s="50" t="s">
        <v>403</v>
      </c>
      <c r="B12617" s="72" t="str">
        <f>VLOOKUP(A12617,'[1]Componentes APUs'!$A$1:$D$14,2,0)</f>
        <v>Capuchon</v>
      </c>
      <c r="C12617" s="73"/>
      <c r="D12617" s="50" t="str">
        <f>VLOOKUP(A12617,'[1]Componentes APUs'!$A$1:$D$14,3,0)</f>
        <v>U</v>
      </c>
      <c r="E12617" s="50">
        <f>SUM(C12590:C12596)</f>
        <v>3.75</v>
      </c>
      <c r="F12617" s="51">
        <f>VLOOKUP(A12617,'[1]Componentes APUs'!$A$1:$D$14,4,0)</f>
        <v>2525.2525252525252</v>
      </c>
      <c r="G12617" s="51">
        <f>ROUNDUP(F12617*(E12617/21)/E12580,0)</f>
        <v>902</v>
      </c>
    </row>
    <row r="12618" spans="1:7" x14ac:dyDescent="0.25">
      <c r="A12618" s="69" t="s">
        <v>81</v>
      </c>
      <c r="B12618" s="72" t="str">
        <f>VLOOKUP(A12618,'[1]Componentes APUs'!$A$1:$D$14,2,0)</f>
        <v>Guantes Protectores  - ingeniero reforzados</v>
      </c>
      <c r="C12618" s="73"/>
      <c r="D12618" s="50" t="str">
        <f>VLOOKUP(A12618,'[1]Componentes APUs'!$A$1:$D$14,3,0)</f>
        <v>Par</v>
      </c>
      <c r="E12618" s="50">
        <f>C12592+C12593+C12595</f>
        <v>2</v>
      </c>
      <c r="F12618" s="51">
        <f>VLOOKUP(A12618,'[1]Componentes APUs'!$A$1:$D$14,4,0)</f>
        <v>2525.2525252525252</v>
      </c>
      <c r="G12618" s="51">
        <f>ROUNDUP(F12618*(E12618/21)/E12580,0)</f>
        <v>482</v>
      </c>
    </row>
    <row r="12619" spans="1:7" x14ac:dyDescent="0.25">
      <c r="A12619" s="50" t="s">
        <v>83</v>
      </c>
      <c r="B12619" s="72" t="str">
        <f>VLOOKUP(A12619,'[1]Componentes APUs'!$A$1:$D$14,2,0)</f>
        <v>Impermeable (pantalon camisa)</v>
      </c>
      <c r="C12619" s="73"/>
      <c r="D12619" s="50" t="str">
        <f>VLOOKUP(A12619,'[1]Componentes APUs'!$A$1:$D$14,3,0)</f>
        <v>U</v>
      </c>
      <c r="E12619" s="50">
        <f>SUM(C12590:C12596)</f>
        <v>3.75</v>
      </c>
      <c r="F12619" s="51">
        <f>VLOOKUP(A12619,'[1]Componentes APUs'!$A$1:$D$14,4,0)</f>
        <v>3750</v>
      </c>
      <c r="G12619" s="51">
        <f>ROUNDUP(F12619*(E12619/21)/E12580,0)</f>
        <v>1340</v>
      </c>
    </row>
    <row r="12620" spans="1:7" x14ac:dyDescent="0.25">
      <c r="A12620" s="69" t="s">
        <v>85</v>
      </c>
      <c r="B12620" s="72" t="str">
        <f>VLOOKUP(A12620,'[1]Componentes APUs'!$A$1:$D$14,2,0)</f>
        <v>Jean Dielectrico</v>
      </c>
      <c r="C12620" s="73"/>
      <c r="D12620" s="50" t="str">
        <f>VLOOKUP(A12620,'[1]Componentes APUs'!$A$1:$D$14,3,0)</f>
        <v>U</v>
      </c>
      <c r="E12620" s="50">
        <f>SUM(C12590:C12596)</f>
        <v>3.75</v>
      </c>
      <c r="F12620" s="51">
        <f>VLOOKUP(A12620,'[1]Componentes APUs'!$A$1:$D$14,4,0)</f>
        <v>7575.757575757576</v>
      </c>
      <c r="G12620" s="51">
        <f>ROUNDUP(F12620*(E12620/21)/E12580,0)</f>
        <v>2706</v>
      </c>
    </row>
    <row r="12621" spans="1:7" x14ac:dyDescent="0.25">
      <c r="A12621" s="50" t="s">
        <v>87</v>
      </c>
      <c r="B12621" s="72" t="str">
        <f>VLOOKUP(A12621,'[1]Componentes APUs'!$A$1:$D$14,2,0)</f>
        <v>Casco dielectrico Tipo 2 Clase E con barboquejo</v>
      </c>
      <c r="C12621" s="73"/>
      <c r="D12621" s="50" t="str">
        <f>VLOOKUP(A12621,'[1]Componentes APUs'!$A$1:$D$14,3,0)</f>
        <v>U</v>
      </c>
      <c r="E12621" s="53">
        <f>IF(A12592="MO-3",C12592,0)</f>
        <v>1</v>
      </c>
      <c r="F12621" s="51">
        <f>VLOOKUP(A12621,'[1]Componentes APUs'!$A$1:$D$14,4,0)</f>
        <v>7500</v>
      </c>
      <c r="G12621" s="51">
        <f>ROUNDUP(F12621*(E12621/21)/E12580,0)</f>
        <v>715</v>
      </c>
    </row>
    <row r="12622" spans="1:7" x14ac:dyDescent="0.25">
      <c r="A12622" s="69" t="s">
        <v>89</v>
      </c>
      <c r="B12622" s="72" t="str">
        <f>VLOOKUP(A12622,'[1]Componentes APUs'!$A$1:$D$14,2,0)</f>
        <v>Kit de rescate para trabajo en alturas</v>
      </c>
      <c r="C12622" s="73"/>
      <c r="D12622" s="50" t="str">
        <f>VLOOKUP(A12622,'[1]Componentes APUs'!$A$1:$D$14,3,0)</f>
        <v>U</v>
      </c>
      <c r="E12622" s="50">
        <f>IF(AND(A12592="MO-3",C12592=2),1,0)</f>
        <v>0</v>
      </c>
      <c r="F12622" s="51">
        <f>VLOOKUP(A12622,'[1]Componentes APUs'!$A$1:$D$14,4,0)</f>
        <v>37500</v>
      </c>
      <c r="G12622" s="51">
        <f>ROUNDUP(F12622*(E12622/21)/E12580,0)</f>
        <v>0</v>
      </c>
    </row>
    <row r="12623" spans="1:7" x14ac:dyDescent="0.25">
      <c r="A12623" s="50" t="s">
        <v>91</v>
      </c>
      <c r="B12623" s="72" t="str">
        <f>VLOOKUP(A12623,'[1]Componentes APUs'!$A$1:$D$14,2,0)</f>
        <v>Equipo completo para trabajo en alturas con pretales (Arnes dielectrico, 1 mosqueton de seguridad, tie off dielectrico, eslinga de posicionamiento, juego de pretales)</v>
      </c>
      <c r="C12623" s="73"/>
      <c r="D12623" s="50" t="str">
        <f>VLOOKUP(A12623,'[1]Componentes APUs'!$A$1:$D$14,3,0)</f>
        <v>U</v>
      </c>
      <c r="E12623" s="50">
        <f>IF(A12592="MO-3",C12592,0)</f>
        <v>1</v>
      </c>
      <c r="F12623" s="51">
        <f>VLOOKUP(A12623,'[1]Componentes APUs'!$A$1:$D$14,4,0)</f>
        <v>26041.666666666668</v>
      </c>
      <c r="G12623" s="51">
        <f>ROUNDUP(F12623*(E12623/21)/E12580,0)</f>
        <v>2481</v>
      </c>
    </row>
    <row r="12624" spans="1:7" x14ac:dyDescent="0.25">
      <c r="A12624" s="219" t="s">
        <v>95</v>
      </c>
      <c r="B12624" s="219"/>
      <c r="C12624" s="219"/>
      <c r="D12624" s="219"/>
      <c r="E12624" s="219"/>
      <c r="F12624" s="219"/>
      <c r="G12624" s="52">
        <f>SUM(G12611:G12623)</f>
        <v>20406</v>
      </c>
    </row>
    <row r="12625" spans="1:7" x14ac:dyDescent="0.25">
      <c r="A12625" s="56"/>
      <c r="B12625" s="57"/>
      <c r="C12625" s="57"/>
      <c r="D12625" s="57"/>
      <c r="E12625" s="57"/>
      <c r="F12625" s="57"/>
      <c r="G12625" s="58"/>
    </row>
    <row r="12626" spans="1:7" x14ac:dyDescent="0.25">
      <c r="A12626" s="219" t="s">
        <v>96</v>
      </c>
      <c r="B12626" s="219"/>
      <c r="C12626" s="219"/>
      <c r="D12626" s="219"/>
      <c r="E12626" s="219"/>
      <c r="F12626" s="219"/>
      <c r="G12626" s="219"/>
    </row>
    <row r="12627" spans="1:7" x14ac:dyDescent="0.25">
      <c r="A12627" s="49" t="s">
        <v>35</v>
      </c>
      <c r="B12627" s="225" t="s">
        <v>36</v>
      </c>
      <c r="C12627" s="225"/>
      <c r="D12627" s="49" t="s">
        <v>37</v>
      </c>
      <c r="E12627" s="49" t="s">
        <v>38</v>
      </c>
      <c r="F12627" s="49" t="s">
        <v>39</v>
      </c>
      <c r="G12627" s="49" t="s">
        <v>40</v>
      </c>
    </row>
    <row r="12628" spans="1:7" x14ac:dyDescent="0.25">
      <c r="A12628" s="69" t="s">
        <v>97</v>
      </c>
      <c r="B12628" s="72" t="str">
        <f>VLOOKUP(A12628,'[1]Componentes APUs'!$N$1:$Q$30,2,0)</f>
        <v>Camioneta</v>
      </c>
      <c r="C12628" s="73"/>
      <c r="D12628" s="70" t="str">
        <f>VLOOKUP(A12628,'[1]Componentes APUs'!$N$1:$Q$30,3,0)</f>
        <v>U</v>
      </c>
      <c r="E12628" s="50">
        <v>1</v>
      </c>
      <c r="F12628" s="51">
        <f>VLOOKUP(A12628,'[1]Componentes APUs'!$N$1:$Q$30,4,0)</f>
        <v>5500000</v>
      </c>
      <c r="G12628" s="51">
        <f>IFERROR(ROUNDUP(F12628*(E12628/21)/E12580,0),"-")</f>
        <v>523810</v>
      </c>
    </row>
    <row r="12629" spans="1:7" x14ac:dyDescent="0.25">
      <c r="A12629" s="50" t="s">
        <v>321</v>
      </c>
      <c r="B12629" s="72" t="str">
        <f>VLOOKUP(A12629,'[1]Componentes APUs'!$N$1:$Q$30,2,0)</f>
        <v>Grúa Hidráulica</v>
      </c>
      <c r="C12629" s="73"/>
      <c r="D12629" s="70" t="str">
        <f>VLOOKUP(A12629,'[1]Componentes APUs'!$N$1:$Q$30,3,0)</f>
        <v>U</v>
      </c>
      <c r="E12629" s="50">
        <v>0</v>
      </c>
      <c r="F12629" s="51">
        <f>VLOOKUP(A12629,'[1]Componentes APUs'!$N$1:$Q$30,4,0)</f>
        <v>21000000</v>
      </c>
      <c r="G12629" s="51">
        <f>IFERROR(ROUNDUP(F12629*(E12629/21)/E12580,0),"-")</f>
        <v>0</v>
      </c>
    </row>
    <row r="12630" spans="1:7" x14ac:dyDescent="0.25">
      <c r="A12630" s="69" t="s">
        <v>322</v>
      </c>
      <c r="B12630" s="72" t="str">
        <f>VLOOKUP(A12630,'[1]Componentes APUs'!$N$1:$Q$30,2,0)</f>
        <v>Camabaja</v>
      </c>
      <c r="C12630" s="73"/>
      <c r="D12630" s="70" t="str">
        <f>VLOOKUP(A12630,'[1]Componentes APUs'!$N$1:$Q$30,3,0)</f>
        <v>TON/KM</v>
      </c>
      <c r="E12630" s="50">
        <v>0</v>
      </c>
      <c r="F12630" s="51">
        <f>VLOOKUP(A12630,'[1]Componentes APUs'!$N$1:$Q$30,4,0)</f>
        <v>611</v>
      </c>
      <c r="G12630" s="51">
        <f>IFERROR(ROUNDUP(F12630*(E12630/21)/E12580,0),"-")</f>
        <v>0</v>
      </c>
    </row>
    <row r="12631" spans="1:7" x14ac:dyDescent="0.25">
      <c r="A12631" s="50" t="s">
        <v>323</v>
      </c>
      <c r="B12631" s="72" t="str">
        <f>VLOOKUP(A12631,'[1]Componentes APUs'!$N$1:$Q$30,2,0)</f>
        <v>Volqueta</v>
      </c>
      <c r="C12631" s="73"/>
      <c r="D12631" s="70" t="str">
        <f>VLOOKUP(A12631,'[1]Componentes APUs'!$N$1:$Q$30,3,0)</f>
        <v>U</v>
      </c>
      <c r="E12631" s="50">
        <v>0</v>
      </c>
      <c r="F12631" s="51">
        <f>VLOOKUP(A12631,'[1]Componentes APUs'!$N$1:$Q$30,4,0)</f>
        <v>18900000</v>
      </c>
      <c r="G12631" s="51">
        <f>IFERROR(ROUNDUP(F12631*(E12631/21)/E12580,0),"-")</f>
        <v>0</v>
      </c>
    </row>
    <row r="12632" spans="1:7" x14ac:dyDescent="0.25">
      <c r="A12632" s="69" t="s">
        <v>324</v>
      </c>
      <c r="B12632" s="72" t="str">
        <f>VLOOKUP(A12632,'[1]Componentes APUs'!$N$1:$Q$30,2,0)</f>
        <v>Retroexcavadora</v>
      </c>
      <c r="C12632" s="73"/>
      <c r="D12632" s="70" t="str">
        <f>VLOOKUP(A12632,'[1]Componentes APUs'!$N$1:$Q$30,3,0)</f>
        <v>U</v>
      </c>
      <c r="E12632" s="50">
        <v>0</v>
      </c>
      <c r="F12632" s="51">
        <f>VLOOKUP(A12632,'[1]Componentes APUs'!$N$1:$Q$30,4,0)</f>
        <v>1494459.54</v>
      </c>
      <c r="G12632" s="51">
        <f>IFERROR(ROUNDUP(F12632*(E12632/21)/E12580,0),"-")</f>
        <v>0</v>
      </c>
    </row>
    <row r="12633" spans="1:7" x14ac:dyDescent="0.25">
      <c r="A12633" s="219" t="s">
        <v>99</v>
      </c>
      <c r="B12633" s="219"/>
      <c r="C12633" s="219"/>
      <c r="D12633" s="219"/>
      <c r="E12633" s="219"/>
      <c r="F12633" s="219"/>
      <c r="G12633" s="52">
        <f>SUM(G12628:G12632)</f>
        <v>523810</v>
      </c>
    </row>
    <row r="12634" spans="1:7" x14ac:dyDescent="0.25">
      <c r="A12634" s="56"/>
      <c r="B12634" s="57"/>
      <c r="C12634" s="57"/>
      <c r="D12634" s="57"/>
      <c r="E12634" s="57"/>
      <c r="F12634" s="57"/>
      <c r="G12634" s="58"/>
    </row>
    <row r="12635" spans="1:7" x14ac:dyDescent="0.25">
      <c r="A12635" s="219" t="s">
        <v>1516</v>
      </c>
      <c r="B12635" s="219"/>
      <c r="C12635" s="219"/>
      <c r="D12635" s="219"/>
      <c r="E12635" s="219"/>
      <c r="F12635" s="219"/>
      <c r="G12635" s="52">
        <f>G12633+G12624+G12607+G12597+G12586</f>
        <v>53964912</v>
      </c>
    </row>
    <row r="12636" spans="1:7" x14ac:dyDescent="0.25">
      <c r="A12636" s="59"/>
      <c r="B12636" s="60"/>
      <c r="C12636" s="60"/>
      <c r="D12636" s="60"/>
      <c r="E12636" s="57"/>
      <c r="F12636" s="57"/>
      <c r="G12636" s="58"/>
    </row>
    <row r="12637" spans="1:7" x14ac:dyDescent="0.25">
      <c r="A12637" s="64"/>
      <c r="D12637" s="55"/>
      <c r="E12637" s="49" t="s">
        <v>25</v>
      </c>
      <c r="F12637" s="54">
        <v>0.15</v>
      </c>
      <c r="G12637" s="51">
        <f>G12635*F12637</f>
        <v>8094736.7999999998</v>
      </c>
    </row>
    <row r="12638" spans="1:7" x14ac:dyDescent="0.25">
      <c r="A12638" s="64"/>
      <c r="D12638" s="55"/>
      <c r="E12638" s="49" t="s">
        <v>26</v>
      </c>
      <c r="F12638" s="54">
        <v>0.05</v>
      </c>
      <c r="G12638" s="51">
        <f>G12635*F12638</f>
        <v>2698245.6</v>
      </c>
    </row>
    <row r="12639" spans="1:7" x14ac:dyDescent="0.25">
      <c r="A12639" s="61"/>
      <c r="B12639" s="65"/>
      <c r="C12639" s="65"/>
      <c r="D12639" s="62"/>
      <c r="E12639" s="49" t="s">
        <v>27</v>
      </c>
      <c r="F12639" s="54">
        <v>0.05</v>
      </c>
      <c r="G12639" s="51">
        <f>G12635*F12639</f>
        <v>2698245.6</v>
      </c>
    </row>
    <row r="12640" spans="1:7" x14ac:dyDescent="0.25">
      <c r="A12640" s="61"/>
      <c r="B12640" s="62"/>
      <c r="C12640" s="62"/>
      <c r="D12640" s="62"/>
      <c r="E12640" s="62"/>
      <c r="F12640" s="62"/>
      <c r="G12640" s="63"/>
    </row>
    <row r="12641" spans="1:7" x14ac:dyDescent="0.25">
      <c r="A12641" s="219" t="s">
        <v>1517</v>
      </c>
      <c r="B12641" s="219"/>
      <c r="C12641" s="219"/>
      <c r="D12641" s="219"/>
      <c r="E12641" s="219"/>
      <c r="F12641" s="219"/>
      <c r="G12641" s="52">
        <f>G12635+G12637+G12638+G12639</f>
        <v>67456140</v>
      </c>
    </row>
    <row r="12642" spans="1:7" x14ac:dyDescent="0.25">
      <c r="A12642" s="59"/>
      <c r="B12642" s="60"/>
      <c r="C12642" s="60"/>
      <c r="D12642" s="60"/>
      <c r="E12642" s="57"/>
      <c r="F12642" s="57"/>
      <c r="G12642" s="58"/>
    </row>
    <row r="12643" spans="1:7" x14ac:dyDescent="0.25">
      <c r="A12643" s="64"/>
      <c r="D12643" s="55"/>
      <c r="E12643" s="49" t="s">
        <v>102</v>
      </c>
      <c r="F12643" s="49" t="s">
        <v>103</v>
      </c>
      <c r="G12643" s="51">
        <f>G12639*19%</f>
        <v>512666.66400000005</v>
      </c>
    </row>
    <row r="12644" spans="1:7" x14ac:dyDescent="0.25">
      <c r="A12644" s="61"/>
      <c r="B12644" s="62"/>
      <c r="C12644" s="62"/>
      <c r="D12644" s="62"/>
      <c r="E12644" s="57"/>
      <c r="F12644" s="57"/>
      <c r="G12644" s="58"/>
    </row>
    <row r="12645" spans="1:7" x14ac:dyDescent="0.25">
      <c r="A12645" s="219" t="s">
        <v>104</v>
      </c>
      <c r="B12645" s="219"/>
      <c r="C12645" s="219"/>
      <c r="D12645" s="219"/>
      <c r="E12645" s="219"/>
      <c r="F12645" s="219"/>
      <c r="G12645" s="52">
        <f>G12643+G12641</f>
        <v>67968806.664000005</v>
      </c>
    </row>
    <row r="12647" spans="1:7" x14ac:dyDescent="0.25">
      <c r="A12647" s="74" t="s">
        <v>29</v>
      </c>
      <c r="B12647" s="226" t="s">
        <v>30</v>
      </c>
      <c r="C12647" s="226"/>
      <c r="D12647" s="74" t="s">
        <v>31</v>
      </c>
      <c r="E12647" s="74" t="s">
        <v>32</v>
      </c>
      <c r="F12647" s="74" t="s">
        <v>189</v>
      </c>
      <c r="G12647" s="74" t="s">
        <v>33</v>
      </c>
    </row>
    <row r="12648" spans="1:7" ht="45" customHeight="1" x14ac:dyDescent="0.25">
      <c r="A12648" s="50" t="str">
        <f>Presupuesto!B230</f>
        <v>037_N3</v>
      </c>
      <c r="B12648" s="220" t="str">
        <f>Presupuesto!C230</f>
        <v>SUMINISTRO E INSTALACIÓN DE CABLE CABLE 3X250 kcmil -  MV-105 XLPE – 35 kV – Cu – 133 % - Monopolar - Pantalla en Cinta de Cu FR-SR/PVC  INCLUYE TERMINALES PREMOLDEADOS</v>
      </c>
      <c r="C12648" s="220"/>
      <c r="D12648" s="50" t="s">
        <v>108</v>
      </c>
      <c r="E12648" s="93">
        <v>35</v>
      </c>
      <c r="F12648" s="50"/>
      <c r="G12648" s="51">
        <f>G12718</f>
        <v>1305508.2755</v>
      </c>
    </row>
    <row r="12649" spans="1:7" x14ac:dyDescent="0.25">
      <c r="A12649" s="219" t="s">
        <v>34</v>
      </c>
      <c r="B12649" s="219"/>
      <c r="C12649" s="219"/>
      <c r="D12649" s="219"/>
      <c r="E12649" s="219"/>
      <c r="F12649" s="219"/>
      <c r="G12649" s="219"/>
    </row>
    <row r="12650" spans="1:7" x14ac:dyDescent="0.25">
      <c r="A12650" s="49" t="s">
        <v>35</v>
      </c>
      <c r="B12650" s="219" t="s">
        <v>36</v>
      </c>
      <c r="C12650" s="219"/>
      <c r="D12650" s="49" t="s">
        <v>37</v>
      </c>
      <c r="E12650" s="49" t="s">
        <v>38</v>
      </c>
      <c r="F12650" s="49" t="s">
        <v>39</v>
      </c>
      <c r="G12650" s="49" t="s">
        <v>40</v>
      </c>
    </row>
    <row r="12651" spans="1:7" x14ac:dyDescent="0.25">
      <c r="A12651" s="17" t="str">
        <f>Material!A414</f>
        <v>MA-413</v>
      </c>
      <c r="B12651" s="72" t="str">
        <f>IFERROR(VLOOKUP(A12651,Material!$A:$H,2,0),"-")</f>
        <v>CABLE 250 KCMIL Cu XLPE 35KV</v>
      </c>
      <c r="C12651" s="73"/>
      <c r="D12651" s="50" t="str">
        <f>IFERROR(VLOOKUP(A12651,Material!$A:$H,4,0),"-")</f>
        <v>ML</v>
      </c>
      <c r="E12651" s="50">
        <v>3</v>
      </c>
      <c r="F12651" s="51">
        <f>IFERROR(VLOOKUP(A12651,Material!$A:$H,3,0),"-")</f>
        <v>314678.36399999994</v>
      </c>
      <c r="G12651" s="51">
        <f t="shared" ref="G12651:G12657" si="178">IFERROR(ROUNDUP(F12651*E12651,0),"-")</f>
        <v>944036</v>
      </c>
    </row>
    <row r="12652" spans="1:7" x14ac:dyDescent="0.25">
      <c r="A12652" s="17" t="str">
        <f>Material!A443</f>
        <v>MA-442</v>
      </c>
      <c r="B12652" s="72" t="str">
        <f>IFERROR(VLOOKUP(A12652,Material!$A:$H,2,0),"-")</f>
        <v>TERMINALES PREMOLDEADAS PARA 34 5 KV - USO EXTERIOR PARA CALIBRES DE CABLE ENTRE 1-0 - 250 KCM</v>
      </c>
      <c r="C12652" s="73"/>
      <c r="D12652" s="50" t="str">
        <f>IFERROR(VLOOKUP(A12652,Material!$A:$H,4,0),"-")</f>
        <v>UN</v>
      </c>
      <c r="E12652" s="96">
        <f>24/240</f>
        <v>0.1</v>
      </c>
      <c r="F12652" s="51">
        <f>IFERROR(VLOOKUP(A12652,Material!$A:$H,3,0),"-")</f>
        <v>527301.66666666674</v>
      </c>
      <c r="G12652" s="51">
        <f t="shared" si="178"/>
        <v>52731</v>
      </c>
    </row>
    <row r="12653" spans="1:7" x14ac:dyDescent="0.25">
      <c r="A12653" s="17"/>
      <c r="B12653" s="72" t="str">
        <f>IFERROR(VLOOKUP(A12653,Material!$A:$H,2,0),"-")</f>
        <v>-</v>
      </c>
      <c r="C12653" s="73"/>
      <c r="D12653" s="50" t="str">
        <f>IFERROR(VLOOKUP(A12653,Material!$A:$H,4,0),"-")</f>
        <v>-</v>
      </c>
      <c r="E12653" s="50"/>
      <c r="F12653" s="51" t="str">
        <f>IFERROR(VLOOKUP(A12653,Material!$A:$H,3,0),"-")</f>
        <v>-</v>
      </c>
      <c r="G12653" s="51" t="str">
        <f t="shared" si="178"/>
        <v>-</v>
      </c>
    </row>
    <row r="12654" spans="1:7" x14ac:dyDescent="0.25">
      <c r="A12654" s="17"/>
      <c r="B12654" s="72" t="str">
        <f>IFERROR(VLOOKUP(A12654,Material!$A:$H,2,0),"-")</f>
        <v>-</v>
      </c>
      <c r="C12654" s="73"/>
      <c r="D12654" s="50" t="str">
        <f>IFERROR(VLOOKUP(A12654,Material!$A:$H,4,0),"-")</f>
        <v>-</v>
      </c>
      <c r="E12654" s="50"/>
      <c r="F12654" s="51" t="str">
        <f>IFERROR(VLOOKUP(A12654,Material!$A:$H,3,0),"-")</f>
        <v>-</v>
      </c>
      <c r="G12654" s="51" t="str">
        <f t="shared" si="178"/>
        <v>-</v>
      </c>
    </row>
    <row r="12655" spans="1:7" x14ac:dyDescent="0.25">
      <c r="A12655" s="17"/>
      <c r="B12655" s="72" t="str">
        <f>IFERROR(VLOOKUP(A12655,Material!$A:$H,2,0),"-")</f>
        <v>-</v>
      </c>
      <c r="C12655" s="73"/>
      <c r="D12655" s="50" t="str">
        <f>IFERROR(VLOOKUP(A12655,Material!$A:$H,4,0),"-")</f>
        <v>-</v>
      </c>
      <c r="E12655" s="50"/>
      <c r="F12655" s="51" t="str">
        <f>IFERROR(VLOOKUP(A12655,Material!$A:$H,3,0),"-")</f>
        <v>-</v>
      </c>
      <c r="G12655" s="51" t="str">
        <f t="shared" si="178"/>
        <v>-</v>
      </c>
    </row>
    <row r="12656" spans="1:7" x14ac:dyDescent="0.25">
      <c r="A12656" s="50"/>
      <c r="B12656" s="75" t="str">
        <f>IFERROR(VLOOKUP(A12656,Material!$A:$H,2,0),"-")</f>
        <v>-</v>
      </c>
      <c r="C12656" s="76"/>
      <c r="D12656" s="50" t="str">
        <f>IFERROR(VLOOKUP(A12656,Material!$A:$H,4,0),"-")</f>
        <v>-</v>
      </c>
      <c r="E12656" s="50"/>
      <c r="F12656" s="51" t="str">
        <f>IFERROR(VLOOKUP(A12656,Material!$A:$H,3,0),"-")</f>
        <v>-</v>
      </c>
      <c r="G12656" s="51" t="str">
        <f t="shared" si="178"/>
        <v>-</v>
      </c>
    </row>
    <row r="12657" spans="1:7" x14ac:dyDescent="0.25">
      <c r="A12657" s="50"/>
      <c r="B12657" s="75" t="str">
        <f>IFERROR(VLOOKUP(A12657,Material!$A:$H,2,0),"-")</f>
        <v>-</v>
      </c>
      <c r="C12657" s="76"/>
      <c r="D12657" s="50" t="str">
        <f>IFERROR(VLOOKUP(A12657,Material!$A:$H,4,0),"-")</f>
        <v>-</v>
      </c>
      <c r="E12657" s="50"/>
      <c r="F12657" s="51" t="str">
        <f>IFERROR(VLOOKUP(A12657,Material!$A:$H,3,0),"-")</f>
        <v>-</v>
      </c>
      <c r="G12657" s="51" t="str">
        <f t="shared" si="178"/>
        <v>-</v>
      </c>
    </row>
    <row r="12658" spans="1:7" x14ac:dyDescent="0.25">
      <c r="A12658" s="219" t="s">
        <v>41</v>
      </c>
      <c r="B12658" s="219"/>
      <c r="C12658" s="219"/>
      <c r="D12658" s="219"/>
      <c r="E12658" s="219"/>
      <c r="F12658" s="219"/>
      <c r="G12658" s="52">
        <f>SUM(G12651:G12657)</f>
        <v>996767</v>
      </c>
    </row>
    <row r="12659" spans="1:7" x14ac:dyDescent="0.25">
      <c r="A12659" s="56"/>
      <c r="B12659" s="57"/>
      <c r="C12659" s="57"/>
      <c r="D12659" s="57"/>
      <c r="E12659" s="57"/>
      <c r="F12659" s="57"/>
      <c r="G12659" s="58"/>
    </row>
    <row r="12660" spans="1:7" x14ac:dyDescent="0.25">
      <c r="A12660" s="219" t="s">
        <v>42</v>
      </c>
      <c r="B12660" s="219"/>
      <c r="C12660" s="219"/>
      <c r="D12660" s="219"/>
      <c r="E12660" s="219"/>
      <c r="F12660" s="219"/>
      <c r="G12660" s="219"/>
    </row>
    <row r="12661" spans="1:7" x14ac:dyDescent="0.25">
      <c r="A12661" s="49" t="s">
        <v>35</v>
      </c>
      <c r="B12661" s="49" t="s">
        <v>36</v>
      </c>
      <c r="C12661" s="49" t="s">
        <v>38</v>
      </c>
      <c r="D12661" s="49" t="s">
        <v>43</v>
      </c>
      <c r="E12661" s="49" t="s">
        <v>44</v>
      </c>
      <c r="F12661" s="49" t="s">
        <v>45</v>
      </c>
      <c r="G12661" s="49" t="s">
        <v>40</v>
      </c>
    </row>
    <row r="12662" spans="1:7" x14ac:dyDescent="0.25">
      <c r="A12662" s="50" t="s">
        <v>319</v>
      </c>
      <c r="B12662" s="68" t="str">
        <f>VLOOKUP(A12662,'Componentes APUs'!$H$1:$L$25,2,0)</f>
        <v>Ingeniero Residente de Obra</v>
      </c>
      <c r="C12662" s="93">
        <v>0.25</v>
      </c>
      <c r="D12662" s="50">
        <f>VLOOKUP(A12662,'Componentes APUs'!$H$1:$L$25,3,0)</f>
        <v>4</v>
      </c>
      <c r="E12662" s="51">
        <f>VLOOKUP(A12662,'Componentes APUs'!$H$1:$L$25,4,0)</f>
        <v>271142.85714285716</v>
      </c>
      <c r="F12662" s="51">
        <f>VLOOKUP(A12662,'Componentes APUs'!$H$1:$L$25,5,0)</f>
        <v>162685.71428571429</v>
      </c>
      <c r="G12662" s="51">
        <f>ROUNDUP((E12662+F12662)*C12662/E12648,0)</f>
        <v>3099</v>
      </c>
    </row>
    <row r="12663" spans="1:7" x14ac:dyDescent="0.25">
      <c r="A12663" s="50" t="s">
        <v>320</v>
      </c>
      <c r="B12663" s="68" t="str">
        <f>VLOOKUP(A12663,'Componentes APUs'!$H$1:$L$25,2,0)</f>
        <v>Tecnico Supervisor</v>
      </c>
      <c r="C12663" s="93">
        <v>0.25</v>
      </c>
      <c r="D12663" s="50">
        <f>VLOOKUP(A12663,'Componentes APUs'!$H$1:$L$25,3,0)</f>
        <v>2.2999999999999998</v>
      </c>
      <c r="E12663" s="51">
        <f>VLOOKUP(A12663,'Componentes APUs'!$H$1:$L$25,4,0)</f>
        <v>155907.14285714284</v>
      </c>
      <c r="F12663" s="51">
        <f>VLOOKUP(A12663,'Componentes APUs'!$H$1:$L$25,5,0)</f>
        <v>93544.285714285696</v>
      </c>
      <c r="G12663" s="51">
        <f>ROUNDUP((E12663+F12663)*C12663/E12648,0)</f>
        <v>1782</v>
      </c>
    </row>
    <row r="12664" spans="1:7" x14ac:dyDescent="0.25">
      <c r="A12664" s="50" t="s">
        <v>46</v>
      </c>
      <c r="B12664" s="68" t="str">
        <f>VLOOKUP(A12664,'Componentes APUs'!$H$1:$L$25,2,0)</f>
        <v>Tecnico Liniero</v>
      </c>
      <c r="C12664" s="93">
        <v>2</v>
      </c>
      <c r="D12664" s="50">
        <f>VLOOKUP(A12664,'Componentes APUs'!$H$1:$L$25,3,0)</f>
        <v>2</v>
      </c>
      <c r="E12664" s="51">
        <f>VLOOKUP(A12664,'Componentes APUs'!$H$1:$L$25,4,0)</f>
        <v>154619.04761904763</v>
      </c>
      <c r="F12664" s="51">
        <f>VLOOKUP(A12664,'Componentes APUs'!$H$1:$L$25,5,0)</f>
        <v>92771.42857142858</v>
      </c>
      <c r="G12664" s="51">
        <f>ROUNDUP((E12664+F12664)*C12664/E12648,0)</f>
        <v>14137</v>
      </c>
    </row>
    <row r="12665" spans="1:7" x14ac:dyDescent="0.25">
      <c r="A12665" s="50" t="s">
        <v>48</v>
      </c>
      <c r="B12665" s="68" t="str">
        <f>VLOOKUP(A12665,'Componentes APUs'!$H$1:$L$25,2,0)</f>
        <v>Ayudante Calificado</v>
      </c>
      <c r="C12665" s="93">
        <v>2</v>
      </c>
      <c r="D12665" s="50">
        <f>VLOOKUP(A12665,'Componentes APUs'!$H$1:$L$25,3,0)</f>
        <v>1.5</v>
      </c>
      <c r="E12665" s="51">
        <f>VLOOKUP(A12665,'Componentes APUs'!$H$1:$L$25,4,0)</f>
        <v>115964.28571428571</v>
      </c>
      <c r="F12665" s="51">
        <f>VLOOKUP(A12665,'Componentes APUs'!$H$1:$L$25,5,0)</f>
        <v>69578.57142857142</v>
      </c>
      <c r="G12665" s="51">
        <f>ROUNDUP((E12665+F12665)*C12665/E12648,0)</f>
        <v>10603</v>
      </c>
    </row>
    <row r="12666" spans="1:7" x14ac:dyDescent="0.25">
      <c r="A12666" s="50" t="s">
        <v>50</v>
      </c>
      <c r="B12666" s="68" t="str">
        <f>VLOOKUP(A12666,'Componentes APUs'!$H$1:$L$25,2,0)</f>
        <v>Profesional en SST</v>
      </c>
      <c r="C12666" s="93">
        <v>0.25</v>
      </c>
      <c r="D12666" s="50">
        <f>VLOOKUP(A12666,'Componentes APUs'!$H$1:$L$25,3,0)</f>
        <v>2.5</v>
      </c>
      <c r="E12666" s="51">
        <f>VLOOKUP(A12666,'Componentes APUs'!$H$1:$L$25,4,0)</f>
        <v>169464.28571428571</v>
      </c>
      <c r="F12666" s="51">
        <f>VLOOKUP(A12666,'Componentes APUs'!$H$1:$L$25,5,0)</f>
        <v>101678.57142857142</v>
      </c>
      <c r="G12666" s="51">
        <f>ROUNDUP((E12666+F12666)*C12666/E12648,0)</f>
        <v>1937</v>
      </c>
    </row>
    <row r="12667" spans="1:7" x14ac:dyDescent="0.25">
      <c r="A12667" s="50" t="s">
        <v>52</v>
      </c>
      <c r="B12667" s="68" t="str">
        <f>VLOOKUP(A12667,'Componentes APUs'!$H$1:$L$25,2,0)</f>
        <v>Ayudante No Calificado</v>
      </c>
      <c r="C12667" s="93">
        <v>0</v>
      </c>
      <c r="D12667" s="50">
        <f>VLOOKUP(A12667,'Componentes APUs'!$H$1:$L$25,3,0)</f>
        <v>1</v>
      </c>
      <c r="E12667" s="51">
        <f>VLOOKUP(A12667,'Componentes APUs'!$H$1:$L$25,4,0)</f>
        <v>77309.523809523816</v>
      </c>
      <c r="F12667" s="51">
        <f>VLOOKUP(A12667,'Componentes APUs'!$H$1:$L$25,5,0)</f>
        <v>46385.71428571429</v>
      </c>
      <c r="G12667" s="51">
        <f>ROUNDUP((E12667+F12667)*C12667/E12648,0)</f>
        <v>0</v>
      </c>
    </row>
    <row r="12668" spans="1:7" x14ac:dyDescent="0.25">
      <c r="A12668" s="50" t="s">
        <v>54</v>
      </c>
      <c r="B12668" s="68" t="str">
        <f>VLOOKUP(A12668,'Componentes APUs'!$H$1:$L$25,2,0)</f>
        <v>Maestro de obra civil</v>
      </c>
      <c r="C12668" s="93">
        <v>0</v>
      </c>
      <c r="D12668" s="50">
        <f>VLOOKUP(A12668,'Componentes APUs'!$H$1:$L$25,3,0)</f>
        <v>2.5</v>
      </c>
      <c r="E12668" s="51">
        <f>VLOOKUP(A12668,'Componentes APUs'!$H$1:$L$25,4,0)</f>
        <v>169464.28571428571</v>
      </c>
      <c r="F12668" s="51">
        <f>VLOOKUP(A12668,'Componentes APUs'!$H$1:$L$25,5,0)</f>
        <v>101678.57142857142</v>
      </c>
      <c r="G12668" s="51">
        <f>ROUNDUP((E12668+F12668)*C12668/E12648,0)</f>
        <v>0</v>
      </c>
    </row>
    <row r="12669" spans="1:7" x14ac:dyDescent="0.25">
      <c r="A12669" s="50" t="s">
        <v>1116</v>
      </c>
      <c r="B12669" s="68" t="str">
        <f>VLOOKUP(A12669,'Componentes APUs'!$H$1:$L$25,2,0)</f>
        <v>Ingeniero Civil Residente de Obra</v>
      </c>
      <c r="C12669" s="93">
        <v>0</v>
      </c>
      <c r="D12669" s="50">
        <f>VLOOKUP(A12669,'Componentes APUs'!$H$1:$L$25,3,0)</f>
        <v>3</v>
      </c>
      <c r="E12669" s="51">
        <f>VLOOKUP(A12669,'Componentes APUs'!$H$1:$L$25,4,0)</f>
        <v>203357.14285714287</v>
      </c>
      <c r="F12669" s="51">
        <f>VLOOKUP(A12669,'Componentes APUs'!$H$1:$L$25,5,0)</f>
        <v>122014.28571428571</v>
      </c>
      <c r="G12669" s="51">
        <f>ROUNDUP((E12669+F12669)*C12669/E12648,0)</f>
        <v>0</v>
      </c>
    </row>
    <row r="12670" spans="1:7" x14ac:dyDescent="0.25">
      <c r="A12670" s="219" t="s">
        <v>56</v>
      </c>
      <c r="B12670" s="219"/>
      <c r="C12670" s="219"/>
      <c r="D12670" s="219"/>
      <c r="E12670" s="219"/>
      <c r="F12670" s="219"/>
      <c r="G12670" s="52">
        <f>SUM(G12662:G12669)</f>
        <v>31558</v>
      </c>
    </row>
    <row r="12671" spans="1:7" x14ac:dyDescent="0.25">
      <c r="A12671" s="56"/>
      <c r="B12671" s="57"/>
      <c r="C12671" s="57"/>
      <c r="D12671" s="57"/>
      <c r="E12671" s="57"/>
      <c r="F12671" s="57"/>
      <c r="G12671" s="58"/>
    </row>
    <row r="12672" spans="1:7" x14ac:dyDescent="0.25">
      <c r="A12672" s="219" t="s">
        <v>57</v>
      </c>
      <c r="B12672" s="219"/>
      <c r="C12672" s="219"/>
      <c r="D12672" s="219"/>
      <c r="E12672" s="219"/>
      <c r="F12672" s="219"/>
      <c r="G12672" s="219"/>
    </row>
    <row r="12673" spans="1:7" x14ac:dyDescent="0.25">
      <c r="A12673" s="49" t="s">
        <v>35</v>
      </c>
      <c r="B12673" s="219" t="s">
        <v>36</v>
      </c>
      <c r="C12673" s="219"/>
      <c r="D12673" s="49" t="s">
        <v>37</v>
      </c>
      <c r="E12673" s="49" t="s">
        <v>38</v>
      </c>
      <c r="F12673" s="49" t="s">
        <v>39</v>
      </c>
      <c r="G12673" s="49" t="s">
        <v>40</v>
      </c>
    </row>
    <row r="12674" spans="1:7" x14ac:dyDescent="0.25">
      <c r="A12674" s="50" t="s">
        <v>326</v>
      </c>
      <c r="B12674" s="220" t="str">
        <f>VLOOKUP(A12674,'Componentes APUs'!$S$1:$V$10,2,0)</f>
        <v>Juego Llaves</v>
      </c>
      <c r="C12674" s="220"/>
      <c r="D12674" s="50" t="s">
        <v>18</v>
      </c>
      <c r="E12674" s="50">
        <v>2</v>
      </c>
      <c r="F12674" s="51">
        <f>VLOOKUP(A12674,'Componentes APUs'!$S$1:$V$10,4,0)</f>
        <v>9167</v>
      </c>
      <c r="G12674" s="51">
        <f>ROUNDUP(F12674*((E12674/21)/E12648),0)</f>
        <v>25</v>
      </c>
    </row>
    <row r="12675" spans="1:7" x14ac:dyDescent="0.25">
      <c r="A12675" s="50" t="s">
        <v>58</v>
      </c>
      <c r="B12675" s="220" t="str">
        <f>VLOOKUP(A12675,'Componentes APUs'!$S$1:$V$10,2,0)</f>
        <v>Manila de servicio</v>
      </c>
      <c r="C12675" s="220"/>
      <c r="D12675" s="50" t="s">
        <v>18</v>
      </c>
      <c r="E12675" s="50">
        <v>2</v>
      </c>
      <c r="F12675" s="51">
        <f>VLOOKUP(A12675,'Componentes APUs'!$S$1:$V$10,4,0)</f>
        <v>2333</v>
      </c>
      <c r="G12675" s="51">
        <f>ROUNDUP(F12675*((E12675/21)/E12648),0)</f>
        <v>7</v>
      </c>
    </row>
    <row r="12676" spans="1:7" x14ac:dyDescent="0.25">
      <c r="A12676" s="50" t="s">
        <v>327</v>
      </c>
      <c r="B12676" s="220" t="str">
        <f>VLOOKUP(A12676,'Componentes APUs'!$S$1:$V$10,2,0)</f>
        <v>Tula portaherramientas</v>
      </c>
      <c r="C12676" s="220"/>
      <c r="D12676" s="50" t="s">
        <v>18</v>
      </c>
      <c r="E12676" s="50">
        <v>2</v>
      </c>
      <c r="F12676" s="51">
        <f>VLOOKUP(A12676,'Componentes APUs'!$S$1:$V$10,4,0)</f>
        <v>1250</v>
      </c>
      <c r="G12676" s="51">
        <f>ROUNDUP(F12676*((E12676/21)/E12648),0)</f>
        <v>4</v>
      </c>
    </row>
    <row r="12677" spans="1:7" x14ac:dyDescent="0.25">
      <c r="A12677" s="50" t="s">
        <v>60</v>
      </c>
      <c r="B12677" s="220" t="str">
        <f>VLOOKUP(A12677,'Componentes APUs'!$S$1:$V$10,2,0)</f>
        <v>Agarradoras</v>
      </c>
      <c r="C12677" s="220"/>
      <c r="D12677" s="50" t="s">
        <v>18</v>
      </c>
      <c r="E12677" s="50">
        <v>0</v>
      </c>
      <c r="F12677" s="51">
        <f>VLOOKUP(A12677,'Componentes APUs'!$S$1:$V$10,4,0)</f>
        <v>125000</v>
      </c>
      <c r="G12677" s="51">
        <f>ROUNDUP(F12677*((E12677/21)/E12648),0)</f>
        <v>0</v>
      </c>
    </row>
    <row r="12678" spans="1:7" x14ac:dyDescent="0.25">
      <c r="A12678" s="50" t="s">
        <v>62</v>
      </c>
      <c r="B12678" s="220" t="str">
        <f>VLOOKUP(A12678,'Componentes APUs'!$S$1:$V$10,2,0)</f>
        <v>Templadoras</v>
      </c>
      <c r="C12678" s="220"/>
      <c r="D12678" s="50" t="s">
        <v>18</v>
      </c>
      <c r="E12678" s="50">
        <v>0</v>
      </c>
      <c r="F12678" s="51">
        <f>VLOOKUP(A12678,'Componentes APUs'!$S$1:$V$10,4,0)</f>
        <v>250000</v>
      </c>
      <c r="G12678" s="51">
        <f>ROUNDUP(F12678*((E12678/21)/E12648),0)</f>
        <v>0</v>
      </c>
    </row>
    <row r="12679" spans="1:7" x14ac:dyDescent="0.25">
      <c r="A12679" s="50" t="s">
        <v>328</v>
      </c>
      <c r="B12679" s="220" t="str">
        <f>VLOOKUP(A12679,'Componentes APUs'!$S$1:$V$10,2,0)</f>
        <v>Herramienta Menor</v>
      </c>
      <c r="C12679" s="220"/>
      <c r="D12679" s="50" t="s">
        <v>18</v>
      </c>
      <c r="E12679" s="50">
        <v>2</v>
      </c>
      <c r="F12679" s="51">
        <f>VLOOKUP(A12679,'Componentes APUs'!$S$1:$V$10,4,0)</f>
        <v>75758</v>
      </c>
      <c r="G12679" s="51">
        <f>ROUNDUP(F12679*((E12679/21)/E12648),0)</f>
        <v>207</v>
      </c>
    </row>
    <row r="12680" spans="1:7" x14ac:dyDescent="0.25">
      <c r="A12680" s="219" t="s">
        <v>69</v>
      </c>
      <c r="B12680" s="219"/>
      <c r="C12680" s="219"/>
      <c r="D12680" s="219"/>
      <c r="E12680" s="219"/>
      <c r="F12680" s="219"/>
      <c r="G12680" s="52">
        <f>SUM(G12674:G12679)</f>
        <v>243</v>
      </c>
    </row>
    <row r="12681" spans="1:7" x14ac:dyDescent="0.25">
      <c r="A12681" s="56"/>
      <c r="B12681" s="57"/>
      <c r="C12681" s="57"/>
      <c r="D12681" s="57"/>
      <c r="E12681" s="57"/>
      <c r="F12681" s="57"/>
      <c r="G12681" s="58"/>
    </row>
    <row r="12682" spans="1:7" x14ac:dyDescent="0.25">
      <c r="A12682" s="219" t="s">
        <v>70</v>
      </c>
      <c r="B12682" s="219"/>
      <c r="C12682" s="219"/>
      <c r="D12682" s="219"/>
      <c r="E12682" s="219"/>
      <c r="F12682" s="219"/>
      <c r="G12682" s="219"/>
    </row>
    <row r="12683" spans="1:7" x14ac:dyDescent="0.25">
      <c r="A12683" s="49" t="s">
        <v>35</v>
      </c>
      <c r="B12683" s="219" t="s">
        <v>36</v>
      </c>
      <c r="C12683" s="219"/>
      <c r="D12683" s="49" t="s">
        <v>37</v>
      </c>
      <c r="E12683" s="49" t="s">
        <v>38</v>
      </c>
      <c r="F12683" s="49" t="s">
        <v>39</v>
      </c>
      <c r="G12683" s="49" t="s">
        <v>40</v>
      </c>
    </row>
    <row r="12684" spans="1:7" x14ac:dyDescent="0.25">
      <c r="A12684" s="50" t="s">
        <v>71</v>
      </c>
      <c r="B12684" s="72" t="str">
        <f>VLOOKUP(A12684,'Componentes APUs'!$A$1:$D$14,2,0)</f>
        <v>Camisa indigo sin partes metalicas</v>
      </c>
      <c r="C12684" s="73"/>
      <c r="D12684" s="50" t="str">
        <f>VLOOKUP(A12684,'Componentes APUs'!$A$1:$D$14,3,0)</f>
        <v>U</v>
      </c>
      <c r="E12684" s="50">
        <f>SUM(C12662:C12669)</f>
        <v>4.75</v>
      </c>
      <c r="F12684" s="51">
        <f>VLOOKUP(A12684,'Componentes APUs'!$A$1:$D$14,4,0)</f>
        <v>8585.8585858585866</v>
      </c>
      <c r="G12684" s="51">
        <f>ROUNDUP(F12684*(E12684/21)/E12648,0)</f>
        <v>56</v>
      </c>
    </row>
    <row r="12685" spans="1:7" x14ac:dyDescent="0.25">
      <c r="A12685" s="69" t="s">
        <v>73</v>
      </c>
      <c r="B12685" s="72" t="str">
        <f>VLOOKUP(A12685,'Componentes APUs'!$A$1:$D$14,2,0)</f>
        <v>Bota de seguridad dielectrica</v>
      </c>
      <c r="C12685" s="73"/>
      <c r="D12685" s="70" t="str">
        <f>VLOOKUP(A12685,'Componentes APUs'!$A$1:$D$14,3,0)</f>
        <v>Par</v>
      </c>
      <c r="E12685" s="50">
        <f>SUM(C12662:C12669)</f>
        <v>4.75</v>
      </c>
      <c r="F12685" s="51">
        <f>VLOOKUP(A12685,'Componentes APUs'!$A$1:$D$14,4,0)</f>
        <v>7500</v>
      </c>
      <c r="G12685" s="51">
        <f>ROUNDUP(F12685*(E12685/21)/E12648,0)</f>
        <v>49</v>
      </c>
    </row>
    <row r="12686" spans="1:7" x14ac:dyDescent="0.25">
      <c r="A12686" s="50" t="s">
        <v>76</v>
      </c>
      <c r="B12686" s="72" t="str">
        <f>VLOOKUP(A12686,'Componentes APUs'!$A$1:$D$14,2,0)</f>
        <v>Casco dielectrico Tipo 1 Clase E con barbuquejo</v>
      </c>
      <c r="C12686" s="73"/>
      <c r="D12686" s="50" t="str">
        <f>VLOOKUP(A12686,'Componentes APUs'!$A$1:$D$14,3,0)</f>
        <v>U</v>
      </c>
      <c r="E12686" s="50">
        <f>C12662+C12663+C12664+C12665+C12667+C12668+C12669+IF(A12664&lt;&gt;"MO-3",C12664,0)</f>
        <v>4.5</v>
      </c>
      <c r="F12686" s="51">
        <f>VLOOKUP(A12686,'Componentes APUs'!$A$1:$D$14,4,0)</f>
        <v>10101.010101010101</v>
      </c>
      <c r="G12686" s="51">
        <f>ROUNDUP(F12686*(E12686/21)/E12648,0)</f>
        <v>62</v>
      </c>
    </row>
    <row r="12687" spans="1:7" x14ac:dyDescent="0.25">
      <c r="A12687" s="69" t="s">
        <v>77</v>
      </c>
      <c r="B12687" s="72" t="str">
        <f>VLOOKUP(A12687,'Componentes APUs'!$A$1:$D$14,2,0)</f>
        <v>Correa plastica y antiflama</v>
      </c>
      <c r="C12687" s="73"/>
      <c r="D12687" s="50" t="str">
        <f>VLOOKUP(A12687,'Componentes APUs'!$A$1:$D$14,3,0)</f>
        <v>U</v>
      </c>
      <c r="E12687" s="50">
        <f>SUM(C12662:C12669)</f>
        <v>4.75</v>
      </c>
      <c r="F12687" s="51">
        <f>VLOOKUP(A12687,'Componentes APUs'!$A$1:$D$14,4,0)</f>
        <v>3787.878787878788</v>
      </c>
      <c r="G12687" s="51">
        <f>ROUNDUP(F12687*(E12687/21)/E12648,0)</f>
        <v>25</v>
      </c>
    </row>
    <row r="12688" spans="1:7" x14ac:dyDescent="0.25">
      <c r="A12688" s="50" t="s">
        <v>79</v>
      </c>
      <c r="B12688" s="72" t="str">
        <f>VLOOKUP(A12688,'Componentes APUs'!$A$1:$D$14,2,0)</f>
        <v>Gafas protectoras filtro UV</v>
      </c>
      <c r="C12688" s="73"/>
      <c r="D12688" s="50" t="str">
        <f>VLOOKUP(A12688,'Componentes APUs'!$A$1:$D$14,3,0)</f>
        <v>U</v>
      </c>
      <c r="E12688" s="50">
        <f>SUM(C12662:C12669)</f>
        <v>4.75</v>
      </c>
      <c r="F12688" s="51">
        <f>VLOOKUP(A12688,'Componentes APUs'!$A$1:$D$14,4,0)</f>
        <v>2777.7777777777778</v>
      </c>
      <c r="G12688" s="51">
        <f>ROUNDUP(F12688*(E12688/21)/E12648,0)</f>
        <v>18</v>
      </c>
    </row>
    <row r="12689" spans="1:7" x14ac:dyDescent="0.25">
      <c r="A12689" s="69" t="s">
        <v>402</v>
      </c>
      <c r="B12689" s="72" t="str">
        <f>VLOOKUP(A12689,'Componentes APUs'!$A$1:$D$14,2,0)</f>
        <v>Bota de seguridad PVC dielectrica</v>
      </c>
      <c r="C12689" s="73"/>
      <c r="D12689" s="50" t="str">
        <f>VLOOKUP(A12689,'Componentes APUs'!$A$1:$D$14,3,0)</f>
        <v>Par</v>
      </c>
      <c r="E12689" s="50">
        <f>SUM(C12662:C12669)</f>
        <v>4.75</v>
      </c>
      <c r="F12689" s="51">
        <f>VLOOKUP(A12689,'Componentes APUs'!$A$1:$D$14,4,0)</f>
        <v>2916.6666666666665</v>
      </c>
      <c r="G12689" s="51">
        <f>ROUNDUP(F12689*(E12689/21)/E12648,0)</f>
        <v>19</v>
      </c>
    </row>
    <row r="12690" spans="1:7" x14ac:dyDescent="0.25">
      <c r="A12690" s="50" t="s">
        <v>403</v>
      </c>
      <c r="B12690" s="72" t="str">
        <f>VLOOKUP(A12690,'Componentes APUs'!$A$1:$D$14,2,0)</f>
        <v>Capuchon</v>
      </c>
      <c r="C12690" s="73"/>
      <c r="D12690" s="50" t="str">
        <f>VLOOKUP(A12690,'Componentes APUs'!$A$1:$D$14,3,0)</f>
        <v>U</v>
      </c>
      <c r="E12690" s="50">
        <f>SUM(C12662:C12669)</f>
        <v>4.75</v>
      </c>
      <c r="F12690" s="51">
        <f>VLOOKUP(A12690,'Componentes APUs'!$A$1:$D$14,4,0)</f>
        <v>2525.2525252525252</v>
      </c>
      <c r="G12690" s="51">
        <f>ROUNDUP(F12690*(E12690/21)/E12648,0)</f>
        <v>17</v>
      </c>
    </row>
    <row r="12691" spans="1:7" x14ac:dyDescent="0.25">
      <c r="A12691" s="69" t="s">
        <v>81</v>
      </c>
      <c r="B12691" s="72" t="str">
        <f>VLOOKUP(A12691,'Componentes APUs'!$A$1:$D$14,2,0)</f>
        <v>Guantes Protectores  - ingeniero reforzados</v>
      </c>
      <c r="C12691" s="73"/>
      <c r="D12691" s="50" t="str">
        <f>VLOOKUP(A12691,'Componentes APUs'!$A$1:$D$14,3,0)</f>
        <v>Par</v>
      </c>
      <c r="E12691" s="50">
        <f>C12664+C12665+C12667</f>
        <v>4</v>
      </c>
      <c r="F12691" s="51">
        <f>VLOOKUP(A12691,'Componentes APUs'!$A$1:$D$14,4,0)</f>
        <v>2525.2525252525252</v>
      </c>
      <c r="G12691" s="51">
        <f>ROUNDUP(F12691*(E12691/21)/E12648,0)</f>
        <v>14</v>
      </c>
    </row>
    <row r="12692" spans="1:7" x14ac:dyDescent="0.25">
      <c r="A12692" s="50" t="s">
        <v>83</v>
      </c>
      <c r="B12692" s="72" t="str">
        <f>VLOOKUP(A12692,'Componentes APUs'!$A$1:$D$14,2,0)</f>
        <v>Impermeable (pantalon camisa)</v>
      </c>
      <c r="C12692" s="73"/>
      <c r="D12692" s="50" t="str">
        <f>VLOOKUP(A12692,'Componentes APUs'!$A$1:$D$14,3,0)</f>
        <v>U</v>
      </c>
      <c r="E12692" s="50">
        <f>SUM(C12662:C12669)</f>
        <v>4.75</v>
      </c>
      <c r="F12692" s="51">
        <f>VLOOKUP(A12692,'Componentes APUs'!$A$1:$D$14,4,0)</f>
        <v>3750</v>
      </c>
      <c r="G12692" s="51">
        <f>ROUNDUP(F12692*(E12692/21)/E12648,0)</f>
        <v>25</v>
      </c>
    </row>
    <row r="12693" spans="1:7" x14ac:dyDescent="0.25">
      <c r="A12693" s="69" t="s">
        <v>85</v>
      </c>
      <c r="B12693" s="72" t="str">
        <f>VLOOKUP(A12693,'Componentes APUs'!$A$1:$D$14,2,0)</f>
        <v>Jean Dielectrico</v>
      </c>
      <c r="C12693" s="73"/>
      <c r="D12693" s="50" t="str">
        <f>VLOOKUP(A12693,'Componentes APUs'!$A$1:$D$14,3,0)</f>
        <v>U</v>
      </c>
      <c r="E12693" s="50">
        <f>SUM(C12662:C12669)</f>
        <v>4.75</v>
      </c>
      <c r="F12693" s="51">
        <f>VLOOKUP(A12693,'Componentes APUs'!$A$1:$D$14,4,0)</f>
        <v>7575.757575757576</v>
      </c>
      <c r="G12693" s="51">
        <f>ROUNDUP(F12693*(E12693/21)/E12648,0)</f>
        <v>49</v>
      </c>
    </row>
    <row r="12694" spans="1:7" x14ac:dyDescent="0.25">
      <c r="A12694" s="50" t="s">
        <v>87</v>
      </c>
      <c r="B12694" s="72" t="str">
        <f>VLOOKUP(A12694,'Componentes APUs'!$A$1:$D$14,2,0)</f>
        <v>Casco dielectrico Tipo 2 Clase E con barboquejo</v>
      </c>
      <c r="C12694" s="73"/>
      <c r="D12694" s="50" t="str">
        <f>VLOOKUP(A12694,'Componentes APUs'!$A$1:$D$14,3,0)</f>
        <v>U</v>
      </c>
      <c r="E12694" s="53">
        <f>IF(A12664="MO-3",C12664,0)</f>
        <v>2</v>
      </c>
      <c r="F12694" s="51">
        <f>VLOOKUP(A12694,'Componentes APUs'!$A$1:$D$14,4,0)</f>
        <v>7500</v>
      </c>
      <c r="G12694" s="51">
        <f>ROUNDUP(F12694*(E12694/21)/E12648,0)</f>
        <v>21</v>
      </c>
    </row>
    <row r="12695" spans="1:7" x14ac:dyDescent="0.25">
      <c r="A12695" s="69" t="s">
        <v>89</v>
      </c>
      <c r="B12695" s="72" t="str">
        <f>VLOOKUP(A12695,'Componentes APUs'!$A$1:$D$14,2,0)</f>
        <v>Kit de rescate para trabajo en alturas</v>
      </c>
      <c r="C12695" s="73"/>
      <c r="D12695" s="50" t="str">
        <f>VLOOKUP(A12695,'Componentes APUs'!$A$1:$D$14,3,0)</f>
        <v>U</v>
      </c>
      <c r="E12695" s="50">
        <f>IF(AND(A12664="MO-3",C12664=2),1,0)</f>
        <v>1</v>
      </c>
      <c r="F12695" s="51">
        <f>VLOOKUP(A12695,'Componentes APUs'!$A$1:$D$14,4,0)</f>
        <v>37500</v>
      </c>
      <c r="G12695" s="51">
        <f>ROUNDUP(F12695*(E12695/21)/E12648,0)</f>
        <v>52</v>
      </c>
    </row>
    <row r="12696" spans="1:7" x14ac:dyDescent="0.25">
      <c r="A12696" s="50" t="s">
        <v>91</v>
      </c>
      <c r="B12696" s="72" t="str">
        <f>VLOOKUP(A12696,'Componentes APUs'!$A$1:$D$14,2,0)</f>
        <v>Equipo completo para trabajo en alturas con pretales (Arnes dielectrico, 1 mosqueton de seguridad, tie off dielectrico, eslinga de posicionamiento, juego de pretales)</v>
      </c>
      <c r="C12696" s="73"/>
      <c r="D12696" s="50" t="str">
        <f>VLOOKUP(A12696,'Componentes APUs'!$A$1:$D$14,3,0)</f>
        <v>U</v>
      </c>
      <c r="E12696" s="50">
        <f>IF(A12664="MO-3",C12664,0)</f>
        <v>2</v>
      </c>
      <c r="F12696" s="51">
        <f>VLOOKUP(A12696,'Componentes APUs'!$A$1:$D$14,4,0)</f>
        <v>26041.666666666668</v>
      </c>
      <c r="G12696" s="51">
        <f>ROUNDUP(F12696*(E12696/21)/E12648,0)</f>
        <v>71</v>
      </c>
    </row>
    <row r="12697" spans="1:7" x14ac:dyDescent="0.25">
      <c r="A12697" s="219" t="s">
        <v>95</v>
      </c>
      <c r="B12697" s="219"/>
      <c r="C12697" s="219"/>
      <c r="D12697" s="219"/>
      <c r="E12697" s="219"/>
      <c r="F12697" s="219"/>
      <c r="G12697" s="52">
        <f>SUM(G12684:G12696)</f>
        <v>478</v>
      </c>
    </row>
    <row r="12698" spans="1:7" x14ac:dyDescent="0.25">
      <c r="A12698" s="56"/>
      <c r="B12698" s="57"/>
      <c r="C12698" s="57"/>
      <c r="D12698" s="57"/>
      <c r="E12698" s="57"/>
      <c r="F12698" s="57"/>
      <c r="G12698" s="58"/>
    </row>
    <row r="12699" spans="1:7" x14ac:dyDescent="0.25">
      <c r="A12699" s="219" t="s">
        <v>96</v>
      </c>
      <c r="B12699" s="219"/>
      <c r="C12699" s="219"/>
      <c r="D12699" s="219"/>
      <c r="E12699" s="219"/>
      <c r="F12699" s="219"/>
      <c r="G12699" s="219"/>
    </row>
    <row r="12700" spans="1:7" x14ac:dyDescent="0.25">
      <c r="A12700" s="49" t="s">
        <v>35</v>
      </c>
      <c r="B12700" s="225" t="s">
        <v>36</v>
      </c>
      <c r="C12700" s="225"/>
      <c r="D12700" s="49" t="s">
        <v>37</v>
      </c>
      <c r="E12700" s="49" t="s">
        <v>38</v>
      </c>
      <c r="F12700" s="49" t="s">
        <v>39</v>
      </c>
      <c r="G12700" s="49" t="s">
        <v>40</v>
      </c>
    </row>
    <row r="12701" spans="1:7" x14ac:dyDescent="0.25">
      <c r="A12701" s="69" t="s">
        <v>97</v>
      </c>
      <c r="B12701" s="72" t="str">
        <f>VLOOKUP(A12701,'Componentes APUs'!$N$1:$Q$30,2,0)</f>
        <v>Camioneta</v>
      </c>
      <c r="C12701" s="73"/>
      <c r="D12701" s="70" t="str">
        <f>VLOOKUP(A12701,'Componentes APUs'!$N$1:$Q$30,3,0)</f>
        <v>U</v>
      </c>
      <c r="E12701" s="50">
        <v>1</v>
      </c>
      <c r="F12701" s="51">
        <f>VLOOKUP(A12701,'Componentes APUs'!$N$1:$Q$30,4,0)</f>
        <v>5500000</v>
      </c>
      <c r="G12701" s="51">
        <f>IFERROR(ROUNDUP(F12701*(E12701/21)/E12648,0),"-")</f>
        <v>7483</v>
      </c>
    </row>
    <row r="12702" spans="1:7" x14ac:dyDescent="0.25">
      <c r="A12702" s="50" t="s">
        <v>321</v>
      </c>
      <c r="B12702" s="72" t="str">
        <f>VLOOKUP(A12702,'Componentes APUs'!$N$1:$Q$30,2,0)</f>
        <v>Grúa Hidráulica</v>
      </c>
      <c r="C12702" s="73"/>
      <c r="D12702" s="70" t="str">
        <f>VLOOKUP(A12702,'Componentes APUs'!$N$1:$Q$30,3,0)</f>
        <v>U</v>
      </c>
      <c r="E12702" s="50">
        <v>0</v>
      </c>
      <c r="F12702" s="51">
        <f>VLOOKUP(A12702,'Componentes APUs'!$N$1:$Q$30,4,0)</f>
        <v>21000000</v>
      </c>
      <c r="G12702" s="51">
        <f>IFERROR(ROUNDUP(F12702*(E12702/21)/E12648,0),"-")</f>
        <v>0</v>
      </c>
    </row>
    <row r="12703" spans="1:7" x14ac:dyDescent="0.25">
      <c r="A12703" s="69" t="s">
        <v>322</v>
      </c>
      <c r="B12703" s="72" t="str">
        <f>VLOOKUP(A12703,'Componentes APUs'!$N$1:$Q$30,2,0)</f>
        <v>Camabaja</v>
      </c>
      <c r="C12703" s="73"/>
      <c r="D12703" s="70" t="str">
        <f>VLOOKUP(A12703,'Componentes APUs'!$N$1:$Q$30,3,0)</f>
        <v>TON/KM</v>
      </c>
      <c r="E12703" s="50">
        <v>0</v>
      </c>
      <c r="F12703" s="51">
        <f>VLOOKUP(A12703,'Componentes APUs'!$N$1:$Q$30,4,0)</f>
        <v>611</v>
      </c>
      <c r="G12703" s="51">
        <f>E12703*F12703</f>
        <v>0</v>
      </c>
    </row>
    <row r="12704" spans="1:7" x14ac:dyDescent="0.25">
      <c r="A12704" s="50" t="s">
        <v>323</v>
      </c>
      <c r="B12704" s="72" t="str">
        <f>VLOOKUP(A12704,'Componentes APUs'!$N$1:$Q$30,2,0)</f>
        <v>Volqueta</v>
      </c>
      <c r="C12704" s="73"/>
      <c r="D12704" s="70" t="str">
        <f>VLOOKUP(A12704,'Componentes APUs'!$N$1:$Q$30,3,0)</f>
        <v>U</v>
      </c>
      <c r="E12704" s="50">
        <v>0</v>
      </c>
      <c r="F12704" s="51">
        <f>VLOOKUP(A12704,'Componentes APUs'!$N$1:$Q$30,4,0)</f>
        <v>14828184</v>
      </c>
      <c r="G12704" s="51">
        <f>IFERROR(ROUNDUP(F12704*(E12704/21)/E12648,0),"-")</f>
        <v>0</v>
      </c>
    </row>
    <row r="12705" spans="1:7" x14ac:dyDescent="0.25">
      <c r="A12705" s="69" t="s">
        <v>324</v>
      </c>
      <c r="B12705" s="72" t="str">
        <f>VLOOKUP(A12705,'Componentes APUs'!$N$1:$Q$30,2,0)</f>
        <v>Retroexcavadora</v>
      </c>
      <c r="C12705" s="73"/>
      <c r="D12705" s="70" t="str">
        <f>VLOOKUP(A12705,'Componentes APUs'!$N$1:$Q$30,3,0)</f>
        <v>U</v>
      </c>
      <c r="E12705" s="50">
        <v>0</v>
      </c>
      <c r="F12705" s="51">
        <f>VLOOKUP(A12705,'Componentes APUs'!$N$1:$Q$30,4,0)</f>
        <v>46030656</v>
      </c>
      <c r="G12705" s="51">
        <f>IFERROR(ROUNDUP(F12705*(E12705/21)/E12648,0),"-")</f>
        <v>0</v>
      </c>
    </row>
    <row r="12706" spans="1:7" x14ac:dyDescent="0.25">
      <c r="A12706" s="219" t="s">
        <v>99</v>
      </c>
      <c r="B12706" s="219"/>
      <c r="C12706" s="219"/>
      <c r="D12706" s="219"/>
      <c r="E12706" s="219"/>
      <c r="F12706" s="219"/>
      <c r="G12706" s="52">
        <f>SUM(G12701:G12705)</f>
        <v>7483</v>
      </c>
    </row>
    <row r="12707" spans="1:7" x14ac:dyDescent="0.25">
      <c r="A12707" s="56"/>
      <c r="B12707" s="57"/>
      <c r="C12707" s="57"/>
      <c r="D12707" s="57"/>
      <c r="E12707" s="57"/>
      <c r="F12707" s="57"/>
      <c r="G12707" s="58"/>
    </row>
    <row r="12708" spans="1:7" x14ac:dyDescent="0.25">
      <c r="A12708" s="219" t="s">
        <v>1516</v>
      </c>
      <c r="B12708" s="219"/>
      <c r="C12708" s="219"/>
      <c r="D12708" s="219"/>
      <c r="E12708" s="219"/>
      <c r="F12708" s="219"/>
      <c r="G12708" s="52">
        <f>G12706+G12697+G12680+G12670+G12658</f>
        <v>1036529</v>
      </c>
    </row>
    <row r="12709" spans="1:7" x14ac:dyDescent="0.25">
      <c r="A12709" s="59"/>
      <c r="B12709" s="60"/>
      <c r="C12709" s="60"/>
      <c r="D12709" s="60"/>
      <c r="E12709" s="57"/>
      <c r="F12709" s="57"/>
      <c r="G12709" s="58"/>
    </row>
    <row r="12710" spans="1:7" x14ac:dyDescent="0.25">
      <c r="A12710" s="64"/>
      <c r="D12710" s="55"/>
      <c r="E12710" s="49" t="s">
        <v>25</v>
      </c>
      <c r="F12710" s="54">
        <v>0.15</v>
      </c>
      <c r="G12710" s="51">
        <f>G12708*F12710</f>
        <v>155479.35</v>
      </c>
    </row>
    <row r="12711" spans="1:7" x14ac:dyDescent="0.25">
      <c r="A12711" s="64"/>
      <c r="D12711" s="55"/>
      <c r="E12711" s="49" t="s">
        <v>26</v>
      </c>
      <c r="F12711" s="54">
        <v>0.05</v>
      </c>
      <c r="G12711" s="51">
        <f>G12708*F12711</f>
        <v>51826.450000000004</v>
      </c>
    </row>
    <row r="12712" spans="1:7" x14ac:dyDescent="0.25">
      <c r="A12712" s="61"/>
      <c r="B12712" s="65"/>
      <c r="C12712" s="65"/>
      <c r="D12712" s="62"/>
      <c r="E12712" s="49" t="s">
        <v>27</v>
      </c>
      <c r="F12712" s="54">
        <v>0.05</v>
      </c>
      <c r="G12712" s="51">
        <f>G12708*F12712</f>
        <v>51826.450000000004</v>
      </c>
    </row>
    <row r="12713" spans="1:7" x14ac:dyDescent="0.25">
      <c r="A12713" s="61"/>
      <c r="B12713" s="62"/>
      <c r="C12713" s="62"/>
      <c r="D12713" s="62"/>
      <c r="E12713" s="62"/>
      <c r="F12713" s="62"/>
      <c r="G12713" s="63"/>
    </row>
    <row r="12714" spans="1:7" x14ac:dyDescent="0.25">
      <c r="A12714" s="219" t="s">
        <v>1517</v>
      </c>
      <c r="B12714" s="219"/>
      <c r="C12714" s="219"/>
      <c r="D12714" s="219"/>
      <c r="E12714" s="219"/>
      <c r="F12714" s="219"/>
      <c r="G12714" s="52">
        <f>G12708+G12710+G12711+G12712</f>
        <v>1295661.25</v>
      </c>
    </row>
    <row r="12715" spans="1:7" x14ac:dyDescent="0.25">
      <c r="A12715" s="59"/>
      <c r="B12715" s="60"/>
      <c r="C12715" s="60"/>
      <c r="D12715" s="60"/>
      <c r="E12715" s="57"/>
      <c r="F12715" s="57"/>
      <c r="G12715" s="58"/>
    </row>
    <row r="12716" spans="1:7" x14ac:dyDescent="0.25">
      <c r="A12716" s="64"/>
      <c r="D12716" s="55"/>
      <c r="E12716" s="49" t="s">
        <v>102</v>
      </c>
      <c r="F12716" s="49" t="s">
        <v>103</v>
      </c>
      <c r="G12716" s="51">
        <f>G12712*19%</f>
        <v>9847.0255000000016</v>
      </c>
    </row>
    <row r="12717" spans="1:7" x14ac:dyDescent="0.25">
      <c r="A12717" s="61"/>
      <c r="B12717" s="62"/>
      <c r="C12717" s="62"/>
      <c r="D12717" s="62"/>
      <c r="E12717" s="57"/>
      <c r="F12717" s="57"/>
      <c r="G12717" s="58"/>
    </row>
    <row r="12718" spans="1:7" x14ac:dyDescent="0.25">
      <c r="A12718" s="219" t="s">
        <v>104</v>
      </c>
      <c r="B12718" s="219"/>
      <c r="C12718" s="219"/>
      <c r="D12718" s="219"/>
      <c r="E12718" s="219"/>
      <c r="F12718" s="219"/>
      <c r="G12718" s="52">
        <f>G12716+G12714</f>
        <v>1305508.2755</v>
      </c>
    </row>
    <row r="12720" spans="1:7" x14ac:dyDescent="0.25">
      <c r="A12720" s="74" t="s">
        <v>29</v>
      </c>
      <c r="B12720" s="226" t="s">
        <v>30</v>
      </c>
      <c r="C12720" s="226"/>
      <c r="D12720" s="74" t="s">
        <v>31</v>
      </c>
      <c r="E12720" s="74" t="s">
        <v>32</v>
      </c>
      <c r="F12720" s="74" t="s">
        <v>189</v>
      </c>
      <c r="G12720" s="74" t="s">
        <v>33</v>
      </c>
    </row>
    <row r="12721" spans="1:7" ht="43.5" customHeight="1" x14ac:dyDescent="0.25">
      <c r="A12721" s="50" t="str">
        <f>Presupuesto!B231</f>
        <v>038_N3</v>
      </c>
      <c r="B12721" s="220" t="str">
        <f>Presupuesto!C231</f>
        <v>SUMINISTRO E INSTALACIÓN DE CABLE CABLE 3X500 kcmil -  MV-105 XLPE –  35 kV – Cu – 133 % - Monopolar - Pantalla en Cinta de Cu FR-SR/PVC. INCLUYE TERMINALES PREMOLDEADOS</v>
      </c>
      <c r="C12721" s="220"/>
      <c r="D12721" s="50" t="s">
        <v>108</v>
      </c>
      <c r="E12721" s="93">
        <v>35</v>
      </c>
      <c r="F12721" s="50"/>
      <c r="G12721" s="51">
        <f>G12791</f>
        <v>2655539.8760000002</v>
      </c>
    </row>
    <row r="12722" spans="1:7" x14ac:dyDescent="0.25">
      <c r="A12722" s="219" t="s">
        <v>34</v>
      </c>
      <c r="B12722" s="219"/>
      <c r="C12722" s="219"/>
      <c r="D12722" s="219"/>
      <c r="E12722" s="219"/>
      <c r="F12722" s="219"/>
      <c r="G12722" s="219"/>
    </row>
    <row r="12723" spans="1:7" x14ac:dyDescent="0.25">
      <c r="A12723" s="49" t="s">
        <v>35</v>
      </c>
      <c r="B12723" s="219" t="s">
        <v>36</v>
      </c>
      <c r="C12723" s="219"/>
      <c r="D12723" s="49" t="s">
        <v>37</v>
      </c>
      <c r="E12723" s="49" t="s">
        <v>38</v>
      </c>
      <c r="F12723" s="49" t="s">
        <v>39</v>
      </c>
      <c r="G12723" s="49" t="s">
        <v>40</v>
      </c>
    </row>
    <row r="12724" spans="1:7" x14ac:dyDescent="0.25">
      <c r="A12724" s="17" t="str">
        <f>Material!A413</f>
        <v>MA-412</v>
      </c>
      <c r="B12724" s="72" t="str">
        <f>IFERROR(VLOOKUP(A12724,Material!$A:$H,2,0),"-")</f>
        <v>CABLE 500 KCMIL Cu XLPE 35KV</v>
      </c>
      <c r="C12724" s="73"/>
      <c r="D12724" s="50" t="str">
        <f>IFERROR(VLOOKUP(A12724,Material!$A:$H,4,0),"-")</f>
        <v>ML</v>
      </c>
      <c r="E12724" s="50">
        <v>3</v>
      </c>
      <c r="F12724" s="51">
        <f>IFERROR(VLOOKUP(A12724,Material!$A:$H,3,0),"-")</f>
        <v>629356.72799999989</v>
      </c>
      <c r="G12724" s="51">
        <f t="shared" ref="G12724:G12730" si="179">IFERROR(ROUNDUP(F12724*E12724,0),"-")</f>
        <v>1888071</v>
      </c>
    </row>
    <row r="12725" spans="1:7" ht="26.25" customHeight="1" x14ac:dyDescent="0.25">
      <c r="A12725" s="17" t="str">
        <f>Material!A444</f>
        <v>MA-443</v>
      </c>
      <c r="B12725" s="232" t="str">
        <f>IFERROR(VLOOKUP(A12725,Material!$A:$H,2,0),"-")</f>
        <v>TERMINALES PREMOLDEADAS PARA 35 KV – USO EXTERIOR PARA CALIBRES DE CABLE ENTRE 350 – 500</v>
      </c>
      <c r="C12725" s="233"/>
      <c r="D12725" s="50" t="str">
        <f>IFERROR(VLOOKUP(A12725,Material!$A:$H,4,0),"-")</f>
        <v>UN</v>
      </c>
      <c r="E12725" s="96">
        <f>6/35</f>
        <v>0.17142857142857143</v>
      </c>
      <c r="F12725" s="51">
        <f>IFERROR(VLOOKUP(A12725,Material!$A:$H,3,0),"-")</f>
        <v>1053354.0333333334</v>
      </c>
      <c r="G12725" s="51">
        <f t="shared" si="179"/>
        <v>180575</v>
      </c>
    </row>
    <row r="12726" spans="1:7" x14ac:dyDescent="0.25">
      <c r="A12726" s="17"/>
      <c r="B12726" s="72" t="str">
        <f>IFERROR(VLOOKUP(A12726,Material!$A:$H,2,0),"-")</f>
        <v>-</v>
      </c>
      <c r="C12726" s="73"/>
      <c r="D12726" s="50" t="str">
        <f>IFERROR(VLOOKUP(A12726,Material!$A:$H,4,0),"-")</f>
        <v>-</v>
      </c>
      <c r="E12726" s="50"/>
      <c r="F12726" s="51" t="str">
        <f>IFERROR(VLOOKUP(A12726,Material!$A:$H,3,0),"-")</f>
        <v>-</v>
      </c>
      <c r="G12726" s="51" t="str">
        <f t="shared" si="179"/>
        <v>-</v>
      </c>
    </row>
    <row r="12727" spans="1:7" x14ac:dyDescent="0.25">
      <c r="A12727" s="17"/>
      <c r="B12727" s="72" t="str">
        <f>IFERROR(VLOOKUP(A12727,Material!$A:$H,2,0),"-")</f>
        <v>-</v>
      </c>
      <c r="C12727" s="73"/>
      <c r="D12727" s="50" t="str">
        <f>IFERROR(VLOOKUP(A12727,Material!$A:$H,4,0),"-")</f>
        <v>-</v>
      </c>
      <c r="E12727" s="50"/>
      <c r="F12727" s="51" t="str">
        <f>IFERROR(VLOOKUP(A12727,Material!$A:$H,3,0),"-")</f>
        <v>-</v>
      </c>
      <c r="G12727" s="51" t="str">
        <f t="shared" si="179"/>
        <v>-</v>
      </c>
    </row>
    <row r="12728" spans="1:7" x14ac:dyDescent="0.25">
      <c r="A12728" s="17"/>
      <c r="B12728" s="72" t="str">
        <f>IFERROR(VLOOKUP(A12728,Material!$A:$H,2,0),"-")</f>
        <v>-</v>
      </c>
      <c r="C12728" s="73"/>
      <c r="D12728" s="50" t="str">
        <f>IFERROR(VLOOKUP(A12728,Material!$A:$H,4,0),"-")</f>
        <v>-</v>
      </c>
      <c r="E12728" s="50"/>
      <c r="F12728" s="51" t="str">
        <f>IFERROR(VLOOKUP(A12728,Material!$A:$H,3,0),"-")</f>
        <v>-</v>
      </c>
      <c r="G12728" s="51" t="str">
        <f t="shared" si="179"/>
        <v>-</v>
      </c>
    </row>
    <row r="12729" spans="1:7" x14ac:dyDescent="0.25">
      <c r="A12729" s="50"/>
      <c r="B12729" s="75" t="str">
        <f>IFERROR(VLOOKUP(A12729,Material!$A:$H,2,0),"-")</f>
        <v>-</v>
      </c>
      <c r="C12729" s="76"/>
      <c r="D12729" s="50" t="str">
        <f>IFERROR(VLOOKUP(A12729,Material!$A:$H,4,0),"-")</f>
        <v>-</v>
      </c>
      <c r="E12729" s="50"/>
      <c r="F12729" s="51" t="str">
        <f>IFERROR(VLOOKUP(A12729,Material!$A:$H,3,0),"-")</f>
        <v>-</v>
      </c>
      <c r="G12729" s="51" t="str">
        <f t="shared" si="179"/>
        <v>-</v>
      </c>
    </row>
    <row r="12730" spans="1:7" x14ac:dyDescent="0.25">
      <c r="A12730" s="50"/>
      <c r="B12730" s="75" t="str">
        <f>IFERROR(VLOOKUP(A12730,Material!$A:$H,2,0),"-")</f>
        <v>-</v>
      </c>
      <c r="C12730" s="76"/>
      <c r="D12730" s="50" t="str">
        <f>IFERROR(VLOOKUP(A12730,Material!$A:$H,4,0),"-")</f>
        <v>-</v>
      </c>
      <c r="E12730" s="50"/>
      <c r="F12730" s="51" t="str">
        <f>IFERROR(VLOOKUP(A12730,Material!$A:$H,3,0),"-")</f>
        <v>-</v>
      </c>
      <c r="G12730" s="51" t="str">
        <f t="shared" si="179"/>
        <v>-</v>
      </c>
    </row>
    <row r="12731" spans="1:7" x14ac:dyDescent="0.25">
      <c r="A12731" s="219" t="s">
        <v>41</v>
      </c>
      <c r="B12731" s="219"/>
      <c r="C12731" s="219"/>
      <c r="D12731" s="219"/>
      <c r="E12731" s="219"/>
      <c r="F12731" s="219"/>
      <c r="G12731" s="52">
        <f>SUM(G12724:G12730)</f>
        <v>2068646</v>
      </c>
    </row>
    <row r="12732" spans="1:7" x14ac:dyDescent="0.25">
      <c r="A12732" s="56"/>
      <c r="B12732" s="57"/>
      <c r="C12732" s="57"/>
      <c r="D12732" s="57"/>
      <c r="E12732" s="57"/>
      <c r="F12732" s="57"/>
      <c r="G12732" s="58"/>
    </row>
    <row r="12733" spans="1:7" x14ac:dyDescent="0.25">
      <c r="A12733" s="219" t="s">
        <v>42</v>
      </c>
      <c r="B12733" s="219"/>
      <c r="C12733" s="219"/>
      <c r="D12733" s="219"/>
      <c r="E12733" s="219"/>
      <c r="F12733" s="219"/>
      <c r="G12733" s="219"/>
    </row>
    <row r="12734" spans="1:7" x14ac:dyDescent="0.25">
      <c r="A12734" s="49" t="s">
        <v>35</v>
      </c>
      <c r="B12734" s="49" t="s">
        <v>36</v>
      </c>
      <c r="C12734" s="49" t="s">
        <v>38</v>
      </c>
      <c r="D12734" s="49" t="s">
        <v>43</v>
      </c>
      <c r="E12734" s="49" t="s">
        <v>44</v>
      </c>
      <c r="F12734" s="49" t="s">
        <v>45</v>
      </c>
      <c r="G12734" s="49" t="s">
        <v>40</v>
      </c>
    </row>
    <row r="12735" spans="1:7" x14ac:dyDescent="0.25">
      <c r="A12735" s="50" t="s">
        <v>319</v>
      </c>
      <c r="B12735" s="68" t="str">
        <f>VLOOKUP(A12735,'Componentes APUs'!$H$1:$L$25,2,0)</f>
        <v>Ingeniero Residente de Obra</v>
      </c>
      <c r="C12735" s="93">
        <v>0.25</v>
      </c>
      <c r="D12735" s="50">
        <f>VLOOKUP(A12735,'Componentes APUs'!$H$1:$L$25,3,0)</f>
        <v>4</v>
      </c>
      <c r="E12735" s="51">
        <f>VLOOKUP(A12735,'Componentes APUs'!$H$1:$L$25,4,0)</f>
        <v>271142.85714285716</v>
      </c>
      <c r="F12735" s="51">
        <f>VLOOKUP(A12735,'Componentes APUs'!$H$1:$L$25,5,0)</f>
        <v>162685.71428571429</v>
      </c>
      <c r="G12735" s="51">
        <f>ROUNDUP((E12735+F12735)*C12735/E12721,0)</f>
        <v>3099</v>
      </c>
    </row>
    <row r="12736" spans="1:7" x14ac:dyDescent="0.25">
      <c r="A12736" s="50" t="s">
        <v>320</v>
      </c>
      <c r="B12736" s="68" t="str">
        <f>VLOOKUP(A12736,'Componentes APUs'!$H$1:$L$25,2,0)</f>
        <v>Tecnico Supervisor</v>
      </c>
      <c r="C12736" s="93">
        <v>0.25</v>
      </c>
      <c r="D12736" s="50">
        <f>VLOOKUP(A12736,'Componentes APUs'!$H$1:$L$25,3,0)</f>
        <v>2.2999999999999998</v>
      </c>
      <c r="E12736" s="51">
        <f>VLOOKUP(A12736,'Componentes APUs'!$H$1:$L$25,4,0)</f>
        <v>155907.14285714284</v>
      </c>
      <c r="F12736" s="51">
        <f>VLOOKUP(A12736,'Componentes APUs'!$H$1:$L$25,5,0)</f>
        <v>93544.285714285696</v>
      </c>
      <c r="G12736" s="51">
        <f>ROUNDUP((E12736+F12736)*C12736/E12721,0)</f>
        <v>1782</v>
      </c>
    </row>
    <row r="12737" spans="1:7" x14ac:dyDescent="0.25">
      <c r="A12737" s="50" t="s">
        <v>46</v>
      </c>
      <c r="B12737" s="68" t="str">
        <f>VLOOKUP(A12737,'Componentes APUs'!$H$1:$L$25,2,0)</f>
        <v>Tecnico Liniero</v>
      </c>
      <c r="C12737" s="93">
        <v>2</v>
      </c>
      <c r="D12737" s="50">
        <f>VLOOKUP(A12737,'Componentes APUs'!$H$1:$L$25,3,0)</f>
        <v>2</v>
      </c>
      <c r="E12737" s="51">
        <f>VLOOKUP(A12737,'Componentes APUs'!$H$1:$L$25,4,0)</f>
        <v>154619.04761904763</v>
      </c>
      <c r="F12737" s="51">
        <f>VLOOKUP(A12737,'Componentes APUs'!$H$1:$L$25,5,0)</f>
        <v>92771.42857142858</v>
      </c>
      <c r="G12737" s="51">
        <f>ROUNDUP((E12737+F12737)*C12737/E12721,0)</f>
        <v>14137</v>
      </c>
    </row>
    <row r="12738" spans="1:7" x14ac:dyDescent="0.25">
      <c r="A12738" s="50" t="s">
        <v>48</v>
      </c>
      <c r="B12738" s="68" t="str">
        <f>VLOOKUP(A12738,'Componentes APUs'!$H$1:$L$25,2,0)</f>
        <v>Ayudante Calificado</v>
      </c>
      <c r="C12738" s="93">
        <v>2</v>
      </c>
      <c r="D12738" s="50">
        <f>VLOOKUP(A12738,'Componentes APUs'!$H$1:$L$25,3,0)</f>
        <v>1.5</v>
      </c>
      <c r="E12738" s="51">
        <f>VLOOKUP(A12738,'Componentes APUs'!$H$1:$L$25,4,0)</f>
        <v>115964.28571428571</v>
      </c>
      <c r="F12738" s="51">
        <f>VLOOKUP(A12738,'Componentes APUs'!$H$1:$L$25,5,0)</f>
        <v>69578.57142857142</v>
      </c>
      <c r="G12738" s="51">
        <f>ROUNDUP((E12738+F12738)*C12738/E12721,0)</f>
        <v>10603</v>
      </c>
    </row>
    <row r="12739" spans="1:7" x14ac:dyDescent="0.25">
      <c r="A12739" s="50" t="s">
        <v>50</v>
      </c>
      <c r="B12739" s="68" t="str">
        <f>VLOOKUP(A12739,'Componentes APUs'!$H$1:$L$25,2,0)</f>
        <v>Profesional en SST</v>
      </c>
      <c r="C12739" s="93">
        <v>0.25</v>
      </c>
      <c r="D12739" s="50">
        <f>VLOOKUP(A12739,'Componentes APUs'!$H$1:$L$25,3,0)</f>
        <v>2.5</v>
      </c>
      <c r="E12739" s="51">
        <f>VLOOKUP(A12739,'Componentes APUs'!$H$1:$L$25,4,0)</f>
        <v>169464.28571428571</v>
      </c>
      <c r="F12739" s="51">
        <f>VLOOKUP(A12739,'Componentes APUs'!$H$1:$L$25,5,0)</f>
        <v>101678.57142857142</v>
      </c>
      <c r="G12739" s="51">
        <f>ROUNDUP((E12739+F12739)*C12739/E12721,0)</f>
        <v>1937</v>
      </c>
    </row>
    <row r="12740" spans="1:7" x14ac:dyDescent="0.25">
      <c r="A12740" s="50" t="s">
        <v>52</v>
      </c>
      <c r="B12740" s="68" t="str">
        <f>VLOOKUP(A12740,'Componentes APUs'!$H$1:$L$25,2,0)</f>
        <v>Ayudante No Calificado</v>
      </c>
      <c r="C12740" s="93">
        <v>0</v>
      </c>
      <c r="D12740" s="50">
        <f>VLOOKUP(A12740,'Componentes APUs'!$H$1:$L$25,3,0)</f>
        <v>1</v>
      </c>
      <c r="E12740" s="51">
        <f>VLOOKUP(A12740,'Componentes APUs'!$H$1:$L$25,4,0)</f>
        <v>77309.523809523816</v>
      </c>
      <c r="F12740" s="51">
        <f>VLOOKUP(A12740,'Componentes APUs'!$H$1:$L$25,5,0)</f>
        <v>46385.71428571429</v>
      </c>
      <c r="G12740" s="51">
        <f>ROUNDUP((E12740+F12740)*C12740/E12721,0)</f>
        <v>0</v>
      </c>
    </row>
    <row r="12741" spans="1:7" x14ac:dyDescent="0.25">
      <c r="A12741" s="50" t="s">
        <v>54</v>
      </c>
      <c r="B12741" s="68" t="str">
        <f>VLOOKUP(A12741,'Componentes APUs'!$H$1:$L$25,2,0)</f>
        <v>Maestro de obra civil</v>
      </c>
      <c r="C12741" s="93">
        <v>0</v>
      </c>
      <c r="D12741" s="50">
        <f>VLOOKUP(A12741,'Componentes APUs'!$H$1:$L$25,3,0)</f>
        <v>2.5</v>
      </c>
      <c r="E12741" s="51">
        <f>VLOOKUP(A12741,'Componentes APUs'!$H$1:$L$25,4,0)</f>
        <v>169464.28571428571</v>
      </c>
      <c r="F12741" s="51">
        <f>VLOOKUP(A12741,'Componentes APUs'!$H$1:$L$25,5,0)</f>
        <v>101678.57142857142</v>
      </c>
      <c r="G12741" s="51">
        <f>ROUNDUP((E12741+F12741)*C12741/E12721,0)</f>
        <v>0</v>
      </c>
    </row>
    <row r="12742" spans="1:7" x14ac:dyDescent="0.25">
      <c r="A12742" s="50" t="s">
        <v>1116</v>
      </c>
      <c r="B12742" s="68" t="str">
        <f>VLOOKUP(A12742,'Componentes APUs'!$H$1:$L$25,2,0)</f>
        <v>Ingeniero Civil Residente de Obra</v>
      </c>
      <c r="C12742" s="93">
        <v>0</v>
      </c>
      <c r="D12742" s="50">
        <f>VLOOKUP(A12742,'Componentes APUs'!$H$1:$L$25,3,0)</f>
        <v>3</v>
      </c>
      <c r="E12742" s="51">
        <f>VLOOKUP(A12742,'Componentes APUs'!$H$1:$L$25,4,0)</f>
        <v>203357.14285714287</v>
      </c>
      <c r="F12742" s="51">
        <f>VLOOKUP(A12742,'Componentes APUs'!$H$1:$L$25,5,0)</f>
        <v>122014.28571428571</v>
      </c>
      <c r="G12742" s="51">
        <f>ROUNDUP((E12742+F12742)*C12742/E12721,0)</f>
        <v>0</v>
      </c>
    </row>
    <row r="12743" spans="1:7" x14ac:dyDescent="0.25">
      <c r="A12743" s="219" t="s">
        <v>56</v>
      </c>
      <c r="B12743" s="219"/>
      <c r="C12743" s="219"/>
      <c r="D12743" s="219"/>
      <c r="E12743" s="219"/>
      <c r="F12743" s="219"/>
      <c r="G12743" s="52">
        <f>SUM(G12735:G12742)</f>
        <v>31558</v>
      </c>
    </row>
    <row r="12744" spans="1:7" x14ac:dyDescent="0.25">
      <c r="A12744" s="56"/>
      <c r="B12744" s="57"/>
      <c r="C12744" s="57"/>
      <c r="D12744" s="57"/>
      <c r="E12744" s="57"/>
      <c r="F12744" s="57"/>
      <c r="G12744" s="58"/>
    </row>
    <row r="12745" spans="1:7" x14ac:dyDescent="0.25">
      <c r="A12745" s="219" t="s">
        <v>57</v>
      </c>
      <c r="B12745" s="219"/>
      <c r="C12745" s="219"/>
      <c r="D12745" s="219"/>
      <c r="E12745" s="219"/>
      <c r="F12745" s="219"/>
      <c r="G12745" s="219"/>
    </row>
    <row r="12746" spans="1:7" x14ac:dyDescent="0.25">
      <c r="A12746" s="49" t="s">
        <v>35</v>
      </c>
      <c r="B12746" s="219" t="s">
        <v>36</v>
      </c>
      <c r="C12746" s="219"/>
      <c r="D12746" s="49" t="s">
        <v>37</v>
      </c>
      <c r="E12746" s="49" t="s">
        <v>38</v>
      </c>
      <c r="F12746" s="49" t="s">
        <v>39</v>
      </c>
      <c r="G12746" s="49" t="s">
        <v>40</v>
      </c>
    </row>
    <row r="12747" spans="1:7" x14ac:dyDescent="0.25">
      <c r="A12747" s="50" t="s">
        <v>326</v>
      </c>
      <c r="B12747" s="220" t="str">
        <f>VLOOKUP(A12747,'Componentes APUs'!$S$1:$V$10,2,0)</f>
        <v>Juego Llaves</v>
      </c>
      <c r="C12747" s="220"/>
      <c r="D12747" s="50" t="s">
        <v>18</v>
      </c>
      <c r="E12747" s="50">
        <v>2</v>
      </c>
      <c r="F12747" s="51">
        <f>VLOOKUP(A12747,'Componentes APUs'!$S$1:$V$10,4,0)</f>
        <v>9167</v>
      </c>
      <c r="G12747" s="51">
        <f>ROUNDUP(F12747*((E12747/21)/E12721),0)</f>
        <v>25</v>
      </c>
    </row>
    <row r="12748" spans="1:7" x14ac:dyDescent="0.25">
      <c r="A12748" s="50" t="s">
        <v>58</v>
      </c>
      <c r="B12748" s="220" t="str">
        <f>VLOOKUP(A12748,'Componentes APUs'!$S$1:$V$10,2,0)</f>
        <v>Manila de servicio</v>
      </c>
      <c r="C12748" s="220"/>
      <c r="D12748" s="50" t="s">
        <v>18</v>
      </c>
      <c r="E12748" s="50">
        <v>2</v>
      </c>
      <c r="F12748" s="51">
        <f>VLOOKUP(A12748,'Componentes APUs'!$S$1:$V$10,4,0)</f>
        <v>2333</v>
      </c>
      <c r="G12748" s="51">
        <f>ROUNDUP(F12748*((E12748/21)/E12721),0)</f>
        <v>7</v>
      </c>
    </row>
    <row r="12749" spans="1:7" x14ac:dyDescent="0.25">
      <c r="A12749" s="50" t="s">
        <v>327</v>
      </c>
      <c r="B12749" s="220" t="str">
        <f>VLOOKUP(A12749,'Componentes APUs'!$S$1:$V$10,2,0)</f>
        <v>Tula portaherramientas</v>
      </c>
      <c r="C12749" s="220"/>
      <c r="D12749" s="50" t="s">
        <v>18</v>
      </c>
      <c r="E12749" s="50">
        <v>2</v>
      </c>
      <c r="F12749" s="51">
        <f>VLOOKUP(A12749,'Componentes APUs'!$S$1:$V$10,4,0)</f>
        <v>1250</v>
      </c>
      <c r="G12749" s="51">
        <f>ROUNDUP(F12749*((E12749/21)/E12721),0)</f>
        <v>4</v>
      </c>
    </row>
    <row r="12750" spans="1:7" x14ac:dyDescent="0.25">
      <c r="A12750" s="50" t="s">
        <v>60</v>
      </c>
      <c r="B12750" s="220" t="str">
        <f>VLOOKUP(A12750,'Componentes APUs'!$S$1:$V$10,2,0)</f>
        <v>Agarradoras</v>
      </c>
      <c r="C12750" s="220"/>
      <c r="D12750" s="50" t="s">
        <v>18</v>
      </c>
      <c r="E12750" s="50">
        <v>0</v>
      </c>
      <c r="F12750" s="51">
        <f>VLOOKUP(A12750,'Componentes APUs'!$S$1:$V$10,4,0)</f>
        <v>125000</v>
      </c>
      <c r="G12750" s="51">
        <f>ROUNDUP(F12750*((E12750/21)/E12721),0)</f>
        <v>0</v>
      </c>
    </row>
    <row r="12751" spans="1:7" x14ac:dyDescent="0.25">
      <c r="A12751" s="50" t="s">
        <v>62</v>
      </c>
      <c r="B12751" s="220" t="str">
        <f>VLOOKUP(A12751,'Componentes APUs'!$S$1:$V$10,2,0)</f>
        <v>Templadoras</v>
      </c>
      <c r="C12751" s="220"/>
      <c r="D12751" s="50" t="s">
        <v>18</v>
      </c>
      <c r="E12751" s="50">
        <v>0</v>
      </c>
      <c r="F12751" s="51">
        <f>VLOOKUP(A12751,'Componentes APUs'!$S$1:$V$10,4,0)</f>
        <v>250000</v>
      </c>
      <c r="G12751" s="51">
        <f>ROUNDUP(F12751*((E12751/21)/E12721),0)</f>
        <v>0</v>
      </c>
    </row>
    <row r="12752" spans="1:7" x14ac:dyDescent="0.25">
      <c r="A12752" s="50" t="s">
        <v>328</v>
      </c>
      <c r="B12752" s="220" t="str">
        <f>VLOOKUP(A12752,'Componentes APUs'!$S$1:$V$10,2,0)</f>
        <v>Herramienta Menor</v>
      </c>
      <c r="C12752" s="220"/>
      <c r="D12752" s="50" t="s">
        <v>18</v>
      </c>
      <c r="E12752" s="50">
        <v>2</v>
      </c>
      <c r="F12752" s="51">
        <f>VLOOKUP(A12752,'Componentes APUs'!$S$1:$V$10,4,0)</f>
        <v>75758</v>
      </c>
      <c r="G12752" s="51">
        <f>ROUNDUP(F12752*((E12752/21)/E12721),0)</f>
        <v>207</v>
      </c>
    </row>
    <row r="12753" spans="1:7" x14ac:dyDescent="0.25">
      <c r="A12753" s="219" t="s">
        <v>69</v>
      </c>
      <c r="B12753" s="219"/>
      <c r="C12753" s="219"/>
      <c r="D12753" s="219"/>
      <c r="E12753" s="219"/>
      <c r="F12753" s="219"/>
      <c r="G12753" s="52">
        <f>SUM(G12747:G12752)</f>
        <v>243</v>
      </c>
    </row>
    <row r="12754" spans="1:7" x14ac:dyDescent="0.25">
      <c r="A12754" s="56"/>
      <c r="B12754" s="57"/>
      <c r="C12754" s="57"/>
      <c r="D12754" s="57"/>
      <c r="E12754" s="57"/>
      <c r="F12754" s="57"/>
      <c r="G12754" s="58"/>
    </row>
    <row r="12755" spans="1:7" x14ac:dyDescent="0.25">
      <c r="A12755" s="219" t="s">
        <v>70</v>
      </c>
      <c r="B12755" s="219"/>
      <c r="C12755" s="219"/>
      <c r="D12755" s="219"/>
      <c r="E12755" s="219"/>
      <c r="F12755" s="219"/>
      <c r="G12755" s="219"/>
    </row>
    <row r="12756" spans="1:7" x14ac:dyDescent="0.25">
      <c r="A12756" s="49" t="s">
        <v>35</v>
      </c>
      <c r="B12756" s="219" t="s">
        <v>36</v>
      </c>
      <c r="C12756" s="219"/>
      <c r="D12756" s="49" t="s">
        <v>37</v>
      </c>
      <c r="E12756" s="49" t="s">
        <v>38</v>
      </c>
      <c r="F12756" s="49" t="s">
        <v>39</v>
      </c>
      <c r="G12756" s="49" t="s">
        <v>40</v>
      </c>
    </row>
    <row r="12757" spans="1:7" x14ac:dyDescent="0.25">
      <c r="A12757" s="50" t="s">
        <v>71</v>
      </c>
      <c r="B12757" s="72" t="str">
        <f>VLOOKUP(A12757,'Componentes APUs'!$A$1:$D$14,2,0)</f>
        <v>Camisa indigo sin partes metalicas</v>
      </c>
      <c r="C12757" s="73"/>
      <c r="D12757" s="50" t="str">
        <f>VLOOKUP(A12757,'Componentes APUs'!$A$1:$D$14,3,0)</f>
        <v>U</v>
      </c>
      <c r="E12757" s="50">
        <f>SUM(C12735:C12742)</f>
        <v>4.75</v>
      </c>
      <c r="F12757" s="51">
        <f>VLOOKUP(A12757,'Componentes APUs'!$A$1:$D$14,4,0)</f>
        <v>8585.8585858585866</v>
      </c>
      <c r="G12757" s="51">
        <f>ROUNDUP(F12757*(E12757/21)/E12721,0)</f>
        <v>56</v>
      </c>
    </row>
    <row r="12758" spans="1:7" x14ac:dyDescent="0.25">
      <c r="A12758" s="69" t="s">
        <v>73</v>
      </c>
      <c r="B12758" s="72" t="str">
        <f>VLOOKUP(A12758,'Componentes APUs'!$A$1:$D$14,2,0)</f>
        <v>Bota de seguridad dielectrica</v>
      </c>
      <c r="C12758" s="73"/>
      <c r="D12758" s="70" t="str">
        <f>VLOOKUP(A12758,'Componentes APUs'!$A$1:$D$14,3,0)</f>
        <v>Par</v>
      </c>
      <c r="E12758" s="50">
        <f>SUM(C12735:C12742)</f>
        <v>4.75</v>
      </c>
      <c r="F12758" s="51">
        <f>VLOOKUP(A12758,'Componentes APUs'!$A$1:$D$14,4,0)</f>
        <v>7500</v>
      </c>
      <c r="G12758" s="51">
        <f>ROUNDUP(F12758*(E12758/21)/E12721,0)</f>
        <v>49</v>
      </c>
    </row>
    <row r="12759" spans="1:7" x14ac:dyDescent="0.25">
      <c r="A12759" s="50" t="s">
        <v>76</v>
      </c>
      <c r="B12759" s="72" t="str">
        <f>VLOOKUP(A12759,'Componentes APUs'!$A$1:$D$14,2,0)</f>
        <v>Casco dielectrico Tipo 1 Clase E con barbuquejo</v>
      </c>
      <c r="C12759" s="73"/>
      <c r="D12759" s="50" t="str">
        <f>VLOOKUP(A12759,'Componentes APUs'!$A$1:$D$14,3,0)</f>
        <v>U</v>
      </c>
      <c r="E12759" s="50">
        <f>C12735+C12736+C12737+C12738+C12740+C12741+C12742+IF(A12737&lt;&gt;"MO-3",C12737,0)</f>
        <v>4.5</v>
      </c>
      <c r="F12759" s="51">
        <f>VLOOKUP(A12759,'Componentes APUs'!$A$1:$D$14,4,0)</f>
        <v>10101.010101010101</v>
      </c>
      <c r="G12759" s="51">
        <f>ROUNDUP(F12759*(E12759/21)/E12721,0)</f>
        <v>62</v>
      </c>
    </row>
    <row r="12760" spans="1:7" x14ac:dyDescent="0.25">
      <c r="A12760" s="69" t="s">
        <v>77</v>
      </c>
      <c r="B12760" s="72" t="str">
        <f>VLOOKUP(A12760,'Componentes APUs'!$A$1:$D$14,2,0)</f>
        <v>Correa plastica y antiflama</v>
      </c>
      <c r="C12760" s="73"/>
      <c r="D12760" s="50" t="str">
        <f>VLOOKUP(A12760,'Componentes APUs'!$A$1:$D$14,3,0)</f>
        <v>U</v>
      </c>
      <c r="E12760" s="50">
        <f>SUM(C12735:C12742)</f>
        <v>4.75</v>
      </c>
      <c r="F12760" s="51">
        <f>VLOOKUP(A12760,'Componentes APUs'!$A$1:$D$14,4,0)</f>
        <v>3787.878787878788</v>
      </c>
      <c r="G12760" s="51">
        <f>ROUNDUP(F12760*(E12760/21)/E12721,0)</f>
        <v>25</v>
      </c>
    </row>
    <row r="12761" spans="1:7" x14ac:dyDescent="0.25">
      <c r="A12761" s="50" t="s">
        <v>79</v>
      </c>
      <c r="B12761" s="72" t="str">
        <f>VLOOKUP(A12761,'Componentes APUs'!$A$1:$D$14,2,0)</f>
        <v>Gafas protectoras filtro UV</v>
      </c>
      <c r="C12761" s="73"/>
      <c r="D12761" s="50" t="str">
        <f>VLOOKUP(A12761,'Componentes APUs'!$A$1:$D$14,3,0)</f>
        <v>U</v>
      </c>
      <c r="E12761" s="50">
        <f>SUM(C12735:C12742)</f>
        <v>4.75</v>
      </c>
      <c r="F12761" s="51">
        <f>VLOOKUP(A12761,'Componentes APUs'!$A$1:$D$14,4,0)</f>
        <v>2777.7777777777778</v>
      </c>
      <c r="G12761" s="51">
        <f>ROUNDUP(F12761*(E12761/21)/E12721,0)</f>
        <v>18</v>
      </c>
    </row>
    <row r="12762" spans="1:7" x14ac:dyDescent="0.25">
      <c r="A12762" s="69" t="s">
        <v>402</v>
      </c>
      <c r="B12762" s="72" t="str">
        <f>VLOOKUP(A12762,'Componentes APUs'!$A$1:$D$14,2,0)</f>
        <v>Bota de seguridad PVC dielectrica</v>
      </c>
      <c r="C12762" s="73"/>
      <c r="D12762" s="50" t="str">
        <f>VLOOKUP(A12762,'Componentes APUs'!$A$1:$D$14,3,0)</f>
        <v>Par</v>
      </c>
      <c r="E12762" s="50">
        <f>SUM(C12735:C12742)</f>
        <v>4.75</v>
      </c>
      <c r="F12762" s="51">
        <f>VLOOKUP(A12762,'Componentes APUs'!$A$1:$D$14,4,0)</f>
        <v>2916.6666666666665</v>
      </c>
      <c r="G12762" s="51">
        <f>ROUNDUP(F12762*(E12762/21)/E12721,0)</f>
        <v>19</v>
      </c>
    </row>
    <row r="12763" spans="1:7" x14ac:dyDescent="0.25">
      <c r="A12763" s="50" t="s">
        <v>403</v>
      </c>
      <c r="B12763" s="72" t="str">
        <f>VLOOKUP(A12763,'Componentes APUs'!$A$1:$D$14,2,0)</f>
        <v>Capuchon</v>
      </c>
      <c r="C12763" s="73"/>
      <c r="D12763" s="50" t="str">
        <f>VLOOKUP(A12763,'Componentes APUs'!$A$1:$D$14,3,0)</f>
        <v>U</v>
      </c>
      <c r="E12763" s="50">
        <f>SUM(C12735:C12742)</f>
        <v>4.75</v>
      </c>
      <c r="F12763" s="51">
        <f>VLOOKUP(A12763,'Componentes APUs'!$A$1:$D$14,4,0)</f>
        <v>2525.2525252525252</v>
      </c>
      <c r="G12763" s="51">
        <f>ROUNDUP(F12763*(E12763/21)/E12721,0)</f>
        <v>17</v>
      </c>
    </row>
    <row r="12764" spans="1:7" x14ac:dyDescent="0.25">
      <c r="A12764" s="69" t="s">
        <v>81</v>
      </c>
      <c r="B12764" s="72" t="str">
        <f>VLOOKUP(A12764,'Componentes APUs'!$A$1:$D$14,2,0)</f>
        <v>Guantes Protectores  - ingeniero reforzados</v>
      </c>
      <c r="C12764" s="73"/>
      <c r="D12764" s="50" t="str">
        <f>VLOOKUP(A12764,'Componentes APUs'!$A$1:$D$14,3,0)</f>
        <v>Par</v>
      </c>
      <c r="E12764" s="50">
        <f>C12737+C12738+C12740</f>
        <v>4</v>
      </c>
      <c r="F12764" s="51">
        <f>VLOOKUP(A12764,'Componentes APUs'!$A$1:$D$14,4,0)</f>
        <v>2525.2525252525252</v>
      </c>
      <c r="G12764" s="51">
        <f>ROUNDUP(F12764*(E12764/21)/E12721,0)</f>
        <v>14</v>
      </c>
    </row>
    <row r="12765" spans="1:7" x14ac:dyDescent="0.25">
      <c r="A12765" s="50" t="s">
        <v>83</v>
      </c>
      <c r="B12765" s="72" t="str">
        <f>VLOOKUP(A12765,'Componentes APUs'!$A$1:$D$14,2,0)</f>
        <v>Impermeable (pantalon camisa)</v>
      </c>
      <c r="C12765" s="73"/>
      <c r="D12765" s="50" t="str">
        <f>VLOOKUP(A12765,'Componentes APUs'!$A$1:$D$14,3,0)</f>
        <v>U</v>
      </c>
      <c r="E12765" s="50">
        <f>SUM(C12735:C12742)</f>
        <v>4.75</v>
      </c>
      <c r="F12765" s="51">
        <f>VLOOKUP(A12765,'Componentes APUs'!$A$1:$D$14,4,0)</f>
        <v>3750</v>
      </c>
      <c r="G12765" s="51">
        <f>ROUNDUP(F12765*(E12765/21)/E12721,0)</f>
        <v>25</v>
      </c>
    </row>
    <row r="12766" spans="1:7" x14ac:dyDescent="0.25">
      <c r="A12766" s="69" t="s">
        <v>85</v>
      </c>
      <c r="B12766" s="72" t="str">
        <f>VLOOKUP(A12766,'Componentes APUs'!$A$1:$D$14,2,0)</f>
        <v>Jean Dielectrico</v>
      </c>
      <c r="C12766" s="73"/>
      <c r="D12766" s="50" t="str">
        <f>VLOOKUP(A12766,'Componentes APUs'!$A$1:$D$14,3,0)</f>
        <v>U</v>
      </c>
      <c r="E12766" s="50">
        <f>SUM(C12735:C12742)</f>
        <v>4.75</v>
      </c>
      <c r="F12766" s="51">
        <f>VLOOKUP(A12766,'Componentes APUs'!$A$1:$D$14,4,0)</f>
        <v>7575.757575757576</v>
      </c>
      <c r="G12766" s="51">
        <f>ROUNDUP(F12766*(E12766/21)/E12721,0)</f>
        <v>49</v>
      </c>
    </row>
    <row r="12767" spans="1:7" x14ac:dyDescent="0.25">
      <c r="A12767" s="50" t="s">
        <v>87</v>
      </c>
      <c r="B12767" s="72" t="str">
        <f>VLOOKUP(A12767,'Componentes APUs'!$A$1:$D$14,2,0)</f>
        <v>Casco dielectrico Tipo 2 Clase E con barboquejo</v>
      </c>
      <c r="C12767" s="73"/>
      <c r="D12767" s="50" t="str">
        <f>VLOOKUP(A12767,'Componentes APUs'!$A$1:$D$14,3,0)</f>
        <v>U</v>
      </c>
      <c r="E12767" s="53">
        <f>IF(A12737="MO-3",C12737,0)</f>
        <v>2</v>
      </c>
      <c r="F12767" s="51">
        <f>VLOOKUP(A12767,'Componentes APUs'!$A$1:$D$14,4,0)</f>
        <v>7500</v>
      </c>
      <c r="G12767" s="51">
        <f>ROUNDUP(F12767*(E12767/21)/E12721,0)</f>
        <v>21</v>
      </c>
    </row>
    <row r="12768" spans="1:7" x14ac:dyDescent="0.25">
      <c r="A12768" s="69" t="s">
        <v>89</v>
      </c>
      <c r="B12768" s="72" t="str">
        <f>VLOOKUP(A12768,'Componentes APUs'!$A$1:$D$14,2,0)</f>
        <v>Kit de rescate para trabajo en alturas</v>
      </c>
      <c r="C12768" s="73"/>
      <c r="D12768" s="50" t="str">
        <f>VLOOKUP(A12768,'Componentes APUs'!$A$1:$D$14,3,0)</f>
        <v>U</v>
      </c>
      <c r="E12768" s="50">
        <f>IF(AND(A12737="MO-3",C12737=2),1,0)</f>
        <v>1</v>
      </c>
      <c r="F12768" s="51">
        <f>VLOOKUP(A12768,'Componentes APUs'!$A$1:$D$14,4,0)</f>
        <v>37500</v>
      </c>
      <c r="G12768" s="51">
        <f>ROUNDUP(F12768*(E12768/21)/E12721,0)</f>
        <v>52</v>
      </c>
    </row>
    <row r="12769" spans="1:7" x14ac:dyDescent="0.25">
      <c r="A12769" s="50" t="s">
        <v>91</v>
      </c>
      <c r="B12769" s="72" t="str">
        <f>VLOOKUP(A12769,'Componentes APUs'!$A$1:$D$14,2,0)</f>
        <v>Equipo completo para trabajo en alturas con pretales (Arnes dielectrico, 1 mosqueton de seguridad, tie off dielectrico, eslinga de posicionamiento, juego de pretales)</v>
      </c>
      <c r="C12769" s="73"/>
      <c r="D12769" s="50" t="str">
        <f>VLOOKUP(A12769,'Componentes APUs'!$A$1:$D$14,3,0)</f>
        <v>U</v>
      </c>
      <c r="E12769" s="50">
        <f>IF(A12737="MO-3",C12737,0)</f>
        <v>2</v>
      </c>
      <c r="F12769" s="51">
        <f>VLOOKUP(A12769,'Componentes APUs'!$A$1:$D$14,4,0)</f>
        <v>26041.666666666668</v>
      </c>
      <c r="G12769" s="51">
        <f>ROUNDUP(F12769*(E12769/21)/E12721,0)</f>
        <v>71</v>
      </c>
    </row>
    <row r="12770" spans="1:7" x14ac:dyDescent="0.25">
      <c r="A12770" s="219" t="s">
        <v>95</v>
      </c>
      <c r="B12770" s="219"/>
      <c r="C12770" s="219"/>
      <c r="D12770" s="219"/>
      <c r="E12770" s="219"/>
      <c r="F12770" s="219"/>
      <c r="G12770" s="52">
        <f>SUM(G12757:G12769)</f>
        <v>478</v>
      </c>
    </row>
    <row r="12771" spans="1:7" x14ac:dyDescent="0.25">
      <c r="A12771" s="56"/>
      <c r="B12771" s="57"/>
      <c r="C12771" s="57"/>
      <c r="D12771" s="57"/>
      <c r="E12771" s="57"/>
      <c r="F12771" s="57"/>
      <c r="G12771" s="58"/>
    </row>
    <row r="12772" spans="1:7" x14ac:dyDescent="0.25">
      <c r="A12772" s="219" t="s">
        <v>96</v>
      </c>
      <c r="B12772" s="219"/>
      <c r="C12772" s="219"/>
      <c r="D12772" s="219"/>
      <c r="E12772" s="219"/>
      <c r="F12772" s="219"/>
      <c r="G12772" s="219"/>
    </row>
    <row r="12773" spans="1:7" x14ac:dyDescent="0.25">
      <c r="A12773" s="49" t="s">
        <v>35</v>
      </c>
      <c r="B12773" s="225" t="s">
        <v>36</v>
      </c>
      <c r="C12773" s="225"/>
      <c r="D12773" s="49" t="s">
        <v>37</v>
      </c>
      <c r="E12773" s="49" t="s">
        <v>38</v>
      </c>
      <c r="F12773" s="49" t="s">
        <v>39</v>
      </c>
      <c r="G12773" s="49" t="s">
        <v>40</v>
      </c>
    </row>
    <row r="12774" spans="1:7" x14ac:dyDescent="0.25">
      <c r="A12774" s="69" t="s">
        <v>97</v>
      </c>
      <c r="B12774" s="72" t="str">
        <f>VLOOKUP(A12774,'Componentes APUs'!$N$1:$Q$30,2,0)</f>
        <v>Camioneta</v>
      </c>
      <c r="C12774" s="73"/>
      <c r="D12774" s="70" t="str">
        <f>VLOOKUP(A12774,'Componentes APUs'!$N$1:$Q$30,3,0)</f>
        <v>U</v>
      </c>
      <c r="E12774" s="50">
        <v>1</v>
      </c>
      <c r="F12774" s="51">
        <f>VLOOKUP(A12774,'Componentes APUs'!$N$1:$Q$30,4,0)</f>
        <v>5500000</v>
      </c>
      <c r="G12774" s="51">
        <f>IFERROR(ROUNDUP(F12774*(E12774/21)/E12721,0),"-")</f>
        <v>7483</v>
      </c>
    </row>
    <row r="12775" spans="1:7" x14ac:dyDescent="0.25">
      <c r="A12775" s="50" t="s">
        <v>321</v>
      </c>
      <c r="B12775" s="72" t="str">
        <f>VLOOKUP(A12775,'Componentes APUs'!$N$1:$Q$30,2,0)</f>
        <v>Grúa Hidráulica</v>
      </c>
      <c r="C12775" s="73"/>
      <c r="D12775" s="70" t="str">
        <f>VLOOKUP(A12775,'Componentes APUs'!$N$1:$Q$30,3,0)</f>
        <v>U</v>
      </c>
      <c r="E12775" s="50">
        <v>0</v>
      </c>
      <c r="F12775" s="51">
        <f>VLOOKUP(A12775,'Componentes APUs'!$N$1:$Q$30,4,0)</f>
        <v>21000000</v>
      </c>
      <c r="G12775" s="51">
        <f>IFERROR(ROUNDUP(F12775*(E12775/21)/E12721,0),"-")</f>
        <v>0</v>
      </c>
    </row>
    <row r="12776" spans="1:7" x14ac:dyDescent="0.25">
      <c r="A12776" s="69" t="s">
        <v>322</v>
      </c>
      <c r="B12776" s="72" t="str">
        <f>VLOOKUP(A12776,'Componentes APUs'!$N$1:$Q$30,2,0)</f>
        <v>Camabaja</v>
      </c>
      <c r="C12776" s="73"/>
      <c r="D12776" s="70" t="str">
        <f>VLOOKUP(A12776,'Componentes APUs'!$N$1:$Q$30,3,0)</f>
        <v>TON/KM</v>
      </c>
      <c r="E12776" s="50">
        <v>0</v>
      </c>
      <c r="F12776" s="51">
        <f>VLOOKUP(A12776,'Componentes APUs'!$N$1:$Q$30,4,0)</f>
        <v>611</v>
      </c>
      <c r="G12776" s="51">
        <f>E12776*F12776</f>
        <v>0</v>
      </c>
    </row>
    <row r="12777" spans="1:7" x14ac:dyDescent="0.25">
      <c r="A12777" s="50" t="s">
        <v>323</v>
      </c>
      <c r="B12777" s="72" t="str">
        <f>VLOOKUP(A12777,'Componentes APUs'!$N$1:$Q$30,2,0)</f>
        <v>Volqueta</v>
      </c>
      <c r="C12777" s="73"/>
      <c r="D12777" s="70" t="str">
        <f>VLOOKUP(A12777,'Componentes APUs'!$N$1:$Q$30,3,0)</f>
        <v>U</v>
      </c>
      <c r="E12777" s="50">
        <v>0</v>
      </c>
      <c r="F12777" s="51">
        <f>VLOOKUP(A12777,'Componentes APUs'!$N$1:$Q$30,4,0)</f>
        <v>14828184</v>
      </c>
      <c r="G12777" s="51">
        <f>IFERROR(ROUNDUP(F12777*(E12777/21)/E12721,0),"-")</f>
        <v>0</v>
      </c>
    </row>
    <row r="12778" spans="1:7" x14ac:dyDescent="0.25">
      <c r="A12778" s="69" t="s">
        <v>324</v>
      </c>
      <c r="B12778" s="72" t="str">
        <f>VLOOKUP(A12778,'Componentes APUs'!$N$1:$Q$30,2,0)</f>
        <v>Retroexcavadora</v>
      </c>
      <c r="C12778" s="73"/>
      <c r="D12778" s="70" t="str">
        <f>VLOOKUP(A12778,'Componentes APUs'!$N$1:$Q$30,3,0)</f>
        <v>U</v>
      </c>
      <c r="E12778" s="50">
        <v>0</v>
      </c>
      <c r="F12778" s="51">
        <f>VLOOKUP(A12778,'Componentes APUs'!$N$1:$Q$30,4,0)</f>
        <v>46030656</v>
      </c>
      <c r="G12778" s="51">
        <f>IFERROR(ROUNDUP(F12778*(E12778/21)/E12721,0),"-")</f>
        <v>0</v>
      </c>
    </row>
    <row r="12779" spans="1:7" x14ac:dyDescent="0.25">
      <c r="A12779" s="219" t="s">
        <v>99</v>
      </c>
      <c r="B12779" s="219"/>
      <c r="C12779" s="219"/>
      <c r="D12779" s="219"/>
      <c r="E12779" s="219"/>
      <c r="F12779" s="219"/>
      <c r="G12779" s="52">
        <f>SUM(G12774:G12778)</f>
        <v>7483</v>
      </c>
    </row>
    <row r="12780" spans="1:7" x14ac:dyDescent="0.25">
      <c r="A12780" s="56"/>
      <c r="B12780" s="57"/>
      <c r="C12780" s="57"/>
      <c r="D12780" s="57"/>
      <c r="E12780" s="57"/>
      <c r="F12780" s="57"/>
      <c r="G12780" s="58"/>
    </row>
    <row r="12781" spans="1:7" x14ac:dyDescent="0.25">
      <c r="A12781" s="219" t="s">
        <v>1516</v>
      </c>
      <c r="B12781" s="219"/>
      <c r="C12781" s="219"/>
      <c r="D12781" s="219"/>
      <c r="E12781" s="219"/>
      <c r="F12781" s="219"/>
      <c r="G12781" s="52">
        <f>G12779+G12770+G12753+G12743+G12731</f>
        <v>2108408</v>
      </c>
    </row>
    <row r="12782" spans="1:7" x14ac:dyDescent="0.25">
      <c r="A12782" s="59"/>
      <c r="B12782" s="60"/>
      <c r="C12782" s="60"/>
      <c r="D12782" s="60"/>
      <c r="E12782" s="57"/>
      <c r="F12782" s="57"/>
      <c r="G12782" s="58"/>
    </row>
    <row r="12783" spans="1:7" x14ac:dyDescent="0.25">
      <c r="A12783" s="64"/>
      <c r="D12783" s="55"/>
      <c r="E12783" s="49" t="s">
        <v>25</v>
      </c>
      <c r="F12783" s="54">
        <v>0.15</v>
      </c>
      <c r="G12783" s="51">
        <f>G12781*F12783</f>
        <v>316261.2</v>
      </c>
    </row>
    <row r="12784" spans="1:7" x14ac:dyDescent="0.25">
      <c r="A12784" s="64"/>
      <c r="D12784" s="55"/>
      <c r="E12784" s="49" t="s">
        <v>26</v>
      </c>
      <c r="F12784" s="54">
        <v>0.05</v>
      </c>
      <c r="G12784" s="51">
        <f>G12781*F12784</f>
        <v>105420.40000000001</v>
      </c>
    </row>
    <row r="12785" spans="1:7" x14ac:dyDescent="0.25">
      <c r="A12785" s="61"/>
      <c r="B12785" s="65"/>
      <c r="C12785" s="65"/>
      <c r="D12785" s="62"/>
      <c r="E12785" s="49" t="s">
        <v>27</v>
      </c>
      <c r="F12785" s="54">
        <v>0.05</v>
      </c>
      <c r="G12785" s="51">
        <f>G12781*F12785</f>
        <v>105420.40000000001</v>
      </c>
    </row>
    <row r="12786" spans="1:7" x14ac:dyDescent="0.25">
      <c r="A12786" s="61"/>
      <c r="B12786" s="62"/>
      <c r="C12786" s="62"/>
      <c r="D12786" s="62"/>
      <c r="E12786" s="62"/>
      <c r="F12786" s="62"/>
      <c r="G12786" s="63"/>
    </row>
    <row r="12787" spans="1:7" x14ac:dyDescent="0.25">
      <c r="A12787" s="219" t="s">
        <v>1517</v>
      </c>
      <c r="B12787" s="219"/>
      <c r="C12787" s="219"/>
      <c r="D12787" s="219"/>
      <c r="E12787" s="219"/>
      <c r="F12787" s="219"/>
      <c r="G12787" s="52">
        <f>G12781+G12783+G12784+G12785</f>
        <v>2635510</v>
      </c>
    </row>
    <row r="12788" spans="1:7" x14ac:dyDescent="0.25">
      <c r="A12788" s="59"/>
      <c r="B12788" s="60"/>
      <c r="C12788" s="60"/>
      <c r="D12788" s="60"/>
      <c r="E12788" s="57"/>
      <c r="F12788" s="57"/>
      <c r="G12788" s="58"/>
    </row>
    <row r="12789" spans="1:7" x14ac:dyDescent="0.25">
      <c r="A12789" s="64"/>
      <c r="D12789" s="55"/>
      <c r="E12789" s="49" t="s">
        <v>102</v>
      </c>
      <c r="F12789" s="49" t="s">
        <v>103</v>
      </c>
      <c r="G12789" s="51">
        <f>G12785*19%</f>
        <v>20029.876</v>
      </c>
    </row>
    <row r="12790" spans="1:7" x14ac:dyDescent="0.25">
      <c r="A12790" s="61"/>
      <c r="B12790" s="62"/>
      <c r="C12790" s="62"/>
      <c r="D12790" s="62"/>
      <c r="E12790" s="57"/>
      <c r="F12790" s="57"/>
      <c r="G12790" s="58"/>
    </row>
    <row r="12791" spans="1:7" x14ac:dyDescent="0.25">
      <c r="A12791" s="219" t="s">
        <v>104</v>
      </c>
      <c r="B12791" s="219"/>
      <c r="C12791" s="219"/>
      <c r="D12791" s="219"/>
      <c r="E12791" s="219"/>
      <c r="F12791" s="219"/>
      <c r="G12791" s="52">
        <f>G12789+G12787</f>
        <v>2655539.8760000002</v>
      </c>
    </row>
    <row r="12793" spans="1:7" x14ac:dyDescent="0.25">
      <c r="A12793" s="74" t="s">
        <v>29</v>
      </c>
      <c r="B12793" s="226" t="s">
        <v>30</v>
      </c>
      <c r="C12793" s="226"/>
      <c r="D12793" s="74" t="s">
        <v>31</v>
      </c>
      <c r="E12793" s="74" t="s">
        <v>32</v>
      </c>
      <c r="F12793" s="74" t="s">
        <v>189</v>
      </c>
      <c r="G12793" s="74" t="s">
        <v>33</v>
      </c>
    </row>
    <row r="12794" spans="1:7" ht="34.5" customHeight="1" x14ac:dyDescent="0.25">
      <c r="A12794" s="50" t="str">
        <f>Presupuesto!B234</f>
        <v>041_N3</v>
      </c>
      <c r="B12794" s="220" t="str">
        <f>Presupuesto!C234</f>
        <v>SUMINISTRO E INSTALACIÓN DE CANALIZACIÓN  EN TUBERIA PVC DE 6" PARA CABLES DE POTENCIA</v>
      </c>
      <c r="C12794" s="220"/>
      <c r="D12794" s="50" t="s">
        <v>108</v>
      </c>
      <c r="E12794" s="50">
        <v>134</v>
      </c>
      <c r="F12794" s="50"/>
      <c r="G12794" s="51">
        <f>G12863</f>
        <v>121291.10950000001</v>
      </c>
    </row>
    <row r="12795" spans="1:7" x14ac:dyDescent="0.25">
      <c r="A12795" s="219" t="s">
        <v>34</v>
      </c>
      <c r="B12795" s="219"/>
      <c r="C12795" s="219"/>
      <c r="D12795" s="219"/>
      <c r="E12795" s="219"/>
      <c r="F12795" s="219"/>
      <c r="G12795" s="219"/>
    </row>
    <row r="12796" spans="1:7" x14ac:dyDescent="0.25">
      <c r="A12796" s="49" t="s">
        <v>35</v>
      </c>
      <c r="B12796" s="219" t="s">
        <v>36</v>
      </c>
      <c r="C12796" s="219"/>
      <c r="D12796" s="49" t="s">
        <v>37</v>
      </c>
      <c r="E12796" s="49" t="s">
        <v>38</v>
      </c>
      <c r="F12796" s="49" t="s">
        <v>39</v>
      </c>
      <c r="G12796" s="49" t="s">
        <v>40</v>
      </c>
    </row>
    <row r="12797" spans="1:7" x14ac:dyDescent="0.25">
      <c r="A12797" s="17" t="str">
        <f>Material!A422</f>
        <v>MA-421</v>
      </c>
      <c r="B12797" s="72" t="str">
        <f>IFERROR(VLOOKUP(A12797,Material!$A:$H,2,0),"-")</f>
        <v>TUBO PVC 6"</v>
      </c>
      <c r="C12797" s="73"/>
      <c r="D12797" s="50" t="str">
        <f>IFERROR(VLOOKUP(A12797,Material!$A:$H,4,0),"-")</f>
        <v>ML</v>
      </c>
      <c r="E12797" s="50">
        <v>1</v>
      </c>
      <c r="F12797" s="51">
        <f>IFERROR(VLOOKUP(A12797,Material!$A:$H,3,0),"-")</f>
        <v>65650</v>
      </c>
      <c r="G12797" s="51">
        <f t="shared" ref="G12797:G12804" si="180">IFERROR(ROUNDUP(F12797*E12797,0),"-")</f>
        <v>65650</v>
      </c>
    </row>
    <row r="12798" spans="1:7" x14ac:dyDescent="0.25">
      <c r="A12798" s="17" t="str">
        <f>Material!A423</f>
        <v>MA-422</v>
      </c>
      <c r="B12798" s="72" t="str">
        <f>IFERROR(VLOOKUP(A12798,Material!$A:$H,2,0),"-")</f>
        <v>CURVA PVC 6" DB</v>
      </c>
      <c r="C12798" s="73"/>
      <c r="D12798" s="50" t="str">
        <f>IFERROR(VLOOKUP(A12798,Material!$A:$H,4,0),"-")</f>
        <v>UN</v>
      </c>
      <c r="E12798" s="50">
        <f>1/10</f>
        <v>0.1</v>
      </c>
      <c r="F12798" s="51">
        <f>IFERROR(VLOOKUP(A12798,Material!$A:$H,3,0),"-")</f>
        <v>129090</v>
      </c>
      <c r="G12798" s="51">
        <f t="shared" si="180"/>
        <v>12909</v>
      </c>
    </row>
    <row r="12799" spans="1:7" x14ac:dyDescent="0.25">
      <c r="A12799" s="17" t="str">
        <f>Material!A434</f>
        <v>MA-433</v>
      </c>
      <c r="B12799" s="72" t="str">
        <f>IFERROR(VLOOKUP(A12799,Material!$A:$H,2,0),"-")</f>
        <v>CAMPANA PVC 6"</v>
      </c>
      <c r="C12799" s="73"/>
      <c r="D12799" s="50" t="s">
        <v>108</v>
      </c>
      <c r="E12799" s="107">
        <f>1/30</f>
        <v>3.3333333333333333E-2</v>
      </c>
      <c r="F12799" s="51">
        <f>IFERROR(VLOOKUP(A12799,Material!$A:$H,3,0),"-")</f>
        <v>21190</v>
      </c>
      <c r="G12799" s="51">
        <f t="shared" si="180"/>
        <v>707</v>
      </c>
    </row>
    <row r="12800" spans="1:7" x14ac:dyDescent="0.25">
      <c r="A12800" s="17" t="str">
        <f>Material!A201</f>
        <v>MA-200</v>
      </c>
      <c r="B12800" s="72" t="str">
        <f>IFERROR(VLOOKUP(A12800,Material!$A:$H,2,0),"-")</f>
        <v>SOLDADURA PVC 1/4 GL</v>
      </c>
      <c r="C12800" s="73"/>
      <c r="D12800" s="50" t="str">
        <f>IFERROR(VLOOKUP(A12800,Material!$A:$H,4,0),"-")</f>
        <v>GALÓN</v>
      </c>
      <c r="E12800" s="50">
        <v>6.6659999999999997E-2</v>
      </c>
      <c r="F12800" s="51">
        <f>IFERROR(VLOOKUP(A12800,Material!$A:$H,3,0),"-")</f>
        <v>88270</v>
      </c>
      <c r="G12800" s="51">
        <f t="shared" si="180"/>
        <v>5885</v>
      </c>
    </row>
    <row r="12801" spans="1:7" x14ac:dyDescent="0.25">
      <c r="A12801" s="17" t="str">
        <f>Material!A253</f>
        <v>MA-252</v>
      </c>
      <c r="B12801" s="72" t="str">
        <f>IFERROR(VLOOKUP(A12801,Material!$A:$H,2,0),"-")</f>
        <v>LIMPIADOR DE TUBERÍA PVC 1/4 GL</v>
      </c>
      <c r="C12801" s="73"/>
      <c r="D12801" s="50" t="str">
        <f>IFERROR(VLOOKUP(A12801,Material!$A:$H,4,0),"-")</f>
        <v>GALÓN</v>
      </c>
      <c r="E12801" s="50">
        <v>6.6659999999999997E-2</v>
      </c>
      <c r="F12801" s="51">
        <f>IFERROR(VLOOKUP(A12801,Material!$A:$H,3,0),"-")</f>
        <v>60970</v>
      </c>
      <c r="G12801" s="51">
        <f t="shared" si="180"/>
        <v>4065</v>
      </c>
    </row>
    <row r="12802" spans="1:7" x14ac:dyDescent="0.25">
      <c r="A12802" s="17"/>
      <c r="B12802" s="72" t="str">
        <f>IFERROR(VLOOKUP(A12802,Material!$A:$H,2,0),"-")</f>
        <v>-</v>
      </c>
      <c r="C12802" s="73"/>
      <c r="D12802" s="50" t="str">
        <f>IFERROR(VLOOKUP(A12802,Material!$A:$H,4,0),"-")</f>
        <v>-</v>
      </c>
      <c r="E12802" s="50"/>
      <c r="F12802" s="51" t="str">
        <f>IFERROR(VLOOKUP(A12802,Material!$A:$H,3,0),"-")</f>
        <v>-</v>
      </c>
      <c r="G12802" s="51" t="str">
        <f t="shared" si="180"/>
        <v>-</v>
      </c>
    </row>
    <row r="12803" spans="1:7" x14ac:dyDescent="0.25">
      <c r="A12803" s="17"/>
      <c r="B12803" s="72" t="str">
        <f>IFERROR(VLOOKUP(A12803,Material!$A:$H,2,0),"-")</f>
        <v>-</v>
      </c>
      <c r="C12803" s="73"/>
      <c r="D12803" s="50" t="str">
        <f>IFERROR(VLOOKUP(A12803,Material!$A:$H,4,0),"-")</f>
        <v>-</v>
      </c>
      <c r="E12803" s="50"/>
      <c r="F12803" s="51" t="str">
        <f>IFERROR(VLOOKUP(A12803,Material!$A:$H,3,0),"-")</f>
        <v>-</v>
      </c>
      <c r="G12803" s="51" t="str">
        <f t="shared" si="180"/>
        <v>-</v>
      </c>
    </row>
    <row r="12804" spans="1:7" x14ac:dyDescent="0.25">
      <c r="A12804" s="17"/>
      <c r="B12804" s="72" t="str">
        <f>IFERROR(VLOOKUP(A12804,Material!$A:$H,2,0),"-")</f>
        <v>-</v>
      </c>
      <c r="C12804" s="73"/>
      <c r="D12804" s="50" t="str">
        <f>IFERROR(VLOOKUP(A12804,Material!$A:$H,4,0),"-")</f>
        <v>-</v>
      </c>
      <c r="E12804" s="50"/>
      <c r="F12804" s="51" t="str">
        <f>IFERROR(VLOOKUP(A12804,Material!$A:$H,3,0),"-")</f>
        <v>-</v>
      </c>
      <c r="G12804" s="51" t="str">
        <f t="shared" si="180"/>
        <v>-</v>
      </c>
    </row>
    <row r="12805" spans="1:7" x14ac:dyDescent="0.25">
      <c r="A12805" s="219" t="s">
        <v>41</v>
      </c>
      <c r="B12805" s="219"/>
      <c r="C12805" s="219"/>
      <c r="D12805" s="219"/>
      <c r="E12805" s="219"/>
      <c r="F12805" s="219"/>
      <c r="G12805" s="52">
        <f>SUM(G12797:G12804)</f>
        <v>89216</v>
      </c>
    </row>
    <row r="12806" spans="1:7" x14ac:dyDescent="0.25">
      <c r="A12806" s="56"/>
      <c r="B12806" s="57"/>
      <c r="C12806" s="57"/>
      <c r="D12806" s="57"/>
      <c r="E12806" s="57"/>
      <c r="F12806" s="57"/>
      <c r="G12806" s="58"/>
    </row>
    <row r="12807" spans="1:7" x14ac:dyDescent="0.25">
      <c r="A12807" s="219" t="s">
        <v>42</v>
      </c>
      <c r="B12807" s="219"/>
      <c r="C12807" s="219"/>
      <c r="D12807" s="219"/>
      <c r="E12807" s="219"/>
      <c r="F12807" s="219"/>
      <c r="G12807" s="219"/>
    </row>
    <row r="12808" spans="1:7" x14ac:dyDescent="0.25">
      <c r="A12808" s="49" t="s">
        <v>35</v>
      </c>
      <c r="B12808" s="49" t="s">
        <v>36</v>
      </c>
      <c r="C12808" s="49" t="s">
        <v>38</v>
      </c>
      <c r="D12808" s="49" t="s">
        <v>43</v>
      </c>
      <c r="E12808" s="49" t="s">
        <v>44</v>
      </c>
      <c r="F12808" s="49" t="s">
        <v>45</v>
      </c>
      <c r="G12808" s="49" t="s">
        <v>40</v>
      </c>
    </row>
    <row r="12809" spans="1:7" x14ac:dyDescent="0.25">
      <c r="A12809" s="50" t="s">
        <v>319</v>
      </c>
      <c r="B12809" s="68" t="str">
        <f>VLOOKUP(A12809,'Componentes APUs'!$H$1:$L$25,2,0)</f>
        <v>Ingeniero Residente de Obra</v>
      </c>
      <c r="C12809" s="93">
        <v>0.25</v>
      </c>
      <c r="D12809" s="50">
        <f>VLOOKUP(A12809,'Componentes APUs'!$H$1:$L$25,3,0)</f>
        <v>4</v>
      </c>
      <c r="E12809" s="51">
        <f>VLOOKUP(A12809,'Componentes APUs'!$H$1:$L$25,4,0)</f>
        <v>271142.85714285716</v>
      </c>
      <c r="F12809" s="51">
        <f>VLOOKUP(A12809,'Componentes APUs'!$H$1:$L$25,5,0)</f>
        <v>162685.71428571429</v>
      </c>
      <c r="G12809" s="51">
        <f>ROUNDUP((E12809+F12809)*C12809/E12794,0)</f>
        <v>810</v>
      </c>
    </row>
    <row r="12810" spans="1:7" x14ac:dyDescent="0.25">
      <c r="A12810" s="50" t="s">
        <v>320</v>
      </c>
      <c r="B12810" s="68" t="str">
        <f>VLOOKUP(A12810,'Componentes APUs'!$H$1:$L$25,2,0)</f>
        <v>Tecnico Supervisor</v>
      </c>
      <c r="C12810" s="93">
        <v>0.25</v>
      </c>
      <c r="D12810" s="50">
        <f>VLOOKUP(A12810,'Componentes APUs'!$H$1:$L$25,3,0)</f>
        <v>2.2999999999999998</v>
      </c>
      <c r="E12810" s="51">
        <f>VLOOKUP(A12810,'Componentes APUs'!$H$1:$L$25,4,0)</f>
        <v>155907.14285714284</v>
      </c>
      <c r="F12810" s="51">
        <f>VLOOKUP(A12810,'Componentes APUs'!$H$1:$L$25,5,0)</f>
        <v>93544.285714285696</v>
      </c>
      <c r="G12810" s="51">
        <f>ROUNDUP((E12810+F12810)*C12810/E12794,0)</f>
        <v>466</v>
      </c>
    </row>
    <row r="12811" spans="1:7" x14ac:dyDescent="0.25">
      <c r="A12811" s="50" t="s">
        <v>1160</v>
      </c>
      <c r="B12811" s="68" t="str">
        <f>VLOOKUP(A12811,'Componentes APUs'!$H$1:$L$25,2,0)</f>
        <v>Oficial Eléctrico</v>
      </c>
      <c r="C12811" s="93">
        <v>1</v>
      </c>
      <c r="D12811" s="50">
        <f>VLOOKUP(A12811,'Componentes APUs'!$H$1:$L$25,3,0)</f>
        <v>2</v>
      </c>
      <c r="E12811" s="51">
        <f>VLOOKUP(A12811,'Componentes APUs'!$H$1:$L$25,4,0)</f>
        <v>154619.04761904763</v>
      </c>
      <c r="F12811" s="51">
        <f>VLOOKUP(A12811,'Componentes APUs'!$H$1:$L$25,5,0)</f>
        <v>92771.42857142858</v>
      </c>
      <c r="G12811" s="51">
        <f>ROUNDUP((E12811+F12811)*C12811/E12794,0)</f>
        <v>1847</v>
      </c>
    </row>
    <row r="12812" spans="1:7" x14ac:dyDescent="0.25">
      <c r="A12812" s="50" t="s">
        <v>48</v>
      </c>
      <c r="B12812" s="68" t="str">
        <f>VLOOKUP(A12812,'Componentes APUs'!$H$1:$L$25,2,0)</f>
        <v>Ayudante Calificado</v>
      </c>
      <c r="C12812" s="93">
        <v>1</v>
      </c>
      <c r="D12812" s="50">
        <f>VLOOKUP(A12812,'Componentes APUs'!$H$1:$L$25,3,0)</f>
        <v>1.5</v>
      </c>
      <c r="E12812" s="51">
        <f>VLOOKUP(A12812,'Componentes APUs'!$H$1:$L$25,4,0)</f>
        <v>115964.28571428571</v>
      </c>
      <c r="F12812" s="51">
        <f>VLOOKUP(A12812,'Componentes APUs'!$H$1:$L$25,5,0)</f>
        <v>69578.57142857142</v>
      </c>
      <c r="G12812" s="51">
        <f>ROUNDUP((E12812+F12812)*C12812/E12794,0)</f>
        <v>1385</v>
      </c>
    </row>
    <row r="12813" spans="1:7" x14ac:dyDescent="0.25">
      <c r="A12813" s="50" t="s">
        <v>50</v>
      </c>
      <c r="B12813" s="68" t="str">
        <f>VLOOKUP(A12813,'Componentes APUs'!$H$1:$L$25,2,0)</f>
        <v>Profesional en SST</v>
      </c>
      <c r="C12813" s="93">
        <v>0.25</v>
      </c>
      <c r="D12813" s="50">
        <f>VLOOKUP(A12813,'Componentes APUs'!$H$1:$L$25,3,0)</f>
        <v>2.5</v>
      </c>
      <c r="E12813" s="51">
        <f>VLOOKUP(A12813,'Componentes APUs'!$H$1:$L$25,4,0)</f>
        <v>169464.28571428571</v>
      </c>
      <c r="F12813" s="51">
        <f>VLOOKUP(A12813,'Componentes APUs'!$H$1:$L$25,5,0)</f>
        <v>101678.57142857142</v>
      </c>
      <c r="G12813" s="51">
        <f>ROUNDUP((E12813+F12813)*C12813/E12794,0)</f>
        <v>506</v>
      </c>
    </row>
    <row r="12814" spans="1:7" x14ac:dyDescent="0.25">
      <c r="A12814" s="50" t="s">
        <v>52</v>
      </c>
      <c r="B12814" s="68" t="str">
        <f>VLOOKUP(A12814,'Componentes APUs'!$H$1:$L$25,2,0)</f>
        <v>Ayudante No Calificado</v>
      </c>
      <c r="C12814" s="93">
        <v>0</v>
      </c>
      <c r="D12814" s="50">
        <f>VLOOKUP(A12814,'Componentes APUs'!$H$1:$L$25,3,0)</f>
        <v>1</v>
      </c>
      <c r="E12814" s="51">
        <f>VLOOKUP(A12814,'Componentes APUs'!$H$1:$L$25,4,0)</f>
        <v>77309.523809523816</v>
      </c>
      <c r="F12814" s="51">
        <f>VLOOKUP(A12814,'Componentes APUs'!$H$1:$L$25,5,0)</f>
        <v>46385.71428571429</v>
      </c>
      <c r="G12814" s="51">
        <f>ROUNDUP((E12814+F12814)*C12814/E12794,0)</f>
        <v>0</v>
      </c>
    </row>
    <row r="12815" spans="1:7" x14ac:dyDescent="0.25">
      <c r="A12815" s="219" t="s">
        <v>56</v>
      </c>
      <c r="B12815" s="219"/>
      <c r="C12815" s="219"/>
      <c r="D12815" s="219"/>
      <c r="E12815" s="219"/>
      <c r="F12815" s="219"/>
      <c r="G12815" s="52">
        <f>SUM(G12809:G12814)</f>
        <v>5014</v>
      </c>
    </row>
    <row r="12816" spans="1:7" x14ac:dyDescent="0.25">
      <c r="A12816" s="56"/>
      <c r="B12816" s="57"/>
      <c r="C12816" s="57"/>
      <c r="D12816" s="57"/>
      <c r="E12816" s="57"/>
      <c r="F12816" s="57"/>
      <c r="G12816" s="58"/>
    </row>
    <row r="12817" spans="1:7" x14ac:dyDescent="0.25">
      <c r="A12817" s="219" t="s">
        <v>57</v>
      </c>
      <c r="B12817" s="219"/>
      <c r="C12817" s="219"/>
      <c r="D12817" s="219"/>
      <c r="E12817" s="219"/>
      <c r="F12817" s="219"/>
      <c r="G12817" s="219"/>
    </row>
    <row r="12818" spans="1:7" x14ac:dyDescent="0.25">
      <c r="A12818" s="49" t="s">
        <v>35</v>
      </c>
      <c r="B12818" s="219" t="s">
        <v>36</v>
      </c>
      <c r="C12818" s="219"/>
      <c r="D12818" s="49" t="s">
        <v>37</v>
      </c>
      <c r="E12818" s="49" t="s">
        <v>38</v>
      </c>
      <c r="F12818" s="49" t="s">
        <v>39</v>
      </c>
      <c r="G12818" s="49" t="s">
        <v>40</v>
      </c>
    </row>
    <row r="12819" spans="1:7" x14ac:dyDescent="0.25">
      <c r="A12819" s="50" t="s">
        <v>326</v>
      </c>
      <c r="B12819" s="220" t="str">
        <f>VLOOKUP(A12819,'Componentes APUs'!$S$1:$V$10,2,0)</f>
        <v>Juego Llaves</v>
      </c>
      <c r="C12819" s="220"/>
      <c r="D12819" s="50" t="s">
        <v>18</v>
      </c>
      <c r="E12819" s="50">
        <v>2</v>
      </c>
      <c r="F12819" s="51">
        <f>VLOOKUP(A12819,'Componentes APUs'!$S$1:$V$10,4,0)</f>
        <v>9167</v>
      </c>
      <c r="G12819" s="51">
        <f>ROUNDUP(F12819*((E12819/21)/E12794),0)</f>
        <v>7</v>
      </c>
    </row>
    <row r="12820" spans="1:7" x14ac:dyDescent="0.25">
      <c r="A12820" s="50" t="s">
        <v>58</v>
      </c>
      <c r="B12820" s="220" t="str">
        <f>VLOOKUP(A12820,'Componentes APUs'!$S$1:$V$10,2,0)</f>
        <v>Manila de servicio</v>
      </c>
      <c r="C12820" s="220"/>
      <c r="D12820" s="50" t="s">
        <v>18</v>
      </c>
      <c r="E12820" s="50">
        <v>0</v>
      </c>
      <c r="F12820" s="51">
        <f>VLOOKUP(A12820,'Componentes APUs'!$S$1:$V$10,4,0)</f>
        <v>2333</v>
      </c>
      <c r="G12820" s="51">
        <f>ROUNDUP(F12820*((E12820/21)/E12794),0)</f>
        <v>0</v>
      </c>
    </row>
    <row r="12821" spans="1:7" x14ac:dyDescent="0.25">
      <c r="A12821" s="50" t="s">
        <v>327</v>
      </c>
      <c r="B12821" s="220" t="str">
        <f>VLOOKUP(A12821,'Componentes APUs'!$S$1:$V$10,2,0)</f>
        <v>Tula portaherramientas</v>
      </c>
      <c r="C12821" s="220"/>
      <c r="D12821" s="50" t="s">
        <v>18</v>
      </c>
      <c r="E12821" s="50">
        <v>2</v>
      </c>
      <c r="F12821" s="51">
        <f>VLOOKUP(A12821,'Componentes APUs'!$S$1:$V$10,4,0)</f>
        <v>1250</v>
      </c>
      <c r="G12821" s="51">
        <f>ROUNDUP(F12821*((E12821/21)/E12794),0)</f>
        <v>1</v>
      </c>
    </row>
    <row r="12822" spans="1:7" x14ac:dyDescent="0.25">
      <c r="A12822" s="50" t="s">
        <v>60</v>
      </c>
      <c r="B12822" s="220" t="str">
        <f>VLOOKUP(A12822,'Componentes APUs'!$S$1:$V$10,2,0)</f>
        <v>Agarradoras</v>
      </c>
      <c r="C12822" s="220"/>
      <c r="D12822" s="50" t="s">
        <v>18</v>
      </c>
      <c r="E12822" s="50">
        <v>0</v>
      </c>
      <c r="F12822" s="51">
        <f>VLOOKUP(A12822,'Componentes APUs'!$S$1:$V$10,4,0)</f>
        <v>125000</v>
      </c>
      <c r="G12822" s="51">
        <f>ROUNDUP(F12822*((E12822/21)/E12794),0)</f>
        <v>0</v>
      </c>
    </row>
    <row r="12823" spans="1:7" x14ac:dyDescent="0.25">
      <c r="A12823" s="50" t="s">
        <v>62</v>
      </c>
      <c r="B12823" s="220" t="str">
        <f>VLOOKUP(A12823,'Componentes APUs'!$S$1:$V$10,2,0)</f>
        <v>Templadoras</v>
      </c>
      <c r="C12823" s="220"/>
      <c r="D12823" s="50" t="s">
        <v>18</v>
      </c>
      <c r="E12823" s="50">
        <v>0</v>
      </c>
      <c r="F12823" s="51">
        <f>VLOOKUP(A12823,'Componentes APUs'!$S$1:$V$10,4,0)</f>
        <v>250000</v>
      </c>
      <c r="G12823" s="51">
        <f>ROUNDUP(F12823*((E12823/21)/E12794),0)</f>
        <v>0</v>
      </c>
    </row>
    <row r="12824" spans="1:7" x14ac:dyDescent="0.25">
      <c r="A12824" s="50" t="s">
        <v>328</v>
      </c>
      <c r="B12824" s="220" t="str">
        <f>VLOOKUP(A12824,'Componentes APUs'!$S$1:$V$10,2,0)</f>
        <v>Herramienta Menor</v>
      </c>
      <c r="C12824" s="220"/>
      <c r="D12824" s="50" t="s">
        <v>18</v>
      </c>
      <c r="E12824" s="50">
        <v>2</v>
      </c>
      <c r="F12824" s="51">
        <f>VLOOKUP(A12824,'Componentes APUs'!$S$1:$V$10,4,0)</f>
        <v>75758</v>
      </c>
      <c r="G12824" s="51">
        <f>ROUNDUP(F12824*((E12824/21)/E12794),0)</f>
        <v>54</v>
      </c>
    </row>
    <row r="12825" spans="1:7" x14ac:dyDescent="0.25">
      <c r="A12825" s="219" t="s">
        <v>69</v>
      </c>
      <c r="B12825" s="219"/>
      <c r="C12825" s="219"/>
      <c r="D12825" s="219"/>
      <c r="E12825" s="219"/>
      <c r="F12825" s="219"/>
      <c r="G12825" s="52">
        <f>SUM(G12819:G12824)</f>
        <v>62</v>
      </c>
    </row>
    <row r="12826" spans="1:7" x14ac:dyDescent="0.25">
      <c r="A12826" s="56"/>
      <c r="B12826" s="57"/>
      <c r="C12826" s="57"/>
      <c r="D12826" s="57"/>
      <c r="E12826" s="57"/>
      <c r="F12826" s="57"/>
      <c r="G12826" s="58"/>
    </row>
    <row r="12827" spans="1:7" x14ac:dyDescent="0.25">
      <c r="A12827" s="219" t="s">
        <v>70</v>
      </c>
      <c r="B12827" s="219"/>
      <c r="C12827" s="219"/>
      <c r="D12827" s="219"/>
      <c r="E12827" s="219"/>
      <c r="F12827" s="219"/>
      <c r="G12827" s="219"/>
    </row>
    <row r="12828" spans="1:7" x14ac:dyDescent="0.25">
      <c r="A12828" s="49" t="s">
        <v>35</v>
      </c>
      <c r="B12828" s="219" t="s">
        <v>36</v>
      </c>
      <c r="C12828" s="219"/>
      <c r="D12828" s="49" t="s">
        <v>37</v>
      </c>
      <c r="E12828" s="49" t="s">
        <v>38</v>
      </c>
      <c r="F12828" s="49" t="s">
        <v>39</v>
      </c>
      <c r="G12828" s="49" t="s">
        <v>40</v>
      </c>
    </row>
    <row r="12829" spans="1:7" x14ac:dyDescent="0.25">
      <c r="A12829" s="50" t="s">
        <v>71</v>
      </c>
      <c r="B12829" s="71" t="str">
        <f>VLOOKUP(A12829,'Componentes APUs'!$A$1:$D$14,2,0)</f>
        <v>Camisa indigo sin partes metalicas</v>
      </c>
      <c r="C12829" s="71"/>
      <c r="D12829" s="50" t="str">
        <f>VLOOKUP(A12829,'Componentes APUs'!$A$1:$D$14,3,0)</f>
        <v>U</v>
      </c>
      <c r="E12829" s="50">
        <f>SUM(C12809:C12814)</f>
        <v>2.75</v>
      </c>
      <c r="F12829" s="51">
        <f>VLOOKUP(A12829,'Componentes APUs'!$A$1:$D$14,4,0)</f>
        <v>8585.8585858585866</v>
      </c>
      <c r="G12829" s="51">
        <f>ROUNDUP(F12829*(E12829/21)/E12794,0)</f>
        <v>9</v>
      </c>
    </row>
    <row r="12830" spans="1:7" x14ac:dyDescent="0.25">
      <c r="A12830" s="69" t="s">
        <v>73</v>
      </c>
      <c r="B12830" s="72" t="str">
        <f>VLOOKUP(A12830,'Componentes APUs'!$A$1:$D$14,2,0)</f>
        <v>Bota de seguridad dielectrica</v>
      </c>
      <c r="C12830" s="73"/>
      <c r="D12830" s="70" t="str">
        <f>VLOOKUP(A12830,'Componentes APUs'!$A$1:$D$14,3,0)</f>
        <v>Par</v>
      </c>
      <c r="E12830" s="50">
        <f>SUM(C12809:C12814)</f>
        <v>2.75</v>
      </c>
      <c r="F12830" s="51">
        <f>VLOOKUP(A12830,'Componentes APUs'!$A$1:$D$14,4,0)</f>
        <v>7500</v>
      </c>
      <c r="G12830" s="51">
        <f>ROUNDUP(F12830*(E12830/21)/E12794,0)</f>
        <v>8</v>
      </c>
    </row>
    <row r="12831" spans="1:7" x14ac:dyDescent="0.25">
      <c r="A12831" s="50" t="s">
        <v>76</v>
      </c>
      <c r="B12831" s="72" t="str">
        <f>VLOOKUP(A12831,'Componentes APUs'!$A$1:$D$14,2,0)</f>
        <v>Casco dielectrico Tipo 1 Clase E con barbuquejo</v>
      </c>
      <c r="C12831" s="73"/>
      <c r="D12831" s="50" t="str">
        <f>VLOOKUP(A12831,'Componentes APUs'!$A$1:$D$14,3,0)</f>
        <v>U</v>
      </c>
      <c r="E12831" s="50">
        <f>C12809+C12812+C12813+C12810+C12814+IF(A12811&lt;&gt;"MO-3",C12811,0)</f>
        <v>2.75</v>
      </c>
      <c r="F12831" s="51">
        <f>VLOOKUP(A12831,'Componentes APUs'!$A$1:$D$14,4,0)</f>
        <v>10101.010101010101</v>
      </c>
      <c r="G12831" s="51">
        <f>ROUNDUP(F12831*(E12831/21)/E12794,0)</f>
        <v>10</v>
      </c>
    </row>
    <row r="12832" spans="1:7" x14ac:dyDescent="0.25">
      <c r="A12832" s="69" t="s">
        <v>77</v>
      </c>
      <c r="B12832" s="72" t="str">
        <f>VLOOKUP(A12832,'Componentes APUs'!$A$1:$D$14,2,0)</f>
        <v>Correa plastica y antiflama</v>
      </c>
      <c r="C12832" s="73"/>
      <c r="D12832" s="50" t="str">
        <f>VLOOKUP(A12832,'Componentes APUs'!$A$1:$D$14,3,0)</f>
        <v>U</v>
      </c>
      <c r="E12832" s="50">
        <f>SUM(C12809:C12814)</f>
        <v>2.75</v>
      </c>
      <c r="F12832" s="51">
        <f>VLOOKUP(A12832,'Componentes APUs'!$A$1:$D$14,4,0)</f>
        <v>3787.878787878788</v>
      </c>
      <c r="G12832" s="51">
        <f>ROUNDUP(F12832*(E12832/21)/E12794,0)</f>
        <v>4</v>
      </c>
    </row>
    <row r="12833" spans="1:7" x14ac:dyDescent="0.25">
      <c r="A12833" s="50" t="s">
        <v>79</v>
      </c>
      <c r="B12833" s="72" t="str">
        <f>VLOOKUP(A12833,'Componentes APUs'!$A$1:$D$14,2,0)</f>
        <v>Gafas protectoras filtro UV</v>
      </c>
      <c r="C12833" s="73"/>
      <c r="D12833" s="50" t="str">
        <f>VLOOKUP(A12833,'Componentes APUs'!$A$1:$D$14,3,0)</f>
        <v>U</v>
      </c>
      <c r="E12833" s="50">
        <f>SUM(C12809:C12814)</f>
        <v>2.75</v>
      </c>
      <c r="F12833" s="51">
        <f>VLOOKUP(A12833,'Componentes APUs'!$A$1:$D$14,4,0)</f>
        <v>2777.7777777777778</v>
      </c>
      <c r="G12833" s="51">
        <f>ROUNDUP(F12833*(E12833/21)/E12794,0)</f>
        <v>3</v>
      </c>
    </row>
    <row r="12834" spans="1:7" x14ac:dyDescent="0.25">
      <c r="A12834" s="69" t="s">
        <v>402</v>
      </c>
      <c r="B12834" s="72" t="str">
        <f>VLOOKUP(A12834,'Componentes APUs'!$A$1:$D$14,2,0)</f>
        <v>Bota de seguridad PVC dielectrica</v>
      </c>
      <c r="C12834" s="73"/>
      <c r="D12834" s="50" t="str">
        <f>VLOOKUP(A12834,'Componentes APUs'!$A$1:$D$14,3,0)</f>
        <v>Par</v>
      </c>
      <c r="E12834" s="50">
        <f>SUM(C12809:C12814)</f>
        <v>2.75</v>
      </c>
      <c r="F12834" s="51">
        <f>VLOOKUP(A12834,'Componentes APUs'!$A$1:$D$14,4,0)</f>
        <v>2916.6666666666665</v>
      </c>
      <c r="G12834" s="51">
        <f>ROUNDUP(F12834*(E12834/21)/E12794,0)</f>
        <v>3</v>
      </c>
    </row>
    <row r="12835" spans="1:7" x14ac:dyDescent="0.25">
      <c r="A12835" s="50" t="s">
        <v>403</v>
      </c>
      <c r="B12835" s="72" t="str">
        <f>VLOOKUP(A12835,'Componentes APUs'!$A$1:$D$14,2,0)</f>
        <v>Capuchon</v>
      </c>
      <c r="C12835" s="73"/>
      <c r="D12835" s="50" t="str">
        <f>VLOOKUP(A12835,'Componentes APUs'!$A$1:$D$14,3,0)</f>
        <v>U</v>
      </c>
      <c r="E12835" s="50">
        <f>SUM(C12809:C12814)</f>
        <v>2.75</v>
      </c>
      <c r="F12835" s="51">
        <f>VLOOKUP(A12835,'Componentes APUs'!$A$1:$D$14,4,0)</f>
        <v>2525.2525252525252</v>
      </c>
      <c r="G12835" s="51">
        <f>ROUNDUP(F12835*(E12835/21)/E12794,0)</f>
        <v>3</v>
      </c>
    </row>
    <row r="12836" spans="1:7" x14ac:dyDescent="0.25">
      <c r="A12836" s="69" t="s">
        <v>81</v>
      </c>
      <c r="B12836" s="72" t="str">
        <f>VLOOKUP(A12836,'Componentes APUs'!$A$1:$D$14,2,0)</f>
        <v>Guantes Protectores  - ingeniero reforzados</v>
      </c>
      <c r="C12836" s="73"/>
      <c r="D12836" s="50" t="str">
        <f>VLOOKUP(A12836,'Componentes APUs'!$A$1:$D$14,3,0)</f>
        <v>Par</v>
      </c>
      <c r="E12836" s="50">
        <f>C12811+C12812+C12814</f>
        <v>2</v>
      </c>
      <c r="F12836" s="51">
        <f>VLOOKUP(A12836,'Componentes APUs'!$A$1:$D$14,4,0)</f>
        <v>2525.2525252525252</v>
      </c>
      <c r="G12836" s="51">
        <f>ROUNDUP(F12836*(E12836/21)/E12794,0)</f>
        <v>2</v>
      </c>
    </row>
    <row r="12837" spans="1:7" x14ac:dyDescent="0.25">
      <c r="A12837" s="50" t="s">
        <v>83</v>
      </c>
      <c r="B12837" s="72" t="str">
        <f>VLOOKUP(A12837,'Componentes APUs'!$A$1:$D$14,2,0)</f>
        <v>Impermeable (pantalon camisa)</v>
      </c>
      <c r="C12837" s="73"/>
      <c r="D12837" s="50" t="str">
        <f>VLOOKUP(A12837,'Componentes APUs'!$A$1:$D$14,3,0)</f>
        <v>U</v>
      </c>
      <c r="E12837" s="50">
        <f>SUM(C12809:C12814)</f>
        <v>2.75</v>
      </c>
      <c r="F12837" s="51">
        <f>VLOOKUP(A12837,'Componentes APUs'!$A$1:$D$14,4,0)</f>
        <v>3750</v>
      </c>
      <c r="G12837" s="51">
        <f>ROUNDUP(F12837*(E12837/21)/E12794,0)</f>
        <v>4</v>
      </c>
    </row>
    <row r="12838" spans="1:7" x14ac:dyDescent="0.25">
      <c r="A12838" s="69" t="s">
        <v>85</v>
      </c>
      <c r="B12838" s="72" t="str">
        <f>VLOOKUP(A12838,'Componentes APUs'!$A$1:$D$14,2,0)</f>
        <v>Jean Dielectrico</v>
      </c>
      <c r="C12838" s="73"/>
      <c r="D12838" s="50" t="str">
        <f>VLOOKUP(A12838,'Componentes APUs'!$A$1:$D$14,3,0)</f>
        <v>U</v>
      </c>
      <c r="E12838" s="50">
        <f>SUM(C12809:C12814)</f>
        <v>2.75</v>
      </c>
      <c r="F12838" s="51">
        <f>VLOOKUP(A12838,'Componentes APUs'!$A$1:$D$14,4,0)</f>
        <v>7575.757575757576</v>
      </c>
      <c r="G12838" s="51">
        <f>ROUNDUP(F12838*(E12838/21)/E12794,0)</f>
        <v>8</v>
      </c>
    </row>
    <row r="12839" spans="1:7" x14ac:dyDescent="0.25">
      <c r="A12839" s="50" t="s">
        <v>87</v>
      </c>
      <c r="B12839" s="72" t="str">
        <f>VLOOKUP(A12839,'Componentes APUs'!$A$1:$D$14,2,0)</f>
        <v>Casco dielectrico Tipo 2 Clase E con barboquejo</v>
      </c>
      <c r="C12839" s="73"/>
      <c r="D12839" s="50" t="str">
        <f>VLOOKUP(A12839,'Componentes APUs'!$A$1:$D$14,3,0)</f>
        <v>U</v>
      </c>
      <c r="E12839" s="53">
        <f>IF(A12811="MO-3",C12811,0)</f>
        <v>0</v>
      </c>
      <c r="F12839" s="51">
        <f>VLOOKUP(A12839,'Componentes APUs'!$A$1:$D$14,4,0)</f>
        <v>7500</v>
      </c>
      <c r="G12839" s="51">
        <f>ROUNDUP(F12839*(E12839/21)/E12794,0)</f>
        <v>0</v>
      </c>
    </row>
    <row r="12840" spans="1:7" x14ac:dyDescent="0.25">
      <c r="A12840" s="69" t="s">
        <v>89</v>
      </c>
      <c r="B12840" s="72" t="str">
        <f>VLOOKUP(A12840,'Componentes APUs'!$A$1:$D$14,2,0)</f>
        <v>Kit de rescate para trabajo en alturas</v>
      </c>
      <c r="C12840" s="73"/>
      <c r="D12840" s="50" t="str">
        <f>VLOOKUP(A12840,'Componentes APUs'!$A$1:$D$14,3,0)</f>
        <v>U</v>
      </c>
      <c r="E12840" s="50">
        <f>IF(AND(A12811="MO-3",C12811=2),1,0)</f>
        <v>0</v>
      </c>
      <c r="F12840" s="51">
        <f>VLOOKUP(A12840,'Componentes APUs'!$A$1:$D$14,4,0)</f>
        <v>37500</v>
      </c>
      <c r="G12840" s="51">
        <f>ROUNDUP(F12840*(E12840/21)/E12794,0)</f>
        <v>0</v>
      </c>
    </row>
    <row r="12841" spans="1:7" x14ac:dyDescent="0.25">
      <c r="A12841" s="50" t="s">
        <v>91</v>
      </c>
      <c r="B12841" s="72" t="str">
        <f>VLOOKUP(A12841,'Componentes APUs'!$A$1:$D$14,2,0)</f>
        <v>Equipo completo para trabajo en alturas con pretales (Arnes dielectrico, 1 mosqueton de seguridad, tie off dielectrico, eslinga de posicionamiento, juego de pretales)</v>
      </c>
      <c r="C12841" s="73"/>
      <c r="D12841" s="50" t="str">
        <f>VLOOKUP(A12841,'Componentes APUs'!$A$1:$D$14,3,0)</f>
        <v>U</v>
      </c>
      <c r="E12841" s="50">
        <f>IF(A12811="MO-3",C12811,0)</f>
        <v>0</v>
      </c>
      <c r="F12841" s="51">
        <f>VLOOKUP(A12841,'Componentes APUs'!$A$1:$D$14,4,0)</f>
        <v>26041.666666666668</v>
      </c>
      <c r="G12841" s="51">
        <f>ROUNDUP(F12841*(E12841/21)/E12794,0)</f>
        <v>0</v>
      </c>
    </row>
    <row r="12842" spans="1:7" x14ac:dyDescent="0.25">
      <c r="A12842" s="219" t="s">
        <v>95</v>
      </c>
      <c r="B12842" s="219"/>
      <c r="C12842" s="219"/>
      <c r="D12842" s="219"/>
      <c r="E12842" s="219"/>
      <c r="F12842" s="219"/>
      <c r="G12842" s="52">
        <f>SUM(G12829:G12841)</f>
        <v>54</v>
      </c>
    </row>
    <row r="12843" spans="1:7" x14ac:dyDescent="0.25">
      <c r="A12843" s="56"/>
      <c r="B12843" s="57"/>
      <c r="C12843" s="57"/>
      <c r="D12843" s="57"/>
      <c r="E12843" s="57"/>
      <c r="F12843" s="57"/>
      <c r="G12843" s="58"/>
    </row>
    <row r="12844" spans="1:7" x14ac:dyDescent="0.25">
      <c r="A12844" s="219" t="s">
        <v>96</v>
      </c>
      <c r="B12844" s="219"/>
      <c r="C12844" s="219"/>
      <c r="D12844" s="219"/>
      <c r="E12844" s="219"/>
      <c r="F12844" s="219"/>
      <c r="G12844" s="219"/>
    </row>
    <row r="12845" spans="1:7" x14ac:dyDescent="0.25">
      <c r="A12845" s="49" t="s">
        <v>35</v>
      </c>
      <c r="B12845" s="225" t="s">
        <v>36</v>
      </c>
      <c r="C12845" s="225"/>
      <c r="D12845" s="49" t="s">
        <v>37</v>
      </c>
      <c r="E12845" s="49" t="s">
        <v>38</v>
      </c>
      <c r="F12845" s="49" t="s">
        <v>39</v>
      </c>
      <c r="G12845" s="49" t="s">
        <v>40</v>
      </c>
    </row>
    <row r="12846" spans="1:7" x14ac:dyDescent="0.25">
      <c r="A12846" s="69" t="s">
        <v>97</v>
      </c>
      <c r="B12846" s="72" t="str">
        <f>VLOOKUP(A12846,'Componentes APUs'!$N$1:$Q$30,2,0)</f>
        <v>Camioneta</v>
      </c>
      <c r="C12846" s="73"/>
      <c r="D12846" s="70" t="str">
        <f>VLOOKUP(A12846,'Componentes APUs'!$N$1:$Q$30,3,0)</f>
        <v>U</v>
      </c>
      <c r="E12846" s="50">
        <v>1</v>
      </c>
      <c r="F12846" s="51">
        <f>VLOOKUP(A12846,'Componentes APUs'!$N$1:$Q$30,4,0)</f>
        <v>5500000</v>
      </c>
      <c r="G12846" s="51">
        <f>IFERROR(ROUNDUP(F12846*(E12846/21)/E12794,0),"-")</f>
        <v>1955</v>
      </c>
    </row>
    <row r="12847" spans="1:7" x14ac:dyDescent="0.25">
      <c r="A12847" s="50" t="s">
        <v>321</v>
      </c>
      <c r="B12847" s="72" t="str">
        <f>VLOOKUP(A12847,'Componentes APUs'!$N$1:$Q$30,2,0)</f>
        <v>Grúa Hidráulica</v>
      </c>
      <c r="C12847" s="73"/>
      <c r="D12847" s="70" t="str">
        <f>VLOOKUP(A12847,'Componentes APUs'!$N$1:$Q$30,3,0)</f>
        <v>U</v>
      </c>
      <c r="E12847" s="50">
        <v>0</v>
      </c>
      <c r="F12847" s="51">
        <f>VLOOKUP(A12847,'Componentes APUs'!$N$1:$Q$30,4,0)</f>
        <v>21000000</v>
      </c>
      <c r="G12847" s="51">
        <f>IFERROR(ROUNDUP(F12847*(E12847/21)/E12794,0),"-")</f>
        <v>0</v>
      </c>
    </row>
    <row r="12848" spans="1:7" x14ac:dyDescent="0.25">
      <c r="A12848" s="69" t="s">
        <v>322</v>
      </c>
      <c r="B12848" s="72" t="str">
        <f>VLOOKUP(A12848,'Componentes APUs'!$N$1:$Q$30,2,0)</f>
        <v>Camabaja</v>
      </c>
      <c r="C12848" s="73"/>
      <c r="D12848" s="70" t="str">
        <f>VLOOKUP(A12848,'Componentes APUs'!$N$1:$Q$30,3,0)</f>
        <v>TON/KM</v>
      </c>
      <c r="E12848" s="50">
        <v>0</v>
      </c>
      <c r="F12848" s="51">
        <f>VLOOKUP(A12848,'Componentes APUs'!$N$1:$Q$30,4,0)</f>
        <v>611</v>
      </c>
      <c r="G12848" s="51">
        <f>IFERROR(ROUNDUP(F12848*(E12848/21)/E12794,0),"-")</f>
        <v>0</v>
      </c>
    </row>
    <row r="12849" spans="1:7" x14ac:dyDescent="0.25">
      <c r="A12849" s="50" t="s">
        <v>323</v>
      </c>
      <c r="B12849" s="72" t="str">
        <f>VLOOKUP(A12849,'Componentes APUs'!$N$1:$Q$30,2,0)</f>
        <v>Volqueta</v>
      </c>
      <c r="C12849" s="73"/>
      <c r="D12849" s="70" t="str">
        <f>VLOOKUP(A12849,'Componentes APUs'!$N$1:$Q$30,3,0)</f>
        <v>U</v>
      </c>
      <c r="E12849" s="50">
        <v>0</v>
      </c>
      <c r="F12849" s="51">
        <f>VLOOKUP(A12849,'Componentes APUs'!$N$1:$Q$30,4,0)</f>
        <v>14828184</v>
      </c>
      <c r="G12849" s="51">
        <f>IFERROR(ROUNDUP(F12849*(E12849/21)/E12794,0),"-")</f>
        <v>0</v>
      </c>
    </row>
    <row r="12850" spans="1:7" x14ac:dyDescent="0.25">
      <c r="A12850" s="69" t="s">
        <v>324</v>
      </c>
      <c r="B12850" s="72" t="str">
        <f>VLOOKUP(A12850,'Componentes APUs'!$N$1:$Q$30,2,0)</f>
        <v>Retroexcavadora</v>
      </c>
      <c r="C12850" s="73"/>
      <c r="D12850" s="70" t="str">
        <f>VLOOKUP(A12850,'Componentes APUs'!$N$1:$Q$30,3,0)</f>
        <v>U</v>
      </c>
      <c r="E12850" s="50">
        <v>0</v>
      </c>
      <c r="F12850" s="51">
        <f>VLOOKUP(A12850,'Componentes APUs'!$N$1:$Q$30,4,0)</f>
        <v>46030656</v>
      </c>
      <c r="G12850" s="51">
        <f>IFERROR(ROUNDUP(F12850*(E12850/21)/E12794,0),"-")</f>
        <v>0</v>
      </c>
    </row>
    <row r="12851" spans="1:7" x14ac:dyDescent="0.25">
      <c r="A12851" s="219" t="s">
        <v>99</v>
      </c>
      <c r="B12851" s="219"/>
      <c r="C12851" s="219"/>
      <c r="D12851" s="219"/>
      <c r="E12851" s="219"/>
      <c r="F12851" s="219"/>
      <c r="G12851" s="52">
        <f>SUM(G12846:G12850)</f>
        <v>1955</v>
      </c>
    </row>
    <row r="12852" spans="1:7" x14ac:dyDescent="0.25">
      <c r="A12852" s="56"/>
      <c r="B12852" s="57"/>
      <c r="C12852" s="57"/>
      <c r="D12852" s="57"/>
      <c r="E12852" s="57"/>
      <c r="F12852" s="57"/>
      <c r="G12852" s="58"/>
    </row>
    <row r="12853" spans="1:7" x14ac:dyDescent="0.25">
      <c r="A12853" s="219" t="s">
        <v>1516</v>
      </c>
      <c r="B12853" s="219"/>
      <c r="C12853" s="219"/>
      <c r="D12853" s="219"/>
      <c r="E12853" s="219"/>
      <c r="F12853" s="219"/>
      <c r="G12853" s="52">
        <f>G12851+G12842+G12825+G12815+G12805</f>
        <v>96301</v>
      </c>
    </row>
    <row r="12854" spans="1:7" x14ac:dyDescent="0.25">
      <c r="A12854" s="59"/>
      <c r="B12854" s="60"/>
      <c r="C12854" s="60"/>
      <c r="D12854" s="60"/>
      <c r="E12854" s="57"/>
      <c r="F12854" s="57"/>
      <c r="G12854" s="58"/>
    </row>
    <row r="12855" spans="1:7" x14ac:dyDescent="0.25">
      <c r="A12855" s="64"/>
      <c r="D12855" s="55"/>
      <c r="E12855" s="49" t="s">
        <v>25</v>
      </c>
      <c r="F12855" s="54">
        <v>0.15</v>
      </c>
      <c r="G12855" s="51">
        <f>G12853*F12855</f>
        <v>14445.15</v>
      </c>
    </row>
    <row r="12856" spans="1:7" x14ac:dyDescent="0.25">
      <c r="A12856" s="64"/>
      <c r="D12856" s="55"/>
      <c r="E12856" s="49" t="s">
        <v>26</v>
      </c>
      <c r="F12856" s="54">
        <v>0.05</v>
      </c>
      <c r="G12856" s="51">
        <f>G12853*F12856</f>
        <v>4815.05</v>
      </c>
    </row>
    <row r="12857" spans="1:7" x14ac:dyDescent="0.25">
      <c r="A12857" s="61"/>
      <c r="B12857" s="65"/>
      <c r="C12857" s="65"/>
      <c r="D12857" s="62"/>
      <c r="E12857" s="49" t="s">
        <v>27</v>
      </c>
      <c r="F12857" s="54">
        <v>0.05</v>
      </c>
      <c r="G12857" s="51">
        <f>G12853*F12857</f>
        <v>4815.05</v>
      </c>
    </row>
    <row r="12858" spans="1:7" x14ac:dyDescent="0.25">
      <c r="A12858" s="61"/>
      <c r="B12858" s="62"/>
      <c r="C12858" s="62"/>
      <c r="D12858" s="62"/>
      <c r="E12858" s="62"/>
      <c r="F12858" s="62"/>
      <c r="G12858" s="63"/>
    </row>
    <row r="12859" spans="1:7" x14ac:dyDescent="0.25">
      <c r="A12859" s="219" t="s">
        <v>1517</v>
      </c>
      <c r="B12859" s="219"/>
      <c r="C12859" s="219"/>
      <c r="D12859" s="219"/>
      <c r="E12859" s="219"/>
      <c r="F12859" s="219"/>
      <c r="G12859" s="52">
        <f>G12853+G12855+G12856+G12857</f>
        <v>120376.25</v>
      </c>
    </row>
    <row r="12860" spans="1:7" x14ac:dyDescent="0.25">
      <c r="A12860" s="59"/>
      <c r="B12860" s="60"/>
      <c r="C12860" s="60"/>
      <c r="D12860" s="60"/>
      <c r="E12860" s="57"/>
      <c r="F12860" s="57"/>
      <c r="G12860" s="58"/>
    </row>
    <row r="12861" spans="1:7" x14ac:dyDescent="0.25">
      <c r="A12861" s="64"/>
      <c r="D12861" s="55"/>
      <c r="E12861" s="49" t="s">
        <v>102</v>
      </c>
      <c r="F12861" s="49" t="s">
        <v>103</v>
      </c>
      <c r="G12861" s="51">
        <f>G12857*19%</f>
        <v>914.85950000000003</v>
      </c>
    </row>
    <row r="12862" spans="1:7" x14ac:dyDescent="0.25">
      <c r="A12862" s="61"/>
      <c r="B12862" s="62"/>
      <c r="C12862" s="62"/>
      <c r="D12862" s="62"/>
      <c r="E12862" s="57"/>
      <c r="F12862" s="57"/>
      <c r="G12862" s="58"/>
    </row>
    <row r="12863" spans="1:7" x14ac:dyDescent="0.25">
      <c r="A12863" s="219" t="s">
        <v>104</v>
      </c>
      <c r="B12863" s="219"/>
      <c r="C12863" s="219"/>
      <c r="D12863" s="219"/>
      <c r="E12863" s="219"/>
      <c r="F12863" s="219"/>
      <c r="G12863" s="52">
        <f>G12861+G12859</f>
        <v>121291.10950000001</v>
      </c>
    </row>
    <row r="12865" spans="1:7" x14ac:dyDescent="0.25">
      <c r="A12865" s="74" t="s">
        <v>29</v>
      </c>
      <c r="B12865" s="226" t="s">
        <v>30</v>
      </c>
      <c r="C12865" s="226"/>
      <c r="D12865" s="74" t="s">
        <v>31</v>
      </c>
      <c r="E12865" s="74" t="s">
        <v>32</v>
      </c>
      <c r="F12865" s="74" t="s">
        <v>189</v>
      </c>
      <c r="G12865" s="74" t="s">
        <v>33</v>
      </c>
    </row>
    <row r="12866" spans="1:7" ht="24.75" customHeight="1" x14ac:dyDescent="0.25">
      <c r="A12866" s="50" t="str">
        <f>Presupuesto!B235</f>
        <v>042_N3</v>
      </c>
      <c r="B12866" s="220" t="str">
        <f>Presupuesto!C235</f>
        <v>SUMINISTRO E INSTALACIÓN DE CABLE DE FIBRA ÓPTICA MULTIMODO DE 2 HILOS. LOOSE TUBE - LSZH- UV</v>
      </c>
      <c r="C12866" s="220"/>
      <c r="D12866" s="50" t="s">
        <v>108</v>
      </c>
      <c r="E12866" s="50">
        <v>100</v>
      </c>
      <c r="F12866" s="50"/>
      <c r="G12866" s="51">
        <f>G12935</f>
        <v>25504.875</v>
      </c>
    </row>
    <row r="12867" spans="1:7" x14ac:dyDescent="0.25">
      <c r="A12867" s="219" t="s">
        <v>34</v>
      </c>
      <c r="B12867" s="219"/>
      <c r="C12867" s="219"/>
      <c r="D12867" s="219"/>
      <c r="E12867" s="219"/>
      <c r="F12867" s="219"/>
      <c r="G12867" s="219"/>
    </row>
    <row r="12868" spans="1:7" x14ac:dyDescent="0.25">
      <c r="A12868" s="49" t="s">
        <v>35</v>
      </c>
      <c r="B12868" s="219" t="s">
        <v>36</v>
      </c>
      <c r="C12868" s="219"/>
      <c r="D12868" s="49" t="s">
        <v>37</v>
      </c>
      <c r="E12868" s="49" t="s">
        <v>38</v>
      </c>
      <c r="F12868" s="49" t="s">
        <v>39</v>
      </c>
      <c r="G12868" s="49" t="s">
        <v>40</v>
      </c>
    </row>
    <row r="12869" spans="1:7" x14ac:dyDescent="0.25">
      <c r="A12869" s="17" t="str">
        <f>Material!A404</f>
        <v>MA-403</v>
      </c>
      <c r="B12869" s="232" t="str">
        <f>IFERROR(VLOOKUP(A12869,Material!$A:$H,2,0),"-")</f>
        <v>FIBRA OPTICA MULTIMODO OM-3 6 HILOS INT-EXT</v>
      </c>
      <c r="C12869" s="233"/>
      <c r="D12869" s="50" t="str">
        <f>IFERROR(VLOOKUP(A12869,Material!$A:$H,4,0),"-")</f>
        <v>UN</v>
      </c>
      <c r="E12869" s="50">
        <v>1</v>
      </c>
      <c r="F12869" s="51">
        <f>IFERROR(VLOOKUP(A12869,Material!$A:$H,3,0),"-")</f>
        <v>8450</v>
      </c>
      <c r="G12869" s="51">
        <f t="shared" ref="G12869:G12875" si="181">IFERROR(ROUNDUP(F12869*E12869,0),"-")</f>
        <v>8450</v>
      </c>
    </row>
    <row r="12870" spans="1:7" x14ac:dyDescent="0.25">
      <c r="A12870" s="17"/>
      <c r="B12870" s="72" t="str">
        <f>IFERROR(VLOOKUP(A12870,Material!$A:$H,2,0),"-")</f>
        <v>-</v>
      </c>
      <c r="C12870" s="73"/>
      <c r="D12870" s="50" t="str">
        <f>IFERROR(VLOOKUP(A12870,Material!$A:$H,4,0),"-")</f>
        <v>-</v>
      </c>
      <c r="E12870" s="50"/>
      <c r="F12870" s="51" t="str">
        <f>IFERROR(VLOOKUP(A12870,Material!$A:$H,3,0),"-")</f>
        <v>-</v>
      </c>
      <c r="G12870" s="51" t="str">
        <f t="shared" si="181"/>
        <v>-</v>
      </c>
    </row>
    <row r="12871" spans="1:7" x14ac:dyDescent="0.25">
      <c r="A12871" s="17"/>
      <c r="B12871" s="72" t="str">
        <f>IFERROR(VLOOKUP(A12871,Material!$A:$H,2,0),"-")</f>
        <v>-</v>
      </c>
      <c r="C12871" s="73"/>
      <c r="D12871" s="50" t="str">
        <f>IFERROR(VLOOKUP(A12871,Material!$A:$H,4,0),"-")</f>
        <v>-</v>
      </c>
      <c r="E12871" s="50"/>
      <c r="F12871" s="51" t="str">
        <f>IFERROR(VLOOKUP(A12871,Material!$A:$H,3,0),"-")</f>
        <v>-</v>
      </c>
      <c r="G12871" s="51" t="str">
        <f t="shared" si="181"/>
        <v>-</v>
      </c>
    </row>
    <row r="12872" spans="1:7" x14ac:dyDescent="0.25">
      <c r="A12872" s="17"/>
      <c r="B12872" s="72" t="str">
        <f>IFERROR(VLOOKUP(A12872,Material!$A:$H,2,0),"-")</f>
        <v>-</v>
      </c>
      <c r="C12872" s="73"/>
      <c r="D12872" s="50" t="str">
        <f>IFERROR(VLOOKUP(A12872,Material!$A:$H,4,0),"-")</f>
        <v>-</v>
      </c>
      <c r="E12872" s="50"/>
      <c r="F12872" s="51" t="str">
        <f>IFERROR(VLOOKUP(A12872,Material!$A:$H,3,0),"-")</f>
        <v>-</v>
      </c>
      <c r="G12872" s="51" t="str">
        <f t="shared" si="181"/>
        <v>-</v>
      </c>
    </row>
    <row r="12873" spans="1:7" x14ac:dyDescent="0.25">
      <c r="A12873" s="17"/>
      <c r="B12873" s="72" t="str">
        <f>IFERROR(VLOOKUP(A12873,Material!$A:$H,2,0),"-")</f>
        <v>-</v>
      </c>
      <c r="C12873" s="73"/>
      <c r="D12873" s="50" t="str">
        <f>IFERROR(VLOOKUP(A12873,Material!$A:$H,4,0),"-")</f>
        <v>-</v>
      </c>
      <c r="E12873" s="50"/>
      <c r="F12873" s="51" t="str">
        <f>IFERROR(VLOOKUP(A12873,Material!$A:$H,3,0),"-")</f>
        <v>-</v>
      </c>
      <c r="G12873" s="51" t="str">
        <f t="shared" si="181"/>
        <v>-</v>
      </c>
    </row>
    <row r="12874" spans="1:7" x14ac:dyDescent="0.25">
      <c r="A12874" s="17"/>
      <c r="B12874" s="75" t="str">
        <f>IFERROR(VLOOKUP(A12874,Material!$A:$H,2,0),"-")</f>
        <v>-</v>
      </c>
      <c r="C12874" s="76"/>
      <c r="D12874" s="50" t="str">
        <f>IFERROR(VLOOKUP(A12874,Material!$A:$H,4,0),"-")</f>
        <v>-</v>
      </c>
      <c r="E12874" s="50"/>
      <c r="F12874" s="51" t="str">
        <f>IFERROR(VLOOKUP(A12874,Material!$A:$H,3,0),"-")</f>
        <v>-</v>
      </c>
      <c r="G12874" s="51" t="str">
        <f t="shared" si="181"/>
        <v>-</v>
      </c>
    </row>
    <row r="12875" spans="1:7" x14ac:dyDescent="0.25">
      <c r="A12875" s="17"/>
      <c r="B12875" s="72" t="str">
        <f>IFERROR(VLOOKUP(A12875,Material!$A:$H,2,0),"-")</f>
        <v>-</v>
      </c>
      <c r="C12875" s="76"/>
      <c r="D12875" s="50" t="str">
        <f>IFERROR(VLOOKUP(A12875,Material!$A:$H,4,0),"-")</f>
        <v>-</v>
      </c>
      <c r="E12875" s="50"/>
      <c r="F12875" s="51" t="str">
        <f>IFERROR(VLOOKUP(A12875,Material!$A:$H,3,0),"-")</f>
        <v>-</v>
      </c>
      <c r="G12875" s="51" t="str">
        <f t="shared" si="181"/>
        <v>-</v>
      </c>
    </row>
    <row r="12876" spans="1:7" x14ac:dyDescent="0.25">
      <c r="A12876" s="219" t="s">
        <v>41</v>
      </c>
      <c r="B12876" s="219"/>
      <c r="C12876" s="219"/>
      <c r="D12876" s="219"/>
      <c r="E12876" s="219"/>
      <c r="F12876" s="219"/>
      <c r="G12876" s="52">
        <f>SUM(G12869:G12875)</f>
        <v>8450</v>
      </c>
    </row>
    <row r="12877" spans="1:7" x14ac:dyDescent="0.25">
      <c r="A12877" s="56"/>
      <c r="B12877" s="57"/>
      <c r="C12877" s="57"/>
      <c r="D12877" s="57"/>
      <c r="E12877" s="57"/>
      <c r="F12877" s="57"/>
      <c r="G12877" s="58"/>
    </row>
    <row r="12878" spans="1:7" x14ac:dyDescent="0.25">
      <c r="A12878" s="219" t="s">
        <v>42</v>
      </c>
      <c r="B12878" s="219"/>
      <c r="C12878" s="219"/>
      <c r="D12878" s="219"/>
      <c r="E12878" s="219"/>
      <c r="F12878" s="219"/>
      <c r="G12878" s="219"/>
    </row>
    <row r="12879" spans="1:7" x14ac:dyDescent="0.25">
      <c r="A12879" s="49" t="s">
        <v>35</v>
      </c>
      <c r="B12879" s="49" t="s">
        <v>36</v>
      </c>
      <c r="C12879" s="49" t="s">
        <v>38</v>
      </c>
      <c r="D12879" s="49" t="s">
        <v>43</v>
      </c>
      <c r="E12879" s="49" t="s">
        <v>44</v>
      </c>
      <c r="F12879" s="49" t="s">
        <v>45</v>
      </c>
      <c r="G12879" s="49" t="s">
        <v>40</v>
      </c>
    </row>
    <row r="12880" spans="1:7" x14ac:dyDescent="0.25">
      <c r="A12880" s="50" t="s">
        <v>319</v>
      </c>
      <c r="B12880" s="68" t="str">
        <f>VLOOKUP(A12880,'Componentes APUs'!$H$1:$L$25,2,0)</f>
        <v>Ingeniero Residente de Obra</v>
      </c>
      <c r="C12880" s="93">
        <v>0.25</v>
      </c>
      <c r="D12880" s="50">
        <f>VLOOKUP(A12880,'Componentes APUs'!$H$1:$L$25,3,0)</f>
        <v>4</v>
      </c>
      <c r="E12880" s="51">
        <f>VLOOKUP(A12880,'Componentes APUs'!$H$1:$L$25,4,0)</f>
        <v>271142.85714285716</v>
      </c>
      <c r="F12880" s="51">
        <f>VLOOKUP(A12880,'Componentes APUs'!$H$1:$L$25,5,0)</f>
        <v>162685.71428571429</v>
      </c>
      <c r="G12880" s="51">
        <f>ROUNDUP((E12880+F12880)*C12880/E12866,0)</f>
        <v>1085</v>
      </c>
    </row>
    <row r="12881" spans="1:7" x14ac:dyDescent="0.25">
      <c r="A12881" s="50" t="s">
        <v>320</v>
      </c>
      <c r="B12881" s="68" t="str">
        <f>VLOOKUP(A12881,'Componentes APUs'!$H$1:$L$25,2,0)</f>
        <v>Tecnico Supervisor</v>
      </c>
      <c r="C12881" s="93">
        <v>0.25</v>
      </c>
      <c r="D12881" s="50">
        <f>VLOOKUP(A12881,'Componentes APUs'!$H$1:$L$25,3,0)</f>
        <v>2.2999999999999998</v>
      </c>
      <c r="E12881" s="51">
        <f>VLOOKUP(A12881,'Componentes APUs'!$H$1:$L$25,4,0)</f>
        <v>155907.14285714284</v>
      </c>
      <c r="F12881" s="51">
        <f>VLOOKUP(A12881,'Componentes APUs'!$H$1:$L$25,5,0)</f>
        <v>93544.285714285696</v>
      </c>
      <c r="G12881" s="51">
        <f>ROUNDUP((E12881+F12881)*C12881/E12866,0)</f>
        <v>624</v>
      </c>
    </row>
    <row r="12882" spans="1:7" x14ac:dyDescent="0.25">
      <c r="A12882" s="50" t="s">
        <v>46</v>
      </c>
      <c r="B12882" s="68" t="str">
        <f>VLOOKUP(A12882,'Componentes APUs'!$H$1:$L$25,2,0)</f>
        <v>Tecnico Liniero</v>
      </c>
      <c r="C12882" s="93">
        <v>1</v>
      </c>
      <c r="D12882" s="50">
        <f>VLOOKUP(A12882,'Componentes APUs'!$H$1:$L$25,3,0)</f>
        <v>2</v>
      </c>
      <c r="E12882" s="51">
        <f>VLOOKUP(A12882,'Componentes APUs'!$H$1:$L$25,4,0)</f>
        <v>154619.04761904763</v>
      </c>
      <c r="F12882" s="51">
        <f>VLOOKUP(A12882,'Componentes APUs'!$H$1:$L$25,5,0)</f>
        <v>92771.42857142858</v>
      </c>
      <c r="G12882" s="51">
        <f>ROUNDUP((E12882+F12882)*C12882/E12866,0)</f>
        <v>2474</v>
      </c>
    </row>
    <row r="12883" spans="1:7" x14ac:dyDescent="0.25">
      <c r="A12883" s="50" t="s">
        <v>48</v>
      </c>
      <c r="B12883" s="68" t="str">
        <f>VLOOKUP(A12883,'Componentes APUs'!$H$1:$L$25,2,0)</f>
        <v>Ayudante Calificado</v>
      </c>
      <c r="C12883" s="93">
        <v>1</v>
      </c>
      <c r="D12883" s="50">
        <f>VLOOKUP(A12883,'Componentes APUs'!$H$1:$L$25,3,0)</f>
        <v>1.5</v>
      </c>
      <c r="E12883" s="51">
        <f>VLOOKUP(A12883,'Componentes APUs'!$H$1:$L$25,4,0)</f>
        <v>115964.28571428571</v>
      </c>
      <c r="F12883" s="51">
        <f>VLOOKUP(A12883,'Componentes APUs'!$H$1:$L$25,5,0)</f>
        <v>69578.57142857142</v>
      </c>
      <c r="G12883" s="51">
        <f>ROUNDUP((E12883+F12883)*C12883/E12866,0)</f>
        <v>1856</v>
      </c>
    </row>
    <row r="12884" spans="1:7" x14ac:dyDescent="0.25">
      <c r="A12884" s="50" t="s">
        <v>50</v>
      </c>
      <c r="B12884" s="68" t="str">
        <f>VLOOKUP(A12884,'Componentes APUs'!$H$1:$L$25,2,0)</f>
        <v>Profesional en SST</v>
      </c>
      <c r="C12884" s="93">
        <v>0.25</v>
      </c>
      <c r="D12884" s="50">
        <f>VLOOKUP(A12884,'Componentes APUs'!$H$1:$L$25,3,0)</f>
        <v>2.5</v>
      </c>
      <c r="E12884" s="51">
        <f>VLOOKUP(A12884,'Componentes APUs'!$H$1:$L$25,4,0)</f>
        <v>169464.28571428571</v>
      </c>
      <c r="F12884" s="51">
        <f>VLOOKUP(A12884,'Componentes APUs'!$H$1:$L$25,5,0)</f>
        <v>101678.57142857142</v>
      </c>
      <c r="G12884" s="51">
        <f>ROUNDUP((E12884+F12884)*C12884/E12866,0)</f>
        <v>678</v>
      </c>
    </row>
    <row r="12885" spans="1:7" x14ac:dyDescent="0.25">
      <c r="A12885" s="50" t="s">
        <v>52</v>
      </c>
      <c r="B12885" s="68" t="str">
        <f>VLOOKUP(A12885,'Componentes APUs'!$H$1:$L$25,2,0)</f>
        <v>Ayudante No Calificado</v>
      </c>
      <c r="C12885" s="93">
        <v>0</v>
      </c>
      <c r="D12885" s="50">
        <f>VLOOKUP(A12885,'Componentes APUs'!$H$1:$L$25,3,0)</f>
        <v>1</v>
      </c>
      <c r="E12885" s="51">
        <f>VLOOKUP(A12885,'Componentes APUs'!$H$1:$L$25,4,0)</f>
        <v>77309.523809523816</v>
      </c>
      <c r="F12885" s="51">
        <f>VLOOKUP(A12885,'Componentes APUs'!$H$1:$L$25,5,0)</f>
        <v>46385.71428571429</v>
      </c>
      <c r="G12885" s="51">
        <f>ROUNDUP((E12885+F12885)*C12885/E12866,0)</f>
        <v>0</v>
      </c>
    </row>
    <row r="12886" spans="1:7" x14ac:dyDescent="0.25">
      <c r="A12886" s="219" t="s">
        <v>56</v>
      </c>
      <c r="B12886" s="219"/>
      <c r="C12886" s="219"/>
      <c r="D12886" s="219"/>
      <c r="E12886" s="219"/>
      <c r="F12886" s="219"/>
      <c r="G12886" s="52">
        <f>SUM(G12880:G12885)</f>
        <v>6717</v>
      </c>
    </row>
    <row r="12887" spans="1:7" x14ac:dyDescent="0.25">
      <c r="A12887" s="56"/>
      <c r="B12887" s="57"/>
      <c r="C12887" s="57"/>
      <c r="D12887" s="57"/>
      <c r="E12887" s="57"/>
      <c r="F12887" s="57"/>
      <c r="G12887" s="58"/>
    </row>
    <row r="12888" spans="1:7" x14ac:dyDescent="0.25">
      <c r="A12888" s="219" t="s">
        <v>57</v>
      </c>
      <c r="B12888" s="219"/>
      <c r="C12888" s="219"/>
      <c r="D12888" s="219"/>
      <c r="E12888" s="219"/>
      <c r="F12888" s="219"/>
      <c r="G12888" s="219"/>
    </row>
    <row r="12889" spans="1:7" x14ac:dyDescent="0.25">
      <c r="A12889" s="49" t="s">
        <v>35</v>
      </c>
      <c r="B12889" s="219" t="s">
        <v>36</v>
      </c>
      <c r="C12889" s="219"/>
      <c r="D12889" s="49" t="s">
        <v>37</v>
      </c>
      <c r="E12889" s="49" t="s">
        <v>38</v>
      </c>
      <c r="F12889" s="49" t="s">
        <v>39</v>
      </c>
      <c r="G12889" s="49" t="s">
        <v>40</v>
      </c>
    </row>
    <row r="12890" spans="1:7" x14ac:dyDescent="0.25">
      <c r="A12890" s="50" t="s">
        <v>326</v>
      </c>
      <c r="B12890" s="220" t="str">
        <f>VLOOKUP(A12890,'Componentes APUs'!$S$1:$V$10,2,0)</f>
        <v>Juego Llaves</v>
      </c>
      <c r="C12890" s="220"/>
      <c r="D12890" s="50" t="s">
        <v>18</v>
      </c>
      <c r="E12890" s="50">
        <v>2</v>
      </c>
      <c r="F12890" s="51">
        <f>VLOOKUP(A12890,'Componentes APUs'!$S$1:$V$10,4,0)</f>
        <v>9167</v>
      </c>
      <c r="G12890" s="51">
        <f>ROUNDUP(F12890*((E12890/21)/E12866),0)</f>
        <v>9</v>
      </c>
    </row>
    <row r="12891" spans="1:7" x14ac:dyDescent="0.25">
      <c r="A12891" s="50" t="s">
        <v>58</v>
      </c>
      <c r="B12891" s="220" t="str">
        <f>VLOOKUP(A12891,'Componentes APUs'!$S$1:$V$10,2,0)</f>
        <v>Manila de servicio</v>
      </c>
      <c r="C12891" s="220"/>
      <c r="D12891" s="50" t="s">
        <v>18</v>
      </c>
      <c r="E12891" s="50">
        <v>2</v>
      </c>
      <c r="F12891" s="51">
        <f>VLOOKUP(A12891,'Componentes APUs'!$S$1:$V$10,4,0)</f>
        <v>2333</v>
      </c>
      <c r="G12891" s="51">
        <f>ROUNDUP(F12891*((E12891/21)/E12866),0)</f>
        <v>3</v>
      </c>
    </row>
    <row r="12892" spans="1:7" x14ac:dyDescent="0.25">
      <c r="A12892" s="50" t="s">
        <v>327</v>
      </c>
      <c r="B12892" s="220" t="str">
        <f>VLOOKUP(A12892,'Componentes APUs'!$S$1:$V$10,2,0)</f>
        <v>Tula portaherramientas</v>
      </c>
      <c r="C12892" s="220"/>
      <c r="D12892" s="50" t="s">
        <v>18</v>
      </c>
      <c r="E12892" s="50">
        <v>2</v>
      </c>
      <c r="F12892" s="51">
        <f>VLOOKUP(A12892,'Componentes APUs'!$S$1:$V$10,4,0)</f>
        <v>1250</v>
      </c>
      <c r="G12892" s="51">
        <f>ROUNDUP(F12892*((E12892/21)/E12866),0)</f>
        <v>2</v>
      </c>
    </row>
    <row r="12893" spans="1:7" x14ac:dyDescent="0.25">
      <c r="A12893" s="50" t="s">
        <v>60</v>
      </c>
      <c r="B12893" s="220" t="str">
        <f>VLOOKUP(A12893,'Componentes APUs'!$S$1:$V$10,2,0)</f>
        <v>Agarradoras</v>
      </c>
      <c r="C12893" s="220"/>
      <c r="D12893" s="50" t="s">
        <v>18</v>
      </c>
      <c r="E12893" s="50">
        <v>0</v>
      </c>
      <c r="F12893" s="51">
        <f>VLOOKUP(A12893,'Componentes APUs'!$S$1:$V$10,4,0)</f>
        <v>125000</v>
      </c>
      <c r="G12893" s="51">
        <f>ROUNDUP(F12893*((E12893/21)/E12866),0)</f>
        <v>0</v>
      </c>
    </row>
    <row r="12894" spans="1:7" x14ac:dyDescent="0.25">
      <c r="A12894" s="50" t="s">
        <v>62</v>
      </c>
      <c r="B12894" s="220" t="str">
        <f>VLOOKUP(A12894,'Componentes APUs'!$S$1:$V$10,2,0)</f>
        <v>Templadoras</v>
      </c>
      <c r="C12894" s="220"/>
      <c r="D12894" s="50" t="s">
        <v>18</v>
      </c>
      <c r="E12894" s="50">
        <v>0</v>
      </c>
      <c r="F12894" s="51">
        <f>VLOOKUP(A12894,'Componentes APUs'!$S$1:$V$10,4,0)</f>
        <v>250000</v>
      </c>
      <c r="G12894" s="51">
        <f>ROUNDUP(F12894*((E12894/21)/E12866),0)</f>
        <v>0</v>
      </c>
    </row>
    <row r="12895" spans="1:7" x14ac:dyDescent="0.25">
      <c r="A12895" s="50" t="s">
        <v>328</v>
      </c>
      <c r="B12895" s="220" t="str">
        <f>VLOOKUP(A12895,'Componentes APUs'!$S$1:$V$10,2,0)</f>
        <v>Herramienta Menor</v>
      </c>
      <c r="C12895" s="220"/>
      <c r="D12895" s="50" t="s">
        <v>18</v>
      </c>
      <c r="E12895" s="50">
        <v>2</v>
      </c>
      <c r="F12895" s="51">
        <f>VLOOKUP(A12895,'Componentes APUs'!$S$1:$V$10,4,0)</f>
        <v>75758</v>
      </c>
      <c r="G12895" s="51">
        <f>ROUNDUP(F12895*((E12895/21)/E12866),0)</f>
        <v>73</v>
      </c>
    </row>
    <row r="12896" spans="1:7" x14ac:dyDescent="0.25">
      <c r="A12896" s="50" t="s">
        <v>64</v>
      </c>
      <c r="B12896" s="220" t="str">
        <f>VLOOKUP(A12896,'Componentes APUs'!$S$1:$V$10,2,0)</f>
        <v>Equipo para trabajo con fibra óptica</v>
      </c>
      <c r="C12896" s="220"/>
      <c r="D12896" s="50" t="s">
        <v>18</v>
      </c>
      <c r="E12896" s="50">
        <v>1</v>
      </c>
      <c r="F12896" s="51">
        <f>VLOOKUP(A12896,'Componentes APUs'!$S$1:$V$10,4,0)</f>
        <v>4814145</v>
      </c>
      <c r="G12896" s="51">
        <f>ROUNDUP(F12896*((E12896/21)/E12866),0)</f>
        <v>2293</v>
      </c>
    </row>
    <row r="12897" spans="1:7" x14ac:dyDescent="0.25">
      <c r="A12897" s="219" t="s">
        <v>69</v>
      </c>
      <c r="B12897" s="219"/>
      <c r="C12897" s="219"/>
      <c r="D12897" s="219"/>
      <c r="E12897" s="219"/>
      <c r="F12897" s="219"/>
      <c r="G12897" s="52">
        <f>SUM(G12890:G12896)</f>
        <v>2380</v>
      </c>
    </row>
    <row r="12898" spans="1:7" x14ac:dyDescent="0.25">
      <c r="A12898" s="56"/>
      <c r="B12898" s="57"/>
      <c r="C12898" s="57"/>
      <c r="D12898" s="57"/>
      <c r="E12898" s="57"/>
      <c r="F12898" s="57"/>
      <c r="G12898" s="58"/>
    </row>
    <row r="12899" spans="1:7" x14ac:dyDescent="0.25">
      <c r="A12899" s="219" t="s">
        <v>70</v>
      </c>
      <c r="B12899" s="219"/>
      <c r="C12899" s="219"/>
      <c r="D12899" s="219"/>
      <c r="E12899" s="219"/>
      <c r="F12899" s="219"/>
      <c r="G12899" s="219"/>
    </row>
    <row r="12900" spans="1:7" x14ac:dyDescent="0.25">
      <c r="A12900" s="49" t="s">
        <v>35</v>
      </c>
      <c r="B12900" s="219" t="s">
        <v>36</v>
      </c>
      <c r="C12900" s="219"/>
      <c r="D12900" s="49" t="s">
        <v>37</v>
      </c>
      <c r="E12900" s="49" t="s">
        <v>38</v>
      </c>
      <c r="F12900" s="49" t="s">
        <v>39</v>
      </c>
      <c r="G12900" s="49" t="s">
        <v>40</v>
      </c>
    </row>
    <row r="12901" spans="1:7" x14ac:dyDescent="0.25">
      <c r="A12901" s="50" t="s">
        <v>71</v>
      </c>
      <c r="B12901" s="71" t="str">
        <f>VLOOKUP(A12901,'Componentes APUs'!$A$1:$D$14,2,0)</f>
        <v>Camisa indigo sin partes metalicas</v>
      </c>
      <c r="C12901" s="71"/>
      <c r="D12901" s="50" t="str">
        <f>VLOOKUP(A12901,'Componentes APUs'!$A$1:$D$14,3,0)</f>
        <v>U</v>
      </c>
      <c r="E12901" s="50">
        <f>SUM(C12880:C12885)</f>
        <v>2.75</v>
      </c>
      <c r="F12901" s="51">
        <f>VLOOKUP(A12901,'Componentes APUs'!$A$1:$D$14,4,0)</f>
        <v>8585.8585858585866</v>
      </c>
      <c r="G12901" s="51">
        <f>ROUNDUP(F12901*(E12901/21)/E12866,0)</f>
        <v>12</v>
      </c>
    </row>
    <row r="12902" spans="1:7" x14ac:dyDescent="0.25">
      <c r="A12902" s="69" t="s">
        <v>73</v>
      </c>
      <c r="B12902" s="72" t="str">
        <f>VLOOKUP(A12902,'Componentes APUs'!$A$1:$D$14,2,0)</f>
        <v>Bota de seguridad dielectrica</v>
      </c>
      <c r="C12902" s="73"/>
      <c r="D12902" s="70" t="str">
        <f>VLOOKUP(A12902,'Componentes APUs'!$A$1:$D$14,3,0)</f>
        <v>Par</v>
      </c>
      <c r="E12902" s="50">
        <f>SUM(C12880:C12885)</f>
        <v>2.75</v>
      </c>
      <c r="F12902" s="51">
        <f>VLOOKUP(A12902,'Componentes APUs'!$A$1:$D$14,4,0)</f>
        <v>7500</v>
      </c>
      <c r="G12902" s="51">
        <f>ROUNDUP(F12902*(E12902/21)/E12866,0)</f>
        <v>10</v>
      </c>
    </row>
    <row r="12903" spans="1:7" x14ac:dyDescent="0.25">
      <c r="A12903" s="50" t="s">
        <v>76</v>
      </c>
      <c r="B12903" s="72" t="str">
        <f>VLOOKUP(A12903,'Componentes APUs'!$A$1:$D$14,2,0)</f>
        <v>Casco dielectrico Tipo 1 Clase E con barbuquejo</v>
      </c>
      <c r="C12903" s="73"/>
      <c r="D12903" s="50" t="str">
        <f>VLOOKUP(A12903,'Componentes APUs'!$A$1:$D$14,3,0)</f>
        <v>U</v>
      </c>
      <c r="E12903" s="50">
        <f>C12881+C12884+C12885+C12880+C12883+IF(A12882&lt;&gt;"MO-3",C12882,0)</f>
        <v>1.75</v>
      </c>
      <c r="F12903" s="51">
        <f>VLOOKUP(A12903,'Componentes APUs'!$A$1:$D$14,4,0)</f>
        <v>10101.010101010101</v>
      </c>
      <c r="G12903" s="51">
        <f>ROUNDUP(F12903*(E12903/21)/E12866,0)</f>
        <v>9</v>
      </c>
    </row>
    <row r="12904" spans="1:7" x14ac:dyDescent="0.25">
      <c r="A12904" s="69" t="s">
        <v>77</v>
      </c>
      <c r="B12904" s="72" t="str">
        <f>VLOOKUP(A12904,'Componentes APUs'!$A$1:$D$14,2,0)</f>
        <v>Correa plastica y antiflama</v>
      </c>
      <c r="C12904" s="73"/>
      <c r="D12904" s="50" t="str">
        <f>VLOOKUP(A12904,'Componentes APUs'!$A$1:$D$14,3,0)</f>
        <v>U</v>
      </c>
      <c r="E12904" s="50">
        <f>SUM(C12880:C12885)</f>
        <v>2.75</v>
      </c>
      <c r="F12904" s="51">
        <f>VLOOKUP(A12904,'Componentes APUs'!$A$1:$D$14,4,0)</f>
        <v>3787.878787878788</v>
      </c>
      <c r="G12904" s="51">
        <f>ROUNDUP(F12904*(E12904/21)/E12866,0)</f>
        <v>5</v>
      </c>
    </row>
    <row r="12905" spans="1:7" x14ac:dyDescent="0.25">
      <c r="A12905" s="50" t="s">
        <v>79</v>
      </c>
      <c r="B12905" s="72" t="str">
        <f>VLOOKUP(A12905,'Componentes APUs'!$A$1:$D$14,2,0)</f>
        <v>Gafas protectoras filtro UV</v>
      </c>
      <c r="C12905" s="73"/>
      <c r="D12905" s="50" t="str">
        <f>VLOOKUP(A12905,'Componentes APUs'!$A$1:$D$14,3,0)</f>
        <v>U</v>
      </c>
      <c r="E12905" s="50">
        <f>SUM(C12880:C12885)</f>
        <v>2.75</v>
      </c>
      <c r="F12905" s="51">
        <f>VLOOKUP(A12905,'Componentes APUs'!$A$1:$D$14,4,0)</f>
        <v>2777.7777777777778</v>
      </c>
      <c r="G12905" s="51">
        <f>ROUNDUP(F12905*(E12905/21)/E12866,0)</f>
        <v>4</v>
      </c>
    </row>
    <row r="12906" spans="1:7" x14ac:dyDescent="0.25">
      <c r="A12906" s="69" t="s">
        <v>402</v>
      </c>
      <c r="B12906" s="72" t="str">
        <f>VLOOKUP(A12906,'Componentes APUs'!$A$1:$D$14,2,0)</f>
        <v>Bota de seguridad PVC dielectrica</v>
      </c>
      <c r="C12906" s="73"/>
      <c r="D12906" s="50" t="str">
        <f>VLOOKUP(A12906,'Componentes APUs'!$A$1:$D$14,3,0)</f>
        <v>Par</v>
      </c>
      <c r="E12906" s="50">
        <f>SUM(C12880:C12885)</f>
        <v>2.75</v>
      </c>
      <c r="F12906" s="51">
        <f>VLOOKUP(A12906,'Componentes APUs'!$A$1:$D$14,4,0)</f>
        <v>2916.6666666666665</v>
      </c>
      <c r="G12906" s="51">
        <f>ROUNDUP(F12906*(E12906/21)/E12866,0)</f>
        <v>4</v>
      </c>
    </row>
    <row r="12907" spans="1:7" x14ac:dyDescent="0.25">
      <c r="A12907" s="50" t="s">
        <v>403</v>
      </c>
      <c r="B12907" s="72" t="str">
        <f>VLOOKUP(A12907,'Componentes APUs'!$A$1:$D$14,2,0)</f>
        <v>Capuchon</v>
      </c>
      <c r="C12907" s="73"/>
      <c r="D12907" s="50" t="str">
        <f>VLOOKUP(A12907,'Componentes APUs'!$A$1:$D$14,3,0)</f>
        <v>U</v>
      </c>
      <c r="E12907" s="50">
        <f>SUM(C12880:C12885)</f>
        <v>2.75</v>
      </c>
      <c r="F12907" s="51">
        <f>VLOOKUP(A12907,'Componentes APUs'!$A$1:$D$14,4,0)</f>
        <v>2525.2525252525252</v>
      </c>
      <c r="G12907" s="51">
        <f>ROUNDUP(F12907*(E12907/21)/E12866,0)</f>
        <v>4</v>
      </c>
    </row>
    <row r="12908" spans="1:7" x14ac:dyDescent="0.25">
      <c r="A12908" s="69" t="s">
        <v>81</v>
      </c>
      <c r="B12908" s="72" t="str">
        <f>VLOOKUP(A12908,'Componentes APUs'!$A$1:$D$14,2,0)</f>
        <v>Guantes Protectores  - ingeniero reforzados</v>
      </c>
      <c r="C12908" s="73"/>
      <c r="D12908" s="50" t="str">
        <f>VLOOKUP(A12908,'Componentes APUs'!$A$1:$D$14,3,0)</f>
        <v>Par</v>
      </c>
      <c r="E12908" s="50">
        <f>C12882+C12883+C12885</f>
        <v>2</v>
      </c>
      <c r="F12908" s="51">
        <f>VLOOKUP(A12908,'Componentes APUs'!$A$1:$D$14,4,0)</f>
        <v>2525.2525252525252</v>
      </c>
      <c r="G12908" s="51">
        <f>ROUNDUP(F12908*(E12908/21)/E12866,0)</f>
        <v>3</v>
      </c>
    </row>
    <row r="12909" spans="1:7" x14ac:dyDescent="0.25">
      <c r="A12909" s="50" t="s">
        <v>83</v>
      </c>
      <c r="B12909" s="72" t="str">
        <f>VLOOKUP(A12909,'Componentes APUs'!$A$1:$D$14,2,0)</f>
        <v>Impermeable (pantalon camisa)</v>
      </c>
      <c r="C12909" s="73"/>
      <c r="D12909" s="50" t="str">
        <f>VLOOKUP(A12909,'Componentes APUs'!$A$1:$D$14,3,0)</f>
        <v>U</v>
      </c>
      <c r="E12909" s="50">
        <f>SUM(C12880:C12885)</f>
        <v>2.75</v>
      </c>
      <c r="F12909" s="51">
        <f>VLOOKUP(A12909,'Componentes APUs'!$A$1:$D$14,4,0)</f>
        <v>3750</v>
      </c>
      <c r="G12909" s="51">
        <f>ROUNDUP(F12909*(E12909/21)/E12866,0)</f>
        <v>5</v>
      </c>
    </row>
    <row r="12910" spans="1:7" x14ac:dyDescent="0.25">
      <c r="A12910" s="69" t="s">
        <v>85</v>
      </c>
      <c r="B12910" s="72" t="str">
        <f>VLOOKUP(A12910,'Componentes APUs'!$A$1:$D$14,2,0)</f>
        <v>Jean Dielectrico</v>
      </c>
      <c r="C12910" s="73"/>
      <c r="D12910" s="50" t="str">
        <f>VLOOKUP(A12910,'Componentes APUs'!$A$1:$D$14,3,0)</f>
        <v>U</v>
      </c>
      <c r="E12910" s="50">
        <f>SUM(C12880:C12885)</f>
        <v>2.75</v>
      </c>
      <c r="F12910" s="51">
        <f>VLOOKUP(A12910,'Componentes APUs'!$A$1:$D$14,4,0)</f>
        <v>7575.757575757576</v>
      </c>
      <c r="G12910" s="51">
        <f>ROUNDUP(F12910*(E12910/21)/E12866,0)</f>
        <v>10</v>
      </c>
    </row>
    <row r="12911" spans="1:7" x14ac:dyDescent="0.25">
      <c r="A12911" s="50" t="s">
        <v>87</v>
      </c>
      <c r="B12911" s="72" t="str">
        <f>VLOOKUP(A12911,'Componentes APUs'!$A$1:$D$14,2,0)</f>
        <v>Casco dielectrico Tipo 2 Clase E con barboquejo</v>
      </c>
      <c r="C12911" s="73"/>
      <c r="D12911" s="50" t="str">
        <f>VLOOKUP(A12911,'Componentes APUs'!$A$1:$D$14,3,0)</f>
        <v>U</v>
      </c>
      <c r="E12911" s="53">
        <f>IF(A12882="MO-3",C12882,0)</f>
        <v>1</v>
      </c>
      <c r="F12911" s="51">
        <f>VLOOKUP(A12911,'Componentes APUs'!$A$1:$D$14,4,0)</f>
        <v>7500</v>
      </c>
      <c r="G12911" s="51">
        <f>ROUNDUP(F12911*(E12911/21)/E12866,0)</f>
        <v>4</v>
      </c>
    </row>
    <row r="12912" spans="1:7" x14ac:dyDescent="0.25">
      <c r="A12912" s="69" t="s">
        <v>89</v>
      </c>
      <c r="B12912" s="72" t="str">
        <f>VLOOKUP(A12912,'Componentes APUs'!$A$1:$D$14,2,0)</f>
        <v>Kit de rescate para trabajo en alturas</v>
      </c>
      <c r="C12912" s="73"/>
      <c r="D12912" s="50" t="str">
        <f>VLOOKUP(A12912,'Componentes APUs'!$A$1:$D$14,3,0)</f>
        <v>U</v>
      </c>
      <c r="E12912" s="50">
        <f>IF(AND(A12882="MO-3",C12882=2),1,0)</f>
        <v>0</v>
      </c>
      <c r="F12912" s="51">
        <f>VLOOKUP(A12912,'Componentes APUs'!$A$1:$D$14,4,0)</f>
        <v>37500</v>
      </c>
      <c r="G12912" s="51">
        <f>ROUNDUP(F12912*(E12912/21)/E12866,0)</f>
        <v>0</v>
      </c>
    </row>
    <row r="12913" spans="1:7" x14ac:dyDescent="0.25">
      <c r="A12913" s="50" t="s">
        <v>91</v>
      </c>
      <c r="B12913" s="72" t="str">
        <f>VLOOKUP(A12913,'Componentes APUs'!$A$1:$D$14,2,0)</f>
        <v>Equipo completo para trabajo en alturas con pretales (Arnes dielectrico, 1 mosqueton de seguridad, tie off dielectrico, eslinga de posicionamiento, juego de pretales)</v>
      </c>
      <c r="C12913" s="73"/>
      <c r="D12913" s="50" t="str">
        <f>VLOOKUP(A12913,'Componentes APUs'!$A$1:$D$14,3,0)</f>
        <v>U</v>
      </c>
      <c r="E12913" s="50">
        <f>IF(A12882="MO-3",C12882,0)</f>
        <v>1</v>
      </c>
      <c r="F12913" s="51">
        <f>VLOOKUP(A12913,'Componentes APUs'!$A$1:$D$14,4,0)</f>
        <v>26041.666666666668</v>
      </c>
      <c r="G12913" s="51">
        <f>ROUNDUP(F12913*(E12913/21)/E12866,0)</f>
        <v>13</v>
      </c>
    </row>
    <row r="12914" spans="1:7" x14ac:dyDescent="0.25">
      <c r="A12914" s="219" t="s">
        <v>95</v>
      </c>
      <c r="B12914" s="219"/>
      <c r="C12914" s="219"/>
      <c r="D12914" s="219"/>
      <c r="E12914" s="219"/>
      <c r="F12914" s="219"/>
      <c r="G12914" s="52">
        <f>SUM(G12901:G12913)</f>
        <v>83</v>
      </c>
    </row>
    <row r="12915" spans="1:7" x14ac:dyDescent="0.25">
      <c r="A12915" s="56"/>
      <c r="B12915" s="57"/>
      <c r="C12915" s="57"/>
      <c r="D12915" s="57"/>
      <c r="E12915" s="57"/>
      <c r="F12915" s="57"/>
      <c r="G12915" s="58"/>
    </row>
    <row r="12916" spans="1:7" x14ac:dyDescent="0.25">
      <c r="A12916" s="219" t="s">
        <v>96</v>
      </c>
      <c r="B12916" s="219"/>
      <c r="C12916" s="219"/>
      <c r="D12916" s="219"/>
      <c r="E12916" s="219"/>
      <c r="F12916" s="219"/>
      <c r="G12916" s="219"/>
    </row>
    <row r="12917" spans="1:7" x14ac:dyDescent="0.25">
      <c r="A12917" s="49" t="s">
        <v>35</v>
      </c>
      <c r="B12917" s="225" t="s">
        <v>36</v>
      </c>
      <c r="C12917" s="225"/>
      <c r="D12917" s="49" t="s">
        <v>37</v>
      </c>
      <c r="E12917" s="49" t="s">
        <v>38</v>
      </c>
      <c r="F12917" s="49" t="s">
        <v>39</v>
      </c>
      <c r="G12917" s="49" t="s">
        <v>40</v>
      </c>
    </row>
    <row r="12918" spans="1:7" x14ac:dyDescent="0.25">
      <c r="A12918" s="69" t="s">
        <v>97</v>
      </c>
      <c r="B12918" s="72" t="str">
        <f>VLOOKUP(A12918,'Componentes APUs'!$N$1:$Q$30,2,0)</f>
        <v>Camioneta</v>
      </c>
      <c r="C12918" s="73"/>
      <c r="D12918" s="70" t="str">
        <f>VLOOKUP(A12918,'Componentes APUs'!$N$1:$Q$30,3,0)</f>
        <v>U</v>
      </c>
      <c r="E12918" s="50">
        <v>1</v>
      </c>
      <c r="F12918" s="51">
        <f>VLOOKUP(A12918,'Componentes APUs'!$N$1:$Q$30,4,0)</f>
        <v>5500000</v>
      </c>
      <c r="G12918" s="51">
        <f>IFERROR(ROUNDUP(F12918*(E12918/21)/E12866,0),"-")</f>
        <v>2620</v>
      </c>
    </row>
    <row r="12919" spans="1:7" x14ac:dyDescent="0.25">
      <c r="A12919" s="50" t="s">
        <v>321</v>
      </c>
      <c r="B12919" s="72" t="str">
        <f>VLOOKUP(A12919,'Componentes APUs'!$N$1:$Q$30,2,0)</f>
        <v>Grúa Hidráulica</v>
      </c>
      <c r="C12919" s="73"/>
      <c r="D12919" s="70" t="str">
        <f>VLOOKUP(A12919,'Componentes APUs'!$N$1:$Q$30,3,0)</f>
        <v>U</v>
      </c>
      <c r="E12919" s="50">
        <v>0</v>
      </c>
      <c r="F12919" s="51">
        <f>VLOOKUP(A12919,'Componentes APUs'!$N$1:$Q$30,4,0)</f>
        <v>21000000</v>
      </c>
      <c r="G12919" s="51">
        <f>IFERROR(ROUNDUP(F12919*(E12919/21)/E12866,0),"-")</f>
        <v>0</v>
      </c>
    </row>
    <row r="12920" spans="1:7" x14ac:dyDescent="0.25">
      <c r="A12920" s="69" t="s">
        <v>322</v>
      </c>
      <c r="B12920" s="72" t="str">
        <f>VLOOKUP(A12920,'Componentes APUs'!$N$1:$Q$30,2,0)</f>
        <v>Camabaja</v>
      </c>
      <c r="C12920" s="73"/>
      <c r="D12920" s="70" t="str">
        <f>VLOOKUP(A12920,'Componentes APUs'!$N$1:$Q$30,3,0)</f>
        <v>TON/KM</v>
      </c>
      <c r="E12920" s="50">
        <v>0</v>
      </c>
      <c r="F12920" s="51">
        <f>VLOOKUP(A12920,'Componentes APUs'!$N$1:$Q$30,4,0)</f>
        <v>611</v>
      </c>
      <c r="G12920" s="51">
        <f>IFERROR(ROUNDUP(F12920*(E12920/21)/E12866,0),"-")</f>
        <v>0</v>
      </c>
    </row>
    <row r="12921" spans="1:7" x14ac:dyDescent="0.25">
      <c r="A12921" s="50" t="s">
        <v>323</v>
      </c>
      <c r="B12921" s="72" t="str">
        <f>VLOOKUP(A12921,'Componentes APUs'!$N$1:$Q$30,2,0)</f>
        <v>Volqueta</v>
      </c>
      <c r="C12921" s="73"/>
      <c r="D12921" s="70" t="str">
        <f>VLOOKUP(A12921,'Componentes APUs'!$N$1:$Q$30,3,0)</f>
        <v>U</v>
      </c>
      <c r="E12921" s="50">
        <v>0</v>
      </c>
      <c r="F12921" s="51">
        <f>VLOOKUP(A12921,'Componentes APUs'!$N$1:$Q$30,4,0)</f>
        <v>14828184</v>
      </c>
      <c r="G12921" s="51">
        <f>IFERROR(ROUNDUP(F12921*(E12921/21)/E12866,0),"-")</f>
        <v>0</v>
      </c>
    </row>
    <row r="12922" spans="1:7" x14ac:dyDescent="0.25">
      <c r="A12922" s="69" t="s">
        <v>324</v>
      </c>
      <c r="B12922" s="72" t="str">
        <f>VLOOKUP(A12922,'Componentes APUs'!$N$1:$Q$30,2,0)</f>
        <v>Retroexcavadora</v>
      </c>
      <c r="C12922" s="73"/>
      <c r="D12922" s="70" t="str">
        <f>VLOOKUP(A12922,'Componentes APUs'!$N$1:$Q$30,3,0)</f>
        <v>U</v>
      </c>
      <c r="E12922" s="50">
        <v>0</v>
      </c>
      <c r="F12922" s="51">
        <f>VLOOKUP(A12922,'Componentes APUs'!$N$1:$Q$30,4,0)</f>
        <v>46030656</v>
      </c>
      <c r="G12922" s="51">
        <f>IFERROR(ROUNDUP(F12922*(E12922/21)/E12866,0),"-")</f>
        <v>0</v>
      </c>
    </row>
    <row r="12923" spans="1:7" x14ac:dyDescent="0.25">
      <c r="A12923" s="219" t="s">
        <v>99</v>
      </c>
      <c r="B12923" s="219"/>
      <c r="C12923" s="219"/>
      <c r="D12923" s="219"/>
      <c r="E12923" s="219"/>
      <c r="F12923" s="219"/>
      <c r="G12923" s="52">
        <f>SUM(G12918:G12922)</f>
        <v>2620</v>
      </c>
    </row>
    <row r="12924" spans="1:7" x14ac:dyDescent="0.25">
      <c r="A12924" s="56"/>
      <c r="B12924" s="57"/>
      <c r="C12924" s="57"/>
      <c r="D12924" s="57"/>
      <c r="E12924" s="57"/>
      <c r="F12924" s="57"/>
      <c r="G12924" s="58"/>
    </row>
    <row r="12925" spans="1:7" x14ac:dyDescent="0.25">
      <c r="A12925" s="219" t="s">
        <v>1516</v>
      </c>
      <c r="B12925" s="219"/>
      <c r="C12925" s="219"/>
      <c r="D12925" s="219"/>
      <c r="E12925" s="219"/>
      <c r="F12925" s="219"/>
      <c r="G12925" s="52">
        <f>G12923+G12914+G12897+G12886+G12876</f>
        <v>20250</v>
      </c>
    </row>
    <row r="12926" spans="1:7" x14ac:dyDescent="0.25">
      <c r="A12926" s="59"/>
      <c r="B12926" s="60"/>
      <c r="C12926" s="60"/>
      <c r="D12926" s="60"/>
      <c r="E12926" s="57"/>
      <c r="F12926" s="57"/>
      <c r="G12926" s="58"/>
    </row>
    <row r="12927" spans="1:7" x14ac:dyDescent="0.25">
      <c r="A12927" s="64"/>
      <c r="D12927" s="55"/>
      <c r="E12927" s="49" t="s">
        <v>25</v>
      </c>
      <c r="F12927" s="54">
        <v>0.15</v>
      </c>
      <c r="G12927" s="51">
        <f>G12925*F12927</f>
        <v>3037.5</v>
      </c>
    </row>
    <row r="12928" spans="1:7" x14ac:dyDescent="0.25">
      <c r="A12928" s="64"/>
      <c r="D12928" s="55"/>
      <c r="E12928" s="49" t="s">
        <v>26</v>
      </c>
      <c r="F12928" s="54">
        <v>0.05</v>
      </c>
      <c r="G12928" s="51">
        <f>G12925*F12928</f>
        <v>1012.5</v>
      </c>
    </row>
    <row r="12929" spans="1:7" x14ac:dyDescent="0.25">
      <c r="A12929" s="61"/>
      <c r="B12929" s="65"/>
      <c r="C12929" s="65"/>
      <c r="D12929" s="62"/>
      <c r="E12929" s="49" t="s">
        <v>27</v>
      </c>
      <c r="F12929" s="54">
        <v>0.05</v>
      </c>
      <c r="G12929" s="51">
        <f>G12925*F12929</f>
        <v>1012.5</v>
      </c>
    </row>
    <row r="12930" spans="1:7" x14ac:dyDescent="0.25">
      <c r="A12930" s="61"/>
      <c r="B12930" s="62"/>
      <c r="C12930" s="62"/>
      <c r="D12930" s="62"/>
      <c r="E12930" s="62"/>
      <c r="F12930" s="62"/>
      <c r="G12930" s="63"/>
    </row>
    <row r="12931" spans="1:7" x14ac:dyDescent="0.25">
      <c r="A12931" s="219" t="s">
        <v>1517</v>
      </c>
      <c r="B12931" s="219"/>
      <c r="C12931" s="219"/>
      <c r="D12931" s="219"/>
      <c r="E12931" s="219"/>
      <c r="F12931" s="219"/>
      <c r="G12931" s="52">
        <f>G12925+G12927+G12928+G12929</f>
        <v>25312.5</v>
      </c>
    </row>
    <row r="12932" spans="1:7" x14ac:dyDescent="0.25">
      <c r="A12932" s="59"/>
      <c r="B12932" s="60"/>
      <c r="C12932" s="60"/>
      <c r="D12932" s="60"/>
      <c r="E12932" s="57"/>
      <c r="F12932" s="57"/>
      <c r="G12932" s="58"/>
    </row>
    <row r="12933" spans="1:7" x14ac:dyDescent="0.25">
      <c r="A12933" s="64"/>
      <c r="D12933" s="55"/>
      <c r="E12933" s="49" t="s">
        <v>102</v>
      </c>
      <c r="F12933" s="49" t="s">
        <v>103</v>
      </c>
      <c r="G12933" s="51">
        <f>G12929*19%</f>
        <v>192.375</v>
      </c>
    </row>
    <row r="12934" spans="1:7" x14ac:dyDescent="0.25">
      <c r="A12934" s="61"/>
      <c r="B12934" s="62"/>
      <c r="C12934" s="62"/>
      <c r="D12934" s="62"/>
      <c r="E12934" s="57"/>
      <c r="F12934" s="57"/>
      <c r="G12934" s="58"/>
    </row>
    <row r="12935" spans="1:7" x14ac:dyDescent="0.25">
      <c r="A12935" s="219" t="s">
        <v>104</v>
      </c>
      <c r="B12935" s="219"/>
      <c r="C12935" s="219"/>
      <c r="D12935" s="219"/>
      <c r="E12935" s="219"/>
      <c r="F12935" s="219"/>
      <c r="G12935" s="52">
        <f>G12933+G12931</f>
        <v>25504.875</v>
      </c>
    </row>
    <row r="12937" spans="1:7" x14ac:dyDescent="0.25">
      <c r="A12937" s="74" t="s">
        <v>29</v>
      </c>
      <c r="B12937" s="226" t="s">
        <v>30</v>
      </c>
      <c r="C12937" s="226"/>
      <c r="D12937" s="74" t="s">
        <v>31</v>
      </c>
      <c r="E12937" s="74" t="s">
        <v>32</v>
      </c>
      <c r="F12937" s="74" t="s">
        <v>189</v>
      </c>
      <c r="G12937" s="74" t="s">
        <v>33</v>
      </c>
    </row>
    <row r="12938" spans="1:7" ht="21" customHeight="1" x14ac:dyDescent="0.25">
      <c r="A12938" s="50" t="str">
        <f>Presupuesto!B236</f>
        <v>043_N3</v>
      </c>
      <c r="B12938" s="220" t="str">
        <f>Presupuesto!C236</f>
        <v>SUMINISTRO E INSTALACIÓN DE CABLE FUTP CATEGORIA 6 APANTALLADO PARA CONTROL DE TRANSFORMADOR DE POTENCIA</v>
      </c>
      <c r="C12938" s="220"/>
      <c r="D12938" s="50" t="s">
        <v>8</v>
      </c>
      <c r="E12938" s="50">
        <v>35</v>
      </c>
      <c r="F12938" s="50"/>
      <c r="G12938" s="51">
        <f>G13007</f>
        <v>37219.484500000006</v>
      </c>
    </row>
    <row r="12939" spans="1:7" x14ac:dyDescent="0.25">
      <c r="A12939" s="219" t="s">
        <v>34</v>
      </c>
      <c r="B12939" s="219"/>
      <c r="C12939" s="219"/>
      <c r="D12939" s="219"/>
      <c r="E12939" s="219"/>
      <c r="F12939" s="219"/>
      <c r="G12939" s="219"/>
    </row>
    <row r="12940" spans="1:7" x14ac:dyDescent="0.25">
      <c r="A12940" s="49" t="s">
        <v>35</v>
      </c>
      <c r="B12940" s="219" t="s">
        <v>36</v>
      </c>
      <c r="C12940" s="219"/>
      <c r="D12940" s="49" t="s">
        <v>37</v>
      </c>
      <c r="E12940" s="49" t="s">
        <v>38</v>
      </c>
      <c r="F12940" s="49" t="s">
        <v>39</v>
      </c>
      <c r="G12940" s="49" t="s">
        <v>40</v>
      </c>
    </row>
    <row r="12941" spans="1:7" x14ac:dyDescent="0.25">
      <c r="A12941" s="17" t="str">
        <f>Material!A207</f>
        <v>MA-206</v>
      </c>
      <c r="B12941" s="72" t="str">
        <f>IFERROR(VLOOKUP(A12941,Material!$A:$H,2,0),"-")</f>
        <v>CABLE FUTP CON CATEGORIA 6 APANTALLADO</v>
      </c>
      <c r="C12941" s="73"/>
      <c r="D12941" s="50" t="str">
        <f>IFERROR(VLOOKUP(A12941,Material!$A:$H,4,0),"-")</f>
        <v>ML</v>
      </c>
      <c r="E12941" s="50">
        <v>1</v>
      </c>
      <c r="F12941" s="51">
        <f>IFERROR(VLOOKUP(A12941,Material!$A:$H,3,0),"-")</f>
        <v>5590</v>
      </c>
      <c r="G12941" s="51">
        <f t="shared" ref="G12941:G12948" si="182">IFERROR(ROUNDUP(F12941*E12941,0),"-")</f>
        <v>5590</v>
      </c>
    </row>
    <row r="12942" spans="1:7" x14ac:dyDescent="0.25">
      <c r="A12942" s="17"/>
      <c r="B12942" s="72" t="str">
        <f>IFERROR(VLOOKUP(A12942,Material!$A:$H,2,0),"-")</f>
        <v>-</v>
      </c>
      <c r="C12942" s="73"/>
      <c r="D12942" s="50" t="str">
        <f>IFERROR(VLOOKUP(A12942,Material!$A:$H,4,0),"-")</f>
        <v>-</v>
      </c>
      <c r="E12942" s="50"/>
      <c r="F12942" s="51" t="str">
        <f>IFERROR(VLOOKUP(A12942,Material!$A:$H,3,0),"-")</f>
        <v>-</v>
      </c>
      <c r="G12942" s="51" t="str">
        <f t="shared" si="182"/>
        <v>-</v>
      </c>
    </row>
    <row r="12943" spans="1:7" x14ac:dyDescent="0.25">
      <c r="A12943" s="17"/>
      <c r="B12943" s="72" t="str">
        <f>IFERROR(VLOOKUP(A12943,Material!$A:$H,2,0),"-")</f>
        <v>-</v>
      </c>
      <c r="C12943" s="73"/>
      <c r="D12943" s="50" t="str">
        <f>IFERROR(VLOOKUP(A12943,Material!$A:$H,4,0),"-")</f>
        <v>-</v>
      </c>
      <c r="E12943" s="50"/>
      <c r="F12943" s="51" t="str">
        <f>IFERROR(VLOOKUP(A12943,Material!$A:$H,3,0),"-")</f>
        <v>-</v>
      </c>
      <c r="G12943" s="51" t="str">
        <f t="shared" si="182"/>
        <v>-</v>
      </c>
    </row>
    <row r="12944" spans="1:7" x14ac:dyDescent="0.25">
      <c r="A12944" s="17"/>
      <c r="B12944" s="72" t="str">
        <f>IFERROR(VLOOKUP(A12944,Material!$A:$H,2,0),"-")</f>
        <v>-</v>
      </c>
      <c r="C12944" s="73"/>
      <c r="D12944" s="50" t="str">
        <f>IFERROR(VLOOKUP(A12944,Material!$A:$H,4,0),"-")</f>
        <v>-</v>
      </c>
      <c r="E12944" s="50"/>
      <c r="F12944" s="51" t="str">
        <f>IFERROR(VLOOKUP(A12944,Material!$A:$H,3,0),"-")</f>
        <v>-</v>
      </c>
      <c r="G12944" s="51" t="str">
        <f t="shared" si="182"/>
        <v>-</v>
      </c>
    </row>
    <row r="12945" spans="1:7" x14ac:dyDescent="0.25">
      <c r="A12945" s="17"/>
      <c r="B12945" s="75" t="str">
        <f>IFERROR(VLOOKUP(A12945,Material!$A:$H,2,0),"-")</f>
        <v>-</v>
      </c>
      <c r="C12945" s="76"/>
      <c r="D12945" s="50" t="str">
        <f>IFERROR(VLOOKUP(A12945,Material!$A:$H,4,0),"-")</f>
        <v>-</v>
      </c>
      <c r="E12945" s="50"/>
      <c r="F12945" s="51" t="str">
        <f>IFERROR(VLOOKUP(A12945,Material!$A:$H,3,0),"-")</f>
        <v>-</v>
      </c>
      <c r="G12945" s="51" t="str">
        <f t="shared" si="182"/>
        <v>-</v>
      </c>
    </row>
    <row r="12946" spans="1:7" x14ac:dyDescent="0.25">
      <c r="A12946" s="17"/>
      <c r="B12946" s="72" t="str">
        <f>IFERROR(VLOOKUP(A12946,Material!$A:$H,2,0),"-")</f>
        <v>-</v>
      </c>
      <c r="C12946" s="76"/>
      <c r="D12946" s="50" t="str">
        <f>IFERROR(VLOOKUP(A12946,Material!$A:$H,4,0),"-")</f>
        <v>-</v>
      </c>
      <c r="E12946" s="50"/>
      <c r="F12946" s="51" t="str">
        <f>IFERROR(VLOOKUP(A12946,Material!$A:$H,3,0),"-")</f>
        <v>-</v>
      </c>
      <c r="G12946" s="51" t="str">
        <f t="shared" si="182"/>
        <v>-</v>
      </c>
    </row>
    <row r="12947" spans="1:7" x14ac:dyDescent="0.25">
      <c r="A12947" s="17"/>
      <c r="B12947" s="72" t="str">
        <f>IFERROR(VLOOKUP(A12947,Material!$A:$H,2,0),"-")</f>
        <v>-</v>
      </c>
      <c r="C12947" s="76"/>
      <c r="D12947" s="50" t="str">
        <f>IFERROR(VLOOKUP(A12947,Material!$A:$H,4,0),"-")</f>
        <v>-</v>
      </c>
      <c r="E12947" s="50"/>
      <c r="F12947" s="51" t="str">
        <f>IFERROR(VLOOKUP(A12947,Material!$A:$H,3,0),"-")</f>
        <v>-</v>
      </c>
      <c r="G12947" s="51" t="str">
        <f t="shared" si="182"/>
        <v>-</v>
      </c>
    </row>
    <row r="12948" spans="1:7" x14ac:dyDescent="0.25">
      <c r="A12948" s="17"/>
      <c r="B12948" s="72" t="str">
        <f>IFERROR(VLOOKUP(A12948,Material!$A:$H,2,0),"-")</f>
        <v>-</v>
      </c>
      <c r="C12948" s="76"/>
      <c r="D12948" s="50" t="str">
        <f>IFERROR(VLOOKUP(A12948,Material!$A:$H,4,0),"-")</f>
        <v>-</v>
      </c>
      <c r="E12948" s="50"/>
      <c r="F12948" s="51" t="str">
        <f>IFERROR(VLOOKUP(A12948,Material!$A:$H,3,0),"-")</f>
        <v>-</v>
      </c>
      <c r="G12948" s="51" t="str">
        <f t="shared" si="182"/>
        <v>-</v>
      </c>
    </row>
    <row r="12949" spans="1:7" x14ac:dyDescent="0.25">
      <c r="A12949" s="219" t="s">
        <v>41</v>
      </c>
      <c r="B12949" s="219"/>
      <c r="C12949" s="219"/>
      <c r="D12949" s="219"/>
      <c r="E12949" s="219"/>
      <c r="F12949" s="219"/>
      <c r="G12949" s="52">
        <f>SUM(G12941:G12948)</f>
        <v>5590</v>
      </c>
    </row>
    <row r="12950" spans="1:7" x14ac:dyDescent="0.25">
      <c r="A12950" s="56"/>
      <c r="B12950" s="57"/>
      <c r="C12950" s="57"/>
      <c r="D12950" s="57"/>
      <c r="E12950" s="57"/>
      <c r="F12950" s="57"/>
      <c r="G12950" s="58"/>
    </row>
    <row r="12951" spans="1:7" x14ac:dyDescent="0.25">
      <c r="A12951" s="219" t="s">
        <v>42</v>
      </c>
      <c r="B12951" s="219"/>
      <c r="C12951" s="219"/>
      <c r="D12951" s="219"/>
      <c r="E12951" s="219"/>
      <c r="F12951" s="219"/>
      <c r="G12951" s="219"/>
    </row>
    <row r="12952" spans="1:7" x14ac:dyDescent="0.25">
      <c r="A12952" s="49" t="s">
        <v>35</v>
      </c>
      <c r="B12952" s="49" t="s">
        <v>36</v>
      </c>
      <c r="C12952" s="49" t="s">
        <v>38</v>
      </c>
      <c r="D12952" s="49" t="s">
        <v>43</v>
      </c>
      <c r="E12952" s="49" t="s">
        <v>44</v>
      </c>
      <c r="F12952" s="49" t="s">
        <v>45</v>
      </c>
      <c r="G12952" s="49" t="s">
        <v>40</v>
      </c>
    </row>
    <row r="12953" spans="1:7" x14ac:dyDescent="0.25">
      <c r="A12953" s="50" t="s">
        <v>319</v>
      </c>
      <c r="B12953" s="68" t="str">
        <f>VLOOKUP(A12953,'Componentes APUs'!$H$1:$L$25,2,0)</f>
        <v>Ingeniero Residente de Obra</v>
      </c>
      <c r="C12953" s="93">
        <v>0.25</v>
      </c>
      <c r="D12953" s="50">
        <f>VLOOKUP(A12953,'Componentes APUs'!$H$1:$L$25,3,0)</f>
        <v>4</v>
      </c>
      <c r="E12953" s="51">
        <f>VLOOKUP(A12953,'Componentes APUs'!$H$1:$L$25,4,0)</f>
        <v>271142.85714285716</v>
      </c>
      <c r="F12953" s="51">
        <f>VLOOKUP(A12953,'Componentes APUs'!$H$1:$L$25,5,0)</f>
        <v>162685.71428571429</v>
      </c>
      <c r="G12953" s="51">
        <f>ROUNDUP((E12953+F12953)*C12953/E12938,0)</f>
        <v>3099</v>
      </c>
    </row>
    <row r="12954" spans="1:7" x14ac:dyDescent="0.25">
      <c r="A12954" s="50" t="s">
        <v>320</v>
      </c>
      <c r="B12954" s="68" t="str">
        <f>VLOOKUP(A12954,'Componentes APUs'!$H$1:$L$25,2,0)</f>
        <v>Tecnico Supervisor</v>
      </c>
      <c r="C12954" s="93">
        <v>0.25</v>
      </c>
      <c r="D12954" s="50">
        <f>VLOOKUP(A12954,'Componentes APUs'!$H$1:$L$25,3,0)</f>
        <v>2.2999999999999998</v>
      </c>
      <c r="E12954" s="51">
        <f>VLOOKUP(A12954,'Componentes APUs'!$H$1:$L$25,4,0)</f>
        <v>155907.14285714284</v>
      </c>
      <c r="F12954" s="51">
        <f>VLOOKUP(A12954,'Componentes APUs'!$H$1:$L$25,5,0)</f>
        <v>93544.285714285696</v>
      </c>
      <c r="G12954" s="51">
        <f>ROUNDUP((E12954+F12954)*C12954/E12938,0)</f>
        <v>1782</v>
      </c>
    </row>
    <row r="12955" spans="1:7" x14ac:dyDescent="0.25">
      <c r="A12955" s="50" t="s">
        <v>1160</v>
      </c>
      <c r="B12955" s="68" t="str">
        <f>VLOOKUP(A12955,'Componentes APUs'!$H$1:$L$25,2,0)</f>
        <v>Oficial Eléctrico</v>
      </c>
      <c r="C12955" s="93">
        <v>0</v>
      </c>
      <c r="D12955" s="50">
        <f>VLOOKUP(A12955,'Componentes APUs'!$H$1:$L$25,3,0)</f>
        <v>2</v>
      </c>
      <c r="E12955" s="51">
        <f>VLOOKUP(A12955,'Componentes APUs'!$H$1:$L$25,4,0)</f>
        <v>154619.04761904763</v>
      </c>
      <c r="F12955" s="51">
        <f>VLOOKUP(A12955,'Componentes APUs'!$H$1:$L$25,5,0)</f>
        <v>92771.42857142858</v>
      </c>
      <c r="G12955" s="51">
        <f>ROUNDUP((E12955+F12955)*C12955/E12938,0)</f>
        <v>0</v>
      </c>
    </row>
    <row r="12956" spans="1:7" x14ac:dyDescent="0.25">
      <c r="A12956" s="50" t="s">
        <v>48</v>
      </c>
      <c r="B12956" s="68" t="str">
        <f>VLOOKUP(A12956,'Componentes APUs'!$H$1:$L$25,2,0)</f>
        <v>Ayudante Calificado</v>
      </c>
      <c r="C12956" s="93">
        <v>0</v>
      </c>
      <c r="D12956" s="50">
        <f>VLOOKUP(A12956,'Componentes APUs'!$H$1:$L$25,3,0)</f>
        <v>1.5</v>
      </c>
      <c r="E12956" s="51">
        <f>VLOOKUP(A12956,'Componentes APUs'!$H$1:$L$25,4,0)</f>
        <v>115964.28571428571</v>
      </c>
      <c r="F12956" s="51">
        <f>VLOOKUP(A12956,'Componentes APUs'!$H$1:$L$25,5,0)</f>
        <v>69578.57142857142</v>
      </c>
      <c r="G12956" s="51">
        <f>ROUNDUP((E12956+F12956)*C12956/E12938,0)</f>
        <v>0</v>
      </c>
    </row>
    <row r="12957" spans="1:7" x14ac:dyDescent="0.25">
      <c r="A12957" s="50" t="s">
        <v>50</v>
      </c>
      <c r="B12957" s="68" t="str">
        <f>VLOOKUP(A12957,'Componentes APUs'!$H$1:$L$25,2,0)</f>
        <v>Profesional en SST</v>
      </c>
      <c r="C12957" s="93">
        <v>0.25</v>
      </c>
      <c r="D12957" s="50">
        <f>VLOOKUP(A12957,'Componentes APUs'!$H$1:$L$25,3,0)</f>
        <v>2.5</v>
      </c>
      <c r="E12957" s="51">
        <f>VLOOKUP(A12957,'Componentes APUs'!$H$1:$L$25,4,0)</f>
        <v>169464.28571428571</v>
      </c>
      <c r="F12957" s="51">
        <f>VLOOKUP(A12957,'Componentes APUs'!$H$1:$L$25,5,0)</f>
        <v>101678.57142857142</v>
      </c>
      <c r="G12957" s="51">
        <f>ROUNDUP((E12957+F12957)*C12957/E12938,0)</f>
        <v>1937</v>
      </c>
    </row>
    <row r="12958" spans="1:7" x14ac:dyDescent="0.25">
      <c r="A12958" s="50" t="s">
        <v>1122</v>
      </c>
      <c r="B12958" s="68" t="str">
        <f>VLOOKUP(A12958,'Componentes APUs'!$H$1:$L$25,2,0)</f>
        <v>Técnico calificado para Comunicaciones</v>
      </c>
      <c r="C12958" s="93">
        <v>1</v>
      </c>
      <c r="D12958" s="50">
        <f>VLOOKUP(A12958,'Componentes APUs'!$H$1:$L$25,3,0)</f>
        <v>3</v>
      </c>
      <c r="E12958" s="51">
        <f>VLOOKUP(A12958,'Componentes APUs'!$H$1:$L$25,4,0)</f>
        <v>203357.14285714287</v>
      </c>
      <c r="F12958" s="51">
        <f>VLOOKUP(A12958,'Componentes APUs'!$H$1:$L$25,5,0)</f>
        <v>122014.28571428571</v>
      </c>
      <c r="G12958" s="51">
        <f>ROUNDUP((E12958+F12958)*C12958/E12938,0)</f>
        <v>9297</v>
      </c>
    </row>
    <row r="12959" spans="1:7" x14ac:dyDescent="0.25">
      <c r="A12959" s="219" t="s">
        <v>56</v>
      </c>
      <c r="B12959" s="219"/>
      <c r="C12959" s="219"/>
      <c r="D12959" s="219"/>
      <c r="E12959" s="219"/>
      <c r="F12959" s="219"/>
      <c r="G12959" s="52">
        <f>SUM(G12953:G12958)</f>
        <v>16115</v>
      </c>
    </row>
    <row r="12960" spans="1:7" x14ac:dyDescent="0.25">
      <c r="A12960" s="56"/>
      <c r="B12960" s="57"/>
      <c r="C12960" s="57"/>
      <c r="D12960" s="57"/>
      <c r="E12960" s="57"/>
      <c r="F12960" s="57"/>
      <c r="G12960" s="58"/>
    </row>
    <row r="12961" spans="1:7" x14ac:dyDescent="0.25">
      <c r="A12961" s="219" t="s">
        <v>57</v>
      </c>
      <c r="B12961" s="219"/>
      <c r="C12961" s="219"/>
      <c r="D12961" s="219"/>
      <c r="E12961" s="219"/>
      <c r="F12961" s="219"/>
      <c r="G12961" s="219"/>
    </row>
    <row r="12962" spans="1:7" x14ac:dyDescent="0.25">
      <c r="A12962" s="49" t="s">
        <v>35</v>
      </c>
      <c r="B12962" s="219" t="s">
        <v>36</v>
      </c>
      <c r="C12962" s="219"/>
      <c r="D12962" s="49" t="s">
        <v>37</v>
      </c>
      <c r="E12962" s="49" t="s">
        <v>38</v>
      </c>
      <c r="F12962" s="49" t="s">
        <v>39</v>
      </c>
      <c r="G12962" s="49" t="s">
        <v>40</v>
      </c>
    </row>
    <row r="12963" spans="1:7" x14ac:dyDescent="0.25">
      <c r="A12963" s="50" t="s">
        <v>326</v>
      </c>
      <c r="B12963" s="220" t="str">
        <f>VLOOKUP(A12963,'Componentes APUs'!$S$1:$V$10,2,0)</f>
        <v>Juego Llaves</v>
      </c>
      <c r="C12963" s="220"/>
      <c r="D12963" s="50" t="s">
        <v>18</v>
      </c>
      <c r="E12963" s="50">
        <v>2</v>
      </c>
      <c r="F12963" s="51">
        <f>VLOOKUP(A12963,'Componentes APUs'!$S$1:$V$10,4,0)</f>
        <v>9167</v>
      </c>
      <c r="G12963" s="51">
        <f>ROUNDUP(F12963*((E12963/21)/E12938),0)</f>
        <v>25</v>
      </c>
    </row>
    <row r="12964" spans="1:7" x14ac:dyDescent="0.25">
      <c r="A12964" s="50" t="s">
        <v>58</v>
      </c>
      <c r="B12964" s="220" t="str">
        <f>VLOOKUP(A12964,'Componentes APUs'!$S$1:$V$10,2,0)</f>
        <v>Manila de servicio</v>
      </c>
      <c r="C12964" s="220"/>
      <c r="D12964" s="50" t="s">
        <v>18</v>
      </c>
      <c r="E12964" s="50">
        <v>0</v>
      </c>
      <c r="F12964" s="51">
        <f>VLOOKUP(A12964,'Componentes APUs'!$S$1:$V$10,4,0)</f>
        <v>2333</v>
      </c>
      <c r="G12964" s="51">
        <f>ROUNDUP(F12964*((E12964/21)/E12938),0)</f>
        <v>0</v>
      </c>
    </row>
    <row r="12965" spans="1:7" x14ac:dyDescent="0.25">
      <c r="A12965" s="50" t="s">
        <v>327</v>
      </c>
      <c r="B12965" s="220" t="str">
        <f>VLOOKUP(A12965,'Componentes APUs'!$S$1:$V$10,2,0)</f>
        <v>Tula portaherramientas</v>
      </c>
      <c r="C12965" s="220"/>
      <c r="D12965" s="50" t="s">
        <v>18</v>
      </c>
      <c r="E12965" s="50">
        <v>2</v>
      </c>
      <c r="F12965" s="51">
        <f>VLOOKUP(A12965,'Componentes APUs'!$S$1:$V$10,4,0)</f>
        <v>1250</v>
      </c>
      <c r="G12965" s="51">
        <f>ROUNDUP(F12965*((E12965/21)/E12938),0)</f>
        <v>4</v>
      </c>
    </row>
    <row r="12966" spans="1:7" x14ac:dyDescent="0.25">
      <c r="A12966" s="50" t="s">
        <v>60</v>
      </c>
      <c r="B12966" s="220" t="str">
        <f>VLOOKUP(A12966,'Componentes APUs'!$S$1:$V$10,2,0)</f>
        <v>Agarradoras</v>
      </c>
      <c r="C12966" s="220"/>
      <c r="D12966" s="50" t="s">
        <v>18</v>
      </c>
      <c r="E12966" s="50">
        <v>0</v>
      </c>
      <c r="F12966" s="51">
        <f>VLOOKUP(A12966,'Componentes APUs'!$S$1:$V$10,4,0)</f>
        <v>125000</v>
      </c>
      <c r="G12966" s="51">
        <f>ROUNDUP(F12966*((E12966/21)/E12938),0)</f>
        <v>0</v>
      </c>
    </row>
    <row r="12967" spans="1:7" x14ac:dyDescent="0.25">
      <c r="A12967" s="50" t="s">
        <v>62</v>
      </c>
      <c r="B12967" s="220" t="str">
        <f>VLOOKUP(A12967,'Componentes APUs'!$S$1:$V$10,2,0)</f>
        <v>Templadoras</v>
      </c>
      <c r="C12967" s="220"/>
      <c r="D12967" s="50" t="s">
        <v>18</v>
      </c>
      <c r="E12967" s="50">
        <v>0</v>
      </c>
      <c r="F12967" s="51">
        <f>VLOOKUP(A12967,'Componentes APUs'!$S$1:$V$10,4,0)</f>
        <v>250000</v>
      </c>
      <c r="G12967" s="51">
        <f>ROUNDUP(F12967*((E12967/21)/E12938),0)</f>
        <v>0</v>
      </c>
    </row>
    <row r="12968" spans="1:7" x14ac:dyDescent="0.25">
      <c r="A12968" s="50" t="s">
        <v>328</v>
      </c>
      <c r="B12968" s="220" t="str">
        <f>VLOOKUP(A12968,'Componentes APUs'!$S$1:$V$10,2,0)</f>
        <v>Herramienta Menor</v>
      </c>
      <c r="C12968" s="220"/>
      <c r="D12968" s="50" t="s">
        <v>18</v>
      </c>
      <c r="E12968" s="50">
        <v>2</v>
      </c>
      <c r="F12968" s="51">
        <f>VLOOKUP(A12968,'Componentes APUs'!$S$1:$V$10,4,0)</f>
        <v>75758</v>
      </c>
      <c r="G12968" s="51">
        <f>ROUNDUP(F12968*((E12968/21)/E12938),0)</f>
        <v>207</v>
      </c>
    </row>
    <row r="12969" spans="1:7" x14ac:dyDescent="0.25">
      <c r="A12969" s="219" t="s">
        <v>69</v>
      </c>
      <c r="B12969" s="219"/>
      <c r="C12969" s="219"/>
      <c r="D12969" s="219"/>
      <c r="E12969" s="219"/>
      <c r="F12969" s="219"/>
      <c r="G12969" s="52">
        <f>SUM(G12963:G12968)</f>
        <v>236</v>
      </c>
    </row>
    <row r="12970" spans="1:7" x14ac:dyDescent="0.25">
      <c r="A12970" s="56"/>
      <c r="B12970" s="57"/>
      <c r="C12970" s="57"/>
      <c r="D12970" s="57"/>
      <c r="E12970" s="57"/>
      <c r="F12970" s="57"/>
      <c r="G12970" s="58"/>
    </row>
    <row r="12971" spans="1:7" x14ac:dyDescent="0.25">
      <c r="A12971" s="219" t="s">
        <v>70</v>
      </c>
      <c r="B12971" s="219"/>
      <c r="C12971" s="219"/>
      <c r="D12971" s="219"/>
      <c r="E12971" s="219"/>
      <c r="F12971" s="219"/>
      <c r="G12971" s="219"/>
    </row>
    <row r="12972" spans="1:7" x14ac:dyDescent="0.25">
      <c r="A12972" s="49" t="s">
        <v>35</v>
      </c>
      <c r="B12972" s="219" t="s">
        <v>36</v>
      </c>
      <c r="C12972" s="219"/>
      <c r="D12972" s="49" t="s">
        <v>37</v>
      </c>
      <c r="E12972" s="49" t="s">
        <v>38</v>
      </c>
      <c r="F12972" s="49" t="s">
        <v>39</v>
      </c>
      <c r="G12972" s="49" t="s">
        <v>40</v>
      </c>
    </row>
    <row r="12973" spans="1:7" x14ac:dyDescent="0.25">
      <c r="A12973" s="50" t="s">
        <v>71</v>
      </c>
      <c r="B12973" s="71" t="str">
        <f>VLOOKUP(A12973,'Componentes APUs'!$A$1:$D$14,2,0)</f>
        <v>Camisa indigo sin partes metalicas</v>
      </c>
      <c r="C12973" s="71"/>
      <c r="D12973" s="50" t="str">
        <f>VLOOKUP(A12973,'Componentes APUs'!$A$1:$D$14,3,0)</f>
        <v>U</v>
      </c>
      <c r="E12973" s="50">
        <f>SUM(C12953:C12958)</f>
        <v>1.75</v>
      </c>
      <c r="F12973" s="51">
        <f>VLOOKUP(A12973,'Componentes APUs'!$A$1:$D$14,4,0)</f>
        <v>8585.8585858585866</v>
      </c>
      <c r="G12973" s="51">
        <f>ROUNDUP(F12973*(E12973/21)/E12938,0)</f>
        <v>21</v>
      </c>
    </row>
    <row r="12974" spans="1:7" x14ac:dyDescent="0.25">
      <c r="A12974" s="69" t="s">
        <v>73</v>
      </c>
      <c r="B12974" s="72" t="str">
        <f>VLOOKUP(A12974,'Componentes APUs'!$A$1:$D$14,2,0)</f>
        <v>Bota de seguridad dielectrica</v>
      </c>
      <c r="C12974" s="73"/>
      <c r="D12974" s="70" t="str">
        <f>VLOOKUP(A12974,'Componentes APUs'!$A$1:$D$14,3,0)</f>
        <v>Par</v>
      </c>
      <c r="E12974" s="50">
        <f>SUM(C12953:C12958)</f>
        <v>1.75</v>
      </c>
      <c r="F12974" s="51">
        <f>VLOOKUP(A12974,'Componentes APUs'!$A$1:$D$14,4,0)</f>
        <v>7500</v>
      </c>
      <c r="G12974" s="51">
        <f>ROUNDUP(F12974*(E12974/21)/E12938,0)</f>
        <v>18</v>
      </c>
    </row>
    <row r="12975" spans="1:7" x14ac:dyDescent="0.25">
      <c r="A12975" s="50" t="s">
        <v>76</v>
      </c>
      <c r="B12975" s="72" t="str">
        <f>VLOOKUP(A12975,'Componentes APUs'!$A$1:$D$14,2,0)</f>
        <v>Casco dielectrico Tipo 1 Clase E con barbuquejo</v>
      </c>
      <c r="C12975" s="73"/>
      <c r="D12975" s="50" t="str">
        <f>VLOOKUP(A12975,'Componentes APUs'!$A$1:$D$14,3,0)</f>
        <v>U</v>
      </c>
      <c r="E12975" s="50">
        <f>C12953+C12956+C12957+C12954+C12958+IF(A12955&lt;&gt;"MO-3",C12955,0)</f>
        <v>1.75</v>
      </c>
      <c r="F12975" s="51">
        <f>VLOOKUP(A12975,'Componentes APUs'!$A$1:$D$14,4,0)</f>
        <v>10101.010101010101</v>
      </c>
      <c r="G12975" s="51">
        <f>ROUNDUP(F12975*(E12975/21)/E12938,0)</f>
        <v>25</v>
      </c>
    </row>
    <row r="12976" spans="1:7" x14ac:dyDescent="0.25">
      <c r="A12976" s="69" t="s">
        <v>77</v>
      </c>
      <c r="B12976" s="72" t="str">
        <f>VLOOKUP(A12976,'Componentes APUs'!$A$1:$D$14,2,0)</f>
        <v>Correa plastica y antiflama</v>
      </c>
      <c r="C12976" s="73"/>
      <c r="D12976" s="50" t="str">
        <f>VLOOKUP(A12976,'Componentes APUs'!$A$1:$D$14,3,0)</f>
        <v>U</v>
      </c>
      <c r="E12976" s="50">
        <f>SUM(C12953:C12958)</f>
        <v>1.75</v>
      </c>
      <c r="F12976" s="51">
        <f>VLOOKUP(A12976,'Componentes APUs'!$A$1:$D$14,4,0)</f>
        <v>3787.878787878788</v>
      </c>
      <c r="G12976" s="51">
        <f>ROUNDUP(F12976*(E12976/21)/E12938,0)</f>
        <v>10</v>
      </c>
    </row>
    <row r="12977" spans="1:7" x14ac:dyDescent="0.25">
      <c r="A12977" s="50" t="s">
        <v>79</v>
      </c>
      <c r="B12977" s="72" t="str">
        <f>VLOOKUP(A12977,'Componentes APUs'!$A$1:$D$14,2,0)</f>
        <v>Gafas protectoras filtro UV</v>
      </c>
      <c r="C12977" s="73"/>
      <c r="D12977" s="50" t="str">
        <f>VLOOKUP(A12977,'Componentes APUs'!$A$1:$D$14,3,0)</f>
        <v>U</v>
      </c>
      <c r="E12977" s="50">
        <f>SUM(C12953:C12958)</f>
        <v>1.75</v>
      </c>
      <c r="F12977" s="51">
        <f>VLOOKUP(A12977,'Componentes APUs'!$A$1:$D$14,4,0)</f>
        <v>2777.7777777777778</v>
      </c>
      <c r="G12977" s="51">
        <f>ROUNDUP(F12977*(E12977/21)/E12938,0)</f>
        <v>7</v>
      </c>
    </row>
    <row r="12978" spans="1:7" x14ac:dyDescent="0.25">
      <c r="A12978" s="69" t="s">
        <v>402</v>
      </c>
      <c r="B12978" s="72" t="str">
        <f>VLOOKUP(A12978,'Componentes APUs'!$A$1:$D$14,2,0)</f>
        <v>Bota de seguridad PVC dielectrica</v>
      </c>
      <c r="C12978" s="73"/>
      <c r="D12978" s="50" t="str">
        <f>VLOOKUP(A12978,'Componentes APUs'!$A$1:$D$14,3,0)</f>
        <v>Par</v>
      </c>
      <c r="E12978" s="50">
        <f>SUM(C12953:C12958)</f>
        <v>1.75</v>
      </c>
      <c r="F12978" s="51">
        <f>VLOOKUP(A12978,'Componentes APUs'!$A$1:$D$14,4,0)</f>
        <v>2916.6666666666665</v>
      </c>
      <c r="G12978" s="51">
        <f>ROUNDUP(F12978*(E12978/21)/E12938,0)</f>
        <v>7</v>
      </c>
    </row>
    <row r="12979" spans="1:7" x14ac:dyDescent="0.25">
      <c r="A12979" s="50" t="s">
        <v>403</v>
      </c>
      <c r="B12979" s="72" t="str">
        <f>VLOOKUP(A12979,'Componentes APUs'!$A$1:$D$14,2,0)</f>
        <v>Capuchon</v>
      </c>
      <c r="C12979" s="73"/>
      <c r="D12979" s="50" t="str">
        <f>VLOOKUP(A12979,'Componentes APUs'!$A$1:$D$14,3,0)</f>
        <v>U</v>
      </c>
      <c r="E12979" s="50">
        <f>SUM(C12953:C12958)</f>
        <v>1.75</v>
      </c>
      <c r="F12979" s="51">
        <f>VLOOKUP(A12979,'Componentes APUs'!$A$1:$D$14,4,0)</f>
        <v>2525.2525252525252</v>
      </c>
      <c r="G12979" s="51">
        <f>ROUNDUP(F12979*(E12979/21)/E12938,0)</f>
        <v>7</v>
      </c>
    </row>
    <row r="12980" spans="1:7" x14ac:dyDescent="0.25">
      <c r="A12980" s="69" t="s">
        <v>81</v>
      </c>
      <c r="B12980" s="72" t="str">
        <f>VLOOKUP(A12980,'Componentes APUs'!$A$1:$D$14,2,0)</f>
        <v>Guantes Protectores  - ingeniero reforzados</v>
      </c>
      <c r="C12980" s="73"/>
      <c r="D12980" s="50" t="str">
        <f>VLOOKUP(A12980,'Componentes APUs'!$A$1:$D$14,3,0)</f>
        <v>Par</v>
      </c>
      <c r="E12980" s="50">
        <f>C12955+C12956+C12958</f>
        <v>1</v>
      </c>
      <c r="F12980" s="51">
        <f>VLOOKUP(A12980,'Componentes APUs'!$A$1:$D$14,4,0)</f>
        <v>2525.2525252525252</v>
      </c>
      <c r="G12980" s="51">
        <f>ROUNDUP(F12980*(E12980/21)/E12938,0)</f>
        <v>4</v>
      </c>
    </row>
    <row r="12981" spans="1:7" x14ac:dyDescent="0.25">
      <c r="A12981" s="50" t="s">
        <v>83</v>
      </c>
      <c r="B12981" s="72" t="str">
        <f>VLOOKUP(A12981,'Componentes APUs'!$A$1:$D$14,2,0)</f>
        <v>Impermeable (pantalon camisa)</v>
      </c>
      <c r="C12981" s="73"/>
      <c r="D12981" s="50" t="str">
        <f>VLOOKUP(A12981,'Componentes APUs'!$A$1:$D$14,3,0)</f>
        <v>U</v>
      </c>
      <c r="E12981" s="50">
        <f>SUM(C12953:C12958)</f>
        <v>1.75</v>
      </c>
      <c r="F12981" s="51">
        <f>VLOOKUP(A12981,'Componentes APUs'!$A$1:$D$14,4,0)</f>
        <v>3750</v>
      </c>
      <c r="G12981" s="51">
        <f>ROUNDUP(F12981*(E12981/21)/E12938,0)</f>
        <v>9</v>
      </c>
    </row>
    <row r="12982" spans="1:7" x14ac:dyDescent="0.25">
      <c r="A12982" s="69" t="s">
        <v>85</v>
      </c>
      <c r="B12982" s="72" t="str">
        <f>VLOOKUP(A12982,'Componentes APUs'!$A$1:$D$14,2,0)</f>
        <v>Jean Dielectrico</v>
      </c>
      <c r="C12982" s="73"/>
      <c r="D12982" s="50" t="str">
        <f>VLOOKUP(A12982,'Componentes APUs'!$A$1:$D$14,3,0)</f>
        <v>U</v>
      </c>
      <c r="E12982" s="50">
        <f>SUM(C12953:C12958)</f>
        <v>1.75</v>
      </c>
      <c r="F12982" s="51">
        <f>VLOOKUP(A12982,'Componentes APUs'!$A$1:$D$14,4,0)</f>
        <v>7575.757575757576</v>
      </c>
      <c r="G12982" s="51">
        <f>ROUNDUP(F12982*(E12982/21)/E12938,0)</f>
        <v>19</v>
      </c>
    </row>
    <row r="12983" spans="1:7" x14ac:dyDescent="0.25">
      <c r="A12983" s="50" t="s">
        <v>87</v>
      </c>
      <c r="B12983" s="72" t="str">
        <f>VLOOKUP(A12983,'Componentes APUs'!$A$1:$D$14,2,0)</f>
        <v>Casco dielectrico Tipo 2 Clase E con barboquejo</v>
      </c>
      <c r="C12983" s="73"/>
      <c r="D12983" s="50" t="str">
        <f>VLOOKUP(A12983,'Componentes APUs'!$A$1:$D$14,3,0)</f>
        <v>U</v>
      </c>
      <c r="E12983" s="53">
        <f>IF(A12955="MO-3",C12955,0)</f>
        <v>0</v>
      </c>
      <c r="F12983" s="51">
        <f>VLOOKUP(A12983,'Componentes APUs'!$A$1:$D$14,4,0)</f>
        <v>7500</v>
      </c>
      <c r="G12983" s="51">
        <f>ROUNDUP(F12983*(E12983/21)/E12938,0)</f>
        <v>0</v>
      </c>
    </row>
    <row r="12984" spans="1:7" x14ac:dyDescent="0.25">
      <c r="A12984" s="69" t="s">
        <v>89</v>
      </c>
      <c r="B12984" s="72" t="str">
        <f>VLOOKUP(A12984,'Componentes APUs'!$A$1:$D$14,2,0)</f>
        <v>Kit de rescate para trabajo en alturas</v>
      </c>
      <c r="C12984" s="73"/>
      <c r="D12984" s="50" t="str">
        <f>VLOOKUP(A12984,'Componentes APUs'!$A$1:$D$14,3,0)</f>
        <v>U</v>
      </c>
      <c r="E12984" s="50">
        <f>IF(AND(A12955="MO-3",C12955=2),1,0)</f>
        <v>0</v>
      </c>
      <c r="F12984" s="51">
        <f>VLOOKUP(A12984,'Componentes APUs'!$A$1:$D$14,4,0)</f>
        <v>37500</v>
      </c>
      <c r="G12984" s="51">
        <f>ROUNDUP(F12984*(E12984/21)/E12938,0)</f>
        <v>0</v>
      </c>
    </row>
    <row r="12985" spans="1:7" x14ac:dyDescent="0.25">
      <c r="A12985" s="50" t="s">
        <v>91</v>
      </c>
      <c r="B12985" s="72" t="str">
        <f>VLOOKUP(A12985,'Componentes APUs'!$A$1:$D$14,2,0)</f>
        <v>Equipo completo para trabajo en alturas con pretales (Arnes dielectrico, 1 mosqueton de seguridad, tie off dielectrico, eslinga de posicionamiento, juego de pretales)</v>
      </c>
      <c r="C12985" s="73"/>
      <c r="D12985" s="50" t="str">
        <f>VLOOKUP(A12985,'Componentes APUs'!$A$1:$D$14,3,0)</f>
        <v>U</v>
      </c>
      <c r="E12985" s="50">
        <f>IF(A12954="MO-3",C12954,0)</f>
        <v>0</v>
      </c>
      <c r="F12985" s="51">
        <f>VLOOKUP(A12985,'Componentes APUs'!$A$1:$D$14,4,0)</f>
        <v>26041.666666666668</v>
      </c>
      <c r="G12985" s="51">
        <f>ROUNDUP(F12985*(E12985/21)/E12938,0)</f>
        <v>0</v>
      </c>
    </row>
    <row r="12986" spans="1:7" x14ac:dyDescent="0.25">
      <c r="A12986" s="219" t="s">
        <v>95</v>
      </c>
      <c r="B12986" s="219"/>
      <c r="C12986" s="219"/>
      <c r="D12986" s="219"/>
      <c r="E12986" s="219"/>
      <c r="F12986" s="219"/>
      <c r="G12986" s="52">
        <f>SUM(G12973:G12985)</f>
        <v>127</v>
      </c>
    </row>
    <row r="12987" spans="1:7" x14ac:dyDescent="0.25">
      <c r="A12987" s="56"/>
      <c r="B12987" s="57"/>
      <c r="C12987" s="57"/>
      <c r="D12987" s="57"/>
      <c r="E12987" s="57"/>
      <c r="F12987" s="57"/>
      <c r="G12987" s="58"/>
    </row>
    <row r="12988" spans="1:7" x14ac:dyDescent="0.25">
      <c r="A12988" s="219" t="s">
        <v>96</v>
      </c>
      <c r="B12988" s="219"/>
      <c r="C12988" s="219"/>
      <c r="D12988" s="219"/>
      <c r="E12988" s="219"/>
      <c r="F12988" s="219"/>
      <c r="G12988" s="219"/>
    </row>
    <row r="12989" spans="1:7" x14ac:dyDescent="0.25">
      <c r="A12989" s="49" t="s">
        <v>35</v>
      </c>
      <c r="B12989" s="225" t="s">
        <v>36</v>
      </c>
      <c r="C12989" s="225"/>
      <c r="D12989" s="49" t="s">
        <v>37</v>
      </c>
      <c r="E12989" s="49" t="s">
        <v>38</v>
      </c>
      <c r="F12989" s="49" t="s">
        <v>39</v>
      </c>
      <c r="G12989" s="49" t="s">
        <v>40</v>
      </c>
    </row>
    <row r="12990" spans="1:7" x14ac:dyDescent="0.25">
      <c r="A12990" s="69" t="s">
        <v>97</v>
      </c>
      <c r="B12990" s="72" t="str">
        <f>VLOOKUP(A12990,'Componentes APUs'!$N$1:$Q$30,2,0)</f>
        <v>Camioneta</v>
      </c>
      <c r="C12990" s="73"/>
      <c r="D12990" s="70" t="str">
        <f>VLOOKUP(A12990,'Componentes APUs'!$N$1:$Q$30,3,0)</f>
        <v>U</v>
      </c>
      <c r="E12990" s="50">
        <v>1</v>
      </c>
      <c r="F12990" s="51">
        <f>VLOOKUP(A12990,'Componentes APUs'!$N$1:$Q$30,4,0)</f>
        <v>5500000</v>
      </c>
      <c r="G12990" s="51">
        <f>IFERROR(ROUNDUP(F12990*(E12990/21)/E12938,0),0)</f>
        <v>7483</v>
      </c>
    </row>
    <row r="12991" spans="1:7" x14ac:dyDescent="0.25">
      <c r="A12991" s="50" t="s">
        <v>321</v>
      </c>
      <c r="B12991" s="72" t="str">
        <f>VLOOKUP(A12991,'Componentes APUs'!$N$1:$Q$30,2,0)</f>
        <v>Grúa Hidráulica</v>
      </c>
      <c r="C12991" s="73"/>
      <c r="D12991" s="70" t="str">
        <f>VLOOKUP(A12991,'Componentes APUs'!$N$1:$Q$30,3,0)</f>
        <v>U</v>
      </c>
      <c r="E12991" s="50">
        <v>0</v>
      </c>
      <c r="F12991" s="51">
        <f>VLOOKUP(A12991,'Componentes APUs'!$N$1:$Q$30,4,0)</f>
        <v>21000000</v>
      </c>
      <c r="G12991" s="51">
        <f>IFERROR(ROUNDUP(F12991*(E12991/21)/E12938,0),0)</f>
        <v>0</v>
      </c>
    </row>
    <row r="12992" spans="1:7" x14ac:dyDescent="0.25">
      <c r="A12992" s="69" t="s">
        <v>322</v>
      </c>
      <c r="B12992" s="72" t="str">
        <f>VLOOKUP(A12992,'Componentes APUs'!$N$1:$Q$30,2,0)</f>
        <v>Camabaja</v>
      </c>
      <c r="C12992" s="73"/>
      <c r="D12992" s="70" t="str">
        <f>VLOOKUP(A12992,'Componentes APUs'!$N$1:$Q$30,3,0)</f>
        <v>TON/KM</v>
      </c>
      <c r="E12992" s="50">
        <v>0</v>
      </c>
      <c r="F12992" s="51">
        <f>VLOOKUP(A12992,'Componentes APUs'!$N$1:$Q$30,4,0)</f>
        <v>611</v>
      </c>
      <c r="G12992" s="51">
        <f>IFERROR(ROUNDUP(F12992*(E12992/21)/E12938,0),0)</f>
        <v>0</v>
      </c>
    </row>
    <row r="12993" spans="1:7" x14ac:dyDescent="0.25">
      <c r="A12993" s="50" t="s">
        <v>323</v>
      </c>
      <c r="B12993" s="72" t="str">
        <f>VLOOKUP(A12993,'Componentes APUs'!$N$1:$Q$30,2,0)</f>
        <v>Volqueta</v>
      </c>
      <c r="C12993" s="73"/>
      <c r="D12993" s="70" t="str">
        <f>VLOOKUP(A12993,'Componentes APUs'!$N$1:$Q$30,3,0)</f>
        <v>U</v>
      </c>
      <c r="E12993" s="50">
        <v>0</v>
      </c>
      <c r="F12993" s="51">
        <f>VLOOKUP(A12993,'Componentes APUs'!$N$1:$Q$30,4,0)</f>
        <v>14828184</v>
      </c>
      <c r="G12993" s="51">
        <f>IFERROR(ROUNDUP(F12993*(E12993/21)/E12938,0),0)</f>
        <v>0</v>
      </c>
    </row>
    <row r="12994" spans="1:7" x14ac:dyDescent="0.25">
      <c r="A12994" s="69" t="s">
        <v>324</v>
      </c>
      <c r="B12994" s="72" t="str">
        <f>VLOOKUP(A12994,'Componentes APUs'!$N$1:$Q$30,2,0)</f>
        <v>Retroexcavadora</v>
      </c>
      <c r="C12994" s="73"/>
      <c r="D12994" s="70" t="str">
        <f>VLOOKUP(A12994,'Componentes APUs'!$N$1:$Q$30,3,0)</f>
        <v>U</v>
      </c>
      <c r="E12994" s="50">
        <v>0</v>
      </c>
      <c r="F12994" s="51">
        <f>VLOOKUP(A12994,'Componentes APUs'!$N$1:$Q$30,4,0)</f>
        <v>46030656</v>
      </c>
      <c r="G12994" s="51">
        <f>IFERROR(ROUNDUP(F12994*(E12994/21)/E12938,0),0)</f>
        <v>0</v>
      </c>
    </row>
    <row r="12995" spans="1:7" x14ac:dyDescent="0.25">
      <c r="A12995" s="219" t="s">
        <v>99</v>
      </c>
      <c r="B12995" s="219"/>
      <c r="C12995" s="219"/>
      <c r="D12995" s="219"/>
      <c r="E12995" s="219"/>
      <c r="F12995" s="219"/>
      <c r="G12995" s="52">
        <f>SUM(G12990:G12994)</f>
        <v>7483</v>
      </c>
    </row>
    <row r="12996" spans="1:7" x14ac:dyDescent="0.25">
      <c r="A12996" s="56"/>
      <c r="B12996" s="57"/>
      <c r="C12996" s="57"/>
      <c r="D12996" s="57"/>
      <c r="E12996" s="57"/>
      <c r="F12996" s="57"/>
      <c r="G12996" s="58"/>
    </row>
    <row r="12997" spans="1:7" x14ac:dyDescent="0.25">
      <c r="A12997" s="219" t="s">
        <v>1516</v>
      </c>
      <c r="B12997" s="219"/>
      <c r="C12997" s="219"/>
      <c r="D12997" s="219"/>
      <c r="E12997" s="219"/>
      <c r="F12997" s="219"/>
      <c r="G12997" s="52">
        <f>G12995+G12986+G12969+G12959+G12949</f>
        <v>29551</v>
      </c>
    </row>
    <row r="12998" spans="1:7" x14ac:dyDescent="0.25">
      <c r="A12998" s="59"/>
      <c r="B12998" s="60"/>
      <c r="C12998" s="60"/>
      <c r="D12998" s="60"/>
      <c r="E12998" s="57"/>
      <c r="F12998" s="57"/>
      <c r="G12998" s="58"/>
    </row>
    <row r="12999" spans="1:7" x14ac:dyDescent="0.25">
      <c r="A12999" s="64"/>
      <c r="D12999" s="55"/>
      <c r="E12999" s="49" t="s">
        <v>25</v>
      </c>
      <c r="F12999" s="54">
        <v>0.15</v>
      </c>
      <c r="G12999" s="51">
        <f>G12997*F12999</f>
        <v>4432.6499999999996</v>
      </c>
    </row>
    <row r="13000" spans="1:7" x14ac:dyDescent="0.25">
      <c r="A13000" s="64"/>
      <c r="D13000" s="55"/>
      <c r="E13000" s="49" t="s">
        <v>26</v>
      </c>
      <c r="F13000" s="54">
        <v>0.05</v>
      </c>
      <c r="G13000" s="51">
        <f>G12997*F13000</f>
        <v>1477.5500000000002</v>
      </c>
    </row>
    <row r="13001" spans="1:7" x14ac:dyDescent="0.25">
      <c r="A13001" s="61"/>
      <c r="B13001" s="65"/>
      <c r="C13001" s="65"/>
      <c r="D13001" s="62"/>
      <c r="E13001" s="49" t="s">
        <v>27</v>
      </c>
      <c r="F13001" s="54">
        <v>0.05</v>
      </c>
      <c r="G13001" s="51">
        <f>G12997*F13001</f>
        <v>1477.5500000000002</v>
      </c>
    </row>
    <row r="13002" spans="1:7" x14ac:dyDescent="0.25">
      <c r="A13002" s="61"/>
      <c r="B13002" s="62"/>
      <c r="C13002" s="62"/>
      <c r="D13002" s="62"/>
      <c r="E13002" s="62"/>
      <c r="F13002" s="62"/>
      <c r="G13002" s="63"/>
    </row>
    <row r="13003" spans="1:7" x14ac:dyDescent="0.25">
      <c r="A13003" s="219" t="s">
        <v>1517</v>
      </c>
      <c r="B13003" s="219"/>
      <c r="C13003" s="219"/>
      <c r="D13003" s="219"/>
      <c r="E13003" s="219"/>
      <c r="F13003" s="219"/>
      <c r="G13003" s="52">
        <f>G12997+G12999+G13000+G13001</f>
        <v>36938.750000000007</v>
      </c>
    </row>
    <row r="13004" spans="1:7" x14ac:dyDescent="0.25">
      <c r="A13004" s="59"/>
      <c r="B13004" s="60"/>
      <c r="C13004" s="60"/>
      <c r="D13004" s="60"/>
      <c r="E13004" s="57"/>
      <c r="F13004" s="57"/>
      <c r="G13004" s="58"/>
    </row>
    <row r="13005" spans="1:7" x14ac:dyDescent="0.25">
      <c r="A13005" s="64"/>
      <c r="D13005" s="55"/>
      <c r="E13005" s="49" t="s">
        <v>102</v>
      </c>
      <c r="F13005" s="49" t="s">
        <v>103</v>
      </c>
      <c r="G13005" s="51">
        <f>G13001*19%</f>
        <v>280.73450000000003</v>
      </c>
    </row>
    <row r="13006" spans="1:7" x14ac:dyDescent="0.25">
      <c r="A13006" s="61"/>
      <c r="B13006" s="62"/>
      <c r="C13006" s="62"/>
      <c r="D13006" s="62"/>
      <c r="E13006" s="57"/>
      <c r="F13006" s="57"/>
      <c r="G13006" s="58"/>
    </row>
    <row r="13007" spans="1:7" x14ac:dyDescent="0.25">
      <c r="A13007" s="219" t="s">
        <v>104</v>
      </c>
      <c r="B13007" s="219"/>
      <c r="C13007" s="219"/>
      <c r="D13007" s="219"/>
      <c r="E13007" s="219"/>
      <c r="F13007" s="219"/>
      <c r="G13007" s="52">
        <f>G13005+G13003</f>
        <v>37219.484500000006</v>
      </c>
    </row>
    <row r="13009" spans="1:7" x14ac:dyDescent="0.25">
      <c r="A13009" s="74" t="s">
        <v>29</v>
      </c>
      <c r="B13009" s="226" t="s">
        <v>30</v>
      </c>
      <c r="C13009" s="226"/>
      <c r="D13009" s="74" t="s">
        <v>31</v>
      </c>
      <c r="E13009" s="74" t="s">
        <v>32</v>
      </c>
      <c r="F13009" s="74" t="s">
        <v>189</v>
      </c>
      <c r="G13009" s="74" t="s">
        <v>33</v>
      </c>
    </row>
    <row r="13010" spans="1:7" ht="28.5" customHeight="1" x14ac:dyDescent="0.25">
      <c r="A13010" s="50" t="str">
        <f>Presupuesto!B237</f>
        <v>044_N3</v>
      </c>
      <c r="B13010" s="220" t="str">
        <f>Presupuesto!C237</f>
        <v>SUMINISTRO E INSTALACIÓN DE CABLE DE CONTROL APANTALLADO 7x10 AWG Cu- TC-THHN/THWN - ER- 600 V PARA TCs Y PTs</v>
      </c>
      <c r="C13010" s="220"/>
      <c r="D13010" s="50" t="s">
        <v>108</v>
      </c>
      <c r="E13010" s="50">
        <v>80</v>
      </c>
      <c r="F13010" s="50"/>
      <c r="G13010" s="51">
        <f>G13078</f>
        <v>80837.229000000021</v>
      </c>
    </row>
    <row r="13011" spans="1:7" x14ac:dyDescent="0.25">
      <c r="A13011" s="219" t="s">
        <v>34</v>
      </c>
      <c r="B13011" s="219"/>
      <c r="C13011" s="219"/>
      <c r="D13011" s="219"/>
      <c r="E13011" s="219"/>
      <c r="F13011" s="219"/>
      <c r="G13011" s="219"/>
    </row>
    <row r="13012" spans="1:7" x14ac:dyDescent="0.25">
      <c r="A13012" s="49" t="s">
        <v>35</v>
      </c>
      <c r="B13012" s="219" t="s">
        <v>36</v>
      </c>
      <c r="C13012" s="219"/>
      <c r="D13012" s="49" t="s">
        <v>37</v>
      </c>
      <c r="E13012" s="49" t="s">
        <v>38</v>
      </c>
      <c r="F13012" s="49" t="s">
        <v>39</v>
      </c>
      <c r="G13012" s="49" t="s">
        <v>40</v>
      </c>
    </row>
    <row r="13013" spans="1:7" x14ac:dyDescent="0.25">
      <c r="A13013" s="17" t="str">
        <f>Material!A42</f>
        <v>MA-41</v>
      </c>
      <c r="B13013" s="232" t="str">
        <f>IFERROR(VLOOKUP(A13013,Material!$A:$J,2,0),"-")</f>
        <v>CABLE DE CONTROL APANTALLADO 7x10 AWG Cu- TC-THHN/THWN - ER- 600 V</v>
      </c>
      <c r="C13013" s="233"/>
      <c r="D13013" s="50" t="str">
        <f>IFERROR(VLOOKUP(A13013,Material!$A:$J,4,0),"-")</f>
        <v>ML</v>
      </c>
      <c r="E13013" s="50">
        <v>1</v>
      </c>
      <c r="F13013" s="51">
        <f>IFERROR(VLOOKUP(A13013,Material!$A:$J,3,0),"-")</f>
        <v>52000</v>
      </c>
      <c r="G13013" s="51">
        <f t="shared" ref="G13013:G13019" si="183">IFERROR(ROUNDUP(F13013*E13013,0),"-")</f>
        <v>52000</v>
      </c>
    </row>
    <row r="13014" spans="1:7" x14ac:dyDescent="0.25">
      <c r="A13014" s="17"/>
      <c r="B13014" s="72" t="str">
        <f>IFERROR(VLOOKUP(A13014,Material!$A:$J,2,0),"-")</f>
        <v>-</v>
      </c>
      <c r="C13014" s="73"/>
      <c r="D13014" s="50" t="str">
        <f>IFERROR(VLOOKUP(A13014,Material!$A:$J,4,0),"-")</f>
        <v>-</v>
      </c>
      <c r="E13014" s="50"/>
      <c r="F13014" s="51" t="str">
        <f>IFERROR(VLOOKUP(A13014,Material!$A:$J,3,0),"-")</f>
        <v>-</v>
      </c>
      <c r="G13014" s="51" t="str">
        <f t="shared" si="183"/>
        <v>-</v>
      </c>
    </row>
    <row r="13015" spans="1:7" x14ac:dyDescent="0.25">
      <c r="A13015" s="17"/>
      <c r="B13015" s="72" t="str">
        <f>IFERROR(VLOOKUP(A13015,Material!$A:$J,2,0),"-")</f>
        <v>-</v>
      </c>
      <c r="C13015" s="73"/>
      <c r="D13015" s="50" t="str">
        <f>IFERROR(VLOOKUP(A13015,Material!$A:$J,4,0),"-")</f>
        <v>-</v>
      </c>
      <c r="E13015" s="50"/>
      <c r="F13015" s="51" t="str">
        <f>IFERROR(VLOOKUP(A13015,Material!$A:$J,3,0),"-")</f>
        <v>-</v>
      </c>
      <c r="G13015" s="51" t="str">
        <f t="shared" si="183"/>
        <v>-</v>
      </c>
    </row>
    <row r="13016" spans="1:7" x14ac:dyDescent="0.25">
      <c r="A13016" s="17"/>
      <c r="B13016" s="72" t="str">
        <f>IFERROR(VLOOKUP(A13016,Material!$A:$J,2,0),"-")</f>
        <v>-</v>
      </c>
      <c r="C13016" s="73"/>
      <c r="D13016" s="50" t="str">
        <f>IFERROR(VLOOKUP(A13016,Material!$A:$J,4,0),"-")</f>
        <v>-</v>
      </c>
      <c r="E13016" s="50"/>
      <c r="F13016" s="51" t="str">
        <f>IFERROR(VLOOKUP(A13016,Material!$A:$J,3,0),"-")</f>
        <v>-</v>
      </c>
      <c r="G13016" s="51" t="str">
        <f t="shared" si="183"/>
        <v>-</v>
      </c>
    </row>
    <row r="13017" spans="1:7" x14ac:dyDescent="0.25">
      <c r="A13017" s="17"/>
      <c r="B13017" s="72" t="str">
        <f>IFERROR(VLOOKUP(A13017,Material!$A:$J,2,0),"-")</f>
        <v>-</v>
      </c>
      <c r="C13017" s="73"/>
      <c r="D13017" s="50" t="str">
        <f>IFERROR(VLOOKUP(A13017,Material!$A:$J,4,0),"-")</f>
        <v>-</v>
      </c>
      <c r="E13017" s="50"/>
      <c r="F13017" s="51" t="str">
        <f>IFERROR(VLOOKUP(A13017,Material!$A:$J,3,0),"-")</f>
        <v>-</v>
      </c>
      <c r="G13017" s="51" t="str">
        <f t="shared" si="183"/>
        <v>-</v>
      </c>
    </row>
    <row r="13018" spans="1:7" x14ac:dyDescent="0.25">
      <c r="A13018" s="17"/>
      <c r="B13018" s="75" t="str">
        <f>IFERROR(VLOOKUP(A13018,Material!$A:$J,2,0),"-")</f>
        <v>-</v>
      </c>
      <c r="C13018" s="76"/>
      <c r="D13018" s="50" t="str">
        <f>IFERROR(VLOOKUP(A13018,Material!$A:$J,4,0),"-")</f>
        <v>-</v>
      </c>
      <c r="E13018" s="50"/>
      <c r="F13018" s="51" t="str">
        <f>IFERROR(VLOOKUP(A13018,Material!$A:$J,3,0),"-")</f>
        <v>-</v>
      </c>
      <c r="G13018" s="51" t="str">
        <f t="shared" si="183"/>
        <v>-</v>
      </c>
    </row>
    <row r="13019" spans="1:7" x14ac:dyDescent="0.25">
      <c r="A13019" s="17"/>
      <c r="B13019" s="72" t="str">
        <f>IFERROR(VLOOKUP(A13019,Material!$A:$J,2,0),"-")</f>
        <v>-</v>
      </c>
      <c r="C13019" s="76"/>
      <c r="D13019" s="50" t="str">
        <f>IFERROR(VLOOKUP(A13019,Material!$A:$J,4,0),"-")</f>
        <v>-</v>
      </c>
      <c r="E13019" s="50"/>
      <c r="F13019" s="51" t="str">
        <f>IFERROR(VLOOKUP(A13019,Material!$A:$J,3,0),"-")</f>
        <v>-</v>
      </c>
      <c r="G13019" s="51" t="str">
        <f t="shared" si="183"/>
        <v>-</v>
      </c>
    </row>
    <row r="13020" spans="1:7" x14ac:dyDescent="0.25">
      <c r="A13020" s="219" t="s">
        <v>41</v>
      </c>
      <c r="B13020" s="219"/>
      <c r="C13020" s="219"/>
      <c r="D13020" s="219"/>
      <c r="E13020" s="219"/>
      <c r="F13020" s="219"/>
      <c r="G13020" s="52">
        <f>SUM(G13013:G13019)</f>
        <v>52000</v>
      </c>
    </row>
    <row r="13021" spans="1:7" x14ac:dyDescent="0.25">
      <c r="A13021" s="56"/>
      <c r="B13021" s="57"/>
      <c r="C13021" s="57"/>
      <c r="D13021" s="57"/>
      <c r="E13021" s="57"/>
      <c r="F13021" s="57"/>
      <c r="G13021" s="58"/>
    </row>
    <row r="13022" spans="1:7" x14ac:dyDescent="0.25">
      <c r="A13022" s="219" t="s">
        <v>42</v>
      </c>
      <c r="B13022" s="219"/>
      <c r="C13022" s="219"/>
      <c r="D13022" s="219"/>
      <c r="E13022" s="219"/>
      <c r="F13022" s="219"/>
      <c r="G13022" s="219"/>
    </row>
    <row r="13023" spans="1:7" x14ac:dyDescent="0.25">
      <c r="A13023" s="49" t="s">
        <v>35</v>
      </c>
      <c r="B13023" s="49" t="s">
        <v>36</v>
      </c>
      <c r="C13023" s="49" t="s">
        <v>38</v>
      </c>
      <c r="D13023" s="49" t="s">
        <v>43</v>
      </c>
      <c r="E13023" s="49" t="s">
        <v>44</v>
      </c>
      <c r="F13023" s="49" t="s">
        <v>45</v>
      </c>
      <c r="G13023" s="49" t="s">
        <v>40</v>
      </c>
    </row>
    <row r="13024" spans="1:7" x14ac:dyDescent="0.25">
      <c r="A13024" s="50" t="s">
        <v>319</v>
      </c>
      <c r="B13024" s="68" t="str">
        <f>VLOOKUP(A13024,'[1]Componentes APUs'!$H$1:$L$25,2,0)</f>
        <v>Ingeniero Residente de Obra</v>
      </c>
      <c r="C13024" s="93">
        <v>0.25</v>
      </c>
      <c r="D13024" s="50">
        <f>VLOOKUP(A13024,'[1]Componentes APUs'!$H$1:$L$25,3,0)</f>
        <v>4</v>
      </c>
      <c r="E13024" s="51">
        <f>VLOOKUP(A13024,'[1]Componentes APUs'!$H$1:$L$25,4,0)</f>
        <v>271142.85714285716</v>
      </c>
      <c r="F13024" s="51">
        <f>VLOOKUP(A13024,'[1]Componentes APUs'!$H$1:$L$25,5,0)</f>
        <v>162685.71428571429</v>
      </c>
      <c r="G13024" s="51">
        <f>ROUNDUP((E13024+F13024)*C13024/E13010,0)</f>
        <v>1356</v>
      </c>
    </row>
    <row r="13025" spans="1:7" x14ac:dyDescent="0.25">
      <c r="A13025" s="50" t="s">
        <v>320</v>
      </c>
      <c r="B13025" s="68" t="str">
        <f>VLOOKUP(A13025,'[1]Componentes APUs'!$H$1:$L$25,2,0)</f>
        <v>Tecnico Supervisor</v>
      </c>
      <c r="C13025" s="93">
        <v>0.25</v>
      </c>
      <c r="D13025" s="50">
        <f>VLOOKUP(A13025,'[1]Componentes APUs'!$H$1:$L$25,3,0)</f>
        <v>2.2999999999999998</v>
      </c>
      <c r="E13025" s="51">
        <f>VLOOKUP(A13025,'[1]Componentes APUs'!$H$1:$L$25,4,0)</f>
        <v>155907.14285714284</v>
      </c>
      <c r="F13025" s="51">
        <f>VLOOKUP(A13025,'[1]Componentes APUs'!$H$1:$L$25,5,0)</f>
        <v>93544.285714285696</v>
      </c>
      <c r="G13025" s="51">
        <f>ROUNDUP((E13025+F13025)*C13025/E13010,0)</f>
        <v>780</v>
      </c>
    </row>
    <row r="13026" spans="1:7" x14ac:dyDescent="0.25">
      <c r="A13026" s="50" t="s">
        <v>46</v>
      </c>
      <c r="B13026" s="68" t="str">
        <f>VLOOKUP(A13026,'[1]Componentes APUs'!$H$1:$L$25,2,0)</f>
        <v>Tecnico Liniero</v>
      </c>
      <c r="C13026" s="93">
        <v>1</v>
      </c>
      <c r="D13026" s="50">
        <f>VLOOKUP(A13026,'[1]Componentes APUs'!$H$1:$L$25,3,0)</f>
        <v>2</v>
      </c>
      <c r="E13026" s="51">
        <f>VLOOKUP(A13026,'[1]Componentes APUs'!$H$1:$L$25,4,0)</f>
        <v>154619.04761904763</v>
      </c>
      <c r="F13026" s="51">
        <f>VLOOKUP(A13026,'[1]Componentes APUs'!$H$1:$L$25,5,0)</f>
        <v>92771.42857142858</v>
      </c>
      <c r="G13026" s="51">
        <f>ROUNDUP((E13026+F13026)*C13026/E13010,0)</f>
        <v>3093</v>
      </c>
    </row>
    <row r="13027" spans="1:7" x14ac:dyDescent="0.25">
      <c r="A13027" s="50" t="s">
        <v>48</v>
      </c>
      <c r="B13027" s="68" t="str">
        <f>VLOOKUP(A13027,'[1]Componentes APUs'!$H$1:$L$25,2,0)</f>
        <v>Ayudante Calificado</v>
      </c>
      <c r="C13027" s="93">
        <v>1</v>
      </c>
      <c r="D13027" s="50">
        <f>VLOOKUP(A13027,'[1]Componentes APUs'!$H$1:$L$25,3,0)</f>
        <v>1.5</v>
      </c>
      <c r="E13027" s="51">
        <f>VLOOKUP(A13027,'[1]Componentes APUs'!$H$1:$L$25,4,0)</f>
        <v>115964.28571428571</v>
      </c>
      <c r="F13027" s="51">
        <f>VLOOKUP(A13027,'[1]Componentes APUs'!$H$1:$L$25,5,0)</f>
        <v>69578.57142857142</v>
      </c>
      <c r="G13027" s="51">
        <f>ROUNDUP((E13027+F13027)*C13027/E13010,0)</f>
        <v>2320</v>
      </c>
    </row>
    <row r="13028" spans="1:7" x14ac:dyDescent="0.25">
      <c r="A13028" s="50" t="s">
        <v>50</v>
      </c>
      <c r="B13028" s="68" t="str">
        <f>VLOOKUP(A13028,'[1]Componentes APUs'!$H$1:$L$25,2,0)</f>
        <v>Profesional en SST</v>
      </c>
      <c r="C13028" s="93">
        <v>0.25</v>
      </c>
      <c r="D13028" s="50">
        <f>VLOOKUP(A13028,'[1]Componentes APUs'!$H$1:$L$25,3,0)</f>
        <v>2.5</v>
      </c>
      <c r="E13028" s="51">
        <f>VLOOKUP(A13028,'[1]Componentes APUs'!$H$1:$L$25,4,0)</f>
        <v>169464.28571428571</v>
      </c>
      <c r="F13028" s="51">
        <f>VLOOKUP(A13028,'[1]Componentes APUs'!$H$1:$L$25,5,0)</f>
        <v>101678.57142857142</v>
      </c>
      <c r="G13028" s="51">
        <f>ROUNDUP((E13028+F13028)*C13028/E13010,0)</f>
        <v>848</v>
      </c>
    </row>
    <row r="13029" spans="1:7" x14ac:dyDescent="0.25">
      <c r="A13029" s="50" t="s">
        <v>52</v>
      </c>
      <c r="B13029" s="68" t="str">
        <f>VLOOKUP(A13029,'[1]Componentes APUs'!$H$1:$L$25,2,0)</f>
        <v>Ayudante No Calificado</v>
      </c>
      <c r="C13029" s="93">
        <v>0</v>
      </c>
      <c r="D13029" s="50">
        <f>VLOOKUP(A13029,'[1]Componentes APUs'!$H$1:$L$25,3,0)</f>
        <v>1</v>
      </c>
      <c r="E13029" s="51">
        <f>VLOOKUP(A13029,'[1]Componentes APUs'!$H$1:$L$25,4,0)</f>
        <v>77309.523809523816</v>
      </c>
      <c r="F13029" s="51">
        <f>VLOOKUP(A13029,'[1]Componentes APUs'!$H$1:$L$25,5,0)</f>
        <v>46385.71428571429</v>
      </c>
      <c r="G13029" s="51">
        <f>ROUNDUP((E13029+F13029)*C13029/E13010,0)</f>
        <v>0</v>
      </c>
    </row>
    <row r="13030" spans="1:7" x14ac:dyDescent="0.25">
      <c r="A13030" s="219" t="s">
        <v>56</v>
      </c>
      <c r="B13030" s="219"/>
      <c r="C13030" s="219"/>
      <c r="D13030" s="219"/>
      <c r="E13030" s="219"/>
      <c r="F13030" s="219"/>
      <c r="G13030" s="52">
        <f>SUM(G13024:G13029)</f>
        <v>8397</v>
      </c>
    </row>
    <row r="13031" spans="1:7" x14ac:dyDescent="0.25">
      <c r="A13031" s="56"/>
      <c r="B13031" s="57"/>
      <c r="C13031" s="57"/>
      <c r="D13031" s="57"/>
      <c r="E13031" s="57"/>
      <c r="F13031" s="57"/>
      <c r="G13031" s="58"/>
    </row>
    <row r="13032" spans="1:7" x14ac:dyDescent="0.25">
      <c r="A13032" s="219" t="s">
        <v>57</v>
      </c>
      <c r="B13032" s="219"/>
      <c r="C13032" s="219"/>
      <c r="D13032" s="219"/>
      <c r="E13032" s="219"/>
      <c r="F13032" s="219"/>
      <c r="G13032" s="219"/>
    </row>
    <row r="13033" spans="1:7" x14ac:dyDescent="0.25">
      <c r="A13033" s="49" t="s">
        <v>35</v>
      </c>
      <c r="B13033" s="219" t="s">
        <v>36</v>
      </c>
      <c r="C13033" s="219"/>
      <c r="D13033" s="49" t="s">
        <v>37</v>
      </c>
      <c r="E13033" s="49" t="s">
        <v>38</v>
      </c>
      <c r="F13033" s="49" t="s">
        <v>39</v>
      </c>
      <c r="G13033" s="49" t="s">
        <v>40</v>
      </c>
    </row>
    <row r="13034" spans="1:7" x14ac:dyDescent="0.25">
      <c r="A13034" s="50" t="s">
        <v>326</v>
      </c>
      <c r="B13034" s="220" t="str">
        <f>VLOOKUP(A13034,'[1]Componentes APUs'!$S$1:$V$10,2,0)</f>
        <v>Juego Llaves</v>
      </c>
      <c r="C13034" s="220"/>
      <c r="D13034" s="50" t="s">
        <v>18</v>
      </c>
      <c r="E13034" s="50">
        <v>2</v>
      </c>
      <c r="F13034" s="51">
        <f>VLOOKUP(A13034,'[1]Componentes APUs'!$S$1:$V$10,4,0)</f>
        <v>9167</v>
      </c>
      <c r="G13034" s="51">
        <f>ROUNDUP(F13034*((E13034/21)/E13010),0)</f>
        <v>11</v>
      </c>
    </row>
    <row r="13035" spans="1:7" x14ac:dyDescent="0.25">
      <c r="A13035" s="50" t="s">
        <v>58</v>
      </c>
      <c r="B13035" s="220" t="str">
        <f>VLOOKUP(A13035,'[1]Componentes APUs'!$S$1:$V$10,2,0)</f>
        <v>Manila de servicio</v>
      </c>
      <c r="C13035" s="220"/>
      <c r="D13035" s="50" t="s">
        <v>18</v>
      </c>
      <c r="E13035" s="50">
        <v>2</v>
      </c>
      <c r="F13035" s="51">
        <f>VLOOKUP(A13035,'[1]Componentes APUs'!$S$1:$V$10,4,0)</f>
        <v>2333</v>
      </c>
      <c r="G13035" s="51">
        <f>ROUNDUP(F13035*((E13035/21)/E13010),0)</f>
        <v>3</v>
      </c>
    </row>
    <row r="13036" spans="1:7" x14ac:dyDescent="0.25">
      <c r="A13036" s="50" t="s">
        <v>327</v>
      </c>
      <c r="B13036" s="220" t="str">
        <f>VLOOKUP(A13036,'[1]Componentes APUs'!$S$1:$V$10,2,0)</f>
        <v>Tula portaherramientas</v>
      </c>
      <c r="C13036" s="220"/>
      <c r="D13036" s="50" t="s">
        <v>18</v>
      </c>
      <c r="E13036" s="50">
        <v>2</v>
      </c>
      <c r="F13036" s="51">
        <f>VLOOKUP(A13036,'[1]Componentes APUs'!$S$1:$V$10,4,0)</f>
        <v>1250</v>
      </c>
      <c r="G13036" s="51">
        <f>ROUNDUP(F13036*((E13036/21)/E13010),0)</f>
        <v>2</v>
      </c>
    </row>
    <row r="13037" spans="1:7" x14ac:dyDescent="0.25">
      <c r="A13037" s="50" t="s">
        <v>60</v>
      </c>
      <c r="B13037" s="220" t="str">
        <f>VLOOKUP(A13037,'[1]Componentes APUs'!$S$1:$V$10,2,0)</f>
        <v>Agarradoras</v>
      </c>
      <c r="C13037" s="220"/>
      <c r="D13037" s="50" t="s">
        <v>18</v>
      </c>
      <c r="E13037" s="50">
        <v>2</v>
      </c>
      <c r="F13037" s="51">
        <f>VLOOKUP(A13037,'[1]Componentes APUs'!$S$1:$V$10,4,0)</f>
        <v>125000</v>
      </c>
      <c r="G13037" s="51">
        <f>ROUNDUP(F13037*((E13037/21)/E13010),0)</f>
        <v>149</v>
      </c>
    </row>
    <row r="13038" spans="1:7" x14ac:dyDescent="0.25">
      <c r="A13038" s="50" t="s">
        <v>62</v>
      </c>
      <c r="B13038" s="220" t="str">
        <f>VLOOKUP(A13038,'[1]Componentes APUs'!$S$1:$V$10,2,0)</f>
        <v>Templadoras</v>
      </c>
      <c r="C13038" s="220"/>
      <c r="D13038" s="50" t="s">
        <v>18</v>
      </c>
      <c r="E13038" s="50">
        <v>1</v>
      </c>
      <c r="F13038" s="51">
        <f>VLOOKUP(A13038,'[1]Componentes APUs'!$S$1:$V$10,4,0)</f>
        <v>250000</v>
      </c>
      <c r="G13038" s="51">
        <f>ROUNDUP(F13038*((E13038/21)/E13010),0)</f>
        <v>149</v>
      </c>
    </row>
    <row r="13039" spans="1:7" x14ac:dyDescent="0.25">
      <c r="A13039" s="50" t="s">
        <v>328</v>
      </c>
      <c r="B13039" s="220" t="str">
        <f>VLOOKUP(A13039,'[1]Componentes APUs'!$S$1:$V$10,2,0)</f>
        <v>Herramienta Menor</v>
      </c>
      <c r="C13039" s="220"/>
      <c r="D13039" s="50" t="s">
        <v>18</v>
      </c>
      <c r="E13039" s="50">
        <v>2</v>
      </c>
      <c r="F13039" s="51">
        <f>VLOOKUP(A13039,'[1]Componentes APUs'!$S$1:$V$10,4,0)</f>
        <v>75758</v>
      </c>
      <c r="G13039" s="51">
        <f>ROUNDUP(F13039*((E13039/21)/E13010),0)</f>
        <v>91</v>
      </c>
    </row>
    <row r="13040" spans="1:7" x14ac:dyDescent="0.25">
      <c r="A13040" s="219" t="s">
        <v>69</v>
      </c>
      <c r="B13040" s="219"/>
      <c r="C13040" s="219"/>
      <c r="D13040" s="219"/>
      <c r="E13040" s="219"/>
      <c r="F13040" s="219"/>
      <c r="G13040" s="52">
        <f>SUM(G13034:G13039)</f>
        <v>405</v>
      </c>
    </row>
    <row r="13041" spans="1:7" x14ac:dyDescent="0.25">
      <c r="A13041" s="56"/>
      <c r="B13041" s="57"/>
      <c r="C13041" s="57"/>
      <c r="D13041" s="57"/>
      <c r="E13041" s="57"/>
      <c r="F13041" s="57"/>
      <c r="G13041" s="58"/>
    </row>
    <row r="13042" spans="1:7" x14ac:dyDescent="0.25">
      <c r="A13042" s="219" t="s">
        <v>70</v>
      </c>
      <c r="B13042" s="219"/>
      <c r="C13042" s="219"/>
      <c r="D13042" s="219"/>
      <c r="E13042" s="219"/>
      <c r="F13042" s="219"/>
      <c r="G13042" s="219"/>
    </row>
    <row r="13043" spans="1:7" x14ac:dyDescent="0.25">
      <c r="A13043" s="49" t="s">
        <v>35</v>
      </c>
      <c r="B13043" s="219" t="s">
        <v>36</v>
      </c>
      <c r="C13043" s="219"/>
      <c r="D13043" s="49" t="s">
        <v>37</v>
      </c>
      <c r="E13043" s="49" t="s">
        <v>38</v>
      </c>
      <c r="F13043" s="49" t="s">
        <v>39</v>
      </c>
      <c r="G13043" s="49" t="s">
        <v>40</v>
      </c>
    </row>
    <row r="13044" spans="1:7" x14ac:dyDescent="0.25">
      <c r="A13044" s="50" t="s">
        <v>71</v>
      </c>
      <c r="B13044" s="71" t="str">
        <f>VLOOKUP(A13044,'[1]Componentes APUs'!$A$1:$D$14,2,0)</f>
        <v>Camisa indigo sin partes metalicas</v>
      </c>
      <c r="C13044" s="71"/>
      <c r="D13044" s="50" t="str">
        <f>VLOOKUP(A13044,'[1]Componentes APUs'!$A$1:$D$14,3,0)</f>
        <v>U</v>
      </c>
      <c r="E13044" s="50">
        <f>SUM(C13024:C13029)</f>
        <v>2.75</v>
      </c>
      <c r="F13044" s="51">
        <f>VLOOKUP(A13044,'[1]Componentes APUs'!$A$1:$D$14,4,0)</f>
        <v>8585.8585858585866</v>
      </c>
      <c r="G13044" s="51">
        <f>ROUNDUP(F13044*(E13044/21)/E13010,0)</f>
        <v>15</v>
      </c>
    </row>
    <row r="13045" spans="1:7" x14ac:dyDescent="0.25">
      <c r="A13045" s="69" t="s">
        <v>73</v>
      </c>
      <c r="B13045" s="72" t="str">
        <f>VLOOKUP(A13045,'[1]Componentes APUs'!$A$1:$D$14,2,0)</f>
        <v>Bota de seguridad dielectrica</v>
      </c>
      <c r="C13045" s="73"/>
      <c r="D13045" s="70" t="str">
        <f>VLOOKUP(A13045,'[1]Componentes APUs'!$A$1:$D$14,3,0)</f>
        <v>Par</v>
      </c>
      <c r="E13045" s="50">
        <f>SUM(C13024:C13029)</f>
        <v>2.75</v>
      </c>
      <c r="F13045" s="51">
        <f>VLOOKUP(A13045,'[1]Componentes APUs'!$A$1:$D$14,4,0)</f>
        <v>7500</v>
      </c>
      <c r="G13045" s="51">
        <f>ROUNDUP(F13045*(E13045/21)/E13010,0)</f>
        <v>13</v>
      </c>
    </row>
    <row r="13046" spans="1:7" x14ac:dyDescent="0.25">
      <c r="A13046" s="50" t="s">
        <v>76</v>
      </c>
      <c r="B13046" s="72" t="str">
        <f>VLOOKUP(A13046,'[1]Componentes APUs'!$A$1:$D$14,2,0)</f>
        <v>Casco dielectrico Tipo 1 Clase E con barbuquejo</v>
      </c>
      <c r="C13046" s="73"/>
      <c r="D13046" s="50" t="str">
        <f>VLOOKUP(A13046,'[1]Componentes APUs'!$A$1:$D$14,3,0)</f>
        <v>U</v>
      </c>
      <c r="E13046" s="50">
        <f>C13024+C13027+C13028+C13025+C13029+IF(A13026&lt;&gt;"MO-3",C13026,0)</f>
        <v>1.75</v>
      </c>
      <c r="F13046" s="51">
        <f>VLOOKUP(A13046,'[1]Componentes APUs'!$A$1:$D$14,4,0)</f>
        <v>10101.010101010101</v>
      </c>
      <c r="G13046" s="51">
        <f>ROUNDUP(F13046*(E13046/21)/E13010,0)</f>
        <v>11</v>
      </c>
    </row>
    <row r="13047" spans="1:7" x14ac:dyDescent="0.25">
      <c r="A13047" s="69" t="s">
        <v>77</v>
      </c>
      <c r="B13047" s="72" t="str">
        <f>VLOOKUP(A13047,'[1]Componentes APUs'!$A$1:$D$14,2,0)</f>
        <v>Correa plastica y antiflama</v>
      </c>
      <c r="C13047" s="73"/>
      <c r="D13047" s="50" t="str">
        <f>VLOOKUP(A13047,'[1]Componentes APUs'!$A$1:$D$14,3,0)</f>
        <v>U</v>
      </c>
      <c r="E13047" s="50">
        <f>SUM(C13024:C13029)</f>
        <v>2.75</v>
      </c>
      <c r="F13047" s="51">
        <f>VLOOKUP(A13047,'[1]Componentes APUs'!$A$1:$D$14,4,0)</f>
        <v>3787.878787878788</v>
      </c>
      <c r="G13047" s="51">
        <f>ROUNDUP(F13047*(E13047/21)/E13010,0)</f>
        <v>7</v>
      </c>
    </row>
    <row r="13048" spans="1:7" x14ac:dyDescent="0.25">
      <c r="A13048" s="50" t="s">
        <v>79</v>
      </c>
      <c r="B13048" s="72" t="str">
        <f>VLOOKUP(A13048,'[1]Componentes APUs'!$A$1:$D$14,2,0)</f>
        <v>Gafas protectoras filtro UV</v>
      </c>
      <c r="C13048" s="73"/>
      <c r="D13048" s="50" t="str">
        <f>VLOOKUP(A13048,'[1]Componentes APUs'!$A$1:$D$14,3,0)</f>
        <v>U</v>
      </c>
      <c r="E13048" s="50">
        <f>SUM(C13024:C13029)</f>
        <v>2.75</v>
      </c>
      <c r="F13048" s="51">
        <f>VLOOKUP(A13048,'[1]Componentes APUs'!$A$1:$D$14,4,0)</f>
        <v>2777.7777777777778</v>
      </c>
      <c r="G13048" s="51">
        <f>ROUNDUP(F13048*(E13048/21)/E13010,0)</f>
        <v>5</v>
      </c>
    </row>
    <row r="13049" spans="1:7" x14ac:dyDescent="0.25">
      <c r="A13049" s="69" t="s">
        <v>402</v>
      </c>
      <c r="B13049" s="72" t="str">
        <f>VLOOKUP(A13049,'[1]Componentes APUs'!$A$1:$D$14,2,0)</f>
        <v>Bota de seguridad PVC dielectrica</v>
      </c>
      <c r="C13049" s="73"/>
      <c r="D13049" s="50" t="str">
        <f>VLOOKUP(A13049,'[1]Componentes APUs'!$A$1:$D$14,3,0)</f>
        <v>Par</v>
      </c>
      <c r="E13049" s="50">
        <f>SUM(C13024:C13029)</f>
        <v>2.75</v>
      </c>
      <c r="F13049" s="51">
        <f>VLOOKUP(A13049,'[1]Componentes APUs'!$A$1:$D$14,4,0)</f>
        <v>2916.6666666666665</v>
      </c>
      <c r="G13049" s="51">
        <f>ROUNDUP(F13049*(E13049/21)/E13010,0)</f>
        <v>5</v>
      </c>
    </row>
    <row r="13050" spans="1:7" x14ac:dyDescent="0.25">
      <c r="A13050" s="50" t="s">
        <v>403</v>
      </c>
      <c r="B13050" s="72" t="str">
        <f>VLOOKUP(A13050,'[1]Componentes APUs'!$A$1:$D$14,2,0)</f>
        <v>Capuchon</v>
      </c>
      <c r="C13050" s="73"/>
      <c r="D13050" s="50" t="str">
        <f>VLOOKUP(A13050,'[1]Componentes APUs'!$A$1:$D$14,3,0)</f>
        <v>U</v>
      </c>
      <c r="E13050" s="50">
        <f>SUM(C13024:C13029)</f>
        <v>2.75</v>
      </c>
      <c r="F13050" s="51">
        <f>VLOOKUP(A13050,'[1]Componentes APUs'!$A$1:$D$14,4,0)</f>
        <v>2525.2525252525252</v>
      </c>
      <c r="G13050" s="51">
        <f>ROUNDUP(F13050*(E13050/21)/E13010,0)</f>
        <v>5</v>
      </c>
    </row>
    <row r="13051" spans="1:7" x14ac:dyDescent="0.25">
      <c r="A13051" s="69" t="s">
        <v>81</v>
      </c>
      <c r="B13051" s="72" t="str">
        <f>VLOOKUP(A13051,'[1]Componentes APUs'!$A$1:$D$14,2,0)</f>
        <v>Guantes Protectores  - ingeniero reforzados</v>
      </c>
      <c r="C13051" s="73"/>
      <c r="D13051" s="50" t="str">
        <f>VLOOKUP(A13051,'[1]Componentes APUs'!$A$1:$D$14,3,0)</f>
        <v>Par</v>
      </c>
      <c r="E13051" s="50">
        <f>C13026+C13027+C13029</f>
        <v>2</v>
      </c>
      <c r="F13051" s="51">
        <f>VLOOKUP(A13051,'[1]Componentes APUs'!$A$1:$D$14,4,0)</f>
        <v>2525.2525252525252</v>
      </c>
      <c r="G13051" s="51">
        <f>ROUNDUP(F13051*(E13051/21)/E13010,0)</f>
        <v>4</v>
      </c>
    </row>
    <row r="13052" spans="1:7" x14ac:dyDescent="0.25">
      <c r="A13052" s="50" t="s">
        <v>83</v>
      </c>
      <c r="B13052" s="72" t="str">
        <f>VLOOKUP(A13052,'[1]Componentes APUs'!$A$1:$D$14,2,0)</f>
        <v>Impermeable (pantalon camisa)</v>
      </c>
      <c r="C13052" s="73"/>
      <c r="D13052" s="50" t="str">
        <f>VLOOKUP(A13052,'[1]Componentes APUs'!$A$1:$D$14,3,0)</f>
        <v>U</v>
      </c>
      <c r="E13052" s="50">
        <f>SUM(C13024:C13029)</f>
        <v>2.75</v>
      </c>
      <c r="F13052" s="51">
        <f>VLOOKUP(A13052,'[1]Componentes APUs'!$A$1:$D$14,4,0)</f>
        <v>3750</v>
      </c>
      <c r="G13052" s="51">
        <f>ROUNDUP(F13052*(E13052/21)/E13010,0)</f>
        <v>7</v>
      </c>
    </row>
    <row r="13053" spans="1:7" x14ac:dyDescent="0.25">
      <c r="A13053" s="69" t="s">
        <v>85</v>
      </c>
      <c r="B13053" s="72" t="str">
        <f>VLOOKUP(A13053,'[1]Componentes APUs'!$A$1:$D$14,2,0)</f>
        <v>Jean Dielectrico</v>
      </c>
      <c r="C13053" s="73"/>
      <c r="D13053" s="50" t="str">
        <f>VLOOKUP(A13053,'[1]Componentes APUs'!$A$1:$D$14,3,0)</f>
        <v>U</v>
      </c>
      <c r="E13053" s="50">
        <f>SUM(C13024:C13029)</f>
        <v>2.75</v>
      </c>
      <c r="F13053" s="51">
        <f>VLOOKUP(A13053,'[1]Componentes APUs'!$A$1:$D$14,4,0)</f>
        <v>7575.757575757576</v>
      </c>
      <c r="G13053" s="51">
        <f>ROUNDUP(F13053*(E13053/21)/E13010,0)</f>
        <v>13</v>
      </c>
    </row>
    <row r="13054" spans="1:7" x14ac:dyDescent="0.25">
      <c r="A13054" s="50" t="s">
        <v>87</v>
      </c>
      <c r="B13054" s="72" t="str">
        <f>VLOOKUP(A13054,'[1]Componentes APUs'!$A$1:$D$14,2,0)</f>
        <v>Casco dielectrico Tipo 2 Clase E con barboquejo</v>
      </c>
      <c r="C13054" s="73"/>
      <c r="D13054" s="50" t="str">
        <f>VLOOKUP(A13054,'[1]Componentes APUs'!$A$1:$D$14,3,0)</f>
        <v>U</v>
      </c>
      <c r="E13054" s="53">
        <f>IF(A13026="MO-3",C13026,0)</f>
        <v>1</v>
      </c>
      <c r="F13054" s="51">
        <f>VLOOKUP(A13054,'[1]Componentes APUs'!$A$1:$D$14,4,0)</f>
        <v>7500</v>
      </c>
      <c r="G13054" s="51">
        <f>ROUNDUP(F13054*(E13054/21)/E13010,0)</f>
        <v>5</v>
      </c>
    </row>
    <row r="13055" spans="1:7" x14ac:dyDescent="0.25">
      <c r="A13055" s="69" t="s">
        <v>89</v>
      </c>
      <c r="B13055" s="72" t="str">
        <f>VLOOKUP(A13055,'[1]Componentes APUs'!$A$1:$D$14,2,0)</f>
        <v>Kit de rescate para trabajo en alturas</v>
      </c>
      <c r="C13055" s="73"/>
      <c r="D13055" s="50" t="str">
        <f>VLOOKUP(A13055,'[1]Componentes APUs'!$A$1:$D$14,3,0)</f>
        <v>U</v>
      </c>
      <c r="E13055" s="50">
        <f>IF(AND(A13026="MO-3",C13026=2),1,0)</f>
        <v>0</v>
      </c>
      <c r="F13055" s="51">
        <f>VLOOKUP(A13055,'[1]Componentes APUs'!$A$1:$D$14,4,0)</f>
        <v>37500</v>
      </c>
      <c r="G13055" s="51">
        <f>ROUNDUP(F13055*(E13055/21)/E13010,0)</f>
        <v>0</v>
      </c>
    </row>
    <row r="13056" spans="1:7" x14ac:dyDescent="0.25">
      <c r="A13056" s="50" t="s">
        <v>91</v>
      </c>
      <c r="B13056" s="72" t="str">
        <f>VLOOKUP(A13056,'[1]Componentes APUs'!$A$1:$D$14,2,0)</f>
        <v>Equipo completo para trabajo en alturas con pretales (Arnes dielectrico, 1 mosqueton de seguridad, tie off dielectrico, eslinga de posicionamiento, juego de pretales)</v>
      </c>
      <c r="C13056" s="73"/>
      <c r="D13056" s="50" t="str">
        <f>VLOOKUP(A13056,'[1]Componentes APUs'!$A$1:$D$14,3,0)</f>
        <v>U</v>
      </c>
      <c r="E13056" s="50">
        <f>IF(A13026="MO-3",C13026,0)</f>
        <v>1</v>
      </c>
      <c r="F13056" s="51">
        <f>VLOOKUP(A13056,'[1]Componentes APUs'!$A$1:$D$14,4,0)</f>
        <v>26041.666666666668</v>
      </c>
      <c r="G13056" s="51">
        <f>ROUNDUP(F13056*(E13056/21)/E13010,0)</f>
        <v>16</v>
      </c>
    </row>
    <row r="13057" spans="1:7" x14ac:dyDescent="0.25">
      <c r="A13057" s="219" t="s">
        <v>95</v>
      </c>
      <c r="B13057" s="219"/>
      <c r="C13057" s="219"/>
      <c r="D13057" s="219"/>
      <c r="E13057" s="219"/>
      <c r="F13057" s="219"/>
      <c r="G13057" s="52">
        <f>SUM(G13044:G13056)</f>
        <v>106</v>
      </c>
    </row>
    <row r="13058" spans="1:7" x14ac:dyDescent="0.25">
      <c r="A13058" s="56"/>
      <c r="B13058" s="57"/>
      <c r="C13058" s="57"/>
      <c r="D13058" s="57"/>
      <c r="E13058" s="57"/>
      <c r="F13058" s="57"/>
      <c r="G13058" s="58"/>
    </row>
    <row r="13059" spans="1:7" x14ac:dyDescent="0.25">
      <c r="A13059" s="219" t="s">
        <v>96</v>
      </c>
      <c r="B13059" s="219"/>
      <c r="C13059" s="219"/>
      <c r="D13059" s="219"/>
      <c r="E13059" s="219"/>
      <c r="F13059" s="219"/>
      <c r="G13059" s="219"/>
    </row>
    <row r="13060" spans="1:7" x14ac:dyDescent="0.25">
      <c r="A13060" s="49" t="s">
        <v>35</v>
      </c>
      <c r="B13060" s="225" t="s">
        <v>36</v>
      </c>
      <c r="C13060" s="225"/>
      <c r="D13060" s="49" t="s">
        <v>37</v>
      </c>
      <c r="E13060" s="49" t="s">
        <v>38</v>
      </c>
      <c r="F13060" s="49" t="s">
        <v>39</v>
      </c>
      <c r="G13060" s="49" t="s">
        <v>40</v>
      </c>
    </row>
    <row r="13061" spans="1:7" x14ac:dyDescent="0.25">
      <c r="A13061" s="69" t="s">
        <v>97</v>
      </c>
      <c r="B13061" s="72" t="str">
        <f>VLOOKUP(A13061,'[1]Componentes APUs'!$N$1:$Q$30,2,0)</f>
        <v>Camioneta</v>
      </c>
      <c r="C13061" s="73"/>
      <c r="D13061" s="70" t="str">
        <f>VLOOKUP(A13061,'[1]Componentes APUs'!$N$1:$Q$30,3,0)</f>
        <v>U</v>
      </c>
      <c r="E13061" s="50">
        <v>1</v>
      </c>
      <c r="F13061" s="51">
        <f>VLOOKUP(A13061,'[1]Componentes APUs'!$N$1:$Q$30,4,0)</f>
        <v>5500000</v>
      </c>
      <c r="G13061" s="51">
        <f>IFERROR(ROUNDUP(F13061*(E13061/21)/E13010,0),"-")</f>
        <v>3274</v>
      </c>
    </row>
    <row r="13062" spans="1:7" x14ac:dyDescent="0.25">
      <c r="A13062" s="50" t="s">
        <v>321</v>
      </c>
      <c r="B13062" s="72" t="str">
        <f>VLOOKUP(A13062,'[1]Componentes APUs'!$N$1:$Q$30,2,0)</f>
        <v>Grúa Hidráulica</v>
      </c>
      <c r="C13062" s="73"/>
      <c r="D13062" s="70" t="str">
        <f>VLOOKUP(A13062,'[1]Componentes APUs'!$N$1:$Q$30,3,0)</f>
        <v>U</v>
      </c>
      <c r="E13062" s="50">
        <v>0</v>
      </c>
      <c r="F13062" s="51">
        <f>VLOOKUP(A13062,'[1]Componentes APUs'!$N$1:$Q$30,4,0)</f>
        <v>21000000</v>
      </c>
      <c r="G13062" s="51">
        <f>IFERROR(ROUNDUP(F13062*(E13062/21)/E13010,0),"-")</f>
        <v>0</v>
      </c>
    </row>
    <row r="13063" spans="1:7" x14ac:dyDescent="0.25">
      <c r="A13063" s="69" t="s">
        <v>322</v>
      </c>
      <c r="B13063" s="72" t="str">
        <f>VLOOKUP(A13063,'[1]Componentes APUs'!$N$1:$Q$30,2,0)</f>
        <v>Camabaja</v>
      </c>
      <c r="C13063" s="73"/>
      <c r="D13063" s="70" t="str">
        <f>VLOOKUP(A13063,'[1]Componentes APUs'!$N$1:$Q$30,3,0)</f>
        <v>TON/KM</v>
      </c>
      <c r="E13063" s="50">
        <v>0</v>
      </c>
      <c r="F13063" s="51">
        <f>VLOOKUP(A13063,'[1]Componentes APUs'!$N$1:$Q$30,4,0)</f>
        <v>611</v>
      </c>
      <c r="G13063" s="51">
        <f>IFERROR(ROUNDUP(F13063*(E13063/21)/E13010,0),"-")</f>
        <v>0</v>
      </c>
    </row>
    <row r="13064" spans="1:7" x14ac:dyDescent="0.25">
      <c r="A13064" s="50" t="s">
        <v>323</v>
      </c>
      <c r="B13064" s="72" t="str">
        <f>VLOOKUP(A13064,'[1]Componentes APUs'!$N$1:$Q$30,2,0)</f>
        <v>Volqueta</v>
      </c>
      <c r="C13064" s="73"/>
      <c r="D13064" s="70" t="str">
        <f>VLOOKUP(A13064,'[1]Componentes APUs'!$N$1:$Q$30,3,0)</f>
        <v>U</v>
      </c>
      <c r="E13064" s="50">
        <v>0</v>
      </c>
      <c r="F13064" s="51">
        <f>VLOOKUP(A13064,'[1]Componentes APUs'!$N$1:$Q$30,4,0)</f>
        <v>18900000</v>
      </c>
      <c r="G13064" s="51">
        <f>IFERROR(ROUNDUP(F13064*(E13064/21)/E13010,0),"-")</f>
        <v>0</v>
      </c>
    </row>
    <row r="13065" spans="1:7" x14ac:dyDescent="0.25">
      <c r="A13065" s="69" t="s">
        <v>324</v>
      </c>
      <c r="B13065" s="72" t="str">
        <f>VLOOKUP(A13065,'[1]Componentes APUs'!$N$1:$Q$30,2,0)</f>
        <v>Retroexcavadora</v>
      </c>
      <c r="C13065" s="73"/>
      <c r="D13065" s="70" t="str">
        <f>VLOOKUP(A13065,'[1]Componentes APUs'!$N$1:$Q$30,3,0)</f>
        <v>U</v>
      </c>
      <c r="E13065" s="50">
        <v>0</v>
      </c>
      <c r="F13065" s="51">
        <f>VLOOKUP(A13065,'[1]Componentes APUs'!$N$1:$Q$30,4,0)</f>
        <v>1494459.54</v>
      </c>
      <c r="G13065" s="51">
        <f>IFERROR(ROUNDUP(F13065*(E13065/21)/E13010,0),"-")</f>
        <v>0</v>
      </c>
    </row>
    <row r="13066" spans="1:7" x14ac:dyDescent="0.25">
      <c r="A13066" s="219" t="s">
        <v>99</v>
      </c>
      <c r="B13066" s="219"/>
      <c r="C13066" s="219"/>
      <c r="D13066" s="219"/>
      <c r="E13066" s="219"/>
      <c r="F13066" s="219"/>
      <c r="G13066" s="52">
        <f>SUM(G13061:G13065)</f>
        <v>3274</v>
      </c>
    </row>
    <row r="13067" spans="1:7" x14ac:dyDescent="0.25">
      <c r="A13067" s="56"/>
      <c r="B13067" s="57"/>
      <c r="C13067" s="57"/>
      <c r="D13067" s="57"/>
      <c r="E13067" s="57"/>
      <c r="F13067" s="57"/>
      <c r="G13067" s="58"/>
    </row>
    <row r="13068" spans="1:7" x14ac:dyDescent="0.25">
      <c r="A13068" s="219" t="s">
        <v>1516</v>
      </c>
      <c r="B13068" s="219"/>
      <c r="C13068" s="219"/>
      <c r="D13068" s="219"/>
      <c r="E13068" s="219"/>
      <c r="F13068" s="219"/>
      <c r="G13068" s="52">
        <f>G13066+G13057+G13040+G13030+G13020</f>
        <v>64182</v>
      </c>
    </row>
    <row r="13069" spans="1:7" x14ac:dyDescent="0.25">
      <c r="A13069" s="59"/>
      <c r="B13069" s="60"/>
      <c r="C13069" s="60"/>
      <c r="D13069" s="60"/>
      <c r="E13069" s="57"/>
      <c r="F13069" s="57"/>
      <c r="G13069" s="58"/>
    </row>
    <row r="13070" spans="1:7" x14ac:dyDescent="0.25">
      <c r="A13070" s="64"/>
      <c r="D13070" s="55"/>
      <c r="E13070" s="49" t="s">
        <v>25</v>
      </c>
      <c r="F13070" s="54">
        <v>0.15</v>
      </c>
      <c r="G13070" s="51">
        <f>G13068*F13070</f>
        <v>9627.2999999999993</v>
      </c>
    </row>
    <row r="13071" spans="1:7" x14ac:dyDescent="0.25">
      <c r="A13071" s="64"/>
      <c r="D13071" s="55"/>
      <c r="E13071" s="49" t="s">
        <v>26</v>
      </c>
      <c r="F13071" s="54">
        <v>0.05</v>
      </c>
      <c r="G13071" s="51">
        <f>G13068*F13071</f>
        <v>3209.1000000000004</v>
      </c>
    </row>
    <row r="13072" spans="1:7" x14ac:dyDescent="0.25">
      <c r="A13072" s="61"/>
      <c r="B13072" s="65"/>
      <c r="C13072" s="65"/>
      <c r="D13072" s="62"/>
      <c r="E13072" s="49" t="s">
        <v>27</v>
      </c>
      <c r="F13072" s="54">
        <v>0.05</v>
      </c>
      <c r="G13072" s="51">
        <f>G13068*F13072</f>
        <v>3209.1000000000004</v>
      </c>
    </row>
    <row r="13073" spans="1:7" x14ac:dyDescent="0.25">
      <c r="A13073" s="61"/>
      <c r="B13073" s="62"/>
      <c r="C13073" s="62"/>
      <c r="D13073" s="62"/>
      <c r="E13073" s="62"/>
      <c r="F13073" s="62"/>
      <c r="G13073" s="63"/>
    </row>
    <row r="13074" spans="1:7" x14ac:dyDescent="0.25">
      <c r="A13074" s="219" t="s">
        <v>1517</v>
      </c>
      <c r="B13074" s="219"/>
      <c r="C13074" s="219"/>
      <c r="D13074" s="219"/>
      <c r="E13074" s="219"/>
      <c r="F13074" s="219"/>
      <c r="G13074" s="52">
        <f>G13068+G13070+G13071+G13072</f>
        <v>80227.500000000015</v>
      </c>
    </row>
    <row r="13075" spans="1:7" x14ac:dyDescent="0.25">
      <c r="A13075" s="59"/>
      <c r="B13075" s="60"/>
      <c r="C13075" s="60"/>
      <c r="D13075" s="60"/>
      <c r="E13075" s="57"/>
      <c r="F13075" s="57"/>
      <c r="G13075" s="58"/>
    </row>
    <row r="13076" spans="1:7" x14ac:dyDescent="0.25">
      <c r="A13076" s="64"/>
      <c r="D13076" s="55"/>
      <c r="E13076" s="49" t="s">
        <v>102</v>
      </c>
      <c r="F13076" s="49" t="s">
        <v>103</v>
      </c>
      <c r="G13076" s="51">
        <f>G13072*19%</f>
        <v>609.72900000000004</v>
      </c>
    </row>
    <row r="13077" spans="1:7" x14ac:dyDescent="0.25">
      <c r="A13077" s="61"/>
      <c r="B13077" s="62"/>
      <c r="C13077" s="62"/>
      <c r="D13077" s="62"/>
      <c r="E13077" s="57"/>
      <c r="F13077" s="57"/>
      <c r="G13077" s="58"/>
    </row>
    <row r="13078" spans="1:7" x14ac:dyDescent="0.25">
      <c r="A13078" s="219" t="s">
        <v>104</v>
      </c>
      <c r="B13078" s="219"/>
      <c r="C13078" s="219"/>
      <c r="D13078" s="219"/>
      <c r="E13078" s="219"/>
      <c r="F13078" s="219"/>
      <c r="G13078" s="52">
        <f>G13076+G13074</f>
        <v>80837.229000000021</v>
      </c>
    </row>
    <row r="13080" spans="1:7" x14ac:dyDescent="0.25">
      <c r="A13080" s="74" t="s">
        <v>29</v>
      </c>
      <c r="B13080" s="226" t="s">
        <v>30</v>
      </c>
      <c r="C13080" s="226"/>
      <c r="D13080" s="74" t="s">
        <v>31</v>
      </c>
      <c r="E13080" s="74" t="s">
        <v>32</v>
      </c>
      <c r="F13080" s="74" t="s">
        <v>189</v>
      </c>
      <c r="G13080" s="74" t="s">
        <v>33</v>
      </c>
    </row>
    <row r="13081" spans="1:7" ht="29.25" customHeight="1" x14ac:dyDescent="0.25">
      <c r="A13081" s="50" t="str">
        <f>Presupuesto!B238</f>
        <v>045_N3</v>
      </c>
      <c r="B13081" s="220" t="str">
        <f>Presupuesto!C238</f>
        <v>SUMINISTRO E INSTALACIÓN DE CANALIZACIÓN DE SEÑALES PARA CTs EN TUBO CONDUIT METALICO GALVANIZADO IMC DIAMETRO 1 1/4"</v>
      </c>
      <c r="C13081" s="220"/>
      <c r="D13081" s="50" t="s">
        <v>108</v>
      </c>
      <c r="E13081" s="50">
        <v>6</v>
      </c>
      <c r="F13081" s="50"/>
      <c r="G13081" s="51">
        <f>G13152</f>
        <v>1336510.868</v>
      </c>
    </row>
    <row r="13082" spans="1:7" x14ac:dyDescent="0.25">
      <c r="A13082" s="219" t="s">
        <v>34</v>
      </c>
      <c r="B13082" s="219"/>
      <c r="C13082" s="219"/>
      <c r="D13082" s="219"/>
      <c r="E13082" s="219"/>
      <c r="F13082" s="219"/>
      <c r="G13082" s="219"/>
    </row>
    <row r="13083" spans="1:7" x14ac:dyDescent="0.25">
      <c r="A13083" s="49" t="s">
        <v>35</v>
      </c>
      <c r="B13083" s="219" t="s">
        <v>36</v>
      </c>
      <c r="C13083" s="219"/>
      <c r="D13083" s="49" t="s">
        <v>37</v>
      </c>
      <c r="E13083" s="49" t="s">
        <v>38</v>
      </c>
      <c r="F13083" s="49" t="s">
        <v>39</v>
      </c>
      <c r="G13083" s="49" t="s">
        <v>40</v>
      </c>
    </row>
    <row r="13084" spans="1:7" x14ac:dyDescent="0.25">
      <c r="A13084" s="17" t="str">
        <f>Material!A63</f>
        <v>MA-62</v>
      </c>
      <c r="B13084" s="72" t="str">
        <f>IFERROR(VLOOKUP(A13084,Material!$A:$H,2,0),"-")</f>
        <v>TUBO CONDUIT METÁLICO GALVANIZADO IMC DIAMETRO 1 1/4"</v>
      </c>
      <c r="C13084" s="73"/>
      <c r="D13084" s="50" t="str">
        <f>IFERROR(VLOOKUP(A13084,Material!$A:$H,4,0),"-")</f>
        <v>ML</v>
      </c>
      <c r="E13084" s="53">
        <v>9</v>
      </c>
      <c r="F13084" s="51">
        <f>IFERROR(VLOOKUP(A13084,Material!$A:$H,3,0),"-")</f>
        <v>45500</v>
      </c>
      <c r="G13084" s="51">
        <f t="shared" ref="G13084:G13089" si="184">IFERROR(ROUNDUP(F13084*E13084,0),"-")</f>
        <v>409500</v>
      </c>
    </row>
    <row r="13085" spans="1:7" ht="14.25" customHeight="1" x14ac:dyDescent="0.25">
      <c r="A13085" s="17" t="str">
        <f>Material!A64</f>
        <v>MA-63</v>
      </c>
      <c r="B13085" s="139" t="str">
        <f>IFERROR(VLOOKUP(A13085,Material!$A:$H,2,0),"-")</f>
        <v>CONDULETA TIPO LR DE 1 1/4"</v>
      </c>
      <c r="C13085" s="73"/>
      <c r="D13085" s="50" t="str">
        <f>IFERROR(VLOOKUP(A13085,Material!$A:$H,4,0),"-")</f>
        <v>UN</v>
      </c>
      <c r="E13085" s="53">
        <v>2</v>
      </c>
      <c r="F13085" s="51">
        <f>IFERROR(VLOOKUP(A13085,Material!$A:$H,3,0),"-")</f>
        <v>47646.3</v>
      </c>
      <c r="G13085" s="51">
        <f t="shared" si="184"/>
        <v>95293</v>
      </c>
    </row>
    <row r="13086" spans="1:7" x14ac:dyDescent="0.25">
      <c r="A13086" s="17" t="str">
        <f>Material!A204</f>
        <v>MA-203</v>
      </c>
      <c r="B13086" s="72" t="str">
        <f>IFERROR(VLOOKUP(A13086,Material!$A:$H,2,0),"-")</f>
        <v>CONDULETA EN T 1 1/4"</v>
      </c>
      <c r="C13086" s="73"/>
      <c r="D13086" s="50" t="s">
        <v>108</v>
      </c>
      <c r="E13086" s="53">
        <v>2</v>
      </c>
      <c r="F13086" s="51">
        <f>IFERROR(VLOOKUP(A13086,Material!$A:$H,3,0),"-")</f>
        <v>11830</v>
      </c>
      <c r="G13086" s="51">
        <f t="shared" si="184"/>
        <v>23660</v>
      </c>
    </row>
    <row r="13087" spans="1:7" x14ac:dyDescent="0.25">
      <c r="A13087" s="17" t="str">
        <f>Material!A205</f>
        <v>MA-204</v>
      </c>
      <c r="B13087" s="72" t="str">
        <f>IFERROR(VLOOKUP(A13087,Material!$A:$H,2,0),"-")</f>
        <v>UNION IMC 1 1/4"</v>
      </c>
      <c r="C13087" s="73"/>
      <c r="D13087" s="50" t="str">
        <f>IFERROR(VLOOKUP(A13087,Material!$A:$H,4,0),"-")</f>
        <v>UN</v>
      </c>
      <c r="E13087" s="53">
        <v>2</v>
      </c>
      <c r="F13087" s="51">
        <f>IFERROR(VLOOKUP(A13087,Material!$A:$H,3,0),"-")</f>
        <v>4420</v>
      </c>
      <c r="G13087" s="51">
        <f t="shared" si="184"/>
        <v>8840</v>
      </c>
    </row>
    <row r="13088" spans="1:7" x14ac:dyDescent="0.25">
      <c r="A13088" s="17" t="str">
        <f>Material!A65</f>
        <v>MA-64</v>
      </c>
      <c r="B13088" s="72" t="str">
        <f>IFERROR(VLOOKUP(A13088,Material!$A:$H,2,0),"-")</f>
        <v>CORAZA METÁLICA LIQUID TIGHT DE 1 1/4"</v>
      </c>
      <c r="C13088" s="73"/>
      <c r="D13088" s="50" t="str">
        <f>IFERROR(VLOOKUP(A13088,Material!$A:$H,4,0),"-")</f>
        <v>ML</v>
      </c>
      <c r="E13088" s="53">
        <v>4</v>
      </c>
      <c r="F13088" s="51">
        <f>IFERROR(VLOOKUP(A13088,Material!$A:$H,3,0),"-")</f>
        <v>15275</v>
      </c>
      <c r="G13088" s="51">
        <f t="shared" si="184"/>
        <v>61100</v>
      </c>
    </row>
    <row r="13089" spans="1:7" x14ac:dyDescent="0.25">
      <c r="A13089" s="17" t="str">
        <f>Material!A66</f>
        <v>MA-65</v>
      </c>
      <c r="B13089" s="72" t="str">
        <f>IFERROR(VLOOKUP(A13089,Material!$A:$H,2,0),"-")</f>
        <v>CONECTOR RECTO LIQUID TIGHT DE 1 1/4"</v>
      </c>
      <c r="C13089" s="73"/>
      <c r="D13089" s="50" t="str">
        <f>IFERROR(VLOOKUP(A13089,Material!$A:$H,4,0),"-")</f>
        <v>UN</v>
      </c>
      <c r="E13089" s="53">
        <v>10</v>
      </c>
      <c r="F13089" s="51">
        <f>IFERROR(VLOOKUP(A13089,Material!$A:$H,3,0),"-")</f>
        <v>11505</v>
      </c>
      <c r="G13089" s="51">
        <f t="shared" si="184"/>
        <v>115050</v>
      </c>
    </row>
    <row r="13090" spans="1:7" x14ac:dyDescent="0.25">
      <c r="A13090" s="17" t="str">
        <f>Material!A71</f>
        <v>MA-70</v>
      </c>
      <c r="B13090" s="72" t="str">
        <f>IFERROR(VLOOKUP(A13090,Material!$A:$H,2,0),"-")</f>
        <v>CORAZA METÁLICA LIQUID TIGHT DE 3/4"</v>
      </c>
      <c r="C13090" s="73"/>
      <c r="D13090" s="50" t="str">
        <f>IFERROR(VLOOKUP(A13090,Material!$A:$H,4,0),"-")</f>
        <v>ML</v>
      </c>
      <c r="E13090" s="53">
        <v>3</v>
      </c>
      <c r="F13090" s="51">
        <f>IFERROR(VLOOKUP(A13090,Material!$A:$H,3,0),"-")</f>
        <v>8905</v>
      </c>
      <c r="G13090" s="51">
        <f t="shared" ref="G13090:G13097" si="185">IFERROR(ROUNDUP(F13090*E13090,0),"-")</f>
        <v>26715</v>
      </c>
    </row>
    <row r="13091" spans="1:7" x14ac:dyDescent="0.25">
      <c r="A13091" s="17" t="str">
        <f>Material!A74</f>
        <v>MA-73</v>
      </c>
      <c r="B13091" s="72" t="str">
        <f>IFERROR(VLOOKUP(A13091,Material!$A:$H,2,0),"-")</f>
        <v>CONECTOR RECTO LIQUID TIGHT DE 3/4"</v>
      </c>
      <c r="C13091" s="73"/>
      <c r="D13091" s="93" t="str">
        <f>IFERROR(VLOOKUP(A13091,Material!$A:$H,4,0),"-")</f>
        <v>UN</v>
      </c>
      <c r="E13091" s="145">
        <v>2</v>
      </c>
      <c r="F13091" s="144">
        <f>IFERROR(VLOOKUP(A13091,Material!$A:$H,3,0),"-")</f>
        <v>19034.600000000002</v>
      </c>
      <c r="G13091" s="144">
        <f t="shared" ref="G13091" si="186">IFERROR(ROUNDUP(F13091*E13091,0),"-")</f>
        <v>38070</v>
      </c>
    </row>
    <row r="13092" spans="1:7" x14ac:dyDescent="0.25">
      <c r="A13092" s="17" t="str">
        <f>Material!A67</f>
        <v>MA-66</v>
      </c>
      <c r="B13092" s="72" t="str">
        <f>IFERROR(VLOOKUP(A13092,Material!$A:$H,2,0),"-")</f>
        <v>TUBERÍA PVC 1 1/4"</v>
      </c>
      <c r="C13092" s="73"/>
      <c r="D13092" s="50" t="str">
        <f>IFERROR(VLOOKUP(A13092,Material!$A:$H,4,0),"-")</f>
        <v>ML</v>
      </c>
      <c r="E13092" s="53">
        <v>2</v>
      </c>
      <c r="F13092" s="51">
        <f>IFERROR(VLOOKUP(A13092,Material!$A:$H,3,0),"-")</f>
        <v>5200</v>
      </c>
      <c r="G13092" s="51">
        <f t="shared" si="185"/>
        <v>10400</v>
      </c>
    </row>
    <row r="13093" spans="1:7" x14ac:dyDescent="0.25">
      <c r="A13093" s="17" t="str">
        <f>Material!A68</f>
        <v>MA-67</v>
      </c>
      <c r="B13093" s="72" t="str">
        <f>IFERROR(VLOOKUP(A13093,Material!$A:$H,2,0),"-")</f>
        <v>CURVA PVC 1 1/4"</v>
      </c>
      <c r="C13093" s="73"/>
      <c r="D13093" s="50" t="str">
        <f>IFERROR(VLOOKUP(A13093,Material!$A:$H,4,0),"-")</f>
        <v>UN</v>
      </c>
      <c r="E13093" s="53">
        <v>1</v>
      </c>
      <c r="F13093" s="51">
        <f>IFERROR(VLOOKUP(A13093,Material!$A:$H,3,0),"-")</f>
        <v>2600</v>
      </c>
      <c r="G13093" s="51">
        <f t="shared" si="185"/>
        <v>2600</v>
      </c>
    </row>
    <row r="13094" spans="1:7" x14ac:dyDescent="0.25">
      <c r="A13094" s="17" t="str">
        <f>Material!A102</f>
        <v>MA-101</v>
      </c>
      <c r="B13094" s="72" t="str">
        <f>IFERROR(VLOOKUP(A13094,Material!$A:$H,2,0),"-")</f>
        <v>CINTA DE ACERO INOXIDABLE. DIMENSIONES 15.87 MM (REF. EH = 1282)</v>
      </c>
      <c r="C13094" s="73"/>
      <c r="D13094" s="50" t="str">
        <f>IFERROR(VLOOKUP(A13094,Material!$A:$H,4,0),"-")</f>
        <v>ML</v>
      </c>
      <c r="E13094" s="53">
        <v>6</v>
      </c>
      <c r="F13094" s="51">
        <f>IFERROR(VLOOKUP(A13094,Material!$A:$H,3,0),"-")</f>
        <v>6474</v>
      </c>
      <c r="G13094" s="51">
        <f t="shared" si="185"/>
        <v>38844</v>
      </c>
    </row>
    <row r="13095" spans="1:7" x14ac:dyDescent="0.25">
      <c r="A13095" s="17" t="str">
        <f>Material!A69</f>
        <v>MA-68</v>
      </c>
      <c r="B13095" s="72" t="str">
        <f>IFERROR(VLOOKUP(A13095,Material!$A:$H,2,0),"-")</f>
        <v>HEBILLA DE ACERO INOXIDABLE. DIMENSIONES 15.87 MM (REF. EH = 1292)</v>
      </c>
      <c r="C13095" s="73"/>
      <c r="D13095" s="50" t="str">
        <f>IFERROR(VLOOKUP(A13095,Material!$A:$H,4,0),"-")</f>
        <v>UN</v>
      </c>
      <c r="E13095" s="53">
        <v>6</v>
      </c>
      <c r="F13095" s="51">
        <f>IFERROR(VLOOKUP(A13095,Material!$A:$H,3,0),"-")</f>
        <v>780</v>
      </c>
      <c r="G13095" s="51">
        <f t="shared" si="185"/>
        <v>4680</v>
      </c>
    </row>
    <row r="13096" spans="1:7" x14ac:dyDescent="0.25">
      <c r="A13096" s="17" t="str">
        <f>Material!A253</f>
        <v>MA-252</v>
      </c>
      <c r="B13096" s="72" t="str">
        <f>IFERROR(VLOOKUP(A13096,Material!$A:$H,2,0),"-")</f>
        <v>LIMPIADOR DE TUBERÍA PVC 1/4 GL</v>
      </c>
      <c r="C13096" s="73"/>
      <c r="D13096" s="50" t="str">
        <f>IFERROR(VLOOKUP(A13096,Material!$A:$H,4,0),"-")</f>
        <v>GALÓN</v>
      </c>
      <c r="E13096" s="96">
        <v>3.3333333333333333E-2</v>
      </c>
      <c r="F13096" s="51">
        <f>IFERROR(VLOOKUP(A13096,Material!$A:$H,3,0),"-")</f>
        <v>60970</v>
      </c>
      <c r="G13096" s="51">
        <f t="shared" si="185"/>
        <v>2033</v>
      </c>
    </row>
    <row r="13097" spans="1:7" x14ac:dyDescent="0.25">
      <c r="A13097" s="17" t="str">
        <f>Material!A201</f>
        <v>MA-200</v>
      </c>
      <c r="B13097" s="72" t="str">
        <f>IFERROR(VLOOKUP(A13097,Material!$A:$H,2,0),"-")</f>
        <v>SOLDADURA PVC 1/4 GL</v>
      </c>
      <c r="C13097" s="73"/>
      <c r="D13097" s="50" t="str">
        <f>IFERROR(VLOOKUP(A13097,Material!$A:$H,4,0),"-")</f>
        <v>GALÓN</v>
      </c>
      <c r="E13097" s="96">
        <v>3.3333333333333333E-2</v>
      </c>
      <c r="F13097" s="51">
        <f>IFERROR(VLOOKUP(A13097,Material!$A:$H,3,0),"-")</f>
        <v>88270</v>
      </c>
      <c r="G13097" s="51">
        <f t="shared" si="185"/>
        <v>2943</v>
      </c>
    </row>
    <row r="13098" spans="1:7" x14ac:dyDescent="0.25">
      <c r="A13098" s="219" t="s">
        <v>41</v>
      </c>
      <c r="B13098" s="219"/>
      <c r="C13098" s="219"/>
      <c r="D13098" s="219"/>
      <c r="E13098" s="219"/>
      <c r="F13098" s="219"/>
      <c r="G13098" s="52">
        <f>SUM(G13084:G13097)</f>
        <v>839728</v>
      </c>
    </row>
    <row r="13099" spans="1:7" x14ac:dyDescent="0.25">
      <c r="A13099" s="56"/>
      <c r="B13099" s="57"/>
      <c r="C13099" s="57"/>
      <c r="D13099" s="57"/>
      <c r="E13099" s="57"/>
      <c r="F13099" s="57"/>
      <c r="G13099" s="58"/>
    </row>
    <row r="13100" spans="1:7" x14ac:dyDescent="0.25">
      <c r="A13100" s="219" t="s">
        <v>42</v>
      </c>
      <c r="B13100" s="219"/>
      <c r="C13100" s="219"/>
      <c r="D13100" s="219"/>
      <c r="E13100" s="219"/>
      <c r="F13100" s="219"/>
      <c r="G13100" s="219"/>
    </row>
    <row r="13101" spans="1:7" x14ac:dyDescent="0.25">
      <c r="A13101" s="49" t="s">
        <v>35</v>
      </c>
      <c r="B13101" s="49" t="s">
        <v>36</v>
      </c>
      <c r="C13101" s="49" t="s">
        <v>38</v>
      </c>
      <c r="D13101" s="49" t="s">
        <v>43</v>
      </c>
      <c r="E13101" s="49" t="s">
        <v>44</v>
      </c>
      <c r="F13101" s="49" t="s">
        <v>45</v>
      </c>
      <c r="G13101" s="49" t="s">
        <v>40</v>
      </c>
    </row>
    <row r="13102" spans="1:7" x14ac:dyDescent="0.25">
      <c r="A13102" s="50" t="s">
        <v>319</v>
      </c>
      <c r="B13102" s="68" t="str">
        <f>VLOOKUP(A13102,'Componentes APUs'!$H$1:$L$25,2,0)</f>
        <v>Ingeniero Residente de Obra</v>
      </c>
      <c r="C13102" s="93">
        <v>0.25</v>
      </c>
      <c r="D13102" s="50">
        <f>VLOOKUP(A13102,'Componentes APUs'!$H$1:$L$25,3,0)</f>
        <v>4</v>
      </c>
      <c r="E13102" s="51">
        <f>VLOOKUP(A13102,'Componentes APUs'!$H$1:$L$25,4,0)</f>
        <v>271142.85714285716</v>
      </c>
      <c r="F13102" s="51">
        <f>VLOOKUP(A13102,'Componentes APUs'!$H$1:$L$25,5,0)</f>
        <v>162685.71428571429</v>
      </c>
      <c r="G13102" s="51">
        <f>ROUNDUP((E13102+F13102)*C13102/E13081,0)</f>
        <v>18077</v>
      </c>
    </row>
    <row r="13103" spans="1:7" x14ac:dyDescent="0.25">
      <c r="A13103" s="50" t="s">
        <v>320</v>
      </c>
      <c r="B13103" s="68" t="str">
        <f>VLOOKUP(A13103,'Componentes APUs'!$H$1:$L$25,2,0)</f>
        <v>Tecnico Supervisor</v>
      </c>
      <c r="C13103" s="93">
        <v>0.25</v>
      </c>
      <c r="D13103" s="50">
        <f>VLOOKUP(A13103,'Componentes APUs'!$H$1:$L$25,3,0)</f>
        <v>2.2999999999999998</v>
      </c>
      <c r="E13103" s="51">
        <f>VLOOKUP(A13103,'Componentes APUs'!$H$1:$L$25,4,0)</f>
        <v>155907.14285714284</v>
      </c>
      <c r="F13103" s="51">
        <f>VLOOKUP(A13103,'Componentes APUs'!$H$1:$L$25,5,0)</f>
        <v>93544.285714285696</v>
      </c>
      <c r="G13103" s="51">
        <f>ROUNDUP((E13103+F13103)*C13103/E13081,0)</f>
        <v>10394</v>
      </c>
    </row>
    <row r="13104" spans="1:7" x14ac:dyDescent="0.25">
      <c r="A13104" s="50" t="s">
        <v>46</v>
      </c>
      <c r="B13104" s="68" t="str">
        <f>VLOOKUP(A13104,'Componentes APUs'!$H$1:$L$25,2,0)</f>
        <v>Tecnico Liniero</v>
      </c>
      <c r="C13104" s="93">
        <v>2</v>
      </c>
      <c r="D13104" s="50">
        <f>VLOOKUP(A13104,'Componentes APUs'!$H$1:$L$25,3,0)</f>
        <v>2</v>
      </c>
      <c r="E13104" s="51">
        <f>VLOOKUP(A13104,'Componentes APUs'!$H$1:$L$25,4,0)</f>
        <v>154619.04761904763</v>
      </c>
      <c r="F13104" s="51">
        <f>VLOOKUP(A13104,'Componentes APUs'!$H$1:$L$25,5,0)</f>
        <v>92771.42857142858</v>
      </c>
      <c r="G13104" s="51">
        <f>ROUNDUP((E13104+F13104)*C13104/E13081,0)</f>
        <v>82464</v>
      </c>
    </row>
    <row r="13105" spans="1:7" x14ac:dyDescent="0.25">
      <c r="A13105" s="50" t="s">
        <v>48</v>
      </c>
      <c r="B13105" s="68" t="str">
        <f>VLOOKUP(A13105,'Componentes APUs'!$H$1:$L$25,2,0)</f>
        <v>Ayudante Calificado</v>
      </c>
      <c r="C13105" s="93">
        <v>1</v>
      </c>
      <c r="D13105" s="50">
        <f>VLOOKUP(A13105,'Componentes APUs'!$H$1:$L$25,3,0)</f>
        <v>1.5</v>
      </c>
      <c r="E13105" s="51">
        <f>VLOOKUP(A13105,'Componentes APUs'!$H$1:$L$25,4,0)</f>
        <v>115964.28571428571</v>
      </c>
      <c r="F13105" s="51">
        <f>VLOOKUP(A13105,'Componentes APUs'!$H$1:$L$25,5,0)</f>
        <v>69578.57142857142</v>
      </c>
      <c r="G13105" s="51">
        <f>ROUNDUP((E13105+F13105)*C13105/E13081,0)</f>
        <v>30924</v>
      </c>
    </row>
    <row r="13106" spans="1:7" x14ac:dyDescent="0.25">
      <c r="A13106" s="50" t="s">
        <v>50</v>
      </c>
      <c r="B13106" s="68" t="str">
        <f>VLOOKUP(A13106,'Componentes APUs'!$H$1:$L$25,2,0)</f>
        <v>Profesional en SST</v>
      </c>
      <c r="C13106" s="93">
        <v>0.25</v>
      </c>
      <c r="D13106" s="50">
        <f>VLOOKUP(A13106,'Componentes APUs'!$H$1:$L$25,3,0)</f>
        <v>2.5</v>
      </c>
      <c r="E13106" s="51">
        <f>VLOOKUP(A13106,'Componentes APUs'!$H$1:$L$25,4,0)</f>
        <v>169464.28571428571</v>
      </c>
      <c r="F13106" s="51">
        <f>VLOOKUP(A13106,'Componentes APUs'!$H$1:$L$25,5,0)</f>
        <v>101678.57142857142</v>
      </c>
      <c r="G13106" s="51">
        <f>ROUNDUP((E13106+F13106)*C13106/E13081,0)</f>
        <v>11298</v>
      </c>
    </row>
    <row r="13107" spans="1:7" x14ac:dyDescent="0.25">
      <c r="A13107" s="50" t="s">
        <v>52</v>
      </c>
      <c r="B13107" s="68" t="str">
        <f>VLOOKUP(A13107,'Componentes APUs'!$H$1:$L$25,2,0)</f>
        <v>Ayudante No Calificado</v>
      </c>
      <c r="C13107" s="93">
        <v>1</v>
      </c>
      <c r="D13107" s="50">
        <f>VLOOKUP(A13107,'Componentes APUs'!$H$1:$L$25,3,0)</f>
        <v>1</v>
      </c>
      <c r="E13107" s="51">
        <f>VLOOKUP(A13107,'Componentes APUs'!$H$1:$L$25,4,0)</f>
        <v>77309.523809523816</v>
      </c>
      <c r="F13107" s="51">
        <f>VLOOKUP(A13107,'Componentes APUs'!$H$1:$L$25,5,0)</f>
        <v>46385.71428571429</v>
      </c>
      <c r="G13107" s="51">
        <f>ROUNDUP((E13107+F13107)*C13107/E13081,0)</f>
        <v>20616</v>
      </c>
    </row>
    <row r="13108" spans="1:7" x14ac:dyDescent="0.25">
      <c r="A13108" s="219" t="s">
        <v>56</v>
      </c>
      <c r="B13108" s="219"/>
      <c r="C13108" s="219"/>
      <c r="D13108" s="219"/>
      <c r="E13108" s="219"/>
      <c r="F13108" s="219"/>
      <c r="G13108" s="52">
        <f>SUM(G13102:G13107)</f>
        <v>173773</v>
      </c>
    </row>
    <row r="13109" spans="1:7" x14ac:dyDescent="0.25">
      <c r="A13109" s="56"/>
      <c r="B13109" s="57"/>
      <c r="C13109" s="57"/>
      <c r="D13109" s="57"/>
      <c r="E13109" s="57"/>
      <c r="F13109" s="57"/>
      <c r="G13109" s="58"/>
    </row>
    <row r="13110" spans="1:7" x14ac:dyDescent="0.25">
      <c r="A13110" s="219" t="s">
        <v>57</v>
      </c>
      <c r="B13110" s="219"/>
      <c r="C13110" s="219"/>
      <c r="D13110" s="219"/>
      <c r="E13110" s="219"/>
      <c r="F13110" s="219"/>
      <c r="G13110" s="219"/>
    </row>
    <row r="13111" spans="1:7" x14ac:dyDescent="0.25">
      <c r="A13111" s="49" t="s">
        <v>35</v>
      </c>
      <c r="B13111" s="219" t="s">
        <v>36</v>
      </c>
      <c r="C13111" s="219"/>
      <c r="D13111" s="49" t="s">
        <v>37</v>
      </c>
      <c r="E13111" s="49" t="s">
        <v>38</v>
      </c>
      <c r="F13111" s="49" t="s">
        <v>39</v>
      </c>
      <c r="G13111" s="49" t="s">
        <v>40</v>
      </c>
    </row>
    <row r="13112" spans="1:7" x14ac:dyDescent="0.25">
      <c r="A13112" s="50" t="s">
        <v>326</v>
      </c>
      <c r="B13112" s="220" t="str">
        <f>VLOOKUP(A13112,'Componentes APUs'!$S$1:$V$10,2,0)</f>
        <v>Juego Llaves</v>
      </c>
      <c r="C13112" s="220"/>
      <c r="D13112" s="50" t="s">
        <v>18</v>
      </c>
      <c r="E13112" s="50">
        <v>2</v>
      </c>
      <c r="F13112" s="51">
        <f>VLOOKUP(A13112,'Componentes APUs'!$S$1:$V$10,4,0)</f>
        <v>9167</v>
      </c>
      <c r="G13112" s="51">
        <f>ROUNDUP(F13112*((E13112/21)/E13081),0)</f>
        <v>146</v>
      </c>
    </row>
    <row r="13113" spans="1:7" x14ac:dyDescent="0.25">
      <c r="A13113" s="50" t="s">
        <v>58</v>
      </c>
      <c r="B13113" s="220" t="str">
        <f>VLOOKUP(A13113,'Componentes APUs'!$S$1:$V$10,2,0)</f>
        <v>Manila de servicio</v>
      </c>
      <c r="C13113" s="220"/>
      <c r="D13113" s="50" t="s">
        <v>18</v>
      </c>
      <c r="E13113" s="50">
        <v>0</v>
      </c>
      <c r="F13113" s="51">
        <f>VLOOKUP(A13113,'Componentes APUs'!$S$1:$V$10,4,0)</f>
        <v>2333</v>
      </c>
      <c r="G13113" s="51">
        <f>ROUNDUP(F13113*((E13113/21)/E13081),0)</f>
        <v>0</v>
      </c>
    </row>
    <row r="13114" spans="1:7" x14ac:dyDescent="0.25">
      <c r="A13114" s="50" t="s">
        <v>327</v>
      </c>
      <c r="B13114" s="220" t="str">
        <f>VLOOKUP(A13114,'Componentes APUs'!$S$1:$V$10,2,0)</f>
        <v>Tula portaherramientas</v>
      </c>
      <c r="C13114" s="220"/>
      <c r="D13114" s="50" t="s">
        <v>18</v>
      </c>
      <c r="E13114" s="50">
        <v>2</v>
      </c>
      <c r="F13114" s="51">
        <f>VLOOKUP(A13114,'Componentes APUs'!$S$1:$V$10,4,0)</f>
        <v>1250</v>
      </c>
      <c r="G13114" s="51">
        <f>ROUNDUP(F13114*((E13114/21)/E13081),0)</f>
        <v>20</v>
      </c>
    </row>
    <row r="13115" spans="1:7" x14ac:dyDescent="0.25">
      <c r="A13115" s="50" t="s">
        <v>60</v>
      </c>
      <c r="B13115" s="220" t="str">
        <f>VLOOKUP(A13115,'Componentes APUs'!$S$1:$V$10,2,0)</f>
        <v>Agarradoras</v>
      </c>
      <c r="C13115" s="220"/>
      <c r="D13115" s="50" t="s">
        <v>18</v>
      </c>
      <c r="E13115" s="50">
        <v>0</v>
      </c>
      <c r="F13115" s="51">
        <f>VLOOKUP(A13115,'Componentes APUs'!$S$1:$V$10,4,0)</f>
        <v>125000</v>
      </c>
      <c r="G13115" s="51">
        <f>ROUNDUP(F13115*((E13115/21)/E13081),0)</f>
        <v>0</v>
      </c>
    </row>
    <row r="13116" spans="1:7" x14ac:dyDescent="0.25">
      <c r="A13116" s="50" t="s">
        <v>62</v>
      </c>
      <c r="B13116" s="220" t="str">
        <f>VLOOKUP(A13116,'Componentes APUs'!$S$1:$V$10,2,0)</f>
        <v>Templadoras</v>
      </c>
      <c r="C13116" s="220"/>
      <c r="D13116" s="50" t="s">
        <v>18</v>
      </c>
      <c r="E13116" s="50">
        <v>0</v>
      </c>
      <c r="F13116" s="51">
        <f>VLOOKUP(A13116,'Componentes APUs'!$S$1:$V$10,4,0)</f>
        <v>250000</v>
      </c>
      <c r="G13116" s="51">
        <f>ROUNDUP(F13116*((E13116/21)/E13081),0)</f>
        <v>0</v>
      </c>
    </row>
    <row r="13117" spans="1:7" x14ac:dyDescent="0.25">
      <c r="A13117" s="50" t="s">
        <v>328</v>
      </c>
      <c r="B13117" s="220" t="str">
        <f>VLOOKUP(A13117,'Componentes APUs'!$S$1:$V$10,2,0)</f>
        <v>Herramienta Menor</v>
      </c>
      <c r="C13117" s="220"/>
      <c r="D13117" s="50" t="s">
        <v>18</v>
      </c>
      <c r="E13117" s="50">
        <v>2</v>
      </c>
      <c r="F13117" s="51">
        <f>VLOOKUP(A13117,'Componentes APUs'!$S$1:$V$10,4,0)</f>
        <v>75758</v>
      </c>
      <c r="G13117" s="51">
        <f>ROUNDUP(F13117*((E13117/21)/E13081),0)</f>
        <v>1203</v>
      </c>
    </row>
    <row r="13118" spans="1:7" x14ac:dyDescent="0.25">
      <c r="A13118" s="219" t="s">
        <v>69</v>
      </c>
      <c r="B13118" s="219"/>
      <c r="C13118" s="219"/>
      <c r="D13118" s="219"/>
      <c r="E13118" s="219"/>
      <c r="F13118" s="219"/>
      <c r="G13118" s="52">
        <f>SUM(G13112:G13117)</f>
        <v>1369</v>
      </c>
    </row>
    <row r="13119" spans="1:7" x14ac:dyDescent="0.25">
      <c r="A13119" s="56"/>
      <c r="B13119" s="57"/>
      <c r="C13119" s="57"/>
      <c r="D13119" s="57"/>
      <c r="E13119" s="57"/>
      <c r="F13119" s="57"/>
      <c r="G13119" s="58"/>
    </row>
    <row r="13120" spans="1:7" x14ac:dyDescent="0.25">
      <c r="A13120" s="219" t="s">
        <v>70</v>
      </c>
      <c r="B13120" s="219"/>
      <c r="C13120" s="219"/>
      <c r="D13120" s="219"/>
      <c r="E13120" s="219"/>
      <c r="F13120" s="219"/>
      <c r="G13120" s="219"/>
    </row>
    <row r="13121" spans="1:7" x14ac:dyDescent="0.25">
      <c r="A13121" s="49" t="s">
        <v>35</v>
      </c>
      <c r="B13121" s="219" t="s">
        <v>36</v>
      </c>
      <c r="C13121" s="219"/>
      <c r="D13121" s="49" t="s">
        <v>37</v>
      </c>
      <c r="E13121" s="49" t="s">
        <v>38</v>
      </c>
      <c r="F13121" s="49" t="s">
        <v>39</v>
      </c>
      <c r="G13121" s="49" t="s">
        <v>40</v>
      </c>
    </row>
    <row r="13122" spans="1:7" x14ac:dyDescent="0.25">
      <c r="A13122" s="50" t="s">
        <v>71</v>
      </c>
      <c r="B13122" s="71" t="str">
        <f>VLOOKUP(A13122,'Componentes APUs'!$A$1:$D$14,2,0)</f>
        <v>Camisa indigo sin partes metalicas</v>
      </c>
      <c r="C13122" s="71"/>
      <c r="D13122" s="50" t="str">
        <f>VLOOKUP(A13122,'Componentes APUs'!$A$1:$D$14,3,0)</f>
        <v>U</v>
      </c>
      <c r="E13122" s="50">
        <f>SUM(C13102:C13107)</f>
        <v>4.75</v>
      </c>
      <c r="F13122" s="51">
        <f>VLOOKUP(A13122,'Componentes APUs'!$A$1:$D$14,4,0)</f>
        <v>8585.8585858585866</v>
      </c>
      <c r="G13122" s="51">
        <f>ROUNDUP(F13122*(E13122/21)/E13081,0)</f>
        <v>324</v>
      </c>
    </row>
    <row r="13123" spans="1:7" x14ac:dyDescent="0.25">
      <c r="A13123" s="69" t="s">
        <v>73</v>
      </c>
      <c r="B13123" s="72" t="str">
        <f>VLOOKUP(A13123,'Componentes APUs'!$A$1:$D$14,2,0)</f>
        <v>Bota de seguridad dielectrica</v>
      </c>
      <c r="C13123" s="73"/>
      <c r="D13123" s="70" t="str">
        <f>VLOOKUP(A13123,'Componentes APUs'!$A$1:$D$14,3,0)</f>
        <v>Par</v>
      </c>
      <c r="E13123" s="50">
        <f>SUM(C13102:C13107)</f>
        <v>4.75</v>
      </c>
      <c r="F13123" s="51">
        <f>VLOOKUP(A13123,'Componentes APUs'!$A$1:$D$14,4,0)</f>
        <v>7500</v>
      </c>
      <c r="G13123" s="51">
        <f>ROUNDUP(F13123*(E13123/21)/E13081,0)</f>
        <v>283</v>
      </c>
    </row>
    <row r="13124" spans="1:7" x14ac:dyDescent="0.25">
      <c r="A13124" s="50" t="s">
        <v>76</v>
      </c>
      <c r="B13124" s="72" t="str">
        <f>VLOOKUP(A13124,'Componentes APUs'!$A$1:$D$14,2,0)</f>
        <v>Casco dielectrico Tipo 1 Clase E con barbuquejo</v>
      </c>
      <c r="C13124" s="73"/>
      <c r="D13124" s="50" t="str">
        <f>VLOOKUP(A13124,'Componentes APUs'!$A$1:$D$14,3,0)</f>
        <v>U</v>
      </c>
      <c r="E13124" s="50">
        <f>C13102+C13105+C13106+C13103+C13107+IF(A13104&lt;&gt;"MO-3",C13104,0)</f>
        <v>2.75</v>
      </c>
      <c r="F13124" s="51">
        <f>VLOOKUP(A13124,'Componentes APUs'!$A$1:$D$14,4,0)</f>
        <v>10101.010101010101</v>
      </c>
      <c r="G13124" s="51">
        <f>ROUNDUP(F13124*(E13124/21)/E13081,0)</f>
        <v>221</v>
      </c>
    </row>
    <row r="13125" spans="1:7" x14ac:dyDescent="0.25">
      <c r="A13125" s="69" t="s">
        <v>77</v>
      </c>
      <c r="B13125" s="72" t="str">
        <f>VLOOKUP(A13125,'Componentes APUs'!$A$1:$D$14,2,0)</f>
        <v>Correa plastica y antiflama</v>
      </c>
      <c r="C13125" s="73"/>
      <c r="D13125" s="50" t="str">
        <f>VLOOKUP(A13125,'Componentes APUs'!$A$1:$D$14,3,0)</f>
        <v>U</v>
      </c>
      <c r="E13125" s="50">
        <f>SUM(C13102:C13107)</f>
        <v>4.75</v>
      </c>
      <c r="F13125" s="51">
        <f>VLOOKUP(A13125,'Componentes APUs'!$A$1:$D$14,4,0)</f>
        <v>3787.878787878788</v>
      </c>
      <c r="G13125" s="51">
        <f>ROUNDUP(F13125*(E13125/21)/E13081,0)</f>
        <v>143</v>
      </c>
    </row>
    <row r="13126" spans="1:7" x14ac:dyDescent="0.25">
      <c r="A13126" s="50" t="s">
        <v>79</v>
      </c>
      <c r="B13126" s="72" t="str">
        <f>VLOOKUP(A13126,'Componentes APUs'!$A$1:$D$14,2,0)</f>
        <v>Gafas protectoras filtro UV</v>
      </c>
      <c r="C13126" s="73"/>
      <c r="D13126" s="50" t="str">
        <f>VLOOKUP(A13126,'Componentes APUs'!$A$1:$D$14,3,0)</f>
        <v>U</v>
      </c>
      <c r="E13126" s="50">
        <f>SUM(C13102:C13107)</f>
        <v>4.75</v>
      </c>
      <c r="F13126" s="51">
        <f>VLOOKUP(A13126,'Componentes APUs'!$A$1:$D$14,4,0)</f>
        <v>2777.7777777777778</v>
      </c>
      <c r="G13126" s="51">
        <f>ROUNDUP(F13126*(E13126/21)/E13081,0)</f>
        <v>105</v>
      </c>
    </row>
    <row r="13127" spans="1:7" x14ac:dyDescent="0.25">
      <c r="A13127" s="69" t="s">
        <v>402</v>
      </c>
      <c r="B13127" s="72" t="str">
        <f>VLOOKUP(A13127,'Componentes APUs'!$A$1:$D$14,2,0)</f>
        <v>Bota de seguridad PVC dielectrica</v>
      </c>
      <c r="C13127" s="73"/>
      <c r="D13127" s="50" t="str">
        <f>VLOOKUP(A13127,'Componentes APUs'!$A$1:$D$14,3,0)</f>
        <v>Par</v>
      </c>
      <c r="E13127" s="50">
        <f>SUM(C13102:C13107)</f>
        <v>4.75</v>
      </c>
      <c r="F13127" s="51">
        <f>VLOOKUP(A13127,'Componentes APUs'!$A$1:$D$14,4,0)</f>
        <v>2916.6666666666665</v>
      </c>
      <c r="G13127" s="51">
        <f>ROUNDUP(F13127*(E13127/21)/E13081,0)</f>
        <v>110</v>
      </c>
    </row>
    <row r="13128" spans="1:7" x14ac:dyDescent="0.25">
      <c r="A13128" s="50" t="s">
        <v>403</v>
      </c>
      <c r="B13128" s="72" t="str">
        <f>VLOOKUP(A13128,'Componentes APUs'!$A$1:$D$14,2,0)</f>
        <v>Capuchon</v>
      </c>
      <c r="C13128" s="73"/>
      <c r="D13128" s="50" t="str">
        <f>VLOOKUP(A13128,'Componentes APUs'!$A$1:$D$14,3,0)</f>
        <v>U</v>
      </c>
      <c r="E13128" s="50">
        <f>SUM(C13102:C13107)</f>
        <v>4.75</v>
      </c>
      <c r="F13128" s="51">
        <f>VLOOKUP(A13128,'Componentes APUs'!$A$1:$D$14,4,0)</f>
        <v>2525.2525252525252</v>
      </c>
      <c r="G13128" s="51">
        <f>ROUNDUP(F13128*(E13128/21)/E13081,0)</f>
        <v>96</v>
      </c>
    </row>
    <row r="13129" spans="1:7" x14ac:dyDescent="0.25">
      <c r="A13129" s="69" t="s">
        <v>81</v>
      </c>
      <c r="B13129" s="72" t="str">
        <f>VLOOKUP(A13129,'Componentes APUs'!$A$1:$D$14,2,0)</f>
        <v>Guantes Protectores  - ingeniero reforzados</v>
      </c>
      <c r="C13129" s="73"/>
      <c r="D13129" s="50" t="str">
        <f>VLOOKUP(A13129,'Componentes APUs'!$A$1:$D$14,3,0)</f>
        <v>Par</v>
      </c>
      <c r="E13129" s="50">
        <f>C13104+C13105+C13107</f>
        <v>4</v>
      </c>
      <c r="F13129" s="51">
        <f>VLOOKUP(A13129,'Componentes APUs'!$A$1:$D$14,4,0)</f>
        <v>2525.2525252525252</v>
      </c>
      <c r="G13129" s="51">
        <f>ROUNDUP(F13129*(E13129/21)/E13081,0)</f>
        <v>81</v>
      </c>
    </row>
    <row r="13130" spans="1:7" x14ac:dyDescent="0.25">
      <c r="A13130" s="50" t="s">
        <v>83</v>
      </c>
      <c r="B13130" s="72" t="str">
        <f>VLOOKUP(A13130,'Componentes APUs'!$A$1:$D$14,2,0)</f>
        <v>Impermeable (pantalon camisa)</v>
      </c>
      <c r="C13130" s="73"/>
      <c r="D13130" s="50" t="str">
        <f>VLOOKUP(A13130,'Componentes APUs'!$A$1:$D$14,3,0)</f>
        <v>U</v>
      </c>
      <c r="E13130" s="50">
        <f>SUM(C13102:C13107)</f>
        <v>4.75</v>
      </c>
      <c r="F13130" s="51">
        <f>VLOOKUP(A13130,'Componentes APUs'!$A$1:$D$14,4,0)</f>
        <v>3750</v>
      </c>
      <c r="G13130" s="51">
        <f>ROUNDUP(F13130*(E13130/21)/E13081,0)</f>
        <v>142</v>
      </c>
    </row>
    <row r="13131" spans="1:7" x14ac:dyDescent="0.25">
      <c r="A13131" s="69" t="s">
        <v>85</v>
      </c>
      <c r="B13131" s="72" t="str">
        <f>VLOOKUP(A13131,'Componentes APUs'!$A$1:$D$14,2,0)</f>
        <v>Jean Dielectrico</v>
      </c>
      <c r="C13131" s="73"/>
      <c r="D13131" s="50" t="str">
        <f>VLOOKUP(A13131,'Componentes APUs'!$A$1:$D$14,3,0)</f>
        <v>U</v>
      </c>
      <c r="E13131" s="50">
        <f>SUM(C13102:C13107)</f>
        <v>4.75</v>
      </c>
      <c r="F13131" s="51">
        <f>VLOOKUP(A13131,'Componentes APUs'!$A$1:$D$14,4,0)</f>
        <v>7575.757575757576</v>
      </c>
      <c r="G13131" s="51">
        <f>ROUNDUP(F13131*(E13131/21)/E13081,0)</f>
        <v>286</v>
      </c>
    </row>
    <row r="13132" spans="1:7" x14ac:dyDescent="0.25">
      <c r="A13132" s="50" t="s">
        <v>87</v>
      </c>
      <c r="B13132" s="72" t="str">
        <f>VLOOKUP(A13132,'Componentes APUs'!$A$1:$D$14,2,0)</f>
        <v>Casco dielectrico Tipo 2 Clase E con barboquejo</v>
      </c>
      <c r="C13132" s="73"/>
      <c r="D13132" s="50" t="str">
        <f>VLOOKUP(A13132,'Componentes APUs'!$A$1:$D$14,3,0)</f>
        <v>U</v>
      </c>
      <c r="E13132" s="53">
        <f>IF(A13104="MO-3",C13104,0)</f>
        <v>2</v>
      </c>
      <c r="F13132" s="51">
        <f>VLOOKUP(A13132,'Componentes APUs'!$A$1:$D$14,4,0)</f>
        <v>7500</v>
      </c>
      <c r="G13132" s="51">
        <f>ROUNDUP(F13132*(E13132/21)/E13081,0)</f>
        <v>120</v>
      </c>
    </row>
    <row r="13133" spans="1:7" x14ac:dyDescent="0.25">
      <c r="A13133" s="69" t="s">
        <v>89</v>
      </c>
      <c r="B13133" s="72" t="str">
        <f>VLOOKUP(A13133,'Componentes APUs'!$A$1:$D$14,2,0)</f>
        <v>Kit de rescate para trabajo en alturas</v>
      </c>
      <c r="C13133" s="73"/>
      <c r="D13133" s="50" t="str">
        <f>VLOOKUP(A13133,'Componentes APUs'!$A$1:$D$14,3,0)</f>
        <v>U</v>
      </c>
      <c r="E13133" s="50">
        <f>IF(AND(A13104="MO-3",C13104=2),1,0)</f>
        <v>1</v>
      </c>
      <c r="F13133" s="51">
        <f>VLOOKUP(A13133,'Componentes APUs'!$A$1:$D$14,4,0)</f>
        <v>37500</v>
      </c>
      <c r="G13133" s="51">
        <f>ROUNDUP(F13133*(E13133/21)/E13081,0)</f>
        <v>298</v>
      </c>
    </row>
    <row r="13134" spans="1:7" x14ac:dyDescent="0.25">
      <c r="A13134" s="50" t="s">
        <v>91</v>
      </c>
      <c r="B13134" s="72" t="str">
        <f>VLOOKUP(A13134,'Componentes APUs'!$A$1:$D$14,2,0)</f>
        <v>Equipo completo para trabajo en alturas con pretales (Arnes dielectrico, 1 mosqueton de seguridad, tie off dielectrico, eslinga de posicionamiento, juego de pretales)</v>
      </c>
      <c r="C13134" s="73"/>
      <c r="D13134" s="50" t="str">
        <f>VLOOKUP(A13134,'Componentes APUs'!$A$1:$D$14,3,0)</f>
        <v>U</v>
      </c>
      <c r="E13134" s="50">
        <f>IF(A13104="MO-3",C13104,0)</f>
        <v>2</v>
      </c>
      <c r="F13134" s="51">
        <f>VLOOKUP(A13134,'Componentes APUs'!$A$1:$D$14,4,0)</f>
        <v>26041.666666666668</v>
      </c>
      <c r="G13134" s="51">
        <f>ROUNDUP(F13134*(E13134/21)/E13081,0)</f>
        <v>414</v>
      </c>
    </row>
    <row r="13135" spans="1:7" x14ac:dyDescent="0.25">
      <c r="A13135" s="219" t="s">
        <v>95</v>
      </c>
      <c r="B13135" s="219"/>
      <c r="C13135" s="219"/>
      <c r="D13135" s="219"/>
      <c r="E13135" s="219"/>
      <c r="F13135" s="219"/>
      <c r="G13135" s="52">
        <f>SUM(G13122:G13134)</f>
        <v>2623</v>
      </c>
    </row>
    <row r="13136" spans="1:7" x14ac:dyDescent="0.25">
      <c r="A13136" s="56"/>
      <c r="B13136" s="57"/>
      <c r="C13136" s="57"/>
      <c r="D13136" s="57"/>
      <c r="E13136" s="57"/>
      <c r="F13136" s="57"/>
      <c r="G13136" s="58"/>
    </row>
    <row r="13137" spans="1:7" x14ac:dyDescent="0.25">
      <c r="A13137" s="219" t="s">
        <v>96</v>
      </c>
      <c r="B13137" s="219"/>
      <c r="C13137" s="219"/>
      <c r="D13137" s="219"/>
      <c r="E13137" s="219"/>
      <c r="F13137" s="219"/>
      <c r="G13137" s="219"/>
    </row>
    <row r="13138" spans="1:7" x14ac:dyDescent="0.25">
      <c r="A13138" s="49" t="s">
        <v>35</v>
      </c>
      <c r="B13138" s="225" t="s">
        <v>36</v>
      </c>
      <c r="C13138" s="225"/>
      <c r="D13138" s="49" t="s">
        <v>37</v>
      </c>
      <c r="E13138" s="49" t="s">
        <v>38</v>
      </c>
      <c r="F13138" s="49" t="s">
        <v>39</v>
      </c>
      <c r="G13138" s="49" t="s">
        <v>40</v>
      </c>
    </row>
    <row r="13139" spans="1:7" x14ac:dyDescent="0.25">
      <c r="A13139" s="69" t="s">
        <v>97</v>
      </c>
      <c r="B13139" s="72" t="str">
        <f>VLOOKUP(A13139,'Componentes APUs'!$N$1:$Q$30,2,0)</f>
        <v>Camioneta</v>
      </c>
      <c r="C13139" s="73"/>
      <c r="D13139" s="70" t="str">
        <f>VLOOKUP(A13139,'Componentes APUs'!$N$1:$Q$30,3,0)</f>
        <v>U</v>
      </c>
      <c r="E13139" s="50">
        <v>1</v>
      </c>
      <c r="F13139" s="51">
        <f>VLOOKUP(A13139,'Componentes APUs'!$N$1:$Q$30,4,0)</f>
        <v>5500000</v>
      </c>
      <c r="G13139" s="51">
        <f>IFERROR(ROUNDUP(F13139*(E13139/21)/E13081,0),"-")</f>
        <v>43651</v>
      </c>
    </row>
    <row r="13140" spans="1:7" x14ac:dyDescent="0.25">
      <c r="A13140" s="219" t="s">
        <v>99</v>
      </c>
      <c r="B13140" s="219"/>
      <c r="C13140" s="219"/>
      <c r="D13140" s="219"/>
      <c r="E13140" s="219"/>
      <c r="F13140" s="219"/>
      <c r="G13140" s="52">
        <f>SUM(G13139:G13139)</f>
        <v>43651</v>
      </c>
    </row>
    <row r="13141" spans="1:7" x14ac:dyDescent="0.25">
      <c r="A13141" s="56"/>
      <c r="B13141" s="57"/>
      <c r="C13141" s="57"/>
      <c r="D13141" s="57"/>
      <c r="E13141" s="57"/>
      <c r="F13141" s="57"/>
      <c r="G13141" s="58"/>
    </row>
    <row r="13142" spans="1:7" x14ac:dyDescent="0.25">
      <c r="A13142" s="219" t="s">
        <v>1516</v>
      </c>
      <c r="B13142" s="219"/>
      <c r="C13142" s="219"/>
      <c r="D13142" s="219"/>
      <c r="E13142" s="219"/>
      <c r="F13142" s="219"/>
      <c r="G13142" s="52">
        <f>G13140+G13135+G13118+G13108+G13098</f>
        <v>1061144</v>
      </c>
    </row>
    <row r="13143" spans="1:7" x14ac:dyDescent="0.25">
      <c r="A13143" s="59"/>
      <c r="B13143" s="60"/>
      <c r="C13143" s="60"/>
      <c r="D13143" s="60"/>
      <c r="E13143" s="57"/>
      <c r="F13143" s="57"/>
      <c r="G13143" s="58"/>
    </row>
    <row r="13144" spans="1:7" x14ac:dyDescent="0.25">
      <c r="A13144" s="64"/>
      <c r="D13144" s="55"/>
      <c r="E13144" s="49" t="s">
        <v>25</v>
      </c>
      <c r="F13144" s="54">
        <v>0.15</v>
      </c>
      <c r="G13144" s="51">
        <f>G13142*F13144</f>
        <v>159171.6</v>
      </c>
    </row>
    <row r="13145" spans="1:7" x14ac:dyDescent="0.25">
      <c r="A13145" s="64"/>
      <c r="D13145" s="55"/>
      <c r="E13145" s="49" t="s">
        <v>26</v>
      </c>
      <c r="F13145" s="54">
        <v>0.05</v>
      </c>
      <c r="G13145" s="51">
        <f>G13142*F13145</f>
        <v>53057.200000000004</v>
      </c>
    </row>
    <row r="13146" spans="1:7" x14ac:dyDescent="0.25">
      <c r="A13146" s="61"/>
      <c r="B13146" s="65"/>
      <c r="C13146" s="65"/>
      <c r="D13146" s="62"/>
      <c r="E13146" s="49" t="s">
        <v>27</v>
      </c>
      <c r="F13146" s="54">
        <v>0.05</v>
      </c>
      <c r="G13146" s="51">
        <f>G13142*F13146</f>
        <v>53057.200000000004</v>
      </c>
    </row>
    <row r="13147" spans="1:7" x14ac:dyDescent="0.25">
      <c r="A13147" s="61"/>
      <c r="B13147" s="62"/>
      <c r="C13147" s="62"/>
      <c r="D13147" s="62"/>
      <c r="E13147" s="62"/>
      <c r="F13147" s="62"/>
      <c r="G13147" s="63"/>
    </row>
    <row r="13148" spans="1:7" x14ac:dyDescent="0.25">
      <c r="A13148" s="219" t="s">
        <v>1517</v>
      </c>
      <c r="B13148" s="219"/>
      <c r="C13148" s="219"/>
      <c r="D13148" s="219"/>
      <c r="E13148" s="219"/>
      <c r="F13148" s="219"/>
      <c r="G13148" s="52">
        <f>G13142+G13144+G13145+G13146</f>
        <v>1326430</v>
      </c>
    </row>
    <row r="13149" spans="1:7" x14ac:dyDescent="0.25">
      <c r="A13149" s="59"/>
      <c r="B13149" s="60"/>
      <c r="C13149" s="60"/>
      <c r="D13149" s="60"/>
      <c r="E13149" s="57"/>
      <c r="F13149" s="57"/>
      <c r="G13149" s="58"/>
    </row>
    <row r="13150" spans="1:7" x14ac:dyDescent="0.25">
      <c r="A13150" s="64"/>
      <c r="D13150" s="55"/>
      <c r="E13150" s="49" t="s">
        <v>102</v>
      </c>
      <c r="F13150" s="49" t="s">
        <v>103</v>
      </c>
      <c r="G13150" s="51">
        <f>G13146*19%</f>
        <v>10080.868</v>
      </c>
    </row>
    <row r="13151" spans="1:7" x14ac:dyDescent="0.25">
      <c r="A13151" s="61"/>
      <c r="B13151" s="62"/>
      <c r="C13151" s="62"/>
      <c r="D13151" s="62"/>
      <c r="E13151" s="57"/>
      <c r="F13151" s="57"/>
      <c r="G13151" s="58"/>
    </row>
    <row r="13152" spans="1:7" x14ac:dyDescent="0.25">
      <c r="A13152" s="219" t="s">
        <v>104</v>
      </c>
      <c r="B13152" s="219"/>
      <c r="C13152" s="219"/>
      <c r="D13152" s="219"/>
      <c r="E13152" s="219"/>
      <c r="F13152" s="219"/>
      <c r="G13152" s="52">
        <f>G13150+G13148</f>
        <v>1336510.868</v>
      </c>
    </row>
    <row r="13154" spans="1:7" x14ac:dyDescent="0.25">
      <c r="A13154" s="74" t="s">
        <v>29</v>
      </c>
      <c r="B13154" s="226" t="s">
        <v>30</v>
      </c>
      <c r="C13154" s="226"/>
      <c r="D13154" s="74" t="s">
        <v>31</v>
      </c>
      <c r="E13154" s="74" t="s">
        <v>32</v>
      </c>
      <c r="F13154" s="74" t="s">
        <v>189</v>
      </c>
      <c r="G13154" s="74" t="s">
        <v>33</v>
      </c>
    </row>
    <row r="13155" spans="1:7" ht="34.5" customHeight="1" x14ac:dyDescent="0.25">
      <c r="A13155" s="50" t="str">
        <f>Presupuesto!B239</f>
        <v>046_N3</v>
      </c>
      <c r="B13155" s="220" t="str">
        <f>Presupuesto!C239</f>
        <v>SUMINISTRO E INSTALACIÓN DE CANALIZACIÓN DE SEÑALES PARA VTs EN TUBO CONDUIT METALICO GALVANIZADO IMC DIAMETRO 1 1/4"</v>
      </c>
      <c r="C13155" s="220"/>
      <c r="D13155" s="50" t="s">
        <v>108</v>
      </c>
      <c r="E13155" s="50">
        <v>5</v>
      </c>
      <c r="F13155" s="50"/>
      <c r="G13155" s="51">
        <f>G13226</f>
        <v>1557715.5934999997</v>
      </c>
    </row>
    <row r="13156" spans="1:7" x14ac:dyDescent="0.25">
      <c r="A13156" s="219" t="s">
        <v>34</v>
      </c>
      <c r="B13156" s="219"/>
      <c r="C13156" s="219"/>
      <c r="D13156" s="219"/>
      <c r="E13156" s="219"/>
      <c r="F13156" s="219"/>
      <c r="G13156" s="219"/>
    </row>
    <row r="13157" spans="1:7" x14ac:dyDescent="0.25">
      <c r="A13157" s="49" t="s">
        <v>35</v>
      </c>
      <c r="B13157" s="219" t="s">
        <v>36</v>
      </c>
      <c r="C13157" s="219"/>
      <c r="D13157" s="49" t="s">
        <v>37</v>
      </c>
      <c r="E13157" s="49" t="s">
        <v>38</v>
      </c>
      <c r="F13157" s="49" t="s">
        <v>39</v>
      </c>
      <c r="G13157" s="49" t="s">
        <v>40</v>
      </c>
    </row>
    <row r="13158" spans="1:7" x14ac:dyDescent="0.25">
      <c r="A13158" s="17" t="str">
        <f>Material!A63</f>
        <v>MA-62</v>
      </c>
      <c r="B13158" s="72" t="str">
        <f>IFERROR(VLOOKUP(A13158,Material!$A:$H,2,0),"-")</f>
        <v>TUBO CONDUIT METÁLICO GALVANIZADO IMC DIAMETRO 1 1/4"</v>
      </c>
      <c r="C13158" s="73"/>
      <c r="D13158" s="50" t="str">
        <f>IFERROR(VLOOKUP(A13158,Material!$A:$H,4,0),"-")</f>
        <v>ML</v>
      </c>
      <c r="E13158" s="53">
        <v>12</v>
      </c>
      <c r="F13158" s="51">
        <f>IFERROR(VLOOKUP(A13158,Material!$A:$H,3,0),"-")</f>
        <v>45500</v>
      </c>
      <c r="G13158" s="51">
        <f t="shared" ref="G13158:G13171" si="187">IFERROR(ROUNDUP(F13158*E13158,0),"-")</f>
        <v>546000</v>
      </c>
    </row>
    <row r="13159" spans="1:7" ht="15" customHeight="1" x14ac:dyDescent="0.25">
      <c r="A13159" s="17" t="str">
        <f>Material!A64</f>
        <v>MA-63</v>
      </c>
      <c r="B13159" s="139" t="str">
        <f>IFERROR(VLOOKUP(A13159,Material!$A:$H,2,0),"-")</f>
        <v>CONDULETA TIPO LR DE 1 1/4"</v>
      </c>
      <c r="C13159" s="73"/>
      <c r="D13159" s="50" t="str">
        <f>IFERROR(VLOOKUP(A13159,Material!$A:$H,4,0),"-")</f>
        <v>UN</v>
      </c>
      <c r="E13159" s="53">
        <v>2</v>
      </c>
      <c r="F13159" s="51">
        <f>IFERROR(VLOOKUP(A13159,Material!$A:$H,3,0),"-")</f>
        <v>47646.3</v>
      </c>
      <c r="G13159" s="51">
        <f t="shared" si="187"/>
        <v>95293</v>
      </c>
    </row>
    <row r="13160" spans="1:7" x14ac:dyDescent="0.25">
      <c r="A13160" s="17" t="str">
        <f>Material!A204</f>
        <v>MA-203</v>
      </c>
      <c r="B13160" s="72" t="str">
        <f>IFERROR(VLOOKUP(A13160,Material!$A:$H,2,0),"-")</f>
        <v>CONDULETA EN T 1 1/4"</v>
      </c>
      <c r="C13160" s="73"/>
      <c r="D13160" s="50" t="s">
        <v>108</v>
      </c>
      <c r="E13160" s="53">
        <v>2</v>
      </c>
      <c r="F13160" s="51">
        <f>IFERROR(VLOOKUP(A13160,Material!$A:$H,3,0),"-")</f>
        <v>11830</v>
      </c>
      <c r="G13160" s="51">
        <f t="shared" si="187"/>
        <v>23660</v>
      </c>
    </row>
    <row r="13161" spans="1:7" x14ac:dyDescent="0.25">
      <c r="A13161" s="17" t="str">
        <f>Material!A205</f>
        <v>MA-204</v>
      </c>
      <c r="B13161" s="72" t="str">
        <f>IFERROR(VLOOKUP(A13161,Material!$A:$H,2,0),"-")</f>
        <v>UNION IMC 1 1/4"</v>
      </c>
      <c r="C13161" s="73"/>
      <c r="D13161" s="50" t="str">
        <f>IFERROR(VLOOKUP(A13161,Material!$A:$H,4,0),"-")</f>
        <v>UN</v>
      </c>
      <c r="E13161" s="53">
        <v>2</v>
      </c>
      <c r="F13161" s="51">
        <f>IFERROR(VLOOKUP(A13161,Material!$A:$H,3,0),"-")</f>
        <v>4420</v>
      </c>
      <c r="G13161" s="51">
        <f t="shared" si="187"/>
        <v>8840</v>
      </c>
    </row>
    <row r="13162" spans="1:7" x14ac:dyDescent="0.25">
      <c r="A13162" s="17" t="str">
        <f>Material!A65</f>
        <v>MA-64</v>
      </c>
      <c r="B13162" s="72" t="str">
        <f>IFERROR(VLOOKUP(A13162,Material!$A:$H,2,0),"-")</f>
        <v>CORAZA METÁLICA LIQUID TIGHT DE 1 1/4"</v>
      </c>
      <c r="C13162" s="73"/>
      <c r="D13162" s="50" t="str">
        <f>IFERROR(VLOOKUP(A13162,Material!$A:$H,4,0),"-")</f>
        <v>ML</v>
      </c>
      <c r="E13162" s="53">
        <v>4</v>
      </c>
      <c r="F13162" s="51">
        <f>IFERROR(VLOOKUP(A13162,Material!$A:$H,3,0),"-")</f>
        <v>15275</v>
      </c>
      <c r="G13162" s="51">
        <f t="shared" si="187"/>
        <v>61100</v>
      </c>
    </row>
    <row r="13163" spans="1:7" x14ac:dyDescent="0.25">
      <c r="A13163" s="17" t="str">
        <f>Material!A66</f>
        <v>MA-65</v>
      </c>
      <c r="B13163" s="72" t="str">
        <f>IFERROR(VLOOKUP(A13163,Material!$A:$H,2,0),"-")</f>
        <v>CONECTOR RECTO LIQUID TIGHT DE 1 1/4"</v>
      </c>
      <c r="C13163" s="73"/>
      <c r="D13163" s="50" t="str">
        <f>IFERROR(VLOOKUP(A13163,Material!$A:$H,4,0),"-")</f>
        <v>UN</v>
      </c>
      <c r="E13163" s="53">
        <v>10</v>
      </c>
      <c r="F13163" s="51">
        <f>IFERROR(VLOOKUP(A13163,Material!$A:$H,3,0),"-")</f>
        <v>11505</v>
      </c>
      <c r="G13163" s="51">
        <f t="shared" si="187"/>
        <v>115050</v>
      </c>
    </row>
    <row r="13164" spans="1:7" x14ac:dyDescent="0.25">
      <c r="A13164" s="17" t="str">
        <f>Material!A71</f>
        <v>MA-70</v>
      </c>
      <c r="B13164" s="72" t="str">
        <f>IFERROR(VLOOKUP(A13164,Material!$A:$H,2,0),"-")</f>
        <v>CORAZA METÁLICA LIQUID TIGHT DE 3/4"</v>
      </c>
      <c r="C13164" s="73"/>
      <c r="D13164" s="50" t="str">
        <f>IFERROR(VLOOKUP(A13164,Material!$A:$H,4,0),"-")</f>
        <v>ML</v>
      </c>
      <c r="E13164" s="53">
        <v>3</v>
      </c>
      <c r="F13164" s="51">
        <f>IFERROR(VLOOKUP(A13164,Material!$A:$H,3,0),"-")</f>
        <v>8905</v>
      </c>
      <c r="G13164" s="51">
        <f t="shared" si="187"/>
        <v>26715</v>
      </c>
    </row>
    <row r="13165" spans="1:7" x14ac:dyDescent="0.25">
      <c r="A13165" s="17" t="str">
        <f>Material!A74</f>
        <v>MA-73</v>
      </c>
      <c r="B13165" s="72" t="str">
        <f>IFERROR(VLOOKUP(A13165,Material!$A:$H,2,0),"-")</f>
        <v>CONECTOR RECTO LIQUID TIGHT DE 3/4"</v>
      </c>
      <c r="C13165" s="73"/>
      <c r="D13165" s="50" t="str">
        <f>IFERROR(VLOOKUP(A13165,Material!$A:$H,4,0),"-")</f>
        <v>UN</v>
      </c>
      <c r="E13165" s="53">
        <v>2</v>
      </c>
      <c r="F13165" s="51">
        <f>IFERROR(VLOOKUP(A13165,Material!$A:$H,3,0),"-")</f>
        <v>19034.600000000002</v>
      </c>
      <c r="G13165" s="51">
        <f t="shared" ref="G13165" si="188">IFERROR(ROUNDUP(F13165*E13165,0),"-")</f>
        <v>38070</v>
      </c>
    </row>
    <row r="13166" spans="1:7" x14ac:dyDescent="0.25">
      <c r="A13166" s="17" t="str">
        <f>Material!A67</f>
        <v>MA-66</v>
      </c>
      <c r="B13166" s="72" t="str">
        <f>IFERROR(VLOOKUP(A13166,Material!$A:$H,2,0),"-")</f>
        <v>TUBERÍA PVC 1 1/4"</v>
      </c>
      <c r="C13166" s="73"/>
      <c r="D13166" s="50" t="str">
        <f>IFERROR(VLOOKUP(A13166,Material!$A:$H,4,0),"-")</f>
        <v>ML</v>
      </c>
      <c r="E13166" s="53">
        <v>1</v>
      </c>
      <c r="F13166" s="51">
        <f>IFERROR(VLOOKUP(A13166,Material!$A:$H,3,0),"-")</f>
        <v>5200</v>
      </c>
      <c r="G13166" s="51">
        <f t="shared" si="187"/>
        <v>5200</v>
      </c>
    </row>
    <row r="13167" spans="1:7" x14ac:dyDescent="0.25">
      <c r="A13167" s="17" t="str">
        <f>Material!A68</f>
        <v>MA-67</v>
      </c>
      <c r="B13167" s="72" t="str">
        <f>IFERROR(VLOOKUP(A13167,Material!$A:$H,2,0),"-")</f>
        <v>CURVA PVC 1 1/4"</v>
      </c>
      <c r="C13167" s="73"/>
      <c r="D13167" s="50" t="str">
        <f>IFERROR(VLOOKUP(A13167,Material!$A:$H,4,0),"-")</f>
        <v>UN</v>
      </c>
      <c r="E13167" s="53">
        <v>1</v>
      </c>
      <c r="F13167" s="51">
        <f>IFERROR(VLOOKUP(A13167,Material!$A:$H,3,0),"-")</f>
        <v>2600</v>
      </c>
      <c r="G13167" s="51">
        <f t="shared" si="187"/>
        <v>2600</v>
      </c>
    </row>
    <row r="13168" spans="1:7" x14ac:dyDescent="0.25">
      <c r="A13168" s="17" t="str">
        <f>Material!A102</f>
        <v>MA-101</v>
      </c>
      <c r="B13168" s="72" t="str">
        <f>IFERROR(VLOOKUP(A13168,Material!$A:$H,2,0),"-")</f>
        <v>CINTA DE ACERO INOXIDABLE. DIMENSIONES 15.87 MM (REF. EH = 1282)</v>
      </c>
      <c r="C13168" s="73"/>
      <c r="D13168" s="50" t="str">
        <f>IFERROR(VLOOKUP(A13168,Material!$A:$H,4,0),"-")</f>
        <v>ML</v>
      </c>
      <c r="E13168" s="53">
        <v>6</v>
      </c>
      <c r="F13168" s="51">
        <f>IFERROR(VLOOKUP(A13168,Material!$A:$H,3,0),"-")</f>
        <v>6474</v>
      </c>
      <c r="G13168" s="51">
        <f t="shared" si="187"/>
        <v>38844</v>
      </c>
    </row>
    <row r="13169" spans="1:7" x14ac:dyDescent="0.25">
      <c r="A13169" s="17" t="str">
        <f>Material!A69</f>
        <v>MA-68</v>
      </c>
      <c r="B13169" s="72" t="str">
        <f>IFERROR(VLOOKUP(A13169,Material!$A:$H,2,0),"-")</f>
        <v>HEBILLA DE ACERO INOXIDABLE. DIMENSIONES 15.87 MM (REF. EH = 1292)</v>
      </c>
      <c r="C13169" s="73"/>
      <c r="D13169" s="50" t="str">
        <f>IFERROR(VLOOKUP(A13169,Material!$A:$H,4,0),"-")</f>
        <v>UN</v>
      </c>
      <c r="E13169" s="53">
        <v>6</v>
      </c>
      <c r="F13169" s="51">
        <f>IFERROR(VLOOKUP(A13169,Material!$A:$H,3,0),"-")</f>
        <v>780</v>
      </c>
      <c r="G13169" s="51">
        <f t="shared" si="187"/>
        <v>4680</v>
      </c>
    </row>
    <row r="13170" spans="1:7" x14ac:dyDescent="0.25">
      <c r="A13170" s="17" t="str">
        <f>Material!A253</f>
        <v>MA-252</v>
      </c>
      <c r="B13170" s="72" t="str">
        <f>IFERROR(VLOOKUP(A13170,Material!$A:$H,2,0),"-")</f>
        <v>LIMPIADOR DE TUBERÍA PVC 1/4 GL</v>
      </c>
      <c r="C13170" s="73"/>
      <c r="D13170" s="50" t="str">
        <f>IFERROR(VLOOKUP(A13170,Material!$A:$H,4,0),"-")</f>
        <v>GALÓN</v>
      </c>
      <c r="E13170" s="96">
        <v>3.3333333333333333E-2</v>
      </c>
      <c r="F13170" s="51">
        <f>IFERROR(VLOOKUP(A13170,Material!$A:$H,3,0),"-")</f>
        <v>60970</v>
      </c>
      <c r="G13170" s="51">
        <f t="shared" si="187"/>
        <v>2033</v>
      </c>
    </row>
    <row r="13171" spans="1:7" x14ac:dyDescent="0.25">
      <c r="A13171" s="17" t="str">
        <f>Material!A201</f>
        <v>MA-200</v>
      </c>
      <c r="B13171" s="72" t="str">
        <f>IFERROR(VLOOKUP(A13171,Material!$A:$H,2,0),"-")</f>
        <v>SOLDADURA PVC 1/4 GL</v>
      </c>
      <c r="C13171" s="73"/>
      <c r="D13171" s="50" t="str">
        <f>IFERROR(VLOOKUP(A13171,Material!$A:$H,4,0),"-")</f>
        <v>GALÓN</v>
      </c>
      <c r="E13171" s="96">
        <v>3.3333333333333333E-2</v>
      </c>
      <c r="F13171" s="51">
        <f>IFERROR(VLOOKUP(A13171,Material!$A:$H,3,0),"-")</f>
        <v>88270</v>
      </c>
      <c r="G13171" s="51">
        <f t="shared" si="187"/>
        <v>2943</v>
      </c>
    </row>
    <row r="13172" spans="1:7" x14ac:dyDescent="0.25">
      <c r="A13172" s="219" t="s">
        <v>41</v>
      </c>
      <c r="B13172" s="219"/>
      <c r="C13172" s="219"/>
      <c r="D13172" s="219"/>
      <c r="E13172" s="219"/>
      <c r="F13172" s="219"/>
      <c r="G13172" s="52">
        <f>SUM(G13158:G13171)</f>
        <v>971028</v>
      </c>
    </row>
    <row r="13173" spans="1:7" x14ac:dyDescent="0.25">
      <c r="A13173" s="56"/>
      <c r="B13173" s="57"/>
      <c r="C13173" s="57"/>
      <c r="D13173" s="57"/>
      <c r="E13173" s="57"/>
      <c r="F13173" s="57"/>
      <c r="G13173" s="58"/>
    </row>
    <row r="13174" spans="1:7" x14ac:dyDescent="0.25">
      <c r="A13174" s="219" t="s">
        <v>42</v>
      </c>
      <c r="B13174" s="219"/>
      <c r="C13174" s="219"/>
      <c r="D13174" s="219"/>
      <c r="E13174" s="219"/>
      <c r="F13174" s="219"/>
      <c r="G13174" s="219"/>
    </row>
    <row r="13175" spans="1:7" x14ac:dyDescent="0.25">
      <c r="A13175" s="49" t="s">
        <v>35</v>
      </c>
      <c r="B13175" s="49" t="s">
        <v>36</v>
      </c>
      <c r="C13175" s="49" t="s">
        <v>38</v>
      </c>
      <c r="D13175" s="49" t="s">
        <v>43</v>
      </c>
      <c r="E13175" s="49" t="s">
        <v>44</v>
      </c>
      <c r="F13175" s="49" t="s">
        <v>45</v>
      </c>
      <c r="G13175" s="49" t="s">
        <v>40</v>
      </c>
    </row>
    <row r="13176" spans="1:7" x14ac:dyDescent="0.25">
      <c r="A13176" s="50" t="s">
        <v>319</v>
      </c>
      <c r="B13176" s="68" t="str">
        <f>VLOOKUP(A13176,'Componentes APUs'!$H$1:$L$25,2,0)</f>
        <v>Ingeniero Residente de Obra</v>
      </c>
      <c r="C13176" s="93">
        <v>0.25</v>
      </c>
      <c r="D13176" s="50">
        <f>VLOOKUP(A13176,'Componentes APUs'!$H$1:$L$25,3,0)</f>
        <v>4</v>
      </c>
      <c r="E13176" s="51">
        <f>VLOOKUP(A13176,'Componentes APUs'!$H$1:$L$25,4,0)</f>
        <v>271142.85714285716</v>
      </c>
      <c r="F13176" s="51">
        <f>VLOOKUP(A13176,'Componentes APUs'!$H$1:$L$25,5,0)</f>
        <v>162685.71428571429</v>
      </c>
      <c r="G13176" s="51">
        <f>ROUNDUP((E13176+F13176)*C13176/E13155,0)</f>
        <v>21692</v>
      </c>
    </row>
    <row r="13177" spans="1:7" x14ac:dyDescent="0.25">
      <c r="A13177" s="50" t="s">
        <v>320</v>
      </c>
      <c r="B13177" s="68" t="str">
        <f>VLOOKUP(A13177,'Componentes APUs'!$H$1:$L$25,2,0)</f>
        <v>Tecnico Supervisor</v>
      </c>
      <c r="C13177" s="93">
        <v>0.25</v>
      </c>
      <c r="D13177" s="50">
        <f>VLOOKUP(A13177,'Componentes APUs'!$H$1:$L$25,3,0)</f>
        <v>2.2999999999999998</v>
      </c>
      <c r="E13177" s="51">
        <f>VLOOKUP(A13177,'Componentes APUs'!$H$1:$L$25,4,0)</f>
        <v>155907.14285714284</v>
      </c>
      <c r="F13177" s="51">
        <f>VLOOKUP(A13177,'Componentes APUs'!$H$1:$L$25,5,0)</f>
        <v>93544.285714285696</v>
      </c>
      <c r="G13177" s="51">
        <f>ROUNDUP((E13177+F13177)*C13177/E13155,0)</f>
        <v>12473</v>
      </c>
    </row>
    <row r="13178" spans="1:7" x14ac:dyDescent="0.25">
      <c r="A13178" s="50" t="s">
        <v>46</v>
      </c>
      <c r="B13178" s="68" t="str">
        <f>VLOOKUP(A13178,'Componentes APUs'!$H$1:$L$25,2,0)</f>
        <v>Tecnico Liniero</v>
      </c>
      <c r="C13178" s="93">
        <v>2</v>
      </c>
      <c r="D13178" s="50">
        <f>VLOOKUP(A13178,'Componentes APUs'!$H$1:$L$25,3,0)</f>
        <v>2</v>
      </c>
      <c r="E13178" s="51">
        <f>VLOOKUP(A13178,'Componentes APUs'!$H$1:$L$25,4,0)</f>
        <v>154619.04761904763</v>
      </c>
      <c r="F13178" s="51">
        <f>VLOOKUP(A13178,'Componentes APUs'!$H$1:$L$25,5,0)</f>
        <v>92771.42857142858</v>
      </c>
      <c r="G13178" s="51">
        <f>ROUNDUP((E13178+F13178)*C13178/E13155,0)</f>
        <v>98957</v>
      </c>
    </row>
    <row r="13179" spans="1:7" x14ac:dyDescent="0.25">
      <c r="A13179" s="50" t="s">
        <v>48</v>
      </c>
      <c r="B13179" s="68" t="str">
        <f>VLOOKUP(A13179,'Componentes APUs'!$H$1:$L$25,2,0)</f>
        <v>Ayudante Calificado</v>
      </c>
      <c r="C13179" s="93">
        <v>1</v>
      </c>
      <c r="D13179" s="50">
        <f>VLOOKUP(A13179,'Componentes APUs'!$H$1:$L$25,3,0)</f>
        <v>1.5</v>
      </c>
      <c r="E13179" s="51">
        <f>VLOOKUP(A13179,'Componentes APUs'!$H$1:$L$25,4,0)</f>
        <v>115964.28571428571</v>
      </c>
      <c r="F13179" s="51">
        <f>VLOOKUP(A13179,'Componentes APUs'!$H$1:$L$25,5,0)</f>
        <v>69578.57142857142</v>
      </c>
      <c r="G13179" s="51">
        <f>ROUNDUP((E13179+F13179)*C13179/E13155,0)</f>
        <v>37109</v>
      </c>
    </row>
    <row r="13180" spans="1:7" x14ac:dyDescent="0.25">
      <c r="A13180" s="50" t="s">
        <v>50</v>
      </c>
      <c r="B13180" s="68" t="str">
        <f>VLOOKUP(A13180,'Componentes APUs'!$H$1:$L$25,2,0)</f>
        <v>Profesional en SST</v>
      </c>
      <c r="C13180" s="93">
        <v>0.25</v>
      </c>
      <c r="D13180" s="50">
        <f>VLOOKUP(A13180,'Componentes APUs'!$H$1:$L$25,3,0)</f>
        <v>2.5</v>
      </c>
      <c r="E13180" s="51">
        <f>VLOOKUP(A13180,'Componentes APUs'!$H$1:$L$25,4,0)</f>
        <v>169464.28571428571</v>
      </c>
      <c r="F13180" s="51">
        <f>VLOOKUP(A13180,'Componentes APUs'!$H$1:$L$25,5,0)</f>
        <v>101678.57142857142</v>
      </c>
      <c r="G13180" s="51">
        <f>ROUNDUP((E13180+F13180)*C13180/E13155,0)</f>
        <v>13558</v>
      </c>
    </row>
    <row r="13181" spans="1:7" x14ac:dyDescent="0.25">
      <c r="A13181" s="50" t="s">
        <v>52</v>
      </c>
      <c r="B13181" s="68" t="str">
        <f>VLOOKUP(A13181,'Componentes APUs'!$H$1:$L$25,2,0)</f>
        <v>Ayudante No Calificado</v>
      </c>
      <c r="C13181" s="93">
        <v>1</v>
      </c>
      <c r="D13181" s="50">
        <f>VLOOKUP(A13181,'Componentes APUs'!$H$1:$L$25,3,0)</f>
        <v>1</v>
      </c>
      <c r="E13181" s="51">
        <f>VLOOKUP(A13181,'Componentes APUs'!$H$1:$L$25,4,0)</f>
        <v>77309.523809523816</v>
      </c>
      <c r="F13181" s="51">
        <f>VLOOKUP(A13181,'Componentes APUs'!$H$1:$L$25,5,0)</f>
        <v>46385.71428571429</v>
      </c>
      <c r="G13181" s="51">
        <f>ROUNDUP((E13181+F13181)*C13181/E13155,0)</f>
        <v>24740</v>
      </c>
    </row>
    <row r="13182" spans="1:7" x14ac:dyDescent="0.25">
      <c r="A13182" s="219" t="s">
        <v>56</v>
      </c>
      <c r="B13182" s="219"/>
      <c r="C13182" s="219"/>
      <c r="D13182" s="219"/>
      <c r="E13182" s="219"/>
      <c r="F13182" s="219"/>
      <c r="G13182" s="52">
        <f>SUM(G13176:G13181)</f>
        <v>208529</v>
      </c>
    </row>
    <row r="13183" spans="1:7" x14ac:dyDescent="0.25">
      <c r="A13183" s="56"/>
      <c r="B13183" s="57"/>
      <c r="C13183" s="57"/>
      <c r="D13183" s="57"/>
      <c r="E13183" s="57"/>
      <c r="F13183" s="57"/>
      <c r="G13183" s="58"/>
    </row>
    <row r="13184" spans="1:7" x14ac:dyDescent="0.25">
      <c r="A13184" s="219" t="s">
        <v>57</v>
      </c>
      <c r="B13184" s="219"/>
      <c r="C13184" s="219"/>
      <c r="D13184" s="219"/>
      <c r="E13184" s="219"/>
      <c r="F13184" s="219"/>
      <c r="G13184" s="219"/>
    </row>
    <row r="13185" spans="1:7" x14ac:dyDescent="0.25">
      <c r="A13185" s="49" t="s">
        <v>35</v>
      </c>
      <c r="B13185" s="219" t="s">
        <v>36</v>
      </c>
      <c r="C13185" s="219"/>
      <c r="D13185" s="49" t="s">
        <v>37</v>
      </c>
      <c r="E13185" s="49" t="s">
        <v>38</v>
      </c>
      <c r="F13185" s="49" t="s">
        <v>39</v>
      </c>
      <c r="G13185" s="49" t="s">
        <v>40</v>
      </c>
    </row>
    <row r="13186" spans="1:7" x14ac:dyDescent="0.25">
      <c r="A13186" s="50" t="s">
        <v>326</v>
      </c>
      <c r="B13186" s="220" t="str">
        <f>VLOOKUP(A13186,'Componentes APUs'!$S$1:$V$10,2,0)</f>
        <v>Juego Llaves</v>
      </c>
      <c r="C13186" s="220"/>
      <c r="D13186" s="50" t="s">
        <v>18</v>
      </c>
      <c r="E13186" s="50">
        <v>2</v>
      </c>
      <c r="F13186" s="51">
        <f>VLOOKUP(A13186,'Componentes APUs'!$S$1:$V$10,4,0)</f>
        <v>9167</v>
      </c>
      <c r="G13186" s="51">
        <f>ROUNDUP(F13186*((E13186/21)/E13155),0)</f>
        <v>175</v>
      </c>
    </row>
    <row r="13187" spans="1:7" x14ac:dyDescent="0.25">
      <c r="A13187" s="50" t="s">
        <v>58</v>
      </c>
      <c r="B13187" s="220" t="str">
        <f>VLOOKUP(A13187,'Componentes APUs'!$S$1:$V$10,2,0)</f>
        <v>Manila de servicio</v>
      </c>
      <c r="C13187" s="220"/>
      <c r="D13187" s="50" t="s">
        <v>18</v>
      </c>
      <c r="E13187" s="50">
        <v>2</v>
      </c>
      <c r="F13187" s="51">
        <f>VLOOKUP(A13187,'Componentes APUs'!$S$1:$V$10,4,0)</f>
        <v>2333</v>
      </c>
      <c r="G13187" s="51">
        <f>ROUNDUP(F13187*((E13187/21)/E13155),0)</f>
        <v>45</v>
      </c>
    </row>
    <row r="13188" spans="1:7" x14ac:dyDescent="0.25">
      <c r="A13188" s="50" t="s">
        <v>327</v>
      </c>
      <c r="B13188" s="220" t="str">
        <f>VLOOKUP(A13188,'Componentes APUs'!$S$1:$V$10,2,0)</f>
        <v>Tula portaherramientas</v>
      </c>
      <c r="C13188" s="220"/>
      <c r="D13188" s="50" t="s">
        <v>18</v>
      </c>
      <c r="E13188" s="50">
        <v>2</v>
      </c>
      <c r="F13188" s="51">
        <f>VLOOKUP(A13188,'Componentes APUs'!$S$1:$V$10,4,0)</f>
        <v>1250</v>
      </c>
      <c r="G13188" s="51">
        <f>ROUNDUP(F13188*((E13188/21)/E13155),0)</f>
        <v>24</v>
      </c>
    </row>
    <row r="13189" spans="1:7" x14ac:dyDescent="0.25">
      <c r="A13189" s="50" t="s">
        <v>60</v>
      </c>
      <c r="B13189" s="220" t="str">
        <f>VLOOKUP(A13189,'Componentes APUs'!$S$1:$V$10,2,0)</f>
        <v>Agarradoras</v>
      </c>
      <c r="C13189" s="220"/>
      <c r="D13189" s="50" t="s">
        <v>18</v>
      </c>
      <c r="E13189" s="50">
        <v>0</v>
      </c>
      <c r="F13189" s="51">
        <f>VLOOKUP(A13189,'Componentes APUs'!$S$1:$V$10,4,0)</f>
        <v>125000</v>
      </c>
      <c r="G13189" s="51">
        <f>ROUNDUP(F13189*((E13189/21)/E13155),0)</f>
        <v>0</v>
      </c>
    </row>
    <row r="13190" spans="1:7" x14ac:dyDescent="0.25">
      <c r="A13190" s="50" t="s">
        <v>62</v>
      </c>
      <c r="B13190" s="220" t="str">
        <f>VLOOKUP(A13190,'Componentes APUs'!$S$1:$V$10,2,0)</f>
        <v>Templadoras</v>
      </c>
      <c r="C13190" s="220"/>
      <c r="D13190" s="50" t="s">
        <v>18</v>
      </c>
      <c r="E13190" s="50">
        <v>0</v>
      </c>
      <c r="F13190" s="51">
        <f>VLOOKUP(A13190,'Componentes APUs'!$S$1:$V$10,4,0)</f>
        <v>250000</v>
      </c>
      <c r="G13190" s="51">
        <f>ROUNDUP(F13190*((E13190/21)/E13155),0)</f>
        <v>0</v>
      </c>
    </row>
    <row r="13191" spans="1:7" x14ac:dyDescent="0.25">
      <c r="A13191" s="50" t="s">
        <v>328</v>
      </c>
      <c r="B13191" s="220" t="str">
        <f>VLOOKUP(A13191,'Componentes APUs'!$S$1:$V$10,2,0)</f>
        <v>Herramienta Menor</v>
      </c>
      <c r="C13191" s="220"/>
      <c r="D13191" s="50" t="s">
        <v>18</v>
      </c>
      <c r="E13191" s="50">
        <v>2</v>
      </c>
      <c r="F13191" s="51">
        <f>VLOOKUP(A13191,'Componentes APUs'!$S$1:$V$10,4,0)</f>
        <v>75758</v>
      </c>
      <c r="G13191" s="51">
        <f>ROUNDUP(F13191*((E13191/21)/E13155),0)</f>
        <v>1444</v>
      </c>
    </row>
    <row r="13192" spans="1:7" x14ac:dyDescent="0.25">
      <c r="A13192" s="219" t="s">
        <v>69</v>
      </c>
      <c r="B13192" s="219"/>
      <c r="C13192" s="219"/>
      <c r="D13192" s="219"/>
      <c r="E13192" s="219"/>
      <c r="F13192" s="219"/>
      <c r="G13192" s="52">
        <f>SUM(G13186:G13191)</f>
        <v>1688</v>
      </c>
    </row>
    <row r="13193" spans="1:7" x14ac:dyDescent="0.25">
      <c r="A13193" s="56"/>
      <c r="B13193" s="57"/>
      <c r="C13193" s="57"/>
      <c r="D13193" s="57"/>
      <c r="E13193" s="57"/>
      <c r="F13193" s="57"/>
      <c r="G13193" s="58"/>
    </row>
    <row r="13194" spans="1:7" x14ac:dyDescent="0.25">
      <c r="A13194" s="219" t="s">
        <v>70</v>
      </c>
      <c r="B13194" s="219"/>
      <c r="C13194" s="219"/>
      <c r="D13194" s="219"/>
      <c r="E13194" s="219"/>
      <c r="F13194" s="219"/>
      <c r="G13194" s="219"/>
    </row>
    <row r="13195" spans="1:7" x14ac:dyDescent="0.25">
      <c r="A13195" s="49" t="s">
        <v>35</v>
      </c>
      <c r="B13195" s="219" t="s">
        <v>36</v>
      </c>
      <c r="C13195" s="219"/>
      <c r="D13195" s="49" t="s">
        <v>37</v>
      </c>
      <c r="E13195" s="49" t="s">
        <v>38</v>
      </c>
      <c r="F13195" s="49" t="s">
        <v>39</v>
      </c>
      <c r="G13195" s="49" t="s">
        <v>40</v>
      </c>
    </row>
    <row r="13196" spans="1:7" x14ac:dyDescent="0.25">
      <c r="A13196" s="50" t="s">
        <v>71</v>
      </c>
      <c r="B13196" s="71" t="str">
        <f>VLOOKUP(A13196,'Componentes APUs'!$A$1:$D$14,2,0)</f>
        <v>Camisa indigo sin partes metalicas</v>
      </c>
      <c r="C13196" s="71"/>
      <c r="D13196" s="50" t="str">
        <f>VLOOKUP(A13196,'Componentes APUs'!$A$1:$D$14,3,0)</f>
        <v>U</v>
      </c>
      <c r="E13196" s="50">
        <f>SUM(C13176:C13181)</f>
        <v>4.75</v>
      </c>
      <c r="F13196" s="51">
        <f>VLOOKUP(A13196,'Componentes APUs'!$A$1:$D$14,4,0)</f>
        <v>8585.8585858585866</v>
      </c>
      <c r="G13196" s="51">
        <f>ROUNDUP(F13196*(E13196/21)/E13155,0)</f>
        <v>389</v>
      </c>
    </row>
    <row r="13197" spans="1:7" x14ac:dyDescent="0.25">
      <c r="A13197" s="69" t="s">
        <v>73</v>
      </c>
      <c r="B13197" s="72" t="str">
        <f>VLOOKUP(A13197,'Componentes APUs'!$A$1:$D$14,2,0)</f>
        <v>Bota de seguridad dielectrica</v>
      </c>
      <c r="C13197" s="73"/>
      <c r="D13197" s="70" t="str">
        <f>VLOOKUP(A13197,'Componentes APUs'!$A$1:$D$14,3,0)</f>
        <v>Par</v>
      </c>
      <c r="E13197" s="50">
        <f>SUM(C13176:C13181)</f>
        <v>4.75</v>
      </c>
      <c r="F13197" s="51">
        <f>VLOOKUP(A13197,'Componentes APUs'!$A$1:$D$14,4,0)</f>
        <v>7500</v>
      </c>
      <c r="G13197" s="51">
        <f>ROUNDUP(F13197*(E13197/21)/E13155,0)</f>
        <v>340</v>
      </c>
    </row>
    <row r="13198" spans="1:7" x14ac:dyDescent="0.25">
      <c r="A13198" s="50" t="s">
        <v>76</v>
      </c>
      <c r="B13198" s="72" t="str">
        <f>VLOOKUP(A13198,'Componentes APUs'!$A$1:$D$14,2,0)</f>
        <v>Casco dielectrico Tipo 1 Clase E con barbuquejo</v>
      </c>
      <c r="C13198" s="73"/>
      <c r="D13198" s="50" t="str">
        <f>VLOOKUP(A13198,'Componentes APUs'!$A$1:$D$14,3,0)</f>
        <v>U</v>
      </c>
      <c r="E13198" s="50">
        <f>C13176+C13179+C13180+C13177+C13181+IF(A13178&lt;&gt;"MO-3",C13178,0)</f>
        <v>2.75</v>
      </c>
      <c r="F13198" s="51">
        <f>VLOOKUP(A13198,'Componentes APUs'!$A$1:$D$14,4,0)</f>
        <v>10101.010101010101</v>
      </c>
      <c r="G13198" s="51">
        <f>ROUNDUP(F13198*(E13198/21)/E13155,0)</f>
        <v>265</v>
      </c>
    </row>
    <row r="13199" spans="1:7" x14ac:dyDescent="0.25">
      <c r="A13199" s="69" t="s">
        <v>77</v>
      </c>
      <c r="B13199" s="72" t="str">
        <f>VLOOKUP(A13199,'Componentes APUs'!$A$1:$D$14,2,0)</f>
        <v>Correa plastica y antiflama</v>
      </c>
      <c r="C13199" s="73"/>
      <c r="D13199" s="50" t="str">
        <f>VLOOKUP(A13199,'Componentes APUs'!$A$1:$D$14,3,0)</f>
        <v>U</v>
      </c>
      <c r="E13199" s="50">
        <f>SUM(C13176:C13181)</f>
        <v>4.75</v>
      </c>
      <c r="F13199" s="51">
        <f>VLOOKUP(A13199,'Componentes APUs'!$A$1:$D$14,4,0)</f>
        <v>3787.878787878788</v>
      </c>
      <c r="G13199" s="51">
        <f>ROUNDUP(F13199*(E13199/21)/E13155,0)</f>
        <v>172</v>
      </c>
    </row>
    <row r="13200" spans="1:7" x14ac:dyDescent="0.25">
      <c r="A13200" s="50" t="s">
        <v>79</v>
      </c>
      <c r="B13200" s="72" t="str">
        <f>VLOOKUP(A13200,'Componentes APUs'!$A$1:$D$14,2,0)</f>
        <v>Gafas protectoras filtro UV</v>
      </c>
      <c r="C13200" s="73"/>
      <c r="D13200" s="50" t="str">
        <f>VLOOKUP(A13200,'Componentes APUs'!$A$1:$D$14,3,0)</f>
        <v>U</v>
      </c>
      <c r="E13200" s="50">
        <f>SUM(C13176:C13181)</f>
        <v>4.75</v>
      </c>
      <c r="F13200" s="51">
        <f>VLOOKUP(A13200,'Componentes APUs'!$A$1:$D$14,4,0)</f>
        <v>2777.7777777777778</v>
      </c>
      <c r="G13200" s="51">
        <f>ROUNDUP(F13200*(E13200/21)/E13155,0)</f>
        <v>126</v>
      </c>
    </row>
    <row r="13201" spans="1:7" x14ac:dyDescent="0.25">
      <c r="A13201" s="69" t="s">
        <v>402</v>
      </c>
      <c r="B13201" s="72" t="str">
        <f>VLOOKUP(A13201,'Componentes APUs'!$A$1:$D$14,2,0)</f>
        <v>Bota de seguridad PVC dielectrica</v>
      </c>
      <c r="C13201" s="73"/>
      <c r="D13201" s="50" t="str">
        <f>VLOOKUP(A13201,'Componentes APUs'!$A$1:$D$14,3,0)</f>
        <v>Par</v>
      </c>
      <c r="E13201" s="50">
        <f>SUM(C13176:C13181)</f>
        <v>4.75</v>
      </c>
      <c r="F13201" s="51">
        <f>VLOOKUP(A13201,'Componentes APUs'!$A$1:$D$14,4,0)</f>
        <v>2916.6666666666665</v>
      </c>
      <c r="G13201" s="51">
        <f>ROUNDUP(F13201*(E13201/21)/E13155,0)</f>
        <v>132</v>
      </c>
    </row>
    <row r="13202" spans="1:7" x14ac:dyDescent="0.25">
      <c r="A13202" s="50" t="s">
        <v>403</v>
      </c>
      <c r="B13202" s="72" t="str">
        <f>VLOOKUP(A13202,'Componentes APUs'!$A$1:$D$14,2,0)</f>
        <v>Capuchon</v>
      </c>
      <c r="C13202" s="73"/>
      <c r="D13202" s="50" t="str">
        <f>VLOOKUP(A13202,'Componentes APUs'!$A$1:$D$14,3,0)</f>
        <v>U</v>
      </c>
      <c r="E13202" s="50">
        <f>SUM(C13176:C13181)</f>
        <v>4.75</v>
      </c>
      <c r="F13202" s="51">
        <f>VLOOKUP(A13202,'Componentes APUs'!$A$1:$D$14,4,0)</f>
        <v>2525.2525252525252</v>
      </c>
      <c r="G13202" s="51">
        <f>ROUNDUP(F13202*(E13202/21)/E13155,0)</f>
        <v>115</v>
      </c>
    </row>
    <row r="13203" spans="1:7" x14ac:dyDescent="0.25">
      <c r="A13203" s="69" t="s">
        <v>81</v>
      </c>
      <c r="B13203" s="72" t="str">
        <f>VLOOKUP(A13203,'Componentes APUs'!$A$1:$D$14,2,0)</f>
        <v>Guantes Protectores  - ingeniero reforzados</v>
      </c>
      <c r="C13203" s="73"/>
      <c r="D13203" s="50" t="str">
        <f>VLOOKUP(A13203,'Componentes APUs'!$A$1:$D$14,3,0)</f>
        <v>Par</v>
      </c>
      <c r="E13203" s="50">
        <f>C13178+C13179+C13181</f>
        <v>4</v>
      </c>
      <c r="F13203" s="51">
        <f>VLOOKUP(A13203,'Componentes APUs'!$A$1:$D$14,4,0)</f>
        <v>2525.2525252525252</v>
      </c>
      <c r="G13203" s="51">
        <f>ROUNDUP(F13203*(E13203/21)/E13155,0)</f>
        <v>97</v>
      </c>
    </row>
    <row r="13204" spans="1:7" x14ac:dyDescent="0.25">
      <c r="A13204" s="50" t="s">
        <v>83</v>
      </c>
      <c r="B13204" s="72" t="str">
        <f>VLOOKUP(A13204,'Componentes APUs'!$A$1:$D$14,2,0)</f>
        <v>Impermeable (pantalon camisa)</v>
      </c>
      <c r="C13204" s="73"/>
      <c r="D13204" s="50" t="str">
        <f>VLOOKUP(A13204,'Componentes APUs'!$A$1:$D$14,3,0)</f>
        <v>U</v>
      </c>
      <c r="E13204" s="50">
        <f>SUM(C13176:C13181)</f>
        <v>4.75</v>
      </c>
      <c r="F13204" s="51">
        <f>VLOOKUP(A13204,'Componentes APUs'!$A$1:$D$14,4,0)</f>
        <v>3750</v>
      </c>
      <c r="G13204" s="51">
        <f>ROUNDUP(F13204*(E13204/21)/E13155,0)</f>
        <v>170</v>
      </c>
    </row>
    <row r="13205" spans="1:7" x14ac:dyDescent="0.25">
      <c r="A13205" s="69" t="s">
        <v>85</v>
      </c>
      <c r="B13205" s="72" t="str">
        <f>VLOOKUP(A13205,'Componentes APUs'!$A$1:$D$14,2,0)</f>
        <v>Jean Dielectrico</v>
      </c>
      <c r="C13205" s="73"/>
      <c r="D13205" s="50" t="str">
        <f>VLOOKUP(A13205,'Componentes APUs'!$A$1:$D$14,3,0)</f>
        <v>U</v>
      </c>
      <c r="E13205" s="50">
        <f>SUM(C13176:C13181)</f>
        <v>4.75</v>
      </c>
      <c r="F13205" s="51">
        <f>VLOOKUP(A13205,'Componentes APUs'!$A$1:$D$14,4,0)</f>
        <v>7575.757575757576</v>
      </c>
      <c r="G13205" s="51">
        <f>ROUNDUP(F13205*(E13205/21)/E13155,0)</f>
        <v>343</v>
      </c>
    </row>
    <row r="13206" spans="1:7" x14ac:dyDescent="0.25">
      <c r="A13206" s="50" t="s">
        <v>87</v>
      </c>
      <c r="B13206" s="72" t="str">
        <f>VLOOKUP(A13206,'Componentes APUs'!$A$1:$D$14,2,0)</f>
        <v>Casco dielectrico Tipo 2 Clase E con barboquejo</v>
      </c>
      <c r="C13206" s="73"/>
      <c r="D13206" s="50" t="str">
        <f>VLOOKUP(A13206,'Componentes APUs'!$A$1:$D$14,3,0)</f>
        <v>U</v>
      </c>
      <c r="E13206" s="53">
        <f>IF(A13178="MO-3",C13178,0)</f>
        <v>2</v>
      </c>
      <c r="F13206" s="51">
        <f>VLOOKUP(A13206,'Componentes APUs'!$A$1:$D$14,4,0)</f>
        <v>7500</v>
      </c>
      <c r="G13206" s="51">
        <f>ROUNDUP(F13206*(E13206/21)/E13155,0)</f>
        <v>143</v>
      </c>
    </row>
    <row r="13207" spans="1:7" x14ac:dyDescent="0.25">
      <c r="A13207" s="69" t="s">
        <v>89</v>
      </c>
      <c r="B13207" s="72" t="str">
        <f>VLOOKUP(A13207,'Componentes APUs'!$A$1:$D$14,2,0)</f>
        <v>Kit de rescate para trabajo en alturas</v>
      </c>
      <c r="C13207" s="73"/>
      <c r="D13207" s="50" t="str">
        <f>VLOOKUP(A13207,'Componentes APUs'!$A$1:$D$14,3,0)</f>
        <v>U</v>
      </c>
      <c r="E13207" s="50">
        <f>IF(AND(A13178="MO-3",C13178=2),1,0)</f>
        <v>1</v>
      </c>
      <c r="F13207" s="51">
        <f>VLOOKUP(A13207,'Componentes APUs'!$A$1:$D$14,4,0)</f>
        <v>37500</v>
      </c>
      <c r="G13207" s="51">
        <f>ROUNDUP(F13207*(E13207/21)/E13155,0)</f>
        <v>358</v>
      </c>
    </row>
    <row r="13208" spans="1:7" x14ac:dyDescent="0.25">
      <c r="A13208" s="50" t="s">
        <v>91</v>
      </c>
      <c r="B13208" s="72" t="str">
        <f>VLOOKUP(A13208,'Componentes APUs'!$A$1:$D$14,2,0)</f>
        <v>Equipo completo para trabajo en alturas con pretales (Arnes dielectrico, 1 mosqueton de seguridad, tie off dielectrico, eslinga de posicionamiento, juego de pretales)</v>
      </c>
      <c r="C13208" s="73"/>
      <c r="D13208" s="50" t="str">
        <f>VLOOKUP(A13208,'Componentes APUs'!$A$1:$D$14,3,0)</f>
        <v>U</v>
      </c>
      <c r="E13208" s="50">
        <f>IF(A13178="MO-3",C13178,0)</f>
        <v>2</v>
      </c>
      <c r="F13208" s="51">
        <f>VLOOKUP(A13208,'Componentes APUs'!$A$1:$D$14,4,0)</f>
        <v>26041.666666666668</v>
      </c>
      <c r="G13208" s="51">
        <f>ROUNDUP(F13208*(E13208/21)/E13155,0)</f>
        <v>497</v>
      </c>
    </row>
    <row r="13209" spans="1:7" x14ac:dyDescent="0.25">
      <c r="A13209" s="219" t="s">
        <v>95</v>
      </c>
      <c r="B13209" s="219"/>
      <c r="C13209" s="219"/>
      <c r="D13209" s="219"/>
      <c r="E13209" s="219"/>
      <c r="F13209" s="219"/>
      <c r="G13209" s="52">
        <f>SUM(G13196:G13208)</f>
        <v>3147</v>
      </c>
    </row>
    <row r="13210" spans="1:7" x14ac:dyDescent="0.25">
      <c r="A13210" s="56"/>
      <c r="B13210" s="57"/>
      <c r="C13210" s="57"/>
      <c r="D13210" s="57"/>
      <c r="E13210" s="57"/>
      <c r="F13210" s="57"/>
      <c r="G13210" s="58"/>
    </row>
    <row r="13211" spans="1:7" x14ac:dyDescent="0.25">
      <c r="A13211" s="219" t="s">
        <v>96</v>
      </c>
      <c r="B13211" s="219"/>
      <c r="C13211" s="219"/>
      <c r="D13211" s="219"/>
      <c r="E13211" s="219"/>
      <c r="F13211" s="219"/>
      <c r="G13211" s="219"/>
    </row>
    <row r="13212" spans="1:7" x14ac:dyDescent="0.25">
      <c r="A13212" s="49" t="s">
        <v>35</v>
      </c>
      <c r="B13212" s="225" t="s">
        <v>36</v>
      </c>
      <c r="C13212" s="225"/>
      <c r="D13212" s="49" t="s">
        <v>37</v>
      </c>
      <c r="E13212" s="49" t="s">
        <v>38</v>
      </c>
      <c r="F13212" s="49" t="s">
        <v>39</v>
      </c>
      <c r="G13212" s="49" t="s">
        <v>40</v>
      </c>
    </row>
    <row r="13213" spans="1:7" x14ac:dyDescent="0.25">
      <c r="A13213" s="69" t="s">
        <v>97</v>
      </c>
      <c r="B13213" s="72" t="str">
        <f>VLOOKUP(A13213,'Componentes APUs'!$N$1:$Q$30,2,0)</f>
        <v>Camioneta</v>
      </c>
      <c r="C13213" s="73"/>
      <c r="D13213" s="70" t="str">
        <f>VLOOKUP(A13213,'Componentes APUs'!$N$1:$Q$30,3,0)</f>
        <v>U</v>
      </c>
      <c r="E13213" s="50">
        <v>1</v>
      </c>
      <c r="F13213" s="51">
        <f>VLOOKUP(A13213,'Componentes APUs'!$N$1:$Q$30,4,0)</f>
        <v>5500000</v>
      </c>
      <c r="G13213" s="51">
        <f>IFERROR(ROUNDUP(F13213*(E13213/21)/E13155,0),"-")</f>
        <v>52381</v>
      </c>
    </row>
    <row r="13214" spans="1:7" x14ac:dyDescent="0.25">
      <c r="A13214" s="219" t="s">
        <v>99</v>
      </c>
      <c r="B13214" s="219"/>
      <c r="C13214" s="219"/>
      <c r="D13214" s="219"/>
      <c r="E13214" s="219"/>
      <c r="F13214" s="219"/>
      <c r="G13214" s="52">
        <f>SUM(G13213:G13213)</f>
        <v>52381</v>
      </c>
    </row>
    <row r="13215" spans="1:7" x14ac:dyDescent="0.25">
      <c r="A13215" s="56"/>
      <c r="B13215" s="57"/>
      <c r="C13215" s="57"/>
      <c r="D13215" s="57"/>
      <c r="E13215" s="57"/>
      <c r="F13215" s="57"/>
      <c r="G13215" s="58"/>
    </row>
    <row r="13216" spans="1:7" x14ac:dyDescent="0.25">
      <c r="A13216" s="219" t="s">
        <v>1516</v>
      </c>
      <c r="B13216" s="219"/>
      <c r="C13216" s="219"/>
      <c r="D13216" s="219"/>
      <c r="E13216" s="219"/>
      <c r="F13216" s="219"/>
      <c r="G13216" s="52">
        <f>G13214+G13209+G13192+G13182+G13172</f>
        <v>1236773</v>
      </c>
    </row>
    <row r="13217" spans="1:7" x14ac:dyDescent="0.25">
      <c r="A13217" s="59"/>
      <c r="B13217" s="60"/>
      <c r="C13217" s="60"/>
      <c r="D13217" s="60"/>
      <c r="E13217" s="57"/>
      <c r="F13217" s="57"/>
      <c r="G13217" s="58"/>
    </row>
    <row r="13218" spans="1:7" x14ac:dyDescent="0.25">
      <c r="A13218" s="64"/>
      <c r="D13218" s="55"/>
      <c r="E13218" s="49" t="s">
        <v>25</v>
      </c>
      <c r="F13218" s="54">
        <v>0.15</v>
      </c>
      <c r="G13218" s="51">
        <f>G13216*F13218</f>
        <v>185515.94999999998</v>
      </c>
    </row>
    <row r="13219" spans="1:7" x14ac:dyDescent="0.25">
      <c r="A13219" s="64"/>
      <c r="D13219" s="55"/>
      <c r="E13219" s="49" t="s">
        <v>26</v>
      </c>
      <c r="F13219" s="54">
        <v>0.05</v>
      </c>
      <c r="G13219" s="51">
        <f>G13216*F13219</f>
        <v>61838.65</v>
      </c>
    </row>
    <row r="13220" spans="1:7" x14ac:dyDescent="0.25">
      <c r="A13220" s="61"/>
      <c r="B13220" s="65"/>
      <c r="C13220" s="65"/>
      <c r="D13220" s="62"/>
      <c r="E13220" s="49" t="s">
        <v>27</v>
      </c>
      <c r="F13220" s="54">
        <v>0.05</v>
      </c>
      <c r="G13220" s="51">
        <f>G13216*F13220</f>
        <v>61838.65</v>
      </c>
    </row>
    <row r="13221" spans="1:7" x14ac:dyDescent="0.25">
      <c r="A13221" s="61"/>
      <c r="B13221" s="62"/>
      <c r="C13221" s="62"/>
      <c r="D13221" s="62"/>
      <c r="E13221" s="62"/>
      <c r="F13221" s="62"/>
      <c r="G13221" s="63"/>
    </row>
    <row r="13222" spans="1:7" x14ac:dyDescent="0.25">
      <c r="A13222" s="219" t="s">
        <v>1517</v>
      </c>
      <c r="B13222" s="219"/>
      <c r="C13222" s="219"/>
      <c r="D13222" s="219"/>
      <c r="E13222" s="219"/>
      <c r="F13222" s="219"/>
      <c r="G13222" s="52">
        <f>G13216+G13218+G13219+G13220</f>
        <v>1545966.2499999998</v>
      </c>
    </row>
    <row r="13223" spans="1:7" x14ac:dyDescent="0.25">
      <c r="A13223" s="59"/>
      <c r="B13223" s="60"/>
      <c r="C13223" s="60"/>
      <c r="D13223" s="60"/>
      <c r="E13223" s="57"/>
      <c r="F13223" s="57"/>
      <c r="G13223" s="58"/>
    </row>
    <row r="13224" spans="1:7" x14ac:dyDescent="0.25">
      <c r="A13224" s="64"/>
      <c r="D13224" s="55"/>
      <c r="E13224" s="49" t="s">
        <v>102</v>
      </c>
      <c r="F13224" s="49" t="s">
        <v>103</v>
      </c>
      <c r="G13224" s="51">
        <f>G13220*19%</f>
        <v>11749.343500000001</v>
      </c>
    </row>
    <row r="13225" spans="1:7" x14ac:dyDescent="0.25">
      <c r="A13225" s="61"/>
      <c r="B13225" s="62"/>
      <c r="C13225" s="62"/>
      <c r="D13225" s="62"/>
      <c r="E13225" s="57"/>
      <c r="F13225" s="57"/>
      <c r="G13225" s="58"/>
    </row>
    <row r="13226" spans="1:7" x14ac:dyDescent="0.25">
      <c r="A13226" s="219" t="s">
        <v>104</v>
      </c>
      <c r="B13226" s="219"/>
      <c r="C13226" s="219"/>
      <c r="D13226" s="219"/>
      <c r="E13226" s="219"/>
      <c r="F13226" s="219"/>
      <c r="G13226" s="52">
        <f>G13224+G13222</f>
        <v>1557715.5934999997</v>
      </c>
    </row>
    <row r="13228" spans="1:7" x14ac:dyDescent="0.25">
      <c r="A13228" s="74" t="s">
        <v>1103</v>
      </c>
      <c r="B13228" s="226" t="s">
        <v>30</v>
      </c>
      <c r="C13228" s="226"/>
      <c r="D13228" s="74" t="s">
        <v>31</v>
      </c>
      <c r="E13228" s="74" t="s">
        <v>32</v>
      </c>
      <c r="F13228" s="74" t="s">
        <v>189</v>
      </c>
      <c r="G13228" s="74" t="s">
        <v>33</v>
      </c>
    </row>
    <row r="13229" spans="1:7" ht="24" customHeight="1" x14ac:dyDescent="0.25">
      <c r="A13229" s="50" t="str">
        <f>Presupuesto!B240</f>
        <v>047_N3</v>
      </c>
      <c r="B13229" s="220" t="str">
        <f>Presupuesto!C240</f>
        <v>SUMINISTRO E INSTALACIÓN DE CONTROL APANTALLADO 7x14 AWG Cu- TC-THHN/THWN - 600 V</v>
      </c>
      <c r="C13229" s="220"/>
      <c r="D13229" s="50" t="s">
        <v>108</v>
      </c>
      <c r="E13229" s="50">
        <v>80</v>
      </c>
      <c r="F13229" s="50"/>
      <c r="G13229" s="51">
        <f>G13297</f>
        <v>55703.906499999997</v>
      </c>
    </row>
    <row r="13230" spans="1:7" x14ac:dyDescent="0.25">
      <c r="A13230" s="219" t="s">
        <v>34</v>
      </c>
      <c r="B13230" s="219"/>
      <c r="C13230" s="219"/>
      <c r="D13230" s="219"/>
      <c r="E13230" s="219"/>
      <c r="F13230" s="219"/>
      <c r="G13230" s="219"/>
    </row>
    <row r="13231" spans="1:7" x14ac:dyDescent="0.25">
      <c r="A13231" s="49" t="s">
        <v>35</v>
      </c>
      <c r="B13231" s="219" t="s">
        <v>36</v>
      </c>
      <c r="C13231" s="219"/>
      <c r="D13231" s="49" t="s">
        <v>37</v>
      </c>
      <c r="E13231" s="49" t="s">
        <v>38</v>
      </c>
      <c r="F13231" s="49" t="s">
        <v>39</v>
      </c>
      <c r="G13231" s="49" t="s">
        <v>40</v>
      </c>
    </row>
    <row r="13232" spans="1:7" x14ac:dyDescent="0.25">
      <c r="A13232" s="17" t="str">
        <f>Material!A43</f>
        <v>MA-42</v>
      </c>
      <c r="B13232" s="232" t="str">
        <f>IFERROR(VLOOKUP(A13232,Material!$A:$J,2,0),"-")</f>
        <v>CABLE DE CONTROL APANTALLADO 7x14 AWG Cu- TC-THHN/THWN - 600 V</v>
      </c>
      <c r="C13232" s="233"/>
      <c r="D13232" s="50" t="str">
        <f>IFERROR(VLOOKUP(A13232,Material!$A:$J,4,0),"-")</f>
        <v>ML</v>
      </c>
      <c r="E13232" s="50">
        <v>1</v>
      </c>
      <c r="F13232" s="51">
        <f>IFERROR(VLOOKUP(A13232,Material!$A:$J,3,0),"-")</f>
        <v>32045</v>
      </c>
      <c r="G13232" s="51">
        <f t="shared" ref="G13232:G13238" si="189">IFERROR(ROUNDUP(F13232*E13232,0),"-")</f>
        <v>32045</v>
      </c>
    </row>
    <row r="13233" spans="1:7" x14ac:dyDescent="0.25">
      <c r="A13233" s="17"/>
      <c r="B13233" s="72" t="str">
        <f>IFERROR(VLOOKUP(A13233,Material!$A:$J,2,0),"-")</f>
        <v>-</v>
      </c>
      <c r="C13233" s="73"/>
      <c r="D13233" s="50" t="str">
        <f>IFERROR(VLOOKUP(A13233,Material!$A:$J,4,0),"-")</f>
        <v>-</v>
      </c>
      <c r="E13233" s="50"/>
      <c r="F13233" s="51" t="str">
        <f>IFERROR(VLOOKUP(A13233,Material!$A:$J,3,0),"-")</f>
        <v>-</v>
      </c>
      <c r="G13233" s="51" t="str">
        <f t="shared" si="189"/>
        <v>-</v>
      </c>
    </row>
    <row r="13234" spans="1:7" ht="17.25" customHeight="1" x14ac:dyDescent="0.25">
      <c r="A13234" s="17"/>
      <c r="B13234" s="72" t="str">
        <f>IFERROR(VLOOKUP(A13234,Material!$A:$J,2,0),"-")</f>
        <v>-</v>
      </c>
      <c r="C13234" s="73"/>
      <c r="D13234" s="50" t="str">
        <f>IFERROR(VLOOKUP(A13234,Material!$A:$J,4,0),"-")</f>
        <v>-</v>
      </c>
      <c r="E13234" s="50"/>
      <c r="F13234" s="51" t="str">
        <f>IFERROR(VLOOKUP(A13234,Material!$A:$J,3,0),"-")</f>
        <v>-</v>
      </c>
      <c r="G13234" s="51" t="str">
        <f t="shared" si="189"/>
        <v>-</v>
      </c>
    </row>
    <row r="13235" spans="1:7" x14ac:dyDescent="0.25">
      <c r="A13235" s="17"/>
      <c r="B13235" s="72" t="str">
        <f>IFERROR(VLOOKUP(A13235,Material!$A:$J,2,0),"-")</f>
        <v>-</v>
      </c>
      <c r="C13235" s="73"/>
      <c r="D13235" s="50" t="str">
        <f>IFERROR(VLOOKUP(A13235,Material!$A:$J,4,0),"-")</f>
        <v>-</v>
      </c>
      <c r="E13235" s="50"/>
      <c r="F13235" s="51" t="str">
        <f>IFERROR(VLOOKUP(A13235,Material!$A:$J,3,0),"-")</f>
        <v>-</v>
      </c>
      <c r="G13235" s="51" t="str">
        <f t="shared" si="189"/>
        <v>-</v>
      </c>
    </row>
    <row r="13236" spans="1:7" x14ac:dyDescent="0.25">
      <c r="A13236" s="17"/>
      <c r="B13236" s="72" t="str">
        <f>IFERROR(VLOOKUP(A13236,Material!$A:$J,2,0),"-")</f>
        <v>-</v>
      </c>
      <c r="C13236" s="73"/>
      <c r="D13236" s="50" t="str">
        <f>IFERROR(VLOOKUP(A13236,Material!$A:$J,4,0),"-")</f>
        <v>-</v>
      </c>
      <c r="E13236" s="50"/>
      <c r="F13236" s="51" t="str">
        <f>IFERROR(VLOOKUP(A13236,Material!$A:$J,3,0),"-")</f>
        <v>-</v>
      </c>
      <c r="G13236" s="51" t="str">
        <f t="shared" si="189"/>
        <v>-</v>
      </c>
    </row>
    <row r="13237" spans="1:7" x14ac:dyDescent="0.25">
      <c r="A13237" s="17"/>
      <c r="B13237" s="75" t="str">
        <f>IFERROR(VLOOKUP(A13237,Material!$A:$J,2,0),"-")</f>
        <v>-</v>
      </c>
      <c r="C13237" s="76"/>
      <c r="D13237" s="50" t="str">
        <f>IFERROR(VLOOKUP(A13237,Material!$A:$J,4,0),"-")</f>
        <v>-</v>
      </c>
      <c r="E13237" s="50"/>
      <c r="F13237" s="51" t="str">
        <f>IFERROR(VLOOKUP(A13237,Material!$A:$J,3,0),"-")</f>
        <v>-</v>
      </c>
      <c r="G13237" s="51" t="str">
        <f t="shared" si="189"/>
        <v>-</v>
      </c>
    </row>
    <row r="13238" spans="1:7" x14ac:dyDescent="0.25">
      <c r="A13238" s="17"/>
      <c r="B13238" s="72" t="str">
        <f>IFERROR(VLOOKUP(A13238,Material!$A:$J,2,0),"-")</f>
        <v>-</v>
      </c>
      <c r="C13238" s="76"/>
      <c r="D13238" s="50" t="str">
        <f>IFERROR(VLOOKUP(A13238,Material!$A:$J,4,0),"-")</f>
        <v>-</v>
      </c>
      <c r="E13238" s="50"/>
      <c r="F13238" s="51" t="str">
        <f>IFERROR(VLOOKUP(A13238,Material!$A:$J,3,0),"-")</f>
        <v>-</v>
      </c>
      <c r="G13238" s="51" t="str">
        <f t="shared" si="189"/>
        <v>-</v>
      </c>
    </row>
    <row r="13239" spans="1:7" x14ac:dyDescent="0.25">
      <c r="A13239" s="219" t="s">
        <v>41</v>
      </c>
      <c r="B13239" s="219"/>
      <c r="C13239" s="219"/>
      <c r="D13239" s="219"/>
      <c r="E13239" s="219"/>
      <c r="F13239" s="219"/>
      <c r="G13239" s="52">
        <f>SUM(G13232:G13238)</f>
        <v>32045</v>
      </c>
    </row>
    <row r="13240" spans="1:7" x14ac:dyDescent="0.25">
      <c r="A13240" s="56"/>
      <c r="B13240" s="57"/>
      <c r="C13240" s="57"/>
      <c r="D13240" s="57"/>
      <c r="E13240" s="57"/>
      <c r="F13240" s="57"/>
      <c r="G13240" s="58"/>
    </row>
    <row r="13241" spans="1:7" x14ac:dyDescent="0.25">
      <c r="A13241" s="219" t="s">
        <v>42</v>
      </c>
      <c r="B13241" s="219"/>
      <c r="C13241" s="219"/>
      <c r="D13241" s="219"/>
      <c r="E13241" s="219"/>
      <c r="F13241" s="219"/>
      <c r="G13241" s="219"/>
    </row>
    <row r="13242" spans="1:7" x14ac:dyDescent="0.25">
      <c r="A13242" s="49" t="s">
        <v>35</v>
      </c>
      <c r="B13242" s="49" t="s">
        <v>36</v>
      </c>
      <c r="C13242" s="49" t="s">
        <v>38</v>
      </c>
      <c r="D13242" s="49" t="s">
        <v>43</v>
      </c>
      <c r="E13242" s="49" t="s">
        <v>44</v>
      </c>
      <c r="F13242" s="49" t="s">
        <v>45</v>
      </c>
      <c r="G13242" s="49" t="s">
        <v>40</v>
      </c>
    </row>
    <row r="13243" spans="1:7" x14ac:dyDescent="0.25">
      <c r="A13243" s="50" t="s">
        <v>319</v>
      </c>
      <c r="B13243" s="68" t="str">
        <f>VLOOKUP(A13243,'[1]Componentes APUs'!$H$1:$L$25,2,0)</f>
        <v>Ingeniero Residente de Obra</v>
      </c>
      <c r="C13243" s="93">
        <v>0.25</v>
      </c>
      <c r="D13243" s="50">
        <f>VLOOKUP(A13243,'[1]Componentes APUs'!$H$1:$L$25,3,0)</f>
        <v>4</v>
      </c>
      <c r="E13243" s="51">
        <f>VLOOKUP(A13243,'[1]Componentes APUs'!$H$1:$L$25,4,0)</f>
        <v>271142.85714285716</v>
      </c>
      <c r="F13243" s="51">
        <f>VLOOKUP(A13243,'[1]Componentes APUs'!$H$1:$L$25,5,0)</f>
        <v>162685.71428571429</v>
      </c>
      <c r="G13243" s="51">
        <f>ROUNDUP((E13243+F13243)*C13243/E13229,0)</f>
        <v>1356</v>
      </c>
    </row>
    <row r="13244" spans="1:7" x14ac:dyDescent="0.25">
      <c r="A13244" s="50" t="s">
        <v>320</v>
      </c>
      <c r="B13244" s="68" t="str">
        <f>VLOOKUP(A13244,'[1]Componentes APUs'!$H$1:$L$25,2,0)</f>
        <v>Tecnico Supervisor</v>
      </c>
      <c r="C13244" s="93">
        <v>0.25</v>
      </c>
      <c r="D13244" s="50">
        <f>VLOOKUP(A13244,'[1]Componentes APUs'!$H$1:$L$25,3,0)</f>
        <v>2.2999999999999998</v>
      </c>
      <c r="E13244" s="51">
        <f>VLOOKUP(A13244,'[1]Componentes APUs'!$H$1:$L$25,4,0)</f>
        <v>155907.14285714284</v>
      </c>
      <c r="F13244" s="51">
        <f>VLOOKUP(A13244,'[1]Componentes APUs'!$H$1:$L$25,5,0)</f>
        <v>93544.285714285696</v>
      </c>
      <c r="G13244" s="51">
        <f>ROUNDUP((E13244+F13244)*C13244/E13229,0)</f>
        <v>780</v>
      </c>
    </row>
    <row r="13245" spans="1:7" x14ac:dyDescent="0.25">
      <c r="A13245" s="50" t="s">
        <v>46</v>
      </c>
      <c r="B13245" s="68" t="str">
        <f>VLOOKUP(A13245,'[1]Componentes APUs'!$H$1:$L$25,2,0)</f>
        <v>Tecnico Liniero</v>
      </c>
      <c r="C13245" s="93">
        <v>1</v>
      </c>
      <c r="D13245" s="50">
        <f>VLOOKUP(A13245,'[1]Componentes APUs'!$H$1:$L$25,3,0)</f>
        <v>2</v>
      </c>
      <c r="E13245" s="51">
        <f>VLOOKUP(A13245,'[1]Componentes APUs'!$H$1:$L$25,4,0)</f>
        <v>154619.04761904763</v>
      </c>
      <c r="F13245" s="51">
        <f>VLOOKUP(A13245,'[1]Componentes APUs'!$H$1:$L$25,5,0)</f>
        <v>92771.42857142858</v>
      </c>
      <c r="G13245" s="51">
        <f>ROUNDUP((E13245+F13245)*C13245/E13229,0)</f>
        <v>3093</v>
      </c>
    </row>
    <row r="13246" spans="1:7" x14ac:dyDescent="0.25">
      <c r="A13246" s="50" t="s">
        <v>48</v>
      </c>
      <c r="B13246" s="68" t="str">
        <f>VLOOKUP(A13246,'[1]Componentes APUs'!$H$1:$L$25,2,0)</f>
        <v>Ayudante Calificado</v>
      </c>
      <c r="C13246" s="93">
        <v>1</v>
      </c>
      <c r="D13246" s="50">
        <f>VLOOKUP(A13246,'[1]Componentes APUs'!$H$1:$L$25,3,0)</f>
        <v>1.5</v>
      </c>
      <c r="E13246" s="51">
        <f>VLOOKUP(A13246,'[1]Componentes APUs'!$H$1:$L$25,4,0)</f>
        <v>115964.28571428571</v>
      </c>
      <c r="F13246" s="51">
        <f>VLOOKUP(A13246,'[1]Componentes APUs'!$H$1:$L$25,5,0)</f>
        <v>69578.57142857142</v>
      </c>
      <c r="G13246" s="51">
        <f>ROUNDUP((E13246+F13246)*C13246/E13229,0)</f>
        <v>2320</v>
      </c>
    </row>
    <row r="13247" spans="1:7" x14ac:dyDescent="0.25">
      <c r="A13247" s="50" t="s">
        <v>50</v>
      </c>
      <c r="B13247" s="68" t="str">
        <f>VLOOKUP(A13247,'[1]Componentes APUs'!$H$1:$L$25,2,0)</f>
        <v>Profesional en SST</v>
      </c>
      <c r="C13247" s="93">
        <v>0.25</v>
      </c>
      <c r="D13247" s="50">
        <f>VLOOKUP(A13247,'[1]Componentes APUs'!$H$1:$L$25,3,0)</f>
        <v>2.5</v>
      </c>
      <c r="E13247" s="51">
        <f>VLOOKUP(A13247,'[1]Componentes APUs'!$H$1:$L$25,4,0)</f>
        <v>169464.28571428571</v>
      </c>
      <c r="F13247" s="51">
        <f>VLOOKUP(A13247,'[1]Componentes APUs'!$H$1:$L$25,5,0)</f>
        <v>101678.57142857142</v>
      </c>
      <c r="G13247" s="51">
        <f>ROUNDUP((E13247+F13247)*C13247/E13229,0)</f>
        <v>848</v>
      </c>
    </row>
    <row r="13248" spans="1:7" x14ac:dyDescent="0.25">
      <c r="A13248" s="50" t="s">
        <v>52</v>
      </c>
      <c r="B13248" s="68" t="str">
        <f>VLOOKUP(A13248,'[1]Componentes APUs'!$H$1:$L$25,2,0)</f>
        <v>Ayudante No Calificado</v>
      </c>
      <c r="C13248" s="93">
        <v>0</v>
      </c>
      <c r="D13248" s="50">
        <f>VLOOKUP(A13248,'[1]Componentes APUs'!$H$1:$L$25,3,0)</f>
        <v>1</v>
      </c>
      <c r="E13248" s="51">
        <f>VLOOKUP(A13248,'[1]Componentes APUs'!$H$1:$L$25,4,0)</f>
        <v>77309.523809523816</v>
      </c>
      <c r="F13248" s="51">
        <f>VLOOKUP(A13248,'[1]Componentes APUs'!$H$1:$L$25,5,0)</f>
        <v>46385.71428571429</v>
      </c>
      <c r="G13248" s="51">
        <f>ROUNDUP((E13248+F13248)*C13248/E13229,0)</f>
        <v>0</v>
      </c>
    </row>
    <row r="13249" spans="1:7" x14ac:dyDescent="0.25">
      <c r="A13249" s="219" t="s">
        <v>56</v>
      </c>
      <c r="B13249" s="219"/>
      <c r="C13249" s="219"/>
      <c r="D13249" s="219"/>
      <c r="E13249" s="219"/>
      <c r="F13249" s="219"/>
      <c r="G13249" s="52">
        <f>SUM(G13243:G13248)</f>
        <v>8397</v>
      </c>
    </row>
    <row r="13250" spans="1:7" x14ac:dyDescent="0.25">
      <c r="A13250" s="56"/>
      <c r="B13250" s="57"/>
      <c r="C13250" s="57"/>
      <c r="D13250" s="57"/>
      <c r="E13250" s="57"/>
      <c r="F13250" s="57"/>
      <c r="G13250" s="58"/>
    </row>
    <row r="13251" spans="1:7" x14ac:dyDescent="0.25">
      <c r="A13251" s="219" t="s">
        <v>57</v>
      </c>
      <c r="B13251" s="219"/>
      <c r="C13251" s="219"/>
      <c r="D13251" s="219"/>
      <c r="E13251" s="219"/>
      <c r="F13251" s="219"/>
      <c r="G13251" s="219"/>
    </row>
    <row r="13252" spans="1:7" x14ac:dyDescent="0.25">
      <c r="A13252" s="49" t="s">
        <v>35</v>
      </c>
      <c r="B13252" s="219" t="s">
        <v>36</v>
      </c>
      <c r="C13252" s="219"/>
      <c r="D13252" s="49" t="s">
        <v>37</v>
      </c>
      <c r="E13252" s="49" t="s">
        <v>38</v>
      </c>
      <c r="F13252" s="49" t="s">
        <v>39</v>
      </c>
      <c r="G13252" s="49" t="s">
        <v>40</v>
      </c>
    </row>
    <row r="13253" spans="1:7" x14ac:dyDescent="0.25">
      <c r="A13253" s="50" t="s">
        <v>326</v>
      </c>
      <c r="B13253" s="220" t="str">
        <f>VLOOKUP(A13253,'[1]Componentes APUs'!$S$1:$V$10,2,0)</f>
        <v>Juego Llaves</v>
      </c>
      <c r="C13253" s="220"/>
      <c r="D13253" s="50" t="s">
        <v>18</v>
      </c>
      <c r="E13253" s="50">
        <v>2</v>
      </c>
      <c r="F13253" s="51">
        <f>VLOOKUP(A13253,'[1]Componentes APUs'!$S$1:$V$10,4,0)</f>
        <v>9167</v>
      </c>
      <c r="G13253" s="51">
        <f>ROUNDUP(F13253*((E13253/21)/E13229),0)</f>
        <v>11</v>
      </c>
    </row>
    <row r="13254" spans="1:7" x14ac:dyDescent="0.25">
      <c r="A13254" s="50" t="s">
        <v>58</v>
      </c>
      <c r="B13254" s="220" t="str">
        <f>VLOOKUP(A13254,'[1]Componentes APUs'!$S$1:$V$10,2,0)</f>
        <v>Manila de servicio</v>
      </c>
      <c r="C13254" s="220"/>
      <c r="D13254" s="50" t="s">
        <v>18</v>
      </c>
      <c r="E13254" s="50">
        <v>2</v>
      </c>
      <c r="F13254" s="51">
        <f>VLOOKUP(A13254,'[1]Componentes APUs'!$S$1:$V$10,4,0)</f>
        <v>2333</v>
      </c>
      <c r="G13254" s="51">
        <f>ROUNDUP(F13254*((E13254/21)/E13229),0)</f>
        <v>3</v>
      </c>
    </row>
    <row r="13255" spans="1:7" x14ac:dyDescent="0.25">
      <c r="A13255" s="50" t="s">
        <v>327</v>
      </c>
      <c r="B13255" s="220" t="str">
        <f>VLOOKUP(A13255,'[1]Componentes APUs'!$S$1:$V$10,2,0)</f>
        <v>Tula portaherramientas</v>
      </c>
      <c r="C13255" s="220"/>
      <c r="D13255" s="50" t="s">
        <v>18</v>
      </c>
      <c r="E13255" s="50">
        <v>2</v>
      </c>
      <c r="F13255" s="51">
        <f>VLOOKUP(A13255,'[1]Componentes APUs'!$S$1:$V$10,4,0)</f>
        <v>1250</v>
      </c>
      <c r="G13255" s="51">
        <f>ROUNDUP(F13255*((E13255/21)/E13229),0)</f>
        <v>2</v>
      </c>
    </row>
    <row r="13256" spans="1:7" x14ac:dyDescent="0.25">
      <c r="A13256" s="50" t="s">
        <v>60</v>
      </c>
      <c r="B13256" s="220" t="str">
        <f>VLOOKUP(A13256,'[1]Componentes APUs'!$S$1:$V$10,2,0)</f>
        <v>Agarradoras</v>
      </c>
      <c r="C13256" s="220"/>
      <c r="D13256" s="50" t="s">
        <v>18</v>
      </c>
      <c r="E13256" s="50">
        <v>2</v>
      </c>
      <c r="F13256" s="51">
        <f>VLOOKUP(A13256,'[1]Componentes APUs'!$S$1:$V$10,4,0)</f>
        <v>125000</v>
      </c>
      <c r="G13256" s="51">
        <f>ROUNDUP(F13256*((E13256/21)/E13229),0)</f>
        <v>149</v>
      </c>
    </row>
    <row r="13257" spans="1:7" x14ac:dyDescent="0.25">
      <c r="A13257" s="50" t="s">
        <v>62</v>
      </c>
      <c r="B13257" s="220" t="str">
        <f>VLOOKUP(A13257,'[1]Componentes APUs'!$S$1:$V$10,2,0)</f>
        <v>Templadoras</v>
      </c>
      <c r="C13257" s="220"/>
      <c r="D13257" s="50" t="s">
        <v>18</v>
      </c>
      <c r="E13257" s="50">
        <v>1</v>
      </c>
      <c r="F13257" s="51">
        <f>VLOOKUP(A13257,'[1]Componentes APUs'!$S$1:$V$10,4,0)</f>
        <v>250000</v>
      </c>
      <c r="G13257" s="51">
        <f>ROUNDUP(F13257*((E13257/21)/E13229),0)</f>
        <v>149</v>
      </c>
    </row>
    <row r="13258" spans="1:7" x14ac:dyDescent="0.25">
      <c r="A13258" s="50" t="s">
        <v>328</v>
      </c>
      <c r="B13258" s="220" t="str">
        <f>VLOOKUP(A13258,'[1]Componentes APUs'!$S$1:$V$10,2,0)</f>
        <v>Herramienta Menor</v>
      </c>
      <c r="C13258" s="220"/>
      <c r="D13258" s="50" t="s">
        <v>18</v>
      </c>
      <c r="E13258" s="50">
        <v>2</v>
      </c>
      <c r="F13258" s="51">
        <f>VLOOKUP(A13258,'[1]Componentes APUs'!$S$1:$V$10,4,0)</f>
        <v>75758</v>
      </c>
      <c r="G13258" s="51">
        <f>ROUNDUP(F13258*((E13258/21)/E13229),0)</f>
        <v>91</v>
      </c>
    </row>
    <row r="13259" spans="1:7" x14ac:dyDescent="0.25">
      <c r="A13259" s="219" t="s">
        <v>69</v>
      </c>
      <c r="B13259" s="219"/>
      <c r="C13259" s="219"/>
      <c r="D13259" s="219"/>
      <c r="E13259" s="219"/>
      <c r="F13259" s="219"/>
      <c r="G13259" s="52">
        <f>SUM(G13253:G13258)</f>
        <v>405</v>
      </c>
    </row>
    <row r="13260" spans="1:7" x14ac:dyDescent="0.25">
      <c r="A13260" s="56"/>
      <c r="B13260" s="57"/>
      <c r="C13260" s="57"/>
      <c r="D13260" s="57"/>
      <c r="E13260" s="57"/>
      <c r="F13260" s="57"/>
      <c r="G13260" s="58"/>
    </row>
    <row r="13261" spans="1:7" x14ac:dyDescent="0.25">
      <c r="A13261" s="219" t="s">
        <v>70</v>
      </c>
      <c r="B13261" s="219"/>
      <c r="C13261" s="219"/>
      <c r="D13261" s="219"/>
      <c r="E13261" s="219"/>
      <c r="F13261" s="219"/>
      <c r="G13261" s="219"/>
    </row>
    <row r="13262" spans="1:7" x14ac:dyDescent="0.25">
      <c r="A13262" s="49" t="s">
        <v>35</v>
      </c>
      <c r="B13262" s="219" t="s">
        <v>36</v>
      </c>
      <c r="C13262" s="219"/>
      <c r="D13262" s="49" t="s">
        <v>37</v>
      </c>
      <c r="E13262" s="49" t="s">
        <v>38</v>
      </c>
      <c r="F13262" s="49" t="s">
        <v>39</v>
      </c>
      <c r="G13262" s="49" t="s">
        <v>40</v>
      </c>
    </row>
    <row r="13263" spans="1:7" x14ac:dyDescent="0.25">
      <c r="A13263" s="50" t="s">
        <v>71</v>
      </c>
      <c r="B13263" s="71" t="str">
        <f>VLOOKUP(A13263,'[1]Componentes APUs'!$A$1:$D$14,2,0)</f>
        <v>Camisa indigo sin partes metalicas</v>
      </c>
      <c r="C13263" s="71"/>
      <c r="D13263" s="50" t="str">
        <f>VLOOKUP(A13263,'[1]Componentes APUs'!$A$1:$D$14,3,0)</f>
        <v>U</v>
      </c>
      <c r="E13263" s="50">
        <f>SUM(C13243:C13248)</f>
        <v>2.75</v>
      </c>
      <c r="F13263" s="51">
        <f>VLOOKUP(A13263,'[1]Componentes APUs'!$A$1:$D$14,4,0)</f>
        <v>8585.8585858585866</v>
      </c>
      <c r="G13263" s="51">
        <f>ROUNDUP(F13263*(E13263/21)/E13229,0)</f>
        <v>15</v>
      </c>
    </row>
    <row r="13264" spans="1:7" x14ac:dyDescent="0.25">
      <c r="A13264" s="69" t="s">
        <v>73</v>
      </c>
      <c r="B13264" s="72" t="str">
        <f>VLOOKUP(A13264,'[1]Componentes APUs'!$A$1:$D$14,2,0)</f>
        <v>Bota de seguridad dielectrica</v>
      </c>
      <c r="C13264" s="73"/>
      <c r="D13264" s="70" t="str">
        <f>VLOOKUP(A13264,'[1]Componentes APUs'!$A$1:$D$14,3,0)</f>
        <v>Par</v>
      </c>
      <c r="E13264" s="50">
        <f>SUM(C13243:C13248)</f>
        <v>2.75</v>
      </c>
      <c r="F13264" s="51">
        <f>VLOOKUP(A13264,'[1]Componentes APUs'!$A$1:$D$14,4,0)</f>
        <v>7500</v>
      </c>
      <c r="G13264" s="51">
        <f>ROUNDUP(F13264*(E13264/21)/E13229,0)</f>
        <v>13</v>
      </c>
    </row>
    <row r="13265" spans="1:7" x14ac:dyDescent="0.25">
      <c r="A13265" s="50" t="s">
        <v>76</v>
      </c>
      <c r="B13265" s="72" t="str">
        <f>VLOOKUP(A13265,'[1]Componentes APUs'!$A$1:$D$14,2,0)</f>
        <v>Casco dielectrico Tipo 1 Clase E con barbuquejo</v>
      </c>
      <c r="C13265" s="73"/>
      <c r="D13265" s="50" t="str">
        <f>VLOOKUP(A13265,'[1]Componentes APUs'!$A$1:$D$14,3,0)</f>
        <v>U</v>
      </c>
      <c r="E13265" s="50">
        <f>C13243+C13246+C13247+C13244+C13248+IF(A13245&lt;&gt;"MO-3",C13245,0)</f>
        <v>1.75</v>
      </c>
      <c r="F13265" s="51">
        <f>VLOOKUP(A13265,'[1]Componentes APUs'!$A$1:$D$14,4,0)</f>
        <v>10101.010101010101</v>
      </c>
      <c r="G13265" s="51">
        <f>ROUNDUP(F13265*(E13265/21)/E13229,0)</f>
        <v>11</v>
      </c>
    </row>
    <row r="13266" spans="1:7" x14ac:dyDescent="0.25">
      <c r="A13266" s="69" t="s">
        <v>77</v>
      </c>
      <c r="B13266" s="72" t="str">
        <f>VLOOKUP(A13266,'[1]Componentes APUs'!$A$1:$D$14,2,0)</f>
        <v>Correa plastica y antiflama</v>
      </c>
      <c r="C13266" s="73"/>
      <c r="D13266" s="50" t="str">
        <f>VLOOKUP(A13266,'[1]Componentes APUs'!$A$1:$D$14,3,0)</f>
        <v>U</v>
      </c>
      <c r="E13266" s="50">
        <f>SUM(C13243:C13248)</f>
        <v>2.75</v>
      </c>
      <c r="F13266" s="51">
        <f>VLOOKUP(A13266,'[1]Componentes APUs'!$A$1:$D$14,4,0)</f>
        <v>3787.878787878788</v>
      </c>
      <c r="G13266" s="51">
        <f>ROUNDUP(F13266*(E13266/21)/E13229,0)</f>
        <v>7</v>
      </c>
    </row>
    <row r="13267" spans="1:7" x14ac:dyDescent="0.25">
      <c r="A13267" s="50" t="s">
        <v>79</v>
      </c>
      <c r="B13267" s="72" t="str">
        <f>VLOOKUP(A13267,'[1]Componentes APUs'!$A$1:$D$14,2,0)</f>
        <v>Gafas protectoras filtro UV</v>
      </c>
      <c r="C13267" s="73"/>
      <c r="D13267" s="50" t="str">
        <f>VLOOKUP(A13267,'[1]Componentes APUs'!$A$1:$D$14,3,0)</f>
        <v>U</v>
      </c>
      <c r="E13267" s="50">
        <f>SUM(C13243:C13248)</f>
        <v>2.75</v>
      </c>
      <c r="F13267" s="51">
        <f>VLOOKUP(A13267,'[1]Componentes APUs'!$A$1:$D$14,4,0)</f>
        <v>2777.7777777777778</v>
      </c>
      <c r="G13267" s="51">
        <f>ROUNDUP(F13267*(E13267/21)/E13229,0)</f>
        <v>5</v>
      </c>
    </row>
    <row r="13268" spans="1:7" x14ac:dyDescent="0.25">
      <c r="A13268" s="69" t="s">
        <v>402</v>
      </c>
      <c r="B13268" s="72" t="str">
        <f>VLOOKUP(A13268,'[1]Componentes APUs'!$A$1:$D$14,2,0)</f>
        <v>Bota de seguridad PVC dielectrica</v>
      </c>
      <c r="C13268" s="73"/>
      <c r="D13268" s="50" t="str">
        <f>VLOOKUP(A13268,'[1]Componentes APUs'!$A$1:$D$14,3,0)</f>
        <v>Par</v>
      </c>
      <c r="E13268" s="50">
        <f>SUM(C13243:C13248)</f>
        <v>2.75</v>
      </c>
      <c r="F13268" s="51">
        <f>VLOOKUP(A13268,'[1]Componentes APUs'!$A$1:$D$14,4,0)</f>
        <v>2916.6666666666665</v>
      </c>
      <c r="G13268" s="51">
        <f>ROUNDUP(F13268*(E13268/21)/E13229,0)</f>
        <v>5</v>
      </c>
    </row>
    <row r="13269" spans="1:7" x14ac:dyDescent="0.25">
      <c r="A13269" s="50" t="s">
        <v>403</v>
      </c>
      <c r="B13269" s="72" t="str">
        <f>VLOOKUP(A13269,'[1]Componentes APUs'!$A$1:$D$14,2,0)</f>
        <v>Capuchon</v>
      </c>
      <c r="C13269" s="73"/>
      <c r="D13269" s="50" t="str">
        <f>VLOOKUP(A13269,'[1]Componentes APUs'!$A$1:$D$14,3,0)</f>
        <v>U</v>
      </c>
      <c r="E13269" s="50">
        <f>SUM(C13243:C13248)</f>
        <v>2.75</v>
      </c>
      <c r="F13269" s="51">
        <f>VLOOKUP(A13269,'[1]Componentes APUs'!$A$1:$D$14,4,0)</f>
        <v>2525.2525252525252</v>
      </c>
      <c r="G13269" s="51">
        <f>ROUNDUP(F13269*(E13269/21)/E13229,0)</f>
        <v>5</v>
      </c>
    </row>
    <row r="13270" spans="1:7" x14ac:dyDescent="0.25">
      <c r="A13270" s="69" t="s">
        <v>81</v>
      </c>
      <c r="B13270" s="72" t="str">
        <f>VLOOKUP(A13270,'[1]Componentes APUs'!$A$1:$D$14,2,0)</f>
        <v>Guantes Protectores  - ingeniero reforzados</v>
      </c>
      <c r="C13270" s="73"/>
      <c r="D13270" s="50" t="str">
        <f>VLOOKUP(A13270,'[1]Componentes APUs'!$A$1:$D$14,3,0)</f>
        <v>Par</v>
      </c>
      <c r="E13270" s="50">
        <f>C13245+C13246+C13248</f>
        <v>2</v>
      </c>
      <c r="F13270" s="51">
        <f>VLOOKUP(A13270,'[1]Componentes APUs'!$A$1:$D$14,4,0)</f>
        <v>2525.2525252525252</v>
      </c>
      <c r="G13270" s="51">
        <f>ROUNDUP(F13270*(E13270/21)/E13229,0)</f>
        <v>4</v>
      </c>
    </row>
    <row r="13271" spans="1:7" x14ac:dyDescent="0.25">
      <c r="A13271" s="50" t="s">
        <v>83</v>
      </c>
      <c r="B13271" s="72" t="str">
        <f>VLOOKUP(A13271,'[1]Componentes APUs'!$A$1:$D$14,2,0)</f>
        <v>Impermeable (pantalon camisa)</v>
      </c>
      <c r="C13271" s="73"/>
      <c r="D13271" s="50" t="str">
        <f>VLOOKUP(A13271,'[1]Componentes APUs'!$A$1:$D$14,3,0)</f>
        <v>U</v>
      </c>
      <c r="E13271" s="50">
        <f>SUM(C13243:C13248)</f>
        <v>2.75</v>
      </c>
      <c r="F13271" s="51">
        <f>VLOOKUP(A13271,'[1]Componentes APUs'!$A$1:$D$14,4,0)</f>
        <v>3750</v>
      </c>
      <c r="G13271" s="51">
        <f>ROUNDUP(F13271*(E13271/21)/E13229,0)</f>
        <v>7</v>
      </c>
    </row>
    <row r="13272" spans="1:7" x14ac:dyDescent="0.25">
      <c r="A13272" s="69" t="s">
        <v>85</v>
      </c>
      <c r="B13272" s="72" t="str">
        <f>VLOOKUP(A13272,'[1]Componentes APUs'!$A$1:$D$14,2,0)</f>
        <v>Jean Dielectrico</v>
      </c>
      <c r="C13272" s="73"/>
      <c r="D13272" s="50" t="str">
        <f>VLOOKUP(A13272,'[1]Componentes APUs'!$A$1:$D$14,3,0)</f>
        <v>U</v>
      </c>
      <c r="E13272" s="50">
        <f>SUM(C13243:C13248)</f>
        <v>2.75</v>
      </c>
      <c r="F13272" s="51">
        <f>VLOOKUP(A13272,'[1]Componentes APUs'!$A$1:$D$14,4,0)</f>
        <v>7575.757575757576</v>
      </c>
      <c r="G13272" s="51">
        <f>ROUNDUP(F13272*(E13272/21)/E13229,0)</f>
        <v>13</v>
      </c>
    </row>
    <row r="13273" spans="1:7" x14ac:dyDescent="0.25">
      <c r="A13273" s="50" t="s">
        <v>87</v>
      </c>
      <c r="B13273" s="72" t="str">
        <f>VLOOKUP(A13273,'[1]Componentes APUs'!$A$1:$D$14,2,0)</f>
        <v>Casco dielectrico Tipo 2 Clase E con barboquejo</v>
      </c>
      <c r="C13273" s="73"/>
      <c r="D13273" s="50" t="str">
        <f>VLOOKUP(A13273,'[1]Componentes APUs'!$A$1:$D$14,3,0)</f>
        <v>U</v>
      </c>
      <c r="E13273" s="53">
        <f>IF(A13245="MO-3",C13245,0)</f>
        <v>1</v>
      </c>
      <c r="F13273" s="51">
        <f>VLOOKUP(A13273,'[1]Componentes APUs'!$A$1:$D$14,4,0)</f>
        <v>7500</v>
      </c>
      <c r="G13273" s="51">
        <f>ROUNDUP(F13273*(E13273/21)/E13229,0)</f>
        <v>5</v>
      </c>
    </row>
    <row r="13274" spans="1:7" x14ac:dyDescent="0.25">
      <c r="A13274" s="69" t="s">
        <v>89</v>
      </c>
      <c r="B13274" s="72" t="str">
        <f>VLOOKUP(A13274,'[1]Componentes APUs'!$A$1:$D$14,2,0)</f>
        <v>Kit de rescate para trabajo en alturas</v>
      </c>
      <c r="C13274" s="73"/>
      <c r="D13274" s="50" t="str">
        <f>VLOOKUP(A13274,'[1]Componentes APUs'!$A$1:$D$14,3,0)</f>
        <v>U</v>
      </c>
      <c r="E13274" s="50">
        <f>IF(AND(A13245="MO-3",C13245=2),1,0)</f>
        <v>0</v>
      </c>
      <c r="F13274" s="51">
        <f>VLOOKUP(A13274,'[1]Componentes APUs'!$A$1:$D$14,4,0)</f>
        <v>37500</v>
      </c>
      <c r="G13274" s="51">
        <f>ROUNDUP(F13274*(E13274/21)/E13229,0)</f>
        <v>0</v>
      </c>
    </row>
    <row r="13275" spans="1:7" x14ac:dyDescent="0.25">
      <c r="A13275" s="50" t="s">
        <v>91</v>
      </c>
      <c r="B13275" s="72" t="str">
        <f>VLOOKUP(A13275,'[1]Componentes APUs'!$A$1:$D$14,2,0)</f>
        <v>Equipo completo para trabajo en alturas con pretales (Arnes dielectrico, 1 mosqueton de seguridad, tie off dielectrico, eslinga de posicionamiento, juego de pretales)</v>
      </c>
      <c r="C13275" s="73"/>
      <c r="D13275" s="50" t="str">
        <f>VLOOKUP(A13275,'[1]Componentes APUs'!$A$1:$D$14,3,0)</f>
        <v>U</v>
      </c>
      <c r="E13275" s="50">
        <f>IF(A13245="MO-3",C13245,0)</f>
        <v>1</v>
      </c>
      <c r="F13275" s="51">
        <f>VLOOKUP(A13275,'[1]Componentes APUs'!$A$1:$D$14,4,0)</f>
        <v>26041.666666666668</v>
      </c>
      <c r="G13275" s="51">
        <f>ROUNDUP(F13275*(E13275/21)/E13229,0)</f>
        <v>16</v>
      </c>
    </row>
    <row r="13276" spans="1:7" x14ac:dyDescent="0.25">
      <c r="A13276" s="219" t="s">
        <v>95</v>
      </c>
      <c r="B13276" s="219"/>
      <c r="C13276" s="219"/>
      <c r="D13276" s="219"/>
      <c r="E13276" s="219"/>
      <c r="F13276" s="219"/>
      <c r="G13276" s="52">
        <f>SUM(G13263:G13275)</f>
        <v>106</v>
      </c>
    </row>
    <row r="13277" spans="1:7" x14ac:dyDescent="0.25">
      <c r="A13277" s="56"/>
      <c r="B13277" s="57"/>
      <c r="C13277" s="57"/>
      <c r="D13277" s="57"/>
      <c r="E13277" s="57"/>
      <c r="F13277" s="57"/>
      <c r="G13277" s="58"/>
    </row>
    <row r="13278" spans="1:7" x14ac:dyDescent="0.25">
      <c r="A13278" s="219" t="s">
        <v>96</v>
      </c>
      <c r="B13278" s="219"/>
      <c r="C13278" s="219"/>
      <c r="D13278" s="219"/>
      <c r="E13278" s="219"/>
      <c r="F13278" s="219"/>
      <c r="G13278" s="219"/>
    </row>
    <row r="13279" spans="1:7" x14ac:dyDescent="0.25">
      <c r="A13279" s="49" t="s">
        <v>35</v>
      </c>
      <c r="B13279" s="225" t="s">
        <v>36</v>
      </c>
      <c r="C13279" s="225"/>
      <c r="D13279" s="49" t="s">
        <v>37</v>
      </c>
      <c r="E13279" s="49" t="s">
        <v>38</v>
      </c>
      <c r="F13279" s="49" t="s">
        <v>39</v>
      </c>
      <c r="G13279" s="49" t="s">
        <v>40</v>
      </c>
    </row>
    <row r="13280" spans="1:7" x14ac:dyDescent="0.25">
      <c r="A13280" s="69" t="s">
        <v>97</v>
      </c>
      <c r="B13280" s="72" t="str">
        <f>VLOOKUP(A13280,'[1]Componentes APUs'!$N$1:$Q$30,2,0)</f>
        <v>Camioneta</v>
      </c>
      <c r="C13280" s="73"/>
      <c r="D13280" s="70" t="str">
        <f>VLOOKUP(A13280,'[1]Componentes APUs'!$N$1:$Q$30,3,0)</f>
        <v>U</v>
      </c>
      <c r="E13280" s="50">
        <v>1</v>
      </c>
      <c r="F13280" s="51">
        <f>VLOOKUP(A13280,'[1]Componentes APUs'!$N$1:$Q$30,4,0)</f>
        <v>5500000</v>
      </c>
      <c r="G13280" s="51">
        <f>IFERROR(ROUNDUP(F13280*(E13280/21)/E13229,0),"-")</f>
        <v>3274</v>
      </c>
    </row>
    <row r="13281" spans="1:7" x14ac:dyDescent="0.25">
      <c r="A13281" s="50" t="s">
        <v>321</v>
      </c>
      <c r="B13281" s="72" t="str">
        <f>VLOOKUP(A13281,'[1]Componentes APUs'!$N$1:$Q$30,2,0)</f>
        <v>Grúa Hidráulica</v>
      </c>
      <c r="C13281" s="73"/>
      <c r="D13281" s="70" t="str">
        <f>VLOOKUP(A13281,'[1]Componentes APUs'!$N$1:$Q$30,3,0)</f>
        <v>U</v>
      </c>
      <c r="E13281" s="50">
        <v>0</v>
      </c>
      <c r="F13281" s="51">
        <f>VLOOKUP(A13281,'[1]Componentes APUs'!$N$1:$Q$30,4,0)</f>
        <v>21000000</v>
      </c>
      <c r="G13281" s="51">
        <f>IFERROR(ROUNDUP(F13281*(E13281/21)/E13229,0),"-")</f>
        <v>0</v>
      </c>
    </row>
    <row r="13282" spans="1:7" x14ac:dyDescent="0.25">
      <c r="A13282" s="69" t="s">
        <v>322</v>
      </c>
      <c r="B13282" s="72" t="str">
        <f>VLOOKUP(A13282,'[1]Componentes APUs'!$N$1:$Q$30,2,0)</f>
        <v>Camabaja</v>
      </c>
      <c r="C13282" s="73"/>
      <c r="D13282" s="70" t="str">
        <f>VLOOKUP(A13282,'[1]Componentes APUs'!$N$1:$Q$30,3,0)</f>
        <v>TON/KM</v>
      </c>
      <c r="E13282" s="50">
        <v>0</v>
      </c>
      <c r="F13282" s="51">
        <f>VLOOKUP(A13282,'[1]Componentes APUs'!$N$1:$Q$30,4,0)</f>
        <v>611</v>
      </c>
      <c r="G13282" s="51">
        <f>IFERROR(ROUNDUP(F13282*(E13282/21)/E13229,0),"-")</f>
        <v>0</v>
      </c>
    </row>
    <row r="13283" spans="1:7" x14ac:dyDescent="0.25">
      <c r="A13283" s="50" t="s">
        <v>323</v>
      </c>
      <c r="B13283" s="72" t="str">
        <f>VLOOKUP(A13283,'[1]Componentes APUs'!$N$1:$Q$30,2,0)</f>
        <v>Volqueta</v>
      </c>
      <c r="C13283" s="73"/>
      <c r="D13283" s="70" t="str">
        <f>VLOOKUP(A13283,'[1]Componentes APUs'!$N$1:$Q$30,3,0)</f>
        <v>U</v>
      </c>
      <c r="E13283" s="50">
        <v>0</v>
      </c>
      <c r="F13283" s="51">
        <f>VLOOKUP(A13283,'[1]Componentes APUs'!$N$1:$Q$30,4,0)</f>
        <v>18900000</v>
      </c>
      <c r="G13283" s="51">
        <f>IFERROR(ROUNDUP(F13283*(E13283/21)/E13229,0),"-")</f>
        <v>0</v>
      </c>
    </row>
    <row r="13284" spans="1:7" x14ac:dyDescent="0.25">
      <c r="A13284" s="69" t="s">
        <v>324</v>
      </c>
      <c r="B13284" s="72" t="str">
        <f>VLOOKUP(A13284,'[1]Componentes APUs'!$N$1:$Q$30,2,0)</f>
        <v>Retroexcavadora</v>
      </c>
      <c r="C13284" s="73"/>
      <c r="D13284" s="70" t="str">
        <f>VLOOKUP(A13284,'[1]Componentes APUs'!$N$1:$Q$30,3,0)</f>
        <v>U</v>
      </c>
      <c r="E13284" s="50">
        <v>0</v>
      </c>
      <c r="F13284" s="51">
        <f>VLOOKUP(A13284,'[1]Componentes APUs'!$N$1:$Q$30,4,0)</f>
        <v>1494459.54</v>
      </c>
      <c r="G13284" s="51">
        <f>IFERROR(ROUNDUP(F13284*(E13284/21)/E13229,0),"-")</f>
        <v>0</v>
      </c>
    </row>
    <row r="13285" spans="1:7" x14ac:dyDescent="0.25">
      <c r="A13285" s="219" t="s">
        <v>99</v>
      </c>
      <c r="B13285" s="219"/>
      <c r="C13285" s="219"/>
      <c r="D13285" s="219"/>
      <c r="E13285" s="219"/>
      <c r="F13285" s="219"/>
      <c r="G13285" s="52">
        <f>SUM(G13280:G13284)</f>
        <v>3274</v>
      </c>
    </row>
    <row r="13286" spans="1:7" x14ac:dyDescent="0.25">
      <c r="A13286" s="56"/>
      <c r="B13286" s="57"/>
      <c r="C13286" s="57"/>
      <c r="D13286" s="57"/>
      <c r="E13286" s="57"/>
      <c r="F13286" s="57"/>
      <c r="G13286" s="58"/>
    </row>
    <row r="13287" spans="1:7" x14ac:dyDescent="0.25">
      <c r="A13287" s="219" t="s">
        <v>1516</v>
      </c>
      <c r="B13287" s="219"/>
      <c r="C13287" s="219"/>
      <c r="D13287" s="219"/>
      <c r="E13287" s="219"/>
      <c r="F13287" s="219"/>
      <c r="G13287" s="52">
        <f>G13285+G13276+G13259+G13249+G13239</f>
        <v>44227</v>
      </c>
    </row>
    <row r="13288" spans="1:7" x14ac:dyDescent="0.25">
      <c r="A13288" s="59"/>
      <c r="B13288" s="60"/>
      <c r="C13288" s="60"/>
      <c r="D13288" s="60"/>
      <c r="E13288" s="57"/>
      <c r="F13288" s="57"/>
      <c r="G13288" s="58"/>
    </row>
    <row r="13289" spans="1:7" x14ac:dyDescent="0.25">
      <c r="A13289" s="64"/>
      <c r="D13289" s="55"/>
      <c r="E13289" s="49" t="s">
        <v>25</v>
      </c>
      <c r="F13289" s="54">
        <v>0.15</v>
      </c>
      <c r="G13289" s="51">
        <f>G13287*F13289</f>
        <v>6634.05</v>
      </c>
    </row>
    <row r="13290" spans="1:7" x14ac:dyDescent="0.25">
      <c r="A13290" s="64"/>
      <c r="D13290" s="55"/>
      <c r="E13290" s="49" t="s">
        <v>26</v>
      </c>
      <c r="F13290" s="54">
        <v>0.05</v>
      </c>
      <c r="G13290" s="51">
        <f>G13287*F13290</f>
        <v>2211.35</v>
      </c>
    </row>
    <row r="13291" spans="1:7" x14ac:dyDescent="0.25">
      <c r="A13291" s="61"/>
      <c r="B13291" s="65"/>
      <c r="C13291" s="65"/>
      <c r="D13291" s="62"/>
      <c r="E13291" s="49" t="s">
        <v>27</v>
      </c>
      <c r="F13291" s="54">
        <v>0.05</v>
      </c>
      <c r="G13291" s="51">
        <f>G13287*F13291</f>
        <v>2211.35</v>
      </c>
    </row>
    <row r="13292" spans="1:7" x14ac:dyDescent="0.25">
      <c r="A13292" s="61"/>
      <c r="B13292" s="62"/>
      <c r="C13292" s="62"/>
      <c r="D13292" s="62"/>
      <c r="E13292" s="62"/>
      <c r="F13292" s="62"/>
      <c r="G13292" s="63"/>
    </row>
    <row r="13293" spans="1:7" x14ac:dyDescent="0.25">
      <c r="A13293" s="219" t="s">
        <v>1517</v>
      </c>
      <c r="B13293" s="219"/>
      <c r="C13293" s="219"/>
      <c r="D13293" s="219"/>
      <c r="E13293" s="219"/>
      <c r="F13293" s="219"/>
      <c r="G13293" s="52">
        <f>G13287+G13289+G13290+G13291</f>
        <v>55283.75</v>
      </c>
    </row>
    <row r="13294" spans="1:7" x14ac:dyDescent="0.25">
      <c r="A13294" s="59"/>
      <c r="B13294" s="60"/>
      <c r="C13294" s="60"/>
      <c r="D13294" s="60"/>
      <c r="E13294" s="57"/>
      <c r="F13294" s="57"/>
      <c r="G13294" s="58"/>
    </row>
    <row r="13295" spans="1:7" x14ac:dyDescent="0.25">
      <c r="A13295" s="64"/>
      <c r="D13295" s="55"/>
      <c r="E13295" s="49" t="s">
        <v>102</v>
      </c>
      <c r="F13295" s="49" t="s">
        <v>103</v>
      </c>
      <c r="G13295" s="51">
        <f>G13291*19%</f>
        <v>420.15649999999999</v>
      </c>
    </row>
    <row r="13296" spans="1:7" x14ac:dyDescent="0.25">
      <c r="A13296" s="61"/>
      <c r="B13296" s="62"/>
      <c r="C13296" s="62"/>
      <c r="D13296" s="62"/>
      <c r="E13296" s="57"/>
      <c r="F13296" s="57"/>
      <c r="G13296" s="58"/>
    </row>
    <row r="13297" spans="1:7" x14ac:dyDescent="0.25">
      <c r="A13297" s="219" t="s">
        <v>104</v>
      </c>
      <c r="B13297" s="219"/>
      <c r="C13297" s="219"/>
      <c r="D13297" s="219"/>
      <c r="E13297" s="219"/>
      <c r="F13297" s="219"/>
      <c r="G13297" s="52">
        <f>G13295+G13293</f>
        <v>55703.906499999997</v>
      </c>
    </row>
    <row r="13299" spans="1:7" x14ac:dyDescent="0.25">
      <c r="A13299" s="74" t="s">
        <v>29</v>
      </c>
      <c r="B13299" s="226" t="s">
        <v>30</v>
      </c>
      <c r="C13299" s="226"/>
      <c r="D13299" s="74" t="s">
        <v>31</v>
      </c>
      <c r="E13299" s="74" t="s">
        <v>32</v>
      </c>
      <c r="F13299" s="74" t="s">
        <v>189</v>
      </c>
      <c r="G13299" s="74" t="s">
        <v>33</v>
      </c>
    </row>
    <row r="13300" spans="1:7" ht="31.5" customHeight="1" x14ac:dyDescent="0.25">
      <c r="A13300" s="50" t="str">
        <f>Presupuesto!B241</f>
        <v>048_N3</v>
      </c>
      <c r="B13300" s="220" t="str">
        <f>Presupuesto!C241</f>
        <v>SUMINISTRO E INSTALACIÓN DE CONTROL APANTALLADO 19x14 Cu- TC-THHN/THWN- ER-600 V</v>
      </c>
      <c r="C13300" s="220"/>
      <c r="D13300" s="50" t="s">
        <v>108</v>
      </c>
      <c r="E13300" s="50">
        <v>40</v>
      </c>
      <c r="F13300" s="50"/>
      <c r="G13300" s="51">
        <f>G13368</f>
        <v>276118.92550000001</v>
      </c>
    </row>
    <row r="13301" spans="1:7" x14ac:dyDescent="0.25">
      <c r="A13301" s="219" t="s">
        <v>34</v>
      </c>
      <c r="B13301" s="219"/>
      <c r="C13301" s="219"/>
      <c r="D13301" s="219"/>
      <c r="E13301" s="219"/>
      <c r="F13301" s="219"/>
      <c r="G13301" s="219"/>
    </row>
    <row r="13302" spans="1:7" x14ac:dyDescent="0.25">
      <c r="A13302" s="49" t="s">
        <v>35</v>
      </c>
      <c r="B13302" s="219" t="s">
        <v>36</v>
      </c>
      <c r="C13302" s="219"/>
      <c r="D13302" s="49" t="s">
        <v>37</v>
      </c>
      <c r="E13302" s="49" t="s">
        <v>38</v>
      </c>
      <c r="F13302" s="49" t="s">
        <v>39</v>
      </c>
      <c r="G13302" s="49" t="s">
        <v>40</v>
      </c>
    </row>
    <row r="13303" spans="1:7" x14ac:dyDescent="0.25">
      <c r="A13303" s="17" t="str">
        <f>Material!A45</f>
        <v>MA-44</v>
      </c>
      <c r="B13303" s="232" t="str">
        <f>IFERROR(VLOOKUP(A13303,Material!$A:$J,2,0),"-")</f>
        <v>CABLE DE CONTROL APANTALLADO 19x14 Cu- TC-THHN/THWN- ER-600 V</v>
      </c>
      <c r="C13303" s="233"/>
      <c r="D13303" s="50" t="str">
        <f>IFERROR(VLOOKUP(A13303,Material!$A:$J,4,0),"-")</f>
        <v>ML</v>
      </c>
      <c r="E13303" s="50">
        <v>1</v>
      </c>
      <c r="F13303" s="51">
        <f>IFERROR(VLOOKUP(A13303,Material!$A:$J,3,0),"-")</f>
        <v>194877.74150000003</v>
      </c>
      <c r="G13303" s="51">
        <f t="shared" ref="G13303:G13309" si="190">IFERROR(ROUNDUP(F13303*E13303,0),"-")</f>
        <v>194878</v>
      </c>
    </row>
    <row r="13304" spans="1:7" x14ac:dyDescent="0.25">
      <c r="A13304" s="17"/>
      <c r="B13304" s="72" t="str">
        <f>IFERROR(VLOOKUP(A13304,Material!$A:$J,2,0),"-")</f>
        <v>-</v>
      </c>
      <c r="C13304" s="73"/>
      <c r="D13304" s="50" t="str">
        <f>IFERROR(VLOOKUP(A13304,Material!$A:$J,4,0),"-")</f>
        <v>-</v>
      </c>
      <c r="E13304" s="50"/>
      <c r="F13304" s="51" t="str">
        <f>IFERROR(VLOOKUP(A13304,Material!$A:$J,3,0),"-")</f>
        <v>-</v>
      </c>
      <c r="G13304" s="51" t="str">
        <f t="shared" si="190"/>
        <v>-</v>
      </c>
    </row>
    <row r="13305" spans="1:7" x14ac:dyDescent="0.25">
      <c r="A13305" s="17"/>
      <c r="B13305" s="72" t="str">
        <f>IFERROR(VLOOKUP(A13305,Material!$A:$J,2,0),"-")</f>
        <v>-</v>
      </c>
      <c r="C13305" s="73"/>
      <c r="D13305" s="50" t="str">
        <f>IFERROR(VLOOKUP(A13305,Material!$A:$J,4,0),"-")</f>
        <v>-</v>
      </c>
      <c r="E13305" s="50"/>
      <c r="F13305" s="51" t="str">
        <f>IFERROR(VLOOKUP(A13305,Material!$A:$J,3,0),"-")</f>
        <v>-</v>
      </c>
      <c r="G13305" s="51" t="str">
        <f t="shared" si="190"/>
        <v>-</v>
      </c>
    </row>
    <row r="13306" spans="1:7" x14ac:dyDescent="0.25">
      <c r="A13306" s="17"/>
      <c r="B13306" s="72" t="str">
        <f>IFERROR(VLOOKUP(A13306,Material!$A:$J,2,0),"-")</f>
        <v>-</v>
      </c>
      <c r="C13306" s="73"/>
      <c r="D13306" s="50" t="str">
        <f>IFERROR(VLOOKUP(A13306,Material!$A:$J,4,0),"-")</f>
        <v>-</v>
      </c>
      <c r="E13306" s="50"/>
      <c r="F13306" s="51" t="str">
        <f>IFERROR(VLOOKUP(A13306,Material!$A:$J,3,0),"-")</f>
        <v>-</v>
      </c>
      <c r="G13306" s="51" t="str">
        <f t="shared" si="190"/>
        <v>-</v>
      </c>
    </row>
    <row r="13307" spans="1:7" x14ac:dyDescent="0.25">
      <c r="A13307" s="17"/>
      <c r="B13307" s="72" t="str">
        <f>IFERROR(VLOOKUP(A13307,Material!$A:$J,2,0),"-")</f>
        <v>-</v>
      </c>
      <c r="C13307" s="73"/>
      <c r="D13307" s="50" t="str">
        <f>IFERROR(VLOOKUP(A13307,Material!$A:$J,4,0),"-")</f>
        <v>-</v>
      </c>
      <c r="E13307" s="50"/>
      <c r="F13307" s="51" t="str">
        <f>IFERROR(VLOOKUP(A13307,Material!$A:$J,3,0),"-")</f>
        <v>-</v>
      </c>
      <c r="G13307" s="51" t="str">
        <f t="shared" si="190"/>
        <v>-</v>
      </c>
    </row>
    <row r="13308" spans="1:7" x14ac:dyDescent="0.25">
      <c r="A13308" s="17"/>
      <c r="B13308" s="75" t="str">
        <f>IFERROR(VLOOKUP(A13308,Material!$A:$J,2,0),"-")</f>
        <v>-</v>
      </c>
      <c r="C13308" s="76"/>
      <c r="D13308" s="50" t="str">
        <f>IFERROR(VLOOKUP(A13308,Material!$A:$J,4,0),"-")</f>
        <v>-</v>
      </c>
      <c r="E13308" s="50"/>
      <c r="F13308" s="51" t="str">
        <f>IFERROR(VLOOKUP(A13308,Material!$A:$J,3,0),"-")</f>
        <v>-</v>
      </c>
      <c r="G13308" s="51" t="str">
        <f t="shared" si="190"/>
        <v>-</v>
      </c>
    </row>
    <row r="13309" spans="1:7" x14ac:dyDescent="0.25">
      <c r="A13309" s="17"/>
      <c r="B13309" s="72" t="str">
        <f>IFERROR(VLOOKUP(A13309,Material!$A:$J,2,0),"-")</f>
        <v>-</v>
      </c>
      <c r="C13309" s="76"/>
      <c r="D13309" s="50" t="str">
        <f>IFERROR(VLOOKUP(A13309,Material!$A:$J,4,0),"-")</f>
        <v>-</v>
      </c>
      <c r="E13309" s="50"/>
      <c r="F13309" s="51" t="str">
        <f>IFERROR(VLOOKUP(A13309,Material!$A:$J,3,0),"-")</f>
        <v>-</v>
      </c>
      <c r="G13309" s="51" t="str">
        <f t="shared" si="190"/>
        <v>-</v>
      </c>
    </row>
    <row r="13310" spans="1:7" x14ac:dyDescent="0.25">
      <c r="A13310" s="219" t="s">
        <v>41</v>
      </c>
      <c r="B13310" s="219"/>
      <c r="C13310" s="219"/>
      <c r="D13310" s="219"/>
      <c r="E13310" s="219"/>
      <c r="F13310" s="219"/>
      <c r="G13310" s="52">
        <f>SUM(G13303:G13309)</f>
        <v>194878</v>
      </c>
    </row>
    <row r="13311" spans="1:7" x14ac:dyDescent="0.25">
      <c r="A13311" s="56"/>
      <c r="B13311" s="57"/>
      <c r="C13311" s="57"/>
      <c r="D13311" s="57"/>
      <c r="E13311" s="57"/>
      <c r="F13311" s="57"/>
      <c r="G13311" s="58"/>
    </row>
    <row r="13312" spans="1:7" x14ac:dyDescent="0.25">
      <c r="A13312" s="219" t="s">
        <v>42</v>
      </c>
      <c r="B13312" s="219"/>
      <c r="C13312" s="219"/>
      <c r="D13312" s="219"/>
      <c r="E13312" s="219"/>
      <c r="F13312" s="219"/>
      <c r="G13312" s="219"/>
    </row>
    <row r="13313" spans="1:7" x14ac:dyDescent="0.25">
      <c r="A13313" s="49" t="s">
        <v>35</v>
      </c>
      <c r="B13313" s="49" t="s">
        <v>36</v>
      </c>
      <c r="C13313" s="49" t="s">
        <v>38</v>
      </c>
      <c r="D13313" s="49" t="s">
        <v>43</v>
      </c>
      <c r="E13313" s="49" t="s">
        <v>44</v>
      </c>
      <c r="F13313" s="49" t="s">
        <v>45</v>
      </c>
      <c r="G13313" s="49" t="s">
        <v>40</v>
      </c>
    </row>
    <row r="13314" spans="1:7" x14ac:dyDescent="0.25">
      <c r="A13314" s="50" t="s">
        <v>319</v>
      </c>
      <c r="B13314" s="68" t="str">
        <f>VLOOKUP(A13314,'[1]Componentes APUs'!$H$1:$L$25,2,0)</f>
        <v>Ingeniero Residente de Obra</v>
      </c>
      <c r="C13314" s="93">
        <v>0.25</v>
      </c>
      <c r="D13314" s="50">
        <f>VLOOKUP(A13314,'[1]Componentes APUs'!$H$1:$L$25,3,0)</f>
        <v>4</v>
      </c>
      <c r="E13314" s="51">
        <f>VLOOKUP(A13314,'[1]Componentes APUs'!$H$1:$L$25,4,0)</f>
        <v>271142.85714285716</v>
      </c>
      <c r="F13314" s="51">
        <f>VLOOKUP(A13314,'[1]Componentes APUs'!$H$1:$L$25,5,0)</f>
        <v>162685.71428571429</v>
      </c>
      <c r="G13314" s="51">
        <f>ROUNDUP((E13314+F13314)*C13314/E13300,0)</f>
        <v>2712</v>
      </c>
    </row>
    <row r="13315" spans="1:7" x14ac:dyDescent="0.25">
      <c r="A13315" s="50" t="s">
        <v>320</v>
      </c>
      <c r="B13315" s="68" t="str">
        <f>VLOOKUP(A13315,'[1]Componentes APUs'!$H$1:$L$25,2,0)</f>
        <v>Tecnico Supervisor</v>
      </c>
      <c r="C13315" s="93">
        <v>0.25</v>
      </c>
      <c r="D13315" s="50">
        <f>VLOOKUP(A13315,'[1]Componentes APUs'!$H$1:$L$25,3,0)</f>
        <v>2.2999999999999998</v>
      </c>
      <c r="E13315" s="51">
        <f>VLOOKUP(A13315,'[1]Componentes APUs'!$H$1:$L$25,4,0)</f>
        <v>155907.14285714284</v>
      </c>
      <c r="F13315" s="51">
        <f>VLOOKUP(A13315,'[1]Componentes APUs'!$H$1:$L$25,5,0)</f>
        <v>93544.285714285696</v>
      </c>
      <c r="G13315" s="51">
        <f>ROUNDUP((E13315+F13315)*C13315/E13300,0)</f>
        <v>1560</v>
      </c>
    </row>
    <row r="13316" spans="1:7" x14ac:dyDescent="0.25">
      <c r="A13316" s="50" t="s">
        <v>46</v>
      </c>
      <c r="B13316" s="68" t="str">
        <f>VLOOKUP(A13316,'[1]Componentes APUs'!$H$1:$L$25,2,0)</f>
        <v>Tecnico Liniero</v>
      </c>
      <c r="C13316" s="93">
        <v>1</v>
      </c>
      <c r="D13316" s="50">
        <f>VLOOKUP(A13316,'[1]Componentes APUs'!$H$1:$L$25,3,0)</f>
        <v>2</v>
      </c>
      <c r="E13316" s="51">
        <f>VLOOKUP(A13316,'[1]Componentes APUs'!$H$1:$L$25,4,0)</f>
        <v>154619.04761904763</v>
      </c>
      <c r="F13316" s="51">
        <f>VLOOKUP(A13316,'[1]Componentes APUs'!$H$1:$L$25,5,0)</f>
        <v>92771.42857142858</v>
      </c>
      <c r="G13316" s="51">
        <f>ROUNDUP((E13316+F13316)*C13316/E13300,0)</f>
        <v>6185</v>
      </c>
    </row>
    <row r="13317" spans="1:7" x14ac:dyDescent="0.25">
      <c r="A13317" s="50" t="s">
        <v>48</v>
      </c>
      <c r="B13317" s="68" t="str">
        <f>VLOOKUP(A13317,'[1]Componentes APUs'!$H$1:$L$25,2,0)</f>
        <v>Ayudante Calificado</v>
      </c>
      <c r="C13317" s="93">
        <v>1</v>
      </c>
      <c r="D13317" s="50">
        <f>VLOOKUP(A13317,'[1]Componentes APUs'!$H$1:$L$25,3,0)</f>
        <v>1.5</v>
      </c>
      <c r="E13317" s="51">
        <f>VLOOKUP(A13317,'[1]Componentes APUs'!$H$1:$L$25,4,0)</f>
        <v>115964.28571428571</v>
      </c>
      <c r="F13317" s="51">
        <f>VLOOKUP(A13317,'[1]Componentes APUs'!$H$1:$L$25,5,0)</f>
        <v>69578.57142857142</v>
      </c>
      <c r="G13317" s="51">
        <f>ROUNDUP((E13317+F13317)*C13317/E13300,0)</f>
        <v>4639</v>
      </c>
    </row>
    <row r="13318" spans="1:7" x14ac:dyDescent="0.25">
      <c r="A13318" s="50" t="s">
        <v>50</v>
      </c>
      <c r="B13318" s="68" t="str">
        <f>VLOOKUP(A13318,'[1]Componentes APUs'!$H$1:$L$25,2,0)</f>
        <v>Profesional en SST</v>
      </c>
      <c r="C13318" s="93">
        <v>0.25</v>
      </c>
      <c r="D13318" s="50">
        <f>VLOOKUP(A13318,'[1]Componentes APUs'!$H$1:$L$25,3,0)</f>
        <v>2.5</v>
      </c>
      <c r="E13318" s="51">
        <f>VLOOKUP(A13318,'[1]Componentes APUs'!$H$1:$L$25,4,0)</f>
        <v>169464.28571428571</v>
      </c>
      <c r="F13318" s="51">
        <f>VLOOKUP(A13318,'[1]Componentes APUs'!$H$1:$L$25,5,0)</f>
        <v>101678.57142857142</v>
      </c>
      <c r="G13318" s="51">
        <f>ROUNDUP((E13318+F13318)*C13318/E13300,0)</f>
        <v>1695</v>
      </c>
    </row>
    <row r="13319" spans="1:7" x14ac:dyDescent="0.25">
      <c r="A13319" s="50" t="s">
        <v>52</v>
      </c>
      <c r="B13319" s="68" t="str">
        <f>VLOOKUP(A13319,'[1]Componentes APUs'!$H$1:$L$25,2,0)</f>
        <v>Ayudante No Calificado</v>
      </c>
      <c r="C13319" s="93">
        <v>0</v>
      </c>
      <c r="D13319" s="50">
        <f>VLOOKUP(A13319,'[1]Componentes APUs'!$H$1:$L$25,3,0)</f>
        <v>1</v>
      </c>
      <c r="E13319" s="51">
        <f>VLOOKUP(A13319,'[1]Componentes APUs'!$H$1:$L$25,4,0)</f>
        <v>77309.523809523816</v>
      </c>
      <c r="F13319" s="51">
        <f>VLOOKUP(A13319,'[1]Componentes APUs'!$H$1:$L$25,5,0)</f>
        <v>46385.71428571429</v>
      </c>
      <c r="G13319" s="51">
        <f>ROUNDUP((E13319+F13319)*C13319/E13300,0)</f>
        <v>0</v>
      </c>
    </row>
    <row r="13320" spans="1:7" x14ac:dyDescent="0.25">
      <c r="A13320" s="219" t="s">
        <v>56</v>
      </c>
      <c r="B13320" s="219"/>
      <c r="C13320" s="219"/>
      <c r="D13320" s="219"/>
      <c r="E13320" s="219"/>
      <c r="F13320" s="219"/>
      <c r="G13320" s="52">
        <f>SUM(G13314:G13319)</f>
        <v>16791</v>
      </c>
    </row>
    <row r="13321" spans="1:7" x14ac:dyDescent="0.25">
      <c r="A13321" s="56"/>
      <c r="B13321" s="57"/>
      <c r="C13321" s="57"/>
      <c r="D13321" s="57"/>
      <c r="E13321" s="57"/>
      <c r="F13321" s="57"/>
      <c r="G13321" s="58"/>
    </row>
    <row r="13322" spans="1:7" x14ac:dyDescent="0.25">
      <c r="A13322" s="219" t="s">
        <v>57</v>
      </c>
      <c r="B13322" s="219"/>
      <c r="C13322" s="219"/>
      <c r="D13322" s="219"/>
      <c r="E13322" s="219"/>
      <c r="F13322" s="219"/>
      <c r="G13322" s="219"/>
    </row>
    <row r="13323" spans="1:7" x14ac:dyDescent="0.25">
      <c r="A13323" s="49" t="s">
        <v>35</v>
      </c>
      <c r="B13323" s="219" t="s">
        <v>36</v>
      </c>
      <c r="C13323" s="219"/>
      <c r="D13323" s="49" t="s">
        <v>37</v>
      </c>
      <c r="E13323" s="49" t="s">
        <v>38</v>
      </c>
      <c r="F13323" s="49" t="s">
        <v>39</v>
      </c>
      <c r="G13323" s="49" t="s">
        <v>40</v>
      </c>
    </row>
    <row r="13324" spans="1:7" x14ac:dyDescent="0.25">
      <c r="A13324" s="50" t="s">
        <v>326</v>
      </c>
      <c r="B13324" s="220" t="str">
        <f>VLOOKUP(A13324,'[1]Componentes APUs'!$S$1:$V$10,2,0)</f>
        <v>Juego Llaves</v>
      </c>
      <c r="C13324" s="220"/>
      <c r="D13324" s="50" t="s">
        <v>18</v>
      </c>
      <c r="E13324" s="50">
        <v>2</v>
      </c>
      <c r="F13324" s="51">
        <f>VLOOKUP(A13324,'[1]Componentes APUs'!$S$1:$V$10,4,0)</f>
        <v>9167</v>
      </c>
      <c r="G13324" s="51">
        <f>ROUNDUP(F13324*((E13324/21)/E13300),0)</f>
        <v>22</v>
      </c>
    </row>
    <row r="13325" spans="1:7" x14ac:dyDescent="0.25">
      <c r="A13325" s="50" t="s">
        <v>58</v>
      </c>
      <c r="B13325" s="220" t="str">
        <f>VLOOKUP(A13325,'[1]Componentes APUs'!$S$1:$V$10,2,0)</f>
        <v>Manila de servicio</v>
      </c>
      <c r="C13325" s="220"/>
      <c r="D13325" s="50" t="s">
        <v>18</v>
      </c>
      <c r="E13325" s="50">
        <v>2</v>
      </c>
      <c r="F13325" s="51">
        <f>VLOOKUP(A13325,'[1]Componentes APUs'!$S$1:$V$10,4,0)</f>
        <v>2333</v>
      </c>
      <c r="G13325" s="51">
        <f>ROUNDUP(F13325*((E13325/21)/E13300),0)</f>
        <v>6</v>
      </c>
    </row>
    <row r="13326" spans="1:7" x14ac:dyDescent="0.25">
      <c r="A13326" s="50" t="s">
        <v>327</v>
      </c>
      <c r="B13326" s="220" t="str">
        <f>VLOOKUP(A13326,'[1]Componentes APUs'!$S$1:$V$10,2,0)</f>
        <v>Tula portaherramientas</v>
      </c>
      <c r="C13326" s="220"/>
      <c r="D13326" s="50" t="s">
        <v>18</v>
      </c>
      <c r="E13326" s="50">
        <v>2</v>
      </c>
      <c r="F13326" s="51">
        <f>VLOOKUP(A13326,'[1]Componentes APUs'!$S$1:$V$10,4,0)</f>
        <v>1250</v>
      </c>
      <c r="G13326" s="51">
        <f>ROUNDUP(F13326*((E13326/21)/E13300),0)</f>
        <v>3</v>
      </c>
    </row>
    <row r="13327" spans="1:7" x14ac:dyDescent="0.25">
      <c r="A13327" s="50" t="s">
        <v>60</v>
      </c>
      <c r="B13327" s="220" t="str">
        <f>VLOOKUP(A13327,'[1]Componentes APUs'!$S$1:$V$10,2,0)</f>
        <v>Agarradoras</v>
      </c>
      <c r="C13327" s="220"/>
      <c r="D13327" s="50" t="s">
        <v>18</v>
      </c>
      <c r="E13327" s="50">
        <v>2</v>
      </c>
      <c r="F13327" s="51">
        <f>VLOOKUP(A13327,'[1]Componentes APUs'!$S$1:$V$10,4,0)</f>
        <v>125000</v>
      </c>
      <c r="G13327" s="51">
        <f>ROUNDUP(F13327*((E13327/21)/E13300),0)</f>
        <v>298</v>
      </c>
    </row>
    <row r="13328" spans="1:7" x14ac:dyDescent="0.25">
      <c r="A13328" s="50" t="s">
        <v>62</v>
      </c>
      <c r="B13328" s="220" t="str">
        <f>VLOOKUP(A13328,'[1]Componentes APUs'!$S$1:$V$10,2,0)</f>
        <v>Templadoras</v>
      </c>
      <c r="C13328" s="220"/>
      <c r="D13328" s="50" t="s">
        <v>18</v>
      </c>
      <c r="E13328" s="50">
        <v>1</v>
      </c>
      <c r="F13328" s="51">
        <f>VLOOKUP(A13328,'[1]Componentes APUs'!$S$1:$V$10,4,0)</f>
        <v>250000</v>
      </c>
      <c r="G13328" s="51">
        <f>ROUNDUP(F13328*((E13328/21)/E13300),0)</f>
        <v>298</v>
      </c>
    </row>
    <row r="13329" spans="1:7" x14ac:dyDescent="0.25">
      <c r="A13329" s="50" t="s">
        <v>328</v>
      </c>
      <c r="B13329" s="220" t="str">
        <f>VLOOKUP(A13329,'[1]Componentes APUs'!$S$1:$V$10,2,0)</f>
        <v>Herramienta Menor</v>
      </c>
      <c r="C13329" s="220"/>
      <c r="D13329" s="50" t="s">
        <v>18</v>
      </c>
      <c r="E13329" s="50">
        <v>2</v>
      </c>
      <c r="F13329" s="51">
        <f>VLOOKUP(A13329,'[1]Componentes APUs'!$S$1:$V$10,4,0)</f>
        <v>75758</v>
      </c>
      <c r="G13329" s="51">
        <f>ROUNDUP(F13329*((E13329/21)/E13300),0)</f>
        <v>181</v>
      </c>
    </row>
    <row r="13330" spans="1:7" x14ac:dyDescent="0.25">
      <c r="A13330" s="219" t="s">
        <v>69</v>
      </c>
      <c r="B13330" s="219"/>
      <c r="C13330" s="219"/>
      <c r="D13330" s="219"/>
      <c r="E13330" s="219"/>
      <c r="F13330" s="219"/>
      <c r="G13330" s="52">
        <f>SUM(G13324:G13329)</f>
        <v>808</v>
      </c>
    </row>
    <row r="13331" spans="1:7" x14ac:dyDescent="0.25">
      <c r="A13331" s="56"/>
      <c r="B13331" s="57"/>
      <c r="C13331" s="57"/>
      <c r="D13331" s="57"/>
      <c r="E13331" s="57"/>
      <c r="F13331" s="57"/>
      <c r="G13331" s="58"/>
    </row>
    <row r="13332" spans="1:7" x14ac:dyDescent="0.25">
      <c r="A13332" s="219" t="s">
        <v>70</v>
      </c>
      <c r="B13332" s="219"/>
      <c r="C13332" s="219"/>
      <c r="D13332" s="219"/>
      <c r="E13332" s="219"/>
      <c r="F13332" s="219"/>
      <c r="G13332" s="219"/>
    </row>
    <row r="13333" spans="1:7" x14ac:dyDescent="0.25">
      <c r="A13333" s="49" t="s">
        <v>35</v>
      </c>
      <c r="B13333" s="219" t="s">
        <v>36</v>
      </c>
      <c r="C13333" s="219"/>
      <c r="D13333" s="49" t="s">
        <v>37</v>
      </c>
      <c r="E13333" s="49" t="s">
        <v>38</v>
      </c>
      <c r="F13333" s="49" t="s">
        <v>39</v>
      </c>
      <c r="G13333" s="49" t="s">
        <v>40</v>
      </c>
    </row>
    <row r="13334" spans="1:7" x14ac:dyDescent="0.25">
      <c r="A13334" s="50" t="s">
        <v>71</v>
      </c>
      <c r="B13334" s="71" t="str">
        <f>VLOOKUP(A13334,'[1]Componentes APUs'!$A$1:$D$14,2,0)</f>
        <v>Camisa indigo sin partes metalicas</v>
      </c>
      <c r="C13334" s="71"/>
      <c r="D13334" s="50" t="str">
        <f>VLOOKUP(A13334,'[1]Componentes APUs'!$A$1:$D$14,3,0)</f>
        <v>U</v>
      </c>
      <c r="E13334" s="50">
        <f>SUM(C13314:C13319)</f>
        <v>2.75</v>
      </c>
      <c r="F13334" s="51">
        <f>VLOOKUP(A13334,'[1]Componentes APUs'!$A$1:$D$14,4,0)</f>
        <v>8585.8585858585866</v>
      </c>
      <c r="G13334" s="51">
        <f>ROUNDUP(F13334*(E13334/21)/E13300,0)</f>
        <v>29</v>
      </c>
    </row>
    <row r="13335" spans="1:7" x14ac:dyDescent="0.25">
      <c r="A13335" s="69" t="s">
        <v>73</v>
      </c>
      <c r="B13335" s="72" t="str">
        <f>VLOOKUP(A13335,'[1]Componentes APUs'!$A$1:$D$14,2,0)</f>
        <v>Bota de seguridad dielectrica</v>
      </c>
      <c r="C13335" s="73"/>
      <c r="D13335" s="70" t="str">
        <f>VLOOKUP(A13335,'[1]Componentes APUs'!$A$1:$D$14,3,0)</f>
        <v>Par</v>
      </c>
      <c r="E13335" s="50">
        <f>SUM(C13314:C13319)</f>
        <v>2.75</v>
      </c>
      <c r="F13335" s="51">
        <f>VLOOKUP(A13335,'[1]Componentes APUs'!$A$1:$D$14,4,0)</f>
        <v>7500</v>
      </c>
      <c r="G13335" s="51">
        <f>ROUNDUP(F13335*(E13335/21)/E13300,0)</f>
        <v>25</v>
      </c>
    </row>
    <row r="13336" spans="1:7" x14ac:dyDescent="0.25">
      <c r="A13336" s="50" t="s">
        <v>76</v>
      </c>
      <c r="B13336" s="72" t="str">
        <f>VLOOKUP(A13336,'[1]Componentes APUs'!$A$1:$D$14,2,0)</f>
        <v>Casco dielectrico Tipo 1 Clase E con barbuquejo</v>
      </c>
      <c r="C13336" s="73"/>
      <c r="D13336" s="50" t="str">
        <f>VLOOKUP(A13336,'[1]Componentes APUs'!$A$1:$D$14,3,0)</f>
        <v>U</v>
      </c>
      <c r="E13336" s="50">
        <f>C13314+C13317+C13318+C13315+C13319+IF(A13316&lt;&gt;"MO-3",C13316,0)</f>
        <v>1.75</v>
      </c>
      <c r="F13336" s="51">
        <f>VLOOKUP(A13336,'[1]Componentes APUs'!$A$1:$D$14,4,0)</f>
        <v>10101.010101010101</v>
      </c>
      <c r="G13336" s="51">
        <f>ROUNDUP(F13336*(E13336/21)/E13300,0)</f>
        <v>22</v>
      </c>
    </row>
    <row r="13337" spans="1:7" x14ac:dyDescent="0.25">
      <c r="A13337" s="69" t="s">
        <v>77</v>
      </c>
      <c r="B13337" s="72" t="str">
        <f>VLOOKUP(A13337,'[1]Componentes APUs'!$A$1:$D$14,2,0)</f>
        <v>Correa plastica y antiflama</v>
      </c>
      <c r="C13337" s="73"/>
      <c r="D13337" s="50" t="str">
        <f>VLOOKUP(A13337,'[1]Componentes APUs'!$A$1:$D$14,3,0)</f>
        <v>U</v>
      </c>
      <c r="E13337" s="50">
        <f>SUM(C13314:C13319)</f>
        <v>2.75</v>
      </c>
      <c r="F13337" s="51">
        <f>VLOOKUP(A13337,'[1]Componentes APUs'!$A$1:$D$14,4,0)</f>
        <v>3787.878787878788</v>
      </c>
      <c r="G13337" s="51">
        <f>ROUNDUP(F13337*(E13337/21)/E13300,0)</f>
        <v>13</v>
      </c>
    </row>
    <row r="13338" spans="1:7" x14ac:dyDescent="0.25">
      <c r="A13338" s="50" t="s">
        <v>79</v>
      </c>
      <c r="B13338" s="72" t="str">
        <f>VLOOKUP(A13338,'[1]Componentes APUs'!$A$1:$D$14,2,0)</f>
        <v>Gafas protectoras filtro UV</v>
      </c>
      <c r="C13338" s="73"/>
      <c r="D13338" s="50" t="str">
        <f>VLOOKUP(A13338,'[1]Componentes APUs'!$A$1:$D$14,3,0)</f>
        <v>U</v>
      </c>
      <c r="E13338" s="50">
        <f>SUM(C13314:C13319)</f>
        <v>2.75</v>
      </c>
      <c r="F13338" s="51">
        <f>VLOOKUP(A13338,'[1]Componentes APUs'!$A$1:$D$14,4,0)</f>
        <v>2777.7777777777778</v>
      </c>
      <c r="G13338" s="51">
        <f>ROUNDUP(F13338*(E13338/21)/E13300,0)</f>
        <v>10</v>
      </c>
    </row>
    <row r="13339" spans="1:7" x14ac:dyDescent="0.25">
      <c r="A13339" s="69" t="s">
        <v>402</v>
      </c>
      <c r="B13339" s="72" t="str">
        <f>VLOOKUP(A13339,'[1]Componentes APUs'!$A$1:$D$14,2,0)</f>
        <v>Bota de seguridad PVC dielectrica</v>
      </c>
      <c r="C13339" s="73"/>
      <c r="D13339" s="50" t="str">
        <f>VLOOKUP(A13339,'[1]Componentes APUs'!$A$1:$D$14,3,0)</f>
        <v>Par</v>
      </c>
      <c r="E13339" s="50">
        <f>SUM(C13314:C13319)</f>
        <v>2.75</v>
      </c>
      <c r="F13339" s="51">
        <f>VLOOKUP(A13339,'[1]Componentes APUs'!$A$1:$D$14,4,0)</f>
        <v>2916.6666666666665</v>
      </c>
      <c r="G13339" s="51">
        <f>ROUNDUP(F13339*(E13339/21)/E13300,0)</f>
        <v>10</v>
      </c>
    </row>
    <row r="13340" spans="1:7" x14ac:dyDescent="0.25">
      <c r="A13340" s="50" t="s">
        <v>403</v>
      </c>
      <c r="B13340" s="72" t="str">
        <f>VLOOKUP(A13340,'[1]Componentes APUs'!$A$1:$D$14,2,0)</f>
        <v>Capuchon</v>
      </c>
      <c r="C13340" s="73"/>
      <c r="D13340" s="50" t="str">
        <f>VLOOKUP(A13340,'[1]Componentes APUs'!$A$1:$D$14,3,0)</f>
        <v>U</v>
      </c>
      <c r="E13340" s="50">
        <f>SUM(C13314:C13319)</f>
        <v>2.75</v>
      </c>
      <c r="F13340" s="51">
        <f>VLOOKUP(A13340,'[1]Componentes APUs'!$A$1:$D$14,4,0)</f>
        <v>2525.2525252525252</v>
      </c>
      <c r="G13340" s="51">
        <f>ROUNDUP(F13340*(E13340/21)/E13300,0)</f>
        <v>9</v>
      </c>
    </row>
    <row r="13341" spans="1:7" x14ac:dyDescent="0.25">
      <c r="A13341" s="69" t="s">
        <v>81</v>
      </c>
      <c r="B13341" s="72" t="str">
        <f>VLOOKUP(A13341,'[1]Componentes APUs'!$A$1:$D$14,2,0)</f>
        <v>Guantes Protectores  - ingeniero reforzados</v>
      </c>
      <c r="C13341" s="73"/>
      <c r="D13341" s="50" t="str">
        <f>VLOOKUP(A13341,'[1]Componentes APUs'!$A$1:$D$14,3,0)</f>
        <v>Par</v>
      </c>
      <c r="E13341" s="50">
        <f>C13316+C13317+C13319</f>
        <v>2</v>
      </c>
      <c r="F13341" s="51">
        <f>VLOOKUP(A13341,'[1]Componentes APUs'!$A$1:$D$14,4,0)</f>
        <v>2525.2525252525252</v>
      </c>
      <c r="G13341" s="51">
        <f>ROUNDUP(F13341*(E13341/21)/E13300,0)</f>
        <v>7</v>
      </c>
    </row>
    <row r="13342" spans="1:7" x14ac:dyDescent="0.25">
      <c r="A13342" s="50" t="s">
        <v>83</v>
      </c>
      <c r="B13342" s="72" t="str">
        <f>VLOOKUP(A13342,'[1]Componentes APUs'!$A$1:$D$14,2,0)</f>
        <v>Impermeable (pantalon camisa)</v>
      </c>
      <c r="C13342" s="73"/>
      <c r="D13342" s="50" t="str">
        <f>VLOOKUP(A13342,'[1]Componentes APUs'!$A$1:$D$14,3,0)</f>
        <v>U</v>
      </c>
      <c r="E13342" s="50">
        <f>SUM(C13314:C13319)</f>
        <v>2.75</v>
      </c>
      <c r="F13342" s="51">
        <f>VLOOKUP(A13342,'[1]Componentes APUs'!$A$1:$D$14,4,0)</f>
        <v>3750</v>
      </c>
      <c r="G13342" s="51">
        <f>ROUNDUP(F13342*(E13342/21)/E13300,0)</f>
        <v>13</v>
      </c>
    </row>
    <row r="13343" spans="1:7" x14ac:dyDescent="0.25">
      <c r="A13343" s="69" t="s">
        <v>85</v>
      </c>
      <c r="B13343" s="72" t="str">
        <f>VLOOKUP(A13343,'[1]Componentes APUs'!$A$1:$D$14,2,0)</f>
        <v>Jean Dielectrico</v>
      </c>
      <c r="C13343" s="73"/>
      <c r="D13343" s="50" t="str">
        <f>VLOOKUP(A13343,'[1]Componentes APUs'!$A$1:$D$14,3,0)</f>
        <v>U</v>
      </c>
      <c r="E13343" s="50">
        <f>SUM(C13314:C13319)</f>
        <v>2.75</v>
      </c>
      <c r="F13343" s="51">
        <f>VLOOKUP(A13343,'[1]Componentes APUs'!$A$1:$D$14,4,0)</f>
        <v>7575.757575757576</v>
      </c>
      <c r="G13343" s="51">
        <f>ROUNDUP(F13343*(E13343/21)/E13300,0)</f>
        <v>25</v>
      </c>
    </row>
    <row r="13344" spans="1:7" x14ac:dyDescent="0.25">
      <c r="A13344" s="50" t="s">
        <v>87</v>
      </c>
      <c r="B13344" s="72" t="str">
        <f>VLOOKUP(A13344,'[1]Componentes APUs'!$A$1:$D$14,2,0)</f>
        <v>Casco dielectrico Tipo 2 Clase E con barboquejo</v>
      </c>
      <c r="C13344" s="73"/>
      <c r="D13344" s="50" t="str">
        <f>VLOOKUP(A13344,'[1]Componentes APUs'!$A$1:$D$14,3,0)</f>
        <v>U</v>
      </c>
      <c r="E13344" s="53">
        <f>IF(A13316="MO-3",C13316,0)</f>
        <v>1</v>
      </c>
      <c r="F13344" s="51">
        <f>VLOOKUP(A13344,'[1]Componentes APUs'!$A$1:$D$14,4,0)</f>
        <v>7500</v>
      </c>
      <c r="G13344" s="51">
        <f>ROUNDUP(F13344*(E13344/21)/E13300,0)</f>
        <v>9</v>
      </c>
    </row>
    <row r="13345" spans="1:7" x14ac:dyDescent="0.25">
      <c r="A13345" s="69" t="s">
        <v>89</v>
      </c>
      <c r="B13345" s="72" t="str">
        <f>VLOOKUP(A13345,'[1]Componentes APUs'!$A$1:$D$14,2,0)</f>
        <v>Kit de rescate para trabajo en alturas</v>
      </c>
      <c r="C13345" s="73"/>
      <c r="D13345" s="50" t="str">
        <f>VLOOKUP(A13345,'[1]Componentes APUs'!$A$1:$D$14,3,0)</f>
        <v>U</v>
      </c>
      <c r="E13345" s="50">
        <f>IF(AND(A13316="MO-3",C13316=2),1,0)</f>
        <v>0</v>
      </c>
      <c r="F13345" s="51">
        <f>VLOOKUP(A13345,'[1]Componentes APUs'!$A$1:$D$14,4,0)</f>
        <v>37500</v>
      </c>
      <c r="G13345" s="51">
        <f>ROUNDUP(F13345*(E13345/21)/E13300,0)</f>
        <v>0</v>
      </c>
    </row>
    <row r="13346" spans="1:7" x14ac:dyDescent="0.25">
      <c r="A13346" s="50" t="s">
        <v>91</v>
      </c>
      <c r="B13346" s="72" t="str">
        <f>VLOOKUP(A13346,'[1]Componentes APUs'!$A$1:$D$14,2,0)</f>
        <v>Equipo completo para trabajo en alturas con pretales (Arnes dielectrico, 1 mosqueton de seguridad, tie off dielectrico, eslinga de posicionamiento, juego de pretales)</v>
      </c>
      <c r="C13346" s="73"/>
      <c r="D13346" s="50" t="str">
        <f>VLOOKUP(A13346,'[1]Componentes APUs'!$A$1:$D$14,3,0)</f>
        <v>U</v>
      </c>
      <c r="E13346" s="50">
        <f>IF(A13316="MO-3",C13316,0)</f>
        <v>1</v>
      </c>
      <c r="F13346" s="51">
        <f>VLOOKUP(A13346,'[1]Componentes APUs'!$A$1:$D$14,4,0)</f>
        <v>26041.666666666668</v>
      </c>
      <c r="G13346" s="51">
        <f>ROUNDUP(F13346*(E13346/21)/E13300,0)</f>
        <v>32</v>
      </c>
    </row>
    <row r="13347" spans="1:7" x14ac:dyDescent="0.25">
      <c r="A13347" s="219" t="s">
        <v>95</v>
      </c>
      <c r="B13347" s="219"/>
      <c r="C13347" s="219"/>
      <c r="D13347" s="219"/>
      <c r="E13347" s="219"/>
      <c r="F13347" s="219"/>
      <c r="G13347" s="52">
        <f>SUM(G13334:G13346)</f>
        <v>204</v>
      </c>
    </row>
    <row r="13348" spans="1:7" x14ac:dyDescent="0.25">
      <c r="A13348" s="56"/>
      <c r="B13348" s="57"/>
      <c r="C13348" s="57"/>
      <c r="D13348" s="57"/>
      <c r="E13348" s="57"/>
      <c r="F13348" s="57"/>
      <c r="G13348" s="58"/>
    </row>
    <row r="13349" spans="1:7" x14ac:dyDescent="0.25">
      <c r="A13349" s="219" t="s">
        <v>96</v>
      </c>
      <c r="B13349" s="219"/>
      <c r="C13349" s="219"/>
      <c r="D13349" s="219"/>
      <c r="E13349" s="219"/>
      <c r="F13349" s="219"/>
      <c r="G13349" s="219"/>
    </row>
    <row r="13350" spans="1:7" x14ac:dyDescent="0.25">
      <c r="A13350" s="49" t="s">
        <v>35</v>
      </c>
      <c r="B13350" s="225" t="s">
        <v>36</v>
      </c>
      <c r="C13350" s="225"/>
      <c r="D13350" s="49" t="s">
        <v>37</v>
      </c>
      <c r="E13350" s="49" t="s">
        <v>38</v>
      </c>
      <c r="F13350" s="49" t="s">
        <v>39</v>
      </c>
      <c r="G13350" s="49" t="s">
        <v>40</v>
      </c>
    </row>
    <row r="13351" spans="1:7" x14ac:dyDescent="0.25">
      <c r="A13351" s="69" t="s">
        <v>97</v>
      </c>
      <c r="B13351" s="72" t="str">
        <f>VLOOKUP(A13351,'[1]Componentes APUs'!$N$1:$Q$30,2,0)</f>
        <v>Camioneta</v>
      </c>
      <c r="C13351" s="73"/>
      <c r="D13351" s="70" t="str">
        <f>VLOOKUP(A13351,'[1]Componentes APUs'!$N$1:$Q$30,3,0)</f>
        <v>U</v>
      </c>
      <c r="E13351" s="50">
        <v>1</v>
      </c>
      <c r="F13351" s="51">
        <f>VLOOKUP(A13351,'[1]Componentes APUs'!$N$1:$Q$30,4,0)</f>
        <v>5500000</v>
      </c>
      <c r="G13351" s="51">
        <f>IFERROR(ROUNDUP(F13351*(E13351/21)/E13300,0),"-")</f>
        <v>6548</v>
      </c>
    </row>
    <row r="13352" spans="1:7" x14ac:dyDescent="0.25">
      <c r="A13352" s="50" t="s">
        <v>321</v>
      </c>
      <c r="B13352" s="72" t="str">
        <f>VLOOKUP(A13352,'[1]Componentes APUs'!$N$1:$Q$30,2,0)</f>
        <v>Grúa Hidráulica</v>
      </c>
      <c r="C13352" s="73"/>
      <c r="D13352" s="70" t="str">
        <f>VLOOKUP(A13352,'[1]Componentes APUs'!$N$1:$Q$30,3,0)</f>
        <v>U</v>
      </c>
      <c r="E13352" s="50">
        <v>0</v>
      </c>
      <c r="F13352" s="51">
        <f>VLOOKUP(A13352,'[1]Componentes APUs'!$N$1:$Q$30,4,0)</f>
        <v>21000000</v>
      </c>
      <c r="G13352" s="51">
        <f>IFERROR(ROUNDUP(F13352*(E13352/21)/E13300,0),"-")</f>
        <v>0</v>
      </c>
    </row>
    <row r="13353" spans="1:7" x14ac:dyDescent="0.25">
      <c r="A13353" s="69" t="s">
        <v>322</v>
      </c>
      <c r="B13353" s="72" t="str">
        <f>VLOOKUP(A13353,'[1]Componentes APUs'!$N$1:$Q$30,2,0)</f>
        <v>Camabaja</v>
      </c>
      <c r="C13353" s="73"/>
      <c r="D13353" s="70" t="str">
        <f>VLOOKUP(A13353,'[1]Componentes APUs'!$N$1:$Q$30,3,0)</f>
        <v>TON/KM</v>
      </c>
      <c r="E13353" s="50">
        <v>0</v>
      </c>
      <c r="F13353" s="51">
        <f>VLOOKUP(A13353,'[1]Componentes APUs'!$N$1:$Q$30,4,0)</f>
        <v>611</v>
      </c>
      <c r="G13353" s="51">
        <f>IFERROR(ROUNDUP(F13353*(E13353/21)/E13300,0),"-")</f>
        <v>0</v>
      </c>
    </row>
    <row r="13354" spans="1:7" x14ac:dyDescent="0.25">
      <c r="A13354" s="50" t="s">
        <v>323</v>
      </c>
      <c r="B13354" s="72" t="str">
        <f>VLOOKUP(A13354,'[1]Componentes APUs'!$N$1:$Q$30,2,0)</f>
        <v>Volqueta</v>
      </c>
      <c r="C13354" s="73"/>
      <c r="D13354" s="70" t="str">
        <f>VLOOKUP(A13354,'[1]Componentes APUs'!$N$1:$Q$30,3,0)</f>
        <v>U</v>
      </c>
      <c r="E13354" s="50">
        <v>0</v>
      </c>
      <c r="F13354" s="51">
        <f>VLOOKUP(A13354,'[1]Componentes APUs'!$N$1:$Q$30,4,0)</f>
        <v>18900000</v>
      </c>
      <c r="G13354" s="51">
        <f>IFERROR(ROUNDUP(F13354*(E13354/21)/E13300,0),"-")</f>
        <v>0</v>
      </c>
    </row>
    <row r="13355" spans="1:7" x14ac:dyDescent="0.25">
      <c r="A13355" s="69" t="s">
        <v>324</v>
      </c>
      <c r="B13355" s="72" t="str">
        <f>VLOOKUP(A13355,'[1]Componentes APUs'!$N$1:$Q$30,2,0)</f>
        <v>Retroexcavadora</v>
      </c>
      <c r="C13355" s="73"/>
      <c r="D13355" s="70" t="str">
        <f>VLOOKUP(A13355,'[1]Componentes APUs'!$N$1:$Q$30,3,0)</f>
        <v>U</v>
      </c>
      <c r="E13355" s="50">
        <v>0</v>
      </c>
      <c r="F13355" s="51">
        <f>VLOOKUP(A13355,'[1]Componentes APUs'!$N$1:$Q$30,4,0)</f>
        <v>1494459.54</v>
      </c>
      <c r="G13355" s="51">
        <f>IFERROR(ROUNDUP(F13355*(E13355/21)/E13300,0),"-")</f>
        <v>0</v>
      </c>
    </row>
    <row r="13356" spans="1:7" x14ac:dyDescent="0.25">
      <c r="A13356" s="219" t="s">
        <v>99</v>
      </c>
      <c r="B13356" s="219"/>
      <c r="C13356" s="219"/>
      <c r="D13356" s="219"/>
      <c r="E13356" s="219"/>
      <c r="F13356" s="219"/>
      <c r="G13356" s="52">
        <f>SUM(G13351:G13355)</f>
        <v>6548</v>
      </c>
    </row>
    <row r="13357" spans="1:7" x14ac:dyDescent="0.25">
      <c r="A13357" s="56"/>
      <c r="B13357" s="57"/>
      <c r="C13357" s="57"/>
      <c r="D13357" s="57"/>
      <c r="E13357" s="57"/>
      <c r="F13357" s="57"/>
      <c r="G13357" s="58"/>
    </row>
    <row r="13358" spans="1:7" x14ac:dyDescent="0.25">
      <c r="A13358" s="219" t="s">
        <v>1516</v>
      </c>
      <c r="B13358" s="219"/>
      <c r="C13358" s="219"/>
      <c r="D13358" s="219"/>
      <c r="E13358" s="219"/>
      <c r="F13358" s="219"/>
      <c r="G13358" s="52">
        <f>G13356+G13347+G13330+G13320+G13310</f>
        <v>219229</v>
      </c>
    </row>
    <row r="13359" spans="1:7" x14ac:dyDescent="0.25">
      <c r="A13359" s="59"/>
      <c r="B13359" s="60"/>
      <c r="C13359" s="60"/>
      <c r="D13359" s="60"/>
      <c r="E13359" s="57"/>
      <c r="F13359" s="57"/>
      <c r="G13359" s="58"/>
    </row>
    <row r="13360" spans="1:7" x14ac:dyDescent="0.25">
      <c r="A13360" s="64"/>
      <c r="D13360" s="55"/>
      <c r="E13360" s="49" t="s">
        <v>25</v>
      </c>
      <c r="F13360" s="54">
        <v>0.15</v>
      </c>
      <c r="G13360" s="51">
        <f>G13358*F13360</f>
        <v>32884.35</v>
      </c>
    </row>
    <row r="13361" spans="1:7" x14ac:dyDescent="0.25">
      <c r="A13361" s="64"/>
      <c r="D13361" s="55"/>
      <c r="E13361" s="49" t="s">
        <v>26</v>
      </c>
      <c r="F13361" s="54">
        <v>0.05</v>
      </c>
      <c r="G13361" s="51">
        <f>G13358*F13361</f>
        <v>10961.45</v>
      </c>
    </row>
    <row r="13362" spans="1:7" x14ac:dyDescent="0.25">
      <c r="A13362" s="61"/>
      <c r="B13362" s="65"/>
      <c r="C13362" s="65"/>
      <c r="D13362" s="62"/>
      <c r="E13362" s="49" t="s">
        <v>27</v>
      </c>
      <c r="F13362" s="54">
        <v>0.05</v>
      </c>
      <c r="G13362" s="51">
        <f>G13358*F13362</f>
        <v>10961.45</v>
      </c>
    </row>
    <row r="13363" spans="1:7" x14ac:dyDescent="0.25">
      <c r="A13363" s="61"/>
      <c r="B13363" s="62"/>
      <c r="C13363" s="62"/>
      <c r="D13363" s="62"/>
      <c r="E13363" s="62"/>
      <c r="F13363" s="62"/>
      <c r="G13363" s="63"/>
    </row>
    <row r="13364" spans="1:7" x14ac:dyDescent="0.25">
      <c r="A13364" s="219" t="s">
        <v>1517</v>
      </c>
      <c r="B13364" s="219"/>
      <c r="C13364" s="219"/>
      <c r="D13364" s="219"/>
      <c r="E13364" s="219"/>
      <c r="F13364" s="219"/>
      <c r="G13364" s="52">
        <f>G13358+G13360+G13361+G13362</f>
        <v>274036.25</v>
      </c>
    </row>
    <row r="13365" spans="1:7" x14ac:dyDescent="0.25">
      <c r="A13365" s="59"/>
      <c r="B13365" s="60"/>
      <c r="C13365" s="60"/>
      <c r="D13365" s="60"/>
      <c r="E13365" s="57"/>
      <c r="F13365" s="57"/>
      <c r="G13365" s="58"/>
    </row>
    <row r="13366" spans="1:7" x14ac:dyDescent="0.25">
      <c r="A13366" s="64"/>
      <c r="D13366" s="55"/>
      <c r="E13366" s="49" t="s">
        <v>102</v>
      </c>
      <c r="F13366" s="49" t="s">
        <v>103</v>
      </c>
      <c r="G13366" s="51">
        <f>G13362*19%</f>
        <v>2082.6755000000003</v>
      </c>
    </row>
    <row r="13367" spans="1:7" x14ac:dyDescent="0.25">
      <c r="A13367" s="61"/>
      <c r="B13367" s="62"/>
      <c r="C13367" s="62"/>
      <c r="D13367" s="62"/>
      <c r="E13367" s="57"/>
      <c r="F13367" s="57"/>
      <c r="G13367" s="58"/>
    </row>
    <row r="13368" spans="1:7" x14ac:dyDescent="0.25">
      <c r="A13368" s="219" t="s">
        <v>104</v>
      </c>
      <c r="B13368" s="219"/>
      <c r="C13368" s="219"/>
      <c r="D13368" s="219"/>
      <c r="E13368" s="219"/>
      <c r="F13368" s="219"/>
      <c r="G13368" s="52">
        <f>G13366+G13364</f>
        <v>276118.92550000001</v>
      </c>
    </row>
    <row r="13370" spans="1:7" x14ac:dyDescent="0.25">
      <c r="A13370" s="74" t="s">
        <v>29</v>
      </c>
      <c r="B13370" s="226" t="s">
        <v>30</v>
      </c>
      <c r="C13370" s="226"/>
      <c r="D13370" s="74" t="s">
        <v>31</v>
      </c>
      <c r="E13370" s="74" t="s">
        <v>32</v>
      </c>
      <c r="F13370" s="74" t="s">
        <v>189</v>
      </c>
      <c r="G13370" s="74" t="s">
        <v>33</v>
      </c>
    </row>
    <row r="13371" spans="1:7" ht="28.5" customHeight="1" x14ac:dyDescent="0.25">
      <c r="A13371" s="50" t="str">
        <f>Presupuesto!B242</f>
        <v>049_N3</v>
      </c>
      <c r="B13371" s="220" t="str">
        <f>Presupuesto!C242</f>
        <v>SUMINISTRO E INSTALACIÓN DE CABLE DE FUERZA 3x10 AWG Cu- TC-THHN/THWN - ER- 600 V (SECCIONADORES Y RECONECTADORES)</v>
      </c>
      <c r="C13371" s="220"/>
      <c r="D13371" s="50" t="s">
        <v>108</v>
      </c>
      <c r="E13371" s="50">
        <v>90</v>
      </c>
      <c r="F13371" s="50"/>
      <c r="G13371" s="51">
        <f>G13439</f>
        <v>111881.38499999999</v>
      </c>
    </row>
    <row r="13372" spans="1:7" x14ac:dyDescent="0.25">
      <c r="A13372" s="219" t="s">
        <v>34</v>
      </c>
      <c r="B13372" s="219"/>
      <c r="C13372" s="219"/>
      <c r="D13372" s="219"/>
      <c r="E13372" s="219"/>
      <c r="F13372" s="219"/>
      <c r="G13372" s="219"/>
    </row>
    <row r="13373" spans="1:7" x14ac:dyDescent="0.25">
      <c r="A13373" s="49" t="s">
        <v>35</v>
      </c>
      <c r="B13373" s="219" t="s">
        <v>36</v>
      </c>
      <c r="C13373" s="219"/>
      <c r="D13373" s="49" t="s">
        <v>37</v>
      </c>
      <c r="E13373" s="49" t="s">
        <v>38</v>
      </c>
      <c r="F13373" s="49" t="s">
        <v>39</v>
      </c>
      <c r="G13373" s="49" t="s">
        <v>40</v>
      </c>
    </row>
    <row r="13374" spans="1:7" ht="17.25" customHeight="1" x14ac:dyDescent="0.25">
      <c r="A13374" s="17" t="str">
        <f>Material!A44</f>
        <v>MA-43</v>
      </c>
      <c r="B13374" s="232" t="str">
        <f>IFERROR(VLOOKUP(A13374,Material!$A:$H,2,0),"-")</f>
        <v>CABLE 3x10 AWG Cu- TC-THHN/THWN - 600 V</v>
      </c>
      <c r="C13374" s="233"/>
      <c r="D13374" s="50" t="str">
        <f>IFERROR(VLOOKUP(A13374,Material!$A:$H,4,0),"-")</f>
        <v>ML</v>
      </c>
      <c r="E13374" s="50">
        <v>3</v>
      </c>
      <c r="F13374" s="51">
        <f>IFERROR(VLOOKUP(A13374,Material!$A:$H,3,0),"-")</f>
        <v>26000</v>
      </c>
      <c r="G13374" s="51">
        <f t="shared" ref="G13374:G13380" si="191">IFERROR(ROUNDUP(F13374*E13374,0),"-")</f>
        <v>78000</v>
      </c>
    </row>
    <row r="13375" spans="1:7" x14ac:dyDescent="0.25">
      <c r="A13375" s="17"/>
      <c r="B13375" s="72" t="str">
        <f>IFERROR(VLOOKUP(A13375,Material!$A:$H,2,0),"-")</f>
        <v>-</v>
      </c>
      <c r="C13375" s="73"/>
      <c r="D13375" s="50" t="str">
        <f>IFERROR(VLOOKUP(A13375,Material!$A:$H,4,0),"-")</f>
        <v>-</v>
      </c>
      <c r="E13375" s="50"/>
      <c r="F13375" s="51" t="str">
        <f>IFERROR(VLOOKUP(A13375,Material!$A:$H,3,0),"-")</f>
        <v>-</v>
      </c>
      <c r="G13375" s="51" t="str">
        <f t="shared" si="191"/>
        <v>-</v>
      </c>
    </row>
    <row r="13376" spans="1:7" x14ac:dyDescent="0.25">
      <c r="A13376" s="17"/>
      <c r="B13376" s="72" t="str">
        <f>IFERROR(VLOOKUP(A13376,Material!$A:$H,2,0),"-")</f>
        <v>-</v>
      </c>
      <c r="C13376" s="73"/>
      <c r="D13376" s="50" t="str">
        <f>IFERROR(VLOOKUP(A13376,Material!$A:$H,4,0),"-")</f>
        <v>-</v>
      </c>
      <c r="E13376" s="50"/>
      <c r="F13376" s="51" t="str">
        <f>IFERROR(VLOOKUP(A13376,Material!$A:$H,3,0),"-")</f>
        <v>-</v>
      </c>
      <c r="G13376" s="51" t="str">
        <f t="shared" si="191"/>
        <v>-</v>
      </c>
    </row>
    <row r="13377" spans="1:7" x14ac:dyDescent="0.25">
      <c r="A13377" s="17"/>
      <c r="B13377" s="72" t="str">
        <f>IFERROR(VLOOKUP(A13377,Material!$A:$H,2,0),"-")</f>
        <v>-</v>
      </c>
      <c r="C13377" s="73"/>
      <c r="D13377" s="50" t="str">
        <f>IFERROR(VLOOKUP(A13377,Material!$A:$H,4,0),"-")</f>
        <v>-</v>
      </c>
      <c r="E13377" s="50"/>
      <c r="F13377" s="51" t="str">
        <f>IFERROR(VLOOKUP(A13377,Material!$A:$H,3,0),"-")</f>
        <v>-</v>
      </c>
      <c r="G13377" s="51" t="str">
        <f t="shared" si="191"/>
        <v>-</v>
      </c>
    </row>
    <row r="13378" spans="1:7" x14ac:dyDescent="0.25">
      <c r="A13378" s="17"/>
      <c r="B13378" s="72" t="str">
        <f>IFERROR(VLOOKUP(A13378,Material!$A:$H,2,0),"-")</f>
        <v>-</v>
      </c>
      <c r="C13378" s="73"/>
      <c r="D13378" s="50" t="str">
        <f>IFERROR(VLOOKUP(A13378,Material!$A:$H,4,0),"-")</f>
        <v>-</v>
      </c>
      <c r="E13378" s="50"/>
      <c r="F13378" s="51" t="str">
        <f>IFERROR(VLOOKUP(A13378,Material!$A:$H,3,0),"-")</f>
        <v>-</v>
      </c>
      <c r="G13378" s="51" t="str">
        <f t="shared" si="191"/>
        <v>-</v>
      </c>
    </row>
    <row r="13379" spans="1:7" x14ac:dyDescent="0.25">
      <c r="A13379" s="17"/>
      <c r="B13379" s="75" t="str">
        <f>IFERROR(VLOOKUP(A13379,Material!$A:$H,2,0),"-")</f>
        <v>-</v>
      </c>
      <c r="C13379" s="76"/>
      <c r="D13379" s="50" t="str">
        <f>IFERROR(VLOOKUP(A13379,Material!$A:$H,4,0),"-")</f>
        <v>-</v>
      </c>
      <c r="E13379" s="50"/>
      <c r="F13379" s="51" t="str">
        <f>IFERROR(VLOOKUP(A13379,Material!$A:$H,3,0),"-")</f>
        <v>-</v>
      </c>
      <c r="G13379" s="51" t="str">
        <f t="shared" si="191"/>
        <v>-</v>
      </c>
    </row>
    <row r="13380" spans="1:7" x14ac:dyDescent="0.25">
      <c r="A13380" s="17"/>
      <c r="B13380" s="72" t="str">
        <f>IFERROR(VLOOKUP(A13380,Material!$A:$H,2,0),"-")</f>
        <v>-</v>
      </c>
      <c r="C13380" s="76"/>
      <c r="D13380" s="50" t="str">
        <f>IFERROR(VLOOKUP(A13380,Material!$A:$H,4,0),"-")</f>
        <v>-</v>
      </c>
      <c r="E13380" s="50"/>
      <c r="F13380" s="51" t="str">
        <f>IFERROR(VLOOKUP(A13380,Material!$A:$H,3,0),"-")</f>
        <v>-</v>
      </c>
      <c r="G13380" s="51" t="str">
        <f t="shared" si="191"/>
        <v>-</v>
      </c>
    </row>
    <row r="13381" spans="1:7" x14ac:dyDescent="0.25">
      <c r="A13381" s="219" t="s">
        <v>41</v>
      </c>
      <c r="B13381" s="219"/>
      <c r="C13381" s="219"/>
      <c r="D13381" s="219"/>
      <c r="E13381" s="219"/>
      <c r="F13381" s="219"/>
      <c r="G13381" s="52">
        <f>SUM(G13374:G13380)</f>
        <v>78000</v>
      </c>
    </row>
    <row r="13382" spans="1:7" x14ac:dyDescent="0.25">
      <c r="A13382" s="56"/>
      <c r="B13382" s="57"/>
      <c r="C13382" s="57"/>
      <c r="D13382" s="57"/>
      <c r="E13382" s="57"/>
      <c r="F13382" s="57"/>
      <c r="G13382" s="58"/>
    </row>
    <row r="13383" spans="1:7" x14ac:dyDescent="0.25">
      <c r="A13383" s="219" t="s">
        <v>42</v>
      </c>
      <c r="B13383" s="219"/>
      <c r="C13383" s="219"/>
      <c r="D13383" s="219"/>
      <c r="E13383" s="219"/>
      <c r="F13383" s="219"/>
      <c r="G13383" s="219"/>
    </row>
    <row r="13384" spans="1:7" x14ac:dyDescent="0.25">
      <c r="A13384" s="49" t="s">
        <v>35</v>
      </c>
      <c r="B13384" s="49" t="s">
        <v>36</v>
      </c>
      <c r="C13384" s="49" t="s">
        <v>38</v>
      </c>
      <c r="D13384" s="49" t="s">
        <v>43</v>
      </c>
      <c r="E13384" s="49" t="s">
        <v>44</v>
      </c>
      <c r="F13384" s="49" t="s">
        <v>45</v>
      </c>
      <c r="G13384" s="49" t="s">
        <v>40</v>
      </c>
    </row>
    <row r="13385" spans="1:7" x14ac:dyDescent="0.25">
      <c r="A13385" s="50" t="s">
        <v>319</v>
      </c>
      <c r="B13385" s="68" t="str">
        <f>VLOOKUP(A13385,'Componentes APUs'!$H$1:$L$25,2,0)</f>
        <v>Ingeniero Residente de Obra</v>
      </c>
      <c r="C13385" s="93">
        <v>0.25</v>
      </c>
      <c r="D13385" s="50">
        <f>VLOOKUP(A13385,'Componentes APUs'!$H$1:$L$25,3,0)</f>
        <v>4</v>
      </c>
      <c r="E13385" s="51">
        <f>VLOOKUP(A13385,'Componentes APUs'!$H$1:$L$25,4,0)</f>
        <v>271142.85714285716</v>
      </c>
      <c r="F13385" s="51">
        <f>VLOOKUP(A13385,'Componentes APUs'!$H$1:$L$25,5,0)</f>
        <v>162685.71428571429</v>
      </c>
      <c r="G13385" s="51">
        <f>ROUNDUP((E13385+F13385)*C13385/E13371,0)</f>
        <v>1206</v>
      </c>
    </row>
    <row r="13386" spans="1:7" x14ac:dyDescent="0.25">
      <c r="A13386" s="50" t="s">
        <v>320</v>
      </c>
      <c r="B13386" s="68" t="str">
        <f>VLOOKUP(A13386,'Componentes APUs'!$H$1:$L$25,2,0)</f>
        <v>Tecnico Supervisor</v>
      </c>
      <c r="C13386" s="93">
        <v>0.25</v>
      </c>
      <c r="D13386" s="50">
        <f>VLOOKUP(A13386,'Componentes APUs'!$H$1:$L$25,3,0)</f>
        <v>2.2999999999999998</v>
      </c>
      <c r="E13386" s="51">
        <f>VLOOKUP(A13386,'Componentes APUs'!$H$1:$L$25,4,0)</f>
        <v>155907.14285714284</v>
      </c>
      <c r="F13386" s="51">
        <f>VLOOKUP(A13386,'Componentes APUs'!$H$1:$L$25,5,0)</f>
        <v>93544.285714285696</v>
      </c>
      <c r="G13386" s="51">
        <f>ROUNDUP((E13386+F13386)*C13386/E13371,0)</f>
        <v>693</v>
      </c>
    </row>
    <row r="13387" spans="1:7" x14ac:dyDescent="0.25">
      <c r="A13387" s="50" t="s">
        <v>46</v>
      </c>
      <c r="B13387" s="68" t="str">
        <f>VLOOKUP(A13387,'Componentes APUs'!$H$1:$L$25,2,0)</f>
        <v>Tecnico Liniero</v>
      </c>
      <c r="C13387" s="93">
        <v>1</v>
      </c>
      <c r="D13387" s="50">
        <f>VLOOKUP(A13387,'Componentes APUs'!$H$1:$L$25,3,0)</f>
        <v>2</v>
      </c>
      <c r="E13387" s="51">
        <f>VLOOKUP(A13387,'Componentes APUs'!$H$1:$L$25,4,0)</f>
        <v>154619.04761904763</v>
      </c>
      <c r="F13387" s="51">
        <f>VLOOKUP(A13387,'Componentes APUs'!$H$1:$L$25,5,0)</f>
        <v>92771.42857142858</v>
      </c>
      <c r="G13387" s="51">
        <f>ROUNDUP((E13387+F13387)*C13387/E13371,0)</f>
        <v>2749</v>
      </c>
    </row>
    <row r="13388" spans="1:7" x14ac:dyDescent="0.25">
      <c r="A13388" s="50" t="s">
        <v>48</v>
      </c>
      <c r="B13388" s="68" t="str">
        <f>VLOOKUP(A13388,'Componentes APUs'!$H$1:$L$25,2,0)</f>
        <v>Ayudante Calificado</v>
      </c>
      <c r="C13388" s="93">
        <v>1</v>
      </c>
      <c r="D13388" s="50">
        <f>VLOOKUP(A13388,'Componentes APUs'!$H$1:$L$25,3,0)</f>
        <v>1.5</v>
      </c>
      <c r="E13388" s="51">
        <f>VLOOKUP(A13388,'Componentes APUs'!$H$1:$L$25,4,0)</f>
        <v>115964.28571428571</v>
      </c>
      <c r="F13388" s="51">
        <f>VLOOKUP(A13388,'Componentes APUs'!$H$1:$L$25,5,0)</f>
        <v>69578.57142857142</v>
      </c>
      <c r="G13388" s="51">
        <f>ROUNDUP((E13388+F13388)*C13388/E13371,0)</f>
        <v>2062</v>
      </c>
    </row>
    <row r="13389" spans="1:7" x14ac:dyDescent="0.25">
      <c r="A13389" s="50" t="s">
        <v>50</v>
      </c>
      <c r="B13389" s="68" t="str">
        <f>VLOOKUP(A13389,'Componentes APUs'!$H$1:$L$25,2,0)</f>
        <v>Profesional en SST</v>
      </c>
      <c r="C13389" s="93">
        <v>0.25</v>
      </c>
      <c r="D13389" s="50">
        <f>VLOOKUP(A13389,'Componentes APUs'!$H$1:$L$25,3,0)</f>
        <v>2.5</v>
      </c>
      <c r="E13389" s="51">
        <f>VLOOKUP(A13389,'Componentes APUs'!$H$1:$L$25,4,0)</f>
        <v>169464.28571428571</v>
      </c>
      <c r="F13389" s="51">
        <f>VLOOKUP(A13389,'Componentes APUs'!$H$1:$L$25,5,0)</f>
        <v>101678.57142857142</v>
      </c>
      <c r="G13389" s="51">
        <f>ROUNDUP((E13389+F13389)*C13389/E13371,0)</f>
        <v>754</v>
      </c>
    </row>
    <row r="13390" spans="1:7" x14ac:dyDescent="0.25">
      <c r="A13390" s="50" t="s">
        <v>52</v>
      </c>
      <c r="B13390" s="68" t="str">
        <f>VLOOKUP(A13390,'Componentes APUs'!$H$1:$L$25,2,0)</f>
        <v>Ayudante No Calificado</v>
      </c>
      <c r="C13390" s="93">
        <v>0</v>
      </c>
      <c r="D13390" s="50">
        <f>VLOOKUP(A13390,'Componentes APUs'!$H$1:$L$25,3,0)</f>
        <v>1</v>
      </c>
      <c r="E13390" s="51">
        <f>VLOOKUP(A13390,'Componentes APUs'!$H$1:$L$25,4,0)</f>
        <v>77309.523809523816</v>
      </c>
      <c r="F13390" s="51">
        <f>VLOOKUP(A13390,'Componentes APUs'!$H$1:$L$25,5,0)</f>
        <v>46385.71428571429</v>
      </c>
      <c r="G13390" s="51">
        <f>ROUNDUP((E13390+F13390)*C13390/E13371,0)</f>
        <v>0</v>
      </c>
    </row>
    <row r="13391" spans="1:7" x14ac:dyDescent="0.25">
      <c r="A13391" s="219" t="s">
        <v>56</v>
      </c>
      <c r="B13391" s="219"/>
      <c r="C13391" s="219"/>
      <c r="D13391" s="219"/>
      <c r="E13391" s="219"/>
      <c r="F13391" s="219"/>
      <c r="G13391" s="52">
        <f>SUM(G13385:G13390)</f>
        <v>7464</v>
      </c>
    </row>
    <row r="13392" spans="1:7" x14ac:dyDescent="0.25">
      <c r="A13392" s="56"/>
      <c r="B13392" s="57"/>
      <c r="C13392" s="57"/>
      <c r="D13392" s="57"/>
      <c r="E13392" s="57"/>
      <c r="F13392" s="57"/>
      <c r="G13392" s="58"/>
    </row>
    <row r="13393" spans="1:7" x14ac:dyDescent="0.25">
      <c r="A13393" s="219" t="s">
        <v>57</v>
      </c>
      <c r="B13393" s="219"/>
      <c r="C13393" s="219"/>
      <c r="D13393" s="219"/>
      <c r="E13393" s="219"/>
      <c r="F13393" s="219"/>
      <c r="G13393" s="219"/>
    </row>
    <row r="13394" spans="1:7" x14ac:dyDescent="0.25">
      <c r="A13394" s="49" t="s">
        <v>35</v>
      </c>
      <c r="B13394" s="219" t="s">
        <v>36</v>
      </c>
      <c r="C13394" s="219"/>
      <c r="D13394" s="49" t="s">
        <v>37</v>
      </c>
      <c r="E13394" s="49" t="s">
        <v>38</v>
      </c>
      <c r="F13394" s="49" t="s">
        <v>39</v>
      </c>
      <c r="G13394" s="49" t="s">
        <v>40</v>
      </c>
    </row>
    <row r="13395" spans="1:7" x14ac:dyDescent="0.25">
      <c r="A13395" s="50" t="s">
        <v>326</v>
      </c>
      <c r="B13395" s="220" t="str">
        <f>VLOOKUP(A13395,'Componentes APUs'!$S$1:$V$10,2,0)</f>
        <v>Juego Llaves</v>
      </c>
      <c r="C13395" s="220"/>
      <c r="D13395" s="50" t="s">
        <v>18</v>
      </c>
      <c r="E13395" s="50">
        <v>2</v>
      </c>
      <c r="F13395" s="51">
        <f>VLOOKUP(A13395,'Componentes APUs'!$S$1:$V$10,4,0)</f>
        <v>9167</v>
      </c>
      <c r="G13395" s="51">
        <f>ROUNDUP(F13395*((E13395/21)/E13371),0)</f>
        <v>10</v>
      </c>
    </row>
    <row r="13396" spans="1:7" x14ac:dyDescent="0.25">
      <c r="A13396" s="50" t="s">
        <v>58</v>
      </c>
      <c r="B13396" s="220" t="str">
        <f>VLOOKUP(A13396,'Componentes APUs'!$S$1:$V$10,2,0)</f>
        <v>Manila de servicio</v>
      </c>
      <c r="C13396" s="220"/>
      <c r="D13396" s="50" t="s">
        <v>18</v>
      </c>
      <c r="E13396" s="50">
        <v>2</v>
      </c>
      <c r="F13396" s="51">
        <f>VLOOKUP(A13396,'Componentes APUs'!$S$1:$V$10,4,0)</f>
        <v>2333</v>
      </c>
      <c r="G13396" s="51">
        <f>ROUNDUP(F13396*((E13396/21)/E13371),0)</f>
        <v>3</v>
      </c>
    </row>
    <row r="13397" spans="1:7" x14ac:dyDescent="0.25">
      <c r="A13397" s="50" t="s">
        <v>327</v>
      </c>
      <c r="B13397" s="220" t="str">
        <f>VLOOKUP(A13397,'Componentes APUs'!$S$1:$V$10,2,0)</f>
        <v>Tula portaherramientas</v>
      </c>
      <c r="C13397" s="220"/>
      <c r="D13397" s="50" t="s">
        <v>18</v>
      </c>
      <c r="E13397" s="50">
        <v>2</v>
      </c>
      <c r="F13397" s="51">
        <f>VLOOKUP(A13397,'Componentes APUs'!$S$1:$V$10,4,0)</f>
        <v>1250</v>
      </c>
      <c r="G13397" s="51">
        <f>ROUNDUP(F13397*((E13397/21)/E13371),0)</f>
        <v>2</v>
      </c>
    </row>
    <row r="13398" spans="1:7" x14ac:dyDescent="0.25">
      <c r="A13398" s="50" t="s">
        <v>60</v>
      </c>
      <c r="B13398" s="220" t="str">
        <f>VLOOKUP(A13398,'Componentes APUs'!$S$1:$V$10,2,0)</f>
        <v>Agarradoras</v>
      </c>
      <c r="C13398" s="220"/>
      <c r="D13398" s="50" t="s">
        <v>18</v>
      </c>
      <c r="E13398" s="50">
        <v>2</v>
      </c>
      <c r="F13398" s="51">
        <f>VLOOKUP(A13398,'Componentes APUs'!$S$1:$V$10,4,0)</f>
        <v>125000</v>
      </c>
      <c r="G13398" s="51">
        <f>ROUNDUP(F13398*((E13398/21)/E13371),0)</f>
        <v>133</v>
      </c>
    </row>
    <row r="13399" spans="1:7" x14ac:dyDescent="0.25">
      <c r="A13399" s="50" t="s">
        <v>62</v>
      </c>
      <c r="B13399" s="220" t="str">
        <f>VLOOKUP(A13399,'Componentes APUs'!$S$1:$V$10,2,0)</f>
        <v>Templadoras</v>
      </c>
      <c r="C13399" s="220"/>
      <c r="D13399" s="50" t="s">
        <v>18</v>
      </c>
      <c r="E13399" s="50">
        <v>1</v>
      </c>
      <c r="F13399" s="51">
        <f>VLOOKUP(A13399,'Componentes APUs'!$S$1:$V$10,4,0)</f>
        <v>250000</v>
      </c>
      <c r="G13399" s="51">
        <f>ROUNDUP(F13399*((E13399/21)/E13371),0)</f>
        <v>133</v>
      </c>
    </row>
    <row r="13400" spans="1:7" x14ac:dyDescent="0.25">
      <c r="A13400" s="50" t="s">
        <v>328</v>
      </c>
      <c r="B13400" s="220" t="str">
        <f>VLOOKUP(A13400,'Componentes APUs'!$S$1:$V$10,2,0)</f>
        <v>Herramienta Menor</v>
      </c>
      <c r="C13400" s="220"/>
      <c r="D13400" s="50" t="s">
        <v>18</v>
      </c>
      <c r="E13400" s="50">
        <v>2</v>
      </c>
      <c r="F13400" s="51">
        <f>VLOOKUP(A13400,'Componentes APUs'!$S$1:$V$10,4,0)</f>
        <v>75758</v>
      </c>
      <c r="G13400" s="51">
        <f>ROUNDUP(F13400*((E13400/21)/E13371),0)</f>
        <v>81</v>
      </c>
    </row>
    <row r="13401" spans="1:7" x14ac:dyDescent="0.25">
      <c r="A13401" s="219" t="s">
        <v>69</v>
      </c>
      <c r="B13401" s="219"/>
      <c r="C13401" s="219"/>
      <c r="D13401" s="219"/>
      <c r="E13401" s="219"/>
      <c r="F13401" s="219"/>
      <c r="G13401" s="52">
        <f>SUM(G13395:G13400)</f>
        <v>362</v>
      </c>
    </row>
    <row r="13402" spans="1:7" x14ac:dyDescent="0.25">
      <c r="A13402" s="56"/>
      <c r="B13402" s="57"/>
      <c r="C13402" s="57"/>
      <c r="D13402" s="57"/>
      <c r="E13402" s="57"/>
      <c r="F13402" s="57"/>
      <c r="G13402" s="58"/>
    </row>
    <row r="13403" spans="1:7" x14ac:dyDescent="0.25">
      <c r="A13403" s="219" t="s">
        <v>70</v>
      </c>
      <c r="B13403" s="219"/>
      <c r="C13403" s="219"/>
      <c r="D13403" s="219"/>
      <c r="E13403" s="219"/>
      <c r="F13403" s="219"/>
      <c r="G13403" s="219"/>
    </row>
    <row r="13404" spans="1:7" x14ac:dyDescent="0.25">
      <c r="A13404" s="49" t="s">
        <v>35</v>
      </c>
      <c r="B13404" s="219" t="s">
        <v>36</v>
      </c>
      <c r="C13404" s="219"/>
      <c r="D13404" s="49" t="s">
        <v>37</v>
      </c>
      <c r="E13404" s="49" t="s">
        <v>38</v>
      </c>
      <c r="F13404" s="49" t="s">
        <v>39</v>
      </c>
      <c r="G13404" s="49" t="s">
        <v>40</v>
      </c>
    </row>
    <row r="13405" spans="1:7" x14ac:dyDescent="0.25">
      <c r="A13405" s="50" t="s">
        <v>71</v>
      </c>
      <c r="B13405" s="71" t="str">
        <f>VLOOKUP(A13405,'Componentes APUs'!$A$1:$D$14,2,0)</f>
        <v>Camisa indigo sin partes metalicas</v>
      </c>
      <c r="C13405" s="71"/>
      <c r="D13405" s="50" t="str">
        <f>VLOOKUP(A13405,'Componentes APUs'!$A$1:$D$14,3,0)</f>
        <v>U</v>
      </c>
      <c r="E13405" s="50">
        <f>SUM(C13385:C13390)</f>
        <v>2.75</v>
      </c>
      <c r="F13405" s="51">
        <f>VLOOKUP(A13405,'Componentes APUs'!$A$1:$D$14,4,0)</f>
        <v>8585.8585858585866</v>
      </c>
      <c r="G13405" s="51">
        <f>ROUNDUP(F13405*(E13405/21)/E13371,0)</f>
        <v>13</v>
      </c>
    </row>
    <row r="13406" spans="1:7" x14ac:dyDescent="0.25">
      <c r="A13406" s="69" t="s">
        <v>73</v>
      </c>
      <c r="B13406" s="72" t="str">
        <f>VLOOKUP(A13406,'Componentes APUs'!$A$1:$D$14,2,0)</f>
        <v>Bota de seguridad dielectrica</v>
      </c>
      <c r="C13406" s="73"/>
      <c r="D13406" s="70" t="str">
        <f>VLOOKUP(A13406,'Componentes APUs'!$A$1:$D$14,3,0)</f>
        <v>Par</v>
      </c>
      <c r="E13406" s="50">
        <f>SUM(C13385:C13390)</f>
        <v>2.75</v>
      </c>
      <c r="F13406" s="51">
        <f>VLOOKUP(A13406,'Componentes APUs'!$A$1:$D$14,4,0)</f>
        <v>7500</v>
      </c>
      <c r="G13406" s="51">
        <f>ROUNDUP(F13406*(E13406/21)/E13371,0)</f>
        <v>11</v>
      </c>
    </row>
    <row r="13407" spans="1:7" x14ac:dyDescent="0.25">
      <c r="A13407" s="50" t="s">
        <v>76</v>
      </c>
      <c r="B13407" s="72" t="str">
        <f>VLOOKUP(A13407,'Componentes APUs'!$A$1:$D$14,2,0)</f>
        <v>Casco dielectrico Tipo 1 Clase E con barbuquejo</v>
      </c>
      <c r="C13407" s="73"/>
      <c r="D13407" s="50" t="str">
        <f>VLOOKUP(A13407,'Componentes APUs'!$A$1:$D$14,3,0)</f>
        <v>U</v>
      </c>
      <c r="E13407" s="50">
        <f>C13385+C13388+C13389+C13386+C13390+IF(A13387&lt;&gt;"MO-3",C13387,0)</f>
        <v>1.75</v>
      </c>
      <c r="F13407" s="51">
        <f>VLOOKUP(A13407,'Componentes APUs'!$A$1:$D$14,4,0)</f>
        <v>10101.010101010101</v>
      </c>
      <c r="G13407" s="51">
        <f>ROUNDUP(F13407*(E13407/21)/E13371,0)</f>
        <v>10</v>
      </c>
    </row>
    <row r="13408" spans="1:7" x14ac:dyDescent="0.25">
      <c r="A13408" s="69" t="s">
        <v>77</v>
      </c>
      <c r="B13408" s="72" t="str">
        <f>VLOOKUP(A13408,'Componentes APUs'!$A$1:$D$14,2,0)</f>
        <v>Correa plastica y antiflama</v>
      </c>
      <c r="C13408" s="73"/>
      <c r="D13408" s="50" t="str">
        <f>VLOOKUP(A13408,'Componentes APUs'!$A$1:$D$14,3,0)</f>
        <v>U</v>
      </c>
      <c r="E13408" s="50">
        <f>SUM(C13385:C13390)</f>
        <v>2.75</v>
      </c>
      <c r="F13408" s="51">
        <f>VLOOKUP(A13408,'Componentes APUs'!$A$1:$D$14,4,0)</f>
        <v>3787.878787878788</v>
      </c>
      <c r="G13408" s="51">
        <f>ROUNDUP(F13408*(E13408/21)/E13371,0)</f>
        <v>6</v>
      </c>
    </row>
    <row r="13409" spans="1:7" x14ac:dyDescent="0.25">
      <c r="A13409" s="50" t="s">
        <v>79</v>
      </c>
      <c r="B13409" s="72" t="str">
        <f>VLOOKUP(A13409,'Componentes APUs'!$A$1:$D$14,2,0)</f>
        <v>Gafas protectoras filtro UV</v>
      </c>
      <c r="C13409" s="73"/>
      <c r="D13409" s="50" t="str">
        <f>VLOOKUP(A13409,'Componentes APUs'!$A$1:$D$14,3,0)</f>
        <v>U</v>
      </c>
      <c r="E13409" s="50">
        <f>SUM(C13385:C13390)</f>
        <v>2.75</v>
      </c>
      <c r="F13409" s="51">
        <f>VLOOKUP(A13409,'Componentes APUs'!$A$1:$D$14,4,0)</f>
        <v>2777.7777777777778</v>
      </c>
      <c r="G13409" s="51">
        <f>ROUNDUP(F13409*(E13409/21)/E13371,0)</f>
        <v>5</v>
      </c>
    </row>
    <row r="13410" spans="1:7" x14ac:dyDescent="0.25">
      <c r="A13410" s="69" t="s">
        <v>402</v>
      </c>
      <c r="B13410" s="72" t="str">
        <f>VLOOKUP(A13410,'Componentes APUs'!$A$1:$D$14,2,0)</f>
        <v>Bota de seguridad PVC dielectrica</v>
      </c>
      <c r="C13410" s="73"/>
      <c r="D13410" s="50" t="str">
        <f>VLOOKUP(A13410,'Componentes APUs'!$A$1:$D$14,3,0)</f>
        <v>Par</v>
      </c>
      <c r="E13410" s="50">
        <f>SUM(C13385:C13390)</f>
        <v>2.75</v>
      </c>
      <c r="F13410" s="51">
        <f>VLOOKUP(A13410,'Componentes APUs'!$A$1:$D$14,4,0)</f>
        <v>2916.6666666666665</v>
      </c>
      <c r="G13410" s="51">
        <f>ROUNDUP(F13410*(E13410/21)/E13371,0)</f>
        <v>5</v>
      </c>
    </row>
    <row r="13411" spans="1:7" x14ac:dyDescent="0.25">
      <c r="A13411" s="50" t="s">
        <v>403</v>
      </c>
      <c r="B13411" s="72" t="str">
        <f>VLOOKUP(A13411,'Componentes APUs'!$A$1:$D$14,2,0)</f>
        <v>Capuchon</v>
      </c>
      <c r="C13411" s="73"/>
      <c r="D13411" s="50" t="str">
        <f>VLOOKUP(A13411,'Componentes APUs'!$A$1:$D$14,3,0)</f>
        <v>U</v>
      </c>
      <c r="E13411" s="50">
        <f>SUM(C13385:C13390)</f>
        <v>2.75</v>
      </c>
      <c r="F13411" s="51">
        <f>VLOOKUP(A13411,'Componentes APUs'!$A$1:$D$14,4,0)</f>
        <v>2525.2525252525252</v>
      </c>
      <c r="G13411" s="51">
        <f>ROUNDUP(F13411*(E13411/21)/E13371,0)</f>
        <v>4</v>
      </c>
    </row>
    <row r="13412" spans="1:7" x14ac:dyDescent="0.25">
      <c r="A13412" s="69" t="s">
        <v>81</v>
      </c>
      <c r="B13412" s="72" t="str">
        <f>VLOOKUP(A13412,'Componentes APUs'!$A$1:$D$14,2,0)</f>
        <v>Guantes Protectores  - ingeniero reforzados</v>
      </c>
      <c r="C13412" s="73"/>
      <c r="D13412" s="50" t="str">
        <f>VLOOKUP(A13412,'Componentes APUs'!$A$1:$D$14,3,0)</f>
        <v>Par</v>
      </c>
      <c r="E13412" s="50">
        <f>C13387+C13388+C13390</f>
        <v>2</v>
      </c>
      <c r="F13412" s="51">
        <f>VLOOKUP(A13412,'Componentes APUs'!$A$1:$D$14,4,0)</f>
        <v>2525.2525252525252</v>
      </c>
      <c r="G13412" s="51">
        <f>ROUNDUP(F13412*(E13412/21)/E13371,0)</f>
        <v>3</v>
      </c>
    </row>
    <row r="13413" spans="1:7" x14ac:dyDescent="0.25">
      <c r="A13413" s="50" t="s">
        <v>83</v>
      </c>
      <c r="B13413" s="72" t="str">
        <f>VLOOKUP(A13413,'Componentes APUs'!$A$1:$D$14,2,0)</f>
        <v>Impermeable (pantalon camisa)</v>
      </c>
      <c r="C13413" s="73"/>
      <c r="D13413" s="50" t="str">
        <f>VLOOKUP(A13413,'Componentes APUs'!$A$1:$D$14,3,0)</f>
        <v>U</v>
      </c>
      <c r="E13413" s="50">
        <f>SUM(C13385:C13390)</f>
        <v>2.75</v>
      </c>
      <c r="F13413" s="51">
        <f>VLOOKUP(A13413,'Componentes APUs'!$A$1:$D$14,4,0)</f>
        <v>3750</v>
      </c>
      <c r="G13413" s="51">
        <f>ROUNDUP(F13413*(E13413/21)/E13371,0)</f>
        <v>6</v>
      </c>
    </row>
    <row r="13414" spans="1:7" x14ac:dyDescent="0.25">
      <c r="A13414" s="69" t="s">
        <v>85</v>
      </c>
      <c r="B13414" s="72" t="str">
        <f>VLOOKUP(A13414,'Componentes APUs'!$A$1:$D$14,2,0)</f>
        <v>Jean Dielectrico</v>
      </c>
      <c r="C13414" s="73"/>
      <c r="D13414" s="50" t="str">
        <f>VLOOKUP(A13414,'Componentes APUs'!$A$1:$D$14,3,0)</f>
        <v>U</v>
      </c>
      <c r="E13414" s="50">
        <f>SUM(C13385:C13390)</f>
        <v>2.75</v>
      </c>
      <c r="F13414" s="51">
        <f>VLOOKUP(A13414,'Componentes APUs'!$A$1:$D$14,4,0)</f>
        <v>7575.757575757576</v>
      </c>
      <c r="G13414" s="51">
        <f>ROUNDUP(F13414*(E13414/21)/E13371,0)</f>
        <v>12</v>
      </c>
    </row>
    <row r="13415" spans="1:7" x14ac:dyDescent="0.25">
      <c r="A13415" s="50" t="s">
        <v>87</v>
      </c>
      <c r="B13415" s="72" t="str">
        <f>VLOOKUP(A13415,'Componentes APUs'!$A$1:$D$14,2,0)</f>
        <v>Casco dielectrico Tipo 2 Clase E con barboquejo</v>
      </c>
      <c r="C13415" s="73"/>
      <c r="D13415" s="50" t="str">
        <f>VLOOKUP(A13415,'Componentes APUs'!$A$1:$D$14,3,0)</f>
        <v>U</v>
      </c>
      <c r="E13415" s="53">
        <f>IF(A13387="MO-3",C13387,0)</f>
        <v>1</v>
      </c>
      <c r="F13415" s="51">
        <f>VLOOKUP(A13415,'Componentes APUs'!$A$1:$D$14,4,0)</f>
        <v>7500</v>
      </c>
      <c r="G13415" s="51">
        <f>ROUNDUP(F13415*(E13415/21)/E13371,0)</f>
        <v>4</v>
      </c>
    </row>
    <row r="13416" spans="1:7" x14ac:dyDescent="0.25">
      <c r="A13416" s="69" t="s">
        <v>89</v>
      </c>
      <c r="B13416" s="72" t="str">
        <f>VLOOKUP(A13416,'Componentes APUs'!$A$1:$D$14,2,0)</f>
        <v>Kit de rescate para trabajo en alturas</v>
      </c>
      <c r="C13416" s="73"/>
      <c r="D13416" s="50" t="str">
        <f>VLOOKUP(A13416,'Componentes APUs'!$A$1:$D$14,3,0)</f>
        <v>U</v>
      </c>
      <c r="E13416" s="50">
        <f>IF(AND(A13387="MO-3",C13387=2),1,0)</f>
        <v>0</v>
      </c>
      <c r="F13416" s="51">
        <f>VLOOKUP(A13416,'Componentes APUs'!$A$1:$D$14,4,0)</f>
        <v>37500</v>
      </c>
      <c r="G13416" s="51">
        <f>ROUNDUP(F13416*(E13416/21)/E13371,0)</f>
        <v>0</v>
      </c>
    </row>
    <row r="13417" spans="1:7" x14ac:dyDescent="0.25">
      <c r="A13417" s="50" t="s">
        <v>91</v>
      </c>
      <c r="B13417" s="72" t="str">
        <f>VLOOKUP(A13417,'Componentes APUs'!$A$1:$D$14,2,0)</f>
        <v>Equipo completo para trabajo en alturas con pretales (Arnes dielectrico, 1 mosqueton de seguridad, tie off dielectrico, eslinga de posicionamiento, juego de pretales)</v>
      </c>
      <c r="C13417" s="73"/>
      <c r="D13417" s="50" t="str">
        <f>VLOOKUP(A13417,'Componentes APUs'!$A$1:$D$14,3,0)</f>
        <v>U</v>
      </c>
      <c r="E13417" s="50">
        <f>IF(A13387="MO-3",C13387,0)</f>
        <v>1</v>
      </c>
      <c r="F13417" s="51">
        <f>VLOOKUP(A13417,'Componentes APUs'!$A$1:$D$14,4,0)</f>
        <v>26041.666666666668</v>
      </c>
      <c r="G13417" s="51">
        <f>ROUNDUP(F13417*(E13417/21)/E13371,0)</f>
        <v>14</v>
      </c>
    </row>
    <row r="13418" spans="1:7" x14ac:dyDescent="0.25">
      <c r="A13418" s="219" t="s">
        <v>95</v>
      </c>
      <c r="B13418" s="219"/>
      <c r="C13418" s="219"/>
      <c r="D13418" s="219"/>
      <c r="E13418" s="219"/>
      <c r="F13418" s="219"/>
      <c r="G13418" s="52">
        <f>SUM(G13405:G13417)</f>
        <v>93</v>
      </c>
    </row>
    <row r="13419" spans="1:7" x14ac:dyDescent="0.25">
      <c r="A13419" s="56"/>
      <c r="B13419" s="57"/>
      <c r="C13419" s="57"/>
      <c r="D13419" s="57"/>
      <c r="E13419" s="57"/>
      <c r="F13419" s="57"/>
      <c r="G13419" s="58"/>
    </row>
    <row r="13420" spans="1:7" x14ac:dyDescent="0.25">
      <c r="A13420" s="219" t="s">
        <v>96</v>
      </c>
      <c r="B13420" s="219"/>
      <c r="C13420" s="219"/>
      <c r="D13420" s="219"/>
      <c r="E13420" s="219"/>
      <c r="F13420" s="219"/>
      <c r="G13420" s="219"/>
    </row>
    <row r="13421" spans="1:7" x14ac:dyDescent="0.25">
      <c r="A13421" s="49" t="s">
        <v>35</v>
      </c>
      <c r="B13421" s="225" t="s">
        <v>36</v>
      </c>
      <c r="C13421" s="225"/>
      <c r="D13421" s="49" t="s">
        <v>37</v>
      </c>
      <c r="E13421" s="49" t="s">
        <v>38</v>
      </c>
      <c r="F13421" s="49" t="s">
        <v>39</v>
      </c>
      <c r="G13421" s="49" t="s">
        <v>40</v>
      </c>
    </row>
    <row r="13422" spans="1:7" x14ac:dyDescent="0.25">
      <c r="A13422" s="69" t="s">
        <v>97</v>
      </c>
      <c r="B13422" s="72" t="str">
        <f>VLOOKUP(A13422,'Componentes APUs'!$N$1:$Q$30,2,0)</f>
        <v>Camioneta</v>
      </c>
      <c r="C13422" s="73"/>
      <c r="D13422" s="70" t="str">
        <f>VLOOKUP(A13422,'Componentes APUs'!$N$1:$Q$30,3,0)</f>
        <v>U</v>
      </c>
      <c r="E13422" s="50">
        <v>1</v>
      </c>
      <c r="F13422" s="51">
        <f>VLOOKUP(A13422,'Componentes APUs'!$N$1:$Q$30,4,0)</f>
        <v>5500000</v>
      </c>
      <c r="G13422" s="51">
        <f>IFERROR(ROUNDUP(F13422*(E13422/21)/E13371,0),"-")</f>
        <v>2911</v>
      </c>
    </row>
    <row r="13423" spans="1:7" x14ac:dyDescent="0.25">
      <c r="A13423" s="50" t="s">
        <v>321</v>
      </c>
      <c r="B13423" s="72" t="str">
        <f>VLOOKUP(A13423,'Componentes APUs'!$N$1:$Q$30,2,0)</f>
        <v>Grúa Hidráulica</v>
      </c>
      <c r="C13423" s="73"/>
      <c r="D13423" s="70" t="str">
        <f>VLOOKUP(A13423,'Componentes APUs'!$N$1:$Q$30,3,0)</f>
        <v>U</v>
      </c>
      <c r="E13423" s="50">
        <v>0</v>
      </c>
      <c r="F13423" s="51">
        <f>VLOOKUP(A13423,'Componentes APUs'!$N$1:$Q$30,4,0)</f>
        <v>21000000</v>
      </c>
      <c r="G13423" s="51">
        <f>IFERROR(ROUNDUP(F13423*(E13423/21)/E13371,0),"-")</f>
        <v>0</v>
      </c>
    </row>
    <row r="13424" spans="1:7" x14ac:dyDescent="0.25">
      <c r="A13424" s="69" t="s">
        <v>322</v>
      </c>
      <c r="B13424" s="72" t="str">
        <f>VLOOKUP(A13424,'Componentes APUs'!$N$1:$Q$30,2,0)</f>
        <v>Camabaja</v>
      </c>
      <c r="C13424" s="73"/>
      <c r="D13424" s="70" t="str">
        <f>VLOOKUP(A13424,'Componentes APUs'!$N$1:$Q$30,3,0)</f>
        <v>TON/KM</v>
      </c>
      <c r="E13424" s="50">
        <v>0</v>
      </c>
      <c r="F13424" s="51">
        <f>VLOOKUP(A13424,'Componentes APUs'!$N$1:$Q$30,4,0)</f>
        <v>611</v>
      </c>
      <c r="G13424" s="51">
        <f>IFERROR(ROUNDUP(F13424*(E13424/21)/E13371,0),"-")</f>
        <v>0</v>
      </c>
    </row>
    <row r="13425" spans="1:7" x14ac:dyDescent="0.25">
      <c r="A13425" s="50" t="s">
        <v>323</v>
      </c>
      <c r="B13425" s="72" t="str">
        <f>VLOOKUP(A13425,'Componentes APUs'!$N$1:$Q$30,2,0)</f>
        <v>Volqueta</v>
      </c>
      <c r="C13425" s="73"/>
      <c r="D13425" s="70" t="str">
        <f>VLOOKUP(A13425,'Componentes APUs'!$N$1:$Q$30,3,0)</f>
        <v>U</v>
      </c>
      <c r="E13425" s="50">
        <v>0</v>
      </c>
      <c r="F13425" s="51">
        <f>VLOOKUP(A13425,'Componentes APUs'!$N$1:$Q$30,4,0)</f>
        <v>14828184</v>
      </c>
      <c r="G13425" s="51">
        <f>IFERROR(ROUNDUP(F13425*(E13425/21)/E13371,0),"-")</f>
        <v>0</v>
      </c>
    </row>
    <row r="13426" spans="1:7" x14ac:dyDescent="0.25">
      <c r="A13426" s="69" t="s">
        <v>324</v>
      </c>
      <c r="B13426" s="72" t="str">
        <f>VLOOKUP(A13426,'Componentes APUs'!$N$1:$Q$30,2,0)</f>
        <v>Retroexcavadora</v>
      </c>
      <c r="C13426" s="73"/>
      <c r="D13426" s="70" t="str">
        <f>VLOOKUP(A13426,'Componentes APUs'!$N$1:$Q$30,3,0)</f>
        <v>U</v>
      </c>
      <c r="E13426" s="50">
        <v>0</v>
      </c>
      <c r="F13426" s="51">
        <f>VLOOKUP(A13426,'Componentes APUs'!$N$1:$Q$30,4,0)</f>
        <v>46030656</v>
      </c>
      <c r="G13426" s="51">
        <f>IFERROR(ROUNDUP(F13426*(E13426/21)/E13371,0),"-")</f>
        <v>0</v>
      </c>
    </row>
    <row r="13427" spans="1:7" x14ac:dyDescent="0.25">
      <c r="A13427" s="219" t="s">
        <v>99</v>
      </c>
      <c r="B13427" s="219"/>
      <c r="C13427" s="219"/>
      <c r="D13427" s="219"/>
      <c r="E13427" s="219"/>
      <c r="F13427" s="219"/>
      <c r="G13427" s="52">
        <f>SUM(G13422:G13426)</f>
        <v>2911</v>
      </c>
    </row>
    <row r="13428" spans="1:7" x14ac:dyDescent="0.25">
      <c r="A13428" s="56"/>
      <c r="B13428" s="57"/>
      <c r="C13428" s="57"/>
      <c r="D13428" s="57"/>
      <c r="E13428" s="57"/>
      <c r="F13428" s="57"/>
      <c r="G13428" s="58"/>
    </row>
    <row r="13429" spans="1:7" x14ac:dyDescent="0.25">
      <c r="A13429" s="219" t="s">
        <v>1516</v>
      </c>
      <c r="B13429" s="219"/>
      <c r="C13429" s="219"/>
      <c r="D13429" s="219"/>
      <c r="E13429" s="219"/>
      <c r="F13429" s="219"/>
      <c r="G13429" s="52">
        <f>G13427+G13418+G13401+G13391+G13381</f>
        <v>88830</v>
      </c>
    </row>
    <row r="13430" spans="1:7" x14ac:dyDescent="0.25">
      <c r="A13430" s="59"/>
      <c r="B13430" s="60"/>
      <c r="C13430" s="60"/>
      <c r="D13430" s="60"/>
      <c r="E13430" s="57"/>
      <c r="F13430" s="57"/>
      <c r="G13430" s="58"/>
    </row>
    <row r="13431" spans="1:7" x14ac:dyDescent="0.25">
      <c r="A13431" s="64"/>
      <c r="D13431" s="55"/>
      <c r="E13431" s="49" t="s">
        <v>25</v>
      </c>
      <c r="F13431" s="54">
        <v>0.15</v>
      </c>
      <c r="G13431" s="51">
        <f>G13429*F13431</f>
        <v>13324.5</v>
      </c>
    </row>
    <row r="13432" spans="1:7" x14ac:dyDescent="0.25">
      <c r="A13432" s="64"/>
      <c r="D13432" s="55"/>
      <c r="E13432" s="49" t="s">
        <v>26</v>
      </c>
      <c r="F13432" s="54">
        <v>0.05</v>
      </c>
      <c r="G13432" s="51">
        <f>G13429*F13432</f>
        <v>4441.5</v>
      </c>
    </row>
    <row r="13433" spans="1:7" x14ac:dyDescent="0.25">
      <c r="A13433" s="61"/>
      <c r="B13433" s="65"/>
      <c r="C13433" s="65"/>
      <c r="D13433" s="62"/>
      <c r="E13433" s="49" t="s">
        <v>27</v>
      </c>
      <c r="F13433" s="54">
        <v>0.05</v>
      </c>
      <c r="G13433" s="51">
        <f>G13429*F13433</f>
        <v>4441.5</v>
      </c>
    </row>
    <row r="13434" spans="1:7" x14ac:dyDescent="0.25">
      <c r="A13434" s="61"/>
      <c r="B13434" s="62"/>
      <c r="C13434" s="62"/>
      <c r="D13434" s="62"/>
      <c r="E13434" s="62"/>
      <c r="F13434" s="62"/>
      <c r="G13434" s="63"/>
    </row>
    <row r="13435" spans="1:7" x14ac:dyDescent="0.25">
      <c r="A13435" s="219" t="s">
        <v>1517</v>
      </c>
      <c r="B13435" s="219"/>
      <c r="C13435" s="219"/>
      <c r="D13435" s="219"/>
      <c r="E13435" s="219"/>
      <c r="F13435" s="219"/>
      <c r="G13435" s="52">
        <f>G13429+G13431+G13432+G13433</f>
        <v>111037.5</v>
      </c>
    </row>
    <row r="13436" spans="1:7" x14ac:dyDescent="0.25">
      <c r="A13436" s="59"/>
      <c r="B13436" s="60"/>
      <c r="C13436" s="60"/>
      <c r="D13436" s="60"/>
      <c r="E13436" s="57"/>
      <c r="F13436" s="57"/>
      <c r="G13436" s="58"/>
    </row>
    <row r="13437" spans="1:7" x14ac:dyDescent="0.25">
      <c r="A13437" s="64"/>
      <c r="D13437" s="55"/>
      <c r="E13437" s="49" t="s">
        <v>102</v>
      </c>
      <c r="F13437" s="49" t="s">
        <v>103</v>
      </c>
      <c r="G13437" s="51">
        <f>G13433*19%</f>
        <v>843.88499999999999</v>
      </c>
    </row>
    <row r="13438" spans="1:7" x14ac:dyDescent="0.25">
      <c r="A13438" s="61"/>
      <c r="B13438" s="62"/>
      <c r="C13438" s="62"/>
      <c r="D13438" s="62"/>
      <c r="E13438" s="57"/>
      <c r="F13438" s="57"/>
      <c r="G13438" s="58"/>
    </row>
    <row r="13439" spans="1:7" x14ac:dyDescent="0.25">
      <c r="A13439" s="219" t="s">
        <v>104</v>
      </c>
      <c r="B13439" s="219"/>
      <c r="C13439" s="219"/>
      <c r="D13439" s="219"/>
      <c r="E13439" s="219"/>
      <c r="F13439" s="219"/>
      <c r="G13439" s="52">
        <f>G13437+G13435</f>
        <v>111881.38499999999</v>
      </c>
    </row>
    <row r="13441" spans="1:7" x14ac:dyDescent="0.25">
      <c r="A13441" s="74" t="s">
        <v>29</v>
      </c>
      <c r="B13441" s="226" t="s">
        <v>30</v>
      </c>
      <c r="C13441" s="226"/>
      <c r="D13441" s="74" t="s">
        <v>31</v>
      </c>
      <c r="E13441" s="74" t="s">
        <v>32</v>
      </c>
      <c r="F13441" s="74" t="s">
        <v>189</v>
      </c>
      <c r="G13441" s="74" t="s">
        <v>33</v>
      </c>
    </row>
    <row r="13442" spans="1:7" ht="34.5" customHeight="1" x14ac:dyDescent="0.25">
      <c r="A13442" s="50" t="str">
        <f>Presupuesto!B243</f>
        <v>050_N3</v>
      </c>
      <c r="B13442" s="220" t="str">
        <f>Presupuesto!C243</f>
        <v xml:space="preserve">SUMINISTRO E INSTALACIÓN DE CANALIZACIÓN PARA LLEGADA A EQUIPOS EN PATIO EN TUBO CONDUIT METALICO GALVANIZADO IMC DIAMETRO 3/4" (SECCIONADOR, RECONECTADOR, FIBRA OPTICA  Y CIRCUITO AUXILIAR DE CONTROLES) </v>
      </c>
      <c r="C13442" s="220"/>
      <c r="D13442" s="50" t="s">
        <v>8</v>
      </c>
      <c r="E13442" s="50">
        <v>20</v>
      </c>
      <c r="F13442" s="50"/>
      <c r="G13442" s="51">
        <f>G13512</f>
        <v>174918.10050000003</v>
      </c>
    </row>
    <row r="13443" spans="1:7" x14ac:dyDescent="0.25">
      <c r="A13443" s="219" t="s">
        <v>34</v>
      </c>
      <c r="B13443" s="219"/>
      <c r="C13443" s="219"/>
      <c r="D13443" s="219"/>
      <c r="E13443" s="219"/>
      <c r="F13443" s="219"/>
      <c r="G13443" s="219"/>
    </row>
    <row r="13444" spans="1:7" x14ac:dyDescent="0.25">
      <c r="A13444" s="49" t="s">
        <v>35</v>
      </c>
      <c r="B13444" s="219" t="s">
        <v>36</v>
      </c>
      <c r="C13444" s="219"/>
      <c r="D13444" s="49" t="s">
        <v>37</v>
      </c>
      <c r="E13444" s="49" t="s">
        <v>38</v>
      </c>
      <c r="F13444" s="49" t="s">
        <v>39</v>
      </c>
      <c r="G13444" s="49" t="s">
        <v>40</v>
      </c>
    </row>
    <row r="13445" spans="1:7" x14ac:dyDescent="0.25">
      <c r="A13445" s="17" t="str">
        <f>Material!A70</f>
        <v>MA-69</v>
      </c>
      <c r="B13445" s="143" t="str">
        <f>IFERROR(VLOOKUP(A13445,Material!$A:$H,2,0),"-")</f>
        <v>TUBO CONDUIT METÁLICO GALVANIZADO IMC DIAMETRO 3/4"</v>
      </c>
      <c r="C13445" s="73"/>
      <c r="D13445" s="50" t="str">
        <f>IFERROR(VLOOKUP(A13445,Material!$A:$H,4,0),"-")</f>
        <v>ML</v>
      </c>
      <c r="E13445" s="53">
        <v>1</v>
      </c>
      <c r="F13445" s="51">
        <f>IFERROR(VLOOKUP(A13445,Material!$A:$H,3,0),"-")</f>
        <v>29965</v>
      </c>
      <c r="G13445" s="51">
        <f t="shared" ref="G13445:G13453" si="192">IFERROR(ROUNDUP(F13445*E13445,0),"-")</f>
        <v>29965</v>
      </c>
    </row>
    <row r="13446" spans="1:7" x14ac:dyDescent="0.25">
      <c r="A13446" s="17" t="str">
        <f>Material!A71</f>
        <v>MA-70</v>
      </c>
      <c r="B13446" s="143" t="str">
        <f>IFERROR(VLOOKUP(A13446,Material!$A:$H,2,0),"-")</f>
        <v>CORAZA METÁLICA LIQUID TIGHT DE 3/4"</v>
      </c>
      <c r="C13446" s="73"/>
      <c r="D13446" s="50" t="str">
        <f>IFERROR(VLOOKUP(A13446,Material!$A:$H,4,0),"-")</f>
        <v>ML</v>
      </c>
      <c r="E13446" s="53">
        <v>0.5</v>
      </c>
      <c r="F13446" s="51">
        <f>IFERROR(VLOOKUP(A13446,Material!$A:$H,3,0),"-")</f>
        <v>8905</v>
      </c>
      <c r="G13446" s="51">
        <f t="shared" si="192"/>
        <v>4453</v>
      </c>
    </row>
    <row r="13447" spans="1:7" x14ac:dyDescent="0.25">
      <c r="A13447" s="17" t="str">
        <f>Material!A72</f>
        <v>MA-71</v>
      </c>
      <c r="B13447" s="143" t="str">
        <f>IFERROR(VLOOKUP(A13447,Material!$A:$H,2,0),"-")</f>
        <v>TUBERÍA PVC 3/4"</v>
      </c>
      <c r="C13447" s="73"/>
      <c r="D13447" s="50" t="s">
        <v>108</v>
      </c>
      <c r="E13447" s="53">
        <v>2</v>
      </c>
      <c r="F13447" s="51">
        <f>IFERROR(VLOOKUP(A13447,Material!$A:$H,3,0),"-")</f>
        <v>2253.3333333333335</v>
      </c>
      <c r="G13447" s="51">
        <f t="shared" si="192"/>
        <v>4507</v>
      </c>
    </row>
    <row r="13448" spans="1:7" x14ac:dyDescent="0.25">
      <c r="A13448" s="17" t="str">
        <f>Material!A73</f>
        <v>MA-72</v>
      </c>
      <c r="B13448" s="143" t="str">
        <f>IFERROR(VLOOKUP(A13448,Material!$A:$H,2,0),"-")</f>
        <v>CURVA PVC 3/4"</v>
      </c>
      <c r="C13448" s="73"/>
      <c r="D13448" s="50" t="str">
        <f>IFERROR(VLOOKUP(A13448,Material!$A:$H,4,0),"-")</f>
        <v>UN</v>
      </c>
      <c r="E13448" s="53">
        <v>1</v>
      </c>
      <c r="F13448" s="51">
        <f>IFERROR(VLOOKUP(A13448,Material!$A:$H,3,0),"-")</f>
        <v>975</v>
      </c>
      <c r="G13448" s="51">
        <f t="shared" si="192"/>
        <v>975</v>
      </c>
    </row>
    <row r="13449" spans="1:7" x14ac:dyDescent="0.25">
      <c r="A13449" s="17" t="str">
        <f>Material!A74</f>
        <v>MA-73</v>
      </c>
      <c r="B13449" s="143" t="str">
        <f>IFERROR(VLOOKUP(A13449,Material!$A:$H,2,0),"-")</f>
        <v>CONECTOR RECTO LIQUID TIGHT DE 3/4"</v>
      </c>
      <c r="C13449" s="73"/>
      <c r="D13449" s="50" t="str">
        <f>IFERROR(VLOOKUP(A13449,Material!$A:$H,4,0),"-")</f>
        <v>UN</v>
      </c>
      <c r="E13449" s="53">
        <v>2</v>
      </c>
      <c r="F13449" s="51">
        <f>IFERROR(VLOOKUP(A13449,Material!$A:$H,3,0),"-")</f>
        <v>19034.600000000002</v>
      </c>
      <c r="G13449" s="51">
        <f t="shared" si="192"/>
        <v>38070</v>
      </c>
    </row>
    <row r="13450" spans="1:7" x14ac:dyDescent="0.25">
      <c r="A13450" s="17" t="str">
        <f>Material!A75</f>
        <v>MA-74</v>
      </c>
      <c r="B13450" s="143" t="str">
        <f>IFERROR(VLOOKUP(A13450,Material!$A:$H,2,0),"-")</f>
        <v>CONDULETA TIPO LR DE 3/4" IMC</v>
      </c>
      <c r="C13450" s="73"/>
      <c r="D13450" s="50" t="str">
        <f>IFERROR(VLOOKUP(A13450,Material!$A:$H,4,0),"-")</f>
        <v>UN</v>
      </c>
      <c r="E13450" s="53">
        <v>1</v>
      </c>
      <c r="F13450" s="51">
        <f>IFERROR(VLOOKUP(A13450,Material!$A:$H,3,0),"-")</f>
        <v>8433.1</v>
      </c>
      <c r="G13450" s="51">
        <f t="shared" si="192"/>
        <v>8434</v>
      </c>
    </row>
    <row r="13451" spans="1:7" x14ac:dyDescent="0.25">
      <c r="A13451" s="17" t="str">
        <f>Material!A201</f>
        <v>MA-200</v>
      </c>
      <c r="B13451" s="143" t="str">
        <f>IFERROR(VLOOKUP(A13451,Material!$A:$H,2,0),"-")</f>
        <v>SOLDADURA PVC 1/4 GL</v>
      </c>
      <c r="C13451" s="73"/>
      <c r="D13451" s="50" t="str">
        <f>IFERROR(VLOOKUP(A13451,Material!$A:$H,4,0),"-")</f>
        <v>GALÓN</v>
      </c>
      <c r="E13451" s="96">
        <v>3.3333333333333333E-2</v>
      </c>
      <c r="F13451" s="51">
        <f>IFERROR(VLOOKUP(A13451,Material!$A:$H,3,0),"-")</f>
        <v>88270</v>
      </c>
      <c r="G13451" s="51">
        <f t="shared" si="192"/>
        <v>2943</v>
      </c>
    </row>
    <row r="13452" spans="1:7" x14ac:dyDescent="0.25">
      <c r="A13452" s="17" t="str">
        <f>Material!A253</f>
        <v>MA-252</v>
      </c>
      <c r="B13452" s="143" t="str">
        <f>IFERROR(VLOOKUP(A13452,Material!$A:$H,2,0),"-")</f>
        <v>LIMPIADOR DE TUBERÍA PVC 1/4 GL</v>
      </c>
      <c r="C13452" s="73"/>
      <c r="D13452" s="50" t="str">
        <f>IFERROR(VLOOKUP(A13452,Material!$A:$H,4,0),"-")</f>
        <v>GALÓN</v>
      </c>
      <c r="E13452" s="96">
        <v>3.3333333333333333E-2</v>
      </c>
      <c r="F13452" s="51">
        <f>IFERROR(VLOOKUP(A13452,Material!$A:$H,3,0),"-")</f>
        <v>60970</v>
      </c>
      <c r="G13452" s="51">
        <f t="shared" si="192"/>
        <v>2033</v>
      </c>
    </row>
    <row r="13453" spans="1:7" x14ac:dyDescent="0.25">
      <c r="A13453" s="17"/>
      <c r="B13453" s="143" t="str">
        <f>IFERROR(VLOOKUP(A13453,Material!$A:$H,2,0),"-")</f>
        <v>-</v>
      </c>
      <c r="C13453" s="73"/>
      <c r="D13453" s="50" t="str">
        <f>IFERROR(VLOOKUP(A13453,Material!$A:$H,4,0),"-")</f>
        <v>-</v>
      </c>
      <c r="E13453" s="96"/>
      <c r="F13453" s="51" t="str">
        <f>IFERROR(VLOOKUP(A13453,Material!$A:$H,3,0),"-")</f>
        <v>-</v>
      </c>
      <c r="G13453" s="51" t="str">
        <f t="shared" si="192"/>
        <v>-</v>
      </c>
    </row>
    <row r="13454" spans="1:7" x14ac:dyDescent="0.25">
      <c r="A13454" s="219" t="s">
        <v>41</v>
      </c>
      <c r="B13454" s="219"/>
      <c r="C13454" s="219"/>
      <c r="D13454" s="219"/>
      <c r="E13454" s="219"/>
      <c r="F13454" s="219"/>
      <c r="G13454" s="52">
        <f>SUM(G13445:G13453)</f>
        <v>91380</v>
      </c>
    </row>
    <row r="13455" spans="1:7" x14ac:dyDescent="0.25">
      <c r="A13455" s="56"/>
      <c r="B13455" s="57"/>
      <c r="C13455" s="57"/>
      <c r="D13455" s="57"/>
      <c r="E13455" s="57"/>
      <c r="F13455" s="57"/>
      <c r="G13455" s="58"/>
    </row>
    <row r="13456" spans="1:7" x14ac:dyDescent="0.25">
      <c r="A13456" s="219" t="s">
        <v>42</v>
      </c>
      <c r="B13456" s="219"/>
      <c r="C13456" s="219"/>
      <c r="D13456" s="219"/>
      <c r="E13456" s="219"/>
      <c r="F13456" s="219"/>
      <c r="G13456" s="219"/>
    </row>
    <row r="13457" spans="1:7" x14ac:dyDescent="0.25">
      <c r="A13457" s="49" t="s">
        <v>35</v>
      </c>
      <c r="B13457" s="49" t="s">
        <v>36</v>
      </c>
      <c r="C13457" s="49" t="s">
        <v>38</v>
      </c>
      <c r="D13457" s="49" t="s">
        <v>43</v>
      </c>
      <c r="E13457" s="49" t="s">
        <v>44</v>
      </c>
      <c r="F13457" s="49" t="s">
        <v>45</v>
      </c>
      <c r="G13457" s="49" t="s">
        <v>40</v>
      </c>
    </row>
    <row r="13458" spans="1:7" x14ac:dyDescent="0.25">
      <c r="A13458" s="50" t="s">
        <v>319</v>
      </c>
      <c r="B13458" s="68" t="str">
        <f>VLOOKUP(A13458,'Componentes APUs'!$H$1:$L$25,2,0)</f>
        <v>Ingeniero Residente de Obra</v>
      </c>
      <c r="C13458" s="93">
        <v>0.25</v>
      </c>
      <c r="D13458" s="50">
        <f>VLOOKUP(A13458,'Componentes APUs'!$H$1:$L$25,3,0)</f>
        <v>4</v>
      </c>
      <c r="E13458" s="51">
        <f>VLOOKUP(A13458,'Componentes APUs'!$H$1:$L$25,4,0)</f>
        <v>271142.85714285716</v>
      </c>
      <c r="F13458" s="51">
        <f>VLOOKUP(A13458,'Componentes APUs'!$H$1:$L$25,5,0)</f>
        <v>162685.71428571429</v>
      </c>
      <c r="G13458" s="51">
        <f>ROUNDUP((E13458+F13458)*C13458/E13442,0)</f>
        <v>5423</v>
      </c>
    </row>
    <row r="13459" spans="1:7" x14ac:dyDescent="0.25">
      <c r="A13459" s="50" t="s">
        <v>320</v>
      </c>
      <c r="B13459" s="68" t="str">
        <f>VLOOKUP(A13459,'Componentes APUs'!$H$1:$L$25,2,0)</f>
        <v>Tecnico Supervisor</v>
      </c>
      <c r="C13459" s="93">
        <v>0.25</v>
      </c>
      <c r="D13459" s="50">
        <f>VLOOKUP(A13459,'Componentes APUs'!$H$1:$L$25,3,0)</f>
        <v>2.2999999999999998</v>
      </c>
      <c r="E13459" s="51">
        <f>VLOOKUP(A13459,'Componentes APUs'!$H$1:$L$25,4,0)</f>
        <v>155907.14285714284</v>
      </c>
      <c r="F13459" s="51">
        <f>VLOOKUP(A13459,'Componentes APUs'!$H$1:$L$25,5,0)</f>
        <v>93544.285714285696</v>
      </c>
      <c r="G13459" s="51">
        <f>ROUNDUP((E13459+F13459)*C13459/E13442,0)</f>
        <v>3119</v>
      </c>
    </row>
    <row r="13460" spans="1:7" x14ac:dyDescent="0.25">
      <c r="A13460" s="50" t="s">
        <v>46</v>
      </c>
      <c r="B13460" s="68" t="str">
        <f>VLOOKUP(A13460,'Componentes APUs'!$H$1:$L$25,2,0)</f>
        <v>Tecnico Liniero</v>
      </c>
      <c r="C13460" s="93">
        <v>1</v>
      </c>
      <c r="D13460" s="50">
        <f>VLOOKUP(A13460,'Componentes APUs'!$H$1:$L$25,3,0)</f>
        <v>2</v>
      </c>
      <c r="E13460" s="51">
        <f>VLOOKUP(A13460,'Componentes APUs'!$H$1:$L$25,4,0)</f>
        <v>154619.04761904763</v>
      </c>
      <c r="F13460" s="51">
        <f>VLOOKUP(A13460,'Componentes APUs'!$H$1:$L$25,5,0)</f>
        <v>92771.42857142858</v>
      </c>
      <c r="G13460" s="51">
        <f>ROUNDUP((E13460+F13460)*C13460/E13442,0)</f>
        <v>12370</v>
      </c>
    </row>
    <row r="13461" spans="1:7" x14ac:dyDescent="0.25">
      <c r="A13461" s="50" t="s">
        <v>48</v>
      </c>
      <c r="B13461" s="68" t="str">
        <f>VLOOKUP(A13461,'Componentes APUs'!$H$1:$L$25,2,0)</f>
        <v>Ayudante Calificado</v>
      </c>
      <c r="C13461" s="93">
        <v>1</v>
      </c>
      <c r="D13461" s="50">
        <f>VLOOKUP(A13461,'Componentes APUs'!$H$1:$L$25,3,0)</f>
        <v>1.5</v>
      </c>
      <c r="E13461" s="51">
        <f>VLOOKUP(A13461,'Componentes APUs'!$H$1:$L$25,4,0)</f>
        <v>115964.28571428571</v>
      </c>
      <c r="F13461" s="51">
        <f>VLOOKUP(A13461,'Componentes APUs'!$H$1:$L$25,5,0)</f>
        <v>69578.57142857142</v>
      </c>
      <c r="G13461" s="51">
        <f>ROUNDUP((E13461+F13461)*C13461/E13442,0)</f>
        <v>9278</v>
      </c>
    </row>
    <row r="13462" spans="1:7" x14ac:dyDescent="0.25">
      <c r="A13462" s="50" t="s">
        <v>50</v>
      </c>
      <c r="B13462" s="68" t="str">
        <f>VLOOKUP(A13462,'Componentes APUs'!$H$1:$L$25,2,0)</f>
        <v>Profesional en SST</v>
      </c>
      <c r="C13462" s="93">
        <v>0.25</v>
      </c>
      <c r="D13462" s="50">
        <f>VLOOKUP(A13462,'Componentes APUs'!$H$1:$L$25,3,0)</f>
        <v>2.5</v>
      </c>
      <c r="E13462" s="51">
        <f>VLOOKUP(A13462,'Componentes APUs'!$H$1:$L$25,4,0)</f>
        <v>169464.28571428571</v>
      </c>
      <c r="F13462" s="51">
        <f>VLOOKUP(A13462,'Componentes APUs'!$H$1:$L$25,5,0)</f>
        <v>101678.57142857142</v>
      </c>
      <c r="G13462" s="51">
        <f>ROUNDUP((E13462+F13462)*C13462/E13442,0)</f>
        <v>3390</v>
      </c>
    </row>
    <row r="13463" spans="1:7" x14ac:dyDescent="0.25">
      <c r="A13463" s="50" t="s">
        <v>52</v>
      </c>
      <c r="B13463" s="68" t="str">
        <f>VLOOKUP(A13463,'Componentes APUs'!$H$1:$L$25,2,0)</f>
        <v>Ayudante No Calificado</v>
      </c>
      <c r="C13463" s="93">
        <v>0</v>
      </c>
      <c r="D13463" s="50">
        <f>VLOOKUP(A13463,'Componentes APUs'!$H$1:$L$25,3,0)</f>
        <v>1</v>
      </c>
      <c r="E13463" s="51">
        <f>VLOOKUP(A13463,'Componentes APUs'!$H$1:$L$25,4,0)</f>
        <v>77309.523809523816</v>
      </c>
      <c r="F13463" s="51">
        <f>VLOOKUP(A13463,'Componentes APUs'!$H$1:$L$25,5,0)</f>
        <v>46385.71428571429</v>
      </c>
      <c r="G13463" s="51">
        <f>ROUNDUP((E13463+F13463)*C13463/E13442,0)</f>
        <v>0</v>
      </c>
    </row>
    <row r="13464" spans="1:7" x14ac:dyDescent="0.25">
      <c r="A13464" s="219" t="s">
        <v>56</v>
      </c>
      <c r="B13464" s="219"/>
      <c r="C13464" s="219"/>
      <c r="D13464" s="219"/>
      <c r="E13464" s="219"/>
      <c r="F13464" s="219"/>
      <c r="G13464" s="52">
        <f>SUM(G13458:G13463)</f>
        <v>33580</v>
      </c>
    </row>
    <row r="13465" spans="1:7" x14ac:dyDescent="0.25">
      <c r="A13465" s="56"/>
      <c r="B13465" s="57"/>
      <c r="C13465" s="57"/>
      <c r="D13465" s="57"/>
      <c r="E13465" s="57"/>
      <c r="F13465" s="57"/>
      <c r="G13465" s="58"/>
    </row>
    <row r="13466" spans="1:7" x14ac:dyDescent="0.25">
      <c r="A13466" s="219" t="s">
        <v>57</v>
      </c>
      <c r="B13466" s="219"/>
      <c r="C13466" s="219"/>
      <c r="D13466" s="219"/>
      <c r="E13466" s="219"/>
      <c r="F13466" s="219"/>
      <c r="G13466" s="219"/>
    </row>
    <row r="13467" spans="1:7" x14ac:dyDescent="0.25">
      <c r="A13467" s="49" t="s">
        <v>35</v>
      </c>
      <c r="B13467" s="219" t="s">
        <v>36</v>
      </c>
      <c r="C13467" s="219"/>
      <c r="D13467" s="49" t="s">
        <v>37</v>
      </c>
      <c r="E13467" s="49" t="s">
        <v>38</v>
      </c>
      <c r="F13467" s="49" t="s">
        <v>39</v>
      </c>
      <c r="G13467" s="49" t="s">
        <v>40</v>
      </c>
    </row>
    <row r="13468" spans="1:7" x14ac:dyDescent="0.25">
      <c r="A13468" s="50" t="s">
        <v>326</v>
      </c>
      <c r="B13468" s="220" t="str">
        <f>VLOOKUP(A13468,'Componentes APUs'!$S$1:$V$10,2,0)</f>
        <v>Juego Llaves</v>
      </c>
      <c r="C13468" s="220"/>
      <c r="D13468" s="50" t="s">
        <v>18</v>
      </c>
      <c r="E13468" s="50">
        <v>2</v>
      </c>
      <c r="F13468" s="51">
        <f>VLOOKUP(A13468,'Componentes APUs'!$S$1:$V$10,4,0)</f>
        <v>9167</v>
      </c>
      <c r="G13468" s="51">
        <f>ROUNDUP(F13468*((E13468/21)/E13442),0)</f>
        <v>44</v>
      </c>
    </row>
    <row r="13469" spans="1:7" x14ac:dyDescent="0.25">
      <c r="A13469" s="50" t="s">
        <v>58</v>
      </c>
      <c r="B13469" s="220" t="str">
        <f>VLOOKUP(A13469,'Componentes APUs'!$S$1:$V$10,2,0)</f>
        <v>Manila de servicio</v>
      </c>
      <c r="C13469" s="220"/>
      <c r="D13469" s="50" t="s">
        <v>18</v>
      </c>
      <c r="E13469" s="50">
        <v>2</v>
      </c>
      <c r="F13469" s="51">
        <f>VLOOKUP(A13469,'Componentes APUs'!$S$1:$V$10,4,0)</f>
        <v>2333</v>
      </c>
      <c r="G13469" s="51">
        <f>ROUNDUP(F13469*((E13469/21)/E13442),0)</f>
        <v>12</v>
      </c>
    </row>
    <row r="13470" spans="1:7" x14ac:dyDescent="0.25">
      <c r="A13470" s="50" t="s">
        <v>327</v>
      </c>
      <c r="B13470" s="220" t="str">
        <f>VLOOKUP(A13470,'Componentes APUs'!$S$1:$V$10,2,0)</f>
        <v>Tula portaherramientas</v>
      </c>
      <c r="C13470" s="220"/>
      <c r="D13470" s="50" t="s">
        <v>18</v>
      </c>
      <c r="E13470" s="50">
        <v>2</v>
      </c>
      <c r="F13470" s="51">
        <f>VLOOKUP(A13470,'Componentes APUs'!$S$1:$V$10,4,0)</f>
        <v>1250</v>
      </c>
      <c r="G13470" s="51">
        <f>ROUNDUP(F13470*((E13470/21)/E13442),0)</f>
        <v>6</v>
      </c>
    </row>
    <row r="13471" spans="1:7" x14ac:dyDescent="0.25">
      <c r="A13471" s="50" t="s">
        <v>60</v>
      </c>
      <c r="B13471" s="220" t="str">
        <f>VLOOKUP(A13471,'Componentes APUs'!$S$1:$V$10,2,0)</f>
        <v>Agarradoras</v>
      </c>
      <c r="C13471" s="220"/>
      <c r="D13471" s="50" t="s">
        <v>18</v>
      </c>
      <c r="E13471" s="50">
        <v>0</v>
      </c>
      <c r="F13471" s="51">
        <f>VLOOKUP(A13471,'Componentes APUs'!$S$1:$V$10,4,0)</f>
        <v>125000</v>
      </c>
      <c r="G13471" s="51">
        <f>ROUNDUP(F13471*((E13471/21)/E13442),0)</f>
        <v>0</v>
      </c>
    </row>
    <row r="13472" spans="1:7" x14ac:dyDescent="0.25">
      <c r="A13472" s="50" t="s">
        <v>62</v>
      </c>
      <c r="B13472" s="220" t="str">
        <f>VLOOKUP(A13472,'Componentes APUs'!$S$1:$V$10,2,0)</f>
        <v>Templadoras</v>
      </c>
      <c r="C13472" s="220"/>
      <c r="D13472" s="50" t="s">
        <v>18</v>
      </c>
      <c r="E13472" s="50">
        <v>0</v>
      </c>
      <c r="F13472" s="51">
        <f>VLOOKUP(A13472,'Componentes APUs'!$S$1:$V$10,4,0)</f>
        <v>250000</v>
      </c>
      <c r="G13472" s="51">
        <f>ROUNDUP(F13472*((E13472/21)/E13442),0)</f>
        <v>0</v>
      </c>
    </row>
    <row r="13473" spans="1:7" x14ac:dyDescent="0.25">
      <c r="A13473" s="50" t="s">
        <v>328</v>
      </c>
      <c r="B13473" s="220" t="str">
        <f>VLOOKUP(A13473,'Componentes APUs'!$S$1:$V$10,2,0)</f>
        <v>Herramienta Menor</v>
      </c>
      <c r="C13473" s="220"/>
      <c r="D13473" s="50" t="s">
        <v>18</v>
      </c>
      <c r="E13473" s="50">
        <v>2</v>
      </c>
      <c r="F13473" s="51">
        <f>VLOOKUP(A13473,'Componentes APUs'!$S$1:$V$10,4,0)</f>
        <v>75758</v>
      </c>
      <c r="G13473" s="51">
        <f>ROUNDUP(F13473*((E13473/21)/E13442),0)</f>
        <v>361</v>
      </c>
    </row>
    <row r="13474" spans="1:7" x14ac:dyDescent="0.25">
      <c r="A13474" s="219" t="s">
        <v>69</v>
      </c>
      <c r="B13474" s="219"/>
      <c r="C13474" s="219"/>
      <c r="D13474" s="219"/>
      <c r="E13474" s="219"/>
      <c r="F13474" s="219"/>
      <c r="G13474" s="52">
        <f>SUM(G13468:G13473)</f>
        <v>423</v>
      </c>
    </row>
    <row r="13475" spans="1:7" x14ac:dyDescent="0.25">
      <c r="A13475" s="56"/>
      <c r="B13475" s="57"/>
      <c r="C13475" s="57"/>
      <c r="D13475" s="57"/>
      <c r="E13475" s="57"/>
      <c r="F13475" s="57"/>
      <c r="G13475" s="58"/>
    </row>
    <row r="13476" spans="1:7" x14ac:dyDescent="0.25">
      <c r="A13476" s="219" t="s">
        <v>70</v>
      </c>
      <c r="B13476" s="219"/>
      <c r="C13476" s="219"/>
      <c r="D13476" s="219"/>
      <c r="E13476" s="219"/>
      <c r="F13476" s="219"/>
      <c r="G13476" s="219"/>
    </row>
    <row r="13477" spans="1:7" x14ac:dyDescent="0.25">
      <c r="A13477" s="49" t="s">
        <v>35</v>
      </c>
      <c r="B13477" s="219" t="s">
        <v>36</v>
      </c>
      <c r="C13477" s="219"/>
      <c r="D13477" s="49" t="s">
        <v>37</v>
      </c>
      <c r="E13477" s="49" t="s">
        <v>38</v>
      </c>
      <c r="F13477" s="49" t="s">
        <v>39</v>
      </c>
      <c r="G13477" s="49" t="s">
        <v>40</v>
      </c>
    </row>
    <row r="13478" spans="1:7" x14ac:dyDescent="0.25">
      <c r="A13478" s="50" t="s">
        <v>71</v>
      </c>
      <c r="B13478" s="71" t="str">
        <f>VLOOKUP(A13478,'Componentes APUs'!$A$1:$D$14,2,0)</f>
        <v>Camisa indigo sin partes metalicas</v>
      </c>
      <c r="C13478" s="71"/>
      <c r="D13478" s="50" t="str">
        <f>VLOOKUP(A13478,'Componentes APUs'!$A$1:$D$14,3,0)</f>
        <v>U</v>
      </c>
      <c r="E13478" s="50">
        <f>SUM(C13458:C13463)</f>
        <v>2.75</v>
      </c>
      <c r="F13478" s="51">
        <f>VLOOKUP(A13478,'Componentes APUs'!$A$1:$D$14,4,0)</f>
        <v>8585.8585858585866</v>
      </c>
      <c r="G13478" s="51">
        <f>ROUNDUP(F13478*(E13478/21)/E13442,0)</f>
        <v>57</v>
      </c>
    </row>
    <row r="13479" spans="1:7" x14ac:dyDescent="0.25">
      <c r="A13479" s="69" t="s">
        <v>73</v>
      </c>
      <c r="B13479" s="72" t="str">
        <f>VLOOKUP(A13479,'Componentes APUs'!$A$1:$D$14,2,0)</f>
        <v>Bota de seguridad dielectrica</v>
      </c>
      <c r="C13479" s="73"/>
      <c r="D13479" s="70" t="str">
        <f>VLOOKUP(A13479,'Componentes APUs'!$A$1:$D$14,3,0)</f>
        <v>Par</v>
      </c>
      <c r="E13479" s="50">
        <f>SUM(C13458:C13463)</f>
        <v>2.75</v>
      </c>
      <c r="F13479" s="51">
        <f>VLOOKUP(A13479,'Componentes APUs'!$A$1:$D$14,4,0)</f>
        <v>7500</v>
      </c>
      <c r="G13479" s="51">
        <f>ROUNDUP(F13479*(E13479/21)/E13442,0)</f>
        <v>50</v>
      </c>
    </row>
    <row r="13480" spans="1:7" x14ac:dyDescent="0.25">
      <c r="A13480" s="50" t="s">
        <v>76</v>
      </c>
      <c r="B13480" s="72" t="str">
        <f>VLOOKUP(A13480,'Componentes APUs'!$A$1:$D$14,2,0)</f>
        <v>Casco dielectrico Tipo 1 Clase E con barbuquejo</v>
      </c>
      <c r="C13480" s="73"/>
      <c r="D13480" s="50" t="str">
        <f>VLOOKUP(A13480,'Componentes APUs'!$A$1:$D$14,3,0)</f>
        <v>U</v>
      </c>
      <c r="E13480" s="50">
        <f>C13458+C13461+C13462+C13459+C13463+IF(A13460&lt;&gt;"MO-3",C13460,0)</f>
        <v>1.75</v>
      </c>
      <c r="F13480" s="51">
        <f>VLOOKUP(A13480,'Componentes APUs'!$A$1:$D$14,4,0)</f>
        <v>10101.010101010101</v>
      </c>
      <c r="G13480" s="51">
        <f>ROUNDUP(F13480*(E13480/21)/E13442,0)</f>
        <v>43</v>
      </c>
    </row>
    <row r="13481" spans="1:7" x14ac:dyDescent="0.25">
      <c r="A13481" s="69" t="s">
        <v>77</v>
      </c>
      <c r="B13481" s="72" t="str">
        <f>VLOOKUP(A13481,'Componentes APUs'!$A$1:$D$14,2,0)</f>
        <v>Correa plastica y antiflama</v>
      </c>
      <c r="C13481" s="73"/>
      <c r="D13481" s="50" t="str">
        <f>VLOOKUP(A13481,'Componentes APUs'!$A$1:$D$14,3,0)</f>
        <v>U</v>
      </c>
      <c r="E13481" s="50">
        <f>SUM(C13458:C13463)</f>
        <v>2.75</v>
      </c>
      <c r="F13481" s="51">
        <f>VLOOKUP(A13481,'Componentes APUs'!$A$1:$D$14,4,0)</f>
        <v>3787.878787878788</v>
      </c>
      <c r="G13481" s="51">
        <f>ROUNDUP(F13481*(E13481/21)/E13442,0)</f>
        <v>25</v>
      </c>
    </row>
    <row r="13482" spans="1:7" x14ac:dyDescent="0.25">
      <c r="A13482" s="50" t="s">
        <v>79</v>
      </c>
      <c r="B13482" s="72" t="str">
        <f>VLOOKUP(A13482,'Componentes APUs'!$A$1:$D$14,2,0)</f>
        <v>Gafas protectoras filtro UV</v>
      </c>
      <c r="C13482" s="73"/>
      <c r="D13482" s="50" t="str">
        <f>VLOOKUP(A13482,'Componentes APUs'!$A$1:$D$14,3,0)</f>
        <v>U</v>
      </c>
      <c r="E13482" s="50">
        <f>SUM(C13458:C13463)</f>
        <v>2.75</v>
      </c>
      <c r="F13482" s="51">
        <f>VLOOKUP(A13482,'Componentes APUs'!$A$1:$D$14,4,0)</f>
        <v>2777.7777777777778</v>
      </c>
      <c r="G13482" s="51">
        <f>ROUNDUP(F13482*(E13482/21)/E13442,0)</f>
        <v>19</v>
      </c>
    </row>
    <row r="13483" spans="1:7" x14ac:dyDescent="0.25">
      <c r="A13483" s="69" t="s">
        <v>402</v>
      </c>
      <c r="B13483" s="72" t="str">
        <f>VLOOKUP(A13483,'Componentes APUs'!$A$1:$D$14,2,0)</f>
        <v>Bota de seguridad PVC dielectrica</v>
      </c>
      <c r="C13483" s="73"/>
      <c r="D13483" s="50" t="str">
        <f>VLOOKUP(A13483,'Componentes APUs'!$A$1:$D$14,3,0)</f>
        <v>Par</v>
      </c>
      <c r="E13483" s="50">
        <f>SUM(C13458:C13463)</f>
        <v>2.75</v>
      </c>
      <c r="F13483" s="51">
        <f>VLOOKUP(A13483,'Componentes APUs'!$A$1:$D$14,4,0)</f>
        <v>2916.6666666666665</v>
      </c>
      <c r="G13483" s="51">
        <f>ROUNDUP(F13483*(E13483/21)/E13442,0)</f>
        <v>20</v>
      </c>
    </row>
    <row r="13484" spans="1:7" x14ac:dyDescent="0.25">
      <c r="A13484" s="50" t="s">
        <v>403</v>
      </c>
      <c r="B13484" s="72" t="str">
        <f>VLOOKUP(A13484,'Componentes APUs'!$A$1:$D$14,2,0)</f>
        <v>Capuchon</v>
      </c>
      <c r="C13484" s="73"/>
      <c r="D13484" s="50" t="str">
        <f>VLOOKUP(A13484,'Componentes APUs'!$A$1:$D$14,3,0)</f>
        <v>U</v>
      </c>
      <c r="E13484" s="50">
        <f>SUM(C13458:C13463)</f>
        <v>2.75</v>
      </c>
      <c r="F13484" s="51">
        <f>VLOOKUP(A13484,'Componentes APUs'!$A$1:$D$14,4,0)</f>
        <v>2525.2525252525252</v>
      </c>
      <c r="G13484" s="51">
        <f>ROUNDUP(F13484*(E13484/21)/E13442,0)</f>
        <v>17</v>
      </c>
    </row>
    <row r="13485" spans="1:7" x14ac:dyDescent="0.25">
      <c r="A13485" s="69" t="s">
        <v>81</v>
      </c>
      <c r="B13485" s="72" t="str">
        <f>VLOOKUP(A13485,'Componentes APUs'!$A$1:$D$14,2,0)</f>
        <v>Guantes Protectores  - ingeniero reforzados</v>
      </c>
      <c r="C13485" s="73"/>
      <c r="D13485" s="50" t="str">
        <f>VLOOKUP(A13485,'Componentes APUs'!$A$1:$D$14,3,0)</f>
        <v>Par</v>
      </c>
      <c r="E13485" s="50">
        <f>C13460+C13461+C13463</f>
        <v>2</v>
      </c>
      <c r="F13485" s="51">
        <f>VLOOKUP(A13485,'Componentes APUs'!$A$1:$D$14,4,0)</f>
        <v>2525.2525252525252</v>
      </c>
      <c r="G13485" s="51">
        <f>ROUNDUP(F13485*(E13485/21)/E13442,0)</f>
        <v>13</v>
      </c>
    </row>
    <row r="13486" spans="1:7" x14ac:dyDescent="0.25">
      <c r="A13486" s="50" t="s">
        <v>83</v>
      </c>
      <c r="B13486" s="72" t="str">
        <f>VLOOKUP(A13486,'Componentes APUs'!$A$1:$D$14,2,0)</f>
        <v>Impermeable (pantalon camisa)</v>
      </c>
      <c r="C13486" s="73"/>
      <c r="D13486" s="50" t="str">
        <f>VLOOKUP(A13486,'Componentes APUs'!$A$1:$D$14,3,0)</f>
        <v>U</v>
      </c>
      <c r="E13486" s="50">
        <f>SUM(C13458:C13463)</f>
        <v>2.75</v>
      </c>
      <c r="F13486" s="51">
        <f>VLOOKUP(A13486,'Componentes APUs'!$A$1:$D$14,4,0)</f>
        <v>3750</v>
      </c>
      <c r="G13486" s="51">
        <f>ROUNDUP(F13486*(E13486/21)/E13442,0)</f>
        <v>25</v>
      </c>
    </row>
    <row r="13487" spans="1:7" x14ac:dyDescent="0.25">
      <c r="A13487" s="69" t="s">
        <v>85</v>
      </c>
      <c r="B13487" s="72" t="str">
        <f>VLOOKUP(A13487,'Componentes APUs'!$A$1:$D$14,2,0)</f>
        <v>Jean Dielectrico</v>
      </c>
      <c r="C13487" s="73"/>
      <c r="D13487" s="50" t="str">
        <f>VLOOKUP(A13487,'Componentes APUs'!$A$1:$D$14,3,0)</f>
        <v>U</v>
      </c>
      <c r="E13487" s="50">
        <f>SUM(C13458:C13463)</f>
        <v>2.75</v>
      </c>
      <c r="F13487" s="51">
        <f>VLOOKUP(A13487,'Componentes APUs'!$A$1:$D$14,4,0)</f>
        <v>7575.757575757576</v>
      </c>
      <c r="G13487" s="51">
        <f>ROUNDUP(F13487*(E13487/21)/E13442,0)</f>
        <v>50</v>
      </c>
    </row>
    <row r="13488" spans="1:7" x14ac:dyDescent="0.25">
      <c r="A13488" s="50" t="s">
        <v>87</v>
      </c>
      <c r="B13488" s="72" t="str">
        <f>VLOOKUP(A13488,'Componentes APUs'!$A$1:$D$14,2,0)</f>
        <v>Casco dielectrico Tipo 2 Clase E con barboquejo</v>
      </c>
      <c r="C13488" s="73"/>
      <c r="D13488" s="50" t="str">
        <f>VLOOKUP(A13488,'Componentes APUs'!$A$1:$D$14,3,0)</f>
        <v>U</v>
      </c>
      <c r="E13488" s="53">
        <f>IF(A13460="MO-3",C13460,0)</f>
        <v>1</v>
      </c>
      <c r="F13488" s="51">
        <f>VLOOKUP(A13488,'Componentes APUs'!$A$1:$D$14,4,0)</f>
        <v>7500</v>
      </c>
      <c r="G13488" s="51">
        <f>ROUNDUP(F13488*(E13488/21)/E13442,0)</f>
        <v>18</v>
      </c>
    </row>
    <row r="13489" spans="1:7" x14ac:dyDescent="0.25">
      <c r="A13489" s="69" t="s">
        <v>89</v>
      </c>
      <c r="B13489" s="72" t="str">
        <f>VLOOKUP(A13489,'Componentes APUs'!$A$1:$D$14,2,0)</f>
        <v>Kit de rescate para trabajo en alturas</v>
      </c>
      <c r="C13489" s="73"/>
      <c r="D13489" s="50" t="str">
        <f>VLOOKUP(A13489,'Componentes APUs'!$A$1:$D$14,3,0)</f>
        <v>U</v>
      </c>
      <c r="E13489" s="50">
        <f>IF(AND(A13460="MO-3",C13460=2),1,0)</f>
        <v>0</v>
      </c>
      <c r="F13489" s="51">
        <f>VLOOKUP(A13489,'Componentes APUs'!$A$1:$D$14,4,0)</f>
        <v>37500</v>
      </c>
      <c r="G13489" s="51">
        <f>ROUNDUP(F13489*(E13489/21)/E13442,0)</f>
        <v>0</v>
      </c>
    </row>
    <row r="13490" spans="1:7" x14ac:dyDescent="0.25">
      <c r="A13490" s="50" t="s">
        <v>91</v>
      </c>
      <c r="B13490" s="72" t="str">
        <f>VLOOKUP(A13490,'Componentes APUs'!$A$1:$D$14,2,0)</f>
        <v>Equipo completo para trabajo en alturas con pretales (Arnes dielectrico, 1 mosqueton de seguridad, tie off dielectrico, eslinga de posicionamiento, juego de pretales)</v>
      </c>
      <c r="C13490" s="73"/>
      <c r="D13490" s="50" t="str">
        <f>VLOOKUP(A13490,'Componentes APUs'!$A$1:$D$14,3,0)</f>
        <v>U</v>
      </c>
      <c r="E13490" s="50">
        <f>IF(A13460="MO-3",C13460,0)</f>
        <v>1</v>
      </c>
      <c r="F13490" s="51">
        <f>VLOOKUP(A13490,'Componentes APUs'!$A$1:$D$14,4,0)</f>
        <v>26041.666666666668</v>
      </c>
      <c r="G13490" s="51">
        <f>ROUNDUP(F13490*(E13490/21)/E13442,0)</f>
        <v>63</v>
      </c>
    </row>
    <row r="13491" spans="1:7" x14ac:dyDescent="0.25">
      <c r="A13491" s="219" t="s">
        <v>95</v>
      </c>
      <c r="B13491" s="219"/>
      <c r="C13491" s="219"/>
      <c r="D13491" s="219"/>
      <c r="E13491" s="219"/>
      <c r="F13491" s="219"/>
      <c r="G13491" s="52">
        <f>SUM(G13478:G13490)</f>
        <v>400</v>
      </c>
    </row>
    <row r="13492" spans="1:7" x14ac:dyDescent="0.25">
      <c r="A13492" s="56"/>
      <c r="B13492" s="57"/>
      <c r="C13492" s="57"/>
      <c r="D13492" s="57"/>
      <c r="E13492" s="57"/>
      <c r="F13492" s="57"/>
      <c r="G13492" s="58"/>
    </row>
    <row r="13493" spans="1:7" x14ac:dyDescent="0.25">
      <c r="A13493" s="219" t="s">
        <v>96</v>
      </c>
      <c r="B13493" s="219"/>
      <c r="C13493" s="219"/>
      <c r="D13493" s="219"/>
      <c r="E13493" s="219"/>
      <c r="F13493" s="219"/>
      <c r="G13493" s="219"/>
    </row>
    <row r="13494" spans="1:7" x14ac:dyDescent="0.25">
      <c r="A13494" s="49" t="s">
        <v>35</v>
      </c>
      <c r="B13494" s="225" t="s">
        <v>36</v>
      </c>
      <c r="C13494" s="225"/>
      <c r="D13494" s="49" t="s">
        <v>37</v>
      </c>
      <c r="E13494" s="49" t="s">
        <v>38</v>
      </c>
      <c r="F13494" s="49" t="s">
        <v>39</v>
      </c>
      <c r="G13494" s="49" t="s">
        <v>40</v>
      </c>
    </row>
    <row r="13495" spans="1:7" x14ac:dyDescent="0.25">
      <c r="A13495" s="69" t="s">
        <v>97</v>
      </c>
      <c r="B13495" s="72" t="str">
        <f>VLOOKUP(A13495,'Componentes APUs'!$N$1:$Q$30,2,0)</f>
        <v>Camioneta</v>
      </c>
      <c r="C13495" s="73"/>
      <c r="D13495" s="70" t="str">
        <f>VLOOKUP(A13495,'Componentes APUs'!$N$1:$Q$30,3,0)</f>
        <v>U</v>
      </c>
      <c r="E13495" s="50">
        <v>1</v>
      </c>
      <c r="F13495" s="51">
        <f>VLOOKUP(A13495,'Componentes APUs'!$N$1:$Q$30,4,0)</f>
        <v>5500000</v>
      </c>
      <c r="G13495" s="51">
        <f>IFERROR(ROUNDUP(F13495*(E13495/21)/E13442,0),"-")</f>
        <v>13096</v>
      </c>
    </row>
    <row r="13496" spans="1:7" x14ac:dyDescent="0.25">
      <c r="A13496" s="50" t="s">
        <v>321</v>
      </c>
      <c r="B13496" s="72" t="str">
        <f>VLOOKUP(A13496,'Componentes APUs'!$N$1:$Q$30,2,0)</f>
        <v>Grúa Hidráulica</v>
      </c>
      <c r="C13496" s="73"/>
      <c r="D13496" s="70" t="str">
        <f>VLOOKUP(A13496,'Componentes APUs'!$N$1:$Q$30,3,0)</f>
        <v>U</v>
      </c>
      <c r="E13496" s="50">
        <v>0</v>
      </c>
      <c r="F13496" s="51">
        <f>VLOOKUP(A13496,'Componentes APUs'!$N$1:$Q$30,4,0)</f>
        <v>21000000</v>
      </c>
      <c r="G13496" s="51">
        <f>IFERROR(ROUNDUP(F13496*(E13496/21)/E13442,0),"-")</f>
        <v>0</v>
      </c>
    </row>
    <row r="13497" spans="1:7" x14ac:dyDescent="0.25">
      <c r="A13497" s="69" t="s">
        <v>322</v>
      </c>
      <c r="B13497" s="72" t="str">
        <f>VLOOKUP(A13497,'Componentes APUs'!$N$1:$Q$30,2,0)</f>
        <v>Camabaja</v>
      </c>
      <c r="C13497" s="73"/>
      <c r="D13497" s="70" t="str">
        <f>VLOOKUP(A13497,'Componentes APUs'!$N$1:$Q$30,3,0)</f>
        <v>TON/KM</v>
      </c>
      <c r="E13497" s="50">
        <v>0</v>
      </c>
      <c r="F13497" s="51">
        <f>VLOOKUP(A13497,'Componentes APUs'!$N$1:$Q$30,4,0)</f>
        <v>611</v>
      </c>
      <c r="G13497" s="51">
        <f>IFERROR(ROUNDUP(F13497*(E13497/21)/E13442,0),"-")</f>
        <v>0</v>
      </c>
    </row>
    <row r="13498" spans="1:7" x14ac:dyDescent="0.25">
      <c r="A13498" s="50" t="s">
        <v>323</v>
      </c>
      <c r="B13498" s="72" t="str">
        <f>VLOOKUP(A13498,'Componentes APUs'!$N$1:$Q$30,2,0)</f>
        <v>Volqueta</v>
      </c>
      <c r="C13498" s="73"/>
      <c r="D13498" s="70" t="str">
        <f>VLOOKUP(A13498,'Componentes APUs'!$N$1:$Q$30,3,0)</f>
        <v>U</v>
      </c>
      <c r="E13498" s="50">
        <v>0</v>
      </c>
      <c r="F13498" s="51">
        <f>VLOOKUP(A13498,'Componentes APUs'!$N$1:$Q$30,4,0)</f>
        <v>14828184</v>
      </c>
      <c r="G13498" s="51">
        <f>IFERROR(ROUNDUP(F13498*(E13498/21)/E13442,0),"-")</f>
        <v>0</v>
      </c>
    </row>
    <row r="13499" spans="1:7" x14ac:dyDescent="0.25">
      <c r="A13499" s="69" t="s">
        <v>324</v>
      </c>
      <c r="B13499" s="72" t="str">
        <f>VLOOKUP(A13499,'Componentes APUs'!$N$1:$Q$30,2,0)</f>
        <v>Retroexcavadora</v>
      </c>
      <c r="C13499" s="73"/>
      <c r="D13499" s="70" t="str">
        <f>VLOOKUP(A13499,'Componentes APUs'!$N$1:$Q$30,3,0)</f>
        <v>U</v>
      </c>
      <c r="E13499" s="50">
        <v>0</v>
      </c>
      <c r="F13499" s="51">
        <f>VLOOKUP(A13499,'Componentes APUs'!$N$1:$Q$30,4,0)</f>
        <v>46030656</v>
      </c>
      <c r="G13499" s="51">
        <f>IFERROR(ROUNDUP(F13499*(E13499/21)/E13442,0),"-")</f>
        <v>0</v>
      </c>
    </row>
    <row r="13500" spans="1:7" x14ac:dyDescent="0.25">
      <c r="A13500" s="219" t="s">
        <v>99</v>
      </c>
      <c r="B13500" s="219"/>
      <c r="C13500" s="219"/>
      <c r="D13500" s="219"/>
      <c r="E13500" s="219"/>
      <c r="F13500" s="219"/>
      <c r="G13500" s="52">
        <f>SUM(G13495:G13499)</f>
        <v>13096</v>
      </c>
    </row>
    <row r="13501" spans="1:7" x14ac:dyDescent="0.25">
      <c r="A13501" s="56"/>
      <c r="B13501" s="57"/>
      <c r="C13501" s="57"/>
      <c r="D13501" s="57"/>
      <c r="E13501" s="57"/>
      <c r="F13501" s="57"/>
      <c r="G13501" s="58"/>
    </row>
    <row r="13502" spans="1:7" x14ac:dyDescent="0.25">
      <c r="A13502" s="219" t="s">
        <v>1516</v>
      </c>
      <c r="B13502" s="219"/>
      <c r="C13502" s="219"/>
      <c r="D13502" s="219"/>
      <c r="E13502" s="219"/>
      <c r="F13502" s="219"/>
      <c r="G13502" s="52">
        <f>G13500+G13491+G13474+G13464+G13454</f>
        <v>138879</v>
      </c>
    </row>
    <row r="13503" spans="1:7" x14ac:dyDescent="0.25">
      <c r="A13503" s="59"/>
      <c r="B13503" s="60"/>
      <c r="C13503" s="60"/>
      <c r="D13503" s="60"/>
      <c r="E13503" s="57"/>
      <c r="F13503" s="57"/>
      <c r="G13503" s="58"/>
    </row>
    <row r="13504" spans="1:7" x14ac:dyDescent="0.25">
      <c r="A13504" s="64"/>
      <c r="D13504" s="55"/>
      <c r="E13504" s="49" t="s">
        <v>25</v>
      </c>
      <c r="F13504" s="54">
        <v>0.15</v>
      </c>
      <c r="G13504" s="51">
        <f>G13502*F13504</f>
        <v>20831.849999999999</v>
      </c>
    </row>
    <row r="13505" spans="1:7" x14ac:dyDescent="0.25">
      <c r="A13505" s="64"/>
      <c r="D13505" s="55"/>
      <c r="E13505" s="49" t="s">
        <v>26</v>
      </c>
      <c r="F13505" s="54">
        <v>0.05</v>
      </c>
      <c r="G13505" s="51">
        <f>G13502*F13505</f>
        <v>6943.9500000000007</v>
      </c>
    </row>
    <row r="13506" spans="1:7" x14ac:dyDescent="0.25">
      <c r="A13506" s="61"/>
      <c r="B13506" s="65"/>
      <c r="C13506" s="65"/>
      <c r="D13506" s="62"/>
      <c r="E13506" s="49" t="s">
        <v>27</v>
      </c>
      <c r="F13506" s="54">
        <v>0.05</v>
      </c>
      <c r="G13506" s="51">
        <f>G13502*F13506</f>
        <v>6943.9500000000007</v>
      </c>
    </row>
    <row r="13507" spans="1:7" x14ac:dyDescent="0.25">
      <c r="A13507" s="61"/>
      <c r="B13507" s="62"/>
      <c r="C13507" s="62"/>
      <c r="D13507" s="62"/>
      <c r="E13507" s="62"/>
      <c r="F13507" s="62"/>
      <c r="G13507" s="63"/>
    </row>
    <row r="13508" spans="1:7" x14ac:dyDescent="0.25">
      <c r="A13508" s="219" t="s">
        <v>1517</v>
      </c>
      <c r="B13508" s="219"/>
      <c r="C13508" s="219"/>
      <c r="D13508" s="219"/>
      <c r="E13508" s="219"/>
      <c r="F13508" s="219"/>
      <c r="G13508" s="52">
        <f>G13502+G13504+G13505+G13506</f>
        <v>173598.75000000003</v>
      </c>
    </row>
    <row r="13509" spans="1:7" x14ac:dyDescent="0.25">
      <c r="A13509" s="59"/>
      <c r="B13509" s="60"/>
      <c r="C13509" s="60"/>
      <c r="D13509" s="60"/>
      <c r="E13509" s="57"/>
      <c r="F13509" s="57"/>
      <c r="G13509" s="58"/>
    </row>
    <row r="13510" spans="1:7" x14ac:dyDescent="0.25">
      <c r="A13510" s="64"/>
      <c r="D13510" s="55"/>
      <c r="E13510" s="49" t="s">
        <v>102</v>
      </c>
      <c r="F13510" s="49" t="s">
        <v>103</v>
      </c>
      <c r="G13510" s="51">
        <f>G13506*19%</f>
        <v>1319.3505000000002</v>
      </c>
    </row>
    <row r="13511" spans="1:7" x14ac:dyDescent="0.25">
      <c r="A13511" s="61"/>
      <c r="B13511" s="62"/>
      <c r="C13511" s="62"/>
      <c r="D13511" s="62"/>
      <c r="E13511" s="57"/>
      <c r="F13511" s="57"/>
      <c r="G13511" s="58"/>
    </row>
    <row r="13512" spans="1:7" x14ac:dyDescent="0.25">
      <c r="A13512" s="219" t="s">
        <v>104</v>
      </c>
      <c r="B13512" s="219"/>
      <c r="C13512" s="219"/>
      <c r="D13512" s="219"/>
      <c r="E13512" s="219"/>
      <c r="F13512" s="219"/>
      <c r="G13512" s="52">
        <f>G13510+G13508</f>
        <v>174918.10050000003</v>
      </c>
    </row>
    <row r="13514" spans="1:7" x14ac:dyDescent="0.25">
      <c r="A13514" s="74" t="s">
        <v>29</v>
      </c>
      <c r="B13514" s="226" t="s">
        <v>30</v>
      </c>
      <c r="C13514" s="226"/>
      <c r="D13514" s="74" t="s">
        <v>31</v>
      </c>
      <c r="E13514" s="74" t="s">
        <v>32</v>
      </c>
      <c r="F13514" s="74" t="s">
        <v>189</v>
      </c>
      <c r="G13514" s="74" t="s">
        <v>33</v>
      </c>
    </row>
    <row r="13515" spans="1:7" ht="30.75" customHeight="1" x14ac:dyDescent="0.25">
      <c r="A13515" s="50" t="str">
        <f>Presupuesto!B244</f>
        <v>051_N3</v>
      </c>
      <c r="B13515" s="220" t="str">
        <f>Presupuesto!C244</f>
        <v>SUMINISTRO E INSTALACIÓN DE CABLE DE CONTROL APANTALLADO 3x10 AWG Cu- TC-THHN/THWN - ER- 600 V (CABLE PARA PTs)</v>
      </c>
      <c r="C13515" s="220"/>
      <c r="D13515" s="50" t="s">
        <v>108</v>
      </c>
      <c r="E13515" s="50">
        <v>90</v>
      </c>
      <c r="F13515" s="50"/>
      <c r="G13515" s="51">
        <f>G13583</f>
        <v>254822.04</v>
      </c>
    </row>
    <row r="13516" spans="1:7" x14ac:dyDescent="0.25">
      <c r="A13516" s="219" t="s">
        <v>34</v>
      </c>
      <c r="B13516" s="219"/>
      <c r="C13516" s="219"/>
      <c r="D13516" s="219"/>
      <c r="E13516" s="219"/>
      <c r="F13516" s="219"/>
      <c r="G13516" s="219"/>
    </row>
    <row r="13517" spans="1:7" x14ac:dyDescent="0.25">
      <c r="A13517" s="49" t="s">
        <v>35</v>
      </c>
      <c r="B13517" s="219" t="s">
        <v>36</v>
      </c>
      <c r="C13517" s="219"/>
      <c r="D13517" s="49" t="s">
        <v>37</v>
      </c>
      <c r="E13517" s="49" t="s">
        <v>38</v>
      </c>
      <c r="F13517" s="49" t="s">
        <v>39</v>
      </c>
      <c r="G13517" s="49" t="s">
        <v>40</v>
      </c>
    </row>
    <row r="13518" spans="1:7" ht="24" customHeight="1" x14ac:dyDescent="0.25">
      <c r="A13518" s="17" t="str">
        <f>Material!A403</f>
        <v>MA-402</v>
      </c>
      <c r="B13518" s="232" t="str">
        <f>IFERROR(VLOOKUP(A13518,Material!$A:$H,2,0),"-")</f>
        <v>CABLE CONTROL 4X10 AWG GRIS APANTALLADO FOIL 600V CHAQ.FR</v>
      </c>
      <c r="C13518" s="233"/>
      <c r="D13518" s="50" t="str">
        <f>IFERROR(VLOOKUP(A13518,Material!$A:$H,4,0),"-")</f>
        <v>ML</v>
      </c>
      <c r="E13518" s="50">
        <v>3</v>
      </c>
      <c r="F13518" s="51">
        <f>IFERROR(VLOOKUP(A13518,Material!$A:$H,3,0),"-")</f>
        <v>63830</v>
      </c>
      <c r="G13518" s="51">
        <f t="shared" ref="G13518:G13524" si="193">IFERROR(ROUNDUP(F13518*E13518,0),"-")</f>
        <v>191490</v>
      </c>
    </row>
    <row r="13519" spans="1:7" x14ac:dyDescent="0.25">
      <c r="A13519" s="17"/>
      <c r="B13519" s="72" t="str">
        <f>IFERROR(VLOOKUP(A13519,Material!$A:$H,2,0),"-")</f>
        <v>-</v>
      </c>
      <c r="C13519" s="73"/>
      <c r="D13519" s="50" t="str">
        <f>IFERROR(VLOOKUP(A13519,Material!$A:$H,4,0),"-")</f>
        <v>-</v>
      </c>
      <c r="E13519" s="50"/>
      <c r="F13519" s="51" t="str">
        <f>IFERROR(VLOOKUP(A13519,Material!$A:$H,3,0),"-")</f>
        <v>-</v>
      </c>
      <c r="G13519" s="51" t="str">
        <f t="shared" si="193"/>
        <v>-</v>
      </c>
    </row>
    <row r="13520" spans="1:7" x14ac:dyDescent="0.25">
      <c r="A13520" s="17"/>
      <c r="B13520" s="72" t="str">
        <f>IFERROR(VLOOKUP(A13520,Material!$A:$H,2,0),"-")</f>
        <v>-</v>
      </c>
      <c r="C13520" s="73"/>
      <c r="D13520" s="50" t="str">
        <f>IFERROR(VLOOKUP(A13520,Material!$A:$H,4,0),"-")</f>
        <v>-</v>
      </c>
      <c r="E13520" s="50"/>
      <c r="F13520" s="51" t="str">
        <f>IFERROR(VLOOKUP(A13520,Material!$A:$H,3,0),"-")</f>
        <v>-</v>
      </c>
      <c r="G13520" s="51" t="str">
        <f t="shared" si="193"/>
        <v>-</v>
      </c>
    </row>
    <row r="13521" spans="1:7" x14ac:dyDescent="0.25">
      <c r="A13521" s="17"/>
      <c r="B13521" s="72" t="str">
        <f>IFERROR(VLOOKUP(A13521,Material!$A:$H,2,0),"-")</f>
        <v>-</v>
      </c>
      <c r="C13521" s="73"/>
      <c r="D13521" s="50" t="str">
        <f>IFERROR(VLOOKUP(A13521,Material!$A:$H,4,0),"-")</f>
        <v>-</v>
      </c>
      <c r="E13521" s="50"/>
      <c r="F13521" s="51" t="str">
        <f>IFERROR(VLOOKUP(A13521,Material!$A:$H,3,0),"-")</f>
        <v>-</v>
      </c>
      <c r="G13521" s="51" t="str">
        <f t="shared" si="193"/>
        <v>-</v>
      </c>
    </row>
    <row r="13522" spans="1:7" x14ac:dyDescent="0.25">
      <c r="A13522" s="17"/>
      <c r="B13522" s="72" t="str">
        <f>IFERROR(VLOOKUP(A13522,Material!$A:$H,2,0),"-")</f>
        <v>-</v>
      </c>
      <c r="C13522" s="73"/>
      <c r="D13522" s="50" t="str">
        <f>IFERROR(VLOOKUP(A13522,Material!$A:$H,4,0),"-")</f>
        <v>-</v>
      </c>
      <c r="E13522" s="50"/>
      <c r="F13522" s="51" t="str">
        <f>IFERROR(VLOOKUP(A13522,Material!$A:$H,3,0),"-")</f>
        <v>-</v>
      </c>
      <c r="G13522" s="51" t="str">
        <f t="shared" si="193"/>
        <v>-</v>
      </c>
    </row>
    <row r="13523" spans="1:7" x14ac:dyDescent="0.25">
      <c r="A13523" s="17"/>
      <c r="B13523" s="75" t="str">
        <f>IFERROR(VLOOKUP(A13523,Material!$A:$H,2,0),"-")</f>
        <v>-</v>
      </c>
      <c r="C13523" s="76"/>
      <c r="D13523" s="50" t="str">
        <f>IFERROR(VLOOKUP(A13523,Material!$A:$H,4,0),"-")</f>
        <v>-</v>
      </c>
      <c r="E13523" s="50"/>
      <c r="F13523" s="51" t="str">
        <f>IFERROR(VLOOKUP(A13523,Material!$A:$H,3,0),"-")</f>
        <v>-</v>
      </c>
      <c r="G13523" s="51" t="str">
        <f t="shared" si="193"/>
        <v>-</v>
      </c>
    </row>
    <row r="13524" spans="1:7" x14ac:dyDescent="0.25">
      <c r="A13524" s="17"/>
      <c r="B13524" s="72" t="str">
        <f>IFERROR(VLOOKUP(A13524,Material!$A:$H,2,0),"-")</f>
        <v>-</v>
      </c>
      <c r="C13524" s="76"/>
      <c r="D13524" s="50" t="str">
        <f>IFERROR(VLOOKUP(A13524,Material!$A:$H,4,0),"-")</f>
        <v>-</v>
      </c>
      <c r="E13524" s="50"/>
      <c r="F13524" s="51" t="str">
        <f>IFERROR(VLOOKUP(A13524,Material!$A:$H,3,0),"-")</f>
        <v>-</v>
      </c>
      <c r="G13524" s="51" t="str">
        <f t="shared" si="193"/>
        <v>-</v>
      </c>
    </row>
    <row r="13525" spans="1:7" x14ac:dyDescent="0.25">
      <c r="A13525" s="219" t="s">
        <v>41</v>
      </c>
      <c r="B13525" s="219"/>
      <c r="C13525" s="219"/>
      <c r="D13525" s="219"/>
      <c r="E13525" s="219"/>
      <c r="F13525" s="219"/>
      <c r="G13525" s="52">
        <f>SUM(G13518:G13524)</f>
        <v>191490</v>
      </c>
    </row>
    <row r="13526" spans="1:7" x14ac:dyDescent="0.25">
      <c r="A13526" s="56"/>
      <c r="B13526" s="57"/>
      <c r="C13526" s="57"/>
      <c r="D13526" s="57"/>
      <c r="E13526" s="57"/>
      <c r="F13526" s="57"/>
      <c r="G13526" s="58"/>
    </row>
    <row r="13527" spans="1:7" x14ac:dyDescent="0.25">
      <c r="A13527" s="219" t="s">
        <v>42</v>
      </c>
      <c r="B13527" s="219"/>
      <c r="C13527" s="219"/>
      <c r="D13527" s="219"/>
      <c r="E13527" s="219"/>
      <c r="F13527" s="219"/>
      <c r="G13527" s="219"/>
    </row>
    <row r="13528" spans="1:7" x14ac:dyDescent="0.25">
      <c r="A13528" s="49" t="s">
        <v>35</v>
      </c>
      <c r="B13528" s="49" t="s">
        <v>36</v>
      </c>
      <c r="C13528" s="49" t="s">
        <v>38</v>
      </c>
      <c r="D13528" s="49" t="s">
        <v>43</v>
      </c>
      <c r="E13528" s="49" t="s">
        <v>44</v>
      </c>
      <c r="F13528" s="49" t="s">
        <v>45</v>
      </c>
      <c r="G13528" s="49" t="s">
        <v>40</v>
      </c>
    </row>
    <row r="13529" spans="1:7" x14ac:dyDescent="0.25">
      <c r="A13529" s="50" t="s">
        <v>319</v>
      </c>
      <c r="B13529" s="68" t="str">
        <f>VLOOKUP(A13529,'Componentes APUs'!$H$1:$L$25,2,0)</f>
        <v>Ingeniero Residente de Obra</v>
      </c>
      <c r="C13529" s="93">
        <v>0.25</v>
      </c>
      <c r="D13529" s="50">
        <f>VLOOKUP(A13529,'Componentes APUs'!$H$1:$L$25,3,0)</f>
        <v>4</v>
      </c>
      <c r="E13529" s="51">
        <f>VLOOKUP(A13529,'Componentes APUs'!$H$1:$L$25,4,0)</f>
        <v>271142.85714285716</v>
      </c>
      <c r="F13529" s="51">
        <f>VLOOKUP(A13529,'Componentes APUs'!$H$1:$L$25,5,0)</f>
        <v>162685.71428571429</v>
      </c>
      <c r="G13529" s="51">
        <f>ROUNDUP((E13529+F13529)*C13529/E13515,0)</f>
        <v>1206</v>
      </c>
    </row>
    <row r="13530" spans="1:7" x14ac:dyDescent="0.25">
      <c r="A13530" s="50" t="s">
        <v>320</v>
      </c>
      <c r="B13530" s="68" t="str">
        <f>VLOOKUP(A13530,'Componentes APUs'!$H$1:$L$25,2,0)</f>
        <v>Tecnico Supervisor</v>
      </c>
      <c r="C13530" s="93">
        <v>0.25</v>
      </c>
      <c r="D13530" s="50">
        <f>VLOOKUP(A13530,'Componentes APUs'!$H$1:$L$25,3,0)</f>
        <v>2.2999999999999998</v>
      </c>
      <c r="E13530" s="51">
        <f>VLOOKUP(A13530,'Componentes APUs'!$H$1:$L$25,4,0)</f>
        <v>155907.14285714284</v>
      </c>
      <c r="F13530" s="51">
        <f>VLOOKUP(A13530,'Componentes APUs'!$H$1:$L$25,5,0)</f>
        <v>93544.285714285696</v>
      </c>
      <c r="G13530" s="51">
        <f>ROUNDUP((E13530+F13530)*C13530/E13515,0)</f>
        <v>693</v>
      </c>
    </row>
    <row r="13531" spans="1:7" x14ac:dyDescent="0.25">
      <c r="A13531" s="50" t="s">
        <v>46</v>
      </c>
      <c r="B13531" s="68" t="str">
        <f>VLOOKUP(A13531,'Componentes APUs'!$H$1:$L$25,2,0)</f>
        <v>Tecnico Liniero</v>
      </c>
      <c r="C13531" s="93">
        <v>1</v>
      </c>
      <c r="D13531" s="50">
        <f>VLOOKUP(A13531,'Componentes APUs'!$H$1:$L$25,3,0)</f>
        <v>2</v>
      </c>
      <c r="E13531" s="51">
        <f>VLOOKUP(A13531,'Componentes APUs'!$H$1:$L$25,4,0)</f>
        <v>154619.04761904763</v>
      </c>
      <c r="F13531" s="51">
        <f>VLOOKUP(A13531,'Componentes APUs'!$H$1:$L$25,5,0)</f>
        <v>92771.42857142858</v>
      </c>
      <c r="G13531" s="51">
        <f>ROUNDUP((E13531+F13531)*C13531/E13515,0)</f>
        <v>2749</v>
      </c>
    </row>
    <row r="13532" spans="1:7" x14ac:dyDescent="0.25">
      <c r="A13532" s="50" t="s">
        <v>48</v>
      </c>
      <c r="B13532" s="68" t="str">
        <f>VLOOKUP(A13532,'Componentes APUs'!$H$1:$L$25,2,0)</f>
        <v>Ayudante Calificado</v>
      </c>
      <c r="C13532" s="93">
        <v>1</v>
      </c>
      <c r="D13532" s="50">
        <f>VLOOKUP(A13532,'Componentes APUs'!$H$1:$L$25,3,0)</f>
        <v>1.5</v>
      </c>
      <c r="E13532" s="51">
        <f>VLOOKUP(A13532,'Componentes APUs'!$H$1:$L$25,4,0)</f>
        <v>115964.28571428571</v>
      </c>
      <c r="F13532" s="51">
        <f>VLOOKUP(A13532,'Componentes APUs'!$H$1:$L$25,5,0)</f>
        <v>69578.57142857142</v>
      </c>
      <c r="G13532" s="51">
        <f>ROUNDUP((E13532+F13532)*C13532/E13515,0)</f>
        <v>2062</v>
      </c>
    </row>
    <row r="13533" spans="1:7" x14ac:dyDescent="0.25">
      <c r="A13533" s="50" t="s">
        <v>50</v>
      </c>
      <c r="B13533" s="68" t="str">
        <f>VLOOKUP(A13533,'Componentes APUs'!$H$1:$L$25,2,0)</f>
        <v>Profesional en SST</v>
      </c>
      <c r="C13533" s="93">
        <v>0.25</v>
      </c>
      <c r="D13533" s="50">
        <f>VLOOKUP(A13533,'Componentes APUs'!$H$1:$L$25,3,0)</f>
        <v>2.5</v>
      </c>
      <c r="E13533" s="51">
        <f>VLOOKUP(A13533,'Componentes APUs'!$H$1:$L$25,4,0)</f>
        <v>169464.28571428571</v>
      </c>
      <c r="F13533" s="51">
        <f>VLOOKUP(A13533,'Componentes APUs'!$H$1:$L$25,5,0)</f>
        <v>101678.57142857142</v>
      </c>
      <c r="G13533" s="51">
        <f>ROUNDUP((E13533+F13533)*C13533/E13515,0)</f>
        <v>754</v>
      </c>
    </row>
    <row r="13534" spans="1:7" x14ac:dyDescent="0.25">
      <c r="A13534" s="50" t="s">
        <v>52</v>
      </c>
      <c r="B13534" s="68" t="str">
        <f>VLOOKUP(A13534,'Componentes APUs'!$H$1:$L$25,2,0)</f>
        <v>Ayudante No Calificado</v>
      </c>
      <c r="C13534" s="93">
        <v>0</v>
      </c>
      <c r="D13534" s="50">
        <f>VLOOKUP(A13534,'Componentes APUs'!$H$1:$L$25,3,0)</f>
        <v>1</v>
      </c>
      <c r="E13534" s="51">
        <f>VLOOKUP(A13534,'Componentes APUs'!$H$1:$L$25,4,0)</f>
        <v>77309.523809523816</v>
      </c>
      <c r="F13534" s="51">
        <f>VLOOKUP(A13534,'Componentes APUs'!$H$1:$L$25,5,0)</f>
        <v>46385.71428571429</v>
      </c>
      <c r="G13534" s="51">
        <f>ROUNDUP((E13534+F13534)*C13534/E13515,0)</f>
        <v>0</v>
      </c>
    </row>
    <row r="13535" spans="1:7" x14ac:dyDescent="0.25">
      <c r="A13535" s="219" t="s">
        <v>56</v>
      </c>
      <c r="B13535" s="219"/>
      <c r="C13535" s="219"/>
      <c r="D13535" s="219"/>
      <c r="E13535" s="219"/>
      <c r="F13535" s="219"/>
      <c r="G13535" s="52">
        <f>SUM(G13529:G13534)</f>
        <v>7464</v>
      </c>
    </row>
    <row r="13536" spans="1:7" x14ac:dyDescent="0.25">
      <c r="A13536" s="56"/>
      <c r="B13536" s="57"/>
      <c r="C13536" s="57"/>
      <c r="D13536" s="57"/>
      <c r="E13536" s="57"/>
      <c r="F13536" s="57"/>
      <c r="G13536" s="58"/>
    </row>
    <row r="13537" spans="1:7" x14ac:dyDescent="0.25">
      <c r="A13537" s="219" t="s">
        <v>57</v>
      </c>
      <c r="B13537" s="219"/>
      <c r="C13537" s="219"/>
      <c r="D13537" s="219"/>
      <c r="E13537" s="219"/>
      <c r="F13537" s="219"/>
      <c r="G13537" s="219"/>
    </row>
    <row r="13538" spans="1:7" x14ac:dyDescent="0.25">
      <c r="A13538" s="49" t="s">
        <v>35</v>
      </c>
      <c r="B13538" s="219" t="s">
        <v>36</v>
      </c>
      <c r="C13538" s="219"/>
      <c r="D13538" s="49" t="s">
        <v>37</v>
      </c>
      <c r="E13538" s="49" t="s">
        <v>38</v>
      </c>
      <c r="F13538" s="49" t="s">
        <v>39</v>
      </c>
      <c r="G13538" s="49" t="s">
        <v>40</v>
      </c>
    </row>
    <row r="13539" spans="1:7" x14ac:dyDescent="0.25">
      <c r="A13539" s="50" t="s">
        <v>326</v>
      </c>
      <c r="B13539" s="220" t="str">
        <f>VLOOKUP(A13539,'Componentes APUs'!$S$1:$V$10,2,0)</f>
        <v>Juego Llaves</v>
      </c>
      <c r="C13539" s="220"/>
      <c r="D13539" s="50" t="s">
        <v>18</v>
      </c>
      <c r="E13539" s="50">
        <v>2</v>
      </c>
      <c r="F13539" s="51">
        <f>VLOOKUP(A13539,'Componentes APUs'!$S$1:$V$10,4,0)</f>
        <v>9167</v>
      </c>
      <c r="G13539" s="51">
        <f>ROUNDUP(F13539*((E13539/21)/E13515),0)</f>
        <v>10</v>
      </c>
    </row>
    <row r="13540" spans="1:7" x14ac:dyDescent="0.25">
      <c r="A13540" s="50" t="s">
        <v>58</v>
      </c>
      <c r="B13540" s="220" t="str">
        <f>VLOOKUP(A13540,'Componentes APUs'!$S$1:$V$10,2,0)</f>
        <v>Manila de servicio</v>
      </c>
      <c r="C13540" s="220"/>
      <c r="D13540" s="50" t="s">
        <v>18</v>
      </c>
      <c r="E13540" s="50">
        <v>2</v>
      </c>
      <c r="F13540" s="51">
        <f>VLOOKUP(A13540,'Componentes APUs'!$S$1:$V$10,4,0)</f>
        <v>2333</v>
      </c>
      <c r="G13540" s="51">
        <f>ROUNDUP(F13540*((E13540/21)/E13515),0)</f>
        <v>3</v>
      </c>
    </row>
    <row r="13541" spans="1:7" x14ac:dyDescent="0.25">
      <c r="A13541" s="50" t="s">
        <v>327</v>
      </c>
      <c r="B13541" s="220" t="str">
        <f>VLOOKUP(A13541,'Componentes APUs'!$S$1:$V$10,2,0)</f>
        <v>Tula portaherramientas</v>
      </c>
      <c r="C13541" s="220"/>
      <c r="D13541" s="50" t="s">
        <v>18</v>
      </c>
      <c r="E13541" s="50">
        <v>2</v>
      </c>
      <c r="F13541" s="51">
        <f>VLOOKUP(A13541,'Componentes APUs'!$S$1:$V$10,4,0)</f>
        <v>1250</v>
      </c>
      <c r="G13541" s="51">
        <f>ROUNDUP(F13541*((E13541/21)/E13515),0)</f>
        <v>2</v>
      </c>
    </row>
    <row r="13542" spans="1:7" x14ac:dyDescent="0.25">
      <c r="A13542" s="50" t="s">
        <v>60</v>
      </c>
      <c r="B13542" s="220" t="str">
        <f>VLOOKUP(A13542,'Componentes APUs'!$S$1:$V$10,2,0)</f>
        <v>Agarradoras</v>
      </c>
      <c r="C13542" s="220"/>
      <c r="D13542" s="50" t="s">
        <v>18</v>
      </c>
      <c r="E13542" s="50">
        <v>2</v>
      </c>
      <c r="F13542" s="51">
        <f>VLOOKUP(A13542,'Componentes APUs'!$S$1:$V$10,4,0)</f>
        <v>125000</v>
      </c>
      <c r="G13542" s="51">
        <f>ROUNDUP(F13542*((E13542/21)/E13515),0)</f>
        <v>133</v>
      </c>
    </row>
    <row r="13543" spans="1:7" x14ac:dyDescent="0.25">
      <c r="A13543" s="50" t="s">
        <v>62</v>
      </c>
      <c r="B13543" s="220" t="str">
        <f>VLOOKUP(A13543,'Componentes APUs'!$S$1:$V$10,2,0)</f>
        <v>Templadoras</v>
      </c>
      <c r="C13543" s="220"/>
      <c r="D13543" s="50" t="s">
        <v>18</v>
      </c>
      <c r="E13543" s="50">
        <v>1</v>
      </c>
      <c r="F13543" s="51">
        <f>VLOOKUP(A13543,'Componentes APUs'!$S$1:$V$10,4,0)</f>
        <v>250000</v>
      </c>
      <c r="G13543" s="51">
        <f>ROUNDUP(F13543*((E13543/21)/E13515),0)</f>
        <v>133</v>
      </c>
    </row>
    <row r="13544" spans="1:7" x14ac:dyDescent="0.25">
      <c r="A13544" s="50" t="s">
        <v>328</v>
      </c>
      <c r="B13544" s="220" t="str">
        <f>VLOOKUP(A13544,'Componentes APUs'!$S$1:$V$10,2,0)</f>
        <v>Herramienta Menor</v>
      </c>
      <c r="C13544" s="220"/>
      <c r="D13544" s="50" t="s">
        <v>18</v>
      </c>
      <c r="E13544" s="50">
        <v>2</v>
      </c>
      <c r="F13544" s="51">
        <f>VLOOKUP(A13544,'Componentes APUs'!$S$1:$V$10,4,0)</f>
        <v>75758</v>
      </c>
      <c r="G13544" s="51">
        <f>ROUNDUP(F13544*((E13544/21)/E13515),0)</f>
        <v>81</v>
      </c>
    </row>
    <row r="13545" spans="1:7" x14ac:dyDescent="0.25">
      <c r="A13545" s="219" t="s">
        <v>69</v>
      </c>
      <c r="B13545" s="219"/>
      <c r="C13545" s="219"/>
      <c r="D13545" s="219"/>
      <c r="E13545" s="219"/>
      <c r="F13545" s="219"/>
      <c r="G13545" s="52">
        <f>SUM(G13539:G13544)</f>
        <v>362</v>
      </c>
    </row>
    <row r="13546" spans="1:7" x14ac:dyDescent="0.25">
      <c r="A13546" s="56"/>
      <c r="B13546" s="57"/>
      <c r="C13546" s="57"/>
      <c r="D13546" s="57"/>
      <c r="E13546" s="57"/>
      <c r="F13546" s="57"/>
      <c r="G13546" s="58"/>
    </row>
    <row r="13547" spans="1:7" x14ac:dyDescent="0.25">
      <c r="A13547" s="219" t="s">
        <v>70</v>
      </c>
      <c r="B13547" s="219"/>
      <c r="C13547" s="219"/>
      <c r="D13547" s="219"/>
      <c r="E13547" s="219"/>
      <c r="F13547" s="219"/>
      <c r="G13547" s="219"/>
    </row>
    <row r="13548" spans="1:7" x14ac:dyDescent="0.25">
      <c r="A13548" s="49" t="s">
        <v>35</v>
      </c>
      <c r="B13548" s="219" t="s">
        <v>36</v>
      </c>
      <c r="C13548" s="219"/>
      <c r="D13548" s="49" t="s">
        <v>37</v>
      </c>
      <c r="E13548" s="49" t="s">
        <v>38</v>
      </c>
      <c r="F13548" s="49" t="s">
        <v>39</v>
      </c>
      <c r="G13548" s="49" t="s">
        <v>40</v>
      </c>
    </row>
    <row r="13549" spans="1:7" x14ac:dyDescent="0.25">
      <c r="A13549" s="50" t="s">
        <v>71</v>
      </c>
      <c r="B13549" s="71" t="str">
        <f>VLOOKUP(A13549,'Componentes APUs'!$A$1:$D$14,2,0)</f>
        <v>Camisa indigo sin partes metalicas</v>
      </c>
      <c r="C13549" s="71"/>
      <c r="D13549" s="50" t="str">
        <f>VLOOKUP(A13549,'Componentes APUs'!$A$1:$D$14,3,0)</f>
        <v>U</v>
      </c>
      <c r="E13549" s="50">
        <f>SUM(C13529:C13534)</f>
        <v>2.75</v>
      </c>
      <c r="F13549" s="51">
        <f>VLOOKUP(A13549,'Componentes APUs'!$A$1:$D$14,4,0)</f>
        <v>8585.8585858585866</v>
      </c>
      <c r="G13549" s="51">
        <f>ROUNDUP(F13549*(E13549/21)/E13515,0)</f>
        <v>13</v>
      </c>
    </row>
    <row r="13550" spans="1:7" x14ac:dyDescent="0.25">
      <c r="A13550" s="69" t="s">
        <v>73</v>
      </c>
      <c r="B13550" s="72" t="str">
        <f>VLOOKUP(A13550,'Componentes APUs'!$A$1:$D$14,2,0)</f>
        <v>Bota de seguridad dielectrica</v>
      </c>
      <c r="C13550" s="73"/>
      <c r="D13550" s="70" t="str">
        <f>VLOOKUP(A13550,'Componentes APUs'!$A$1:$D$14,3,0)</f>
        <v>Par</v>
      </c>
      <c r="E13550" s="50">
        <f>SUM(C13529:C13534)</f>
        <v>2.75</v>
      </c>
      <c r="F13550" s="51">
        <f>VLOOKUP(A13550,'Componentes APUs'!$A$1:$D$14,4,0)</f>
        <v>7500</v>
      </c>
      <c r="G13550" s="51">
        <f>ROUNDUP(F13550*(E13550/21)/E13515,0)</f>
        <v>11</v>
      </c>
    </row>
    <row r="13551" spans="1:7" x14ac:dyDescent="0.25">
      <c r="A13551" s="50" t="s">
        <v>76</v>
      </c>
      <c r="B13551" s="72" t="str">
        <f>VLOOKUP(A13551,'Componentes APUs'!$A$1:$D$14,2,0)</f>
        <v>Casco dielectrico Tipo 1 Clase E con barbuquejo</v>
      </c>
      <c r="C13551" s="73"/>
      <c r="D13551" s="50" t="str">
        <f>VLOOKUP(A13551,'Componentes APUs'!$A$1:$D$14,3,0)</f>
        <v>U</v>
      </c>
      <c r="E13551" s="50">
        <f>C13529+C13532+C13533+C13530+C13534+IF(A13531&lt;&gt;"MO-3",C13531,0)</f>
        <v>1.75</v>
      </c>
      <c r="F13551" s="51">
        <f>VLOOKUP(A13551,'Componentes APUs'!$A$1:$D$14,4,0)</f>
        <v>10101.010101010101</v>
      </c>
      <c r="G13551" s="51">
        <f>ROUNDUP(F13551*(E13551/21)/E13515,0)</f>
        <v>10</v>
      </c>
    </row>
    <row r="13552" spans="1:7" x14ac:dyDescent="0.25">
      <c r="A13552" s="69" t="s">
        <v>77</v>
      </c>
      <c r="B13552" s="72" t="str">
        <f>VLOOKUP(A13552,'Componentes APUs'!$A$1:$D$14,2,0)</f>
        <v>Correa plastica y antiflama</v>
      </c>
      <c r="C13552" s="73"/>
      <c r="D13552" s="50" t="str">
        <f>VLOOKUP(A13552,'Componentes APUs'!$A$1:$D$14,3,0)</f>
        <v>U</v>
      </c>
      <c r="E13552" s="50">
        <f>SUM(C13529:C13534)</f>
        <v>2.75</v>
      </c>
      <c r="F13552" s="51">
        <f>VLOOKUP(A13552,'Componentes APUs'!$A$1:$D$14,4,0)</f>
        <v>3787.878787878788</v>
      </c>
      <c r="G13552" s="51">
        <f>ROUNDUP(F13552*(E13552/21)/E13515,0)</f>
        <v>6</v>
      </c>
    </row>
    <row r="13553" spans="1:7" x14ac:dyDescent="0.25">
      <c r="A13553" s="50" t="s">
        <v>79</v>
      </c>
      <c r="B13553" s="72" t="str">
        <f>VLOOKUP(A13553,'Componentes APUs'!$A$1:$D$14,2,0)</f>
        <v>Gafas protectoras filtro UV</v>
      </c>
      <c r="C13553" s="73"/>
      <c r="D13553" s="50" t="str">
        <f>VLOOKUP(A13553,'Componentes APUs'!$A$1:$D$14,3,0)</f>
        <v>U</v>
      </c>
      <c r="E13553" s="50">
        <f>SUM(C13529:C13534)</f>
        <v>2.75</v>
      </c>
      <c r="F13553" s="51">
        <f>VLOOKUP(A13553,'Componentes APUs'!$A$1:$D$14,4,0)</f>
        <v>2777.7777777777778</v>
      </c>
      <c r="G13553" s="51">
        <f>ROUNDUP(F13553*(E13553/21)/E13515,0)</f>
        <v>5</v>
      </c>
    </row>
    <row r="13554" spans="1:7" x14ac:dyDescent="0.25">
      <c r="A13554" s="69" t="s">
        <v>402</v>
      </c>
      <c r="B13554" s="72" t="str">
        <f>VLOOKUP(A13554,'Componentes APUs'!$A$1:$D$14,2,0)</f>
        <v>Bota de seguridad PVC dielectrica</v>
      </c>
      <c r="C13554" s="73"/>
      <c r="D13554" s="50" t="str">
        <f>VLOOKUP(A13554,'Componentes APUs'!$A$1:$D$14,3,0)</f>
        <v>Par</v>
      </c>
      <c r="E13554" s="50">
        <f>SUM(C13529:C13534)</f>
        <v>2.75</v>
      </c>
      <c r="F13554" s="51">
        <f>VLOOKUP(A13554,'Componentes APUs'!$A$1:$D$14,4,0)</f>
        <v>2916.6666666666665</v>
      </c>
      <c r="G13554" s="51">
        <f>ROUNDUP(F13554*(E13554/21)/E13515,0)</f>
        <v>5</v>
      </c>
    </row>
    <row r="13555" spans="1:7" x14ac:dyDescent="0.25">
      <c r="A13555" s="50" t="s">
        <v>403</v>
      </c>
      <c r="B13555" s="72" t="str">
        <f>VLOOKUP(A13555,'Componentes APUs'!$A$1:$D$14,2,0)</f>
        <v>Capuchon</v>
      </c>
      <c r="C13555" s="73"/>
      <c r="D13555" s="50" t="str">
        <f>VLOOKUP(A13555,'Componentes APUs'!$A$1:$D$14,3,0)</f>
        <v>U</v>
      </c>
      <c r="E13555" s="50">
        <f>SUM(C13529:C13534)</f>
        <v>2.75</v>
      </c>
      <c r="F13555" s="51">
        <f>VLOOKUP(A13555,'Componentes APUs'!$A$1:$D$14,4,0)</f>
        <v>2525.2525252525252</v>
      </c>
      <c r="G13555" s="51">
        <f>ROUNDUP(F13555*(E13555/21)/E13515,0)</f>
        <v>4</v>
      </c>
    </row>
    <row r="13556" spans="1:7" x14ac:dyDescent="0.25">
      <c r="A13556" s="69" t="s">
        <v>81</v>
      </c>
      <c r="B13556" s="72" t="str">
        <f>VLOOKUP(A13556,'Componentes APUs'!$A$1:$D$14,2,0)</f>
        <v>Guantes Protectores  - ingeniero reforzados</v>
      </c>
      <c r="C13556" s="73"/>
      <c r="D13556" s="50" t="str">
        <f>VLOOKUP(A13556,'Componentes APUs'!$A$1:$D$14,3,0)</f>
        <v>Par</v>
      </c>
      <c r="E13556" s="50">
        <f>C13531+C13532+C13534</f>
        <v>2</v>
      </c>
      <c r="F13556" s="51">
        <f>VLOOKUP(A13556,'Componentes APUs'!$A$1:$D$14,4,0)</f>
        <v>2525.2525252525252</v>
      </c>
      <c r="G13556" s="51">
        <f>ROUNDUP(F13556*(E13556/21)/E13515,0)</f>
        <v>3</v>
      </c>
    </row>
    <row r="13557" spans="1:7" x14ac:dyDescent="0.25">
      <c r="A13557" s="50" t="s">
        <v>83</v>
      </c>
      <c r="B13557" s="72" t="str">
        <f>VLOOKUP(A13557,'Componentes APUs'!$A$1:$D$14,2,0)</f>
        <v>Impermeable (pantalon camisa)</v>
      </c>
      <c r="C13557" s="73"/>
      <c r="D13557" s="50" t="str">
        <f>VLOOKUP(A13557,'Componentes APUs'!$A$1:$D$14,3,0)</f>
        <v>U</v>
      </c>
      <c r="E13557" s="50">
        <f>SUM(C13529:C13534)</f>
        <v>2.75</v>
      </c>
      <c r="F13557" s="51">
        <f>VLOOKUP(A13557,'Componentes APUs'!$A$1:$D$14,4,0)</f>
        <v>3750</v>
      </c>
      <c r="G13557" s="51">
        <f>ROUNDUP(F13557*(E13557/21)/E13515,0)</f>
        <v>6</v>
      </c>
    </row>
    <row r="13558" spans="1:7" x14ac:dyDescent="0.25">
      <c r="A13558" s="69" t="s">
        <v>85</v>
      </c>
      <c r="B13558" s="72" t="str">
        <f>VLOOKUP(A13558,'Componentes APUs'!$A$1:$D$14,2,0)</f>
        <v>Jean Dielectrico</v>
      </c>
      <c r="C13558" s="73"/>
      <c r="D13558" s="50" t="str">
        <f>VLOOKUP(A13558,'Componentes APUs'!$A$1:$D$14,3,0)</f>
        <v>U</v>
      </c>
      <c r="E13558" s="50">
        <f>SUM(C13529:C13534)</f>
        <v>2.75</v>
      </c>
      <c r="F13558" s="51">
        <f>VLOOKUP(A13558,'Componentes APUs'!$A$1:$D$14,4,0)</f>
        <v>7575.757575757576</v>
      </c>
      <c r="G13558" s="51">
        <f>ROUNDUP(F13558*(E13558/21)/E13515,0)</f>
        <v>12</v>
      </c>
    </row>
    <row r="13559" spans="1:7" x14ac:dyDescent="0.25">
      <c r="A13559" s="50" t="s">
        <v>87</v>
      </c>
      <c r="B13559" s="72" t="str">
        <f>VLOOKUP(A13559,'Componentes APUs'!$A$1:$D$14,2,0)</f>
        <v>Casco dielectrico Tipo 2 Clase E con barboquejo</v>
      </c>
      <c r="C13559" s="73"/>
      <c r="D13559" s="50" t="str">
        <f>VLOOKUP(A13559,'Componentes APUs'!$A$1:$D$14,3,0)</f>
        <v>U</v>
      </c>
      <c r="E13559" s="53">
        <f>IF(A13531="MO-3",C13531,0)</f>
        <v>1</v>
      </c>
      <c r="F13559" s="51">
        <f>VLOOKUP(A13559,'Componentes APUs'!$A$1:$D$14,4,0)</f>
        <v>7500</v>
      </c>
      <c r="G13559" s="51">
        <f>ROUNDUP(F13559*(E13559/21)/E13515,0)</f>
        <v>4</v>
      </c>
    </row>
    <row r="13560" spans="1:7" x14ac:dyDescent="0.25">
      <c r="A13560" s="69" t="s">
        <v>89</v>
      </c>
      <c r="B13560" s="72" t="str">
        <f>VLOOKUP(A13560,'Componentes APUs'!$A$1:$D$14,2,0)</f>
        <v>Kit de rescate para trabajo en alturas</v>
      </c>
      <c r="C13560" s="73"/>
      <c r="D13560" s="50" t="str">
        <f>VLOOKUP(A13560,'Componentes APUs'!$A$1:$D$14,3,0)</f>
        <v>U</v>
      </c>
      <c r="E13560" s="50">
        <f>IF(AND(A13531="MO-3",C13531=2),1,0)</f>
        <v>0</v>
      </c>
      <c r="F13560" s="51">
        <f>VLOOKUP(A13560,'Componentes APUs'!$A$1:$D$14,4,0)</f>
        <v>37500</v>
      </c>
      <c r="G13560" s="51">
        <f>ROUNDUP(F13560*(E13560/21)/E13515,0)</f>
        <v>0</v>
      </c>
    </row>
    <row r="13561" spans="1:7" x14ac:dyDescent="0.25">
      <c r="A13561" s="50" t="s">
        <v>91</v>
      </c>
      <c r="B13561" s="72" t="str">
        <f>VLOOKUP(A13561,'Componentes APUs'!$A$1:$D$14,2,0)</f>
        <v>Equipo completo para trabajo en alturas con pretales (Arnes dielectrico, 1 mosqueton de seguridad, tie off dielectrico, eslinga de posicionamiento, juego de pretales)</v>
      </c>
      <c r="C13561" s="73"/>
      <c r="D13561" s="50" t="str">
        <f>VLOOKUP(A13561,'Componentes APUs'!$A$1:$D$14,3,0)</f>
        <v>U</v>
      </c>
      <c r="E13561" s="50">
        <f>IF(A13531="MO-3",C13531,0)</f>
        <v>1</v>
      </c>
      <c r="F13561" s="51">
        <f>VLOOKUP(A13561,'Componentes APUs'!$A$1:$D$14,4,0)</f>
        <v>26041.666666666668</v>
      </c>
      <c r="G13561" s="51">
        <f>ROUNDUP(F13561*(E13561/21)/E13515,0)</f>
        <v>14</v>
      </c>
    </row>
    <row r="13562" spans="1:7" x14ac:dyDescent="0.25">
      <c r="A13562" s="219" t="s">
        <v>95</v>
      </c>
      <c r="B13562" s="219"/>
      <c r="C13562" s="219"/>
      <c r="D13562" s="219"/>
      <c r="E13562" s="219"/>
      <c r="F13562" s="219"/>
      <c r="G13562" s="52">
        <f>SUM(G13549:G13561)</f>
        <v>93</v>
      </c>
    </row>
    <row r="13563" spans="1:7" x14ac:dyDescent="0.25">
      <c r="A13563" s="56"/>
      <c r="B13563" s="57"/>
      <c r="C13563" s="57"/>
      <c r="D13563" s="57"/>
      <c r="E13563" s="57"/>
      <c r="F13563" s="57"/>
      <c r="G13563" s="58"/>
    </row>
    <row r="13564" spans="1:7" x14ac:dyDescent="0.25">
      <c r="A13564" s="219" t="s">
        <v>96</v>
      </c>
      <c r="B13564" s="219"/>
      <c r="C13564" s="219"/>
      <c r="D13564" s="219"/>
      <c r="E13564" s="219"/>
      <c r="F13564" s="219"/>
      <c r="G13564" s="219"/>
    </row>
    <row r="13565" spans="1:7" x14ac:dyDescent="0.25">
      <c r="A13565" s="49" t="s">
        <v>35</v>
      </c>
      <c r="B13565" s="225" t="s">
        <v>36</v>
      </c>
      <c r="C13565" s="225"/>
      <c r="D13565" s="49" t="s">
        <v>37</v>
      </c>
      <c r="E13565" s="49" t="s">
        <v>38</v>
      </c>
      <c r="F13565" s="49" t="s">
        <v>39</v>
      </c>
      <c r="G13565" s="49" t="s">
        <v>40</v>
      </c>
    </row>
    <row r="13566" spans="1:7" x14ac:dyDescent="0.25">
      <c r="A13566" s="69" t="s">
        <v>97</v>
      </c>
      <c r="B13566" s="72" t="str">
        <f>VLOOKUP(A13566,'Componentes APUs'!$N$1:$Q$30,2,0)</f>
        <v>Camioneta</v>
      </c>
      <c r="C13566" s="73"/>
      <c r="D13566" s="70" t="str">
        <f>VLOOKUP(A13566,'Componentes APUs'!$N$1:$Q$30,3,0)</f>
        <v>U</v>
      </c>
      <c r="E13566" s="50">
        <v>1</v>
      </c>
      <c r="F13566" s="51">
        <f>VLOOKUP(A13566,'Componentes APUs'!$N$1:$Q$30,4,0)</f>
        <v>5500000</v>
      </c>
      <c r="G13566" s="51">
        <f>IFERROR(ROUNDUP(F13566*(E13566/21)/E13515,0),"-")</f>
        <v>2911</v>
      </c>
    </row>
    <row r="13567" spans="1:7" x14ac:dyDescent="0.25">
      <c r="A13567" s="50" t="s">
        <v>321</v>
      </c>
      <c r="B13567" s="72" t="str">
        <f>VLOOKUP(A13567,'Componentes APUs'!$N$1:$Q$30,2,0)</f>
        <v>Grúa Hidráulica</v>
      </c>
      <c r="C13567" s="73"/>
      <c r="D13567" s="70" t="str">
        <f>VLOOKUP(A13567,'Componentes APUs'!$N$1:$Q$30,3,0)</f>
        <v>U</v>
      </c>
      <c r="E13567" s="50">
        <v>0</v>
      </c>
      <c r="F13567" s="51">
        <f>VLOOKUP(A13567,'Componentes APUs'!$N$1:$Q$30,4,0)</f>
        <v>21000000</v>
      </c>
      <c r="G13567" s="51">
        <f>IFERROR(ROUNDUP(F13567*(E13567/21)/E13515,0),"-")</f>
        <v>0</v>
      </c>
    </row>
    <row r="13568" spans="1:7" x14ac:dyDescent="0.25">
      <c r="A13568" s="69" t="s">
        <v>322</v>
      </c>
      <c r="B13568" s="72" t="str">
        <f>VLOOKUP(A13568,'Componentes APUs'!$N$1:$Q$30,2,0)</f>
        <v>Camabaja</v>
      </c>
      <c r="C13568" s="73"/>
      <c r="D13568" s="70" t="str">
        <f>VLOOKUP(A13568,'Componentes APUs'!$N$1:$Q$30,3,0)</f>
        <v>TON/KM</v>
      </c>
      <c r="E13568" s="50">
        <v>0</v>
      </c>
      <c r="F13568" s="51">
        <f>VLOOKUP(A13568,'Componentes APUs'!$N$1:$Q$30,4,0)</f>
        <v>611</v>
      </c>
      <c r="G13568" s="51">
        <f>IFERROR(ROUNDUP(F13568*(E13568/21)/E13515,0),"-")</f>
        <v>0</v>
      </c>
    </row>
    <row r="13569" spans="1:7" x14ac:dyDescent="0.25">
      <c r="A13569" s="50" t="s">
        <v>323</v>
      </c>
      <c r="B13569" s="72" t="str">
        <f>VLOOKUP(A13569,'Componentes APUs'!$N$1:$Q$30,2,0)</f>
        <v>Volqueta</v>
      </c>
      <c r="C13569" s="73"/>
      <c r="D13569" s="70" t="str">
        <f>VLOOKUP(A13569,'Componentes APUs'!$N$1:$Q$30,3,0)</f>
        <v>U</v>
      </c>
      <c r="E13569" s="50">
        <v>0</v>
      </c>
      <c r="F13569" s="51">
        <f>VLOOKUP(A13569,'Componentes APUs'!$N$1:$Q$30,4,0)</f>
        <v>14828184</v>
      </c>
      <c r="G13569" s="51">
        <f>IFERROR(ROUNDUP(F13569*(E13569/21)/E13515,0),"-")</f>
        <v>0</v>
      </c>
    </row>
    <row r="13570" spans="1:7" x14ac:dyDescent="0.25">
      <c r="A13570" s="69" t="s">
        <v>324</v>
      </c>
      <c r="B13570" s="72" t="str">
        <f>VLOOKUP(A13570,'Componentes APUs'!$N$1:$Q$30,2,0)</f>
        <v>Retroexcavadora</v>
      </c>
      <c r="C13570" s="73"/>
      <c r="D13570" s="70" t="str">
        <f>VLOOKUP(A13570,'Componentes APUs'!$N$1:$Q$30,3,0)</f>
        <v>U</v>
      </c>
      <c r="E13570" s="50">
        <v>0</v>
      </c>
      <c r="F13570" s="51">
        <f>VLOOKUP(A13570,'Componentes APUs'!$N$1:$Q$30,4,0)</f>
        <v>46030656</v>
      </c>
      <c r="G13570" s="51">
        <f>IFERROR(ROUNDUP(F13570*(E13570/21)/E13515,0),"-")</f>
        <v>0</v>
      </c>
    </row>
    <row r="13571" spans="1:7" x14ac:dyDescent="0.25">
      <c r="A13571" s="219" t="s">
        <v>99</v>
      </c>
      <c r="B13571" s="219"/>
      <c r="C13571" s="219"/>
      <c r="D13571" s="219"/>
      <c r="E13571" s="219"/>
      <c r="F13571" s="219"/>
      <c r="G13571" s="52">
        <f>SUM(G13566:G13570)</f>
        <v>2911</v>
      </c>
    </row>
    <row r="13572" spans="1:7" x14ac:dyDescent="0.25">
      <c r="A13572" s="56"/>
      <c r="B13572" s="57"/>
      <c r="C13572" s="57"/>
      <c r="D13572" s="57"/>
      <c r="E13572" s="57"/>
      <c r="F13572" s="57"/>
      <c r="G13572" s="58"/>
    </row>
    <row r="13573" spans="1:7" x14ac:dyDescent="0.25">
      <c r="A13573" s="219" t="s">
        <v>1516</v>
      </c>
      <c r="B13573" s="219"/>
      <c r="C13573" s="219"/>
      <c r="D13573" s="219"/>
      <c r="E13573" s="219"/>
      <c r="F13573" s="219"/>
      <c r="G13573" s="52">
        <f>G13571+G13562+G13545+G13535+G13525</f>
        <v>202320</v>
      </c>
    </row>
    <row r="13574" spans="1:7" x14ac:dyDescent="0.25">
      <c r="A13574" s="59"/>
      <c r="B13574" s="60"/>
      <c r="C13574" s="60"/>
      <c r="D13574" s="60"/>
      <c r="E13574" s="57"/>
      <c r="F13574" s="57"/>
      <c r="G13574" s="58"/>
    </row>
    <row r="13575" spans="1:7" x14ac:dyDescent="0.25">
      <c r="A13575" s="64"/>
      <c r="D13575" s="55"/>
      <c r="E13575" s="49" t="s">
        <v>25</v>
      </c>
      <c r="F13575" s="54">
        <v>0.15</v>
      </c>
      <c r="G13575" s="51">
        <f>G13573*F13575</f>
        <v>30348</v>
      </c>
    </row>
    <row r="13576" spans="1:7" x14ac:dyDescent="0.25">
      <c r="A13576" s="64"/>
      <c r="D13576" s="55"/>
      <c r="E13576" s="49" t="s">
        <v>26</v>
      </c>
      <c r="F13576" s="54">
        <v>0.05</v>
      </c>
      <c r="G13576" s="51">
        <f>G13573*F13576</f>
        <v>10116</v>
      </c>
    </row>
    <row r="13577" spans="1:7" x14ac:dyDescent="0.25">
      <c r="A13577" s="61"/>
      <c r="B13577" s="65"/>
      <c r="C13577" s="65"/>
      <c r="D13577" s="62"/>
      <c r="E13577" s="49" t="s">
        <v>27</v>
      </c>
      <c r="F13577" s="54">
        <v>0.05</v>
      </c>
      <c r="G13577" s="51">
        <f>G13573*F13577</f>
        <v>10116</v>
      </c>
    </row>
    <row r="13578" spans="1:7" x14ac:dyDescent="0.25">
      <c r="A13578" s="61"/>
      <c r="B13578" s="62"/>
      <c r="C13578" s="62"/>
      <c r="D13578" s="62"/>
      <c r="E13578" s="62"/>
      <c r="F13578" s="62"/>
      <c r="G13578" s="63"/>
    </row>
    <row r="13579" spans="1:7" x14ac:dyDescent="0.25">
      <c r="A13579" s="219" t="s">
        <v>1517</v>
      </c>
      <c r="B13579" s="219"/>
      <c r="C13579" s="219"/>
      <c r="D13579" s="219"/>
      <c r="E13579" s="219"/>
      <c r="F13579" s="219"/>
      <c r="G13579" s="52">
        <f>G13573+G13575+G13576+G13577</f>
        <v>252900</v>
      </c>
    </row>
    <row r="13580" spans="1:7" x14ac:dyDescent="0.25">
      <c r="A13580" s="59"/>
      <c r="B13580" s="60"/>
      <c r="C13580" s="60"/>
      <c r="D13580" s="60"/>
      <c r="E13580" s="57"/>
      <c r="F13580" s="57"/>
      <c r="G13580" s="58"/>
    </row>
    <row r="13581" spans="1:7" x14ac:dyDescent="0.25">
      <c r="A13581" s="64"/>
      <c r="D13581" s="55"/>
      <c r="E13581" s="49" t="s">
        <v>102</v>
      </c>
      <c r="F13581" s="49" t="s">
        <v>103</v>
      </c>
      <c r="G13581" s="51">
        <f>G13577*19%</f>
        <v>1922.04</v>
      </c>
    </row>
    <row r="13582" spans="1:7" x14ac:dyDescent="0.25">
      <c r="A13582" s="61"/>
      <c r="B13582" s="62"/>
      <c r="C13582" s="62"/>
      <c r="D13582" s="62"/>
      <c r="E13582" s="57"/>
      <c r="F13582" s="57"/>
      <c r="G13582" s="58"/>
    </row>
    <row r="13583" spans="1:7" x14ac:dyDescent="0.25">
      <c r="A13583" s="219" t="s">
        <v>104</v>
      </c>
      <c r="B13583" s="219"/>
      <c r="C13583" s="219"/>
      <c r="D13583" s="219"/>
      <c r="E13583" s="219"/>
      <c r="F13583" s="219"/>
      <c r="G13583" s="52">
        <f>G13581+G13579</f>
        <v>254822.04</v>
      </c>
    </row>
    <row r="13585" spans="1:7" x14ac:dyDescent="0.25">
      <c r="A13585" s="74" t="s">
        <v>1103</v>
      </c>
      <c r="B13585" s="226" t="s">
        <v>30</v>
      </c>
      <c r="C13585" s="226"/>
      <c r="D13585" s="74" t="s">
        <v>31</v>
      </c>
      <c r="E13585" s="74" t="s">
        <v>32</v>
      </c>
      <c r="F13585" s="74" t="s">
        <v>189</v>
      </c>
      <c r="G13585" s="74" t="s">
        <v>33</v>
      </c>
    </row>
    <row r="13586" spans="1:7" ht="45.75" customHeight="1" x14ac:dyDescent="0.25">
      <c r="A13586" s="50" t="str">
        <f>Presupuesto!B245</f>
        <v>052_N3</v>
      </c>
      <c r="B13586" s="220" t="str">
        <f>Presupuesto!C245</f>
        <v>SUMINISTRO E INSTALACIÓN DE CABLE DE CONTROL APANTALLADO 7x16 AWG Cu- TC-THHN/THWN - ER- 600 V (CABLE PARA CTs) y SEÑALES DEL TRANSFORMADOR DE POTENCIA</v>
      </c>
      <c r="C13586" s="220"/>
      <c r="D13586" s="50" t="s">
        <v>108</v>
      </c>
      <c r="E13586" s="50">
        <v>80</v>
      </c>
      <c r="F13586" s="50"/>
      <c r="G13586" s="51">
        <f>G13654</f>
        <v>60712.937999999995</v>
      </c>
    </row>
    <row r="13587" spans="1:7" x14ac:dyDescent="0.25">
      <c r="A13587" s="219" t="s">
        <v>34</v>
      </c>
      <c r="B13587" s="219"/>
      <c r="C13587" s="219"/>
      <c r="D13587" s="219"/>
      <c r="E13587" s="219"/>
      <c r="F13587" s="219"/>
      <c r="G13587" s="219"/>
    </row>
    <row r="13588" spans="1:7" x14ac:dyDescent="0.25">
      <c r="A13588" s="49" t="s">
        <v>35</v>
      </c>
      <c r="B13588" s="219" t="s">
        <v>36</v>
      </c>
      <c r="C13588" s="219"/>
      <c r="D13588" s="49" t="s">
        <v>37</v>
      </c>
      <c r="E13588" s="49" t="s">
        <v>38</v>
      </c>
      <c r="F13588" s="49" t="s">
        <v>39</v>
      </c>
      <c r="G13588" s="49" t="s">
        <v>40</v>
      </c>
    </row>
    <row r="13589" spans="1:7" x14ac:dyDescent="0.25">
      <c r="A13589" s="17" t="str">
        <f>Material!A402</f>
        <v>MA-401</v>
      </c>
      <c r="B13589" s="232" t="str">
        <f>IFERROR(VLOOKUP(A13589,Material!$A:$H,2,0),"-")</f>
        <v>CABLE DE CONTROL APANTALLADO 7X16 AWG</v>
      </c>
      <c r="C13589" s="233"/>
      <c r="D13589" s="50" t="str">
        <f>IFERROR(VLOOKUP(A13589,Material!$A:$H,4,0),"-")</f>
        <v>ML</v>
      </c>
      <c r="E13589" s="50">
        <v>1</v>
      </c>
      <c r="F13589" s="51">
        <f>IFERROR(VLOOKUP(A13589,Material!$A:$H,3,0),"-")</f>
        <v>36021.651250000003</v>
      </c>
      <c r="G13589" s="51">
        <f t="shared" ref="G13589:G13595" si="194">IFERROR(ROUNDUP(F13589*E13589,0),"-")</f>
        <v>36022</v>
      </c>
    </row>
    <row r="13590" spans="1:7" x14ac:dyDescent="0.25">
      <c r="A13590" s="17"/>
      <c r="B13590" s="72" t="str">
        <f>IFERROR(VLOOKUP(A13590,Material!$A:$H,2,0),"-")</f>
        <v>-</v>
      </c>
      <c r="C13590" s="73"/>
      <c r="D13590" s="50" t="str">
        <f>IFERROR(VLOOKUP(A13590,Material!$A:$H,4,0),"-")</f>
        <v>-</v>
      </c>
      <c r="E13590" s="50"/>
      <c r="F13590" s="51" t="str">
        <f>IFERROR(VLOOKUP(A13590,Material!$A:$H,3,0),"-")</f>
        <v>-</v>
      </c>
      <c r="G13590" s="51" t="str">
        <f t="shared" si="194"/>
        <v>-</v>
      </c>
    </row>
    <row r="13591" spans="1:7" x14ac:dyDescent="0.25">
      <c r="A13591" s="17"/>
      <c r="B13591" s="72" t="str">
        <f>IFERROR(VLOOKUP(A13591,Material!$A:$H,2,0),"-")</f>
        <v>-</v>
      </c>
      <c r="C13591" s="73"/>
      <c r="D13591" s="50" t="str">
        <f>IFERROR(VLOOKUP(A13591,Material!$A:$H,4,0),"-")</f>
        <v>-</v>
      </c>
      <c r="E13591" s="50"/>
      <c r="F13591" s="51" t="str">
        <f>IFERROR(VLOOKUP(A13591,Material!$A:$H,3,0),"-")</f>
        <v>-</v>
      </c>
      <c r="G13591" s="51" t="str">
        <f t="shared" si="194"/>
        <v>-</v>
      </c>
    </row>
    <row r="13592" spans="1:7" x14ac:dyDescent="0.25">
      <c r="A13592" s="17"/>
      <c r="B13592" s="72" t="str">
        <f>IFERROR(VLOOKUP(A13592,Material!$A:$H,2,0),"-")</f>
        <v>-</v>
      </c>
      <c r="C13592" s="73"/>
      <c r="D13592" s="50" t="str">
        <f>IFERROR(VLOOKUP(A13592,Material!$A:$H,4,0),"-")</f>
        <v>-</v>
      </c>
      <c r="E13592" s="50"/>
      <c r="F13592" s="51" t="str">
        <f>IFERROR(VLOOKUP(A13592,Material!$A:$H,3,0),"-")</f>
        <v>-</v>
      </c>
      <c r="G13592" s="51" t="str">
        <f t="shared" si="194"/>
        <v>-</v>
      </c>
    </row>
    <row r="13593" spans="1:7" x14ac:dyDescent="0.25">
      <c r="A13593" s="17"/>
      <c r="B13593" s="72" t="str">
        <f>IFERROR(VLOOKUP(A13593,Material!$A:$H,2,0),"-")</f>
        <v>-</v>
      </c>
      <c r="C13593" s="73"/>
      <c r="D13593" s="50" t="str">
        <f>IFERROR(VLOOKUP(A13593,Material!$A:$H,4,0),"-")</f>
        <v>-</v>
      </c>
      <c r="E13593" s="50"/>
      <c r="F13593" s="51" t="str">
        <f>IFERROR(VLOOKUP(A13593,Material!$A:$H,3,0),"-")</f>
        <v>-</v>
      </c>
      <c r="G13593" s="51" t="str">
        <f t="shared" si="194"/>
        <v>-</v>
      </c>
    </row>
    <row r="13594" spans="1:7" x14ac:dyDescent="0.25">
      <c r="A13594" s="17"/>
      <c r="B13594" s="75" t="str">
        <f>IFERROR(VLOOKUP(A13594,Material!$A:$H,2,0),"-")</f>
        <v>-</v>
      </c>
      <c r="C13594" s="76"/>
      <c r="D13594" s="50" t="str">
        <f>IFERROR(VLOOKUP(A13594,Material!$A:$H,4,0),"-")</f>
        <v>-</v>
      </c>
      <c r="E13594" s="50"/>
      <c r="F13594" s="51" t="str">
        <f>IFERROR(VLOOKUP(A13594,Material!$A:$H,3,0),"-")</f>
        <v>-</v>
      </c>
      <c r="G13594" s="51" t="str">
        <f t="shared" si="194"/>
        <v>-</v>
      </c>
    </row>
    <row r="13595" spans="1:7" x14ac:dyDescent="0.25">
      <c r="A13595" s="17"/>
      <c r="B13595" s="72" t="str">
        <f>IFERROR(VLOOKUP(A13595,Material!$A:$H,2,0),"-")</f>
        <v>-</v>
      </c>
      <c r="C13595" s="76"/>
      <c r="D13595" s="50" t="str">
        <f>IFERROR(VLOOKUP(A13595,Material!$A:$H,4,0),"-")</f>
        <v>-</v>
      </c>
      <c r="E13595" s="50"/>
      <c r="F13595" s="51" t="str">
        <f>IFERROR(VLOOKUP(A13595,Material!$A:$H,3,0),"-")</f>
        <v>-</v>
      </c>
      <c r="G13595" s="51" t="str">
        <f t="shared" si="194"/>
        <v>-</v>
      </c>
    </row>
    <row r="13596" spans="1:7" x14ac:dyDescent="0.25">
      <c r="A13596" s="219" t="s">
        <v>41</v>
      </c>
      <c r="B13596" s="219"/>
      <c r="C13596" s="219"/>
      <c r="D13596" s="219"/>
      <c r="E13596" s="219"/>
      <c r="F13596" s="219"/>
      <c r="G13596" s="52">
        <f>SUM(G13589:G13595)</f>
        <v>36022</v>
      </c>
    </row>
    <row r="13597" spans="1:7" x14ac:dyDescent="0.25">
      <c r="A13597" s="56"/>
      <c r="B13597" s="57"/>
      <c r="C13597" s="57"/>
      <c r="D13597" s="57"/>
      <c r="E13597" s="57"/>
      <c r="F13597" s="57"/>
      <c r="G13597" s="58"/>
    </row>
    <row r="13598" spans="1:7" x14ac:dyDescent="0.25">
      <c r="A13598" s="219" t="s">
        <v>42</v>
      </c>
      <c r="B13598" s="219"/>
      <c r="C13598" s="219"/>
      <c r="D13598" s="219"/>
      <c r="E13598" s="219"/>
      <c r="F13598" s="219"/>
      <c r="G13598" s="219"/>
    </row>
    <row r="13599" spans="1:7" x14ac:dyDescent="0.25">
      <c r="A13599" s="49" t="s">
        <v>35</v>
      </c>
      <c r="B13599" s="49" t="s">
        <v>36</v>
      </c>
      <c r="C13599" s="49" t="s">
        <v>38</v>
      </c>
      <c r="D13599" s="49" t="s">
        <v>43</v>
      </c>
      <c r="E13599" s="49" t="s">
        <v>44</v>
      </c>
      <c r="F13599" s="49" t="s">
        <v>45</v>
      </c>
      <c r="G13599" s="49" t="s">
        <v>40</v>
      </c>
    </row>
    <row r="13600" spans="1:7" x14ac:dyDescent="0.25">
      <c r="A13600" s="50" t="s">
        <v>319</v>
      </c>
      <c r="B13600" s="68" t="str">
        <f>VLOOKUP(A13600,'Componentes APUs'!$H$1:$L$25,2,0)</f>
        <v>Ingeniero Residente de Obra</v>
      </c>
      <c r="C13600" s="93">
        <v>0.25</v>
      </c>
      <c r="D13600" s="50">
        <f>VLOOKUP(A13600,'Componentes APUs'!$H$1:$L$25,3,0)</f>
        <v>4</v>
      </c>
      <c r="E13600" s="51">
        <f>VLOOKUP(A13600,'Componentes APUs'!$H$1:$L$25,4,0)</f>
        <v>271142.85714285716</v>
      </c>
      <c r="F13600" s="51">
        <f>VLOOKUP(A13600,'Componentes APUs'!$H$1:$L$25,5,0)</f>
        <v>162685.71428571429</v>
      </c>
      <c r="G13600" s="51">
        <f>ROUNDUP((E13600+F13600)*C13600/E13586,0)</f>
        <v>1356</v>
      </c>
    </row>
    <row r="13601" spans="1:7" x14ac:dyDescent="0.25">
      <c r="A13601" s="50" t="s">
        <v>320</v>
      </c>
      <c r="B13601" s="68" t="str">
        <f>VLOOKUP(A13601,'Componentes APUs'!$H$1:$L$25,2,0)</f>
        <v>Tecnico Supervisor</v>
      </c>
      <c r="C13601" s="93">
        <v>0.25</v>
      </c>
      <c r="D13601" s="50">
        <f>VLOOKUP(A13601,'Componentes APUs'!$H$1:$L$25,3,0)</f>
        <v>2.2999999999999998</v>
      </c>
      <c r="E13601" s="51">
        <f>VLOOKUP(A13601,'Componentes APUs'!$H$1:$L$25,4,0)</f>
        <v>155907.14285714284</v>
      </c>
      <c r="F13601" s="51">
        <f>VLOOKUP(A13601,'Componentes APUs'!$H$1:$L$25,5,0)</f>
        <v>93544.285714285696</v>
      </c>
      <c r="G13601" s="51">
        <f>ROUNDUP((E13601+F13601)*C13601/E13586,0)</f>
        <v>780</v>
      </c>
    </row>
    <row r="13602" spans="1:7" x14ac:dyDescent="0.25">
      <c r="A13602" s="50" t="s">
        <v>46</v>
      </c>
      <c r="B13602" s="68" t="str">
        <f>VLOOKUP(A13602,'Componentes APUs'!$H$1:$L$25,2,0)</f>
        <v>Tecnico Liniero</v>
      </c>
      <c r="C13602" s="93">
        <v>1</v>
      </c>
      <c r="D13602" s="50">
        <f>VLOOKUP(A13602,'Componentes APUs'!$H$1:$L$25,3,0)</f>
        <v>2</v>
      </c>
      <c r="E13602" s="51">
        <f>VLOOKUP(A13602,'Componentes APUs'!$H$1:$L$25,4,0)</f>
        <v>154619.04761904763</v>
      </c>
      <c r="F13602" s="51">
        <f>VLOOKUP(A13602,'Componentes APUs'!$H$1:$L$25,5,0)</f>
        <v>92771.42857142858</v>
      </c>
      <c r="G13602" s="51">
        <f>ROUNDUP((E13602+F13602)*C13602/E13586,0)</f>
        <v>3093</v>
      </c>
    </row>
    <row r="13603" spans="1:7" x14ac:dyDescent="0.25">
      <c r="A13603" s="50" t="s">
        <v>48</v>
      </c>
      <c r="B13603" s="68" t="str">
        <f>VLOOKUP(A13603,'Componentes APUs'!$H$1:$L$25,2,0)</f>
        <v>Ayudante Calificado</v>
      </c>
      <c r="C13603" s="93">
        <v>1</v>
      </c>
      <c r="D13603" s="50">
        <f>VLOOKUP(A13603,'Componentes APUs'!$H$1:$L$25,3,0)</f>
        <v>1.5</v>
      </c>
      <c r="E13603" s="51">
        <f>VLOOKUP(A13603,'Componentes APUs'!$H$1:$L$25,4,0)</f>
        <v>115964.28571428571</v>
      </c>
      <c r="F13603" s="51">
        <f>VLOOKUP(A13603,'Componentes APUs'!$H$1:$L$25,5,0)</f>
        <v>69578.57142857142</v>
      </c>
      <c r="G13603" s="51">
        <f>ROUNDUP((E13603+F13603)*C13603/E13586,0)</f>
        <v>2320</v>
      </c>
    </row>
    <row r="13604" spans="1:7" x14ac:dyDescent="0.25">
      <c r="A13604" s="50" t="s">
        <v>50</v>
      </c>
      <c r="B13604" s="68" t="str">
        <f>VLOOKUP(A13604,'Componentes APUs'!$H$1:$L$25,2,0)</f>
        <v>Profesional en SST</v>
      </c>
      <c r="C13604" s="93">
        <v>0.25</v>
      </c>
      <c r="D13604" s="50">
        <f>VLOOKUP(A13604,'Componentes APUs'!$H$1:$L$25,3,0)</f>
        <v>2.5</v>
      </c>
      <c r="E13604" s="51">
        <f>VLOOKUP(A13604,'Componentes APUs'!$H$1:$L$25,4,0)</f>
        <v>169464.28571428571</v>
      </c>
      <c r="F13604" s="51">
        <f>VLOOKUP(A13604,'Componentes APUs'!$H$1:$L$25,5,0)</f>
        <v>101678.57142857142</v>
      </c>
      <c r="G13604" s="51">
        <f>ROUNDUP((E13604+F13604)*C13604/E13586,0)</f>
        <v>848</v>
      </c>
    </row>
    <row r="13605" spans="1:7" x14ac:dyDescent="0.25">
      <c r="A13605" s="50" t="s">
        <v>52</v>
      </c>
      <c r="B13605" s="68" t="str">
        <f>VLOOKUP(A13605,'Componentes APUs'!$H$1:$L$25,2,0)</f>
        <v>Ayudante No Calificado</v>
      </c>
      <c r="C13605" s="93">
        <v>0</v>
      </c>
      <c r="D13605" s="50">
        <f>VLOOKUP(A13605,'Componentes APUs'!$H$1:$L$25,3,0)</f>
        <v>1</v>
      </c>
      <c r="E13605" s="51">
        <f>VLOOKUP(A13605,'Componentes APUs'!$H$1:$L$25,4,0)</f>
        <v>77309.523809523816</v>
      </c>
      <c r="F13605" s="51">
        <f>VLOOKUP(A13605,'Componentes APUs'!$H$1:$L$25,5,0)</f>
        <v>46385.71428571429</v>
      </c>
      <c r="G13605" s="51">
        <f>ROUNDUP((E13605+F13605)*C13605/E13586,0)</f>
        <v>0</v>
      </c>
    </row>
    <row r="13606" spans="1:7" x14ac:dyDescent="0.25">
      <c r="A13606" s="219" t="s">
        <v>56</v>
      </c>
      <c r="B13606" s="219"/>
      <c r="C13606" s="219"/>
      <c r="D13606" s="219"/>
      <c r="E13606" s="219"/>
      <c r="F13606" s="219"/>
      <c r="G13606" s="52">
        <f>SUM(G13600:G13605)</f>
        <v>8397</v>
      </c>
    </row>
    <row r="13607" spans="1:7" x14ac:dyDescent="0.25">
      <c r="A13607" s="56"/>
      <c r="B13607" s="57"/>
      <c r="C13607" s="57"/>
      <c r="D13607" s="57"/>
      <c r="E13607" s="57"/>
      <c r="F13607" s="57"/>
      <c r="G13607" s="58"/>
    </row>
    <row r="13608" spans="1:7" x14ac:dyDescent="0.25">
      <c r="A13608" s="219" t="s">
        <v>57</v>
      </c>
      <c r="B13608" s="219"/>
      <c r="C13608" s="219"/>
      <c r="D13608" s="219"/>
      <c r="E13608" s="219"/>
      <c r="F13608" s="219"/>
      <c r="G13608" s="219"/>
    </row>
    <row r="13609" spans="1:7" x14ac:dyDescent="0.25">
      <c r="A13609" s="49" t="s">
        <v>35</v>
      </c>
      <c r="B13609" s="219" t="s">
        <v>36</v>
      </c>
      <c r="C13609" s="219"/>
      <c r="D13609" s="49" t="s">
        <v>37</v>
      </c>
      <c r="E13609" s="49" t="s">
        <v>38</v>
      </c>
      <c r="F13609" s="49" t="s">
        <v>39</v>
      </c>
      <c r="G13609" s="49" t="s">
        <v>40</v>
      </c>
    </row>
    <row r="13610" spans="1:7" x14ac:dyDescent="0.25">
      <c r="A13610" s="50" t="s">
        <v>326</v>
      </c>
      <c r="B13610" s="220" t="str">
        <f>VLOOKUP(A13610,'Componentes APUs'!$S$1:$V$10,2,0)</f>
        <v>Juego Llaves</v>
      </c>
      <c r="C13610" s="220"/>
      <c r="D13610" s="50" t="s">
        <v>18</v>
      </c>
      <c r="E13610" s="50">
        <v>2</v>
      </c>
      <c r="F13610" s="51">
        <f>VLOOKUP(A13610,'Componentes APUs'!$S$1:$V$10,4,0)</f>
        <v>9167</v>
      </c>
      <c r="G13610" s="51">
        <f>ROUNDUP(F13610*((E13610/21)/E13586),0)</f>
        <v>11</v>
      </c>
    </row>
    <row r="13611" spans="1:7" x14ac:dyDescent="0.25">
      <c r="A13611" s="50" t="s">
        <v>58</v>
      </c>
      <c r="B13611" s="220" t="str">
        <f>VLOOKUP(A13611,'Componentes APUs'!$S$1:$V$10,2,0)</f>
        <v>Manila de servicio</v>
      </c>
      <c r="C13611" s="220"/>
      <c r="D13611" s="50" t="s">
        <v>18</v>
      </c>
      <c r="E13611" s="50">
        <v>2</v>
      </c>
      <c r="F13611" s="51">
        <f>VLOOKUP(A13611,'Componentes APUs'!$S$1:$V$10,4,0)</f>
        <v>2333</v>
      </c>
      <c r="G13611" s="51">
        <f>ROUNDUP(F13611*((E13611/21)/E13586),0)</f>
        <v>3</v>
      </c>
    </row>
    <row r="13612" spans="1:7" x14ac:dyDescent="0.25">
      <c r="A13612" s="50" t="s">
        <v>327</v>
      </c>
      <c r="B13612" s="220" t="str">
        <f>VLOOKUP(A13612,'Componentes APUs'!$S$1:$V$10,2,0)</f>
        <v>Tula portaherramientas</v>
      </c>
      <c r="C13612" s="220"/>
      <c r="D13612" s="50" t="s">
        <v>18</v>
      </c>
      <c r="E13612" s="50">
        <v>2</v>
      </c>
      <c r="F13612" s="51">
        <f>VLOOKUP(A13612,'Componentes APUs'!$S$1:$V$10,4,0)</f>
        <v>1250</v>
      </c>
      <c r="G13612" s="51">
        <f>ROUNDUP(F13612*((E13612/21)/E13586),0)</f>
        <v>2</v>
      </c>
    </row>
    <row r="13613" spans="1:7" x14ac:dyDescent="0.25">
      <c r="A13613" s="50" t="s">
        <v>60</v>
      </c>
      <c r="B13613" s="220" t="str">
        <f>VLOOKUP(A13613,'Componentes APUs'!$S$1:$V$10,2,0)</f>
        <v>Agarradoras</v>
      </c>
      <c r="C13613" s="220"/>
      <c r="D13613" s="50" t="s">
        <v>18</v>
      </c>
      <c r="E13613" s="50">
        <v>2</v>
      </c>
      <c r="F13613" s="51">
        <f>VLOOKUP(A13613,'Componentes APUs'!$S$1:$V$10,4,0)</f>
        <v>125000</v>
      </c>
      <c r="G13613" s="51">
        <f>ROUNDUP(F13613*((E13613/21)/E13586),0)</f>
        <v>149</v>
      </c>
    </row>
    <row r="13614" spans="1:7" x14ac:dyDescent="0.25">
      <c r="A13614" s="50" t="s">
        <v>62</v>
      </c>
      <c r="B13614" s="220" t="str">
        <f>VLOOKUP(A13614,'Componentes APUs'!$S$1:$V$10,2,0)</f>
        <v>Templadoras</v>
      </c>
      <c r="C13614" s="220"/>
      <c r="D13614" s="50" t="s">
        <v>18</v>
      </c>
      <c r="E13614" s="50">
        <v>1</v>
      </c>
      <c r="F13614" s="51">
        <f>VLOOKUP(A13614,'Componentes APUs'!$S$1:$V$10,4,0)</f>
        <v>250000</v>
      </c>
      <c r="G13614" s="51">
        <f>ROUNDUP(F13614*((E13614/21)/E13586),0)</f>
        <v>149</v>
      </c>
    </row>
    <row r="13615" spans="1:7" x14ac:dyDescent="0.25">
      <c r="A13615" s="50" t="s">
        <v>328</v>
      </c>
      <c r="B13615" s="220" t="str">
        <f>VLOOKUP(A13615,'Componentes APUs'!$S$1:$V$10,2,0)</f>
        <v>Herramienta Menor</v>
      </c>
      <c r="C13615" s="220"/>
      <c r="D13615" s="50" t="s">
        <v>18</v>
      </c>
      <c r="E13615" s="50">
        <v>2</v>
      </c>
      <c r="F13615" s="51">
        <f>VLOOKUP(A13615,'Componentes APUs'!$S$1:$V$10,4,0)</f>
        <v>75758</v>
      </c>
      <c r="G13615" s="51">
        <f>ROUNDUP(F13615*((E13615/21)/E13586),0)</f>
        <v>91</v>
      </c>
    </row>
    <row r="13616" spans="1:7" x14ac:dyDescent="0.25">
      <c r="A13616" s="219" t="s">
        <v>69</v>
      </c>
      <c r="B13616" s="219"/>
      <c r="C13616" s="219"/>
      <c r="D13616" s="219"/>
      <c r="E13616" s="219"/>
      <c r="F13616" s="219"/>
      <c r="G13616" s="52">
        <f>SUM(G13610:G13615)</f>
        <v>405</v>
      </c>
    </row>
    <row r="13617" spans="1:7" x14ac:dyDescent="0.25">
      <c r="A13617" s="56"/>
      <c r="B13617" s="57"/>
      <c r="C13617" s="57"/>
      <c r="D13617" s="57"/>
      <c r="E13617" s="57"/>
      <c r="F13617" s="57"/>
      <c r="G13617" s="58"/>
    </row>
    <row r="13618" spans="1:7" x14ac:dyDescent="0.25">
      <c r="A13618" s="219" t="s">
        <v>70</v>
      </c>
      <c r="B13618" s="219"/>
      <c r="C13618" s="219"/>
      <c r="D13618" s="219"/>
      <c r="E13618" s="219"/>
      <c r="F13618" s="219"/>
      <c r="G13618" s="219"/>
    </row>
    <row r="13619" spans="1:7" x14ac:dyDescent="0.25">
      <c r="A13619" s="49" t="s">
        <v>35</v>
      </c>
      <c r="B13619" s="219" t="s">
        <v>36</v>
      </c>
      <c r="C13619" s="219"/>
      <c r="D13619" s="49" t="s">
        <v>37</v>
      </c>
      <c r="E13619" s="49" t="s">
        <v>38</v>
      </c>
      <c r="F13619" s="49" t="s">
        <v>39</v>
      </c>
      <c r="G13619" s="49" t="s">
        <v>40</v>
      </c>
    </row>
    <row r="13620" spans="1:7" x14ac:dyDescent="0.25">
      <c r="A13620" s="50" t="s">
        <v>71</v>
      </c>
      <c r="B13620" s="71" t="str">
        <f>VLOOKUP(A13620,'Componentes APUs'!$A$1:$D$14,2,0)</f>
        <v>Camisa indigo sin partes metalicas</v>
      </c>
      <c r="C13620" s="71"/>
      <c r="D13620" s="50" t="str">
        <f>VLOOKUP(A13620,'Componentes APUs'!$A$1:$D$14,3,0)</f>
        <v>U</v>
      </c>
      <c r="E13620" s="50">
        <f>SUM(C13600:C13605)</f>
        <v>2.75</v>
      </c>
      <c r="F13620" s="51">
        <f>VLOOKUP(A13620,'Componentes APUs'!$A$1:$D$14,4,0)</f>
        <v>8585.8585858585866</v>
      </c>
      <c r="G13620" s="51">
        <f>ROUNDUP(F13620*(E13620/21)/E13586,0)</f>
        <v>15</v>
      </c>
    </row>
    <row r="13621" spans="1:7" x14ac:dyDescent="0.25">
      <c r="A13621" s="69" t="s">
        <v>73</v>
      </c>
      <c r="B13621" s="72" t="str">
        <f>VLOOKUP(A13621,'Componentes APUs'!$A$1:$D$14,2,0)</f>
        <v>Bota de seguridad dielectrica</v>
      </c>
      <c r="C13621" s="73"/>
      <c r="D13621" s="70" t="str">
        <f>VLOOKUP(A13621,'Componentes APUs'!$A$1:$D$14,3,0)</f>
        <v>Par</v>
      </c>
      <c r="E13621" s="50">
        <f>SUM(C13600:C13605)</f>
        <v>2.75</v>
      </c>
      <c r="F13621" s="51">
        <f>VLOOKUP(A13621,'Componentes APUs'!$A$1:$D$14,4,0)</f>
        <v>7500</v>
      </c>
      <c r="G13621" s="51">
        <f>ROUNDUP(F13621*(E13621/21)/E13586,0)</f>
        <v>13</v>
      </c>
    </row>
    <row r="13622" spans="1:7" x14ac:dyDescent="0.25">
      <c r="A13622" s="50" t="s">
        <v>76</v>
      </c>
      <c r="B13622" s="72" t="str">
        <f>VLOOKUP(A13622,'Componentes APUs'!$A$1:$D$14,2,0)</f>
        <v>Casco dielectrico Tipo 1 Clase E con barbuquejo</v>
      </c>
      <c r="C13622" s="73"/>
      <c r="D13622" s="50" t="str">
        <f>VLOOKUP(A13622,'Componentes APUs'!$A$1:$D$14,3,0)</f>
        <v>U</v>
      </c>
      <c r="E13622" s="50">
        <f>C13600+C13603+C13604+C13601+C13605+IF(A13602&lt;&gt;"MO-3",C13602,0)</f>
        <v>1.75</v>
      </c>
      <c r="F13622" s="51">
        <f>VLOOKUP(A13622,'Componentes APUs'!$A$1:$D$14,4,0)</f>
        <v>10101.010101010101</v>
      </c>
      <c r="G13622" s="51">
        <f>ROUNDUP(F13622*(E13622/21)/E13586,0)</f>
        <v>11</v>
      </c>
    </row>
    <row r="13623" spans="1:7" x14ac:dyDescent="0.25">
      <c r="A13623" s="69" t="s">
        <v>77</v>
      </c>
      <c r="B13623" s="72" t="str">
        <f>VLOOKUP(A13623,'Componentes APUs'!$A$1:$D$14,2,0)</f>
        <v>Correa plastica y antiflama</v>
      </c>
      <c r="C13623" s="73"/>
      <c r="D13623" s="50" t="str">
        <f>VLOOKUP(A13623,'Componentes APUs'!$A$1:$D$14,3,0)</f>
        <v>U</v>
      </c>
      <c r="E13623" s="50">
        <f>SUM(C13600:C13605)</f>
        <v>2.75</v>
      </c>
      <c r="F13623" s="51">
        <f>VLOOKUP(A13623,'Componentes APUs'!$A$1:$D$14,4,0)</f>
        <v>3787.878787878788</v>
      </c>
      <c r="G13623" s="51">
        <f>ROUNDUP(F13623*(E13623/21)/E13586,0)</f>
        <v>7</v>
      </c>
    </row>
    <row r="13624" spans="1:7" x14ac:dyDescent="0.25">
      <c r="A13624" s="50" t="s">
        <v>79</v>
      </c>
      <c r="B13624" s="72" t="str">
        <f>VLOOKUP(A13624,'Componentes APUs'!$A$1:$D$14,2,0)</f>
        <v>Gafas protectoras filtro UV</v>
      </c>
      <c r="C13624" s="73"/>
      <c r="D13624" s="50" t="str">
        <f>VLOOKUP(A13624,'Componentes APUs'!$A$1:$D$14,3,0)</f>
        <v>U</v>
      </c>
      <c r="E13624" s="50">
        <f>SUM(C13600:C13605)</f>
        <v>2.75</v>
      </c>
      <c r="F13624" s="51">
        <f>VLOOKUP(A13624,'Componentes APUs'!$A$1:$D$14,4,0)</f>
        <v>2777.7777777777778</v>
      </c>
      <c r="G13624" s="51">
        <f>ROUNDUP(F13624*(E13624/21)/E13586,0)</f>
        <v>5</v>
      </c>
    </row>
    <row r="13625" spans="1:7" x14ac:dyDescent="0.25">
      <c r="A13625" s="69" t="s">
        <v>402</v>
      </c>
      <c r="B13625" s="72" t="str">
        <f>VLOOKUP(A13625,'Componentes APUs'!$A$1:$D$14,2,0)</f>
        <v>Bota de seguridad PVC dielectrica</v>
      </c>
      <c r="C13625" s="73"/>
      <c r="D13625" s="50" t="str">
        <f>VLOOKUP(A13625,'Componentes APUs'!$A$1:$D$14,3,0)</f>
        <v>Par</v>
      </c>
      <c r="E13625" s="50">
        <f>SUM(C13600:C13605)</f>
        <v>2.75</v>
      </c>
      <c r="F13625" s="51">
        <f>VLOOKUP(A13625,'Componentes APUs'!$A$1:$D$14,4,0)</f>
        <v>2916.6666666666665</v>
      </c>
      <c r="G13625" s="51">
        <f>ROUNDUP(F13625*(E13625/21)/E13586,0)</f>
        <v>5</v>
      </c>
    </row>
    <row r="13626" spans="1:7" x14ac:dyDescent="0.25">
      <c r="A13626" s="50" t="s">
        <v>403</v>
      </c>
      <c r="B13626" s="72" t="str">
        <f>VLOOKUP(A13626,'Componentes APUs'!$A$1:$D$14,2,0)</f>
        <v>Capuchon</v>
      </c>
      <c r="C13626" s="73"/>
      <c r="D13626" s="50" t="str">
        <f>VLOOKUP(A13626,'Componentes APUs'!$A$1:$D$14,3,0)</f>
        <v>U</v>
      </c>
      <c r="E13626" s="50">
        <f>SUM(C13600:C13605)</f>
        <v>2.75</v>
      </c>
      <c r="F13626" s="51">
        <f>VLOOKUP(A13626,'Componentes APUs'!$A$1:$D$14,4,0)</f>
        <v>2525.2525252525252</v>
      </c>
      <c r="G13626" s="51">
        <f>ROUNDUP(F13626*(E13626/21)/E13586,0)</f>
        <v>5</v>
      </c>
    </row>
    <row r="13627" spans="1:7" x14ac:dyDescent="0.25">
      <c r="A13627" s="69" t="s">
        <v>81</v>
      </c>
      <c r="B13627" s="72" t="str">
        <f>VLOOKUP(A13627,'Componentes APUs'!$A$1:$D$14,2,0)</f>
        <v>Guantes Protectores  - ingeniero reforzados</v>
      </c>
      <c r="C13627" s="73"/>
      <c r="D13627" s="50" t="str">
        <f>VLOOKUP(A13627,'Componentes APUs'!$A$1:$D$14,3,0)</f>
        <v>Par</v>
      </c>
      <c r="E13627" s="50">
        <f>C13602+C13603+C13605</f>
        <v>2</v>
      </c>
      <c r="F13627" s="51">
        <f>VLOOKUP(A13627,'Componentes APUs'!$A$1:$D$14,4,0)</f>
        <v>2525.2525252525252</v>
      </c>
      <c r="G13627" s="51">
        <f>ROUNDUP(F13627*(E13627/21)/E13586,0)</f>
        <v>4</v>
      </c>
    </row>
    <row r="13628" spans="1:7" x14ac:dyDescent="0.25">
      <c r="A13628" s="50" t="s">
        <v>83</v>
      </c>
      <c r="B13628" s="72" t="str">
        <f>VLOOKUP(A13628,'Componentes APUs'!$A$1:$D$14,2,0)</f>
        <v>Impermeable (pantalon camisa)</v>
      </c>
      <c r="C13628" s="73"/>
      <c r="D13628" s="50" t="str">
        <f>VLOOKUP(A13628,'Componentes APUs'!$A$1:$D$14,3,0)</f>
        <v>U</v>
      </c>
      <c r="E13628" s="50">
        <f>SUM(C13600:C13605)</f>
        <v>2.75</v>
      </c>
      <c r="F13628" s="51">
        <f>VLOOKUP(A13628,'Componentes APUs'!$A$1:$D$14,4,0)</f>
        <v>3750</v>
      </c>
      <c r="G13628" s="51">
        <f>ROUNDUP(F13628*(E13628/21)/E13586,0)</f>
        <v>7</v>
      </c>
    </row>
    <row r="13629" spans="1:7" x14ac:dyDescent="0.25">
      <c r="A13629" s="69" t="s">
        <v>85</v>
      </c>
      <c r="B13629" s="72" t="str">
        <f>VLOOKUP(A13629,'Componentes APUs'!$A$1:$D$14,2,0)</f>
        <v>Jean Dielectrico</v>
      </c>
      <c r="C13629" s="73"/>
      <c r="D13629" s="50" t="str">
        <f>VLOOKUP(A13629,'Componentes APUs'!$A$1:$D$14,3,0)</f>
        <v>U</v>
      </c>
      <c r="E13629" s="50">
        <f>SUM(C13600:C13605)</f>
        <v>2.75</v>
      </c>
      <c r="F13629" s="51">
        <f>VLOOKUP(A13629,'Componentes APUs'!$A$1:$D$14,4,0)</f>
        <v>7575.757575757576</v>
      </c>
      <c r="G13629" s="51">
        <f>ROUNDUP(F13629*(E13629/21)/E13586,0)</f>
        <v>13</v>
      </c>
    </row>
    <row r="13630" spans="1:7" x14ac:dyDescent="0.25">
      <c r="A13630" s="50" t="s">
        <v>87</v>
      </c>
      <c r="B13630" s="72" t="str">
        <f>VLOOKUP(A13630,'Componentes APUs'!$A$1:$D$14,2,0)</f>
        <v>Casco dielectrico Tipo 2 Clase E con barboquejo</v>
      </c>
      <c r="C13630" s="73"/>
      <c r="D13630" s="50" t="str">
        <f>VLOOKUP(A13630,'Componentes APUs'!$A$1:$D$14,3,0)</f>
        <v>U</v>
      </c>
      <c r="E13630" s="53">
        <f>IF(A13602="MO-3",C13602,0)</f>
        <v>1</v>
      </c>
      <c r="F13630" s="51">
        <f>VLOOKUP(A13630,'Componentes APUs'!$A$1:$D$14,4,0)</f>
        <v>7500</v>
      </c>
      <c r="G13630" s="51">
        <f>ROUNDUP(F13630*(E13630/21)/E13586,0)</f>
        <v>5</v>
      </c>
    </row>
    <row r="13631" spans="1:7" x14ac:dyDescent="0.25">
      <c r="A13631" s="69" t="s">
        <v>89</v>
      </c>
      <c r="B13631" s="72" t="str">
        <f>VLOOKUP(A13631,'Componentes APUs'!$A$1:$D$14,2,0)</f>
        <v>Kit de rescate para trabajo en alturas</v>
      </c>
      <c r="C13631" s="73"/>
      <c r="D13631" s="50" t="str">
        <f>VLOOKUP(A13631,'Componentes APUs'!$A$1:$D$14,3,0)</f>
        <v>U</v>
      </c>
      <c r="E13631" s="50">
        <f>IF(AND(A13602="MO-3",C13602=2),1,0)</f>
        <v>0</v>
      </c>
      <c r="F13631" s="51">
        <f>VLOOKUP(A13631,'Componentes APUs'!$A$1:$D$14,4,0)</f>
        <v>37500</v>
      </c>
      <c r="G13631" s="51">
        <f>ROUNDUP(F13631*(E13631/21)/E13586,0)</f>
        <v>0</v>
      </c>
    </row>
    <row r="13632" spans="1:7" x14ac:dyDescent="0.25">
      <c r="A13632" s="50" t="s">
        <v>91</v>
      </c>
      <c r="B13632" s="72" t="str">
        <f>VLOOKUP(A13632,'Componentes APUs'!$A$1:$D$14,2,0)</f>
        <v>Equipo completo para trabajo en alturas con pretales (Arnes dielectrico, 1 mosqueton de seguridad, tie off dielectrico, eslinga de posicionamiento, juego de pretales)</v>
      </c>
      <c r="C13632" s="73"/>
      <c r="D13632" s="50" t="str">
        <f>VLOOKUP(A13632,'Componentes APUs'!$A$1:$D$14,3,0)</f>
        <v>U</v>
      </c>
      <c r="E13632" s="50">
        <f>IF(A13602="MO-3",C13602,0)</f>
        <v>1</v>
      </c>
      <c r="F13632" s="51">
        <f>VLOOKUP(A13632,'Componentes APUs'!$A$1:$D$14,4,0)</f>
        <v>26041.666666666668</v>
      </c>
      <c r="G13632" s="51">
        <f>ROUNDUP(F13632*(E13632/21)/E13586,0)</f>
        <v>16</v>
      </c>
    </row>
    <row r="13633" spans="1:7" x14ac:dyDescent="0.25">
      <c r="A13633" s="219" t="s">
        <v>95</v>
      </c>
      <c r="B13633" s="219"/>
      <c r="C13633" s="219"/>
      <c r="D13633" s="219"/>
      <c r="E13633" s="219"/>
      <c r="F13633" s="219"/>
      <c r="G13633" s="52">
        <f>SUM(G13620:G13632)</f>
        <v>106</v>
      </c>
    </row>
    <row r="13634" spans="1:7" x14ac:dyDescent="0.25">
      <c r="A13634" s="56"/>
      <c r="B13634" s="57"/>
      <c r="C13634" s="57"/>
      <c r="D13634" s="57"/>
      <c r="E13634" s="57"/>
      <c r="F13634" s="57"/>
      <c r="G13634" s="58"/>
    </row>
    <row r="13635" spans="1:7" x14ac:dyDescent="0.25">
      <c r="A13635" s="219" t="s">
        <v>96</v>
      </c>
      <c r="B13635" s="219"/>
      <c r="C13635" s="219"/>
      <c r="D13635" s="219"/>
      <c r="E13635" s="219"/>
      <c r="F13635" s="219"/>
      <c r="G13635" s="219"/>
    </row>
    <row r="13636" spans="1:7" x14ac:dyDescent="0.25">
      <c r="A13636" s="49" t="s">
        <v>35</v>
      </c>
      <c r="B13636" s="225" t="s">
        <v>36</v>
      </c>
      <c r="C13636" s="225"/>
      <c r="D13636" s="49" t="s">
        <v>37</v>
      </c>
      <c r="E13636" s="49" t="s">
        <v>38</v>
      </c>
      <c r="F13636" s="49" t="s">
        <v>39</v>
      </c>
      <c r="G13636" s="49" t="s">
        <v>40</v>
      </c>
    </row>
    <row r="13637" spans="1:7" x14ac:dyDescent="0.25">
      <c r="A13637" s="69" t="s">
        <v>97</v>
      </c>
      <c r="B13637" s="72" t="str">
        <f>VLOOKUP(A13637,'Componentes APUs'!$N$1:$Q$30,2,0)</f>
        <v>Camioneta</v>
      </c>
      <c r="C13637" s="73"/>
      <c r="D13637" s="70" t="str">
        <f>VLOOKUP(A13637,'Componentes APUs'!$N$1:$Q$30,3,0)</f>
        <v>U</v>
      </c>
      <c r="E13637" s="50">
        <v>1</v>
      </c>
      <c r="F13637" s="51">
        <f>VLOOKUP(A13637,'Componentes APUs'!$N$1:$Q$30,4,0)</f>
        <v>5500000</v>
      </c>
      <c r="G13637" s="51">
        <f>IFERROR(ROUNDUP(F13637*(E13637/21)/E13586,0),"-")</f>
        <v>3274</v>
      </c>
    </row>
    <row r="13638" spans="1:7" x14ac:dyDescent="0.25">
      <c r="A13638" s="50" t="s">
        <v>321</v>
      </c>
      <c r="B13638" s="72" t="str">
        <f>VLOOKUP(A13638,'Componentes APUs'!$N$1:$Q$30,2,0)</f>
        <v>Grúa Hidráulica</v>
      </c>
      <c r="C13638" s="73"/>
      <c r="D13638" s="70" t="str">
        <f>VLOOKUP(A13638,'Componentes APUs'!$N$1:$Q$30,3,0)</f>
        <v>U</v>
      </c>
      <c r="E13638" s="50">
        <v>0</v>
      </c>
      <c r="F13638" s="51">
        <f>VLOOKUP(A13638,'Componentes APUs'!$N$1:$Q$30,4,0)</f>
        <v>21000000</v>
      </c>
      <c r="G13638" s="51">
        <f>IFERROR(ROUNDUP(F13638*(E13638/21)/E13586,0),"-")</f>
        <v>0</v>
      </c>
    </row>
    <row r="13639" spans="1:7" x14ac:dyDescent="0.25">
      <c r="A13639" s="69" t="s">
        <v>322</v>
      </c>
      <c r="B13639" s="72" t="str">
        <f>VLOOKUP(A13639,'Componentes APUs'!$N$1:$Q$30,2,0)</f>
        <v>Camabaja</v>
      </c>
      <c r="C13639" s="73"/>
      <c r="D13639" s="70" t="str">
        <f>VLOOKUP(A13639,'Componentes APUs'!$N$1:$Q$30,3,0)</f>
        <v>TON/KM</v>
      </c>
      <c r="E13639" s="50">
        <v>0</v>
      </c>
      <c r="F13639" s="51">
        <f>VLOOKUP(A13639,'Componentes APUs'!$N$1:$Q$30,4,0)</f>
        <v>611</v>
      </c>
      <c r="G13639" s="51">
        <f>IFERROR(ROUNDUP(F13639*(E13639/21)/E13586,0),"-")</f>
        <v>0</v>
      </c>
    </row>
    <row r="13640" spans="1:7" x14ac:dyDescent="0.25">
      <c r="A13640" s="50" t="s">
        <v>323</v>
      </c>
      <c r="B13640" s="72" t="str">
        <f>VLOOKUP(A13640,'Componentes APUs'!$N$1:$Q$30,2,0)</f>
        <v>Volqueta</v>
      </c>
      <c r="C13640" s="73"/>
      <c r="D13640" s="70" t="str">
        <f>VLOOKUP(A13640,'Componentes APUs'!$N$1:$Q$30,3,0)</f>
        <v>U</v>
      </c>
      <c r="E13640" s="50">
        <v>0</v>
      </c>
      <c r="F13640" s="51">
        <f>VLOOKUP(A13640,'Componentes APUs'!$N$1:$Q$30,4,0)</f>
        <v>14828184</v>
      </c>
      <c r="G13640" s="51">
        <f>IFERROR(ROUNDUP(F13640*(E13640/21)/E13586,0),"-")</f>
        <v>0</v>
      </c>
    </row>
    <row r="13641" spans="1:7" x14ac:dyDescent="0.25">
      <c r="A13641" s="69" t="s">
        <v>324</v>
      </c>
      <c r="B13641" s="72" t="str">
        <f>VLOOKUP(A13641,'Componentes APUs'!$N$1:$Q$30,2,0)</f>
        <v>Retroexcavadora</v>
      </c>
      <c r="C13641" s="73"/>
      <c r="D13641" s="70" t="str">
        <f>VLOOKUP(A13641,'Componentes APUs'!$N$1:$Q$30,3,0)</f>
        <v>U</v>
      </c>
      <c r="E13641" s="50">
        <v>0</v>
      </c>
      <c r="F13641" s="51">
        <f>VLOOKUP(A13641,'Componentes APUs'!$N$1:$Q$30,4,0)</f>
        <v>46030656</v>
      </c>
      <c r="G13641" s="51">
        <f>IFERROR(ROUNDUP(F13641*(E13641/21)/E13586,0),"-")</f>
        <v>0</v>
      </c>
    </row>
    <row r="13642" spans="1:7" x14ac:dyDescent="0.25">
      <c r="A13642" s="219" t="s">
        <v>99</v>
      </c>
      <c r="B13642" s="219"/>
      <c r="C13642" s="219"/>
      <c r="D13642" s="219"/>
      <c r="E13642" s="219"/>
      <c r="F13642" s="219"/>
      <c r="G13642" s="52">
        <f>SUM(G13637:G13641)</f>
        <v>3274</v>
      </c>
    </row>
    <row r="13643" spans="1:7" x14ac:dyDescent="0.25">
      <c r="A13643" s="56"/>
      <c r="B13643" s="57"/>
      <c r="C13643" s="57"/>
      <c r="D13643" s="57"/>
      <c r="E13643" s="57"/>
      <c r="F13643" s="57"/>
      <c r="G13643" s="58"/>
    </row>
    <row r="13644" spans="1:7" x14ac:dyDescent="0.25">
      <c r="A13644" s="219" t="s">
        <v>1516</v>
      </c>
      <c r="B13644" s="219"/>
      <c r="C13644" s="219"/>
      <c r="D13644" s="219"/>
      <c r="E13644" s="219"/>
      <c r="F13644" s="219"/>
      <c r="G13644" s="52">
        <f>G13642+G13633+G13616+G13606+G13596</f>
        <v>48204</v>
      </c>
    </row>
    <row r="13645" spans="1:7" x14ac:dyDescent="0.25">
      <c r="A13645" s="59"/>
      <c r="B13645" s="60"/>
      <c r="C13645" s="60"/>
      <c r="D13645" s="60"/>
      <c r="E13645" s="57"/>
      <c r="F13645" s="57"/>
      <c r="G13645" s="58"/>
    </row>
    <row r="13646" spans="1:7" x14ac:dyDescent="0.25">
      <c r="A13646" s="64"/>
      <c r="D13646" s="55"/>
      <c r="E13646" s="49" t="s">
        <v>25</v>
      </c>
      <c r="F13646" s="54">
        <v>0.15</v>
      </c>
      <c r="G13646" s="51">
        <f>G13644*F13646</f>
        <v>7230.5999999999995</v>
      </c>
    </row>
    <row r="13647" spans="1:7" x14ac:dyDescent="0.25">
      <c r="A13647" s="64"/>
      <c r="D13647" s="55"/>
      <c r="E13647" s="49" t="s">
        <v>26</v>
      </c>
      <c r="F13647" s="54">
        <v>0.05</v>
      </c>
      <c r="G13647" s="51">
        <f>G13644*F13647</f>
        <v>2410.2000000000003</v>
      </c>
    </row>
    <row r="13648" spans="1:7" x14ac:dyDescent="0.25">
      <c r="A13648" s="61"/>
      <c r="B13648" s="65"/>
      <c r="C13648" s="65"/>
      <c r="D13648" s="62"/>
      <c r="E13648" s="49" t="s">
        <v>27</v>
      </c>
      <c r="F13648" s="54">
        <v>0.05</v>
      </c>
      <c r="G13648" s="51">
        <f>G13644*F13648</f>
        <v>2410.2000000000003</v>
      </c>
    </row>
    <row r="13649" spans="1:7" x14ac:dyDescent="0.25">
      <c r="A13649" s="61"/>
      <c r="B13649" s="62"/>
      <c r="C13649" s="62"/>
      <c r="D13649" s="62"/>
      <c r="E13649" s="62"/>
      <c r="F13649" s="62"/>
      <c r="G13649" s="63"/>
    </row>
    <row r="13650" spans="1:7" x14ac:dyDescent="0.25">
      <c r="A13650" s="219" t="s">
        <v>1517</v>
      </c>
      <c r="B13650" s="219"/>
      <c r="C13650" s="219"/>
      <c r="D13650" s="219"/>
      <c r="E13650" s="219"/>
      <c r="F13650" s="219"/>
      <c r="G13650" s="52">
        <f>G13644+G13646+G13647+G13648</f>
        <v>60254.999999999993</v>
      </c>
    </row>
    <row r="13651" spans="1:7" x14ac:dyDescent="0.25">
      <c r="A13651" s="59"/>
      <c r="B13651" s="60"/>
      <c r="C13651" s="60"/>
      <c r="D13651" s="60"/>
      <c r="E13651" s="57"/>
      <c r="F13651" s="57"/>
      <c r="G13651" s="58"/>
    </row>
    <row r="13652" spans="1:7" x14ac:dyDescent="0.25">
      <c r="A13652" s="64"/>
      <c r="D13652" s="55"/>
      <c r="E13652" s="49" t="s">
        <v>102</v>
      </c>
      <c r="F13652" s="49" t="s">
        <v>103</v>
      </c>
      <c r="G13652" s="51">
        <f>G13648*19%</f>
        <v>457.93800000000005</v>
      </c>
    </row>
    <row r="13653" spans="1:7" x14ac:dyDescent="0.25">
      <c r="A13653" s="61"/>
      <c r="B13653" s="62"/>
      <c r="C13653" s="62"/>
      <c r="D13653" s="62"/>
      <c r="E13653" s="57"/>
      <c r="F13653" s="57"/>
      <c r="G13653" s="58"/>
    </row>
    <row r="13654" spans="1:7" x14ac:dyDescent="0.25">
      <c r="A13654" s="219" t="s">
        <v>104</v>
      </c>
      <c r="B13654" s="219"/>
      <c r="C13654" s="219"/>
      <c r="D13654" s="219"/>
      <c r="E13654" s="219"/>
      <c r="F13654" s="219"/>
      <c r="G13654" s="52">
        <f>G13652+G13650</f>
        <v>60712.937999999995</v>
      </c>
    </row>
    <row r="13656" spans="1:7" x14ac:dyDescent="0.25">
      <c r="A13656" s="74" t="s">
        <v>29</v>
      </c>
      <c r="B13656" s="226" t="s">
        <v>30</v>
      </c>
      <c r="C13656" s="226"/>
      <c r="D13656" s="74" t="s">
        <v>31</v>
      </c>
      <c r="E13656" s="74" t="s">
        <v>32</v>
      </c>
      <c r="F13656" s="74" t="s">
        <v>189</v>
      </c>
      <c r="G13656" s="74" t="s">
        <v>33</v>
      </c>
    </row>
    <row r="13657" spans="1:7" ht="38.25" customHeight="1" x14ac:dyDescent="0.25">
      <c r="A13657" s="50" t="str">
        <f>Presupuesto!B246</f>
        <v>053_N3</v>
      </c>
      <c r="B13657" s="220" t="str">
        <f>Presupuesto!C246</f>
        <v xml:space="preserve">SUMINISTRO E INSTALACIÓN DE CONECTORES DE FIBRA ÓPTICA TIPO LC, SC, ST CON CERTIFICACIÓN, TERMOENCOGIBLES Y DEMÁS ACCESORIOS NECESARIOS PARA EL CONEXIONADO A LA RED. </v>
      </c>
      <c r="C13657" s="220"/>
      <c r="D13657" s="50" t="s">
        <v>8</v>
      </c>
      <c r="E13657" s="50">
        <v>20</v>
      </c>
      <c r="F13657" s="50"/>
      <c r="G13657" s="51">
        <f>G13726</f>
        <v>173547.76449999996</v>
      </c>
    </row>
    <row r="13658" spans="1:7" x14ac:dyDescent="0.25">
      <c r="A13658" s="219" t="s">
        <v>34</v>
      </c>
      <c r="B13658" s="219"/>
      <c r="C13658" s="219"/>
      <c r="D13658" s="219"/>
      <c r="E13658" s="219"/>
      <c r="F13658" s="219"/>
      <c r="G13658" s="219"/>
    </row>
    <row r="13659" spans="1:7" x14ac:dyDescent="0.25">
      <c r="A13659" s="49" t="s">
        <v>35</v>
      </c>
      <c r="B13659" s="219" t="s">
        <v>36</v>
      </c>
      <c r="C13659" s="219"/>
      <c r="D13659" s="49" t="s">
        <v>37</v>
      </c>
      <c r="E13659" s="49" t="s">
        <v>38</v>
      </c>
      <c r="F13659" s="49" t="s">
        <v>39</v>
      </c>
      <c r="G13659" s="49" t="s">
        <v>40</v>
      </c>
    </row>
    <row r="13660" spans="1:7" x14ac:dyDescent="0.25">
      <c r="A13660" s="17" t="str">
        <f>Material!A93</f>
        <v>MA-92</v>
      </c>
      <c r="B13660" s="72" t="str">
        <f>IFERROR(VLOOKUP(A13660,Material!$A:$H,2,0),"-")</f>
        <v>TERMOENCOGIBLES 5 mm</v>
      </c>
      <c r="C13660" s="73"/>
      <c r="D13660" s="50" t="str">
        <f>IFERROR(VLOOKUP(A13660,Material!$A:$H,4,0),"-")</f>
        <v>UN</v>
      </c>
      <c r="E13660" s="50">
        <v>1</v>
      </c>
      <c r="F13660" s="51">
        <f>IFERROR(VLOOKUP(A13660,Material!$A:$H,3,0),"-")</f>
        <v>3900</v>
      </c>
      <c r="G13660" s="51">
        <f t="shared" ref="G13660:G13666" si="195">IFERROR(ROUNDUP(F13660*E13660,0),"-")</f>
        <v>3900</v>
      </c>
    </row>
    <row r="13661" spans="1:7" x14ac:dyDescent="0.25">
      <c r="A13661" s="17" t="str">
        <f>Material!A95</f>
        <v>MA-94</v>
      </c>
      <c r="B13661" s="72" t="str">
        <f>IFERROR(VLOOKUP(A13661,Material!$A:$H,2,0),"-")</f>
        <v>ADAPTADORES DE FIBRA ÓPTICA LC, SC, ST</v>
      </c>
      <c r="C13661" s="73"/>
      <c r="D13661" s="50" t="str">
        <f>IFERROR(VLOOKUP(A13661,Material!$A:$H,4,0),"-")</f>
        <v>UN</v>
      </c>
      <c r="E13661" s="50">
        <v>1</v>
      </c>
      <c r="F13661" s="51">
        <f>IFERROR(VLOOKUP(A13661,Material!$A:$H,3,0),"-")</f>
        <v>37570</v>
      </c>
      <c r="G13661" s="51">
        <f t="shared" si="195"/>
        <v>37570</v>
      </c>
    </row>
    <row r="13662" spans="1:7" x14ac:dyDescent="0.25">
      <c r="A13662" s="17" t="str">
        <f>Material!A193</f>
        <v>MA-192</v>
      </c>
      <c r="B13662" s="72" t="str">
        <f>IFERROR(VLOOKUP(A13662,Material!$A:$H,2,0),"-")</f>
        <v>CERTIFICACIÓN POR PUNTO DE FIBRA ÓPTICA</v>
      </c>
      <c r="C13662" s="73"/>
      <c r="D13662" s="50" t="str">
        <f>IFERROR(VLOOKUP(A13662,Material!$A:$H,4,0),"-")</f>
        <v>UN</v>
      </c>
      <c r="E13662" s="50">
        <v>1</v>
      </c>
      <c r="F13662" s="51">
        <f>IFERROR(VLOOKUP(A13662,Material!$A:$H,3,0),"-")</f>
        <v>32500</v>
      </c>
      <c r="G13662" s="51">
        <f t="shared" si="195"/>
        <v>32500</v>
      </c>
    </row>
    <row r="13663" spans="1:7" x14ac:dyDescent="0.25">
      <c r="A13663" s="17"/>
      <c r="B13663" s="75" t="str">
        <f>IFERROR(VLOOKUP(A13663,Material!$A:$H,2,0),"-")</f>
        <v>-</v>
      </c>
      <c r="C13663" s="76"/>
      <c r="D13663" s="50" t="str">
        <f>IFERROR(VLOOKUP(A13663,Material!$A:$H,4,0),"-")</f>
        <v>-</v>
      </c>
      <c r="E13663" s="50"/>
      <c r="F13663" s="51" t="str">
        <f>IFERROR(VLOOKUP(A13663,Material!$A:$H,3,0),"-")</f>
        <v>-</v>
      </c>
      <c r="G13663" s="51" t="str">
        <f t="shared" si="195"/>
        <v>-</v>
      </c>
    </row>
    <row r="13664" spans="1:7" x14ac:dyDescent="0.25">
      <c r="A13664" s="17"/>
      <c r="B13664" s="72" t="str">
        <f>IFERROR(VLOOKUP(A13664,Material!$A:$H,2,0),"-")</f>
        <v>-</v>
      </c>
      <c r="C13664" s="76"/>
      <c r="D13664" s="50" t="str">
        <f>IFERROR(VLOOKUP(A13664,Material!$A:$H,4,0),"-")</f>
        <v>-</v>
      </c>
      <c r="E13664" s="50"/>
      <c r="F13664" s="51" t="str">
        <f>IFERROR(VLOOKUP(A13664,Material!$A:$H,3,0),"-")</f>
        <v>-</v>
      </c>
      <c r="G13664" s="51" t="str">
        <f t="shared" si="195"/>
        <v>-</v>
      </c>
    </row>
    <row r="13665" spans="1:7" x14ac:dyDescent="0.25">
      <c r="A13665" s="17"/>
      <c r="B13665" s="72" t="str">
        <f>IFERROR(VLOOKUP(A13665,Material!$A:$H,2,0),"-")</f>
        <v>-</v>
      </c>
      <c r="C13665" s="76"/>
      <c r="D13665" s="50" t="str">
        <f>IFERROR(VLOOKUP(A13665,Material!$A:$H,4,0),"-")</f>
        <v>-</v>
      </c>
      <c r="E13665" s="50"/>
      <c r="F13665" s="51" t="str">
        <f>IFERROR(VLOOKUP(A13665,Material!$A:$H,3,0),"-")</f>
        <v>-</v>
      </c>
      <c r="G13665" s="51" t="str">
        <f t="shared" si="195"/>
        <v>-</v>
      </c>
    </row>
    <row r="13666" spans="1:7" x14ac:dyDescent="0.25">
      <c r="A13666" s="17"/>
      <c r="B13666" s="72" t="str">
        <f>IFERROR(VLOOKUP(A13666,Material!$A:$H,2,0),"-")</f>
        <v>-</v>
      </c>
      <c r="C13666" s="76"/>
      <c r="D13666" s="50" t="str">
        <f>IFERROR(VLOOKUP(A13666,Material!$A:$H,4,0),"-")</f>
        <v>-</v>
      </c>
      <c r="E13666" s="50"/>
      <c r="F13666" s="51" t="str">
        <f>IFERROR(VLOOKUP(A13666,Material!$A:$H,3,0),"-")</f>
        <v>-</v>
      </c>
      <c r="G13666" s="51" t="str">
        <f t="shared" si="195"/>
        <v>-</v>
      </c>
    </row>
    <row r="13667" spans="1:7" x14ac:dyDescent="0.25">
      <c r="A13667" s="219" t="s">
        <v>41</v>
      </c>
      <c r="B13667" s="219"/>
      <c r="C13667" s="219"/>
      <c r="D13667" s="219"/>
      <c r="E13667" s="219"/>
      <c r="F13667" s="219"/>
      <c r="G13667" s="52">
        <f>SUM(G13660:G13666)</f>
        <v>73970</v>
      </c>
    </row>
    <row r="13668" spans="1:7" x14ac:dyDescent="0.25">
      <c r="A13668" s="56"/>
      <c r="B13668" s="57"/>
      <c r="C13668" s="57"/>
      <c r="D13668" s="57"/>
      <c r="E13668" s="57"/>
      <c r="F13668" s="57"/>
      <c r="G13668" s="58"/>
    </row>
    <row r="13669" spans="1:7" x14ac:dyDescent="0.25">
      <c r="A13669" s="219" t="s">
        <v>42</v>
      </c>
      <c r="B13669" s="219"/>
      <c r="C13669" s="219"/>
      <c r="D13669" s="219"/>
      <c r="E13669" s="219"/>
      <c r="F13669" s="219"/>
      <c r="G13669" s="219"/>
    </row>
    <row r="13670" spans="1:7" x14ac:dyDescent="0.25">
      <c r="A13670" s="49" t="s">
        <v>35</v>
      </c>
      <c r="B13670" s="49" t="s">
        <v>36</v>
      </c>
      <c r="C13670" s="49" t="s">
        <v>38</v>
      </c>
      <c r="D13670" s="49" t="s">
        <v>43</v>
      </c>
      <c r="E13670" s="49" t="s">
        <v>44</v>
      </c>
      <c r="F13670" s="49" t="s">
        <v>45</v>
      </c>
      <c r="G13670" s="49" t="s">
        <v>40</v>
      </c>
    </row>
    <row r="13671" spans="1:7" x14ac:dyDescent="0.25">
      <c r="A13671" s="50" t="s">
        <v>319</v>
      </c>
      <c r="B13671" s="68" t="str">
        <f>VLOOKUP(A13671,'Componentes APUs'!$H$1:$L$25,2,0)</f>
        <v>Ingeniero Residente de Obra</v>
      </c>
      <c r="C13671" s="93">
        <v>0.25</v>
      </c>
      <c r="D13671" s="50">
        <f>VLOOKUP(A13671,'Componentes APUs'!$H$1:$L$25,3,0)</f>
        <v>4</v>
      </c>
      <c r="E13671" s="51">
        <f>VLOOKUP(A13671,'Componentes APUs'!$H$1:$L$25,4,0)</f>
        <v>271142.85714285716</v>
      </c>
      <c r="F13671" s="51">
        <f>VLOOKUP(A13671,'Componentes APUs'!$H$1:$L$25,5,0)</f>
        <v>162685.71428571429</v>
      </c>
      <c r="G13671" s="51">
        <f>ROUNDUP((E13671+F13671)*C13671/E13657,0)</f>
        <v>5423</v>
      </c>
    </row>
    <row r="13672" spans="1:7" x14ac:dyDescent="0.25">
      <c r="A13672" s="50" t="s">
        <v>320</v>
      </c>
      <c r="B13672" s="68" t="str">
        <f>VLOOKUP(A13672,'Componentes APUs'!$H$1:$L$25,2,0)</f>
        <v>Tecnico Supervisor</v>
      </c>
      <c r="C13672" s="93">
        <v>0.25</v>
      </c>
      <c r="D13672" s="50">
        <f>VLOOKUP(A13672,'Componentes APUs'!$H$1:$L$25,3,0)</f>
        <v>2.2999999999999998</v>
      </c>
      <c r="E13672" s="51">
        <f>VLOOKUP(A13672,'Componentes APUs'!$H$1:$L$25,4,0)</f>
        <v>155907.14285714284</v>
      </c>
      <c r="F13672" s="51">
        <f>VLOOKUP(A13672,'Componentes APUs'!$H$1:$L$25,5,0)</f>
        <v>93544.285714285696</v>
      </c>
      <c r="G13672" s="51">
        <f>ROUNDUP((E13672+F13672)*C13672/E13657,0)</f>
        <v>3119</v>
      </c>
    </row>
    <row r="13673" spans="1:7" x14ac:dyDescent="0.25">
      <c r="A13673" s="50" t="s">
        <v>1160</v>
      </c>
      <c r="B13673" s="68" t="str">
        <f>VLOOKUP(A13673,'Componentes APUs'!$H$1:$L$25,2,0)</f>
        <v>Oficial Eléctrico</v>
      </c>
      <c r="C13673" s="93">
        <v>1</v>
      </c>
      <c r="D13673" s="50">
        <f>VLOOKUP(A13673,'Componentes APUs'!$H$1:$L$25,3,0)</f>
        <v>2</v>
      </c>
      <c r="E13673" s="51">
        <f>VLOOKUP(A13673,'Componentes APUs'!$H$1:$L$25,4,0)</f>
        <v>154619.04761904763</v>
      </c>
      <c r="F13673" s="51">
        <f>VLOOKUP(A13673,'Componentes APUs'!$H$1:$L$25,5,0)</f>
        <v>92771.42857142858</v>
      </c>
      <c r="G13673" s="51">
        <f>ROUNDUP((E13673+F13673)*C13673/E13657,0)</f>
        <v>12370</v>
      </c>
    </row>
    <row r="13674" spans="1:7" x14ac:dyDescent="0.25">
      <c r="A13674" s="50" t="s">
        <v>48</v>
      </c>
      <c r="B13674" s="68" t="str">
        <f>VLOOKUP(A13674,'Componentes APUs'!$H$1:$L$25,2,0)</f>
        <v>Ayudante Calificado</v>
      </c>
      <c r="C13674" s="93">
        <v>1</v>
      </c>
      <c r="D13674" s="50">
        <f>VLOOKUP(A13674,'Componentes APUs'!$H$1:$L$25,3,0)</f>
        <v>1.5</v>
      </c>
      <c r="E13674" s="51">
        <f>VLOOKUP(A13674,'Componentes APUs'!$H$1:$L$25,4,0)</f>
        <v>115964.28571428571</v>
      </c>
      <c r="F13674" s="51">
        <f>VLOOKUP(A13674,'Componentes APUs'!$H$1:$L$25,5,0)</f>
        <v>69578.57142857142</v>
      </c>
      <c r="G13674" s="51">
        <f>ROUNDUP((E13674+F13674)*C13674/E13657,0)</f>
        <v>9278</v>
      </c>
    </row>
    <row r="13675" spans="1:7" x14ac:dyDescent="0.25">
      <c r="A13675" s="50" t="s">
        <v>50</v>
      </c>
      <c r="B13675" s="68" t="str">
        <f>VLOOKUP(A13675,'Componentes APUs'!$H$1:$L$25,2,0)</f>
        <v>Profesional en SST</v>
      </c>
      <c r="C13675" s="93">
        <v>0.25</v>
      </c>
      <c r="D13675" s="50">
        <f>VLOOKUP(A13675,'Componentes APUs'!$H$1:$L$25,3,0)</f>
        <v>2.5</v>
      </c>
      <c r="E13675" s="51">
        <f>VLOOKUP(A13675,'Componentes APUs'!$H$1:$L$25,4,0)</f>
        <v>169464.28571428571</v>
      </c>
      <c r="F13675" s="51">
        <f>VLOOKUP(A13675,'Componentes APUs'!$H$1:$L$25,5,0)</f>
        <v>101678.57142857142</v>
      </c>
      <c r="G13675" s="51">
        <f>ROUNDUP((E13675+F13675)*C13675/E13657,0)</f>
        <v>3390</v>
      </c>
    </row>
    <row r="13676" spans="1:7" x14ac:dyDescent="0.25">
      <c r="A13676" s="50" t="s">
        <v>52</v>
      </c>
      <c r="B13676" s="68" t="str">
        <f>VLOOKUP(A13676,'Componentes APUs'!$H$1:$L$25,2,0)</f>
        <v>Ayudante No Calificado</v>
      </c>
      <c r="C13676" s="93">
        <v>0</v>
      </c>
      <c r="D13676" s="50">
        <f>VLOOKUP(A13676,'Componentes APUs'!$H$1:$L$25,3,0)</f>
        <v>1</v>
      </c>
      <c r="E13676" s="51">
        <f>VLOOKUP(A13676,'Componentes APUs'!$H$1:$L$25,4,0)</f>
        <v>77309.523809523816</v>
      </c>
      <c r="F13676" s="51">
        <f>VLOOKUP(A13676,'Componentes APUs'!$H$1:$L$25,5,0)</f>
        <v>46385.71428571429</v>
      </c>
      <c r="G13676" s="51">
        <f>ROUNDUP((E13676+F13676)*C13676/E13657,0)</f>
        <v>0</v>
      </c>
    </row>
    <row r="13677" spans="1:7" x14ac:dyDescent="0.25">
      <c r="A13677" s="50" t="s">
        <v>1122</v>
      </c>
      <c r="B13677" s="68" t="str">
        <f>VLOOKUP(A13677,'Componentes APUs'!$H$1:$L$25,2,0)</f>
        <v>Técnico calificado para Comunicaciones</v>
      </c>
      <c r="C13677" s="93">
        <v>1</v>
      </c>
      <c r="D13677" s="50">
        <f>VLOOKUP(A13677,'Componentes APUs'!$H$1:$L$25,3,0)</f>
        <v>3</v>
      </c>
      <c r="E13677" s="51">
        <f>VLOOKUP(A13677,'Componentes APUs'!$H$1:$L$25,4,0)</f>
        <v>203357.14285714287</v>
      </c>
      <c r="F13677" s="51">
        <f>VLOOKUP(A13677,'Componentes APUs'!$H$1:$L$25,5,0)</f>
        <v>122014.28571428571</v>
      </c>
      <c r="G13677" s="51">
        <f>ROUNDUP((E13677+F13677)*C13677/E13657,0)</f>
        <v>16269</v>
      </c>
    </row>
    <row r="13678" spans="1:7" x14ac:dyDescent="0.25">
      <c r="A13678" s="219" t="s">
        <v>56</v>
      </c>
      <c r="B13678" s="219"/>
      <c r="C13678" s="219"/>
      <c r="D13678" s="219"/>
      <c r="E13678" s="219"/>
      <c r="F13678" s="219"/>
      <c r="G13678" s="52">
        <f>SUM(G13671:G13677)</f>
        <v>49849</v>
      </c>
    </row>
    <row r="13679" spans="1:7" x14ac:dyDescent="0.25">
      <c r="A13679" s="56"/>
      <c r="B13679" s="57"/>
      <c r="C13679" s="57"/>
      <c r="D13679" s="57"/>
      <c r="E13679" s="57"/>
      <c r="F13679" s="57"/>
      <c r="G13679" s="58"/>
    </row>
    <row r="13680" spans="1:7" x14ac:dyDescent="0.25">
      <c r="A13680" s="219" t="s">
        <v>57</v>
      </c>
      <c r="B13680" s="219"/>
      <c r="C13680" s="219"/>
      <c r="D13680" s="219"/>
      <c r="E13680" s="219"/>
      <c r="F13680" s="219"/>
      <c r="G13680" s="219"/>
    </row>
    <row r="13681" spans="1:7" x14ac:dyDescent="0.25">
      <c r="A13681" s="49" t="s">
        <v>35</v>
      </c>
      <c r="B13681" s="219" t="s">
        <v>36</v>
      </c>
      <c r="C13681" s="219"/>
      <c r="D13681" s="49" t="s">
        <v>37</v>
      </c>
      <c r="E13681" s="49" t="s">
        <v>38</v>
      </c>
      <c r="F13681" s="49" t="s">
        <v>39</v>
      </c>
      <c r="G13681" s="49" t="s">
        <v>40</v>
      </c>
    </row>
    <row r="13682" spans="1:7" x14ac:dyDescent="0.25">
      <c r="A13682" s="50" t="s">
        <v>326</v>
      </c>
      <c r="B13682" s="220" t="str">
        <f>VLOOKUP(A13682,'Componentes APUs'!$S$1:$V$10,2,0)</f>
        <v>Juego Llaves</v>
      </c>
      <c r="C13682" s="220"/>
      <c r="D13682" s="50" t="s">
        <v>18</v>
      </c>
      <c r="E13682" s="50">
        <v>2</v>
      </c>
      <c r="F13682" s="51">
        <f>VLOOKUP(A13682,'Componentes APUs'!$S$1:$V$10,4,0)</f>
        <v>9167</v>
      </c>
      <c r="G13682" s="51">
        <f>ROUNDUP(F13682*((E13682/21)/E13657),0)</f>
        <v>44</v>
      </c>
    </row>
    <row r="13683" spans="1:7" x14ac:dyDescent="0.25">
      <c r="A13683" s="50" t="s">
        <v>58</v>
      </c>
      <c r="B13683" s="220" t="str">
        <f>VLOOKUP(A13683,'Componentes APUs'!$S$1:$V$10,2,0)</f>
        <v>Manila de servicio</v>
      </c>
      <c r="C13683" s="220"/>
      <c r="D13683" s="50" t="s">
        <v>18</v>
      </c>
      <c r="E13683" s="50">
        <v>0</v>
      </c>
      <c r="F13683" s="51">
        <f>VLOOKUP(A13683,'Componentes APUs'!$S$1:$V$10,4,0)</f>
        <v>2333</v>
      </c>
      <c r="G13683" s="51">
        <f>ROUNDUP(F13683*((E13683/21)/E13657),0)</f>
        <v>0</v>
      </c>
    </row>
    <row r="13684" spans="1:7" x14ac:dyDescent="0.25">
      <c r="A13684" s="50" t="s">
        <v>327</v>
      </c>
      <c r="B13684" s="220" t="str">
        <f>VLOOKUP(A13684,'Componentes APUs'!$S$1:$V$10,2,0)</f>
        <v>Tula portaherramientas</v>
      </c>
      <c r="C13684" s="220"/>
      <c r="D13684" s="50" t="s">
        <v>18</v>
      </c>
      <c r="E13684" s="50">
        <v>2</v>
      </c>
      <c r="F13684" s="51">
        <f>VLOOKUP(A13684,'Componentes APUs'!$S$1:$V$10,4,0)</f>
        <v>1250</v>
      </c>
      <c r="G13684" s="51">
        <f>ROUNDUP(F13684*((E13684/21)/E13657),0)</f>
        <v>6</v>
      </c>
    </row>
    <row r="13685" spans="1:7" x14ac:dyDescent="0.25">
      <c r="A13685" s="50" t="s">
        <v>60</v>
      </c>
      <c r="B13685" s="220" t="str">
        <f>VLOOKUP(A13685,'Componentes APUs'!$S$1:$V$10,2,0)</f>
        <v>Agarradoras</v>
      </c>
      <c r="C13685" s="220"/>
      <c r="D13685" s="50" t="s">
        <v>18</v>
      </c>
      <c r="E13685" s="50">
        <v>0</v>
      </c>
      <c r="F13685" s="51">
        <f>VLOOKUP(A13685,'Componentes APUs'!$S$1:$V$10,4,0)</f>
        <v>125000</v>
      </c>
      <c r="G13685" s="51">
        <f>ROUNDUP(F13685*((E13685/21)/E13657),0)</f>
        <v>0</v>
      </c>
    </row>
    <row r="13686" spans="1:7" x14ac:dyDescent="0.25">
      <c r="A13686" s="50" t="s">
        <v>62</v>
      </c>
      <c r="B13686" s="220" t="str">
        <f>VLOOKUP(A13686,'Componentes APUs'!$S$1:$V$10,2,0)</f>
        <v>Templadoras</v>
      </c>
      <c r="C13686" s="220"/>
      <c r="D13686" s="50" t="s">
        <v>18</v>
      </c>
      <c r="E13686" s="50">
        <v>0</v>
      </c>
      <c r="F13686" s="51">
        <f>VLOOKUP(A13686,'Componentes APUs'!$S$1:$V$10,4,0)</f>
        <v>250000</v>
      </c>
      <c r="G13686" s="51">
        <f>ROUNDUP(F13686*((E13686/21)/E13657),0)</f>
        <v>0</v>
      </c>
    </row>
    <row r="13687" spans="1:7" x14ac:dyDescent="0.25">
      <c r="A13687" s="50" t="s">
        <v>328</v>
      </c>
      <c r="B13687" s="220" t="str">
        <f>VLOOKUP(A13687,'Componentes APUs'!$S$1:$V$10,2,0)</f>
        <v>Herramienta Menor</v>
      </c>
      <c r="C13687" s="220"/>
      <c r="D13687" s="50" t="s">
        <v>18</v>
      </c>
      <c r="E13687" s="50">
        <v>2</v>
      </c>
      <c r="F13687" s="51">
        <f>VLOOKUP(A13687,'Componentes APUs'!$S$1:$V$10,4,0)</f>
        <v>75758</v>
      </c>
      <c r="G13687" s="51">
        <f>ROUNDUP(F13687*((E13687/21)/E13657),0)</f>
        <v>361</v>
      </c>
    </row>
    <row r="13688" spans="1:7" x14ac:dyDescent="0.25">
      <c r="A13688" s="219" t="s">
        <v>69</v>
      </c>
      <c r="B13688" s="219"/>
      <c r="C13688" s="219"/>
      <c r="D13688" s="219"/>
      <c r="E13688" s="219"/>
      <c r="F13688" s="219"/>
      <c r="G13688" s="52">
        <f>SUM(G13682:G13687)</f>
        <v>411</v>
      </c>
    </row>
    <row r="13689" spans="1:7" x14ac:dyDescent="0.25">
      <c r="A13689" s="56"/>
      <c r="B13689" s="57"/>
      <c r="C13689" s="57"/>
      <c r="D13689" s="57"/>
      <c r="E13689" s="57"/>
      <c r="F13689" s="57"/>
      <c r="G13689" s="58"/>
    </row>
    <row r="13690" spans="1:7" x14ac:dyDescent="0.25">
      <c r="A13690" s="219" t="s">
        <v>70</v>
      </c>
      <c r="B13690" s="219"/>
      <c r="C13690" s="219"/>
      <c r="D13690" s="219"/>
      <c r="E13690" s="219"/>
      <c r="F13690" s="219"/>
      <c r="G13690" s="219"/>
    </row>
    <row r="13691" spans="1:7" x14ac:dyDescent="0.25">
      <c r="A13691" s="49" t="s">
        <v>35</v>
      </c>
      <c r="B13691" s="219" t="s">
        <v>36</v>
      </c>
      <c r="C13691" s="219"/>
      <c r="D13691" s="49" t="s">
        <v>37</v>
      </c>
      <c r="E13691" s="49" t="s">
        <v>38</v>
      </c>
      <c r="F13691" s="49" t="s">
        <v>39</v>
      </c>
      <c r="G13691" s="49" t="s">
        <v>40</v>
      </c>
    </row>
    <row r="13692" spans="1:7" x14ac:dyDescent="0.25">
      <c r="A13692" s="50" t="s">
        <v>71</v>
      </c>
      <c r="B13692" s="71" t="str">
        <f>VLOOKUP(A13692,'Componentes APUs'!$A$1:$D$14,2,0)</f>
        <v>Camisa indigo sin partes metalicas</v>
      </c>
      <c r="C13692" s="71"/>
      <c r="D13692" s="50" t="str">
        <f>VLOOKUP(A13692,'Componentes APUs'!$A$1:$D$14,3,0)</f>
        <v>U</v>
      </c>
      <c r="E13692" s="50">
        <f>SUM(C13671:C13677)</f>
        <v>3.75</v>
      </c>
      <c r="F13692" s="51">
        <f>VLOOKUP(A13692,'Componentes APUs'!$A$1:$D$14,4,0)</f>
        <v>8585.8585858585866</v>
      </c>
      <c r="G13692" s="51">
        <f>ROUNDUP(F13692*(E13692/21)/E13657,0)</f>
        <v>77</v>
      </c>
    </row>
    <row r="13693" spans="1:7" x14ac:dyDescent="0.25">
      <c r="A13693" s="69" t="s">
        <v>73</v>
      </c>
      <c r="B13693" s="72" t="str">
        <f>VLOOKUP(A13693,'Componentes APUs'!$A$1:$D$14,2,0)</f>
        <v>Bota de seguridad dielectrica</v>
      </c>
      <c r="C13693" s="73"/>
      <c r="D13693" s="70" t="str">
        <f>VLOOKUP(A13693,'Componentes APUs'!$A$1:$D$14,3,0)</f>
        <v>Par</v>
      </c>
      <c r="E13693" s="50">
        <f>SUM(C13671:C13677)</f>
        <v>3.75</v>
      </c>
      <c r="F13693" s="51">
        <f>VLOOKUP(A13693,'Componentes APUs'!$A$1:$D$14,4,0)</f>
        <v>7500</v>
      </c>
      <c r="G13693" s="51">
        <f>ROUNDUP(F13693*(E13693/21)/E13657,0)</f>
        <v>67</v>
      </c>
    </row>
    <row r="13694" spans="1:7" x14ac:dyDescent="0.25">
      <c r="A13694" s="50" t="s">
        <v>76</v>
      </c>
      <c r="B13694" s="72" t="str">
        <f>VLOOKUP(A13694,'Componentes APUs'!$A$1:$D$14,2,0)</f>
        <v>Casco dielectrico Tipo 1 Clase E con barbuquejo</v>
      </c>
      <c r="C13694" s="73"/>
      <c r="D13694" s="50" t="str">
        <f>VLOOKUP(A13694,'Componentes APUs'!$A$1:$D$14,3,0)</f>
        <v>U</v>
      </c>
      <c r="E13694" s="50">
        <f>C13671+C13672+C13675+C13676+C13673+C13677+IF(A13674&lt;&gt;"MO-3",C13674,0)</f>
        <v>3.75</v>
      </c>
      <c r="F13694" s="51">
        <f>VLOOKUP(A13694,'Componentes APUs'!$A$1:$D$14,4,0)</f>
        <v>10101.010101010101</v>
      </c>
      <c r="G13694" s="51">
        <f>ROUNDUP(F13694*(E13694/21)/E13657,0)</f>
        <v>91</v>
      </c>
    </row>
    <row r="13695" spans="1:7" x14ac:dyDescent="0.25">
      <c r="A13695" s="69" t="s">
        <v>77</v>
      </c>
      <c r="B13695" s="72" t="str">
        <f>VLOOKUP(A13695,'Componentes APUs'!$A$1:$D$14,2,0)</f>
        <v>Correa plastica y antiflama</v>
      </c>
      <c r="C13695" s="73"/>
      <c r="D13695" s="50" t="str">
        <f>VLOOKUP(A13695,'Componentes APUs'!$A$1:$D$14,3,0)</f>
        <v>U</v>
      </c>
      <c r="E13695" s="50">
        <f>SUM(C13671:C13677)</f>
        <v>3.75</v>
      </c>
      <c r="F13695" s="51">
        <f>VLOOKUP(A13695,'Componentes APUs'!$A$1:$D$14,4,0)</f>
        <v>3787.878787878788</v>
      </c>
      <c r="G13695" s="51">
        <f>ROUNDUP(F13695*(E13695/21)/E13657,0)</f>
        <v>34</v>
      </c>
    </row>
    <row r="13696" spans="1:7" x14ac:dyDescent="0.25">
      <c r="A13696" s="50" t="s">
        <v>79</v>
      </c>
      <c r="B13696" s="72" t="str">
        <f>VLOOKUP(A13696,'Componentes APUs'!$A$1:$D$14,2,0)</f>
        <v>Gafas protectoras filtro UV</v>
      </c>
      <c r="C13696" s="73"/>
      <c r="D13696" s="50" t="str">
        <f>VLOOKUP(A13696,'Componentes APUs'!$A$1:$D$14,3,0)</f>
        <v>U</v>
      </c>
      <c r="E13696" s="50">
        <f>SUM(C13671:C13677)</f>
        <v>3.75</v>
      </c>
      <c r="F13696" s="51">
        <f>VLOOKUP(A13696,'Componentes APUs'!$A$1:$D$14,4,0)</f>
        <v>2777.7777777777778</v>
      </c>
      <c r="G13696" s="51">
        <f>ROUNDUP(F13696*(E13696/21)/E13657,0)</f>
        <v>25</v>
      </c>
    </row>
    <row r="13697" spans="1:7" x14ac:dyDescent="0.25">
      <c r="A13697" s="69" t="s">
        <v>402</v>
      </c>
      <c r="B13697" s="72" t="str">
        <f>VLOOKUP(A13697,'Componentes APUs'!$A$1:$D$14,2,0)</f>
        <v>Bota de seguridad PVC dielectrica</v>
      </c>
      <c r="C13697" s="73"/>
      <c r="D13697" s="50" t="str">
        <f>VLOOKUP(A13697,'Componentes APUs'!$A$1:$D$14,3,0)</f>
        <v>Par</v>
      </c>
      <c r="E13697" s="50">
        <f>SUM(C13671:C13677)</f>
        <v>3.75</v>
      </c>
      <c r="F13697" s="51">
        <f>VLOOKUP(A13697,'Componentes APUs'!$A$1:$D$14,4,0)</f>
        <v>2916.6666666666665</v>
      </c>
      <c r="G13697" s="51">
        <f>ROUNDUP(F13697*(E13697/21)/E13657,0)</f>
        <v>27</v>
      </c>
    </row>
    <row r="13698" spans="1:7" x14ac:dyDescent="0.25">
      <c r="A13698" s="50" t="s">
        <v>403</v>
      </c>
      <c r="B13698" s="72" t="str">
        <f>VLOOKUP(A13698,'Componentes APUs'!$A$1:$D$14,2,0)</f>
        <v>Capuchon</v>
      </c>
      <c r="C13698" s="73"/>
      <c r="D13698" s="50" t="str">
        <f>VLOOKUP(A13698,'Componentes APUs'!$A$1:$D$14,3,0)</f>
        <v>U</v>
      </c>
      <c r="E13698" s="50">
        <f>SUM(C13671:C13677)</f>
        <v>3.75</v>
      </c>
      <c r="F13698" s="51">
        <f>VLOOKUP(A13698,'Componentes APUs'!$A$1:$D$14,4,0)</f>
        <v>2525.2525252525252</v>
      </c>
      <c r="G13698" s="51">
        <f>ROUNDUP(F13698*(E13698/21)/E13657,0)</f>
        <v>23</v>
      </c>
    </row>
    <row r="13699" spans="1:7" x14ac:dyDescent="0.25">
      <c r="A13699" s="69" t="s">
        <v>81</v>
      </c>
      <c r="B13699" s="72" t="str">
        <f>VLOOKUP(A13699,'Componentes APUs'!$A$1:$D$14,2,0)</f>
        <v>Guantes Protectores  - ingeniero reforzados</v>
      </c>
      <c r="C13699" s="73"/>
      <c r="D13699" s="50" t="str">
        <f>VLOOKUP(A13699,'Componentes APUs'!$A$1:$D$14,3,0)</f>
        <v>Par</v>
      </c>
      <c r="E13699" s="50">
        <f>C13673+C13674+C13676+C13677</f>
        <v>3</v>
      </c>
      <c r="F13699" s="51">
        <f>VLOOKUP(A13699,'Componentes APUs'!$A$1:$D$14,4,0)</f>
        <v>2525.2525252525252</v>
      </c>
      <c r="G13699" s="51">
        <f>ROUNDUP(F13699*(E13699/21)/E13657,0)</f>
        <v>19</v>
      </c>
    </row>
    <row r="13700" spans="1:7" x14ac:dyDescent="0.25">
      <c r="A13700" s="50" t="s">
        <v>83</v>
      </c>
      <c r="B13700" s="72" t="str">
        <f>VLOOKUP(A13700,'Componentes APUs'!$A$1:$D$14,2,0)</f>
        <v>Impermeable (pantalon camisa)</v>
      </c>
      <c r="C13700" s="73"/>
      <c r="D13700" s="50" t="str">
        <f>VLOOKUP(A13700,'Componentes APUs'!$A$1:$D$14,3,0)</f>
        <v>U</v>
      </c>
      <c r="E13700" s="50">
        <f>SUM(C13671:C13677)</f>
        <v>3.75</v>
      </c>
      <c r="F13700" s="51">
        <f>VLOOKUP(A13700,'Componentes APUs'!$A$1:$D$14,4,0)</f>
        <v>3750</v>
      </c>
      <c r="G13700" s="51">
        <f>ROUNDUP(F13700*(E13700/21)/E13657,0)</f>
        <v>34</v>
      </c>
    </row>
    <row r="13701" spans="1:7" x14ac:dyDescent="0.25">
      <c r="A13701" s="69" t="s">
        <v>85</v>
      </c>
      <c r="B13701" s="72" t="str">
        <f>VLOOKUP(A13701,'Componentes APUs'!$A$1:$D$14,2,0)</f>
        <v>Jean Dielectrico</v>
      </c>
      <c r="C13701" s="73"/>
      <c r="D13701" s="50" t="str">
        <f>VLOOKUP(A13701,'Componentes APUs'!$A$1:$D$14,3,0)</f>
        <v>U</v>
      </c>
      <c r="E13701" s="50">
        <f>SUM(C13671:C13677)</f>
        <v>3.75</v>
      </c>
      <c r="F13701" s="51">
        <f>VLOOKUP(A13701,'Componentes APUs'!$A$1:$D$14,4,0)</f>
        <v>7575.757575757576</v>
      </c>
      <c r="G13701" s="51">
        <f>ROUNDUP(F13701*(E13701/21)/E13657,0)</f>
        <v>68</v>
      </c>
    </row>
    <row r="13702" spans="1:7" x14ac:dyDescent="0.25">
      <c r="A13702" s="50" t="s">
        <v>87</v>
      </c>
      <c r="B13702" s="72" t="str">
        <f>VLOOKUP(A13702,'Componentes APUs'!$A$1:$D$14,2,0)</f>
        <v>Casco dielectrico Tipo 2 Clase E con barboquejo</v>
      </c>
      <c r="C13702" s="73"/>
      <c r="D13702" s="50" t="str">
        <f>VLOOKUP(A13702,'Componentes APUs'!$A$1:$D$14,3,0)</f>
        <v>U</v>
      </c>
      <c r="E13702" s="53">
        <f>IF(A13673="MO-3",C13673,0)</f>
        <v>0</v>
      </c>
      <c r="F13702" s="51">
        <f>VLOOKUP(A13702,'Componentes APUs'!$A$1:$D$14,4,0)</f>
        <v>7500</v>
      </c>
      <c r="G13702" s="51">
        <f>ROUNDUP(F13702*(E13702/21)/E13657,0)</f>
        <v>0</v>
      </c>
    </row>
    <row r="13703" spans="1:7" x14ac:dyDescent="0.25">
      <c r="A13703" s="69" t="s">
        <v>89</v>
      </c>
      <c r="B13703" s="72" t="str">
        <f>VLOOKUP(A13703,'Componentes APUs'!$A$1:$D$14,2,0)</f>
        <v>Kit de rescate para trabajo en alturas</v>
      </c>
      <c r="C13703" s="73"/>
      <c r="D13703" s="50" t="str">
        <f>VLOOKUP(A13703,'Componentes APUs'!$A$1:$D$14,3,0)</f>
        <v>U</v>
      </c>
      <c r="E13703" s="50">
        <f>IF(AND(A13673="MO-3",C13673=2),1,0)</f>
        <v>0</v>
      </c>
      <c r="F13703" s="51">
        <f>VLOOKUP(A13703,'Componentes APUs'!$A$1:$D$14,4,0)</f>
        <v>37500</v>
      </c>
      <c r="G13703" s="51">
        <f>ROUNDUP(F13703*(E13703/21)/E13657,0)</f>
        <v>0</v>
      </c>
    </row>
    <row r="13704" spans="1:7" x14ac:dyDescent="0.25">
      <c r="A13704" s="50" t="s">
        <v>91</v>
      </c>
      <c r="B13704" s="72" t="str">
        <f>VLOOKUP(A13704,'Componentes APUs'!$A$1:$D$14,2,0)</f>
        <v>Equipo completo para trabajo en alturas con pretales (Arnes dielectrico, 1 mosqueton de seguridad, tie off dielectrico, eslinga de posicionamiento, juego de pretales)</v>
      </c>
      <c r="C13704" s="73"/>
      <c r="D13704" s="50" t="str">
        <f>VLOOKUP(A13704,'Componentes APUs'!$A$1:$D$14,3,0)</f>
        <v>U</v>
      </c>
      <c r="E13704" s="50">
        <f>IF(A13673="MO-3",C13673,0)</f>
        <v>0</v>
      </c>
      <c r="F13704" s="51">
        <f>VLOOKUP(A13704,'Componentes APUs'!$A$1:$D$14,4,0)</f>
        <v>26041.666666666668</v>
      </c>
      <c r="G13704" s="51">
        <f>ROUNDUP(F13704*(E13704/21)/E13657,0)</f>
        <v>0</v>
      </c>
    </row>
    <row r="13705" spans="1:7" x14ac:dyDescent="0.25">
      <c r="A13705" s="219" t="s">
        <v>95</v>
      </c>
      <c r="B13705" s="219"/>
      <c r="C13705" s="219"/>
      <c r="D13705" s="219"/>
      <c r="E13705" s="219"/>
      <c r="F13705" s="219"/>
      <c r="G13705" s="52">
        <f>SUM(G13692:G13704)</f>
        <v>465</v>
      </c>
    </row>
    <row r="13706" spans="1:7" x14ac:dyDescent="0.25">
      <c r="A13706" s="56"/>
      <c r="B13706" s="57"/>
      <c r="C13706" s="57"/>
      <c r="D13706" s="57"/>
      <c r="E13706" s="57"/>
      <c r="F13706" s="57"/>
      <c r="G13706" s="58"/>
    </row>
    <row r="13707" spans="1:7" x14ac:dyDescent="0.25">
      <c r="A13707" s="219" t="s">
        <v>96</v>
      </c>
      <c r="B13707" s="219"/>
      <c r="C13707" s="219"/>
      <c r="D13707" s="219"/>
      <c r="E13707" s="219"/>
      <c r="F13707" s="219"/>
      <c r="G13707" s="219"/>
    </row>
    <row r="13708" spans="1:7" x14ac:dyDescent="0.25">
      <c r="A13708" s="49" t="s">
        <v>35</v>
      </c>
      <c r="B13708" s="225" t="s">
        <v>36</v>
      </c>
      <c r="C13708" s="225"/>
      <c r="D13708" s="49" t="s">
        <v>37</v>
      </c>
      <c r="E13708" s="49" t="s">
        <v>38</v>
      </c>
      <c r="F13708" s="49" t="s">
        <v>39</v>
      </c>
      <c r="G13708" s="49" t="s">
        <v>40</v>
      </c>
    </row>
    <row r="13709" spans="1:7" x14ac:dyDescent="0.25">
      <c r="A13709" s="69" t="s">
        <v>97</v>
      </c>
      <c r="B13709" s="72" t="str">
        <f>VLOOKUP(A13709,'Componentes APUs'!$N$1:$Q$30,2,0)</f>
        <v>Camioneta</v>
      </c>
      <c r="C13709" s="73"/>
      <c r="D13709" s="70" t="str">
        <f>VLOOKUP(A13709,'Componentes APUs'!$N$1:$Q$30,3,0)</f>
        <v>U</v>
      </c>
      <c r="E13709" s="50">
        <v>1</v>
      </c>
      <c r="F13709" s="51">
        <f>VLOOKUP(A13709,'Componentes APUs'!$N$1:$Q$30,4,0)</f>
        <v>5500000</v>
      </c>
      <c r="G13709" s="51">
        <f>IFERROR(ROUNDUP(F13709*(E13709/21)/E13657,0),0)</f>
        <v>13096</v>
      </c>
    </row>
    <row r="13710" spans="1:7" x14ac:dyDescent="0.25">
      <c r="A13710" s="50" t="s">
        <v>321</v>
      </c>
      <c r="B13710" s="72" t="str">
        <f>VLOOKUP(A13710,'Componentes APUs'!$N$1:$Q$30,2,0)</f>
        <v>Grúa Hidráulica</v>
      </c>
      <c r="C13710" s="73"/>
      <c r="D13710" s="70" t="str">
        <f>VLOOKUP(A13710,'Componentes APUs'!$N$1:$Q$30,3,0)</f>
        <v>U</v>
      </c>
      <c r="E13710" s="50">
        <v>0</v>
      </c>
      <c r="F13710" s="51">
        <f>VLOOKUP(A13710,'Componentes APUs'!$N$1:$Q$30,4,0)</f>
        <v>21000000</v>
      </c>
      <c r="G13710" s="51">
        <f>IFERROR(ROUNDUP(F13710*(E13710/21)/E13657,0),0)</f>
        <v>0</v>
      </c>
    </row>
    <row r="13711" spans="1:7" x14ac:dyDescent="0.25">
      <c r="A13711" s="69" t="s">
        <v>322</v>
      </c>
      <c r="B13711" s="72" t="str">
        <f>VLOOKUP(A13711,'Componentes APUs'!$N$1:$Q$30,2,0)</f>
        <v>Camabaja</v>
      </c>
      <c r="C13711" s="73"/>
      <c r="D13711" s="70" t="str">
        <f>VLOOKUP(A13711,'Componentes APUs'!$N$1:$Q$30,3,0)</f>
        <v>TON/KM</v>
      </c>
      <c r="E13711" s="50">
        <v>0</v>
      </c>
      <c r="F13711" s="51">
        <f>VLOOKUP(A13711,'Componentes APUs'!$N$1:$Q$30,4,0)</f>
        <v>611</v>
      </c>
      <c r="G13711" s="51">
        <f>IFERROR(ROUNDUP(F13711*(E13711/21)/E13657,0),0)</f>
        <v>0</v>
      </c>
    </row>
    <row r="13712" spans="1:7" x14ac:dyDescent="0.25">
      <c r="A13712" s="50" t="s">
        <v>323</v>
      </c>
      <c r="B13712" s="72" t="str">
        <f>VLOOKUP(A13712,'Componentes APUs'!$N$1:$Q$30,2,0)</f>
        <v>Volqueta</v>
      </c>
      <c r="C13712" s="73"/>
      <c r="D13712" s="70" t="str">
        <f>VLOOKUP(A13712,'Componentes APUs'!$N$1:$Q$30,3,0)</f>
        <v>U</v>
      </c>
      <c r="E13712" s="50">
        <v>0</v>
      </c>
      <c r="F13712" s="51">
        <f>VLOOKUP(A13712,'Componentes APUs'!$N$1:$Q$30,4,0)</f>
        <v>14828184</v>
      </c>
      <c r="G13712" s="51">
        <f>IFERROR(ROUNDUP(F13712*(E13712/21)/E13657,0),0)</f>
        <v>0</v>
      </c>
    </row>
    <row r="13713" spans="1:7" x14ac:dyDescent="0.25">
      <c r="A13713" s="69" t="s">
        <v>324</v>
      </c>
      <c r="B13713" s="72" t="str">
        <f>VLOOKUP(A13713,'Componentes APUs'!$N$1:$Q$30,2,0)</f>
        <v>Retroexcavadora</v>
      </c>
      <c r="C13713" s="73"/>
      <c r="D13713" s="70" t="str">
        <f>VLOOKUP(A13713,'Componentes APUs'!$N$1:$Q$30,3,0)</f>
        <v>U</v>
      </c>
      <c r="E13713" s="50">
        <v>0</v>
      </c>
      <c r="F13713" s="51">
        <f>VLOOKUP(A13713,'Componentes APUs'!$N$1:$Q$30,4,0)</f>
        <v>46030656</v>
      </c>
      <c r="G13713" s="51">
        <f>IFERROR(ROUNDUP(F13713*(E13713/21)/E13657,0),0)</f>
        <v>0</v>
      </c>
    </row>
    <row r="13714" spans="1:7" x14ac:dyDescent="0.25">
      <c r="A13714" s="219" t="s">
        <v>99</v>
      </c>
      <c r="B13714" s="219"/>
      <c r="C13714" s="219"/>
      <c r="D13714" s="219"/>
      <c r="E13714" s="219"/>
      <c r="F13714" s="219"/>
      <c r="G13714" s="52">
        <f>SUM(G13709:G13713)</f>
        <v>13096</v>
      </c>
    </row>
    <row r="13715" spans="1:7" x14ac:dyDescent="0.25">
      <c r="A13715" s="56"/>
      <c r="B13715" s="57"/>
      <c r="C13715" s="57"/>
      <c r="D13715" s="57"/>
      <c r="E13715" s="57"/>
      <c r="F13715" s="57"/>
      <c r="G13715" s="58"/>
    </row>
    <row r="13716" spans="1:7" x14ac:dyDescent="0.25">
      <c r="A13716" s="219" t="s">
        <v>1516</v>
      </c>
      <c r="B13716" s="219"/>
      <c r="C13716" s="219"/>
      <c r="D13716" s="219"/>
      <c r="E13716" s="219"/>
      <c r="F13716" s="219"/>
      <c r="G13716" s="52">
        <f>G13714+G13705+G13688+G13678+G13667</f>
        <v>137791</v>
      </c>
    </row>
    <row r="13717" spans="1:7" x14ac:dyDescent="0.25">
      <c r="A13717" s="59"/>
      <c r="B13717" s="60"/>
      <c r="C13717" s="60"/>
      <c r="D13717" s="60"/>
      <c r="E13717" s="57"/>
      <c r="F13717" s="57"/>
      <c r="G13717" s="58"/>
    </row>
    <row r="13718" spans="1:7" x14ac:dyDescent="0.25">
      <c r="A13718" s="64"/>
      <c r="D13718" s="55"/>
      <c r="E13718" s="49" t="s">
        <v>25</v>
      </c>
      <c r="F13718" s="54">
        <v>0.15</v>
      </c>
      <c r="G13718" s="51">
        <f>G13716*F13718</f>
        <v>20668.649999999998</v>
      </c>
    </row>
    <row r="13719" spans="1:7" x14ac:dyDescent="0.25">
      <c r="A13719" s="64"/>
      <c r="D13719" s="55"/>
      <c r="E13719" s="49" t="s">
        <v>26</v>
      </c>
      <c r="F13719" s="54">
        <v>0.05</v>
      </c>
      <c r="G13719" s="51">
        <f>G13716*F13719</f>
        <v>6889.55</v>
      </c>
    </row>
    <row r="13720" spans="1:7" x14ac:dyDescent="0.25">
      <c r="A13720" s="61"/>
      <c r="B13720" s="65"/>
      <c r="C13720" s="65"/>
      <c r="D13720" s="62"/>
      <c r="E13720" s="49" t="s">
        <v>27</v>
      </c>
      <c r="F13720" s="54">
        <v>0.05</v>
      </c>
      <c r="G13720" s="51">
        <f>G13716*F13720</f>
        <v>6889.55</v>
      </c>
    </row>
    <row r="13721" spans="1:7" x14ac:dyDescent="0.25">
      <c r="A13721" s="61"/>
      <c r="B13721" s="62"/>
      <c r="C13721" s="62"/>
      <c r="D13721" s="62"/>
      <c r="E13721" s="62"/>
      <c r="F13721" s="62"/>
      <c r="G13721" s="63"/>
    </row>
    <row r="13722" spans="1:7" x14ac:dyDescent="0.25">
      <c r="A13722" s="219" t="s">
        <v>1517</v>
      </c>
      <c r="B13722" s="219"/>
      <c r="C13722" s="219"/>
      <c r="D13722" s="219"/>
      <c r="E13722" s="219"/>
      <c r="F13722" s="219"/>
      <c r="G13722" s="52">
        <f>G13716+G13718+G13719+G13720</f>
        <v>172238.74999999997</v>
      </c>
    </row>
    <row r="13723" spans="1:7" x14ac:dyDescent="0.25">
      <c r="A13723" s="59"/>
      <c r="B13723" s="60"/>
      <c r="C13723" s="60"/>
      <c r="D13723" s="60"/>
      <c r="E13723" s="57"/>
      <c r="F13723" s="57"/>
      <c r="G13723" s="58"/>
    </row>
    <row r="13724" spans="1:7" x14ac:dyDescent="0.25">
      <c r="A13724" s="64"/>
      <c r="D13724" s="55"/>
      <c r="E13724" s="49" t="s">
        <v>102</v>
      </c>
      <c r="F13724" s="49" t="s">
        <v>103</v>
      </c>
      <c r="G13724" s="51">
        <f>G13720*19%</f>
        <v>1309.0145</v>
      </c>
    </row>
    <row r="13725" spans="1:7" x14ac:dyDescent="0.25">
      <c r="A13725" s="61"/>
      <c r="B13725" s="62"/>
      <c r="C13725" s="62"/>
      <c r="D13725" s="62"/>
      <c r="E13725" s="57"/>
      <c r="F13725" s="57"/>
      <c r="G13725" s="58"/>
    </row>
    <row r="13726" spans="1:7" x14ac:dyDescent="0.25">
      <c r="A13726" s="219" t="s">
        <v>104</v>
      </c>
      <c r="B13726" s="219"/>
      <c r="C13726" s="219"/>
      <c r="D13726" s="219"/>
      <c r="E13726" s="219"/>
      <c r="F13726" s="219"/>
      <c r="G13726" s="52">
        <f>G13724+G13722</f>
        <v>173547.76449999996</v>
      </c>
    </row>
    <row r="13728" spans="1:7" x14ac:dyDescent="0.25">
      <c r="A13728" s="74" t="s">
        <v>29</v>
      </c>
      <c r="B13728" s="226" t="s">
        <v>30</v>
      </c>
      <c r="C13728" s="226"/>
      <c r="D13728" s="74" t="s">
        <v>31</v>
      </c>
      <c r="E13728" s="74" t="s">
        <v>32</v>
      </c>
      <c r="F13728" s="74" t="s">
        <v>189</v>
      </c>
      <c r="G13728" s="74" t="s">
        <v>33</v>
      </c>
    </row>
    <row r="13729" spans="1:7" ht="44.25" customHeight="1" x14ac:dyDescent="0.25">
      <c r="A13729" s="50" t="str">
        <f>Presupuesto!B247</f>
        <v>054_N3</v>
      </c>
      <c r="B13729" s="220" t="str">
        <f>Presupuesto!C247</f>
        <v>PONCHADO INDIVIDUAL DE CABLE MULTICONDUCTOR  PARA TRANSFORMADORES DE MEDIDA (APLICA PARA CABLE 3X10 AWG, CABLE 7X16 AWG, CABLE 7X10 AWG)</v>
      </c>
      <c r="C13729" s="220"/>
      <c r="D13729" s="50" t="s">
        <v>8</v>
      </c>
      <c r="E13729" s="50">
        <v>50</v>
      </c>
      <c r="F13729" s="50"/>
      <c r="G13729" s="51">
        <f>G13798</f>
        <v>32437.163</v>
      </c>
    </row>
    <row r="13730" spans="1:7" x14ac:dyDescent="0.25">
      <c r="A13730" s="219" t="s">
        <v>34</v>
      </c>
      <c r="B13730" s="219"/>
      <c r="C13730" s="219"/>
      <c r="D13730" s="219"/>
      <c r="E13730" s="219"/>
      <c r="F13730" s="219"/>
      <c r="G13730" s="219"/>
    </row>
    <row r="13731" spans="1:7" x14ac:dyDescent="0.25">
      <c r="A13731" s="49" t="s">
        <v>35</v>
      </c>
      <c r="B13731" s="219" t="s">
        <v>36</v>
      </c>
      <c r="C13731" s="219"/>
      <c r="D13731" s="49" t="s">
        <v>37</v>
      </c>
      <c r="E13731" s="49" t="s">
        <v>38</v>
      </c>
      <c r="F13731" s="49" t="s">
        <v>39</v>
      </c>
      <c r="G13731" s="49" t="s">
        <v>40</v>
      </c>
    </row>
    <row r="13732" spans="1:7" x14ac:dyDescent="0.25">
      <c r="A13732" s="17" t="str">
        <f>Material!A194</f>
        <v>MA-193</v>
      </c>
      <c r="B13732" s="72" t="str">
        <f>IFERROR(VLOOKUP(A13732,Material!$A:$H,2,0),"-")</f>
        <v>TERMINAL TIPO PIN</v>
      </c>
      <c r="C13732" s="73"/>
      <c r="D13732" s="50" t="str">
        <f>IFERROR(VLOOKUP(A13732,Material!$A:$H,4,0),"-")</f>
        <v>UN</v>
      </c>
      <c r="E13732" s="50">
        <v>1</v>
      </c>
      <c r="F13732" s="51">
        <f>IFERROR(VLOOKUP(A13732,Material!$A:$H,3,0),"-")</f>
        <v>260</v>
      </c>
      <c r="G13732" s="51">
        <f t="shared" ref="G13732:G13738" si="196">IFERROR(ROUNDUP(F13732*E13732,0),"-")</f>
        <v>260</v>
      </c>
    </row>
    <row r="13733" spans="1:7" x14ac:dyDescent="0.25">
      <c r="A13733" s="17"/>
      <c r="B13733" s="72" t="str">
        <f>IFERROR(VLOOKUP(A13733,Material!$A:$H,2,0),"-")</f>
        <v>-</v>
      </c>
      <c r="C13733" s="73"/>
      <c r="D13733" s="50" t="str">
        <f>IFERROR(VLOOKUP(A13733,Material!$A:$H,4,0),"-")</f>
        <v>-</v>
      </c>
      <c r="E13733" s="50"/>
      <c r="F13733" s="51" t="str">
        <f>IFERROR(VLOOKUP(A13733,Material!$A:$H,3,0),"-")</f>
        <v>-</v>
      </c>
      <c r="G13733" s="51" t="str">
        <f t="shared" si="196"/>
        <v>-</v>
      </c>
    </row>
    <row r="13734" spans="1:7" x14ac:dyDescent="0.25">
      <c r="A13734" s="17"/>
      <c r="B13734" s="72" t="str">
        <f>IFERROR(VLOOKUP(A13734,Material!$A:$H,2,0),"-")</f>
        <v>-</v>
      </c>
      <c r="C13734" s="73"/>
      <c r="D13734" s="50" t="str">
        <f>IFERROR(VLOOKUP(A13734,Material!$A:$H,4,0),"-")</f>
        <v>-</v>
      </c>
      <c r="E13734" s="50"/>
      <c r="F13734" s="51" t="str">
        <f>IFERROR(VLOOKUP(A13734,Material!$A:$H,3,0),"-")</f>
        <v>-</v>
      </c>
      <c r="G13734" s="51" t="str">
        <f t="shared" si="196"/>
        <v>-</v>
      </c>
    </row>
    <row r="13735" spans="1:7" x14ac:dyDescent="0.25">
      <c r="A13735" s="17"/>
      <c r="B13735" s="75" t="str">
        <f>IFERROR(VLOOKUP(A13735,Material!$A:$H,2,0),"-")</f>
        <v>-</v>
      </c>
      <c r="C13735" s="76"/>
      <c r="D13735" s="50" t="str">
        <f>IFERROR(VLOOKUP(A13735,Material!$A:$H,4,0),"-")</f>
        <v>-</v>
      </c>
      <c r="E13735" s="50"/>
      <c r="F13735" s="51" t="str">
        <f>IFERROR(VLOOKUP(A13735,Material!$A:$H,3,0),"-")</f>
        <v>-</v>
      </c>
      <c r="G13735" s="51" t="str">
        <f t="shared" si="196"/>
        <v>-</v>
      </c>
    </row>
    <row r="13736" spans="1:7" x14ac:dyDescent="0.25">
      <c r="A13736" s="17"/>
      <c r="B13736" s="72" t="str">
        <f>IFERROR(VLOOKUP(A13736,Material!$A:$H,2,0),"-")</f>
        <v>-</v>
      </c>
      <c r="C13736" s="76"/>
      <c r="D13736" s="50" t="str">
        <f>IFERROR(VLOOKUP(A13736,Material!$A:$H,4,0),"-")</f>
        <v>-</v>
      </c>
      <c r="E13736" s="50"/>
      <c r="F13736" s="51" t="str">
        <f>IFERROR(VLOOKUP(A13736,Material!$A:$H,3,0),"-")</f>
        <v>-</v>
      </c>
      <c r="G13736" s="51" t="str">
        <f t="shared" si="196"/>
        <v>-</v>
      </c>
    </row>
    <row r="13737" spans="1:7" x14ac:dyDescent="0.25">
      <c r="A13737" s="17"/>
      <c r="B13737" s="72" t="str">
        <f>IFERROR(VLOOKUP(A13737,Material!$A:$H,2,0),"-")</f>
        <v>-</v>
      </c>
      <c r="C13737" s="76"/>
      <c r="D13737" s="50" t="str">
        <f>IFERROR(VLOOKUP(A13737,Material!$A:$H,4,0),"-")</f>
        <v>-</v>
      </c>
      <c r="E13737" s="50"/>
      <c r="F13737" s="51" t="str">
        <f>IFERROR(VLOOKUP(A13737,Material!$A:$H,3,0),"-")</f>
        <v>-</v>
      </c>
      <c r="G13737" s="51" t="str">
        <f t="shared" si="196"/>
        <v>-</v>
      </c>
    </row>
    <row r="13738" spans="1:7" x14ac:dyDescent="0.25">
      <c r="A13738" s="17"/>
      <c r="B13738" s="72" t="str">
        <f>IFERROR(VLOOKUP(A13738,Material!$A:$H,2,0),"-")</f>
        <v>-</v>
      </c>
      <c r="C13738" s="76"/>
      <c r="D13738" s="50" t="str">
        <f>IFERROR(VLOOKUP(A13738,Material!$A:$H,4,0),"-")</f>
        <v>-</v>
      </c>
      <c r="E13738" s="50"/>
      <c r="F13738" s="51" t="str">
        <f>IFERROR(VLOOKUP(A13738,Material!$A:$H,3,0),"-")</f>
        <v>-</v>
      </c>
      <c r="G13738" s="51" t="str">
        <f t="shared" si="196"/>
        <v>-</v>
      </c>
    </row>
    <row r="13739" spans="1:7" x14ac:dyDescent="0.25">
      <c r="A13739" s="219" t="s">
        <v>41</v>
      </c>
      <c r="B13739" s="219"/>
      <c r="C13739" s="219"/>
      <c r="D13739" s="219"/>
      <c r="E13739" s="219"/>
      <c r="F13739" s="219"/>
      <c r="G13739" s="52">
        <f>SUM(G13732:G13738)</f>
        <v>260</v>
      </c>
    </row>
    <row r="13740" spans="1:7" x14ac:dyDescent="0.25">
      <c r="A13740" s="56"/>
      <c r="B13740" s="57"/>
      <c r="C13740" s="57"/>
      <c r="D13740" s="57"/>
      <c r="E13740" s="57"/>
      <c r="F13740" s="57"/>
      <c r="G13740" s="58"/>
    </row>
    <row r="13741" spans="1:7" x14ac:dyDescent="0.25">
      <c r="A13741" s="219" t="s">
        <v>42</v>
      </c>
      <c r="B13741" s="219"/>
      <c r="C13741" s="219"/>
      <c r="D13741" s="219"/>
      <c r="E13741" s="219"/>
      <c r="F13741" s="219"/>
      <c r="G13741" s="219"/>
    </row>
    <row r="13742" spans="1:7" x14ac:dyDescent="0.25">
      <c r="A13742" s="49" t="s">
        <v>35</v>
      </c>
      <c r="B13742" s="49" t="s">
        <v>36</v>
      </c>
      <c r="C13742" s="49" t="s">
        <v>38</v>
      </c>
      <c r="D13742" s="49" t="s">
        <v>43</v>
      </c>
      <c r="E13742" s="49" t="s">
        <v>44</v>
      </c>
      <c r="F13742" s="49" t="s">
        <v>45</v>
      </c>
      <c r="G13742" s="49" t="s">
        <v>40</v>
      </c>
    </row>
    <row r="13743" spans="1:7" x14ac:dyDescent="0.25">
      <c r="A13743" s="50" t="s">
        <v>319</v>
      </c>
      <c r="B13743" s="68" t="str">
        <f>VLOOKUP(A13743,'Componentes APUs'!$H$1:$L$25,2,0)</f>
        <v>Ingeniero Residente de Obra</v>
      </c>
      <c r="C13743" s="93">
        <v>0.25</v>
      </c>
      <c r="D13743" s="50">
        <f>VLOOKUP(A13743,'Componentes APUs'!$H$1:$L$25,3,0)</f>
        <v>4</v>
      </c>
      <c r="E13743" s="51">
        <f>VLOOKUP(A13743,'Componentes APUs'!$H$1:$L$25,4,0)</f>
        <v>271142.85714285716</v>
      </c>
      <c r="F13743" s="51">
        <f>VLOOKUP(A13743,'Componentes APUs'!$H$1:$L$25,5,0)</f>
        <v>162685.71428571429</v>
      </c>
      <c r="G13743" s="51">
        <f>ROUNDUP((E13743+F13743)*C13743/E13729,0)</f>
        <v>2170</v>
      </c>
    </row>
    <row r="13744" spans="1:7" x14ac:dyDescent="0.25">
      <c r="A13744" s="50" t="s">
        <v>320</v>
      </c>
      <c r="B13744" s="68" t="str">
        <f>VLOOKUP(A13744,'Componentes APUs'!$H$1:$L$25,2,0)</f>
        <v>Tecnico Supervisor</v>
      </c>
      <c r="C13744" s="93">
        <v>0.25</v>
      </c>
      <c r="D13744" s="50">
        <f>VLOOKUP(A13744,'Componentes APUs'!$H$1:$L$25,3,0)</f>
        <v>2.2999999999999998</v>
      </c>
      <c r="E13744" s="51">
        <f>VLOOKUP(A13744,'Componentes APUs'!$H$1:$L$25,4,0)</f>
        <v>155907.14285714284</v>
      </c>
      <c r="F13744" s="51">
        <f>VLOOKUP(A13744,'Componentes APUs'!$H$1:$L$25,5,0)</f>
        <v>93544.285714285696</v>
      </c>
      <c r="G13744" s="51">
        <f>ROUNDUP((E13744+F13744)*C13744/E13729,0)</f>
        <v>1248</v>
      </c>
    </row>
    <row r="13745" spans="1:7" x14ac:dyDescent="0.25">
      <c r="A13745" s="50" t="s">
        <v>1160</v>
      </c>
      <c r="B13745" s="68" t="str">
        <f>VLOOKUP(A13745,'Componentes APUs'!$H$1:$L$25,2,0)</f>
        <v>Oficial Eléctrico</v>
      </c>
      <c r="C13745" s="93">
        <v>1</v>
      </c>
      <c r="D13745" s="50">
        <f>VLOOKUP(A13745,'Componentes APUs'!$H$1:$L$25,3,0)</f>
        <v>2</v>
      </c>
      <c r="E13745" s="51">
        <f>VLOOKUP(A13745,'Componentes APUs'!$H$1:$L$25,4,0)</f>
        <v>154619.04761904763</v>
      </c>
      <c r="F13745" s="51">
        <f>VLOOKUP(A13745,'Componentes APUs'!$H$1:$L$25,5,0)</f>
        <v>92771.42857142858</v>
      </c>
      <c r="G13745" s="51">
        <f>ROUNDUP((E13745+F13745)*C13745/E13729,0)</f>
        <v>4948</v>
      </c>
    </row>
    <row r="13746" spans="1:7" x14ac:dyDescent="0.25">
      <c r="A13746" s="50" t="s">
        <v>48</v>
      </c>
      <c r="B13746" s="68" t="str">
        <f>VLOOKUP(A13746,'Componentes APUs'!$H$1:$L$25,2,0)</f>
        <v>Ayudante Calificado</v>
      </c>
      <c r="C13746" s="93">
        <v>1</v>
      </c>
      <c r="D13746" s="50">
        <f>VLOOKUP(A13746,'Componentes APUs'!$H$1:$L$25,3,0)</f>
        <v>1.5</v>
      </c>
      <c r="E13746" s="51">
        <f>VLOOKUP(A13746,'Componentes APUs'!$H$1:$L$25,4,0)</f>
        <v>115964.28571428571</v>
      </c>
      <c r="F13746" s="51">
        <f>VLOOKUP(A13746,'Componentes APUs'!$H$1:$L$25,5,0)</f>
        <v>69578.57142857142</v>
      </c>
      <c r="G13746" s="51">
        <f>ROUNDUP((E13746+F13746)*C13746/E13729,0)</f>
        <v>3711</v>
      </c>
    </row>
    <row r="13747" spans="1:7" x14ac:dyDescent="0.25">
      <c r="A13747" s="50" t="s">
        <v>50</v>
      </c>
      <c r="B13747" s="68" t="str">
        <f>VLOOKUP(A13747,'Componentes APUs'!$H$1:$L$25,2,0)</f>
        <v>Profesional en SST</v>
      </c>
      <c r="C13747" s="93">
        <v>0.25</v>
      </c>
      <c r="D13747" s="50">
        <f>VLOOKUP(A13747,'Componentes APUs'!$H$1:$L$25,3,0)</f>
        <v>2.5</v>
      </c>
      <c r="E13747" s="51">
        <f>VLOOKUP(A13747,'Componentes APUs'!$H$1:$L$25,4,0)</f>
        <v>169464.28571428571</v>
      </c>
      <c r="F13747" s="51">
        <f>VLOOKUP(A13747,'Componentes APUs'!$H$1:$L$25,5,0)</f>
        <v>101678.57142857142</v>
      </c>
      <c r="G13747" s="51">
        <f>ROUNDUP((E13747+F13747)*C13747/E13729,0)</f>
        <v>1356</v>
      </c>
    </row>
    <row r="13748" spans="1:7" x14ac:dyDescent="0.25">
      <c r="A13748" s="50" t="s">
        <v>52</v>
      </c>
      <c r="B13748" s="68" t="str">
        <f>VLOOKUP(A13748,'Componentes APUs'!$H$1:$L$25,2,0)</f>
        <v>Ayudante No Calificado</v>
      </c>
      <c r="C13748" s="93">
        <v>0</v>
      </c>
      <c r="D13748" s="50">
        <f>VLOOKUP(A13748,'Componentes APUs'!$H$1:$L$25,3,0)</f>
        <v>1</v>
      </c>
      <c r="E13748" s="51">
        <f>VLOOKUP(A13748,'Componentes APUs'!$H$1:$L$25,4,0)</f>
        <v>77309.523809523816</v>
      </c>
      <c r="F13748" s="51">
        <f>VLOOKUP(A13748,'Componentes APUs'!$H$1:$L$25,5,0)</f>
        <v>46385.71428571429</v>
      </c>
      <c r="G13748" s="51">
        <f>ROUNDUP((E13748+F13748)*C13748/E13729,0)</f>
        <v>0</v>
      </c>
    </row>
    <row r="13749" spans="1:7" x14ac:dyDescent="0.25">
      <c r="A13749" s="50" t="s">
        <v>1122</v>
      </c>
      <c r="B13749" s="68" t="str">
        <f>VLOOKUP(A13749,'Componentes APUs'!$H$1:$L$25,2,0)</f>
        <v>Técnico calificado para Comunicaciones</v>
      </c>
      <c r="C13749" s="93">
        <v>1</v>
      </c>
      <c r="D13749" s="50">
        <f>VLOOKUP(A13749,'Componentes APUs'!$H$1:$L$25,3,0)</f>
        <v>3</v>
      </c>
      <c r="E13749" s="51">
        <f>VLOOKUP(A13749,'Componentes APUs'!$H$1:$L$25,4,0)</f>
        <v>203357.14285714287</v>
      </c>
      <c r="F13749" s="51">
        <f>VLOOKUP(A13749,'Componentes APUs'!$H$1:$L$25,5,0)</f>
        <v>122014.28571428571</v>
      </c>
      <c r="G13749" s="51">
        <f>ROUNDUP((E13749+F13749)*C13749/E13729,0)</f>
        <v>6508</v>
      </c>
    </row>
    <row r="13750" spans="1:7" x14ac:dyDescent="0.25">
      <c r="A13750" s="219" t="s">
        <v>56</v>
      </c>
      <c r="B13750" s="219"/>
      <c r="C13750" s="219"/>
      <c r="D13750" s="219"/>
      <c r="E13750" s="219"/>
      <c r="F13750" s="219"/>
      <c r="G13750" s="52">
        <f>SUM(G13743:G13749)</f>
        <v>19941</v>
      </c>
    </row>
    <row r="13751" spans="1:7" x14ac:dyDescent="0.25">
      <c r="A13751" s="56"/>
      <c r="B13751" s="57"/>
      <c r="C13751" s="57"/>
      <c r="D13751" s="57"/>
      <c r="E13751" s="57"/>
      <c r="F13751" s="57"/>
      <c r="G13751" s="58"/>
    </row>
    <row r="13752" spans="1:7" x14ac:dyDescent="0.25">
      <c r="A13752" s="219" t="s">
        <v>57</v>
      </c>
      <c r="B13752" s="219"/>
      <c r="C13752" s="219"/>
      <c r="D13752" s="219"/>
      <c r="E13752" s="219"/>
      <c r="F13752" s="219"/>
      <c r="G13752" s="219"/>
    </row>
    <row r="13753" spans="1:7" x14ac:dyDescent="0.25">
      <c r="A13753" s="49" t="s">
        <v>35</v>
      </c>
      <c r="B13753" s="219" t="s">
        <v>36</v>
      </c>
      <c r="C13753" s="219"/>
      <c r="D13753" s="49" t="s">
        <v>37</v>
      </c>
      <c r="E13753" s="49" t="s">
        <v>38</v>
      </c>
      <c r="F13753" s="49" t="s">
        <v>39</v>
      </c>
      <c r="G13753" s="49" t="s">
        <v>40</v>
      </c>
    </row>
    <row r="13754" spans="1:7" x14ac:dyDescent="0.25">
      <c r="A13754" s="50" t="s">
        <v>326</v>
      </c>
      <c r="B13754" s="220" t="str">
        <f>VLOOKUP(A13754,'Componentes APUs'!$S$1:$V$10,2,0)</f>
        <v>Juego Llaves</v>
      </c>
      <c r="C13754" s="220"/>
      <c r="D13754" s="50" t="s">
        <v>18</v>
      </c>
      <c r="E13754" s="50">
        <v>2</v>
      </c>
      <c r="F13754" s="51">
        <f>VLOOKUP(A13754,'Componentes APUs'!$S$1:$V$10,4,0)</f>
        <v>9167</v>
      </c>
      <c r="G13754" s="51">
        <f>ROUNDUP(F13754*((E13754/21)/E13729),0)</f>
        <v>18</v>
      </c>
    </row>
    <row r="13755" spans="1:7" x14ac:dyDescent="0.25">
      <c r="A13755" s="50" t="s">
        <v>58</v>
      </c>
      <c r="B13755" s="220" t="str">
        <f>VLOOKUP(A13755,'Componentes APUs'!$S$1:$V$10,2,0)</f>
        <v>Manila de servicio</v>
      </c>
      <c r="C13755" s="220"/>
      <c r="D13755" s="50" t="s">
        <v>18</v>
      </c>
      <c r="E13755" s="50">
        <v>0</v>
      </c>
      <c r="F13755" s="51">
        <f>VLOOKUP(A13755,'Componentes APUs'!$S$1:$V$10,4,0)</f>
        <v>2333</v>
      </c>
      <c r="G13755" s="51">
        <f>ROUNDUP(F13755*((E13755/21)/E13729),0)</f>
        <v>0</v>
      </c>
    </row>
    <row r="13756" spans="1:7" x14ac:dyDescent="0.25">
      <c r="A13756" s="50" t="s">
        <v>327</v>
      </c>
      <c r="B13756" s="220" t="str">
        <f>VLOOKUP(A13756,'Componentes APUs'!$S$1:$V$10,2,0)</f>
        <v>Tula portaherramientas</v>
      </c>
      <c r="C13756" s="220"/>
      <c r="D13756" s="50" t="s">
        <v>18</v>
      </c>
      <c r="E13756" s="50">
        <v>2</v>
      </c>
      <c r="F13756" s="51">
        <f>VLOOKUP(A13756,'Componentes APUs'!$S$1:$V$10,4,0)</f>
        <v>1250</v>
      </c>
      <c r="G13756" s="51">
        <f>ROUNDUP(F13756*((E13756/21)/E13729),0)</f>
        <v>3</v>
      </c>
    </row>
    <row r="13757" spans="1:7" x14ac:dyDescent="0.25">
      <c r="A13757" s="50" t="s">
        <v>60</v>
      </c>
      <c r="B13757" s="220" t="str">
        <f>VLOOKUP(A13757,'Componentes APUs'!$S$1:$V$10,2,0)</f>
        <v>Agarradoras</v>
      </c>
      <c r="C13757" s="220"/>
      <c r="D13757" s="50" t="s">
        <v>18</v>
      </c>
      <c r="E13757" s="50">
        <v>0</v>
      </c>
      <c r="F13757" s="51">
        <f>VLOOKUP(A13757,'Componentes APUs'!$S$1:$V$10,4,0)</f>
        <v>125000</v>
      </c>
      <c r="G13757" s="51">
        <f>ROUNDUP(F13757*((E13757/21)/E13729),0)</f>
        <v>0</v>
      </c>
    </row>
    <row r="13758" spans="1:7" x14ac:dyDescent="0.25">
      <c r="A13758" s="50" t="s">
        <v>62</v>
      </c>
      <c r="B13758" s="220" t="str">
        <f>VLOOKUP(A13758,'Componentes APUs'!$S$1:$V$10,2,0)</f>
        <v>Templadoras</v>
      </c>
      <c r="C13758" s="220"/>
      <c r="D13758" s="50" t="s">
        <v>18</v>
      </c>
      <c r="E13758" s="50">
        <v>0</v>
      </c>
      <c r="F13758" s="51">
        <f>VLOOKUP(A13758,'Componentes APUs'!$S$1:$V$10,4,0)</f>
        <v>250000</v>
      </c>
      <c r="G13758" s="51">
        <f>ROUNDUP(F13758*((E13758/21)/E13729),0)</f>
        <v>0</v>
      </c>
    </row>
    <row r="13759" spans="1:7" x14ac:dyDescent="0.25">
      <c r="A13759" s="50" t="s">
        <v>328</v>
      </c>
      <c r="B13759" s="220" t="str">
        <f>VLOOKUP(A13759,'Componentes APUs'!$S$1:$V$10,2,0)</f>
        <v>Herramienta Menor</v>
      </c>
      <c r="C13759" s="220"/>
      <c r="D13759" s="50" t="s">
        <v>18</v>
      </c>
      <c r="E13759" s="50">
        <v>2</v>
      </c>
      <c r="F13759" s="51">
        <f>VLOOKUP(A13759,'Componentes APUs'!$S$1:$V$10,4,0)</f>
        <v>75758</v>
      </c>
      <c r="G13759" s="51">
        <f>ROUNDUP(F13759*((E13759/21)/E13729),0)</f>
        <v>145</v>
      </c>
    </row>
    <row r="13760" spans="1:7" x14ac:dyDescent="0.25">
      <c r="A13760" s="219" t="s">
        <v>69</v>
      </c>
      <c r="B13760" s="219"/>
      <c r="C13760" s="219"/>
      <c r="D13760" s="219"/>
      <c r="E13760" s="219"/>
      <c r="F13760" s="219"/>
      <c r="G13760" s="52">
        <f>SUM(G13754:G13759)</f>
        <v>166</v>
      </c>
    </row>
    <row r="13761" spans="1:7" x14ac:dyDescent="0.25">
      <c r="A13761" s="56"/>
      <c r="B13761" s="57"/>
      <c r="C13761" s="57"/>
      <c r="D13761" s="57"/>
      <c r="E13761" s="57"/>
      <c r="F13761" s="57"/>
      <c r="G13761" s="58"/>
    </row>
    <row r="13762" spans="1:7" x14ac:dyDescent="0.25">
      <c r="A13762" s="219" t="s">
        <v>70</v>
      </c>
      <c r="B13762" s="219"/>
      <c r="C13762" s="219"/>
      <c r="D13762" s="219"/>
      <c r="E13762" s="219"/>
      <c r="F13762" s="219"/>
      <c r="G13762" s="219"/>
    </row>
    <row r="13763" spans="1:7" x14ac:dyDescent="0.25">
      <c r="A13763" s="49" t="s">
        <v>35</v>
      </c>
      <c r="B13763" s="219" t="s">
        <v>36</v>
      </c>
      <c r="C13763" s="219"/>
      <c r="D13763" s="49" t="s">
        <v>37</v>
      </c>
      <c r="E13763" s="49" t="s">
        <v>38</v>
      </c>
      <c r="F13763" s="49" t="s">
        <v>39</v>
      </c>
      <c r="G13763" s="49" t="s">
        <v>40</v>
      </c>
    </row>
    <row r="13764" spans="1:7" x14ac:dyDescent="0.25">
      <c r="A13764" s="50" t="s">
        <v>71</v>
      </c>
      <c r="B13764" s="71" t="str">
        <f>VLOOKUP(A13764,'Componentes APUs'!$A$1:$D$14,2,0)</f>
        <v>Camisa indigo sin partes metalicas</v>
      </c>
      <c r="C13764" s="71"/>
      <c r="D13764" s="50" t="str">
        <f>VLOOKUP(A13764,'Componentes APUs'!$A$1:$D$14,3,0)</f>
        <v>U</v>
      </c>
      <c r="E13764" s="50">
        <f>SUM(C13743:C13748)</f>
        <v>2.75</v>
      </c>
      <c r="F13764" s="51">
        <f>VLOOKUP(A13764,'Componentes APUs'!$A$1:$D$14,4,0)</f>
        <v>8585.8585858585866</v>
      </c>
      <c r="G13764" s="51">
        <f>ROUNDUP(F13764*(E13764/21)/E13729,0)</f>
        <v>23</v>
      </c>
    </row>
    <row r="13765" spans="1:7" x14ac:dyDescent="0.25">
      <c r="A13765" s="69" t="s">
        <v>73</v>
      </c>
      <c r="B13765" s="72" t="str">
        <f>VLOOKUP(A13765,'Componentes APUs'!$A$1:$D$14,2,0)</f>
        <v>Bota de seguridad dielectrica</v>
      </c>
      <c r="C13765" s="73"/>
      <c r="D13765" s="70" t="str">
        <f>VLOOKUP(A13765,'Componentes APUs'!$A$1:$D$14,3,0)</f>
        <v>Par</v>
      </c>
      <c r="E13765" s="50">
        <f>SUM(C13743:C13748)</f>
        <v>2.75</v>
      </c>
      <c r="F13765" s="51">
        <f>VLOOKUP(A13765,'Componentes APUs'!$A$1:$D$14,4,0)</f>
        <v>7500</v>
      </c>
      <c r="G13765" s="51">
        <f>ROUNDUP(F13765*(E13765/21)/E13729,0)</f>
        <v>20</v>
      </c>
    </row>
    <row r="13766" spans="1:7" x14ac:dyDescent="0.25">
      <c r="A13766" s="50" t="s">
        <v>76</v>
      </c>
      <c r="B13766" s="72" t="str">
        <f>VLOOKUP(A13766,'Componentes APUs'!$A$1:$D$14,2,0)</f>
        <v>Casco dielectrico Tipo 1 Clase E con barbuquejo</v>
      </c>
      <c r="C13766" s="73"/>
      <c r="D13766" s="50" t="str">
        <f>VLOOKUP(A13766,'Componentes APUs'!$A$1:$D$14,3,0)</f>
        <v>U</v>
      </c>
      <c r="E13766" s="50">
        <f>C13743+C13744+C13747+C13748+C13746+C13749+IF(A13745&lt;&gt;"MO-3",C13745,0)</f>
        <v>3.75</v>
      </c>
      <c r="F13766" s="51">
        <f>VLOOKUP(A13766,'Componentes APUs'!$A$1:$D$14,4,0)</f>
        <v>10101.010101010101</v>
      </c>
      <c r="G13766" s="51">
        <f>ROUNDUP(F13766*(E13766/21)/E13729,0)</f>
        <v>37</v>
      </c>
    </row>
    <row r="13767" spans="1:7" x14ac:dyDescent="0.25">
      <c r="A13767" s="69" t="s">
        <v>77</v>
      </c>
      <c r="B13767" s="72" t="str">
        <f>VLOOKUP(A13767,'Componentes APUs'!$A$1:$D$14,2,0)</f>
        <v>Correa plastica y antiflama</v>
      </c>
      <c r="C13767" s="73"/>
      <c r="D13767" s="50" t="str">
        <f>VLOOKUP(A13767,'Componentes APUs'!$A$1:$D$14,3,0)</f>
        <v>U</v>
      </c>
      <c r="E13767" s="50">
        <f>SUM(C13743:C13748)</f>
        <v>2.75</v>
      </c>
      <c r="F13767" s="51">
        <f>VLOOKUP(A13767,'Componentes APUs'!$A$1:$D$14,4,0)</f>
        <v>3787.878787878788</v>
      </c>
      <c r="G13767" s="51">
        <f>ROUNDUP(F13767*(E13767/21)/E13729,0)</f>
        <v>10</v>
      </c>
    </row>
    <row r="13768" spans="1:7" x14ac:dyDescent="0.25">
      <c r="A13768" s="50" t="s">
        <v>79</v>
      </c>
      <c r="B13768" s="72" t="str">
        <f>VLOOKUP(A13768,'Componentes APUs'!$A$1:$D$14,2,0)</f>
        <v>Gafas protectoras filtro UV</v>
      </c>
      <c r="C13768" s="73"/>
      <c r="D13768" s="50" t="str">
        <f>VLOOKUP(A13768,'Componentes APUs'!$A$1:$D$14,3,0)</f>
        <v>U</v>
      </c>
      <c r="E13768" s="50">
        <f>SUM(C13743:C13748)</f>
        <v>2.75</v>
      </c>
      <c r="F13768" s="51">
        <f>VLOOKUP(A13768,'Componentes APUs'!$A$1:$D$14,4,0)</f>
        <v>2777.7777777777778</v>
      </c>
      <c r="G13768" s="51">
        <f>ROUNDUP(F13768*(E13768/21)/E13729,0)</f>
        <v>8</v>
      </c>
    </row>
    <row r="13769" spans="1:7" x14ac:dyDescent="0.25">
      <c r="A13769" s="69" t="s">
        <v>402</v>
      </c>
      <c r="B13769" s="72" t="str">
        <f>VLOOKUP(A13769,'Componentes APUs'!$A$1:$D$14,2,0)</f>
        <v>Bota de seguridad PVC dielectrica</v>
      </c>
      <c r="C13769" s="73"/>
      <c r="D13769" s="50" t="str">
        <f>VLOOKUP(A13769,'Componentes APUs'!$A$1:$D$14,3,0)</f>
        <v>Par</v>
      </c>
      <c r="E13769" s="50">
        <f>SUM(C13743:C13748)</f>
        <v>2.75</v>
      </c>
      <c r="F13769" s="51">
        <f>VLOOKUP(A13769,'Componentes APUs'!$A$1:$D$14,4,0)</f>
        <v>2916.6666666666665</v>
      </c>
      <c r="G13769" s="51">
        <f>ROUNDUP(F13769*(E13769/21)/E13729,0)</f>
        <v>8</v>
      </c>
    </row>
    <row r="13770" spans="1:7" x14ac:dyDescent="0.25">
      <c r="A13770" s="50" t="s">
        <v>403</v>
      </c>
      <c r="B13770" s="72" t="str">
        <f>VLOOKUP(A13770,'Componentes APUs'!$A$1:$D$14,2,0)</f>
        <v>Capuchon</v>
      </c>
      <c r="C13770" s="73"/>
      <c r="D13770" s="50" t="str">
        <f>VLOOKUP(A13770,'Componentes APUs'!$A$1:$D$14,3,0)</f>
        <v>U</v>
      </c>
      <c r="E13770" s="50">
        <f>SUM(C13743:C13748)</f>
        <v>2.75</v>
      </c>
      <c r="F13770" s="51">
        <f>VLOOKUP(A13770,'Componentes APUs'!$A$1:$D$14,4,0)</f>
        <v>2525.2525252525252</v>
      </c>
      <c r="G13770" s="51">
        <f>ROUNDUP(F13770*(E13770/21)/E13729,0)</f>
        <v>7</v>
      </c>
    </row>
    <row r="13771" spans="1:7" x14ac:dyDescent="0.25">
      <c r="A13771" s="69" t="s">
        <v>81</v>
      </c>
      <c r="B13771" s="72" t="str">
        <f>VLOOKUP(A13771,'Componentes APUs'!$A$1:$D$14,2,0)</f>
        <v>Guantes Protectores  - ingeniero reforzados</v>
      </c>
      <c r="C13771" s="73"/>
      <c r="D13771" s="50" t="str">
        <f>VLOOKUP(A13771,'Componentes APUs'!$A$1:$D$14,3,0)</f>
        <v>Par</v>
      </c>
      <c r="E13771" s="50">
        <f>C13745+C13746+C13748</f>
        <v>2</v>
      </c>
      <c r="F13771" s="51">
        <f>VLOOKUP(A13771,'Componentes APUs'!$A$1:$D$14,4,0)</f>
        <v>2525.2525252525252</v>
      </c>
      <c r="G13771" s="51">
        <f>ROUNDUP(F13771*(E13771/21)/E13729,0)</f>
        <v>5</v>
      </c>
    </row>
    <row r="13772" spans="1:7" x14ac:dyDescent="0.25">
      <c r="A13772" s="50" t="s">
        <v>83</v>
      </c>
      <c r="B13772" s="72" t="str">
        <f>VLOOKUP(A13772,'Componentes APUs'!$A$1:$D$14,2,0)</f>
        <v>Impermeable (pantalon camisa)</v>
      </c>
      <c r="C13772" s="73"/>
      <c r="D13772" s="50" t="str">
        <f>VLOOKUP(A13772,'Componentes APUs'!$A$1:$D$14,3,0)</f>
        <v>U</v>
      </c>
      <c r="E13772" s="50">
        <f>SUM(C13743:C13748)</f>
        <v>2.75</v>
      </c>
      <c r="F13772" s="51">
        <f>VLOOKUP(A13772,'Componentes APUs'!$A$1:$D$14,4,0)</f>
        <v>3750</v>
      </c>
      <c r="G13772" s="51">
        <f>ROUNDUP(F13772*(E13772/21)/E13729,0)</f>
        <v>10</v>
      </c>
    </row>
    <row r="13773" spans="1:7" x14ac:dyDescent="0.25">
      <c r="A13773" s="69" t="s">
        <v>85</v>
      </c>
      <c r="B13773" s="72" t="str">
        <f>VLOOKUP(A13773,'Componentes APUs'!$A$1:$D$14,2,0)</f>
        <v>Jean Dielectrico</v>
      </c>
      <c r="C13773" s="73"/>
      <c r="D13773" s="50" t="str">
        <f>VLOOKUP(A13773,'Componentes APUs'!$A$1:$D$14,3,0)</f>
        <v>U</v>
      </c>
      <c r="E13773" s="50">
        <f>SUM(C13743:C13748)</f>
        <v>2.75</v>
      </c>
      <c r="F13773" s="51">
        <f>VLOOKUP(A13773,'Componentes APUs'!$A$1:$D$14,4,0)</f>
        <v>7575.757575757576</v>
      </c>
      <c r="G13773" s="51">
        <f>ROUNDUP(F13773*(E13773/21)/E13729,0)</f>
        <v>20</v>
      </c>
    </row>
    <row r="13774" spans="1:7" x14ac:dyDescent="0.25">
      <c r="A13774" s="50" t="s">
        <v>87</v>
      </c>
      <c r="B13774" s="72" t="str">
        <f>VLOOKUP(A13774,'Componentes APUs'!$A$1:$D$14,2,0)</f>
        <v>Casco dielectrico Tipo 2 Clase E con barboquejo</v>
      </c>
      <c r="C13774" s="73"/>
      <c r="D13774" s="50" t="str">
        <f>VLOOKUP(A13774,'Componentes APUs'!$A$1:$D$14,3,0)</f>
        <v>U</v>
      </c>
      <c r="E13774" s="53">
        <f>IF(A13745="MO-3",C13745,0)</f>
        <v>0</v>
      </c>
      <c r="F13774" s="51">
        <f>VLOOKUP(A13774,'Componentes APUs'!$A$1:$D$14,4,0)</f>
        <v>7500</v>
      </c>
      <c r="G13774" s="51">
        <f>ROUNDUP(F13774*(E13774/21)/E13729,0)</f>
        <v>0</v>
      </c>
    </row>
    <row r="13775" spans="1:7" x14ac:dyDescent="0.25">
      <c r="A13775" s="69" t="s">
        <v>89</v>
      </c>
      <c r="B13775" s="72" t="str">
        <f>VLOOKUP(A13775,'Componentes APUs'!$A$1:$D$14,2,0)</f>
        <v>Kit de rescate para trabajo en alturas</v>
      </c>
      <c r="C13775" s="73"/>
      <c r="D13775" s="50" t="str">
        <f>VLOOKUP(A13775,'Componentes APUs'!$A$1:$D$14,3,0)</f>
        <v>U</v>
      </c>
      <c r="E13775" s="50">
        <f>IF(AND(A13745="MO-3",C13745=2),1,0)</f>
        <v>0</v>
      </c>
      <c r="F13775" s="51">
        <f>VLOOKUP(A13775,'Componentes APUs'!$A$1:$D$14,4,0)</f>
        <v>37500</v>
      </c>
      <c r="G13775" s="51">
        <f>ROUNDUP(F13775*(E13775/21)/E13729,0)</f>
        <v>0</v>
      </c>
    </row>
    <row r="13776" spans="1:7" x14ac:dyDescent="0.25">
      <c r="A13776" s="50" t="s">
        <v>91</v>
      </c>
      <c r="B13776" s="72" t="str">
        <f>VLOOKUP(A13776,'Componentes APUs'!$A$1:$D$14,2,0)</f>
        <v>Equipo completo para trabajo en alturas con pretales (Arnes dielectrico, 1 mosqueton de seguridad, tie off dielectrico, eslinga de posicionamiento, juego de pretales)</v>
      </c>
      <c r="C13776" s="73"/>
      <c r="D13776" s="50" t="str">
        <f>VLOOKUP(A13776,'Componentes APUs'!$A$1:$D$14,3,0)</f>
        <v>U</v>
      </c>
      <c r="E13776" s="50">
        <f>IF(A13745="MO-3",C13745,0)</f>
        <v>0</v>
      </c>
      <c r="F13776" s="51">
        <f>VLOOKUP(A13776,'Componentes APUs'!$A$1:$D$14,4,0)</f>
        <v>26041.666666666668</v>
      </c>
      <c r="G13776" s="51">
        <f>ROUNDUP(F13776*(E13776/21)/E13729,0)</f>
        <v>0</v>
      </c>
    </row>
    <row r="13777" spans="1:7" x14ac:dyDescent="0.25">
      <c r="A13777" s="219" t="s">
        <v>95</v>
      </c>
      <c r="B13777" s="219"/>
      <c r="C13777" s="219"/>
      <c r="D13777" s="219"/>
      <c r="E13777" s="219"/>
      <c r="F13777" s="219"/>
      <c r="G13777" s="52">
        <f>SUM(G13764:G13776)</f>
        <v>148</v>
      </c>
    </row>
    <row r="13778" spans="1:7" x14ac:dyDescent="0.25">
      <c r="A13778" s="56"/>
      <c r="B13778" s="57"/>
      <c r="C13778" s="57"/>
      <c r="D13778" s="57"/>
      <c r="E13778" s="57"/>
      <c r="F13778" s="57"/>
      <c r="G13778" s="58"/>
    </row>
    <row r="13779" spans="1:7" x14ac:dyDescent="0.25">
      <c r="A13779" s="219" t="s">
        <v>96</v>
      </c>
      <c r="B13779" s="219"/>
      <c r="C13779" s="219"/>
      <c r="D13779" s="219"/>
      <c r="E13779" s="219"/>
      <c r="F13779" s="219"/>
      <c r="G13779" s="219"/>
    </row>
    <row r="13780" spans="1:7" x14ac:dyDescent="0.25">
      <c r="A13780" s="49" t="s">
        <v>35</v>
      </c>
      <c r="B13780" s="225" t="s">
        <v>36</v>
      </c>
      <c r="C13780" s="225"/>
      <c r="D13780" s="49" t="s">
        <v>37</v>
      </c>
      <c r="E13780" s="49" t="s">
        <v>38</v>
      </c>
      <c r="F13780" s="49" t="s">
        <v>39</v>
      </c>
      <c r="G13780" s="49" t="s">
        <v>40</v>
      </c>
    </row>
    <row r="13781" spans="1:7" x14ac:dyDescent="0.25">
      <c r="A13781" s="69" t="s">
        <v>97</v>
      </c>
      <c r="B13781" s="72" t="str">
        <f>VLOOKUP(A13781,'Componentes APUs'!$N$1:$Q$30,2,0)</f>
        <v>Camioneta</v>
      </c>
      <c r="C13781" s="73"/>
      <c r="D13781" s="70" t="str">
        <f>VLOOKUP(A13781,'Componentes APUs'!$N$1:$Q$30,3,0)</f>
        <v>U</v>
      </c>
      <c r="E13781" s="50">
        <v>1</v>
      </c>
      <c r="F13781" s="51">
        <f>VLOOKUP(A13781,'Componentes APUs'!$N$1:$Q$30,4,0)</f>
        <v>5500000</v>
      </c>
      <c r="G13781" s="51">
        <f>IFERROR(ROUNDUP(F13781*(E13781/21)/E13729,0),0)</f>
        <v>5239</v>
      </c>
    </row>
    <row r="13782" spans="1:7" x14ac:dyDescent="0.25">
      <c r="A13782" s="50" t="s">
        <v>321</v>
      </c>
      <c r="B13782" s="72" t="str">
        <f>VLOOKUP(A13782,'Componentes APUs'!$N$1:$Q$30,2,0)</f>
        <v>Grúa Hidráulica</v>
      </c>
      <c r="C13782" s="73"/>
      <c r="D13782" s="70" t="str">
        <f>VLOOKUP(A13782,'Componentes APUs'!$N$1:$Q$30,3,0)</f>
        <v>U</v>
      </c>
      <c r="E13782" s="50">
        <v>0</v>
      </c>
      <c r="F13782" s="51">
        <f>VLOOKUP(A13782,'Componentes APUs'!$N$1:$Q$30,4,0)</f>
        <v>21000000</v>
      </c>
      <c r="G13782" s="51">
        <f>IFERROR(ROUNDUP(F13782*(E13782/21)/E13729,0),0)</f>
        <v>0</v>
      </c>
    </row>
    <row r="13783" spans="1:7" x14ac:dyDescent="0.25">
      <c r="A13783" s="69" t="s">
        <v>322</v>
      </c>
      <c r="B13783" s="72" t="str">
        <f>VLOOKUP(A13783,'Componentes APUs'!$N$1:$Q$30,2,0)</f>
        <v>Camabaja</v>
      </c>
      <c r="C13783" s="73"/>
      <c r="D13783" s="70" t="str">
        <f>VLOOKUP(A13783,'Componentes APUs'!$N$1:$Q$30,3,0)</f>
        <v>TON/KM</v>
      </c>
      <c r="E13783" s="50">
        <v>0</v>
      </c>
      <c r="F13783" s="51">
        <f>VLOOKUP(A13783,'Componentes APUs'!$N$1:$Q$30,4,0)</f>
        <v>611</v>
      </c>
      <c r="G13783" s="51">
        <f>IFERROR(ROUNDUP(F13783*(E13783/21)/E13729,0),0)</f>
        <v>0</v>
      </c>
    </row>
    <row r="13784" spans="1:7" x14ac:dyDescent="0.25">
      <c r="A13784" s="50" t="s">
        <v>323</v>
      </c>
      <c r="B13784" s="72" t="str">
        <f>VLOOKUP(A13784,'Componentes APUs'!$N$1:$Q$30,2,0)</f>
        <v>Volqueta</v>
      </c>
      <c r="C13784" s="73"/>
      <c r="D13784" s="70" t="str">
        <f>VLOOKUP(A13784,'Componentes APUs'!$N$1:$Q$30,3,0)</f>
        <v>U</v>
      </c>
      <c r="E13784" s="50">
        <v>0</v>
      </c>
      <c r="F13784" s="51">
        <f>VLOOKUP(A13784,'Componentes APUs'!$N$1:$Q$30,4,0)</f>
        <v>14828184</v>
      </c>
      <c r="G13784" s="51">
        <f>IFERROR(ROUNDUP(F13784*(E13784/21)/E13729,0),0)</f>
        <v>0</v>
      </c>
    </row>
    <row r="13785" spans="1:7" x14ac:dyDescent="0.25">
      <c r="A13785" s="69" t="s">
        <v>324</v>
      </c>
      <c r="B13785" s="72" t="str">
        <f>VLOOKUP(A13785,'Componentes APUs'!$N$1:$Q$30,2,0)</f>
        <v>Retroexcavadora</v>
      </c>
      <c r="C13785" s="73"/>
      <c r="D13785" s="70" t="str">
        <f>VLOOKUP(A13785,'Componentes APUs'!$N$1:$Q$30,3,0)</f>
        <v>U</v>
      </c>
      <c r="E13785" s="50">
        <v>0</v>
      </c>
      <c r="F13785" s="51">
        <f>VLOOKUP(A13785,'Componentes APUs'!$N$1:$Q$30,4,0)</f>
        <v>46030656</v>
      </c>
      <c r="G13785" s="51">
        <f>IFERROR(ROUNDUP(F13785*(E13785/21)/E13729,0),0)</f>
        <v>0</v>
      </c>
    </row>
    <row r="13786" spans="1:7" x14ac:dyDescent="0.25">
      <c r="A13786" s="219" t="s">
        <v>99</v>
      </c>
      <c r="B13786" s="219"/>
      <c r="C13786" s="219"/>
      <c r="D13786" s="219"/>
      <c r="E13786" s="219"/>
      <c r="F13786" s="219"/>
      <c r="G13786" s="52">
        <f>SUM(G13781:G13785)</f>
        <v>5239</v>
      </c>
    </row>
    <row r="13787" spans="1:7" x14ac:dyDescent="0.25">
      <c r="A13787" s="56"/>
      <c r="B13787" s="57"/>
      <c r="C13787" s="57"/>
      <c r="D13787" s="57"/>
      <c r="E13787" s="57"/>
      <c r="F13787" s="57"/>
      <c r="G13787" s="58"/>
    </row>
    <row r="13788" spans="1:7" x14ac:dyDescent="0.25">
      <c r="A13788" s="219" t="s">
        <v>1516</v>
      </c>
      <c r="B13788" s="219"/>
      <c r="C13788" s="219"/>
      <c r="D13788" s="219"/>
      <c r="E13788" s="219"/>
      <c r="F13788" s="219"/>
      <c r="G13788" s="52">
        <f>G13786+G13777+G13760+G13750+G13739</f>
        <v>25754</v>
      </c>
    </row>
    <row r="13789" spans="1:7" x14ac:dyDescent="0.25">
      <c r="A13789" s="59"/>
      <c r="B13789" s="60"/>
      <c r="C13789" s="60"/>
      <c r="D13789" s="60"/>
      <c r="E13789" s="57"/>
      <c r="F13789" s="57"/>
      <c r="G13789" s="58"/>
    </row>
    <row r="13790" spans="1:7" x14ac:dyDescent="0.25">
      <c r="A13790" s="64"/>
      <c r="D13790" s="55"/>
      <c r="E13790" s="49" t="s">
        <v>25</v>
      </c>
      <c r="F13790" s="54">
        <v>0.15</v>
      </c>
      <c r="G13790" s="51">
        <f>G13788*F13790</f>
        <v>3863.1</v>
      </c>
    </row>
    <row r="13791" spans="1:7" x14ac:dyDescent="0.25">
      <c r="A13791" s="64"/>
      <c r="D13791" s="55"/>
      <c r="E13791" s="49" t="s">
        <v>26</v>
      </c>
      <c r="F13791" s="54">
        <v>0.05</v>
      </c>
      <c r="G13791" s="51">
        <f>G13788*F13791</f>
        <v>1287.7</v>
      </c>
    </row>
    <row r="13792" spans="1:7" x14ac:dyDescent="0.25">
      <c r="A13792" s="61"/>
      <c r="B13792" s="65"/>
      <c r="C13792" s="65"/>
      <c r="D13792" s="62"/>
      <c r="E13792" s="49" t="s">
        <v>27</v>
      </c>
      <c r="F13792" s="54">
        <v>0.05</v>
      </c>
      <c r="G13792" s="51">
        <f>G13788*F13792</f>
        <v>1287.7</v>
      </c>
    </row>
    <row r="13793" spans="1:7" x14ac:dyDescent="0.25">
      <c r="A13793" s="61"/>
      <c r="B13793" s="62"/>
      <c r="C13793" s="62"/>
      <c r="D13793" s="62"/>
      <c r="E13793" s="62"/>
      <c r="F13793" s="62"/>
      <c r="G13793" s="63"/>
    </row>
    <row r="13794" spans="1:7" x14ac:dyDescent="0.25">
      <c r="A13794" s="219" t="s">
        <v>1517</v>
      </c>
      <c r="B13794" s="219"/>
      <c r="C13794" s="219"/>
      <c r="D13794" s="219"/>
      <c r="E13794" s="219"/>
      <c r="F13794" s="219"/>
      <c r="G13794" s="52">
        <f>G13788+G13790+G13791+G13792</f>
        <v>32192.5</v>
      </c>
    </row>
    <row r="13795" spans="1:7" x14ac:dyDescent="0.25">
      <c r="A13795" s="59"/>
      <c r="B13795" s="60"/>
      <c r="C13795" s="60"/>
      <c r="D13795" s="60"/>
      <c r="E13795" s="57"/>
      <c r="F13795" s="57"/>
      <c r="G13795" s="58"/>
    </row>
    <row r="13796" spans="1:7" x14ac:dyDescent="0.25">
      <c r="A13796" s="64"/>
      <c r="D13796" s="55"/>
      <c r="E13796" s="49" t="s">
        <v>102</v>
      </c>
      <c r="F13796" s="49" t="s">
        <v>103</v>
      </c>
      <c r="G13796" s="51">
        <f>G13792*19%</f>
        <v>244.66300000000001</v>
      </c>
    </row>
    <row r="13797" spans="1:7" x14ac:dyDescent="0.25">
      <c r="A13797" s="61"/>
      <c r="B13797" s="62"/>
      <c r="C13797" s="62"/>
      <c r="D13797" s="62"/>
      <c r="E13797" s="57"/>
      <c r="F13797" s="57"/>
      <c r="G13797" s="58"/>
    </row>
    <row r="13798" spans="1:7" x14ac:dyDescent="0.25">
      <c r="A13798" s="219" t="s">
        <v>104</v>
      </c>
      <c r="B13798" s="219"/>
      <c r="C13798" s="219"/>
      <c r="D13798" s="219"/>
      <c r="E13798" s="219"/>
      <c r="F13798" s="219"/>
      <c r="G13798" s="52">
        <f>G13796+G13794</f>
        <v>32437.163</v>
      </c>
    </row>
    <row r="13800" spans="1:7" x14ac:dyDescent="0.25">
      <c r="A13800" s="74" t="s">
        <v>29</v>
      </c>
      <c r="B13800" s="226" t="s">
        <v>30</v>
      </c>
      <c r="C13800" s="226"/>
      <c r="D13800" s="74" t="s">
        <v>31</v>
      </c>
      <c r="E13800" s="74" t="s">
        <v>32</v>
      </c>
      <c r="F13800" s="74" t="s">
        <v>189</v>
      </c>
      <c r="G13800" s="74" t="s">
        <v>33</v>
      </c>
    </row>
    <row r="13801" spans="1:7" ht="31.5" customHeight="1" x14ac:dyDescent="0.25">
      <c r="A13801" s="50" t="str">
        <f>Presupuesto!B251</f>
        <v>001_N2</v>
      </c>
      <c r="B13801" s="232" t="str">
        <f>Presupuesto!C251</f>
        <v>SUMINISTRO E INSTALACIÓN DE HERRAJES PARA LA ESTRUCTURA PRINCIPAL DEL PÓRTICO</v>
      </c>
      <c r="C13801" s="233"/>
      <c r="D13801" s="50" t="s">
        <v>18</v>
      </c>
      <c r="E13801" s="133">
        <f>1/6</f>
        <v>0.16666666666666666</v>
      </c>
      <c r="F13801" s="50"/>
      <c r="G13801" s="51">
        <f>G13867</f>
        <v>84839810.423500016</v>
      </c>
    </row>
    <row r="13802" spans="1:7" x14ac:dyDescent="0.25">
      <c r="A13802" s="219" t="s">
        <v>34</v>
      </c>
      <c r="B13802" s="219"/>
      <c r="C13802" s="219"/>
      <c r="D13802" s="219"/>
      <c r="E13802" s="219"/>
      <c r="F13802" s="219"/>
      <c r="G13802" s="219"/>
    </row>
    <row r="13803" spans="1:7" x14ac:dyDescent="0.25">
      <c r="A13803" s="49" t="s">
        <v>35</v>
      </c>
      <c r="B13803" s="219" t="s">
        <v>36</v>
      </c>
      <c r="C13803" s="219"/>
      <c r="D13803" s="49" t="s">
        <v>37</v>
      </c>
      <c r="E13803" s="49" t="s">
        <v>38</v>
      </c>
      <c r="F13803" s="49" t="s">
        <v>39</v>
      </c>
      <c r="G13803" s="49" t="s">
        <v>40</v>
      </c>
    </row>
    <row r="13804" spans="1:7" ht="26.25" customHeight="1" x14ac:dyDescent="0.25">
      <c r="A13804" s="50" t="str">
        <f>Material!A10</f>
        <v>MA-09</v>
      </c>
      <c r="B13804" s="221" t="str">
        <f>IFERROR(VLOOKUP(A13804,Material!$A:$J,2,0),"-")</f>
        <v>ESPARRAGO DE HIERRO GALVANIZADO ROSCADO EN TODA SU LONGITUD, 4 TUERCAS. DIAMETRO 16 MM LONGITUD 458  MM</v>
      </c>
      <c r="C13804" s="222"/>
      <c r="D13804" s="50" t="str">
        <f>IFERROR(VLOOKUP(A13804,Material!$A:$J,4,0),"-")</f>
        <v>UN</v>
      </c>
      <c r="E13804" s="50">
        <f>12*3*5</f>
        <v>180</v>
      </c>
      <c r="F13804" s="51">
        <f>IFERROR(VLOOKUP(A13804,Material!$A:$J,3,0),"-")</f>
        <v>10920</v>
      </c>
      <c r="G13804" s="51">
        <f>IFERROR(ROUNDUP(F13804*E13804,0),"-")</f>
        <v>1965600</v>
      </c>
    </row>
    <row r="13805" spans="1:7" ht="26.25" customHeight="1" x14ac:dyDescent="0.25">
      <c r="A13805" s="50" t="str">
        <f>Material!A5</f>
        <v>MA-04</v>
      </c>
      <c r="B13805" s="221" t="str">
        <f>IFERROR(VLOOKUP(A13805,Material!$A:$J,2,0),"-")</f>
        <v>COLLARIN DE DOS SALIDAS EN PLATINA DE HIERRO GALVANIZADO. DIAMETRO (6-8 IN) (17 - 22 CM)</v>
      </c>
      <c r="C13805" s="222"/>
      <c r="D13805" s="50" t="str">
        <f>IFERROR(VLOOKUP(A13805,Material!$A:$J,4,0),"-")</f>
        <v>UN</v>
      </c>
      <c r="E13805" s="50">
        <f>2*12</f>
        <v>24</v>
      </c>
      <c r="F13805" s="51">
        <f>IFERROR(VLOOKUP(A13805,Material!$A:$J,3,0),"-")</f>
        <v>24505</v>
      </c>
      <c r="G13805" s="51">
        <f>IFERROR(ROUNDUP(F13805*E13805,0),"-")</f>
        <v>588120</v>
      </c>
    </row>
    <row r="13806" spans="1:7" ht="26.25" customHeight="1" x14ac:dyDescent="0.25">
      <c r="A13806" s="50" t="str">
        <f>Material!A6</f>
        <v>MA-05</v>
      </c>
      <c r="B13806" s="221" t="str">
        <f>IFERROR(VLOOKUP(A13806,Material!$A:$J,2,0),"-")</f>
        <v>COLLARIN DE DOS SALIDAS EN PLATINA DE HIERRO GALVANIZADO. DIAMETRO (7-10 IN) (20 - 25 CM)</v>
      </c>
      <c r="C13806" s="222"/>
      <c r="D13806" s="50" t="str">
        <f>IFERROR(VLOOKUP(A13806,Material!$A:$J,4,0),"-")</f>
        <v>UN</v>
      </c>
      <c r="E13806" s="50">
        <f>2*12</f>
        <v>24</v>
      </c>
      <c r="F13806" s="51">
        <f>IFERROR(VLOOKUP(A13806,Material!$A:$J,3,0),"-")</f>
        <v>27755</v>
      </c>
      <c r="G13806" s="51">
        <f>IFERROR(ROUNDUP(F13806*E13806,0),"-")</f>
        <v>666120</v>
      </c>
    </row>
    <row r="13807" spans="1:7" ht="26.25" customHeight="1" x14ac:dyDescent="0.25">
      <c r="A13807" s="50" t="str">
        <f>Material!A7</f>
        <v>MA-06</v>
      </c>
      <c r="B13807" s="221" t="str">
        <f>IFERROR(VLOOKUP(A13807,Material!$A:$J,2,0),"-")</f>
        <v>COLLARIN DE DOS SALIDAS EN PLATINA DE HIERRO GALVANIZADO. DIAMETRO (10-12 IN) (25 - 30 CM)</v>
      </c>
      <c r="C13807" s="222"/>
      <c r="D13807" s="50" t="str">
        <f>IFERROR(VLOOKUP(A13807,Material!$A:$J,4,0),"-")</f>
        <v>UN</v>
      </c>
      <c r="E13807" s="50">
        <f>2*12</f>
        <v>24</v>
      </c>
      <c r="F13807" s="51">
        <f>IFERROR(VLOOKUP(A13807,Material!$A:$J,3,0),"-")</f>
        <v>33150</v>
      </c>
      <c r="G13807" s="51">
        <f>IFERROR(ROUNDUP(F13807*E13807,0),"-")</f>
        <v>795600</v>
      </c>
    </row>
    <row r="13808" spans="1:7" ht="26.25" customHeight="1" x14ac:dyDescent="0.25">
      <c r="A13808" s="50" t="str">
        <f>Material!A9</f>
        <v>MA-08</v>
      </c>
      <c r="B13808" s="221" t="str">
        <f>IFERROR(VLOOKUP(A13808,Material!$A:$J,2,0),"-")</f>
        <v>CRUCETA METÁLICA DE ANGULO GALVANIZADO DE 6 M DE LONGITUD. CALIBRE (76*76*6) MM</v>
      </c>
      <c r="C13808" s="222"/>
      <c r="D13808" s="50" t="str">
        <f>IFERROR(VLOOKUP(A13808,Material!$A:$J,4,0),"-")</f>
        <v>UN</v>
      </c>
      <c r="E13808" s="50">
        <f>6*12</f>
        <v>72</v>
      </c>
      <c r="F13808" s="51">
        <f>IFERROR(VLOOKUP(A13808,Material!$A:$J,3,0),"-")</f>
        <v>763908.6</v>
      </c>
      <c r="G13808" s="51">
        <f>IFERROR(ROUNDUP(F13808*E13808,0),"-")</f>
        <v>55001420</v>
      </c>
    </row>
    <row r="13809" spans="1:9" x14ac:dyDescent="0.25">
      <c r="A13809" s="219" t="s">
        <v>41</v>
      </c>
      <c r="B13809" s="219"/>
      <c r="C13809" s="219"/>
      <c r="D13809" s="219"/>
      <c r="E13809" s="219"/>
      <c r="F13809" s="219"/>
      <c r="G13809" s="52">
        <f>SUM(G13804:G13808)</f>
        <v>59016860</v>
      </c>
    </row>
    <row r="13810" spans="1:9" x14ac:dyDescent="0.25">
      <c r="A13810" s="56"/>
      <c r="B13810" s="57"/>
      <c r="C13810" s="57"/>
      <c r="D13810" s="57"/>
      <c r="E13810" s="57"/>
      <c r="F13810" s="57"/>
      <c r="G13810" s="58"/>
    </row>
    <row r="13811" spans="1:9" x14ac:dyDescent="0.25">
      <c r="A13811" s="219" t="s">
        <v>42</v>
      </c>
      <c r="B13811" s="219"/>
      <c r="C13811" s="219"/>
      <c r="D13811" s="219"/>
      <c r="E13811" s="219"/>
      <c r="F13811" s="219"/>
      <c r="G13811" s="219"/>
    </row>
    <row r="13812" spans="1:9" x14ac:dyDescent="0.25">
      <c r="A13812" s="49" t="s">
        <v>35</v>
      </c>
      <c r="B13812" s="49" t="s">
        <v>36</v>
      </c>
      <c r="C13812" s="49" t="s">
        <v>38</v>
      </c>
      <c r="D13812" s="49" t="s">
        <v>43</v>
      </c>
      <c r="E13812" s="49" t="s">
        <v>44</v>
      </c>
      <c r="F13812" s="49" t="s">
        <v>45</v>
      </c>
      <c r="G13812" s="49" t="s">
        <v>40</v>
      </c>
    </row>
    <row r="13813" spans="1:9" x14ac:dyDescent="0.25">
      <c r="A13813" s="50" t="s">
        <v>319</v>
      </c>
      <c r="B13813" s="68" t="str">
        <f>VLOOKUP(A13813,'[1]Componentes APUs'!$H$1:$L$25,2,0)</f>
        <v>Ingeniero Residente de Obra</v>
      </c>
      <c r="C13813" s="93">
        <v>0.25</v>
      </c>
      <c r="D13813" s="50">
        <f>VLOOKUP(A13813,'[1]Componentes APUs'!$H$1:$L$25,3,0)</f>
        <v>4</v>
      </c>
      <c r="E13813" s="51">
        <f>VLOOKUP(A13813,'[1]Componentes APUs'!$H$1:$L$25,4,0)</f>
        <v>271142.85714285716</v>
      </c>
      <c r="F13813" s="51">
        <f>VLOOKUP(A13813,'[1]Componentes APUs'!$H$1:$L$25,5,0)</f>
        <v>162685.71428571429</v>
      </c>
      <c r="G13813" s="51">
        <f>ROUNDUP((E13813+F13813)*C13813/E13801,0)</f>
        <v>650743</v>
      </c>
      <c r="H13813" s="66"/>
    </row>
    <row r="13814" spans="1:9" x14ac:dyDescent="0.25">
      <c r="A13814" s="50" t="s">
        <v>320</v>
      </c>
      <c r="B13814" s="68" t="str">
        <f>VLOOKUP(A13814,'[1]Componentes APUs'!$H$1:$L$25,2,0)</f>
        <v>Tecnico Supervisor</v>
      </c>
      <c r="C13814" s="93">
        <v>0.25</v>
      </c>
      <c r="D13814" s="50">
        <f>VLOOKUP(A13814,'[1]Componentes APUs'!$H$1:$L$25,3,0)</f>
        <v>2.2999999999999998</v>
      </c>
      <c r="E13814" s="51">
        <f>VLOOKUP(A13814,'[1]Componentes APUs'!$H$1:$L$25,4,0)</f>
        <v>155907.14285714284</v>
      </c>
      <c r="F13814" s="51">
        <f>VLOOKUP(A13814,'[1]Componentes APUs'!$H$1:$L$25,5,0)</f>
        <v>93544.285714285696</v>
      </c>
      <c r="G13814" s="51">
        <f>ROUNDUP((E13814+F13814)*C13814/E13801,0)</f>
        <v>374178</v>
      </c>
    </row>
    <row r="13815" spans="1:9" x14ac:dyDescent="0.25">
      <c r="A13815" s="50" t="s">
        <v>46</v>
      </c>
      <c r="B13815" s="68" t="str">
        <f>VLOOKUP(A13815,'[1]Componentes APUs'!$H$1:$L$25,2,0)</f>
        <v>Tecnico Liniero</v>
      </c>
      <c r="C13815" s="93">
        <v>2</v>
      </c>
      <c r="D13815" s="50">
        <f>VLOOKUP(A13815,'[1]Componentes APUs'!$H$1:$L$25,3,0)</f>
        <v>2</v>
      </c>
      <c r="E13815" s="51">
        <f>VLOOKUP(A13815,'[1]Componentes APUs'!$H$1:$L$25,4,0)</f>
        <v>154619.04761904763</v>
      </c>
      <c r="F13815" s="51">
        <f>VLOOKUP(A13815,'[1]Componentes APUs'!$H$1:$L$25,5,0)</f>
        <v>92771.42857142858</v>
      </c>
      <c r="G13815" s="51">
        <f>ROUNDUP((E13815+F13815)*C13815/E13801,0)</f>
        <v>2968686</v>
      </c>
    </row>
    <row r="13816" spans="1:9" x14ac:dyDescent="0.25">
      <c r="A13816" s="50" t="s">
        <v>48</v>
      </c>
      <c r="B13816" s="68" t="str">
        <f>VLOOKUP(A13816,'[1]Componentes APUs'!$H$1:$L$25,2,0)</f>
        <v>Ayudante Calificado</v>
      </c>
      <c r="C13816" s="93">
        <v>2</v>
      </c>
      <c r="D13816" s="50">
        <f>VLOOKUP(A13816,'[1]Componentes APUs'!$H$1:$L$25,3,0)</f>
        <v>1.5</v>
      </c>
      <c r="E13816" s="51">
        <f>VLOOKUP(A13816,'[1]Componentes APUs'!$H$1:$L$25,4,0)</f>
        <v>115964.28571428571</v>
      </c>
      <c r="F13816" s="51">
        <f>VLOOKUP(A13816,'[1]Componentes APUs'!$H$1:$L$25,5,0)</f>
        <v>69578.57142857142</v>
      </c>
      <c r="G13816" s="51">
        <f>ROUNDUP((E13816+F13816)*C13816/E13801,0)</f>
        <v>2226515</v>
      </c>
    </row>
    <row r="13817" spans="1:9" x14ac:dyDescent="0.25">
      <c r="A13817" s="50" t="s">
        <v>50</v>
      </c>
      <c r="B13817" s="68" t="str">
        <f>VLOOKUP(A13817,'[1]Componentes APUs'!$H$1:$L$25,2,0)</f>
        <v>Profesional en SST</v>
      </c>
      <c r="C13817" s="93">
        <v>0.25</v>
      </c>
      <c r="D13817" s="50">
        <f>VLOOKUP(A13817,'[1]Componentes APUs'!$H$1:$L$25,3,0)</f>
        <v>2.5</v>
      </c>
      <c r="E13817" s="51">
        <f>VLOOKUP(A13817,'[1]Componentes APUs'!$H$1:$L$25,4,0)</f>
        <v>169464.28571428571</v>
      </c>
      <c r="F13817" s="51">
        <f>VLOOKUP(A13817,'[1]Componentes APUs'!$H$1:$L$25,5,0)</f>
        <v>101678.57142857142</v>
      </c>
      <c r="G13817" s="51">
        <f>ROUNDUP((E13817+F13817)*C13817/E13801,0)</f>
        <v>406715</v>
      </c>
    </row>
    <row r="13818" spans="1:9" x14ac:dyDescent="0.25">
      <c r="A13818" s="50" t="s">
        <v>52</v>
      </c>
      <c r="B13818" s="68" t="str">
        <f>VLOOKUP(A13818,'[1]Componentes APUs'!$H$1:$L$25,2,0)</f>
        <v>Ayudante No Calificado</v>
      </c>
      <c r="C13818" s="93">
        <v>0</v>
      </c>
      <c r="D13818" s="50">
        <f>VLOOKUP(A13818,'[1]Componentes APUs'!$H$1:$L$25,3,0)</f>
        <v>1</v>
      </c>
      <c r="E13818" s="51">
        <f>VLOOKUP(A13818,'[1]Componentes APUs'!$H$1:$L$25,4,0)</f>
        <v>77309.523809523816</v>
      </c>
      <c r="F13818" s="51">
        <f>VLOOKUP(A13818,'[1]Componentes APUs'!$H$1:$L$25,5,0)</f>
        <v>46385.71428571429</v>
      </c>
      <c r="G13818" s="51">
        <f>ROUNDUP((E13818+F13818)*C13818/E13801,0)</f>
        <v>0</v>
      </c>
    </row>
    <row r="13819" spans="1:9" x14ac:dyDescent="0.25">
      <c r="A13819" s="219" t="s">
        <v>56</v>
      </c>
      <c r="B13819" s="219"/>
      <c r="C13819" s="219"/>
      <c r="D13819" s="219"/>
      <c r="E13819" s="219"/>
      <c r="F13819" s="219"/>
      <c r="G13819" s="52">
        <f>SUM(G13813:G13818)</f>
        <v>6626837</v>
      </c>
    </row>
    <row r="13820" spans="1:9" x14ac:dyDescent="0.25">
      <c r="A13820" s="56"/>
      <c r="B13820" s="57"/>
      <c r="C13820" s="57"/>
      <c r="D13820" s="57"/>
      <c r="E13820" s="57"/>
      <c r="F13820" s="57"/>
      <c r="G13820" s="58"/>
    </row>
    <row r="13821" spans="1:9" x14ac:dyDescent="0.25">
      <c r="A13821" s="219" t="s">
        <v>57</v>
      </c>
      <c r="B13821" s="219"/>
      <c r="C13821" s="219"/>
      <c r="D13821" s="219"/>
      <c r="E13821" s="219"/>
      <c r="F13821" s="219"/>
      <c r="G13821" s="219"/>
    </row>
    <row r="13822" spans="1:9" x14ac:dyDescent="0.25">
      <c r="A13822" s="49" t="s">
        <v>35</v>
      </c>
      <c r="B13822" s="219" t="s">
        <v>36</v>
      </c>
      <c r="C13822" s="219"/>
      <c r="D13822" s="49" t="s">
        <v>37</v>
      </c>
      <c r="E13822" s="49" t="s">
        <v>38</v>
      </c>
      <c r="F13822" s="49" t="s">
        <v>39</v>
      </c>
      <c r="G13822" s="49" t="s">
        <v>40</v>
      </c>
    </row>
    <row r="13823" spans="1:9" x14ac:dyDescent="0.25">
      <c r="A13823" s="50" t="s">
        <v>326</v>
      </c>
      <c r="B13823" s="220" t="str">
        <f>VLOOKUP(A13823,'[1]Componentes APUs'!$S$1:$V$10,2,0)</f>
        <v>Juego Llaves</v>
      </c>
      <c r="C13823" s="220"/>
      <c r="D13823" s="50" t="s">
        <v>18</v>
      </c>
      <c r="E13823" s="50">
        <v>2</v>
      </c>
      <c r="F13823" s="51">
        <f>VLOOKUP(A13823,'[1]Componentes APUs'!$S$1:$V$10,4,0)</f>
        <v>9167</v>
      </c>
      <c r="G13823" s="51">
        <f>ROUNDUP(F13823*((E13823/21)/E13801),0)</f>
        <v>5239</v>
      </c>
      <c r="I13823" s="91"/>
    </row>
    <row r="13824" spans="1:9" x14ac:dyDescent="0.25">
      <c r="A13824" s="50" t="s">
        <v>58</v>
      </c>
      <c r="B13824" s="220" t="str">
        <f>VLOOKUP(A13824,'[1]Componentes APUs'!$S$1:$V$10,2,0)</f>
        <v>Manila de servicio</v>
      </c>
      <c r="C13824" s="220"/>
      <c r="D13824" s="50" t="s">
        <v>18</v>
      </c>
      <c r="E13824" s="50">
        <v>2</v>
      </c>
      <c r="F13824" s="51">
        <f>VLOOKUP(A13824,'[1]Componentes APUs'!$S$1:$V$10,4,0)</f>
        <v>2333</v>
      </c>
      <c r="G13824" s="51">
        <f>ROUNDUP(F13824*((E13824/21)/E13801),0)</f>
        <v>1334</v>
      </c>
    </row>
    <row r="13825" spans="1:9" x14ac:dyDescent="0.25">
      <c r="A13825" s="50" t="s">
        <v>327</v>
      </c>
      <c r="B13825" s="220" t="str">
        <f>VLOOKUP(A13825,'[1]Componentes APUs'!$S$1:$V$10,2,0)</f>
        <v>Tula portaherramientas</v>
      </c>
      <c r="C13825" s="220"/>
      <c r="D13825" s="50" t="s">
        <v>18</v>
      </c>
      <c r="E13825" s="50">
        <v>2</v>
      </c>
      <c r="F13825" s="51">
        <f>VLOOKUP(A13825,'[1]Componentes APUs'!$S$1:$V$10,4,0)</f>
        <v>1250</v>
      </c>
      <c r="G13825" s="51">
        <f>ROUNDUP(F13825*((E13825/21)/E13801),0)</f>
        <v>715</v>
      </c>
    </row>
    <row r="13826" spans="1:9" x14ac:dyDescent="0.25">
      <c r="A13826" s="50" t="s">
        <v>60</v>
      </c>
      <c r="B13826" s="220" t="str">
        <f>VLOOKUP(A13826,'[1]Componentes APUs'!$S$1:$V$10,2,0)</f>
        <v>Agarradoras</v>
      </c>
      <c r="C13826" s="220"/>
      <c r="D13826" s="50" t="s">
        <v>18</v>
      </c>
      <c r="E13826" s="50">
        <v>0</v>
      </c>
      <c r="F13826" s="51">
        <f>VLOOKUP(A13826,'[1]Componentes APUs'!$S$1:$V$10,4,0)</f>
        <v>125000</v>
      </c>
      <c r="G13826" s="51">
        <f>ROUNDUP(F13826*((E13826/21)/E13801),0)</f>
        <v>0</v>
      </c>
    </row>
    <row r="13827" spans="1:9" x14ac:dyDescent="0.25">
      <c r="A13827" s="50" t="s">
        <v>62</v>
      </c>
      <c r="B13827" s="220" t="str">
        <f>VLOOKUP(A13827,'[1]Componentes APUs'!$S$1:$V$10,2,0)</f>
        <v>Templadoras</v>
      </c>
      <c r="C13827" s="220"/>
      <c r="D13827" s="50" t="s">
        <v>18</v>
      </c>
      <c r="E13827" s="50">
        <v>0</v>
      </c>
      <c r="F13827" s="51">
        <f>VLOOKUP(A13827,'[1]Componentes APUs'!$S$1:$V$10,4,0)</f>
        <v>250000</v>
      </c>
      <c r="G13827" s="51">
        <f>ROUNDUP(F13827*((E13827/21)/E13801),0)</f>
        <v>0</v>
      </c>
    </row>
    <row r="13828" spans="1:9" x14ac:dyDescent="0.25">
      <c r="A13828" s="50" t="s">
        <v>328</v>
      </c>
      <c r="B13828" s="220" t="str">
        <f>VLOOKUP(A13828,'[1]Componentes APUs'!$S$1:$V$10,2,0)</f>
        <v>Herramienta Menor</v>
      </c>
      <c r="C13828" s="220"/>
      <c r="D13828" s="50" t="s">
        <v>18</v>
      </c>
      <c r="E13828" s="50">
        <v>2</v>
      </c>
      <c r="F13828" s="51">
        <f>VLOOKUP(A13828,'[1]Componentes APUs'!$S$1:$V$10,4,0)</f>
        <v>75758</v>
      </c>
      <c r="G13828" s="51">
        <f>ROUNDUP(F13828*((E13828/21)/E13801),0)</f>
        <v>43291</v>
      </c>
    </row>
    <row r="13829" spans="1:9" x14ac:dyDescent="0.25">
      <c r="A13829" s="219" t="s">
        <v>69</v>
      </c>
      <c r="B13829" s="219"/>
      <c r="C13829" s="219"/>
      <c r="D13829" s="219"/>
      <c r="E13829" s="219"/>
      <c r="F13829" s="219"/>
      <c r="G13829" s="52">
        <f>SUM(G13823:G13828)</f>
        <v>50579</v>
      </c>
    </row>
    <row r="13830" spans="1:9" x14ac:dyDescent="0.25">
      <c r="A13830" s="56"/>
      <c r="B13830" s="57"/>
      <c r="C13830" s="57"/>
      <c r="D13830" s="57"/>
      <c r="E13830" s="57"/>
      <c r="F13830" s="57"/>
      <c r="G13830" s="58"/>
    </row>
    <row r="13831" spans="1:9" x14ac:dyDescent="0.25">
      <c r="A13831" s="219" t="s">
        <v>70</v>
      </c>
      <c r="B13831" s="219"/>
      <c r="C13831" s="219"/>
      <c r="D13831" s="219"/>
      <c r="E13831" s="219"/>
      <c r="F13831" s="219"/>
      <c r="G13831" s="219"/>
    </row>
    <row r="13832" spans="1:9" x14ac:dyDescent="0.25">
      <c r="A13832" s="49" t="s">
        <v>35</v>
      </c>
      <c r="B13832" s="219" t="s">
        <v>36</v>
      </c>
      <c r="C13832" s="219"/>
      <c r="D13832" s="49" t="s">
        <v>37</v>
      </c>
      <c r="E13832" s="49" t="s">
        <v>38</v>
      </c>
      <c r="F13832" s="49" t="s">
        <v>39</v>
      </c>
      <c r="G13832" s="49" t="s">
        <v>40</v>
      </c>
    </row>
    <row r="13833" spans="1:9" x14ac:dyDescent="0.25">
      <c r="A13833" s="50" t="s">
        <v>71</v>
      </c>
      <c r="B13833" s="71" t="str">
        <f>VLOOKUP(A13833,'[1]Componentes APUs'!$A$1:$D$14,2,0)</f>
        <v>Camisa indigo sin partes metalicas</v>
      </c>
      <c r="C13833" s="71"/>
      <c r="D13833" s="50" t="str">
        <f>VLOOKUP(A13833,'[1]Componentes APUs'!$A$1:$D$14,3,0)</f>
        <v>U</v>
      </c>
      <c r="E13833" s="50">
        <f>SUM(C13813:C13818)</f>
        <v>4.75</v>
      </c>
      <c r="F13833" s="51">
        <f>VLOOKUP(A13833,'[1]Componentes APUs'!$A$1:$D$14,4,0)</f>
        <v>8585.8585858585866</v>
      </c>
      <c r="G13833" s="51">
        <f>ROUNDUP(F13833*(E13833/21)/E13801,0)</f>
        <v>11653</v>
      </c>
      <c r="I13833" s="91"/>
    </row>
    <row r="13834" spans="1:9" x14ac:dyDescent="0.25">
      <c r="A13834" s="69" t="s">
        <v>73</v>
      </c>
      <c r="B13834" s="72" t="str">
        <f>VLOOKUP(A13834,'[1]Componentes APUs'!$A$1:$D$14,2,0)</f>
        <v>Bota de seguridad dielectrica</v>
      </c>
      <c r="C13834" s="73"/>
      <c r="D13834" s="70" t="str">
        <f>VLOOKUP(A13834,'[1]Componentes APUs'!$A$1:$D$14,3,0)</f>
        <v>Par</v>
      </c>
      <c r="E13834" s="50">
        <f>SUM(C13813:C13818)</f>
        <v>4.75</v>
      </c>
      <c r="F13834" s="51">
        <f>VLOOKUP(A13834,'[1]Componentes APUs'!$A$1:$D$14,4,0)</f>
        <v>7500</v>
      </c>
      <c r="G13834" s="51">
        <f>ROUNDUP(F13834*(E13834/21)/E13801,0)</f>
        <v>10179</v>
      </c>
    </row>
    <row r="13835" spans="1:9" x14ac:dyDescent="0.25">
      <c r="A13835" s="50" t="s">
        <v>76</v>
      </c>
      <c r="B13835" s="72" t="str">
        <f>VLOOKUP(A13835,'[1]Componentes APUs'!$A$1:$D$14,2,0)</f>
        <v>Casco dielectrico Tipo 1 Clase E con barbuquejo</v>
      </c>
      <c r="C13835" s="73"/>
      <c r="D13835" s="50" t="str">
        <f>VLOOKUP(A13835,'[1]Componentes APUs'!$A$1:$D$14,3,0)</f>
        <v>U</v>
      </c>
      <c r="E13835" s="50">
        <f>C13813+C13814+C13816+C13817+C13818+IF(A13815&lt;&gt;"MO-3",C13815,0)</f>
        <v>2.75</v>
      </c>
      <c r="F13835" s="51">
        <f>VLOOKUP(A13835,'[1]Componentes APUs'!$A$1:$D$14,4,0)</f>
        <v>10101.010101010101</v>
      </c>
      <c r="G13835" s="51">
        <f>ROUNDUP(F13835*(E13835/21)/E13801,0)</f>
        <v>7937</v>
      </c>
    </row>
    <row r="13836" spans="1:9" x14ac:dyDescent="0.25">
      <c r="A13836" s="69" t="s">
        <v>77</v>
      </c>
      <c r="B13836" s="72" t="str">
        <f>VLOOKUP(A13836,'[1]Componentes APUs'!$A$1:$D$14,2,0)</f>
        <v>Correa plastica y antiflama</v>
      </c>
      <c r="C13836" s="73"/>
      <c r="D13836" s="50" t="str">
        <f>VLOOKUP(A13836,'[1]Componentes APUs'!$A$1:$D$14,3,0)</f>
        <v>U</v>
      </c>
      <c r="E13836" s="50">
        <f>SUM(C13813:C13818)</f>
        <v>4.75</v>
      </c>
      <c r="F13836" s="51">
        <f>VLOOKUP(A13836,'[1]Componentes APUs'!$A$1:$D$14,4,0)</f>
        <v>3787.878787878788</v>
      </c>
      <c r="G13836" s="51">
        <f>ROUNDUP(F13836*(E13836/21)/E13801,0)</f>
        <v>5141</v>
      </c>
    </row>
    <row r="13837" spans="1:9" x14ac:dyDescent="0.25">
      <c r="A13837" s="50" t="s">
        <v>79</v>
      </c>
      <c r="B13837" s="72" t="str">
        <f>VLOOKUP(A13837,'[1]Componentes APUs'!$A$1:$D$14,2,0)</f>
        <v>Gafas protectoras filtro UV</v>
      </c>
      <c r="C13837" s="73"/>
      <c r="D13837" s="50" t="str">
        <f>VLOOKUP(A13837,'[1]Componentes APUs'!$A$1:$D$14,3,0)</f>
        <v>U</v>
      </c>
      <c r="E13837" s="50">
        <f>SUM(C13813:C13818)</f>
        <v>4.75</v>
      </c>
      <c r="F13837" s="51">
        <f>VLOOKUP(A13837,'[1]Componentes APUs'!$A$1:$D$14,4,0)</f>
        <v>2777.7777777777778</v>
      </c>
      <c r="G13837" s="51">
        <f>ROUNDUP(F13837*(E13837/21)/E13801,0)</f>
        <v>3770</v>
      </c>
    </row>
    <row r="13838" spans="1:9" x14ac:dyDescent="0.25">
      <c r="A13838" s="69" t="s">
        <v>402</v>
      </c>
      <c r="B13838" s="72" t="str">
        <f>VLOOKUP(A13838,'[1]Componentes APUs'!$A$1:$D$14,2,0)</f>
        <v>Bota de seguridad PVC dielectrica</v>
      </c>
      <c r="C13838" s="73"/>
      <c r="D13838" s="50" t="str">
        <f>VLOOKUP(A13838,'[1]Componentes APUs'!$A$1:$D$14,3,0)</f>
        <v>Par</v>
      </c>
      <c r="E13838" s="50">
        <f>SUM(C13813:C13818)</f>
        <v>4.75</v>
      </c>
      <c r="F13838" s="51">
        <f>VLOOKUP(A13838,'[1]Componentes APUs'!$A$1:$D$14,4,0)</f>
        <v>2916.6666666666665</v>
      </c>
      <c r="G13838" s="51">
        <f>ROUNDUP(F13838*(E13838/21)/E13801,0)</f>
        <v>3959</v>
      </c>
    </row>
    <row r="13839" spans="1:9" x14ac:dyDescent="0.25">
      <c r="A13839" s="50" t="s">
        <v>403</v>
      </c>
      <c r="B13839" s="72" t="str">
        <f>VLOOKUP(A13839,'[1]Componentes APUs'!$A$1:$D$14,2,0)</f>
        <v>Capuchon</v>
      </c>
      <c r="C13839" s="73"/>
      <c r="D13839" s="50" t="str">
        <f>VLOOKUP(A13839,'[1]Componentes APUs'!$A$1:$D$14,3,0)</f>
        <v>U</v>
      </c>
      <c r="E13839" s="50">
        <f>SUM(C13813:C13818)</f>
        <v>4.75</v>
      </c>
      <c r="F13839" s="51">
        <f>VLOOKUP(A13839,'[1]Componentes APUs'!$A$1:$D$14,4,0)</f>
        <v>2525.2525252525252</v>
      </c>
      <c r="G13839" s="51">
        <f>ROUNDUP(F13839*(E13839/21)/E13801,0)</f>
        <v>3428</v>
      </c>
    </row>
    <row r="13840" spans="1:9" x14ac:dyDescent="0.25">
      <c r="A13840" s="69" t="s">
        <v>81</v>
      </c>
      <c r="B13840" s="72" t="str">
        <f>VLOOKUP(A13840,'[1]Componentes APUs'!$A$1:$D$14,2,0)</f>
        <v>Guantes Protectores  - ingeniero reforzados</v>
      </c>
      <c r="C13840" s="73"/>
      <c r="D13840" s="50" t="str">
        <f>VLOOKUP(A13840,'[1]Componentes APUs'!$A$1:$D$14,3,0)</f>
        <v>Par</v>
      </c>
      <c r="E13840" s="50">
        <f>C13815+C13816+C13818</f>
        <v>4</v>
      </c>
      <c r="F13840" s="51">
        <f>VLOOKUP(A13840,'[1]Componentes APUs'!$A$1:$D$14,4,0)</f>
        <v>2525.2525252525252</v>
      </c>
      <c r="G13840" s="51">
        <f>ROUNDUP(F13840*(E13840/21)/E13801,0)</f>
        <v>2887</v>
      </c>
    </row>
    <row r="13841" spans="1:7" x14ac:dyDescent="0.25">
      <c r="A13841" s="50" t="s">
        <v>83</v>
      </c>
      <c r="B13841" s="72" t="str">
        <f>VLOOKUP(A13841,'[1]Componentes APUs'!$A$1:$D$14,2,0)</f>
        <v>Impermeable (pantalon camisa)</v>
      </c>
      <c r="C13841" s="73"/>
      <c r="D13841" s="50" t="str">
        <f>VLOOKUP(A13841,'[1]Componentes APUs'!$A$1:$D$14,3,0)</f>
        <v>U</v>
      </c>
      <c r="E13841" s="50">
        <f>SUM(C13813:C13818)</f>
        <v>4.75</v>
      </c>
      <c r="F13841" s="51">
        <f>VLOOKUP(A13841,'[1]Componentes APUs'!$A$1:$D$14,4,0)</f>
        <v>3750</v>
      </c>
      <c r="G13841" s="51">
        <f>ROUNDUP(F13841*(E13841/21)/E13801,0)</f>
        <v>5090</v>
      </c>
    </row>
    <row r="13842" spans="1:7" x14ac:dyDescent="0.25">
      <c r="A13842" s="69" t="s">
        <v>85</v>
      </c>
      <c r="B13842" s="72" t="str">
        <f>VLOOKUP(A13842,'[1]Componentes APUs'!$A$1:$D$14,2,0)</f>
        <v>Jean Dielectrico</v>
      </c>
      <c r="C13842" s="73"/>
      <c r="D13842" s="50" t="str">
        <f>VLOOKUP(A13842,'[1]Componentes APUs'!$A$1:$D$14,3,0)</f>
        <v>U</v>
      </c>
      <c r="E13842" s="50">
        <f>SUM(C13813:C13818)</f>
        <v>4.75</v>
      </c>
      <c r="F13842" s="51">
        <f>VLOOKUP(A13842,'[1]Componentes APUs'!$A$1:$D$14,4,0)</f>
        <v>7575.757575757576</v>
      </c>
      <c r="G13842" s="51">
        <f>ROUNDUP(F13842*(E13842/21)/E13801,0)</f>
        <v>10282</v>
      </c>
    </row>
    <row r="13843" spans="1:7" x14ac:dyDescent="0.25">
      <c r="A13843" s="50" t="s">
        <v>87</v>
      </c>
      <c r="B13843" s="72" t="str">
        <f>VLOOKUP(A13843,'[1]Componentes APUs'!$A$1:$D$14,2,0)</f>
        <v>Casco dielectrico Tipo 2 Clase E con barboquejo</v>
      </c>
      <c r="C13843" s="73"/>
      <c r="D13843" s="50" t="str">
        <f>VLOOKUP(A13843,'[1]Componentes APUs'!$A$1:$D$14,3,0)</f>
        <v>U</v>
      </c>
      <c r="E13843" s="53">
        <f>IF(A13815="MO-3",C13815,0)</f>
        <v>2</v>
      </c>
      <c r="F13843" s="51">
        <f>VLOOKUP(A13843,'[1]Componentes APUs'!$A$1:$D$14,4,0)</f>
        <v>7500</v>
      </c>
      <c r="G13843" s="51">
        <f>ROUNDUP(F13843*(E13843/21)/E13801,0)</f>
        <v>4286</v>
      </c>
    </row>
    <row r="13844" spans="1:7" x14ac:dyDescent="0.25">
      <c r="A13844" s="69" t="s">
        <v>89</v>
      </c>
      <c r="B13844" s="72" t="str">
        <f>VLOOKUP(A13844,'[1]Componentes APUs'!$A$1:$D$14,2,0)</f>
        <v>Kit de rescate para trabajo en alturas</v>
      </c>
      <c r="C13844" s="73"/>
      <c r="D13844" s="50" t="str">
        <f>VLOOKUP(A13844,'[1]Componentes APUs'!$A$1:$D$14,3,0)</f>
        <v>U</v>
      </c>
      <c r="E13844" s="50">
        <f>IF(AND(A13815="MO-3",C13815=2),1,0)</f>
        <v>1</v>
      </c>
      <c r="F13844" s="51">
        <f>VLOOKUP(A13844,'[1]Componentes APUs'!$A$1:$D$14,4,0)</f>
        <v>37500</v>
      </c>
      <c r="G13844" s="51">
        <f>ROUNDUP(F13844*(E13844/21)/E13801,0)</f>
        <v>10715</v>
      </c>
    </row>
    <row r="13845" spans="1:7" x14ac:dyDescent="0.25">
      <c r="A13845" s="50" t="s">
        <v>91</v>
      </c>
      <c r="B13845" s="72" t="str">
        <f>VLOOKUP(A13845,'[1]Componentes APUs'!$A$1:$D$14,2,0)</f>
        <v>Equipo completo para trabajo en alturas con pretales (Arnes dielectrico, 1 mosqueton de seguridad, tie off dielectrico, eslinga de posicionamiento, juego de pretales)</v>
      </c>
      <c r="C13845" s="73"/>
      <c r="D13845" s="50" t="str">
        <f>VLOOKUP(A13845,'[1]Componentes APUs'!$A$1:$D$14,3,0)</f>
        <v>U</v>
      </c>
      <c r="E13845" s="50">
        <f>IF(A13815="MO-3",C13815,0)</f>
        <v>2</v>
      </c>
      <c r="F13845" s="51">
        <f>VLOOKUP(A13845,'[1]Componentes APUs'!$A$1:$D$14,4,0)</f>
        <v>26041.666666666668</v>
      </c>
      <c r="G13845" s="51">
        <f>ROUNDUP(F13845*(E13845/21)/E13801,0)</f>
        <v>14881</v>
      </c>
    </row>
    <row r="13846" spans="1:7" x14ac:dyDescent="0.25">
      <c r="A13846" s="219" t="s">
        <v>95</v>
      </c>
      <c r="B13846" s="219"/>
      <c r="C13846" s="219"/>
      <c r="D13846" s="219"/>
      <c r="E13846" s="219"/>
      <c r="F13846" s="219"/>
      <c r="G13846" s="52">
        <f>SUM(G13833:G13845)</f>
        <v>94208</v>
      </c>
    </row>
    <row r="13847" spans="1:7" x14ac:dyDescent="0.25">
      <c r="A13847" s="56"/>
      <c r="B13847" s="57"/>
      <c r="C13847" s="57"/>
      <c r="D13847" s="57"/>
      <c r="E13847" s="57"/>
      <c r="F13847" s="57"/>
      <c r="G13847" s="58"/>
    </row>
    <row r="13848" spans="1:7" x14ac:dyDescent="0.25">
      <c r="A13848" s="219" t="s">
        <v>96</v>
      </c>
      <c r="B13848" s="219"/>
      <c r="C13848" s="219"/>
      <c r="D13848" s="219"/>
      <c r="E13848" s="219"/>
      <c r="F13848" s="219"/>
      <c r="G13848" s="219"/>
    </row>
    <row r="13849" spans="1:7" x14ac:dyDescent="0.25">
      <c r="A13849" s="49" t="s">
        <v>35</v>
      </c>
      <c r="B13849" s="225" t="s">
        <v>36</v>
      </c>
      <c r="C13849" s="225"/>
      <c r="D13849" s="49" t="s">
        <v>37</v>
      </c>
      <c r="E13849" s="49" t="s">
        <v>38</v>
      </c>
      <c r="F13849" s="49" t="s">
        <v>39</v>
      </c>
      <c r="G13849" s="49" t="s">
        <v>40</v>
      </c>
    </row>
    <row r="13850" spans="1:7" x14ac:dyDescent="0.25">
      <c r="A13850" s="69" t="s">
        <v>97</v>
      </c>
      <c r="B13850" s="72" t="str">
        <f>VLOOKUP(A13850,'[1]Componentes APUs'!$N$1:$Q$30,2,0)</f>
        <v>Camioneta</v>
      </c>
      <c r="C13850" s="73"/>
      <c r="D13850" s="70" t="str">
        <f>VLOOKUP(A13850,'[1]Componentes APUs'!$N$1:$Q$30,3,0)</f>
        <v>U</v>
      </c>
      <c r="E13850" s="50">
        <v>1</v>
      </c>
      <c r="F13850" s="51">
        <f>VLOOKUP(A13850,'[1]Componentes APUs'!$N$1:$Q$30,4,0)</f>
        <v>5500000</v>
      </c>
      <c r="G13850" s="51">
        <f>IFERROR(ROUNDUP(F13850*(E13850/21)/E13801,0),"-")</f>
        <v>1571429</v>
      </c>
    </row>
    <row r="13851" spans="1:7" x14ac:dyDescent="0.25">
      <c r="A13851" s="50" t="s">
        <v>321</v>
      </c>
      <c r="B13851" s="72" t="str">
        <f>VLOOKUP(A13851,'[1]Componentes APUs'!$N$1:$Q$30,2,0)</f>
        <v>Grúa Hidráulica</v>
      </c>
      <c r="C13851" s="73"/>
      <c r="D13851" s="70" t="str">
        <f>VLOOKUP(A13851,'[1]Componentes APUs'!$N$1:$Q$30,3,0)</f>
        <v>U</v>
      </c>
      <c r="E13851" s="50">
        <v>0</v>
      </c>
      <c r="F13851" s="51">
        <f>VLOOKUP(A13851,'[1]Componentes APUs'!$N$1:$Q$30,4,0)</f>
        <v>21000000</v>
      </c>
      <c r="G13851" s="51">
        <f>IFERROR(ROUNDUP(F13851*(E13851/21)/E13801,0),"-")</f>
        <v>0</v>
      </c>
    </row>
    <row r="13852" spans="1:7" x14ac:dyDescent="0.25">
      <c r="A13852" s="69" t="s">
        <v>322</v>
      </c>
      <c r="B13852" s="72" t="str">
        <f>VLOOKUP(A13852,'[1]Componentes APUs'!$N$1:$Q$30,2,0)</f>
        <v>Camabaja</v>
      </c>
      <c r="C13852" s="73"/>
      <c r="D13852" s="70" t="str">
        <f>VLOOKUP(A13852,'[1]Componentes APUs'!$N$1:$Q$30,3,0)</f>
        <v>TON/KM</v>
      </c>
      <c r="E13852" s="50">
        <v>0</v>
      </c>
      <c r="F13852" s="51">
        <f>VLOOKUP(A13852,'[1]Componentes APUs'!$N$1:$Q$30,4,0)</f>
        <v>611</v>
      </c>
      <c r="G13852" s="51">
        <f>IFERROR(ROUNDUP(F13852*(E13852/21)/E13801,0),"-")</f>
        <v>0</v>
      </c>
    </row>
    <row r="13853" spans="1:7" x14ac:dyDescent="0.25">
      <c r="A13853" s="50" t="s">
        <v>323</v>
      </c>
      <c r="B13853" s="72" t="str">
        <f>VLOOKUP(A13853,'[1]Componentes APUs'!$N$1:$Q$30,2,0)</f>
        <v>Volqueta</v>
      </c>
      <c r="C13853" s="73"/>
      <c r="D13853" s="70" t="str">
        <f>VLOOKUP(A13853,'[1]Componentes APUs'!$N$1:$Q$30,3,0)</f>
        <v>U</v>
      </c>
      <c r="E13853" s="50">
        <v>0</v>
      </c>
      <c r="F13853" s="51">
        <f>VLOOKUP(A13853,'[1]Componentes APUs'!$N$1:$Q$30,4,0)</f>
        <v>18900000</v>
      </c>
      <c r="G13853" s="51">
        <f>IFERROR(ROUNDUP(F13853*(E13853/21)/E13801,0),"-")</f>
        <v>0</v>
      </c>
    </row>
    <row r="13854" spans="1:7" x14ac:dyDescent="0.25">
      <c r="A13854" s="69" t="s">
        <v>324</v>
      </c>
      <c r="B13854" s="72" t="str">
        <f>VLOOKUP(A13854,'[1]Componentes APUs'!$N$1:$Q$30,2,0)</f>
        <v>Retroexcavadora</v>
      </c>
      <c r="C13854" s="73"/>
      <c r="D13854" s="70" t="str">
        <f>VLOOKUP(A13854,'[1]Componentes APUs'!$N$1:$Q$30,3,0)</f>
        <v>U</v>
      </c>
      <c r="E13854" s="50">
        <v>0</v>
      </c>
      <c r="F13854" s="51">
        <f>VLOOKUP(A13854,'[1]Componentes APUs'!$N$1:$Q$30,4,0)</f>
        <v>1494459.54</v>
      </c>
      <c r="G13854" s="51">
        <f>IFERROR(ROUNDUP(F13854*(E13854/21)/E13801,0),"-")</f>
        <v>0</v>
      </c>
    </row>
    <row r="13855" spans="1:7" x14ac:dyDescent="0.25">
      <c r="A13855" s="219" t="s">
        <v>99</v>
      </c>
      <c r="B13855" s="219"/>
      <c r="C13855" s="219"/>
      <c r="D13855" s="219"/>
      <c r="E13855" s="219"/>
      <c r="F13855" s="219"/>
      <c r="G13855" s="52">
        <f>SUM(G13850:G13854)</f>
        <v>1571429</v>
      </c>
    </row>
    <row r="13856" spans="1:7" x14ac:dyDescent="0.25">
      <c r="A13856" s="56"/>
      <c r="B13856" s="57"/>
      <c r="C13856" s="57"/>
      <c r="D13856" s="57"/>
      <c r="E13856" s="57"/>
      <c r="F13856" s="57"/>
      <c r="G13856" s="58"/>
    </row>
    <row r="13857" spans="1:7" x14ac:dyDescent="0.25">
      <c r="A13857" s="219" t="s">
        <v>1516</v>
      </c>
      <c r="B13857" s="219"/>
      <c r="C13857" s="219"/>
      <c r="D13857" s="219"/>
      <c r="E13857" s="219"/>
      <c r="F13857" s="219"/>
      <c r="G13857" s="52">
        <f>G13855+G13846+G13829+G13819+G13809</f>
        <v>67359913</v>
      </c>
    </row>
    <row r="13858" spans="1:7" x14ac:dyDescent="0.25">
      <c r="A13858" s="59"/>
      <c r="B13858" s="60"/>
      <c r="C13858" s="60"/>
      <c r="D13858" s="60"/>
      <c r="E13858" s="57"/>
      <c r="F13858" s="57"/>
      <c r="G13858" s="58"/>
    </row>
    <row r="13859" spans="1:7" x14ac:dyDescent="0.25">
      <c r="A13859" s="64"/>
      <c r="D13859" s="55"/>
      <c r="E13859" s="49" t="s">
        <v>25</v>
      </c>
      <c r="F13859" s="54">
        <v>0.15</v>
      </c>
      <c r="G13859" s="51">
        <f>G13857*F13859</f>
        <v>10103986.949999999</v>
      </c>
    </row>
    <row r="13860" spans="1:7" x14ac:dyDescent="0.25">
      <c r="A13860" s="64"/>
      <c r="D13860" s="55"/>
      <c r="E13860" s="49" t="s">
        <v>26</v>
      </c>
      <c r="F13860" s="54">
        <v>0.05</v>
      </c>
      <c r="G13860" s="51">
        <f>G13857*F13860</f>
        <v>3367995.6500000004</v>
      </c>
    </row>
    <row r="13861" spans="1:7" x14ac:dyDescent="0.25">
      <c r="A13861" s="61"/>
      <c r="B13861" s="65"/>
      <c r="C13861" s="65"/>
      <c r="D13861" s="62"/>
      <c r="E13861" s="49" t="s">
        <v>27</v>
      </c>
      <c r="F13861" s="54">
        <v>0.05</v>
      </c>
      <c r="G13861" s="51">
        <f>G13857*F13861</f>
        <v>3367995.6500000004</v>
      </c>
    </row>
    <row r="13862" spans="1:7" x14ac:dyDescent="0.25">
      <c r="A13862" s="61"/>
      <c r="B13862" s="62"/>
      <c r="C13862" s="62"/>
      <c r="D13862" s="62"/>
      <c r="E13862" s="62"/>
      <c r="F13862" s="62"/>
      <c r="G13862" s="63"/>
    </row>
    <row r="13863" spans="1:7" x14ac:dyDescent="0.25">
      <c r="A13863" s="219" t="s">
        <v>1517</v>
      </c>
      <c r="B13863" s="219"/>
      <c r="C13863" s="219"/>
      <c r="D13863" s="219"/>
      <c r="E13863" s="219"/>
      <c r="F13863" s="219"/>
      <c r="G13863" s="52">
        <f>G13857+G13859+G13860+G13861</f>
        <v>84199891.250000015</v>
      </c>
    </row>
    <row r="13864" spans="1:7" x14ac:dyDescent="0.25">
      <c r="A13864" s="59"/>
      <c r="B13864" s="60"/>
      <c r="C13864" s="60"/>
      <c r="D13864" s="60"/>
      <c r="E13864" s="57"/>
      <c r="F13864" s="57"/>
      <c r="G13864" s="58"/>
    </row>
    <row r="13865" spans="1:7" x14ac:dyDescent="0.25">
      <c r="A13865" s="64"/>
      <c r="D13865" s="55"/>
      <c r="E13865" s="49" t="s">
        <v>102</v>
      </c>
      <c r="F13865" s="49" t="s">
        <v>103</v>
      </c>
      <c r="G13865" s="51">
        <f>G13861*19%</f>
        <v>639919.17350000003</v>
      </c>
    </row>
    <row r="13866" spans="1:7" x14ac:dyDescent="0.25">
      <c r="A13866" s="61"/>
      <c r="B13866" s="62"/>
      <c r="C13866" s="62"/>
      <c r="D13866" s="62"/>
      <c r="E13866" s="57"/>
      <c r="F13866" s="57"/>
      <c r="G13866" s="58"/>
    </row>
    <row r="13867" spans="1:7" x14ac:dyDescent="0.25">
      <c r="A13867" s="219" t="s">
        <v>104</v>
      </c>
      <c r="B13867" s="219"/>
      <c r="C13867" s="219"/>
      <c r="D13867" s="219"/>
      <c r="E13867" s="219"/>
      <c r="F13867" s="219"/>
      <c r="G13867" s="52">
        <f>G13865+G13863</f>
        <v>84839810.423500016</v>
      </c>
    </row>
    <row r="13869" spans="1:7" x14ac:dyDescent="0.25">
      <c r="A13869" s="74" t="s">
        <v>29</v>
      </c>
      <c r="B13869" s="226" t="s">
        <v>30</v>
      </c>
      <c r="C13869" s="226"/>
      <c r="D13869" s="74" t="s">
        <v>31</v>
      </c>
      <c r="E13869" s="74" t="s">
        <v>32</v>
      </c>
      <c r="F13869" s="74" t="s">
        <v>189</v>
      </c>
      <c r="G13869" s="74" t="s">
        <v>33</v>
      </c>
    </row>
    <row r="13870" spans="1:7" ht="22.5" customHeight="1" x14ac:dyDescent="0.25">
      <c r="A13870" s="50" t="str">
        <f>Presupuesto!B252</f>
        <v>002_N2</v>
      </c>
      <c r="B13870" s="220" t="str">
        <f>Presupuesto!C252</f>
        <v>SUMINISTRO E INSTALACIÓN DE HERRAJES PARA BAHÍA DE LÍNEA TIPO A o B N2. INCLUYE HERRAJES PARA SECCIONADOR</v>
      </c>
      <c r="C13870" s="220"/>
      <c r="D13870" s="50" t="s">
        <v>18</v>
      </c>
      <c r="E13870" s="93">
        <v>0.5</v>
      </c>
      <c r="F13870" s="50"/>
      <c r="G13870" s="51">
        <f>G13937</f>
        <v>10556285.135</v>
      </c>
    </row>
    <row r="13871" spans="1:7" x14ac:dyDescent="0.25">
      <c r="A13871" s="219" t="s">
        <v>34</v>
      </c>
      <c r="B13871" s="219"/>
      <c r="C13871" s="219"/>
      <c r="D13871" s="219"/>
      <c r="E13871" s="219"/>
      <c r="F13871" s="219"/>
      <c r="G13871" s="219"/>
    </row>
    <row r="13872" spans="1:7" x14ac:dyDescent="0.25">
      <c r="A13872" s="49" t="s">
        <v>35</v>
      </c>
      <c r="B13872" s="219" t="s">
        <v>36</v>
      </c>
      <c r="C13872" s="219"/>
      <c r="D13872" s="49" t="s">
        <v>37</v>
      </c>
      <c r="E13872" s="49" t="s">
        <v>38</v>
      </c>
      <c r="F13872" s="49" t="s">
        <v>39</v>
      </c>
      <c r="G13872" s="49" t="s">
        <v>40</v>
      </c>
    </row>
    <row r="13873" spans="1:7" ht="24.75" customHeight="1" x14ac:dyDescent="0.25">
      <c r="A13873" s="17" t="str">
        <f>Material!A10</f>
        <v>MA-09</v>
      </c>
      <c r="B13873" s="221" t="str">
        <f>IFERROR(VLOOKUP(A13873,Material!$A:$J,2,0),"-")</f>
        <v>ESPARRAGO DE HIERRO GALVANIZADO ROSCADO EN TODA SU LONGITUD, 4 TUERCAS. DIAMETRO 16 MM LONGITUD 458  MM</v>
      </c>
      <c r="C13873" s="222"/>
      <c r="D13873" s="50" t="str">
        <f>IFERROR(VLOOKUP(A13873,Material!$A:$J,4,0),"-")</f>
        <v>UN</v>
      </c>
      <c r="E13873" s="50">
        <f>3*5</f>
        <v>15</v>
      </c>
      <c r="F13873" s="51">
        <f>IFERROR(VLOOKUP(A13873,Material!$A:$J,3,0),"-")</f>
        <v>10920</v>
      </c>
      <c r="G13873" s="51">
        <f t="shared" ref="G13873:G13881" si="197">IFERROR(ROUNDUP(F13873*E13873,0),"-")</f>
        <v>163800</v>
      </c>
    </row>
    <row r="13874" spans="1:7" ht="27.75" customHeight="1" x14ac:dyDescent="0.25">
      <c r="A13874" s="17" t="str">
        <f>Material!A11</f>
        <v>MA-10</v>
      </c>
      <c r="B13874" s="221" t="str">
        <f>IFERROR(VLOOKUP(A13874,Material!$A:$J,2,0),"-")</f>
        <v>GRAPA DE OPERAR EN CALIENTE CONDUCTOR AWG-MCM 6 - 400 DIÁMETRO 4 - 13,5 MM</v>
      </c>
      <c r="C13874" s="222"/>
      <c r="D13874" s="50" t="str">
        <f>IFERROR(VLOOKUP(A13874,Material!$A:$J,4,0),"-")</f>
        <v>UN</v>
      </c>
      <c r="E13874" s="50">
        <f>3</f>
        <v>3</v>
      </c>
      <c r="F13874" s="51">
        <f>IFERROR(VLOOKUP(A13874,Material!$A:$J,3,0),"-")</f>
        <v>37155.300000000003</v>
      </c>
      <c r="G13874" s="51">
        <f t="shared" si="197"/>
        <v>111466</v>
      </c>
    </row>
    <row r="13875" spans="1:7" x14ac:dyDescent="0.25">
      <c r="A13875" s="17" t="str">
        <f>Material!A12</f>
        <v>MA-11</v>
      </c>
      <c r="B13875" s="221" t="str">
        <f>IFERROR(VLOOKUP(A13875,Material!$A:$J,2,0),"-")</f>
        <v>TUERCA DE OJO ALARGADO PARA PERNO 16 MM</v>
      </c>
      <c r="C13875" s="222"/>
      <c r="D13875" s="50" t="str">
        <f>IFERROR(VLOOKUP(A13875,Material!$A:$J,4,0),"-")</f>
        <v>UN</v>
      </c>
      <c r="E13875" s="50">
        <f>3</f>
        <v>3</v>
      </c>
      <c r="F13875" s="51">
        <f>IFERROR(VLOOKUP(A13875,Material!$A:$J,3,0),"-")</f>
        <v>18200</v>
      </c>
      <c r="G13875" s="51">
        <f t="shared" si="197"/>
        <v>54600</v>
      </c>
    </row>
    <row r="13876" spans="1:7" x14ac:dyDescent="0.25">
      <c r="A13876" s="17" t="str">
        <f>Material!A2</f>
        <v>MA-01</v>
      </c>
      <c r="B13876" s="221" t="str">
        <f>IFERROR(VLOOKUP(A13876,Material!$A:$J,2,0),"-")</f>
        <v>GRAPA DE RETENCIÓN TIPO PISTOLA DE 6-4/0 DE 3 UES EN ALUMINIO</v>
      </c>
      <c r="C13876" s="222"/>
      <c r="D13876" s="50" t="str">
        <f>IFERROR(VLOOKUP(A13876,Material!$A:$J,4,0),"-")</f>
        <v>UN</v>
      </c>
      <c r="E13876" s="50">
        <f>3</f>
        <v>3</v>
      </c>
      <c r="F13876" s="51">
        <f>IFERROR(VLOOKUP(A13876,Material!$A:$J,3,0),"-")</f>
        <v>104000</v>
      </c>
      <c r="G13876" s="51">
        <f t="shared" si="197"/>
        <v>312000</v>
      </c>
    </row>
    <row r="13877" spans="1:7" x14ac:dyDescent="0.25">
      <c r="A13877" s="17" t="str">
        <f>Material!A338</f>
        <v>MA-337</v>
      </c>
      <c r="B13877" s="221" t="str">
        <f>IFERROR(VLOOKUP(A13877,Material!$A:$J,2,0),"-")</f>
        <v>AISLADOR TIPO PIN DE PORCELANA PARA 13.2 KV ANSI 55-4</v>
      </c>
      <c r="C13877" s="222"/>
      <c r="D13877" s="50" t="str">
        <f>IFERROR(VLOOKUP(A13877,Material!$A:$J,4,0),"-")</f>
        <v>UN</v>
      </c>
      <c r="E13877" s="50">
        <f>1*3</f>
        <v>3</v>
      </c>
      <c r="F13877" s="51">
        <f>IFERROR(VLOOKUP(A13877,Material!$A:$J,3,0),"-")</f>
        <v>23855</v>
      </c>
      <c r="G13877" s="51">
        <f t="shared" si="197"/>
        <v>71565</v>
      </c>
    </row>
    <row r="13878" spans="1:7" ht="35.25" customHeight="1" x14ac:dyDescent="0.25">
      <c r="A13878" s="17" t="str">
        <f>Material!A5</f>
        <v>MA-04</v>
      </c>
      <c r="B13878" s="221" t="str">
        <f>IFERROR(VLOOKUP(A13878,Material!$A:$J,2,0),"-")</f>
        <v>COLLARIN DE DOS SALIDAS EN PLATINA DE HIERRO GALVANIZADO. DIAMETRO (6-8 IN) (17 - 22 CM)</v>
      </c>
      <c r="C13878" s="222"/>
      <c r="D13878" s="50" t="str">
        <f>IFERROR(VLOOKUP(A13878,Material!$A:$J,4,0),"-")</f>
        <v>UN</v>
      </c>
      <c r="E13878" s="50">
        <f>2</f>
        <v>2</v>
      </c>
      <c r="F13878" s="51">
        <f>IFERROR(VLOOKUP(A13878,Material!$A:$J,3,0),"-")</f>
        <v>24505</v>
      </c>
      <c r="G13878" s="51">
        <f t="shared" si="197"/>
        <v>49010</v>
      </c>
    </row>
    <row r="13879" spans="1:7" ht="27.75" customHeight="1" x14ac:dyDescent="0.25">
      <c r="A13879" s="17" t="str">
        <f>Material!A6</f>
        <v>MA-05</v>
      </c>
      <c r="B13879" s="221" t="str">
        <f>IFERROR(VLOOKUP(A13879,Material!$A:$J,2,0),"-")</f>
        <v>COLLARIN DE DOS SALIDAS EN PLATINA DE HIERRO GALVANIZADO. DIAMETRO (7-10 IN) (20 - 25 CM)</v>
      </c>
      <c r="C13879" s="222"/>
      <c r="D13879" s="50" t="str">
        <f>IFERROR(VLOOKUP(A13879,Material!$A:$J,4,0),"-")</f>
        <v>UN</v>
      </c>
      <c r="E13879" s="50">
        <f>2</f>
        <v>2</v>
      </c>
      <c r="F13879" s="51">
        <f>IFERROR(VLOOKUP(A13879,Material!$A:$J,3,0),"-")</f>
        <v>27755</v>
      </c>
      <c r="G13879" s="51">
        <f t="shared" si="197"/>
        <v>55510</v>
      </c>
    </row>
    <row r="13880" spans="1:7" ht="25.5" customHeight="1" x14ac:dyDescent="0.25">
      <c r="A13880" s="17" t="str">
        <f>Material!A7</f>
        <v>MA-06</v>
      </c>
      <c r="B13880" s="221" t="str">
        <f>IFERROR(VLOOKUP(A13880,Material!$A:$J,2,0),"-")</f>
        <v>COLLARIN DE DOS SALIDAS EN PLATINA DE HIERRO GALVANIZADO. DIAMETRO (10-12 IN) (25 - 30 CM)</v>
      </c>
      <c r="C13880" s="222"/>
      <c r="D13880" s="50" t="str">
        <f>IFERROR(VLOOKUP(A13880,Material!$A:$J,4,0),"-")</f>
        <v>UN</v>
      </c>
      <c r="E13880" s="50">
        <f>2+4</f>
        <v>6</v>
      </c>
      <c r="F13880" s="51">
        <f>IFERROR(VLOOKUP(A13880,Material!$A:$J,3,0),"-")</f>
        <v>33150</v>
      </c>
      <c r="G13880" s="51">
        <f t="shared" si="197"/>
        <v>198900</v>
      </c>
    </row>
    <row r="13881" spans="1:7" ht="25.5" customHeight="1" x14ac:dyDescent="0.25">
      <c r="A13881" s="17" t="str">
        <f>Material!A9</f>
        <v>MA-08</v>
      </c>
      <c r="B13881" s="221" t="str">
        <f>IFERROR(VLOOKUP(A13881,Material!$A:$J,2,0),"-")</f>
        <v>CRUCETA METÁLICA DE ANGULO GALVANIZADO DE 6 M DE LONGITUD. CALIBRE (76*76*6) MM</v>
      </c>
      <c r="C13881" s="222"/>
      <c r="D13881" s="50" t="str">
        <f>IFERROR(VLOOKUP(A13881,Material!$A:$J,4,0),"-")</f>
        <v>UN</v>
      </c>
      <c r="E13881" s="50">
        <f>6</f>
        <v>6</v>
      </c>
      <c r="F13881" s="51">
        <f>IFERROR(VLOOKUP(A13881,Material!$A:$J,3,0),"-")</f>
        <v>763908.6</v>
      </c>
      <c r="G13881" s="51">
        <f t="shared" si="197"/>
        <v>4583452</v>
      </c>
    </row>
    <row r="13882" spans="1:7" x14ac:dyDescent="0.25">
      <c r="A13882" s="219" t="s">
        <v>41</v>
      </c>
      <c r="B13882" s="219"/>
      <c r="C13882" s="219"/>
      <c r="D13882" s="219"/>
      <c r="E13882" s="219"/>
      <c r="F13882" s="219"/>
      <c r="G13882" s="52">
        <f>SUM(G13873:G13881)</f>
        <v>5600303</v>
      </c>
    </row>
    <row r="13883" spans="1:7" x14ac:dyDescent="0.25">
      <c r="A13883" s="56"/>
      <c r="B13883" s="57"/>
      <c r="C13883" s="57"/>
      <c r="D13883" s="57"/>
      <c r="E13883" s="57"/>
      <c r="F13883" s="57"/>
      <c r="G13883" s="58"/>
    </row>
    <row r="13884" spans="1:7" x14ac:dyDescent="0.25">
      <c r="A13884" s="219" t="s">
        <v>42</v>
      </c>
      <c r="B13884" s="219"/>
      <c r="C13884" s="219"/>
      <c r="D13884" s="219"/>
      <c r="E13884" s="219"/>
      <c r="F13884" s="219"/>
      <c r="G13884" s="219"/>
    </row>
    <row r="13885" spans="1:7" x14ac:dyDescent="0.25">
      <c r="A13885" s="49" t="s">
        <v>35</v>
      </c>
      <c r="B13885" s="49" t="s">
        <v>36</v>
      </c>
      <c r="C13885" s="49" t="s">
        <v>38</v>
      </c>
      <c r="D13885" s="49" t="s">
        <v>43</v>
      </c>
      <c r="E13885" s="49" t="s">
        <v>44</v>
      </c>
      <c r="F13885" s="49" t="s">
        <v>45</v>
      </c>
      <c r="G13885" s="49" t="s">
        <v>40</v>
      </c>
    </row>
    <row r="13886" spans="1:7" x14ac:dyDescent="0.25">
      <c r="A13886" s="50" t="s">
        <v>319</v>
      </c>
      <c r="B13886" s="68" t="str">
        <f>VLOOKUP(A13886,'[1]Componentes APUs'!$H$1:$L$25,2,0)</f>
        <v>Ingeniero Residente de Obra</v>
      </c>
      <c r="C13886" s="93">
        <v>0.25</v>
      </c>
      <c r="D13886" s="50">
        <f>VLOOKUP(A13886,'[1]Componentes APUs'!$H$1:$L$25,3,0)</f>
        <v>4</v>
      </c>
      <c r="E13886" s="51">
        <f>VLOOKUP(A13886,'[1]Componentes APUs'!$H$1:$L$25,4,0)</f>
        <v>271142.85714285716</v>
      </c>
      <c r="F13886" s="51">
        <f>VLOOKUP(A13886,'[1]Componentes APUs'!$H$1:$L$25,5,0)</f>
        <v>162685.71428571429</v>
      </c>
      <c r="G13886" s="51">
        <f>ROUNDUP((E13886+F13886)*C13886/E13870,0)</f>
        <v>216915</v>
      </c>
    </row>
    <row r="13887" spans="1:7" x14ac:dyDescent="0.25">
      <c r="A13887" s="50" t="s">
        <v>320</v>
      </c>
      <c r="B13887" s="68" t="str">
        <f>VLOOKUP(A13887,'[1]Componentes APUs'!$H$1:$L$25,2,0)</f>
        <v>Tecnico Supervisor</v>
      </c>
      <c r="C13887" s="93">
        <v>0.25</v>
      </c>
      <c r="D13887" s="50">
        <f>VLOOKUP(A13887,'[1]Componentes APUs'!$H$1:$L$25,3,0)</f>
        <v>2.2999999999999998</v>
      </c>
      <c r="E13887" s="51">
        <f>VLOOKUP(A13887,'[1]Componentes APUs'!$H$1:$L$25,4,0)</f>
        <v>155907.14285714284</v>
      </c>
      <c r="F13887" s="51">
        <f>VLOOKUP(A13887,'[1]Componentes APUs'!$H$1:$L$25,5,0)</f>
        <v>93544.285714285696</v>
      </c>
      <c r="G13887" s="51">
        <f>ROUNDUP((E13887+F13887)*C13887/E13870,0)</f>
        <v>124726</v>
      </c>
    </row>
    <row r="13888" spans="1:7" x14ac:dyDescent="0.25">
      <c r="A13888" s="50" t="s">
        <v>46</v>
      </c>
      <c r="B13888" s="68" t="str">
        <f>VLOOKUP(A13888,'[1]Componentes APUs'!$H$1:$L$25,2,0)</f>
        <v>Tecnico Liniero</v>
      </c>
      <c r="C13888" s="93">
        <v>2</v>
      </c>
      <c r="D13888" s="50">
        <f>VLOOKUP(A13888,'[1]Componentes APUs'!$H$1:$L$25,3,0)</f>
        <v>2</v>
      </c>
      <c r="E13888" s="51">
        <f>VLOOKUP(A13888,'[1]Componentes APUs'!$H$1:$L$25,4,0)</f>
        <v>154619.04761904763</v>
      </c>
      <c r="F13888" s="51">
        <f>VLOOKUP(A13888,'[1]Componentes APUs'!$H$1:$L$25,5,0)</f>
        <v>92771.42857142858</v>
      </c>
      <c r="G13888" s="51">
        <f>ROUNDUP((E13888+F13888)*C13888/E13870,0)</f>
        <v>989562</v>
      </c>
    </row>
    <row r="13889" spans="1:7" x14ac:dyDescent="0.25">
      <c r="A13889" s="50" t="s">
        <v>48</v>
      </c>
      <c r="B13889" s="68" t="str">
        <f>VLOOKUP(A13889,'[1]Componentes APUs'!$H$1:$L$25,2,0)</f>
        <v>Ayudante Calificado</v>
      </c>
      <c r="C13889" s="93">
        <v>2</v>
      </c>
      <c r="D13889" s="50">
        <f>VLOOKUP(A13889,'[1]Componentes APUs'!$H$1:$L$25,3,0)</f>
        <v>1.5</v>
      </c>
      <c r="E13889" s="51">
        <f>VLOOKUP(A13889,'[1]Componentes APUs'!$H$1:$L$25,4,0)</f>
        <v>115964.28571428571</v>
      </c>
      <c r="F13889" s="51">
        <f>VLOOKUP(A13889,'[1]Componentes APUs'!$H$1:$L$25,5,0)</f>
        <v>69578.57142857142</v>
      </c>
      <c r="G13889" s="51">
        <f>ROUNDUP((E13889+F13889)*C13889/E13870,0)</f>
        <v>742172</v>
      </c>
    </row>
    <row r="13890" spans="1:7" x14ac:dyDescent="0.25">
      <c r="A13890" s="50" t="s">
        <v>50</v>
      </c>
      <c r="B13890" s="68" t="str">
        <f>VLOOKUP(A13890,'[1]Componentes APUs'!$H$1:$L$25,2,0)</f>
        <v>Profesional en SST</v>
      </c>
      <c r="C13890" s="93">
        <v>0.25</v>
      </c>
      <c r="D13890" s="50">
        <f>VLOOKUP(A13890,'[1]Componentes APUs'!$H$1:$L$25,3,0)</f>
        <v>2.5</v>
      </c>
      <c r="E13890" s="51">
        <f>VLOOKUP(A13890,'[1]Componentes APUs'!$H$1:$L$25,4,0)</f>
        <v>169464.28571428571</v>
      </c>
      <c r="F13890" s="51">
        <f>VLOOKUP(A13890,'[1]Componentes APUs'!$H$1:$L$25,5,0)</f>
        <v>101678.57142857142</v>
      </c>
      <c r="G13890" s="51">
        <f>ROUNDUP((E13890+F13890)*C13890/E13870,0)</f>
        <v>135572</v>
      </c>
    </row>
    <row r="13891" spans="1:7" x14ac:dyDescent="0.25">
      <c r="A13891" s="50" t="s">
        <v>52</v>
      </c>
      <c r="B13891" s="68" t="str">
        <f>VLOOKUP(A13891,'[1]Componentes APUs'!$H$1:$L$25,2,0)</f>
        <v>Ayudante No Calificado</v>
      </c>
      <c r="C13891" s="93">
        <v>0</v>
      </c>
      <c r="D13891" s="50">
        <f>VLOOKUP(A13891,'[1]Componentes APUs'!$H$1:$L$25,3,0)</f>
        <v>1</v>
      </c>
      <c r="E13891" s="51">
        <f>VLOOKUP(A13891,'[1]Componentes APUs'!$H$1:$L$25,4,0)</f>
        <v>77309.523809523816</v>
      </c>
      <c r="F13891" s="51">
        <f>VLOOKUP(A13891,'[1]Componentes APUs'!$H$1:$L$25,5,0)</f>
        <v>46385.71428571429</v>
      </c>
      <c r="G13891" s="51">
        <f>ROUNDUP((E13891+F13891)*C13891/E13870,0)</f>
        <v>0</v>
      </c>
    </row>
    <row r="13892" spans="1:7" x14ac:dyDescent="0.25">
      <c r="A13892" s="219" t="s">
        <v>56</v>
      </c>
      <c r="B13892" s="219"/>
      <c r="C13892" s="219"/>
      <c r="D13892" s="219"/>
      <c r="E13892" s="219"/>
      <c r="F13892" s="219"/>
      <c r="G13892" s="52">
        <f>SUM(G13886:G13891)</f>
        <v>2208947</v>
      </c>
    </row>
    <row r="13893" spans="1:7" x14ac:dyDescent="0.25">
      <c r="A13893" s="56"/>
      <c r="B13893" s="57"/>
      <c r="C13893" s="57"/>
      <c r="D13893" s="57"/>
      <c r="E13893" s="57"/>
      <c r="F13893" s="57"/>
      <c r="G13893" s="58"/>
    </row>
    <row r="13894" spans="1:7" x14ac:dyDescent="0.25">
      <c r="A13894" s="219" t="s">
        <v>57</v>
      </c>
      <c r="B13894" s="219"/>
      <c r="C13894" s="219"/>
      <c r="D13894" s="219"/>
      <c r="E13894" s="219"/>
      <c r="F13894" s="219"/>
      <c r="G13894" s="219"/>
    </row>
    <row r="13895" spans="1:7" x14ac:dyDescent="0.25">
      <c r="A13895" s="49" t="s">
        <v>35</v>
      </c>
      <c r="B13895" s="219" t="s">
        <v>36</v>
      </c>
      <c r="C13895" s="219"/>
      <c r="D13895" s="49" t="s">
        <v>37</v>
      </c>
      <c r="E13895" s="49" t="s">
        <v>38</v>
      </c>
      <c r="F13895" s="49" t="s">
        <v>39</v>
      </c>
      <c r="G13895" s="49" t="s">
        <v>40</v>
      </c>
    </row>
    <row r="13896" spans="1:7" x14ac:dyDescent="0.25">
      <c r="A13896" s="50" t="s">
        <v>326</v>
      </c>
      <c r="B13896" s="220" t="str">
        <f>VLOOKUP(A13896,'[1]Componentes APUs'!$S$1:$V$10,2,0)</f>
        <v>Juego Llaves</v>
      </c>
      <c r="C13896" s="220"/>
      <c r="D13896" s="50" t="s">
        <v>18</v>
      </c>
      <c r="E13896" s="50">
        <v>2</v>
      </c>
      <c r="F13896" s="51">
        <f>VLOOKUP(A13896,'[1]Componentes APUs'!$S$1:$V$10,4,0)</f>
        <v>9167</v>
      </c>
      <c r="G13896" s="51">
        <f>ROUNDUP(F13896*((E13896/21)/E13870),0)</f>
        <v>1747</v>
      </c>
    </row>
    <row r="13897" spans="1:7" x14ac:dyDescent="0.25">
      <c r="A13897" s="50" t="s">
        <v>58</v>
      </c>
      <c r="B13897" s="220" t="str">
        <f>VLOOKUP(A13897,'[1]Componentes APUs'!$S$1:$V$10,2,0)</f>
        <v>Manila de servicio</v>
      </c>
      <c r="C13897" s="220"/>
      <c r="D13897" s="50" t="s">
        <v>18</v>
      </c>
      <c r="E13897" s="50">
        <v>2</v>
      </c>
      <c r="F13897" s="51">
        <f>VLOOKUP(A13897,'[1]Componentes APUs'!$S$1:$V$10,4,0)</f>
        <v>2333</v>
      </c>
      <c r="G13897" s="51">
        <f>ROUNDUP(F13897*((E13897/21)/E13870),0)</f>
        <v>445</v>
      </c>
    </row>
    <row r="13898" spans="1:7" x14ac:dyDescent="0.25">
      <c r="A13898" s="50" t="s">
        <v>327</v>
      </c>
      <c r="B13898" s="220" t="str">
        <f>VLOOKUP(A13898,'[1]Componentes APUs'!$S$1:$V$10,2,0)</f>
        <v>Tula portaherramientas</v>
      </c>
      <c r="C13898" s="220"/>
      <c r="D13898" s="50" t="s">
        <v>18</v>
      </c>
      <c r="E13898" s="50">
        <v>2</v>
      </c>
      <c r="F13898" s="51">
        <f>VLOOKUP(A13898,'[1]Componentes APUs'!$S$1:$V$10,4,0)</f>
        <v>1250</v>
      </c>
      <c r="G13898" s="51">
        <f>ROUNDUP(F13898*((E13898/21)/E13870),0)</f>
        <v>239</v>
      </c>
    </row>
    <row r="13899" spans="1:7" x14ac:dyDescent="0.25">
      <c r="A13899" s="50" t="s">
        <v>60</v>
      </c>
      <c r="B13899" s="220" t="str">
        <f>VLOOKUP(A13899,'[1]Componentes APUs'!$S$1:$V$10,2,0)</f>
        <v>Agarradoras</v>
      </c>
      <c r="C13899" s="220"/>
      <c r="D13899" s="50" t="s">
        <v>18</v>
      </c>
      <c r="E13899" s="50">
        <v>0</v>
      </c>
      <c r="F13899" s="51">
        <f>VLOOKUP(A13899,'[1]Componentes APUs'!$S$1:$V$10,4,0)</f>
        <v>125000</v>
      </c>
      <c r="G13899" s="51">
        <f>ROUNDUP(F13899*((E13899/21)/E13870),0)</f>
        <v>0</v>
      </c>
    </row>
    <row r="13900" spans="1:7" x14ac:dyDescent="0.25">
      <c r="A13900" s="50" t="s">
        <v>62</v>
      </c>
      <c r="B13900" s="220" t="str">
        <f>VLOOKUP(A13900,'[1]Componentes APUs'!$S$1:$V$10,2,0)</f>
        <v>Templadoras</v>
      </c>
      <c r="C13900" s="220"/>
      <c r="D13900" s="50" t="s">
        <v>18</v>
      </c>
      <c r="E13900" s="50">
        <v>0</v>
      </c>
      <c r="F13900" s="51">
        <f>VLOOKUP(A13900,'[1]Componentes APUs'!$S$1:$V$10,4,0)</f>
        <v>250000</v>
      </c>
      <c r="G13900" s="51">
        <f>ROUNDUP(F13900*((E13900/21)/E13870),0)</f>
        <v>0</v>
      </c>
    </row>
    <row r="13901" spans="1:7" x14ac:dyDescent="0.25">
      <c r="A13901" s="50" t="s">
        <v>328</v>
      </c>
      <c r="B13901" s="220" t="str">
        <f>VLOOKUP(A13901,'[1]Componentes APUs'!$S$1:$V$10,2,0)</f>
        <v>Herramienta Menor</v>
      </c>
      <c r="C13901" s="220"/>
      <c r="D13901" s="50" t="s">
        <v>18</v>
      </c>
      <c r="E13901" s="50">
        <v>2</v>
      </c>
      <c r="F13901" s="51">
        <f>VLOOKUP(A13901,'[1]Componentes APUs'!$S$1:$V$10,4,0)</f>
        <v>75758</v>
      </c>
      <c r="G13901" s="51">
        <f>ROUNDUP(F13901*((E13901/21)/E13870),0)</f>
        <v>14431</v>
      </c>
    </row>
    <row r="13902" spans="1:7" x14ac:dyDescent="0.25">
      <c r="A13902" s="219" t="s">
        <v>69</v>
      </c>
      <c r="B13902" s="219"/>
      <c r="C13902" s="219"/>
      <c r="D13902" s="219"/>
      <c r="E13902" s="219"/>
      <c r="F13902" s="219"/>
      <c r="G13902" s="52">
        <f>SUM(G13896:G13901)</f>
        <v>16862</v>
      </c>
    </row>
    <row r="13903" spans="1:7" x14ac:dyDescent="0.25">
      <c r="A13903" s="56"/>
      <c r="B13903" s="57"/>
      <c r="C13903" s="57"/>
      <c r="D13903" s="57"/>
      <c r="E13903" s="57"/>
      <c r="F13903" s="57"/>
      <c r="G13903" s="58"/>
    </row>
    <row r="13904" spans="1:7" x14ac:dyDescent="0.25">
      <c r="A13904" s="219" t="s">
        <v>70</v>
      </c>
      <c r="B13904" s="219"/>
      <c r="C13904" s="219"/>
      <c r="D13904" s="219"/>
      <c r="E13904" s="219"/>
      <c r="F13904" s="219"/>
      <c r="G13904" s="219"/>
    </row>
    <row r="13905" spans="1:7" x14ac:dyDescent="0.25">
      <c r="A13905" s="49" t="s">
        <v>35</v>
      </c>
      <c r="B13905" s="219" t="s">
        <v>36</v>
      </c>
      <c r="C13905" s="219"/>
      <c r="D13905" s="49" t="s">
        <v>37</v>
      </c>
      <c r="E13905" s="49" t="s">
        <v>38</v>
      </c>
      <c r="F13905" s="49" t="s">
        <v>39</v>
      </c>
      <c r="G13905" s="49" t="s">
        <v>40</v>
      </c>
    </row>
    <row r="13906" spans="1:7" x14ac:dyDescent="0.25">
      <c r="A13906" s="50" t="s">
        <v>71</v>
      </c>
      <c r="B13906" s="71" t="str">
        <f>VLOOKUP(A13906,'[1]Componentes APUs'!$A$1:$D$14,2,0)</f>
        <v>Camisa indigo sin partes metalicas</v>
      </c>
      <c r="C13906" s="71"/>
      <c r="D13906" s="50" t="str">
        <f>VLOOKUP(A13906,'[1]Componentes APUs'!$A$1:$D$14,3,0)</f>
        <v>U</v>
      </c>
      <c r="E13906" s="50">
        <f>SUM(C13886:C13891)</f>
        <v>4.75</v>
      </c>
      <c r="F13906" s="51">
        <f>VLOOKUP(A13906,'[1]Componentes APUs'!$A$1:$D$14,4,0)</f>
        <v>8585.8585858585866</v>
      </c>
      <c r="G13906" s="51">
        <f>ROUNDUP(F13906*(E13906/21)/E13870,0)</f>
        <v>3885</v>
      </c>
    </row>
    <row r="13907" spans="1:7" x14ac:dyDescent="0.25">
      <c r="A13907" s="69" t="s">
        <v>73</v>
      </c>
      <c r="B13907" s="72" t="str">
        <f>VLOOKUP(A13907,'[1]Componentes APUs'!$A$1:$D$14,2,0)</f>
        <v>Bota de seguridad dielectrica</v>
      </c>
      <c r="C13907" s="73"/>
      <c r="D13907" s="70" t="str">
        <f>VLOOKUP(A13907,'[1]Componentes APUs'!$A$1:$D$14,3,0)</f>
        <v>Par</v>
      </c>
      <c r="E13907" s="50">
        <f>SUM(C13886:C13891)</f>
        <v>4.75</v>
      </c>
      <c r="F13907" s="51">
        <f>VLOOKUP(A13907,'[1]Componentes APUs'!$A$1:$D$14,4,0)</f>
        <v>7500</v>
      </c>
      <c r="G13907" s="51">
        <f>ROUNDUP(F13907*(E13907/21)/E13870,0)</f>
        <v>3393</v>
      </c>
    </row>
    <row r="13908" spans="1:7" x14ac:dyDescent="0.25">
      <c r="A13908" s="50" t="s">
        <v>76</v>
      </c>
      <c r="B13908" s="72" t="str">
        <f>VLOOKUP(A13908,'[1]Componentes APUs'!$A$1:$D$14,2,0)</f>
        <v>Casco dielectrico Tipo 1 Clase E con barbuquejo</v>
      </c>
      <c r="C13908" s="73"/>
      <c r="D13908" s="50" t="str">
        <f>VLOOKUP(A13908,'[1]Componentes APUs'!$A$1:$D$14,3,0)</f>
        <v>U</v>
      </c>
      <c r="E13908" s="50">
        <f>C13886+C13887+C13889+C13890+C13891+IF(A13888&lt;&gt;"MO-3",C13888,0)</f>
        <v>2.75</v>
      </c>
      <c r="F13908" s="51">
        <f>VLOOKUP(A13908,'[1]Componentes APUs'!$A$1:$D$14,4,0)</f>
        <v>10101.010101010101</v>
      </c>
      <c r="G13908" s="51">
        <f>ROUNDUP(F13908*(E13908/21)/E13870,0)</f>
        <v>2646</v>
      </c>
    </row>
    <row r="13909" spans="1:7" x14ac:dyDescent="0.25">
      <c r="A13909" s="69" t="s">
        <v>77</v>
      </c>
      <c r="B13909" s="72" t="str">
        <f>VLOOKUP(A13909,'[1]Componentes APUs'!$A$1:$D$14,2,0)</f>
        <v>Correa plastica y antiflama</v>
      </c>
      <c r="C13909" s="73"/>
      <c r="D13909" s="50" t="str">
        <f>VLOOKUP(A13909,'[1]Componentes APUs'!$A$1:$D$14,3,0)</f>
        <v>U</v>
      </c>
      <c r="E13909" s="50">
        <f>SUM(C13886:C13891)</f>
        <v>4.75</v>
      </c>
      <c r="F13909" s="51">
        <f>VLOOKUP(A13909,'[1]Componentes APUs'!$A$1:$D$14,4,0)</f>
        <v>3787.878787878788</v>
      </c>
      <c r="G13909" s="51">
        <f>ROUNDUP(F13909*(E13909/21)/E13870,0)</f>
        <v>1714</v>
      </c>
    </row>
    <row r="13910" spans="1:7" x14ac:dyDescent="0.25">
      <c r="A13910" s="50" t="s">
        <v>79</v>
      </c>
      <c r="B13910" s="72" t="str">
        <f>VLOOKUP(A13910,'[1]Componentes APUs'!$A$1:$D$14,2,0)</f>
        <v>Gafas protectoras filtro UV</v>
      </c>
      <c r="C13910" s="73"/>
      <c r="D13910" s="50" t="str">
        <f>VLOOKUP(A13910,'[1]Componentes APUs'!$A$1:$D$14,3,0)</f>
        <v>U</v>
      </c>
      <c r="E13910" s="50">
        <f>SUM(C13886:C13891)</f>
        <v>4.75</v>
      </c>
      <c r="F13910" s="51">
        <f>VLOOKUP(A13910,'[1]Componentes APUs'!$A$1:$D$14,4,0)</f>
        <v>2777.7777777777778</v>
      </c>
      <c r="G13910" s="51">
        <f>ROUNDUP(F13910*(E13910/21)/E13870,0)</f>
        <v>1257</v>
      </c>
    </row>
    <row r="13911" spans="1:7" x14ac:dyDescent="0.25">
      <c r="A13911" s="69" t="s">
        <v>402</v>
      </c>
      <c r="B13911" s="72" t="str">
        <f>VLOOKUP(A13911,'[1]Componentes APUs'!$A$1:$D$14,2,0)</f>
        <v>Bota de seguridad PVC dielectrica</v>
      </c>
      <c r="C13911" s="73"/>
      <c r="D13911" s="50" t="str">
        <f>VLOOKUP(A13911,'[1]Componentes APUs'!$A$1:$D$14,3,0)</f>
        <v>Par</v>
      </c>
      <c r="E13911" s="50">
        <f>SUM(C13886:C13891)</f>
        <v>4.75</v>
      </c>
      <c r="F13911" s="51">
        <f>VLOOKUP(A13911,'[1]Componentes APUs'!$A$1:$D$14,4,0)</f>
        <v>2916.6666666666665</v>
      </c>
      <c r="G13911" s="51">
        <f>ROUNDUP(F13911*(E13911/21)/E13870,0)</f>
        <v>1320</v>
      </c>
    </row>
    <row r="13912" spans="1:7" x14ac:dyDescent="0.25">
      <c r="A13912" s="50" t="s">
        <v>403</v>
      </c>
      <c r="B13912" s="72" t="str">
        <f>VLOOKUP(A13912,'[1]Componentes APUs'!$A$1:$D$14,2,0)</f>
        <v>Capuchon</v>
      </c>
      <c r="C13912" s="73"/>
      <c r="D13912" s="50" t="str">
        <f>VLOOKUP(A13912,'[1]Componentes APUs'!$A$1:$D$14,3,0)</f>
        <v>U</v>
      </c>
      <c r="E13912" s="50">
        <f>SUM(C13886:C13891)</f>
        <v>4.75</v>
      </c>
      <c r="F13912" s="51">
        <f>VLOOKUP(A13912,'[1]Componentes APUs'!$A$1:$D$14,4,0)</f>
        <v>2525.2525252525252</v>
      </c>
      <c r="G13912" s="51">
        <f>ROUNDUP(F13912*(E13912/21)/E13870,0)</f>
        <v>1143</v>
      </c>
    </row>
    <row r="13913" spans="1:7" x14ac:dyDescent="0.25">
      <c r="A13913" s="69" t="s">
        <v>81</v>
      </c>
      <c r="B13913" s="72" t="str">
        <f>VLOOKUP(A13913,'[1]Componentes APUs'!$A$1:$D$14,2,0)</f>
        <v>Guantes Protectores  - ingeniero reforzados</v>
      </c>
      <c r="C13913" s="73"/>
      <c r="D13913" s="50" t="str">
        <f>VLOOKUP(A13913,'[1]Componentes APUs'!$A$1:$D$14,3,0)</f>
        <v>Par</v>
      </c>
      <c r="E13913" s="50">
        <f>C13888+C13889+C13891</f>
        <v>4</v>
      </c>
      <c r="F13913" s="51">
        <f>VLOOKUP(A13913,'[1]Componentes APUs'!$A$1:$D$14,4,0)</f>
        <v>2525.2525252525252</v>
      </c>
      <c r="G13913" s="51">
        <f>ROUNDUP(F13913*(E13913/21)/E13870,0)</f>
        <v>963</v>
      </c>
    </row>
    <row r="13914" spans="1:7" x14ac:dyDescent="0.25">
      <c r="A13914" s="50" t="s">
        <v>83</v>
      </c>
      <c r="B13914" s="72" t="str">
        <f>VLOOKUP(A13914,'[1]Componentes APUs'!$A$1:$D$14,2,0)</f>
        <v>Impermeable (pantalon camisa)</v>
      </c>
      <c r="C13914" s="73"/>
      <c r="D13914" s="50" t="str">
        <f>VLOOKUP(A13914,'[1]Componentes APUs'!$A$1:$D$14,3,0)</f>
        <v>U</v>
      </c>
      <c r="E13914" s="50">
        <f>SUM(C13886:C13891)</f>
        <v>4.75</v>
      </c>
      <c r="F13914" s="51">
        <f>VLOOKUP(A13914,'[1]Componentes APUs'!$A$1:$D$14,4,0)</f>
        <v>3750</v>
      </c>
      <c r="G13914" s="51">
        <f>ROUNDUP(F13914*(E13914/21)/E13870,0)</f>
        <v>1697</v>
      </c>
    </row>
    <row r="13915" spans="1:7" x14ac:dyDescent="0.25">
      <c r="A13915" s="69" t="s">
        <v>85</v>
      </c>
      <c r="B13915" s="72" t="str">
        <f>VLOOKUP(A13915,'[1]Componentes APUs'!$A$1:$D$14,2,0)</f>
        <v>Jean Dielectrico</v>
      </c>
      <c r="C13915" s="73"/>
      <c r="D13915" s="50" t="str">
        <f>VLOOKUP(A13915,'[1]Componentes APUs'!$A$1:$D$14,3,0)</f>
        <v>U</v>
      </c>
      <c r="E13915" s="50">
        <f>SUM(C13886:C13891)</f>
        <v>4.75</v>
      </c>
      <c r="F13915" s="51">
        <f>VLOOKUP(A13915,'[1]Componentes APUs'!$A$1:$D$14,4,0)</f>
        <v>7575.757575757576</v>
      </c>
      <c r="G13915" s="51">
        <f>ROUNDUP(F13915*(E13915/21)/E13870,0)</f>
        <v>3428</v>
      </c>
    </row>
    <row r="13916" spans="1:7" x14ac:dyDescent="0.25">
      <c r="A13916" s="50" t="s">
        <v>87</v>
      </c>
      <c r="B13916" s="72" t="str">
        <f>VLOOKUP(A13916,'[1]Componentes APUs'!$A$1:$D$14,2,0)</f>
        <v>Casco dielectrico Tipo 2 Clase E con barboquejo</v>
      </c>
      <c r="C13916" s="73"/>
      <c r="D13916" s="50" t="str">
        <f>VLOOKUP(A13916,'[1]Componentes APUs'!$A$1:$D$14,3,0)</f>
        <v>U</v>
      </c>
      <c r="E13916" s="53">
        <f>IF(A13888="MO-3",C13888,0)</f>
        <v>2</v>
      </c>
      <c r="F13916" s="51">
        <f>VLOOKUP(A13916,'[1]Componentes APUs'!$A$1:$D$14,4,0)</f>
        <v>7500</v>
      </c>
      <c r="G13916" s="51">
        <f>ROUNDUP(F13916*(E13916/21)/E13870,0)</f>
        <v>1429</v>
      </c>
    </row>
    <row r="13917" spans="1:7" x14ac:dyDescent="0.25">
      <c r="A13917" s="69" t="s">
        <v>89</v>
      </c>
      <c r="B13917" s="72" t="str">
        <f>VLOOKUP(A13917,'[1]Componentes APUs'!$A$1:$D$14,2,0)</f>
        <v>Kit de rescate para trabajo en alturas</v>
      </c>
      <c r="C13917" s="73"/>
      <c r="D13917" s="50" t="str">
        <f>VLOOKUP(A13917,'[1]Componentes APUs'!$A$1:$D$14,3,0)</f>
        <v>U</v>
      </c>
      <c r="E13917" s="50">
        <f>IF(AND(A13888="MO-3",C13888=2),1,0)</f>
        <v>1</v>
      </c>
      <c r="F13917" s="51">
        <f>VLOOKUP(A13917,'[1]Componentes APUs'!$A$1:$D$14,4,0)</f>
        <v>37500</v>
      </c>
      <c r="G13917" s="51">
        <f>ROUNDUP(F13917*(E13917/21)/E13870,0)</f>
        <v>3572</v>
      </c>
    </row>
    <row r="13918" spans="1:7" x14ac:dyDescent="0.25">
      <c r="A13918" s="50" t="s">
        <v>91</v>
      </c>
      <c r="B13918" s="72" t="str">
        <f>VLOOKUP(A13918,'[1]Componentes APUs'!$A$1:$D$14,2,0)</f>
        <v>Equipo completo para trabajo en alturas con pretales (Arnes dielectrico, 1 mosqueton de seguridad, tie off dielectrico, eslinga de posicionamiento, juego de pretales)</v>
      </c>
      <c r="C13918" s="73"/>
      <c r="D13918" s="50" t="str">
        <f>VLOOKUP(A13918,'[1]Componentes APUs'!$A$1:$D$14,3,0)</f>
        <v>U</v>
      </c>
      <c r="E13918" s="50">
        <f>IF(A13888="MO-3",C13888,0)</f>
        <v>2</v>
      </c>
      <c r="F13918" s="51">
        <f>VLOOKUP(A13918,'[1]Componentes APUs'!$A$1:$D$14,4,0)</f>
        <v>26041.666666666668</v>
      </c>
      <c r="G13918" s="51">
        <f>ROUNDUP(F13918*(E13918/21)/E13870,0)</f>
        <v>4961</v>
      </c>
    </row>
    <row r="13919" spans="1:7" x14ac:dyDescent="0.25">
      <c r="A13919" s="219" t="s">
        <v>95</v>
      </c>
      <c r="B13919" s="219"/>
      <c r="C13919" s="219"/>
      <c r="D13919" s="219"/>
      <c r="E13919" s="219"/>
      <c r="F13919" s="219"/>
      <c r="G13919" s="52">
        <f>SUM(G13906:G13918)</f>
        <v>31408</v>
      </c>
    </row>
    <row r="13920" spans="1:7" x14ac:dyDescent="0.25">
      <c r="A13920" s="56"/>
      <c r="B13920" s="57"/>
      <c r="C13920" s="57"/>
      <c r="D13920" s="57"/>
      <c r="E13920" s="57"/>
      <c r="F13920" s="57"/>
      <c r="G13920" s="58"/>
    </row>
    <row r="13921" spans="1:7" x14ac:dyDescent="0.25">
      <c r="A13921" s="219" t="s">
        <v>96</v>
      </c>
      <c r="B13921" s="219"/>
      <c r="C13921" s="219"/>
      <c r="D13921" s="219"/>
      <c r="E13921" s="219"/>
      <c r="F13921" s="219"/>
      <c r="G13921" s="219"/>
    </row>
    <row r="13922" spans="1:7" x14ac:dyDescent="0.25">
      <c r="A13922" s="49" t="s">
        <v>35</v>
      </c>
      <c r="B13922" s="225" t="s">
        <v>36</v>
      </c>
      <c r="C13922" s="225"/>
      <c r="D13922" s="49" t="s">
        <v>37</v>
      </c>
      <c r="E13922" s="49" t="s">
        <v>38</v>
      </c>
      <c r="F13922" s="49" t="s">
        <v>39</v>
      </c>
      <c r="G13922" s="49" t="s">
        <v>40</v>
      </c>
    </row>
    <row r="13923" spans="1:7" x14ac:dyDescent="0.25">
      <c r="A13923" s="69" t="s">
        <v>97</v>
      </c>
      <c r="B13923" s="72" t="str">
        <f>VLOOKUP(A13923,'[1]Componentes APUs'!$N$1:$Q$30,2,0)</f>
        <v>Camioneta</v>
      </c>
      <c r="C13923" s="73"/>
      <c r="D13923" s="70" t="str">
        <f>VLOOKUP(A13923,'[1]Componentes APUs'!$N$1:$Q$30,3,0)</f>
        <v>U</v>
      </c>
      <c r="E13923" s="50">
        <v>1</v>
      </c>
      <c r="F13923" s="51">
        <f>VLOOKUP(A13923,'[1]Componentes APUs'!$N$1:$Q$30,4,0)</f>
        <v>5500000</v>
      </c>
      <c r="G13923" s="51">
        <f>IFERROR(ROUNDUP(F13923*(E13923/21)/E13870,0),"-")</f>
        <v>523810</v>
      </c>
    </row>
    <row r="13924" spans="1:7" x14ac:dyDescent="0.25">
      <c r="A13924" s="50" t="s">
        <v>321</v>
      </c>
      <c r="B13924" s="72" t="str">
        <f>VLOOKUP(A13924,'[1]Componentes APUs'!$N$1:$Q$30,2,0)</f>
        <v>Grúa Hidráulica</v>
      </c>
      <c r="C13924" s="73"/>
      <c r="D13924" s="70" t="str">
        <f>VLOOKUP(A13924,'[1]Componentes APUs'!$N$1:$Q$30,3,0)</f>
        <v>U</v>
      </c>
      <c r="E13924" s="50">
        <v>0</v>
      </c>
      <c r="F13924" s="51">
        <f>VLOOKUP(A13924,'[1]Componentes APUs'!$N$1:$Q$30,4,0)</f>
        <v>21000000</v>
      </c>
      <c r="G13924" s="51">
        <f>IFERROR(ROUNDUP(F13924*(E13924/21)/E13870,0),"-")</f>
        <v>0</v>
      </c>
    </row>
    <row r="13925" spans="1:7" x14ac:dyDescent="0.25">
      <c r="A13925" s="219" t="s">
        <v>99</v>
      </c>
      <c r="B13925" s="219"/>
      <c r="C13925" s="219"/>
      <c r="D13925" s="219"/>
      <c r="E13925" s="219"/>
      <c r="F13925" s="219"/>
      <c r="G13925" s="52">
        <f>SUM(G13923:G13924)</f>
        <v>523810</v>
      </c>
    </row>
    <row r="13926" spans="1:7" x14ac:dyDescent="0.25">
      <c r="A13926" s="56"/>
      <c r="B13926" s="57"/>
      <c r="C13926" s="57"/>
      <c r="D13926" s="57"/>
      <c r="E13926" s="57"/>
      <c r="F13926" s="57"/>
      <c r="G13926" s="58"/>
    </row>
    <row r="13927" spans="1:7" x14ac:dyDescent="0.25">
      <c r="A13927" s="219" t="s">
        <v>1516</v>
      </c>
      <c r="B13927" s="219"/>
      <c r="C13927" s="219"/>
      <c r="D13927" s="219"/>
      <c r="E13927" s="219"/>
      <c r="F13927" s="219"/>
      <c r="G13927" s="52">
        <f>G13925+G13919+G13902+G13892+G13882</f>
        <v>8381330</v>
      </c>
    </row>
    <row r="13928" spans="1:7" x14ac:dyDescent="0.25">
      <c r="A13928" s="59"/>
      <c r="B13928" s="60"/>
      <c r="C13928" s="60"/>
      <c r="D13928" s="60"/>
      <c r="E13928" s="57"/>
      <c r="F13928" s="57"/>
      <c r="G13928" s="58"/>
    </row>
    <row r="13929" spans="1:7" x14ac:dyDescent="0.25">
      <c r="A13929" s="64"/>
      <c r="D13929" s="55"/>
      <c r="E13929" s="49" t="s">
        <v>25</v>
      </c>
      <c r="F13929" s="54">
        <v>0.15</v>
      </c>
      <c r="G13929" s="51">
        <f>G13927*F13929</f>
        <v>1257199.5</v>
      </c>
    </row>
    <row r="13930" spans="1:7" x14ac:dyDescent="0.25">
      <c r="A13930" s="64"/>
      <c r="D13930" s="55"/>
      <c r="E13930" s="49" t="s">
        <v>26</v>
      </c>
      <c r="F13930" s="54">
        <v>0.05</v>
      </c>
      <c r="G13930" s="51">
        <f>G13927*F13930</f>
        <v>419066.5</v>
      </c>
    </row>
    <row r="13931" spans="1:7" x14ac:dyDescent="0.25">
      <c r="A13931" s="61"/>
      <c r="B13931" s="65"/>
      <c r="C13931" s="65"/>
      <c r="D13931" s="62"/>
      <c r="E13931" s="49" t="s">
        <v>27</v>
      </c>
      <c r="F13931" s="54">
        <v>0.05</v>
      </c>
      <c r="G13931" s="51">
        <f>G13927*F13931</f>
        <v>419066.5</v>
      </c>
    </row>
    <row r="13932" spans="1:7" x14ac:dyDescent="0.25">
      <c r="A13932" s="61"/>
      <c r="B13932" s="62"/>
      <c r="C13932" s="62"/>
      <c r="D13932" s="62"/>
      <c r="E13932" s="62"/>
      <c r="F13932" s="62"/>
      <c r="G13932" s="63"/>
    </row>
    <row r="13933" spans="1:7" x14ac:dyDescent="0.25">
      <c r="A13933" s="219" t="s">
        <v>1517</v>
      </c>
      <c r="B13933" s="219"/>
      <c r="C13933" s="219"/>
      <c r="D13933" s="219"/>
      <c r="E13933" s="219"/>
      <c r="F13933" s="219"/>
      <c r="G13933" s="52">
        <f>G13927+G13929+G13930+G13931</f>
        <v>10476662.5</v>
      </c>
    </row>
    <row r="13934" spans="1:7" x14ac:dyDescent="0.25">
      <c r="A13934" s="59"/>
      <c r="B13934" s="60"/>
      <c r="C13934" s="60"/>
      <c r="D13934" s="60"/>
      <c r="E13934" s="57"/>
      <c r="F13934" s="57"/>
      <c r="G13934" s="58"/>
    </row>
    <row r="13935" spans="1:7" x14ac:dyDescent="0.25">
      <c r="A13935" s="64"/>
      <c r="D13935" s="55"/>
      <c r="E13935" s="49" t="s">
        <v>102</v>
      </c>
      <c r="F13935" s="49" t="s">
        <v>103</v>
      </c>
      <c r="G13935" s="51">
        <f>G13931*19%</f>
        <v>79622.634999999995</v>
      </c>
    </row>
    <row r="13936" spans="1:7" x14ac:dyDescent="0.25">
      <c r="A13936" s="61"/>
      <c r="B13936" s="62"/>
      <c r="C13936" s="62"/>
      <c r="D13936" s="62"/>
      <c r="E13936" s="57"/>
      <c r="F13936" s="57"/>
      <c r="G13936" s="58"/>
    </row>
    <row r="13937" spans="1:7" x14ac:dyDescent="0.25">
      <c r="A13937" s="219" t="s">
        <v>104</v>
      </c>
      <c r="B13937" s="219"/>
      <c r="C13937" s="219"/>
      <c r="D13937" s="219"/>
      <c r="E13937" s="219"/>
      <c r="F13937" s="219"/>
      <c r="G13937" s="52">
        <f>G13935+G13933</f>
        <v>10556285.135</v>
      </c>
    </row>
    <row r="13939" spans="1:7" x14ac:dyDescent="0.25">
      <c r="A13939" s="74" t="s">
        <v>29</v>
      </c>
      <c r="B13939" s="226" t="s">
        <v>30</v>
      </c>
      <c r="C13939" s="226"/>
      <c r="D13939" s="74" t="s">
        <v>31</v>
      </c>
      <c r="E13939" s="74" t="s">
        <v>32</v>
      </c>
      <c r="F13939" s="74" t="s">
        <v>189</v>
      </c>
      <c r="G13939" s="74" t="s">
        <v>33</v>
      </c>
    </row>
    <row r="13940" spans="1:7" ht="28.5" customHeight="1" x14ac:dyDescent="0.25">
      <c r="A13940" s="50" t="str">
        <f>Presupuesto!B253</f>
        <v>003_N2</v>
      </c>
      <c r="B13940" s="220" t="str">
        <f>Presupuesto!C253</f>
        <v>SUMINISTRO E INSTALACIÓN DE HERRAJES PARA BAHÍA DE TRANSFORMADOR AUXILIAR N2</v>
      </c>
      <c r="C13940" s="220"/>
      <c r="D13940" s="50" t="s">
        <v>18</v>
      </c>
      <c r="E13940" s="93">
        <v>0.5</v>
      </c>
      <c r="F13940" s="50"/>
      <c r="G13940" s="51">
        <f>G14007</f>
        <v>8962088.5018499997</v>
      </c>
    </row>
    <row r="13941" spans="1:7" x14ac:dyDescent="0.25">
      <c r="A13941" s="219" t="s">
        <v>34</v>
      </c>
      <c r="B13941" s="219"/>
      <c r="C13941" s="219"/>
      <c r="D13941" s="219"/>
      <c r="E13941" s="219"/>
      <c r="F13941" s="219"/>
      <c r="G13941" s="219"/>
    </row>
    <row r="13942" spans="1:7" x14ac:dyDescent="0.25">
      <c r="A13942" s="49" t="s">
        <v>35</v>
      </c>
      <c r="B13942" s="219" t="s">
        <v>36</v>
      </c>
      <c r="C13942" s="219"/>
      <c r="D13942" s="49" t="s">
        <v>37</v>
      </c>
      <c r="E13942" s="49" t="s">
        <v>38</v>
      </c>
      <c r="F13942" s="49" t="s">
        <v>39</v>
      </c>
      <c r="G13942" s="49" t="s">
        <v>40</v>
      </c>
    </row>
    <row r="13943" spans="1:7" ht="27" customHeight="1" x14ac:dyDescent="0.25">
      <c r="A13943" s="17" t="str">
        <f>Material!A10</f>
        <v>MA-09</v>
      </c>
      <c r="B13943" s="221" t="str">
        <f>IFERROR(VLOOKUP(A13943,Material!$A:$J,2,0),"-")</f>
        <v>ESPARRAGO DE HIERRO GALVANIZADO ROSCADO EN TODA SU LONGITUD, 4 TUERCAS. DIAMETRO 16 MM LONGITUD 458  MM</v>
      </c>
      <c r="C13943" s="222"/>
      <c r="D13943" s="50" t="str">
        <f>IFERROR(VLOOKUP(A13943,Material!$A:$J,4,0),"-")</f>
        <v>UN</v>
      </c>
      <c r="E13943" s="50">
        <f>1*2*5</f>
        <v>10</v>
      </c>
      <c r="F13943" s="51">
        <f>IFERROR(VLOOKUP(A13943,Material!$A:$J,3,0),"-")</f>
        <v>10920</v>
      </c>
      <c r="G13943" s="51">
        <f t="shared" ref="G13943:G13951" si="198">IFERROR(F13943*E13943,"-")</f>
        <v>109200</v>
      </c>
    </row>
    <row r="13944" spans="1:7" ht="27" customHeight="1" x14ac:dyDescent="0.25">
      <c r="A13944" s="17" t="str">
        <f>Material!A5</f>
        <v>MA-04</v>
      </c>
      <c r="B13944" s="221" t="str">
        <f>IFERROR(VLOOKUP(A13944,Material!$A:$J,2,0),"-")</f>
        <v>COLLARIN DE DOS SALIDAS EN PLATINA DE HIERRO GALVANIZADO. DIAMETRO (6-8 IN) (17 - 22 CM)</v>
      </c>
      <c r="C13944" s="222"/>
      <c r="D13944" s="50" t="str">
        <f>IFERROR(VLOOKUP(A13944,Material!$A:$J,4,0),"-")</f>
        <v>UN</v>
      </c>
      <c r="E13944" s="50">
        <f>2*1</f>
        <v>2</v>
      </c>
      <c r="F13944" s="51">
        <f>IFERROR(VLOOKUP(A13944,Material!$A:$J,3,0),"-")</f>
        <v>24505</v>
      </c>
      <c r="G13944" s="51">
        <f t="shared" si="198"/>
        <v>49010</v>
      </c>
    </row>
    <row r="13945" spans="1:7" ht="27" customHeight="1" x14ac:dyDescent="0.25">
      <c r="A13945" s="17" t="str">
        <f>Material!A6</f>
        <v>MA-05</v>
      </c>
      <c r="B13945" s="221" t="str">
        <f>IFERROR(VLOOKUP(A13945,Material!$A:$J,2,0),"-")</f>
        <v>COLLARIN DE DOS SALIDAS EN PLATINA DE HIERRO GALVANIZADO. DIAMETRO (7-10 IN) (20 - 25 CM)</v>
      </c>
      <c r="C13945" s="222"/>
      <c r="D13945" s="50" t="str">
        <f>IFERROR(VLOOKUP(A13945,Material!$A:$J,4,0),"-")</f>
        <v>UN</v>
      </c>
      <c r="E13945" s="50">
        <f>2</f>
        <v>2</v>
      </c>
      <c r="F13945" s="51">
        <f>IFERROR(VLOOKUP(A13945,Material!$A:$J,3,0),"-")</f>
        <v>27755</v>
      </c>
      <c r="G13945" s="51">
        <f t="shared" si="198"/>
        <v>55510</v>
      </c>
    </row>
    <row r="13946" spans="1:7" ht="27" customHeight="1" x14ac:dyDescent="0.25">
      <c r="A13946" s="17" t="str">
        <f>Material!A7</f>
        <v>MA-06</v>
      </c>
      <c r="B13946" s="221" t="str">
        <f>IFERROR(VLOOKUP(A13946,Material!$A:$J,2,0),"-")</f>
        <v>COLLARIN DE DOS SALIDAS EN PLATINA DE HIERRO GALVANIZADO. DIAMETRO (10-12 IN) (25 - 30 CM)</v>
      </c>
      <c r="C13946" s="222"/>
      <c r="D13946" s="50" t="str">
        <f>IFERROR(VLOOKUP(A13946,Material!$A:$J,4,0),"-")</f>
        <v>UN</v>
      </c>
      <c r="E13946" s="50">
        <v>0</v>
      </c>
      <c r="F13946" s="51">
        <f>IFERROR(VLOOKUP(A13946,Material!$A:$J,3,0),"-")</f>
        <v>33150</v>
      </c>
      <c r="G13946" s="51">
        <f t="shared" si="198"/>
        <v>0</v>
      </c>
    </row>
    <row r="13947" spans="1:7" ht="27" customHeight="1" x14ac:dyDescent="0.25">
      <c r="A13947" s="17" t="str">
        <f>Material!A9</f>
        <v>MA-08</v>
      </c>
      <c r="B13947" s="221" t="str">
        <f>IFERROR(VLOOKUP(A13947,Material!$A:$J,2,0),"-")</f>
        <v>CRUCETA METÁLICA DE ANGULO GALVANIZADO DE 6 M DE LONGITUD. CALIBRE (76*76*6) MM</v>
      </c>
      <c r="C13947" s="222"/>
      <c r="D13947" s="50" t="str">
        <f>IFERROR(VLOOKUP(A13947,Material!$A:$J,4,0),"-")</f>
        <v>UN</v>
      </c>
      <c r="E13947" s="50">
        <f>4*1</f>
        <v>4</v>
      </c>
      <c r="F13947" s="51">
        <f>IFERROR(VLOOKUP(A13947,Material!$A:$J,3,0),"-")</f>
        <v>763908.6</v>
      </c>
      <c r="G13947" s="51">
        <f t="shared" si="198"/>
        <v>3055634.4</v>
      </c>
    </row>
    <row r="13948" spans="1:7" ht="27" customHeight="1" x14ac:dyDescent="0.25">
      <c r="A13948" s="17" t="str">
        <f>Material!A11</f>
        <v>MA-10</v>
      </c>
      <c r="B13948" s="221" t="str">
        <f>IFERROR(VLOOKUP(A13948,Material!$A:$J,2,0),"-")</f>
        <v>GRAPA DE OPERAR EN CALIENTE CONDUCTOR AWG-MCM 6 - 400 DIÁMETRO 4 - 13,5 MM</v>
      </c>
      <c r="C13948" s="222"/>
      <c r="D13948" s="50" t="str">
        <f>IFERROR(VLOOKUP(A13948,Material!$A:$J,4,0),"-")</f>
        <v>UN</v>
      </c>
      <c r="E13948" s="50">
        <v>3</v>
      </c>
      <c r="F13948" s="51">
        <f>IFERROR(VLOOKUP(A13948,Material!$A:$J,3,0),"-")</f>
        <v>37155.300000000003</v>
      </c>
      <c r="G13948" s="51">
        <f t="shared" si="198"/>
        <v>111465.90000000001</v>
      </c>
    </row>
    <row r="13949" spans="1:7" x14ac:dyDescent="0.25">
      <c r="A13949" s="17" t="str">
        <f>Material!A2</f>
        <v>MA-01</v>
      </c>
      <c r="B13949" s="221" t="str">
        <f>IFERROR(VLOOKUP(A13949,Material!$A:$J,2,0),"-")</f>
        <v>GRAPA DE RETENCIÓN TIPO PISTOLA DE 6-4/0 DE 3 UES EN ALUMINIO</v>
      </c>
      <c r="C13949" s="222"/>
      <c r="D13949" s="50" t="str">
        <f>IFERROR(VLOOKUP(A13949,Material!$A:$J,4,0),"-")</f>
        <v>UN</v>
      </c>
      <c r="E13949" s="50">
        <v>3</v>
      </c>
      <c r="F13949" s="51">
        <f>IFERROR(VLOOKUP(A13949,Material!$A:$J,3,0),"-")</f>
        <v>104000</v>
      </c>
      <c r="G13949" s="51">
        <f t="shared" si="198"/>
        <v>312000</v>
      </c>
    </row>
    <row r="13950" spans="1:7" x14ac:dyDescent="0.25">
      <c r="A13950" s="17" t="str">
        <f>Material!A338</f>
        <v>MA-337</v>
      </c>
      <c r="B13950" s="221" t="str">
        <f>IFERROR(VLOOKUP(A13950,Material!$A:$J,2,0),"-")</f>
        <v>AISLADOR TIPO PIN DE PORCELANA PARA 13.2 KV ANSI 55-4</v>
      </c>
      <c r="C13950" s="222"/>
      <c r="D13950" s="50" t="str">
        <f>IFERROR(VLOOKUP(A13950,Material!$A:$J,4,0),"-")</f>
        <v>UN</v>
      </c>
      <c r="E13950" s="50">
        <f>3</f>
        <v>3</v>
      </c>
      <c r="F13950" s="51">
        <f>IFERROR(VLOOKUP(A13950,Material!$A:$J,3,0),"-")</f>
        <v>23855</v>
      </c>
      <c r="G13950" s="51">
        <f t="shared" si="198"/>
        <v>71565</v>
      </c>
    </row>
    <row r="13951" spans="1:7" x14ac:dyDescent="0.25">
      <c r="A13951" s="17" t="str">
        <f>Material!A681</f>
        <v>MA-680</v>
      </c>
      <c r="B13951" s="221" t="str">
        <f>IFERROR(VLOOKUP(A13951,Material!$A:$J,2,0),"-")</f>
        <v>AISLADOR TIPO DISCO DE HORQUILLA. 10 KV ANSI 524</v>
      </c>
      <c r="C13951" s="222"/>
      <c r="D13951" s="50" t="str">
        <f>IFERROR(VLOOKUP(A13951,Material!$A:$J,4,0),"-")</f>
        <v>UN</v>
      </c>
      <c r="E13951" s="50">
        <f>3*2</f>
        <v>6</v>
      </c>
      <c r="F13951" s="51">
        <f>IFERROR(VLOOKUP(A13951,Material!$A:$J,3,0),"-")</f>
        <v>95030</v>
      </c>
      <c r="G13951" s="51">
        <f t="shared" si="198"/>
        <v>570180</v>
      </c>
    </row>
    <row r="13952" spans="1:7" x14ac:dyDescent="0.25">
      <c r="A13952" s="219" t="s">
        <v>41</v>
      </c>
      <c r="B13952" s="219"/>
      <c r="C13952" s="219"/>
      <c r="D13952" s="219"/>
      <c r="E13952" s="219"/>
      <c r="F13952" s="219"/>
      <c r="G13952" s="52">
        <f>SUM(G13943:G13951)</f>
        <v>4334565.3</v>
      </c>
    </row>
    <row r="13953" spans="1:7" x14ac:dyDescent="0.25">
      <c r="A13953" s="56"/>
      <c r="B13953" s="57"/>
      <c r="C13953" s="57"/>
      <c r="D13953" s="57"/>
      <c r="E13953" s="57"/>
      <c r="F13953" s="57"/>
      <c r="G13953" s="58"/>
    </row>
    <row r="13954" spans="1:7" x14ac:dyDescent="0.25">
      <c r="A13954" s="219" t="s">
        <v>42</v>
      </c>
      <c r="B13954" s="219"/>
      <c r="C13954" s="219"/>
      <c r="D13954" s="219"/>
      <c r="E13954" s="219"/>
      <c r="F13954" s="219"/>
      <c r="G13954" s="219"/>
    </row>
    <row r="13955" spans="1:7" x14ac:dyDescent="0.25">
      <c r="A13955" s="49" t="s">
        <v>35</v>
      </c>
      <c r="B13955" s="49" t="s">
        <v>36</v>
      </c>
      <c r="C13955" s="49" t="s">
        <v>38</v>
      </c>
      <c r="D13955" s="49" t="s">
        <v>43</v>
      </c>
      <c r="E13955" s="49" t="s">
        <v>44</v>
      </c>
      <c r="F13955" s="49" t="s">
        <v>45</v>
      </c>
      <c r="G13955" s="49" t="s">
        <v>40</v>
      </c>
    </row>
    <row r="13956" spans="1:7" x14ac:dyDescent="0.25">
      <c r="A13956" s="50" t="s">
        <v>319</v>
      </c>
      <c r="B13956" s="68" t="str">
        <f>VLOOKUP(A13956,'[1]Componentes APUs'!$H$1:$L$25,2,0)</f>
        <v>Ingeniero Residente de Obra</v>
      </c>
      <c r="C13956" s="93">
        <v>0.25</v>
      </c>
      <c r="D13956" s="50">
        <f>VLOOKUP(A13956,'[1]Componentes APUs'!$H$1:$L$25,3,0)</f>
        <v>4</v>
      </c>
      <c r="E13956" s="51">
        <f>VLOOKUP(A13956,'[1]Componentes APUs'!$H$1:$L$25,4,0)</f>
        <v>271142.85714285716</v>
      </c>
      <c r="F13956" s="51">
        <f>VLOOKUP(A13956,'[1]Componentes APUs'!$H$1:$L$25,5,0)</f>
        <v>162685.71428571429</v>
      </c>
      <c r="G13956" s="51">
        <f>ROUNDUP((E13956+F13956)*C13956/E13940,0)</f>
        <v>216915</v>
      </c>
    </row>
    <row r="13957" spans="1:7" x14ac:dyDescent="0.25">
      <c r="A13957" s="50" t="s">
        <v>320</v>
      </c>
      <c r="B13957" s="68" t="str">
        <f>VLOOKUP(A13957,'[1]Componentes APUs'!$H$1:$L$25,2,0)</f>
        <v>Tecnico Supervisor</v>
      </c>
      <c r="C13957" s="93">
        <v>0.25</v>
      </c>
      <c r="D13957" s="50">
        <f>VLOOKUP(A13957,'[1]Componentes APUs'!$H$1:$L$25,3,0)</f>
        <v>2.2999999999999998</v>
      </c>
      <c r="E13957" s="51">
        <f>VLOOKUP(A13957,'[1]Componentes APUs'!$H$1:$L$25,4,0)</f>
        <v>155907.14285714284</v>
      </c>
      <c r="F13957" s="51">
        <f>VLOOKUP(A13957,'[1]Componentes APUs'!$H$1:$L$25,5,0)</f>
        <v>93544.285714285696</v>
      </c>
      <c r="G13957" s="51">
        <f>ROUNDUP((E13957+F13957)*C13957/E13940,0)</f>
        <v>124726</v>
      </c>
    </row>
    <row r="13958" spans="1:7" x14ac:dyDescent="0.25">
      <c r="A13958" s="50" t="s">
        <v>46</v>
      </c>
      <c r="B13958" s="68" t="str">
        <f>VLOOKUP(A13958,'[1]Componentes APUs'!$H$1:$L$25,2,0)</f>
        <v>Tecnico Liniero</v>
      </c>
      <c r="C13958" s="93">
        <v>2</v>
      </c>
      <c r="D13958" s="50">
        <f>VLOOKUP(A13958,'[1]Componentes APUs'!$H$1:$L$25,3,0)</f>
        <v>2</v>
      </c>
      <c r="E13958" s="51">
        <f>VLOOKUP(A13958,'[1]Componentes APUs'!$H$1:$L$25,4,0)</f>
        <v>154619.04761904763</v>
      </c>
      <c r="F13958" s="51">
        <f>VLOOKUP(A13958,'[1]Componentes APUs'!$H$1:$L$25,5,0)</f>
        <v>92771.42857142858</v>
      </c>
      <c r="G13958" s="51">
        <f>ROUNDUP((E13958+F13958)*C13958/E13940,0)</f>
        <v>989562</v>
      </c>
    </row>
    <row r="13959" spans="1:7" x14ac:dyDescent="0.25">
      <c r="A13959" s="50" t="s">
        <v>48</v>
      </c>
      <c r="B13959" s="68" t="str">
        <f>VLOOKUP(A13959,'[1]Componentes APUs'!$H$1:$L$25,2,0)</f>
        <v>Ayudante Calificado</v>
      </c>
      <c r="C13959" s="93">
        <v>2</v>
      </c>
      <c r="D13959" s="50">
        <f>VLOOKUP(A13959,'[1]Componentes APUs'!$H$1:$L$25,3,0)</f>
        <v>1.5</v>
      </c>
      <c r="E13959" s="51">
        <f>VLOOKUP(A13959,'[1]Componentes APUs'!$H$1:$L$25,4,0)</f>
        <v>115964.28571428571</v>
      </c>
      <c r="F13959" s="51">
        <f>VLOOKUP(A13959,'[1]Componentes APUs'!$H$1:$L$25,5,0)</f>
        <v>69578.57142857142</v>
      </c>
      <c r="G13959" s="51">
        <f>ROUNDUP((E13959+F13959)*C13959/E13940,0)</f>
        <v>742172</v>
      </c>
    </row>
    <row r="13960" spans="1:7" x14ac:dyDescent="0.25">
      <c r="A13960" s="50" t="s">
        <v>50</v>
      </c>
      <c r="B13960" s="68" t="str">
        <f>VLOOKUP(A13960,'[1]Componentes APUs'!$H$1:$L$25,2,0)</f>
        <v>Profesional en SST</v>
      </c>
      <c r="C13960" s="93">
        <v>0.25</v>
      </c>
      <c r="D13960" s="50">
        <f>VLOOKUP(A13960,'[1]Componentes APUs'!$H$1:$L$25,3,0)</f>
        <v>2.5</v>
      </c>
      <c r="E13960" s="51">
        <f>VLOOKUP(A13960,'[1]Componentes APUs'!$H$1:$L$25,4,0)</f>
        <v>169464.28571428571</v>
      </c>
      <c r="F13960" s="51">
        <f>VLOOKUP(A13960,'[1]Componentes APUs'!$H$1:$L$25,5,0)</f>
        <v>101678.57142857142</v>
      </c>
      <c r="G13960" s="51">
        <f>ROUNDUP((E13960+F13960)*C13960/E13940,0)</f>
        <v>135572</v>
      </c>
    </row>
    <row r="13961" spans="1:7" x14ac:dyDescent="0.25">
      <c r="A13961" s="50" t="s">
        <v>52</v>
      </c>
      <c r="B13961" s="68" t="str">
        <f>VLOOKUP(A13961,'[1]Componentes APUs'!$H$1:$L$25,2,0)</f>
        <v>Ayudante No Calificado</v>
      </c>
      <c r="C13961" s="93">
        <v>0</v>
      </c>
      <c r="D13961" s="50">
        <f>VLOOKUP(A13961,'[1]Componentes APUs'!$H$1:$L$25,3,0)</f>
        <v>1</v>
      </c>
      <c r="E13961" s="51">
        <f>VLOOKUP(A13961,'[1]Componentes APUs'!$H$1:$L$25,4,0)</f>
        <v>77309.523809523816</v>
      </c>
      <c r="F13961" s="51">
        <f>VLOOKUP(A13961,'[1]Componentes APUs'!$H$1:$L$25,5,0)</f>
        <v>46385.71428571429</v>
      </c>
      <c r="G13961" s="51">
        <f>ROUNDUP((E13961+F13961)*C13961/E13940,0)</f>
        <v>0</v>
      </c>
    </row>
    <row r="13962" spans="1:7" x14ac:dyDescent="0.25">
      <c r="A13962" s="219" t="s">
        <v>56</v>
      </c>
      <c r="B13962" s="219"/>
      <c r="C13962" s="219"/>
      <c r="D13962" s="219"/>
      <c r="E13962" s="219"/>
      <c r="F13962" s="219"/>
      <c r="G13962" s="52">
        <f>SUM(G13956:G13961)</f>
        <v>2208947</v>
      </c>
    </row>
    <row r="13963" spans="1:7" x14ac:dyDescent="0.25">
      <c r="A13963" s="56"/>
      <c r="B13963" s="57"/>
      <c r="C13963" s="57"/>
      <c r="D13963" s="57"/>
      <c r="E13963" s="57"/>
      <c r="F13963" s="57"/>
      <c r="G13963" s="58"/>
    </row>
    <row r="13964" spans="1:7" x14ac:dyDescent="0.25">
      <c r="A13964" s="219" t="s">
        <v>57</v>
      </c>
      <c r="B13964" s="219"/>
      <c r="C13964" s="219"/>
      <c r="D13964" s="219"/>
      <c r="E13964" s="219"/>
      <c r="F13964" s="219"/>
      <c r="G13964" s="219"/>
    </row>
    <row r="13965" spans="1:7" x14ac:dyDescent="0.25">
      <c r="A13965" s="49" t="s">
        <v>35</v>
      </c>
      <c r="B13965" s="219" t="s">
        <v>36</v>
      </c>
      <c r="C13965" s="219"/>
      <c r="D13965" s="49" t="s">
        <v>37</v>
      </c>
      <c r="E13965" s="49" t="s">
        <v>38</v>
      </c>
      <c r="F13965" s="49" t="s">
        <v>39</v>
      </c>
      <c r="G13965" s="49" t="s">
        <v>40</v>
      </c>
    </row>
    <row r="13966" spans="1:7" x14ac:dyDescent="0.25">
      <c r="A13966" s="50" t="s">
        <v>326</v>
      </c>
      <c r="B13966" s="220" t="str">
        <f>VLOOKUP(A13966,'[1]Componentes APUs'!$S$1:$V$10,2,0)</f>
        <v>Juego Llaves</v>
      </c>
      <c r="C13966" s="220"/>
      <c r="D13966" s="50" t="s">
        <v>18</v>
      </c>
      <c r="E13966" s="50">
        <v>2</v>
      </c>
      <c r="F13966" s="51">
        <f>VLOOKUP(A13966,'[1]Componentes APUs'!$S$1:$V$10,4,0)</f>
        <v>9167</v>
      </c>
      <c r="G13966" s="51">
        <f>ROUNDUP(F13966*((E13966/21)/E13940),0)</f>
        <v>1747</v>
      </c>
    </row>
    <row r="13967" spans="1:7" x14ac:dyDescent="0.25">
      <c r="A13967" s="50" t="s">
        <v>58</v>
      </c>
      <c r="B13967" s="220" t="str">
        <f>VLOOKUP(A13967,'[1]Componentes APUs'!$S$1:$V$10,2,0)</f>
        <v>Manila de servicio</v>
      </c>
      <c r="C13967" s="220"/>
      <c r="D13967" s="50" t="s">
        <v>18</v>
      </c>
      <c r="E13967" s="50">
        <v>2</v>
      </c>
      <c r="F13967" s="51">
        <f>VLOOKUP(A13967,'[1]Componentes APUs'!$S$1:$V$10,4,0)</f>
        <v>2333</v>
      </c>
      <c r="G13967" s="51">
        <f>ROUNDUP(F13967*((E13967/21)/E13940),0)</f>
        <v>445</v>
      </c>
    </row>
    <row r="13968" spans="1:7" x14ac:dyDescent="0.25">
      <c r="A13968" s="50" t="s">
        <v>327</v>
      </c>
      <c r="B13968" s="220" t="str">
        <f>VLOOKUP(A13968,'[1]Componentes APUs'!$S$1:$V$10,2,0)</f>
        <v>Tula portaherramientas</v>
      </c>
      <c r="C13968" s="220"/>
      <c r="D13968" s="50" t="s">
        <v>18</v>
      </c>
      <c r="E13968" s="50">
        <v>2</v>
      </c>
      <c r="F13968" s="51">
        <f>VLOOKUP(A13968,'[1]Componentes APUs'!$S$1:$V$10,4,0)</f>
        <v>1250</v>
      </c>
      <c r="G13968" s="51">
        <f>ROUNDUP(F13968*((E13968/21)/E13940),0)</f>
        <v>239</v>
      </c>
    </row>
    <row r="13969" spans="1:7" x14ac:dyDescent="0.25">
      <c r="A13969" s="50" t="s">
        <v>60</v>
      </c>
      <c r="B13969" s="220" t="str">
        <f>VLOOKUP(A13969,'[1]Componentes APUs'!$S$1:$V$10,2,0)</f>
        <v>Agarradoras</v>
      </c>
      <c r="C13969" s="220"/>
      <c r="D13969" s="50" t="s">
        <v>18</v>
      </c>
      <c r="E13969" s="50">
        <v>0</v>
      </c>
      <c r="F13969" s="51">
        <f>VLOOKUP(A13969,'[1]Componentes APUs'!$S$1:$V$10,4,0)</f>
        <v>125000</v>
      </c>
      <c r="G13969" s="51">
        <f>ROUNDUP(F13969*((E13969/21)/E13940),0)</f>
        <v>0</v>
      </c>
    </row>
    <row r="13970" spans="1:7" x14ac:dyDescent="0.25">
      <c r="A13970" s="50" t="s">
        <v>62</v>
      </c>
      <c r="B13970" s="220" t="str">
        <f>VLOOKUP(A13970,'[1]Componentes APUs'!$S$1:$V$10,2,0)</f>
        <v>Templadoras</v>
      </c>
      <c r="C13970" s="220"/>
      <c r="D13970" s="50" t="s">
        <v>18</v>
      </c>
      <c r="E13970" s="50">
        <v>0</v>
      </c>
      <c r="F13970" s="51">
        <f>VLOOKUP(A13970,'[1]Componentes APUs'!$S$1:$V$10,4,0)</f>
        <v>250000</v>
      </c>
      <c r="G13970" s="51">
        <f>ROUNDUP(F13970*((E13970/21)/E13940),0)</f>
        <v>0</v>
      </c>
    </row>
    <row r="13971" spans="1:7" x14ac:dyDescent="0.25">
      <c r="A13971" s="50" t="s">
        <v>328</v>
      </c>
      <c r="B13971" s="220" t="str">
        <f>VLOOKUP(A13971,'[1]Componentes APUs'!$S$1:$V$10,2,0)</f>
        <v>Herramienta Menor</v>
      </c>
      <c r="C13971" s="220"/>
      <c r="D13971" s="50" t="s">
        <v>18</v>
      </c>
      <c r="E13971" s="50">
        <v>2</v>
      </c>
      <c r="F13971" s="51">
        <f>VLOOKUP(A13971,'[1]Componentes APUs'!$S$1:$V$10,4,0)</f>
        <v>75758</v>
      </c>
      <c r="G13971" s="51">
        <f>ROUNDUP(F13971*((E13971/21)/E13940),0)</f>
        <v>14431</v>
      </c>
    </row>
    <row r="13972" spans="1:7" x14ac:dyDescent="0.25">
      <c r="A13972" s="219" t="s">
        <v>69</v>
      </c>
      <c r="B13972" s="219"/>
      <c r="C13972" s="219"/>
      <c r="D13972" s="219"/>
      <c r="E13972" s="219"/>
      <c r="F13972" s="219"/>
      <c r="G13972" s="52">
        <f>SUM(G13966:G13971)</f>
        <v>16862</v>
      </c>
    </row>
    <row r="13973" spans="1:7" x14ac:dyDescent="0.25">
      <c r="A13973" s="56"/>
      <c r="B13973" s="57"/>
      <c r="C13973" s="57"/>
      <c r="D13973" s="57"/>
      <c r="E13973" s="57"/>
      <c r="F13973" s="57"/>
      <c r="G13973" s="58"/>
    </row>
    <row r="13974" spans="1:7" x14ac:dyDescent="0.25">
      <c r="A13974" s="219" t="s">
        <v>70</v>
      </c>
      <c r="B13974" s="219"/>
      <c r="C13974" s="219"/>
      <c r="D13974" s="219"/>
      <c r="E13974" s="219"/>
      <c r="F13974" s="219"/>
      <c r="G13974" s="219"/>
    </row>
    <row r="13975" spans="1:7" x14ac:dyDescent="0.25">
      <c r="A13975" s="49" t="s">
        <v>35</v>
      </c>
      <c r="B13975" s="219" t="s">
        <v>36</v>
      </c>
      <c r="C13975" s="219"/>
      <c r="D13975" s="49" t="s">
        <v>37</v>
      </c>
      <c r="E13975" s="49" t="s">
        <v>38</v>
      </c>
      <c r="F13975" s="49" t="s">
        <v>39</v>
      </c>
      <c r="G13975" s="49" t="s">
        <v>40</v>
      </c>
    </row>
    <row r="13976" spans="1:7" x14ac:dyDescent="0.25">
      <c r="A13976" s="50" t="s">
        <v>71</v>
      </c>
      <c r="B13976" s="71" t="str">
        <f>VLOOKUP(A13976,'[1]Componentes APUs'!$A$1:$D$14,2,0)</f>
        <v>Camisa indigo sin partes metalicas</v>
      </c>
      <c r="C13976" s="71"/>
      <c r="D13976" s="50" t="str">
        <f>VLOOKUP(A13976,'[1]Componentes APUs'!$A$1:$D$14,3,0)</f>
        <v>U</v>
      </c>
      <c r="E13976" s="50">
        <f>SUM(C13956:C13961)</f>
        <v>4.75</v>
      </c>
      <c r="F13976" s="51">
        <f>VLOOKUP(A13976,'[1]Componentes APUs'!$A$1:$D$14,4,0)</f>
        <v>8585.8585858585866</v>
      </c>
      <c r="G13976" s="51">
        <f>ROUNDUP(F13976*(E13976/21)/E13940,0)</f>
        <v>3885</v>
      </c>
    </row>
    <row r="13977" spans="1:7" x14ac:dyDescent="0.25">
      <c r="A13977" s="69" t="s">
        <v>73</v>
      </c>
      <c r="B13977" s="72" t="str">
        <f>VLOOKUP(A13977,'[1]Componentes APUs'!$A$1:$D$14,2,0)</f>
        <v>Bota de seguridad dielectrica</v>
      </c>
      <c r="C13977" s="73"/>
      <c r="D13977" s="70" t="str">
        <f>VLOOKUP(A13977,'[1]Componentes APUs'!$A$1:$D$14,3,0)</f>
        <v>Par</v>
      </c>
      <c r="E13977" s="50">
        <f>SUM(C13956:C13961)</f>
        <v>4.75</v>
      </c>
      <c r="F13977" s="51">
        <f>VLOOKUP(A13977,'[1]Componentes APUs'!$A$1:$D$14,4,0)</f>
        <v>7500</v>
      </c>
      <c r="G13977" s="51">
        <f>ROUNDUP(F13977*(E13977/21)/E13940,0)</f>
        <v>3393</v>
      </c>
    </row>
    <row r="13978" spans="1:7" x14ac:dyDescent="0.25">
      <c r="A13978" s="50" t="s">
        <v>76</v>
      </c>
      <c r="B13978" s="72" t="str">
        <f>VLOOKUP(A13978,'[1]Componentes APUs'!$A$1:$D$14,2,0)</f>
        <v>Casco dielectrico Tipo 1 Clase E con barbuquejo</v>
      </c>
      <c r="C13978" s="73"/>
      <c r="D13978" s="50" t="str">
        <f>VLOOKUP(A13978,'[1]Componentes APUs'!$A$1:$D$14,3,0)</f>
        <v>U</v>
      </c>
      <c r="E13978" s="50">
        <f>C13956+C13957+C13959+C13960+C13961+IF(A13958&lt;&gt;"MO-3",C13958,0)</f>
        <v>2.75</v>
      </c>
      <c r="F13978" s="51">
        <f>VLOOKUP(A13978,'[1]Componentes APUs'!$A$1:$D$14,4,0)</f>
        <v>10101.010101010101</v>
      </c>
      <c r="G13978" s="51">
        <f>ROUNDUP(F13978*(E13978/21)/E13940,0)</f>
        <v>2646</v>
      </c>
    </row>
    <row r="13979" spans="1:7" x14ac:dyDescent="0.25">
      <c r="A13979" s="69" t="s">
        <v>77</v>
      </c>
      <c r="B13979" s="72" t="str">
        <f>VLOOKUP(A13979,'[1]Componentes APUs'!$A$1:$D$14,2,0)</f>
        <v>Correa plastica y antiflama</v>
      </c>
      <c r="C13979" s="73"/>
      <c r="D13979" s="50" t="str">
        <f>VLOOKUP(A13979,'[1]Componentes APUs'!$A$1:$D$14,3,0)</f>
        <v>U</v>
      </c>
      <c r="E13979" s="50">
        <f>SUM(C13956:C13961)</f>
        <v>4.75</v>
      </c>
      <c r="F13979" s="51">
        <f>VLOOKUP(A13979,'[1]Componentes APUs'!$A$1:$D$14,4,0)</f>
        <v>3787.878787878788</v>
      </c>
      <c r="G13979" s="51">
        <f>ROUNDUP(F13979*(E13979/21)/E13940,0)</f>
        <v>1714</v>
      </c>
    </row>
    <row r="13980" spans="1:7" x14ac:dyDescent="0.25">
      <c r="A13980" s="50" t="s">
        <v>79</v>
      </c>
      <c r="B13980" s="72" t="str">
        <f>VLOOKUP(A13980,'[1]Componentes APUs'!$A$1:$D$14,2,0)</f>
        <v>Gafas protectoras filtro UV</v>
      </c>
      <c r="C13980" s="73"/>
      <c r="D13980" s="50" t="str">
        <f>VLOOKUP(A13980,'[1]Componentes APUs'!$A$1:$D$14,3,0)</f>
        <v>U</v>
      </c>
      <c r="E13980" s="50">
        <f>SUM(C13956:C13961)</f>
        <v>4.75</v>
      </c>
      <c r="F13980" s="51">
        <f>VLOOKUP(A13980,'[1]Componentes APUs'!$A$1:$D$14,4,0)</f>
        <v>2777.7777777777778</v>
      </c>
      <c r="G13980" s="51">
        <f>ROUNDUP(F13980*(E13980/21)/E13940,0)</f>
        <v>1257</v>
      </c>
    </row>
    <row r="13981" spans="1:7" x14ac:dyDescent="0.25">
      <c r="A13981" s="69" t="s">
        <v>402</v>
      </c>
      <c r="B13981" s="72" t="str">
        <f>VLOOKUP(A13981,'[1]Componentes APUs'!$A$1:$D$14,2,0)</f>
        <v>Bota de seguridad PVC dielectrica</v>
      </c>
      <c r="C13981" s="73"/>
      <c r="D13981" s="50" t="str">
        <f>VLOOKUP(A13981,'[1]Componentes APUs'!$A$1:$D$14,3,0)</f>
        <v>Par</v>
      </c>
      <c r="E13981" s="50">
        <f>SUM(C13956:C13961)</f>
        <v>4.75</v>
      </c>
      <c r="F13981" s="51">
        <f>VLOOKUP(A13981,'[1]Componentes APUs'!$A$1:$D$14,4,0)</f>
        <v>2916.6666666666665</v>
      </c>
      <c r="G13981" s="51">
        <f>ROUNDUP(F13981*(E13981/21)/E13940,0)</f>
        <v>1320</v>
      </c>
    </row>
    <row r="13982" spans="1:7" x14ac:dyDescent="0.25">
      <c r="A13982" s="50" t="s">
        <v>403</v>
      </c>
      <c r="B13982" s="72" t="str">
        <f>VLOOKUP(A13982,'[1]Componentes APUs'!$A$1:$D$14,2,0)</f>
        <v>Capuchon</v>
      </c>
      <c r="C13982" s="73"/>
      <c r="D13982" s="50" t="str">
        <f>VLOOKUP(A13982,'[1]Componentes APUs'!$A$1:$D$14,3,0)</f>
        <v>U</v>
      </c>
      <c r="E13982" s="50">
        <f>SUM(C13956:C13961)</f>
        <v>4.75</v>
      </c>
      <c r="F13982" s="51">
        <f>VLOOKUP(A13982,'[1]Componentes APUs'!$A$1:$D$14,4,0)</f>
        <v>2525.2525252525252</v>
      </c>
      <c r="G13982" s="51">
        <f>ROUNDUP(F13982*(E13982/21)/E13940,0)</f>
        <v>1143</v>
      </c>
    </row>
    <row r="13983" spans="1:7" x14ac:dyDescent="0.25">
      <c r="A13983" s="69" t="s">
        <v>81</v>
      </c>
      <c r="B13983" s="72" t="str">
        <f>VLOOKUP(A13983,'[1]Componentes APUs'!$A$1:$D$14,2,0)</f>
        <v>Guantes Protectores  - ingeniero reforzados</v>
      </c>
      <c r="C13983" s="73"/>
      <c r="D13983" s="50" t="str">
        <f>VLOOKUP(A13983,'[1]Componentes APUs'!$A$1:$D$14,3,0)</f>
        <v>Par</v>
      </c>
      <c r="E13983" s="50">
        <f>C13958+C13959+C13961</f>
        <v>4</v>
      </c>
      <c r="F13983" s="51">
        <f>VLOOKUP(A13983,'[1]Componentes APUs'!$A$1:$D$14,4,0)</f>
        <v>2525.2525252525252</v>
      </c>
      <c r="G13983" s="51">
        <f>ROUNDUP(F13983*(E13983/21)/E13940,0)</f>
        <v>963</v>
      </c>
    </row>
    <row r="13984" spans="1:7" x14ac:dyDescent="0.25">
      <c r="A13984" s="50" t="s">
        <v>83</v>
      </c>
      <c r="B13984" s="72" t="str">
        <f>VLOOKUP(A13984,'[1]Componentes APUs'!$A$1:$D$14,2,0)</f>
        <v>Impermeable (pantalon camisa)</v>
      </c>
      <c r="C13984" s="73"/>
      <c r="D13984" s="50" t="str">
        <f>VLOOKUP(A13984,'[1]Componentes APUs'!$A$1:$D$14,3,0)</f>
        <v>U</v>
      </c>
      <c r="E13984" s="50">
        <f>SUM(C13956:C13961)</f>
        <v>4.75</v>
      </c>
      <c r="F13984" s="51">
        <f>VLOOKUP(A13984,'[1]Componentes APUs'!$A$1:$D$14,4,0)</f>
        <v>3750</v>
      </c>
      <c r="G13984" s="51">
        <f>ROUNDUP(F13984*(E13984/21)/E13940,0)</f>
        <v>1697</v>
      </c>
    </row>
    <row r="13985" spans="1:7" x14ac:dyDescent="0.25">
      <c r="A13985" s="69" t="s">
        <v>85</v>
      </c>
      <c r="B13985" s="72" t="str">
        <f>VLOOKUP(A13985,'[1]Componentes APUs'!$A$1:$D$14,2,0)</f>
        <v>Jean Dielectrico</v>
      </c>
      <c r="C13985" s="73"/>
      <c r="D13985" s="50" t="str">
        <f>VLOOKUP(A13985,'[1]Componentes APUs'!$A$1:$D$14,3,0)</f>
        <v>U</v>
      </c>
      <c r="E13985" s="50">
        <f>SUM(C13956:C13961)</f>
        <v>4.75</v>
      </c>
      <c r="F13985" s="51">
        <f>VLOOKUP(A13985,'[1]Componentes APUs'!$A$1:$D$14,4,0)</f>
        <v>7575.757575757576</v>
      </c>
      <c r="G13985" s="51">
        <f>ROUNDUP(F13985*(E13985/21)/E13940,0)</f>
        <v>3428</v>
      </c>
    </row>
    <row r="13986" spans="1:7" x14ac:dyDescent="0.25">
      <c r="A13986" s="50" t="s">
        <v>87</v>
      </c>
      <c r="B13986" s="72" t="str">
        <f>VLOOKUP(A13986,'[1]Componentes APUs'!$A$1:$D$14,2,0)</f>
        <v>Casco dielectrico Tipo 2 Clase E con barboquejo</v>
      </c>
      <c r="C13986" s="73"/>
      <c r="D13986" s="50" t="str">
        <f>VLOOKUP(A13986,'[1]Componentes APUs'!$A$1:$D$14,3,0)</f>
        <v>U</v>
      </c>
      <c r="E13986" s="53">
        <f>IF(A13958="MO-3",C13958,0)</f>
        <v>2</v>
      </c>
      <c r="F13986" s="51">
        <f>VLOOKUP(A13986,'[1]Componentes APUs'!$A$1:$D$14,4,0)</f>
        <v>7500</v>
      </c>
      <c r="G13986" s="51">
        <f>ROUNDUP(F13986*(E13986/21)/E13940,0)</f>
        <v>1429</v>
      </c>
    </row>
    <row r="13987" spans="1:7" x14ac:dyDescent="0.25">
      <c r="A13987" s="69" t="s">
        <v>89</v>
      </c>
      <c r="B13987" s="72" t="str">
        <f>VLOOKUP(A13987,'[1]Componentes APUs'!$A$1:$D$14,2,0)</f>
        <v>Kit de rescate para trabajo en alturas</v>
      </c>
      <c r="C13987" s="73"/>
      <c r="D13987" s="50" t="str">
        <f>VLOOKUP(A13987,'[1]Componentes APUs'!$A$1:$D$14,3,0)</f>
        <v>U</v>
      </c>
      <c r="E13987" s="50">
        <f>IF(AND(A13958="MO-3",C13958=2),1,0)</f>
        <v>1</v>
      </c>
      <c r="F13987" s="51">
        <f>VLOOKUP(A13987,'[1]Componentes APUs'!$A$1:$D$14,4,0)</f>
        <v>37500</v>
      </c>
      <c r="G13987" s="51">
        <f>ROUNDUP(F13987*(E13987/21)/E13940,0)</f>
        <v>3572</v>
      </c>
    </row>
    <row r="13988" spans="1:7" x14ac:dyDescent="0.25">
      <c r="A13988" s="50" t="s">
        <v>91</v>
      </c>
      <c r="B13988" s="72" t="str">
        <f>VLOOKUP(A13988,'[1]Componentes APUs'!$A$1:$D$14,2,0)</f>
        <v>Equipo completo para trabajo en alturas con pretales (Arnes dielectrico, 1 mosqueton de seguridad, tie off dielectrico, eslinga de posicionamiento, juego de pretales)</v>
      </c>
      <c r="C13988" s="73"/>
      <c r="D13988" s="50" t="str">
        <f>VLOOKUP(A13988,'[1]Componentes APUs'!$A$1:$D$14,3,0)</f>
        <v>U</v>
      </c>
      <c r="E13988" s="50">
        <f>IF(A13958="MO-3",C13958,0)</f>
        <v>2</v>
      </c>
      <c r="F13988" s="51">
        <f>VLOOKUP(A13988,'[1]Componentes APUs'!$A$1:$D$14,4,0)</f>
        <v>26041.666666666668</v>
      </c>
      <c r="G13988" s="51">
        <f>ROUNDUP(F13988*(E13988/21)/E13940,0)</f>
        <v>4961</v>
      </c>
    </row>
    <row r="13989" spans="1:7" x14ac:dyDescent="0.25">
      <c r="A13989" s="219" t="s">
        <v>95</v>
      </c>
      <c r="B13989" s="219"/>
      <c r="C13989" s="219"/>
      <c r="D13989" s="219"/>
      <c r="E13989" s="219"/>
      <c r="F13989" s="219"/>
      <c r="G13989" s="52">
        <f>SUM(G13976:G13988)</f>
        <v>31408</v>
      </c>
    </row>
    <row r="13990" spans="1:7" x14ac:dyDescent="0.25">
      <c r="A13990" s="56"/>
      <c r="B13990" s="57"/>
      <c r="C13990" s="57"/>
      <c r="D13990" s="57"/>
      <c r="E13990" s="57"/>
      <c r="F13990" s="57"/>
      <c r="G13990" s="58"/>
    </row>
    <row r="13991" spans="1:7" x14ac:dyDescent="0.25">
      <c r="A13991" s="219" t="s">
        <v>96</v>
      </c>
      <c r="B13991" s="219"/>
      <c r="C13991" s="219"/>
      <c r="D13991" s="219"/>
      <c r="E13991" s="219"/>
      <c r="F13991" s="219"/>
      <c r="G13991" s="219"/>
    </row>
    <row r="13992" spans="1:7" x14ac:dyDescent="0.25">
      <c r="A13992" s="49" t="s">
        <v>35</v>
      </c>
      <c r="B13992" s="225" t="s">
        <v>36</v>
      </c>
      <c r="C13992" s="225"/>
      <c r="D13992" s="49" t="s">
        <v>37</v>
      </c>
      <c r="E13992" s="49" t="s">
        <v>38</v>
      </c>
      <c r="F13992" s="49" t="s">
        <v>39</v>
      </c>
      <c r="G13992" s="49" t="s">
        <v>40</v>
      </c>
    </row>
    <row r="13993" spans="1:7" x14ac:dyDescent="0.25">
      <c r="A13993" s="69" t="s">
        <v>97</v>
      </c>
      <c r="B13993" s="72" t="str">
        <f>VLOOKUP(A13993,'[1]Componentes APUs'!$N$1:$Q$30,2,0)</f>
        <v>Camioneta</v>
      </c>
      <c r="C13993" s="73"/>
      <c r="D13993" s="70" t="str">
        <f>VLOOKUP(A13993,'[1]Componentes APUs'!$N$1:$Q$30,3,0)</f>
        <v>U</v>
      </c>
      <c r="E13993" s="50">
        <v>1</v>
      </c>
      <c r="F13993" s="51">
        <f>VLOOKUP(A13993,'[1]Componentes APUs'!$N$1:$Q$30,4,0)</f>
        <v>5500000</v>
      </c>
      <c r="G13993" s="51">
        <f>IFERROR(ROUNDUP(F13993*(E13993/21)/E13940,0),"-")</f>
        <v>523810</v>
      </c>
    </row>
    <row r="13994" spans="1:7" x14ac:dyDescent="0.25">
      <c r="A13994" s="50" t="s">
        <v>321</v>
      </c>
      <c r="B13994" s="72" t="str">
        <f>VLOOKUP(A13994,'[1]Componentes APUs'!$N$1:$Q$30,2,0)</f>
        <v>Grúa Hidráulica</v>
      </c>
      <c r="C13994" s="73"/>
      <c r="D13994" s="70" t="str">
        <f>VLOOKUP(A13994,'[1]Componentes APUs'!$N$1:$Q$30,3,0)</f>
        <v>U</v>
      </c>
      <c r="E13994" s="50">
        <v>0</v>
      </c>
      <c r="F13994" s="51">
        <f>VLOOKUP(A13994,'[1]Componentes APUs'!$N$1:$Q$30,4,0)</f>
        <v>21000000</v>
      </c>
      <c r="G13994" s="51">
        <f>IFERROR(ROUNDUP(F13994*(E13994/21)/E13940,0),"-")</f>
        <v>0</v>
      </c>
    </row>
    <row r="13995" spans="1:7" x14ac:dyDescent="0.25">
      <c r="A13995" s="219" t="s">
        <v>99</v>
      </c>
      <c r="B13995" s="219"/>
      <c r="C13995" s="219"/>
      <c r="D13995" s="219"/>
      <c r="E13995" s="219"/>
      <c r="F13995" s="219"/>
      <c r="G13995" s="52">
        <f>SUM(G13993:G13994)</f>
        <v>523810</v>
      </c>
    </row>
    <row r="13996" spans="1:7" x14ac:dyDescent="0.25">
      <c r="A13996" s="56"/>
      <c r="B13996" s="57"/>
      <c r="C13996" s="57"/>
      <c r="D13996" s="57"/>
      <c r="E13996" s="57"/>
      <c r="F13996" s="57"/>
      <c r="G13996" s="58"/>
    </row>
    <row r="13997" spans="1:7" x14ac:dyDescent="0.25">
      <c r="A13997" s="219" t="s">
        <v>1516</v>
      </c>
      <c r="B13997" s="219"/>
      <c r="C13997" s="219"/>
      <c r="D13997" s="219"/>
      <c r="E13997" s="219"/>
      <c r="F13997" s="219"/>
      <c r="G13997" s="52">
        <f>G13995+G13989+G13972+G13962+G13952</f>
        <v>7115592.2999999998</v>
      </c>
    </row>
    <row r="13998" spans="1:7" x14ac:dyDescent="0.25">
      <c r="A13998" s="59"/>
      <c r="B13998" s="60"/>
      <c r="C13998" s="60"/>
      <c r="D13998" s="60"/>
      <c r="E13998" s="57"/>
      <c r="F13998" s="57"/>
      <c r="G13998" s="58"/>
    </row>
    <row r="13999" spans="1:7" x14ac:dyDescent="0.25">
      <c r="A13999" s="64"/>
      <c r="D13999" s="55"/>
      <c r="E13999" s="49" t="s">
        <v>25</v>
      </c>
      <c r="F13999" s="54">
        <v>0.15</v>
      </c>
      <c r="G13999" s="51">
        <f>G13997*F13999</f>
        <v>1067338.845</v>
      </c>
    </row>
    <row r="14000" spans="1:7" x14ac:dyDescent="0.25">
      <c r="A14000" s="64"/>
      <c r="D14000" s="55"/>
      <c r="E14000" s="49" t="s">
        <v>26</v>
      </c>
      <c r="F14000" s="54">
        <v>0.05</v>
      </c>
      <c r="G14000" s="51">
        <f>G13997*F14000</f>
        <v>355779.61499999999</v>
      </c>
    </row>
    <row r="14001" spans="1:7" x14ac:dyDescent="0.25">
      <c r="A14001" s="61"/>
      <c r="B14001" s="65"/>
      <c r="C14001" s="65"/>
      <c r="D14001" s="62"/>
      <c r="E14001" s="49" t="s">
        <v>27</v>
      </c>
      <c r="F14001" s="54">
        <v>0.05</v>
      </c>
      <c r="G14001" s="51">
        <f>G13997*F14001</f>
        <v>355779.61499999999</v>
      </c>
    </row>
    <row r="14002" spans="1:7" x14ac:dyDescent="0.25">
      <c r="A14002" s="61"/>
      <c r="B14002" s="62"/>
      <c r="C14002" s="62"/>
      <c r="D14002" s="62"/>
      <c r="E14002" s="62"/>
      <c r="F14002" s="62"/>
      <c r="G14002" s="63"/>
    </row>
    <row r="14003" spans="1:7" x14ac:dyDescent="0.25">
      <c r="A14003" s="219" t="s">
        <v>1517</v>
      </c>
      <c r="B14003" s="219"/>
      <c r="C14003" s="219"/>
      <c r="D14003" s="219"/>
      <c r="E14003" s="219"/>
      <c r="F14003" s="219"/>
      <c r="G14003" s="52">
        <f>G13997+G13999+G14000+G14001</f>
        <v>8894490.375</v>
      </c>
    </row>
    <row r="14004" spans="1:7" x14ac:dyDescent="0.25">
      <c r="A14004" s="59"/>
      <c r="B14004" s="60"/>
      <c r="C14004" s="60"/>
      <c r="D14004" s="60"/>
      <c r="E14004" s="57"/>
      <c r="F14004" s="57"/>
      <c r="G14004" s="58"/>
    </row>
    <row r="14005" spans="1:7" x14ac:dyDescent="0.25">
      <c r="A14005" s="64"/>
      <c r="D14005" s="55"/>
      <c r="E14005" s="49" t="s">
        <v>102</v>
      </c>
      <c r="F14005" s="49" t="s">
        <v>103</v>
      </c>
      <c r="G14005" s="51">
        <f>G14001*19%</f>
        <v>67598.126850000001</v>
      </c>
    </row>
    <row r="14006" spans="1:7" x14ac:dyDescent="0.25">
      <c r="A14006" s="61"/>
      <c r="B14006" s="62"/>
      <c r="C14006" s="62"/>
      <c r="D14006" s="62"/>
      <c r="E14006" s="57"/>
      <c r="F14006" s="57"/>
      <c r="G14006" s="58"/>
    </row>
    <row r="14007" spans="1:7" x14ac:dyDescent="0.25">
      <c r="A14007" s="219" t="s">
        <v>104</v>
      </c>
      <c r="B14007" s="219"/>
      <c r="C14007" s="219"/>
      <c r="D14007" s="219"/>
      <c r="E14007" s="219"/>
      <c r="F14007" s="219"/>
      <c r="G14007" s="52">
        <f>G14005+G14003</f>
        <v>8962088.5018499997</v>
      </c>
    </row>
    <row r="14009" spans="1:7" x14ac:dyDescent="0.25">
      <c r="A14009" s="74" t="s">
        <v>29</v>
      </c>
      <c r="B14009" s="226" t="s">
        <v>30</v>
      </c>
      <c r="C14009" s="226"/>
      <c r="D14009" s="74" t="s">
        <v>31</v>
      </c>
      <c r="E14009" s="74" t="s">
        <v>32</v>
      </c>
      <c r="F14009" s="74" t="s">
        <v>189</v>
      </c>
      <c r="G14009" s="74" t="s">
        <v>33</v>
      </c>
    </row>
    <row r="14010" spans="1:7" ht="23.25" customHeight="1" x14ac:dyDescent="0.25">
      <c r="A14010" s="50" t="str">
        <f>Presupuesto!B254</f>
        <v>004_N2</v>
      </c>
      <c r="B14010" s="220" t="str">
        <f>Presupuesto!C254</f>
        <v>SUMINISTRO E INSTALACIÓN DE HERRAJES PARA BAHÍA DE TRANSFORMADOR DE POTENCIA N2</v>
      </c>
      <c r="C14010" s="220"/>
      <c r="D14010" s="50" t="s">
        <v>18</v>
      </c>
      <c r="E14010" s="93">
        <v>0.5</v>
      </c>
      <c r="F14010" s="50"/>
      <c r="G14010" s="51">
        <f>G14076</f>
        <v>11905216.940099999</v>
      </c>
    </row>
    <row r="14011" spans="1:7" x14ac:dyDescent="0.25">
      <c r="A14011" s="219" t="s">
        <v>34</v>
      </c>
      <c r="B14011" s="219"/>
      <c r="C14011" s="219"/>
      <c r="D14011" s="219"/>
      <c r="E14011" s="219"/>
      <c r="F14011" s="219"/>
      <c r="G14011" s="219"/>
    </row>
    <row r="14012" spans="1:7" x14ac:dyDescent="0.25">
      <c r="A14012" s="49" t="s">
        <v>35</v>
      </c>
      <c r="B14012" s="219" t="s">
        <v>36</v>
      </c>
      <c r="C14012" s="219"/>
      <c r="D14012" s="49" t="s">
        <v>37</v>
      </c>
      <c r="E14012" s="49" t="s">
        <v>38</v>
      </c>
      <c r="F14012" s="49" t="s">
        <v>39</v>
      </c>
      <c r="G14012" s="49" t="s">
        <v>40</v>
      </c>
    </row>
    <row r="14013" spans="1:7" ht="25.5" customHeight="1" x14ac:dyDescent="0.25">
      <c r="A14013" s="17" t="str">
        <f>Material!A10</f>
        <v>MA-09</v>
      </c>
      <c r="B14013" s="221" t="str">
        <f>IFERROR(VLOOKUP(A14013,Material!$A:$J,2,0),"-")</f>
        <v>ESPARRAGO DE HIERRO GALVANIZADO ROSCADO EN TODA SU LONGITUD, 4 TUERCAS. DIAMETRO 16 MM LONGITUD 458  MM</v>
      </c>
      <c r="C14013" s="222"/>
      <c r="D14013" s="50" t="str">
        <f>IFERROR(VLOOKUP(A14013,Material!$A:$J,4,0),"-")</f>
        <v>UN</v>
      </c>
      <c r="E14013" s="50">
        <f>1*4*5</f>
        <v>20</v>
      </c>
      <c r="F14013" s="51">
        <f>IFERROR(VLOOKUP(A14013,Material!$A:$J,3,0),"-")</f>
        <v>10920</v>
      </c>
      <c r="G14013" s="51">
        <f t="shared" ref="G14013:G14017" si="199">IFERROR(F14013*E14013,"-")</f>
        <v>218400</v>
      </c>
    </row>
    <row r="14014" spans="1:7" ht="25.5" customHeight="1" x14ac:dyDescent="0.25">
      <c r="A14014" s="17" t="str">
        <f>Material!A5</f>
        <v>MA-04</v>
      </c>
      <c r="B14014" s="221" t="str">
        <f>IFERROR(VLOOKUP(A14014,Material!$A:$J,2,0),"-")</f>
        <v>COLLARIN DE DOS SALIDAS EN PLATINA DE HIERRO GALVANIZADO. DIAMETRO (6-8 IN) (17 - 22 CM)</v>
      </c>
      <c r="C14014" s="222"/>
      <c r="D14014" s="50" t="str">
        <f>IFERROR(VLOOKUP(A14014,Material!$A:$J,4,0),"-")</f>
        <v>UN</v>
      </c>
      <c r="E14014" s="50">
        <f>4*1</f>
        <v>4</v>
      </c>
      <c r="F14014" s="51">
        <f>IFERROR(VLOOKUP(A14014,Material!$A:$J,3,0),"-")</f>
        <v>24505</v>
      </c>
      <c r="G14014" s="51">
        <f t="shared" si="199"/>
        <v>98020</v>
      </c>
    </row>
    <row r="14015" spans="1:7" ht="25.5" customHeight="1" x14ac:dyDescent="0.25">
      <c r="A14015" s="17" t="str">
        <f>Material!A6</f>
        <v>MA-05</v>
      </c>
      <c r="B14015" s="221" t="str">
        <f>IFERROR(VLOOKUP(A14015,Material!$A:$J,2,0),"-")</f>
        <v>COLLARIN DE DOS SALIDAS EN PLATINA DE HIERRO GALVANIZADO. DIAMETRO (7-10 IN) (20 - 25 CM)</v>
      </c>
      <c r="C14015" s="222"/>
      <c r="D14015" s="50" t="str">
        <f>IFERROR(VLOOKUP(A14015,Material!$A:$J,4,0),"-")</f>
        <v>UN</v>
      </c>
      <c r="E14015" s="50">
        <f>4</f>
        <v>4</v>
      </c>
      <c r="F14015" s="51">
        <f>IFERROR(VLOOKUP(A14015,Material!$A:$J,3,0),"-")</f>
        <v>27755</v>
      </c>
      <c r="G14015" s="51">
        <f t="shared" si="199"/>
        <v>111020</v>
      </c>
    </row>
    <row r="14016" spans="1:7" ht="25.5" customHeight="1" x14ac:dyDescent="0.25">
      <c r="A14016" s="17" t="str">
        <f>Material!A7</f>
        <v>MA-06</v>
      </c>
      <c r="B14016" s="221" t="str">
        <f>IFERROR(VLOOKUP(A14016,Material!$A:$J,2,0),"-")</f>
        <v>COLLARIN DE DOS SALIDAS EN PLATINA DE HIERRO GALVANIZADO. DIAMETRO (10-12 IN) (25 - 30 CM)</v>
      </c>
      <c r="C14016" s="222"/>
      <c r="D14016" s="50" t="str">
        <f>IFERROR(VLOOKUP(A14016,Material!$A:$J,4,0),"-")</f>
        <v>UN</v>
      </c>
      <c r="E14016" s="50">
        <v>4</v>
      </c>
      <c r="F14016" s="51">
        <f>IFERROR(VLOOKUP(A14016,Material!$A:$J,3,0),"-")</f>
        <v>33150</v>
      </c>
      <c r="G14016" s="51">
        <f t="shared" si="199"/>
        <v>132600</v>
      </c>
    </row>
    <row r="14017" spans="1:7" ht="25.5" customHeight="1" x14ac:dyDescent="0.25">
      <c r="A14017" s="17" t="str">
        <f>Material!A9</f>
        <v>MA-08</v>
      </c>
      <c r="B14017" s="221" t="str">
        <f>IFERROR(VLOOKUP(A14017,Material!$A:$J,2,0),"-")</f>
        <v>CRUCETA METÁLICA DE ANGULO GALVANIZADO DE 6 M DE LONGITUD. CALIBRE (76*76*6) MM</v>
      </c>
      <c r="C14017" s="222"/>
      <c r="D14017" s="50" t="str">
        <f>IFERROR(VLOOKUP(A14017,Material!$A:$J,4,0),"-")</f>
        <v>UN</v>
      </c>
      <c r="E14017" s="50">
        <v>8</v>
      </c>
      <c r="F14017" s="51">
        <f>IFERROR(VLOOKUP(A14017,Material!$A:$J,3,0),"-")</f>
        <v>763908.6</v>
      </c>
      <c r="G14017" s="51">
        <f t="shared" si="199"/>
        <v>6111268.7999999998</v>
      </c>
    </row>
    <row r="14018" spans="1:7" x14ac:dyDescent="0.25">
      <c r="A14018" s="219" t="s">
        <v>41</v>
      </c>
      <c r="B14018" s="219"/>
      <c r="C14018" s="219"/>
      <c r="D14018" s="219"/>
      <c r="E14018" s="219"/>
      <c r="F14018" s="219"/>
      <c r="G14018" s="52">
        <f>SUM(G14013:G14017)</f>
        <v>6671308.7999999998</v>
      </c>
    </row>
    <row r="14019" spans="1:7" x14ac:dyDescent="0.25">
      <c r="A14019" s="56"/>
      <c r="B14019" s="57"/>
      <c r="C14019" s="57"/>
      <c r="D14019" s="57"/>
      <c r="E14019" s="57"/>
      <c r="F14019" s="57"/>
      <c r="G14019" s="58"/>
    </row>
    <row r="14020" spans="1:7" x14ac:dyDescent="0.25">
      <c r="A14020" s="219" t="s">
        <v>42</v>
      </c>
      <c r="B14020" s="219"/>
      <c r="C14020" s="219"/>
      <c r="D14020" s="219"/>
      <c r="E14020" s="219"/>
      <c r="F14020" s="219"/>
      <c r="G14020" s="219"/>
    </row>
    <row r="14021" spans="1:7" x14ac:dyDescent="0.25">
      <c r="A14021" s="49" t="s">
        <v>35</v>
      </c>
      <c r="B14021" s="49" t="s">
        <v>36</v>
      </c>
      <c r="C14021" s="49" t="s">
        <v>38</v>
      </c>
      <c r="D14021" s="49" t="s">
        <v>43</v>
      </c>
      <c r="E14021" s="49" t="s">
        <v>44</v>
      </c>
      <c r="F14021" s="49" t="s">
        <v>45</v>
      </c>
      <c r="G14021" s="49" t="s">
        <v>40</v>
      </c>
    </row>
    <row r="14022" spans="1:7" x14ac:dyDescent="0.25">
      <c r="A14022" s="50" t="s">
        <v>319</v>
      </c>
      <c r="B14022" s="68" t="str">
        <f>VLOOKUP(A14022,'[1]Componentes APUs'!$H$1:$L$25,2,0)</f>
        <v>Ingeniero Residente de Obra</v>
      </c>
      <c r="C14022" s="93">
        <v>0.25</v>
      </c>
      <c r="D14022" s="50">
        <f>VLOOKUP(A14022,'[1]Componentes APUs'!$H$1:$L$25,3,0)</f>
        <v>4</v>
      </c>
      <c r="E14022" s="51">
        <f>VLOOKUP(A14022,'[1]Componentes APUs'!$H$1:$L$25,4,0)</f>
        <v>271142.85714285716</v>
      </c>
      <c r="F14022" s="51">
        <f>VLOOKUP(A14022,'[1]Componentes APUs'!$H$1:$L$25,5,0)</f>
        <v>162685.71428571429</v>
      </c>
      <c r="G14022" s="51">
        <f>ROUNDUP((E14022+F14022)*C14022/E14010,0)</f>
        <v>216915</v>
      </c>
    </row>
    <row r="14023" spans="1:7" x14ac:dyDescent="0.25">
      <c r="A14023" s="50" t="s">
        <v>320</v>
      </c>
      <c r="B14023" s="68" t="str">
        <f>VLOOKUP(A14023,'[1]Componentes APUs'!$H$1:$L$25,2,0)</f>
        <v>Tecnico Supervisor</v>
      </c>
      <c r="C14023" s="93">
        <v>0.25</v>
      </c>
      <c r="D14023" s="50">
        <f>VLOOKUP(A14023,'[1]Componentes APUs'!$H$1:$L$25,3,0)</f>
        <v>2.2999999999999998</v>
      </c>
      <c r="E14023" s="51">
        <f>VLOOKUP(A14023,'[1]Componentes APUs'!$H$1:$L$25,4,0)</f>
        <v>155907.14285714284</v>
      </c>
      <c r="F14023" s="51">
        <f>VLOOKUP(A14023,'[1]Componentes APUs'!$H$1:$L$25,5,0)</f>
        <v>93544.285714285696</v>
      </c>
      <c r="G14023" s="51">
        <f>ROUNDUP((E14023+F14023)*C14023/E14010,0)</f>
        <v>124726</v>
      </c>
    </row>
    <row r="14024" spans="1:7" x14ac:dyDescent="0.25">
      <c r="A14024" s="50" t="s">
        <v>46</v>
      </c>
      <c r="B14024" s="68" t="str">
        <f>VLOOKUP(A14024,'[1]Componentes APUs'!$H$1:$L$25,2,0)</f>
        <v>Tecnico Liniero</v>
      </c>
      <c r="C14024" s="93">
        <v>2</v>
      </c>
      <c r="D14024" s="50">
        <f>VLOOKUP(A14024,'[1]Componentes APUs'!$H$1:$L$25,3,0)</f>
        <v>2</v>
      </c>
      <c r="E14024" s="51">
        <f>VLOOKUP(A14024,'[1]Componentes APUs'!$H$1:$L$25,4,0)</f>
        <v>154619.04761904763</v>
      </c>
      <c r="F14024" s="51">
        <f>VLOOKUP(A14024,'[1]Componentes APUs'!$H$1:$L$25,5,0)</f>
        <v>92771.42857142858</v>
      </c>
      <c r="G14024" s="51">
        <f>ROUNDUP((E14024+F14024)*C14024/E14010,0)</f>
        <v>989562</v>
      </c>
    </row>
    <row r="14025" spans="1:7" x14ac:dyDescent="0.25">
      <c r="A14025" s="50" t="s">
        <v>48</v>
      </c>
      <c r="B14025" s="68" t="str">
        <f>VLOOKUP(A14025,'[1]Componentes APUs'!$H$1:$L$25,2,0)</f>
        <v>Ayudante Calificado</v>
      </c>
      <c r="C14025" s="93">
        <v>2</v>
      </c>
      <c r="D14025" s="50">
        <f>VLOOKUP(A14025,'[1]Componentes APUs'!$H$1:$L$25,3,0)</f>
        <v>1.5</v>
      </c>
      <c r="E14025" s="51">
        <f>VLOOKUP(A14025,'[1]Componentes APUs'!$H$1:$L$25,4,0)</f>
        <v>115964.28571428571</v>
      </c>
      <c r="F14025" s="51">
        <f>VLOOKUP(A14025,'[1]Componentes APUs'!$H$1:$L$25,5,0)</f>
        <v>69578.57142857142</v>
      </c>
      <c r="G14025" s="51">
        <f>ROUNDUP((E14025+F14025)*C14025/E14010,0)</f>
        <v>742172</v>
      </c>
    </row>
    <row r="14026" spans="1:7" x14ac:dyDescent="0.25">
      <c r="A14026" s="50" t="s">
        <v>50</v>
      </c>
      <c r="B14026" s="68" t="str">
        <f>VLOOKUP(A14026,'[1]Componentes APUs'!$H$1:$L$25,2,0)</f>
        <v>Profesional en SST</v>
      </c>
      <c r="C14026" s="93">
        <v>0.25</v>
      </c>
      <c r="D14026" s="50">
        <f>VLOOKUP(A14026,'[1]Componentes APUs'!$H$1:$L$25,3,0)</f>
        <v>2.5</v>
      </c>
      <c r="E14026" s="51">
        <f>VLOOKUP(A14026,'[1]Componentes APUs'!$H$1:$L$25,4,0)</f>
        <v>169464.28571428571</v>
      </c>
      <c r="F14026" s="51">
        <f>VLOOKUP(A14026,'[1]Componentes APUs'!$H$1:$L$25,5,0)</f>
        <v>101678.57142857142</v>
      </c>
      <c r="G14026" s="51">
        <f>ROUNDUP((E14026+F14026)*C14026/E14010,0)</f>
        <v>135572</v>
      </c>
    </row>
    <row r="14027" spans="1:7" x14ac:dyDescent="0.25">
      <c r="A14027" s="50" t="s">
        <v>52</v>
      </c>
      <c r="B14027" s="68" t="str">
        <f>VLOOKUP(A14027,'[1]Componentes APUs'!$H$1:$L$25,2,0)</f>
        <v>Ayudante No Calificado</v>
      </c>
      <c r="C14027" s="93">
        <v>0</v>
      </c>
      <c r="D14027" s="50">
        <f>VLOOKUP(A14027,'[1]Componentes APUs'!$H$1:$L$25,3,0)</f>
        <v>1</v>
      </c>
      <c r="E14027" s="51">
        <f>VLOOKUP(A14027,'[1]Componentes APUs'!$H$1:$L$25,4,0)</f>
        <v>77309.523809523816</v>
      </c>
      <c r="F14027" s="51">
        <f>VLOOKUP(A14027,'[1]Componentes APUs'!$H$1:$L$25,5,0)</f>
        <v>46385.71428571429</v>
      </c>
      <c r="G14027" s="51">
        <f>ROUNDUP((E14027+F14027)*C14027/E14010,0)</f>
        <v>0</v>
      </c>
    </row>
    <row r="14028" spans="1:7" x14ac:dyDescent="0.25">
      <c r="A14028" s="219" t="s">
        <v>56</v>
      </c>
      <c r="B14028" s="219"/>
      <c r="C14028" s="219"/>
      <c r="D14028" s="219"/>
      <c r="E14028" s="219"/>
      <c r="F14028" s="219"/>
      <c r="G14028" s="52">
        <f>SUM(G14022:G14027)</f>
        <v>2208947</v>
      </c>
    </row>
    <row r="14029" spans="1:7" x14ac:dyDescent="0.25">
      <c r="A14029" s="56"/>
      <c r="B14029" s="57"/>
      <c r="C14029" s="57"/>
      <c r="D14029" s="57"/>
      <c r="E14029" s="57"/>
      <c r="F14029" s="57"/>
      <c r="G14029" s="58"/>
    </row>
    <row r="14030" spans="1:7" x14ac:dyDescent="0.25">
      <c r="A14030" s="219" t="s">
        <v>57</v>
      </c>
      <c r="B14030" s="219"/>
      <c r="C14030" s="219"/>
      <c r="D14030" s="219"/>
      <c r="E14030" s="219"/>
      <c r="F14030" s="219"/>
      <c r="G14030" s="219"/>
    </row>
    <row r="14031" spans="1:7" x14ac:dyDescent="0.25">
      <c r="A14031" s="49" t="s">
        <v>35</v>
      </c>
      <c r="B14031" s="219" t="s">
        <v>36</v>
      </c>
      <c r="C14031" s="219"/>
      <c r="D14031" s="49" t="s">
        <v>37</v>
      </c>
      <c r="E14031" s="49" t="s">
        <v>38</v>
      </c>
      <c r="F14031" s="49" t="s">
        <v>39</v>
      </c>
      <c r="G14031" s="49" t="s">
        <v>40</v>
      </c>
    </row>
    <row r="14032" spans="1:7" x14ac:dyDescent="0.25">
      <c r="A14032" s="50" t="s">
        <v>326</v>
      </c>
      <c r="B14032" s="220" t="str">
        <f>VLOOKUP(A14032,'[1]Componentes APUs'!$S$1:$V$10,2,0)</f>
        <v>Juego Llaves</v>
      </c>
      <c r="C14032" s="220"/>
      <c r="D14032" s="50" t="s">
        <v>18</v>
      </c>
      <c r="E14032" s="50">
        <v>2</v>
      </c>
      <c r="F14032" s="51">
        <f>VLOOKUP(A14032,'[1]Componentes APUs'!$S$1:$V$10,4,0)</f>
        <v>9167</v>
      </c>
      <c r="G14032" s="51">
        <f>ROUNDUP(F14032*((E14032/21)/E14010),0)</f>
        <v>1747</v>
      </c>
    </row>
    <row r="14033" spans="1:7" x14ac:dyDescent="0.25">
      <c r="A14033" s="50" t="s">
        <v>58</v>
      </c>
      <c r="B14033" s="220" t="str">
        <f>VLOOKUP(A14033,'[1]Componentes APUs'!$S$1:$V$10,2,0)</f>
        <v>Manila de servicio</v>
      </c>
      <c r="C14033" s="220"/>
      <c r="D14033" s="50" t="s">
        <v>18</v>
      </c>
      <c r="E14033" s="50">
        <v>2</v>
      </c>
      <c r="F14033" s="51">
        <f>VLOOKUP(A14033,'[1]Componentes APUs'!$S$1:$V$10,4,0)</f>
        <v>2333</v>
      </c>
      <c r="G14033" s="51">
        <f>ROUNDUP(F14033*((E14033/21)/E14010),0)</f>
        <v>445</v>
      </c>
    </row>
    <row r="14034" spans="1:7" x14ac:dyDescent="0.25">
      <c r="A14034" s="50" t="s">
        <v>327</v>
      </c>
      <c r="B14034" s="220" t="str">
        <f>VLOOKUP(A14034,'[1]Componentes APUs'!$S$1:$V$10,2,0)</f>
        <v>Tula portaherramientas</v>
      </c>
      <c r="C14034" s="220"/>
      <c r="D14034" s="50" t="s">
        <v>18</v>
      </c>
      <c r="E14034" s="50">
        <v>2</v>
      </c>
      <c r="F14034" s="51">
        <f>VLOOKUP(A14034,'[1]Componentes APUs'!$S$1:$V$10,4,0)</f>
        <v>1250</v>
      </c>
      <c r="G14034" s="51">
        <f>ROUNDUP(F14034*((E14034/21)/E14010),0)</f>
        <v>239</v>
      </c>
    </row>
    <row r="14035" spans="1:7" x14ac:dyDescent="0.25">
      <c r="A14035" s="50" t="s">
        <v>60</v>
      </c>
      <c r="B14035" s="220" t="str">
        <f>VLOOKUP(A14035,'[1]Componentes APUs'!$S$1:$V$10,2,0)</f>
        <v>Agarradoras</v>
      </c>
      <c r="C14035" s="220"/>
      <c r="D14035" s="50" t="s">
        <v>18</v>
      </c>
      <c r="E14035" s="50">
        <v>0</v>
      </c>
      <c r="F14035" s="51">
        <f>VLOOKUP(A14035,'[1]Componentes APUs'!$S$1:$V$10,4,0)</f>
        <v>125000</v>
      </c>
      <c r="G14035" s="51">
        <f>ROUNDUP(F14035*((E14035/21)/E14010),0)</f>
        <v>0</v>
      </c>
    </row>
    <row r="14036" spans="1:7" x14ac:dyDescent="0.25">
      <c r="A14036" s="50" t="s">
        <v>62</v>
      </c>
      <c r="B14036" s="220" t="str">
        <f>VLOOKUP(A14036,'[1]Componentes APUs'!$S$1:$V$10,2,0)</f>
        <v>Templadoras</v>
      </c>
      <c r="C14036" s="220"/>
      <c r="D14036" s="50" t="s">
        <v>18</v>
      </c>
      <c r="E14036" s="50">
        <v>0</v>
      </c>
      <c r="F14036" s="51">
        <f>VLOOKUP(A14036,'[1]Componentes APUs'!$S$1:$V$10,4,0)</f>
        <v>250000</v>
      </c>
      <c r="G14036" s="51">
        <f>ROUNDUP(F14036*((E14036/21)/E14010),0)</f>
        <v>0</v>
      </c>
    </row>
    <row r="14037" spans="1:7" x14ac:dyDescent="0.25">
      <c r="A14037" s="50" t="s">
        <v>328</v>
      </c>
      <c r="B14037" s="220" t="str">
        <f>VLOOKUP(A14037,'[1]Componentes APUs'!$S$1:$V$10,2,0)</f>
        <v>Herramienta Menor</v>
      </c>
      <c r="C14037" s="220"/>
      <c r="D14037" s="50" t="s">
        <v>18</v>
      </c>
      <c r="E14037" s="50">
        <v>2</v>
      </c>
      <c r="F14037" s="51">
        <f>VLOOKUP(A14037,'[1]Componentes APUs'!$S$1:$V$10,4,0)</f>
        <v>75758</v>
      </c>
      <c r="G14037" s="51">
        <f>ROUNDUP(F14037*((E14037/21)/E14010),0)</f>
        <v>14431</v>
      </c>
    </row>
    <row r="14038" spans="1:7" x14ac:dyDescent="0.25">
      <c r="A14038" s="219" t="s">
        <v>69</v>
      </c>
      <c r="B14038" s="219"/>
      <c r="C14038" s="219"/>
      <c r="D14038" s="219"/>
      <c r="E14038" s="219"/>
      <c r="F14038" s="219"/>
      <c r="G14038" s="52">
        <f>SUM(G14032:G14037)</f>
        <v>16862</v>
      </c>
    </row>
    <row r="14039" spans="1:7" x14ac:dyDescent="0.25">
      <c r="A14039" s="56"/>
      <c r="B14039" s="57"/>
      <c r="C14039" s="57"/>
      <c r="D14039" s="57"/>
      <c r="E14039" s="57"/>
      <c r="F14039" s="57"/>
      <c r="G14039" s="58"/>
    </row>
    <row r="14040" spans="1:7" x14ac:dyDescent="0.25">
      <c r="A14040" s="219" t="s">
        <v>70</v>
      </c>
      <c r="B14040" s="219"/>
      <c r="C14040" s="219"/>
      <c r="D14040" s="219"/>
      <c r="E14040" s="219"/>
      <c r="F14040" s="219"/>
      <c r="G14040" s="219"/>
    </row>
    <row r="14041" spans="1:7" x14ac:dyDescent="0.25">
      <c r="A14041" s="49" t="s">
        <v>35</v>
      </c>
      <c r="B14041" s="219" t="s">
        <v>36</v>
      </c>
      <c r="C14041" s="219"/>
      <c r="D14041" s="49" t="s">
        <v>37</v>
      </c>
      <c r="E14041" s="49" t="s">
        <v>38</v>
      </c>
      <c r="F14041" s="49" t="s">
        <v>39</v>
      </c>
      <c r="G14041" s="49" t="s">
        <v>40</v>
      </c>
    </row>
    <row r="14042" spans="1:7" x14ac:dyDescent="0.25">
      <c r="A14042" s="50" t="s">
        <v>71</v>
      </c>
      <c r="B14042" s="71" t="str">
        <f>VLOOKUP(A14042,'[1]Componentes APUs'!$A$1:$D$14,2,0)</f>
        <v>Camisa indigo sin partes metalicas</v>
      </c>
      <c r="C14042" s="71"/>
      <c r="D14042" s="50" t="str">
        <f>VLOOKUP(A14042,'[1]Componentes APUs'!$A$1:$D$14,3,0)</f>
        <v>U</v>
      </c>
      <c r="E14042" s="50">
        <f>SUM(C14022:C14027)</f>
        <v>4.75</v>
      </c>
      <c r="F14042" s="51">
        <f>VLOOKUP(A14042,'[1]Componentes APUs'!$A$1:$D$14,4,0)</f>
        <v>8585.8585858585866</v>
      </c>
      <c r="G14042" s="51">
        <f>ROUNDUP(F14042*(E14042/21)/E14010,0)</f>
        <v>3885</v>
      </c>
    </row>
    <row r="14043" spans="1:7" x14ac:dyDescent="0.25">
      <c r="A14043" s="69" t="s">
        <v>73</v>
      </c>
      <c r="B14043" s="72" t="str">
        <f>VLOOKUP(A14043,'[1]Componentes APUs'!$A$1:$D$14,2,0)</f>
        <v>Bota de seguridad dielectrica</v>
      </c>
      <c r="C14043" s="73"/>
      <c r="D14043" s="70" t="str">
        <f>VLOOKUP(A14043,'[1]Componentes APUs'!$A$1:$D$14,3,0)</f>
        <v>Par</v>
      </c>
      <c r="E14043" s="50">
        <f>SUM(C14022:C14027)</f>
        <v>4.75</v>
      </c>
      <c r="F14043" s="51">
        <f>VLOOKUP(A14043,'[1]Componentes APUs'!$A$1:$D$14,4,0)</f>
        <v>7500</v>
      </c>
      <c r="G14043" s="51">
        <f>ROUNDUP(F14043*(E14043/21)/E14010,0)</f>
        <v>3393</v>
      </c>
    </row>
    <row r="14044" spans="1:7" x14ac:dyDescent="0.25">
      <c r="A14044" s="50" t="s">
        <v>76</v>
      </c>
      <c r="B14044" s="72" t="str">
        <f>VLOOKUP(A14044,'[1]Componentes APUs'!$A$1:$D$14,2,0)</f>
        <v>Casco dielectrico Tipo 1 Clase E con barbuquejo</v>
      </c>
      <c r="C14044" s="73"/>
      <c r="D14044" s="50" t="str">
        <f>VLOOKUP(A14044,'[1]Componentes APUs'!$A$1:$D$14,3,0)</f>
        <v>U</v>
      </c>
      <c r="E14044" s="50">
        <f>C14022+C14023+C14025+C14026+C14027+IF(A14024&lt;&gt;"MO-3",C14024,0)</f>
        <v>2.75</v>
      </c>
      <c r="F14044" s="51">
        <f>VLOOKUP(A14044,'[1]Componentes APUs'!$A$1:$D$14,4,0)</f>
        <v>10101.010101010101</v>
      </c>
      <c r="G14044" s="51">
        <f>ROUNDUP(F14044*(E14044/21)/E14010,0)</f>
        <v>2646</v>
      </c>
    </row>
    <row r="14045" spans="1:7" x14ac:dyDescent="0.25">
      <c r="A14045" s="69" t="s">
        <v>77</v>
      </c>
      <c r="B14045" s="72" t="str">
        <f>VLOOKUP(A14045,'[1]Componentes APUs'!$A$1:$D$14,2,0)</f>
        <v>Correa plastica y antiflama</v>
      </c>
      <c r="C14045" s="73"/>
      <c r="D14045" s="50" t="str">
        <f>VLOOKUP(A14045,'[1]Componentes APUs'!$A$1:$D$14,3,0)</f>
        <v>U</v>
      </c>
      <c r="E14045" s="50">
        <f>SUM(C14022:C14027)</f>
        <v>4.75</v>
      </c>
      <c r="F14045" s="51">
        <f>VLOOKUP(A14045,'[1]Componentes APUs'!$A$1:$D$14,4,0)</f>
        <v>3787.878787878788</v>
      </c>
      <c r="G14045" s="51">
        <f>ROUNDUP(F14045*(E14045/21)/E14010,0)</f>
        <v>1714</v>
      </c>
    </row>
    <row r="14046" spans="1:7" x14ac:dyDescent="0.25">
      <c r="A14046" s="50" t="s">
        <v>79</v>
      </c>
      <c r="B14046" s="72" t="str">
        <f>VLOOKUP(A14046,'[1]Componentes APUs'!$A$1:$D$14,2,0)</f>
        <v>Gafas protectoras filtro UV</v>
      </c>
      <c r="C14046" s="73"/>
      <c r="D14046" s="50" t="str">
        <f>VLOOKUP(A14046,'[1]Componentes APUs'!$A$1:$D$14,3,0)</f>
        <v>U</v>
      </c>
      <c r="E14046" s="50">
        <f>SUM(C14022:C14027)</f>
        <v>4.75</v>
      </c>
      <c r="F14046" s="51">
        <f>VLOOKUP(A14046,'[1]Componentes APUs'!$A$1:$D$14,4,0)</f>
        <v>2777.7777777777778</v>
      </c>
      <c r="G14046" s="51">
        <f>ROUNDUP(F14046*(E14046/21)/E14010,0)</f>
        <v>1257</v>
      </c>
    </row>
    <row r="14047" spans="1:7" x14ac:dyDescent="0.25">
      <c r="A14047" s="69" t="s">
        <v>402</v>
      </c>
      <c r="B14047" s="72" t="str">
        <f>VLOOKUP(A14047,'[1]Componentes APUs'!$A$1:$D$14,2,0)</f>
        <v>Bota de seguridad PVC dielectrica</v>
      </c>
      <c r="C14047" s="73"/>
      <c r="D14047" s="50" t="str">
        <f>VLOOKUP(A14047,'[1]Componentes APUs'!$A$1:$D$14,3,0)</f>
        <v>Par</v>
      </c>
      <c r="E14047" s="50">
        <f>SUM(C14022:C14027)</f>
        <v>4.75</v>
      </c>
      <c r="F14047" s="51">
        <f>VLOOKUP(A14047,'[1]Componentes APUs'!$A$1:$D$14,4,0)</f>
        <v>2916.6666666666665</v>
      </c>
      <c r="G14047" s="51">
        <f>ROUNDUP(F14047*(E14047/21)/E14010,0)</f>
        <v>1320</v>
      </c>
    </row>
    <row r="14048" spans="1:7" x14ac:dyDescent="0.25">
      <c r="A14048" s="50" t="s">
        <v>403</v>
      </c>
      <c r="B14048" s="72" t="str">
        <f>VLOOKUP(A14048,'[1]Componentes APUs'!$A$1:$D$14,2,0)</f>
        <v>Capuchon</v>
      </c>
      <c r="C14048" s="73"/>
      <c r="D14048" s="50" t="str">
        <f>VLOOKUP(A14048,'[1]Componentes APUs'!$A$1:$D$14,3,0)</f>
        <v>U</v>
      </c>
      <c r="E14048" s="50">
        <f>SUM(C14022:C14027)</f>
        <v>4.75</v>
      </c>
      <c r="F14048" s="51">
        <f>VLOOKUP(A14048,'[1]Componentes APUs'!$A$1:$D$14,4,0)</f>
        <v>2525.2525252525252</v>
      </c>
      <c r="G14048" s="51">
        <f>ROUNDUP(F14048*(E14048/21)/E14010,0)</f>
        <v>1143</v>
      </c>
    </row>
    <row r="14049" spans="1:7" x14ac:dyDescent="0.25">
      <c r="A14049" s="69" t="s">
        <v>81</v>
      </c>
      <c r="B14049" s="72" t="str">
        <f>VLOOKUP(A14049,'[1]Componentes APUs'!$A$1:$D$14,2,0)</f>
        <v>Guantes Protectores  - ingeniero reforzados</v>
      </c>
      <c r="C14049" s="73"/>
      <c r="D14049" s="50" t="str">
        <f>VLOOKUP(A14049,'[1]Componentes APUs'!$A$1:$D$14,3,0)</f>
        <v>Par</v>
      </c>
      <c r="E14049" s="50">
        <f>C14024+C14025+C14027</f>
        <v>4</v>
      </c>
      <c r="F14049" s="51">
        <f>VLOOKUP(A14049,'[1]Componentes APUs'!$A$1:$D$14,4,0)</f>
        <v>2525.2525252525252</v>
      </c>
      <c r="G14049" s="51">
        <f>ROUNDUP(F14049*(E14049/21)/E14010,0)</f>
        <v>963</v>
      </c>
    </row>
    <row r="14050" spans="1:7" x14ac:dyDescent="0.25">
      <c r="A14050" s="50" t="s">
        <v>83</v>
      </c>
      <c r="B14050" s="72" t="str">
        <f>VLOOKUP(A14050,'[1]Componentes APUs'!$A$1:$D$14,2,0)</f>
        <v>Impermeable (pantalon camisa)</v>
      </c>
      <c r="C14050" s="73"/>
      <c r="D14050" s="50" t="str">
        <f>VLOOKUP(A14050,'[1]Componentes APUs'!$A$1:$D$14,3,0)</f>
        <v>U</v>
      </c>
      <c r="E14050" s="50">
        <f>SUM(C14022:C14027)</f>
        <v>4.75</v>
      </c>
      <c r="F14050" s="51">
        <f>VLOOKUP(A14050,'[1]Componentes APUs'!$A$1:$D$14,4,0)</f>
        <v>3750</v>
      </c>
      <c r="G14050" s="51">
        <f>ROUNDUP(F14050*(E14050/21)/E14010,0)</f>
        <v>1697</v>
      </c>
    </row>
    <row r="14051" spans="1:7" x14ac:dyDescent="0.25">
      <c r="A14051" s="69" t="s">
        <v>85</v>
      </c>
      <c r="B14051" s="72" t="str">
        <f>VLOOKUP(A14051,'[1]Componentes APUs'!$A$1:$D$14,2,0)</f>
        <v>Jean Dielectrico</v>
      </c>
      <c r="C14051" s="73"/>
      <c r="D14051" s="50" t="str">
        <f>VLOOKUP(A14051,'[1]Componentes APUs'!$A$1:$D$14,3,0)</f>
        <v>U</v>
      </c>
      <c r="E14051" s="50">
        <f>SUM(C14022:C14027)</f>
        <v>4.75</v>
      </c>
      <c r="F14051" s="51">
        <f>VLOOKUP(A14051,'[1]Componentes APUs'!$A$1:$D$14,4,0)</f>
        <v>7575.757575757576</v>
      </c>
      <c r="G14051" s="51">
        <f>ROUNDUP(F14051*(E14051/21)/E14010,0)</f>
        <v>3428</v>
      </c>
    </row>
    <row r="14052" spans="1:7" x14ac:dyDescent="0.25">
      <c r="A14052" s="50" t="s">
        <v>87</v>
      </c>
      <c r="B14052" s="72" t="str">
        <f>VLOOKUP(A14052,'[1]Componentes APUs'!$A$1:$D$14,2,0)</f>
        <v>Casco dielectrico Tipo 2 Clase E con barboquejo</v>
      </c>
      <c r="C14052" s="73"/>
      <c r="D14052" s="50" t="str">
        <f>VLOOKUP(A14052,'[1]Componentes APUs'!$A$1:$D$14,3,0)</f>
        <v>U</v>
      </c>
      <c r="E14052" s="53">
        <f>IF(A14024="MO-3",C14024,0)</f>
        <v>2</v>
      </c>
      <c r="F14052" s="51">
        <f>VLOOKUP(A14052,'[1]Componentes APUs'!$A$1:$D$14,4,0)</f>
        <v>7500</v>
      </c>
      <c r="G14052" s="51">
        <f>ROUNDUP(F14052*(E14052/21)/E14010,0)</f>
        <v>1429</v>
      </c>
    </row>
    <row r="14053" spans="1:7" x14ac:dyDescent="0.25">
      <c r="A14053" s="69" t="s">
        <v>89</v>
      </c>
      <c r="B14053" s="72" t="str">
        <f>VLOOKUP(A14053,'[1]Componentes APUs'!$A$1:$D$14,2,0)</f>
        <v>Kit de rescate para trabajo en alturas</v>
      </c>
      <c r="C14053" s="73"/>
      <c r="D14053" s="50" t="str">
        <f>VLOOKUP(A14053,'[1]Componentes APUs'!$A$1:$D$14,3,0)</f>
        <v>U</v>
      </c>
      <c r="E14053" s="50">
        <f>IF(AND(A14024="MO-3",C14024=2),1,0)</f>
        <v>1</v>
      </c>
      <c r="F14053" s="51">
        <f>VLOOKUP(A14053,'[1]Componentes APUs'!$A$1:$D$14,4,0)</f>
        <v>37500</v>
      </c>
      <c r="G14053" s="51">
        <f>ROUNDUP(F14053*(E14053/21)/E14010,0)</f>
        <v>3572</v>
      </c>
    </row>
    <row r="14054" spans="1:7" x14ac:dyDescent="0.25">
      <c r="A14054" s="50" t="s">
        <v>91</v>
      </c>
      <c r="B14054" s="72" t="str">
        <f>VLOOKUP(A14054,'[1]Componentes APUs'!$A$1:$D$14,2,0)</f>
        <v>Equipo completo para trabajo en alturas con pretales (Arnes dielectrico, 1 mosqueton de seguridad, tie off dielectrico, eslinga de posicionamiento, juego de pretales)</v>
      </c>
      <c r="C14054" s="73"/>
      <c r="D14054" s="50" t="str">
        <f>VLOOKUP(A14054,'[1]Componentes APUs'!$A$1:$D$14,3,0)</f>
        <v>U</v>
      </c>
      <c r="E14054" s="50">
        <f>IF(A14024="MO-3",C14024,0)</f>
        <v>2</v>
      </c>
      <c r="F14054" s="51">
        <f>VLOOKUP(A14054,'[1]Componentes APUs'!$A$1:$D$14,4,0)</f>
        <v>26041.666666666668</v>
      </c>
      <c r="G14054" s="51">
        <f>ROUNDUP(F14054*(E14054/21)/E14010,0)</f>
        <v>4961</v>
      </c>
    </row>
    <row r="14055" spans="1:7" x14ac:dyDescent="0.25">
      <c r="A14055" s="219" t="s">
        <v>95</v>
      </c>
      <c r="B14055" s="219"/>
      <c r="C14055" s="219"/>
      <c r="D14055" s="219"/>
      <c r="E14055" s="219"/>
      <c r="F14055" s="219"/>
      <c r="G14055" s="52">
        <f>SUM(G14042:G14054)</f>
        <v>31408</v>
      </c>
    </row>
    <row r="14056" spans="1:7" x14ac:dyDescent="0.25">
      <c r="A14056" s="56"/>
      <c r="B14056" s="57"/>
      <c r="C14056" s="57"/>
      <c r="D14056" s="57"/>
      <c r="E14056" s="57"/>
      <c r="F14056" s="57"/>
      <c r="G14056" s="58"/>
    </row>
    <row r="14057" spans="1:7" x14ac:dyDescent="0.25">
      <c r="A14057" s="219" t="s">
        <v>96</v>
      </c>
      <c r="B14057" s="219"/>
      <c r="C14057" s="219"/>
      <c r="D14057" s="219"/>
      <c r="E14057" s="219"/>
      <c r="F14057" s="219"/>
      <c r="G14057" s="219"/>
    </row>
    <row r="14058" spans="1:7" x14ac:dyDescent="0.25">
      <c r="A14058" s="49" t="s">
        <v>35</v>
      </c>
      <c r="B14058" s="225" t="s">
        <v>36</v>
      </c>
      <c r="C14058" s="225"/>
      <c r="D14058" s="49" t="s">
        <v>37</v>
      </c>
      <c r="E14058" s="49" t="s">
        <v>38</v>
      </c>
      <c r="F14058" s="49" t="s">
        <v>39</v>
      </c>
      <c r="G14058" s="49" t="s">
        <v>40</v>
      </c>
    </row>
    <row r="14059" spans="1:7" x14ac:dyDescent="0.25">
      <c r="A14059" s="69" t="s">
        <v>97</v>
      </c>
      <c r="B14059" s="72" t="str">
        <f>VLOOKUP(A14059,'[1]Componentes APUs'!$N$1:$Q$30,2,0)</f>
        <v>Camioneta</v>
      </c>
      <c r="C14059" s="73"/>
      <c r="D14059" s="70" t="str">
        <f>VLOOKUP(A14059,'[1]Componentes APUs'!$N$1:$Q$30,3,0)</f>
        <v>U</v>
      </c>
      <c r="E14059" s="50">
        <v>1</v>
      </c>
      <c r="F14059" s="51">
        <f>VLOOKUP(A14059,'[1]Componentes APUs'!$N$1:$Q$30,4,0)</f>
        <v>5500000</v>
      </c>
      <c r="G14059" s="51">
        <f>IFERROR(ROUNDUP(F14059*(E14059/21)/E14010,0),"-")</f>
        <v>523810</v>
      </c>
    </row>
    <row r="14060" spans="1:7" x14ac:dyDescent="0.25">
      <c r="A14060" s="50" t="s">
        <v>321</v>
      </c>
      <c r="B14060" s="72" t="str">
        <f>VLOOKUP(A14060,'[1]Componentes APUs'!$N$1:$Q$30,2,0)</f>
        <v>Grúa Hidráulica</v>
      </c>
      <c r="C14060" s="73"/>
      <c r="D14060" s="70" t="str">
        <f>VLOOKUP(A14060,'[1]Componentes APUs'!$N$1:$Q$30,3,0)</f>
        <v>U</v>
      </c>
      <c r="E14060" s="50">
        <v>0</v>
      </c>
      <c r="F14060" s="51">
        <f>VLOOKUP(A14060,'[1]Componentes APUs'!$N$1:$Q$30,4,0)</f>
        <v>21000000</v>
      </c>
      <c r="G14060" s="51">
        <f>IFERROR(ROUNDUP(F14060*(E14060/21)/E14010,0),"-")</f>
        <v>0</v>
      </c>
    </row>
    <row r="14061" spans="1:7" x14ac:dyDescent="0.25">
      <c r="A14061" s="69" t="s">
        <v>322</v>
      </c>
      <c r="B14061" s="72" t="str">
        <f>VLOOKUP(A14061,'[1]Componentes APUs'!$N$1:$Q$30,2,0)</f>
        <v>Camabaja</v>
      </c>
      <c r="C14061" s="73"/>
      <c r="D14061" s="70" t="str">
        <f>VLOOKUP(A14061,'[1]Componentes APUs'!$N$1:$Q$30,3,0)</f>
        <v>TON/KM</v>
      </c>
      <c r="E14061" s="50">
        <v>0</v>
      </c>
      <c r="F14061" s="51">
        <f>VLOOKUP(A14061,'[1]Componentes APUs'!$N$1:$Q$30,4,0)</f>
        <v>611</v>
      </c>
      <c r="G14061" s="51">
        <f>IFERROR(ROUNDUP(F14061*(E14061/21)/E14010,0),"-")</f>
        <v>0</v>
      </c>
    </row>
    <row r="14062" spans="1:7" x14ac:dyDescent="0.25">
      <c r="A14062" s="50" t="s">
        <v>323</v>
      </c>
      <c r="B14062" s="72" t="str">
        <f>VLOOKUP(A14062,'[1]Componentes APUs'!$N$1:$Q$30,2,0)</f>
        <v>Volqueta</v>
      </c>
      <c r="C14062" s="73"/>
      <c r="D14062" s="70" t="str">
        <f>VLOOKUP(A14062,'[1]Componentes APUs'!$N$1:$Q$30,3,0)</f>
        <v>U</v>
      </c>
      <c r="E14062" s="50">
        <v>0</v>
      </c>
      <c r="F14062" s="51">
        <f>VLOOKUP(A14062,'[1]Componentes APUs'!$N$1:$Q$30,4,0)</f>
        <v>18900000</v>
      </c>
      <c r="G14062" s="51">
        <f>IFERROR(ROUNDUP(F14062*(E14062/21)/E14010,0),"-")</f>
        <v>0</v>
      </c>
    </row>
    <row r="14063" spans="1:7" x14ac:dyDescent="0.25">
      <c r="A14063" s="69" t="s">
        <v>324</v>
      </c>
      <c r="B14063" s="72" t="str">
        <f>VLOOKUP(A14063,'[1]Componentes APUs'!$N$1:$Q$30,2,0)</f>
        <v>Retroexcavadora</v>
      </c>
      <c r="C14063" s="73"/>
      <c r="D14063" s="70" t="str">
        <f>VLOOKUP(A14063,'[1]Componentes APUs'!$N$1:$Q$30,3,0)</f>
        <v>U</v>
      </c>
      <c r="E14063" s="50">
        <v>0</v>
      </c>
      <c r="F14063" s="51">
        <f>VLOOKUP(A14063,'[1]Componentes APUs'!$N$1:$Q$30,4,0)</f>
        <v>1494459.54</v>
      </c>
      <c r="G14063" s="51">
        <f>IFERROR(ROUNDUP(F14063*(E14063/21)/E14010,0),"-")</f>
        <v>0</v>
      </c>
    </row>
    <row r="14064" spans="1:7" x14ac:dyDescent="0.25">
      <c r="A14064" s="219" t="s">
        <v>99</v>
      </c>
      <c r="B14064" s="219"/>
      <c r="C14064" s="219"/>
      <c r="D14064" s="219"/>
      <c r="E14064" s="219"/>
      <c r="F14064" s="219"/>
      <c r="G14064" s="52">
        <f>SUM(G14059:G14063)</f>
        <v>523810</v>
      </c>
    </row>
    <row r="14065" spans="1:7" x14ac:dyDescent="0.25">
      <c r="A14065" s="56"/>
      <c r="B14065" s="57"/>
      <c r="C14065" s="57"/>
      <c r="D14065" s="57"/>
      <c r="E14065" s="57"/>
      <c r="F14065" s="57"/>
      <c r="G14065" s="58"/>
    </row>
    <row r="14066" spans="1:7" x14ac:dyDescent="0.25">
      <c r="A14066" s="219" t="s">
        <v>1516</v>
      </c>
      <c r="B14066" s="219"/>
      <c r="C14066" s="219"/>
      <c r="D14066" s="219"/>
      <c r="E14066" s="219"/>
      <c r="F14066" s="219"/>
      <c r="G14066" s="52">
        <f>G14064+G14055+G14038+G14028+G14018</f>
        <v>9452335.8000000007</v>
      </c>
    </row>
    <row r="14067" spans="1:7" x14ac:dyDescent="0.25">
      <c r="A14067" s="59"/>
      <c r="B14067" s="60"/>
      <c r="C14067" s="60"/>
      <c r="D14067" s="60"/>
      <c r="E14067" s="57"/>
      <c r="F14067" s="57"/>
      <c r="G14067" s="58"/>
    </row>
    <row r="14068" spans="1:7" x14ac:dyDescent="0.25">
      <c r="A14068" s="64"/>
      <c r="D14068" s="55"/>
      <c r="E14068" s="49" t="s">
        <v>25</v>
      </c>
      <c r="F14068" s="54">
        <v>0.15</v>
      </c>
      <c r="G14068" s="51">
        <f>G14066*F14068</f>
        <v>1417850.37</v>
      </c>
    </row>
    <row r="14069" spans="1:7" x14ac:dyDescent="0.25">
      <c r="A14069" s="64"/>
      <c r="D14069" s="55"/>
      <c r="E14069" s="49" t="s">
        <v>26</v>
      </c>
      <c r="F14069" s="54">
        <v>0.05</v>
      </c>
      <c r="G14069" s="51">
        <f>G14066*F14069</f>
        <v>472616.79000000004</v>
      </c>
    </row>
    <row r="14070" spans="1:7" x14ac:dyDescent="0.25">
      <c r="A14070" s="61"/>
      <c r="B14070" s="65"/>
      <c r="C14070" s="65"/>
      <c r="D14070" s="62"/>
      <c r="E14070" s="49" t="s">
        <v>27</v>
      </c>
      <c r="F14070" s="54">
        <v>0.05</v>
      </c>
      <c r="G14070" s="51">
        <f>G14066*F14070</f>
        <v>472616.79000000004</v>
      </c>
    </row>
    <row r="14071" spans="1:7" x14ac:dyDescent="0.25">
      <c r="A14071" s="61"/>
      <c r="B14071" s="62"/>
      <c r="C14071" s="62"/>
      <c r="D14071" s="62"/>
      <c r="E14071" s="62"/>
      <c r="F14071" s="62"/>
      <c r="G14071" s="63"/>
    </row>
    <row r="14072" spans="1:7" x14ac:dyDescent="0.25">
      <c r="A14072" s="219" t="s">
        <v>1517</v>
      </c>
      <c r="B14072" s="219"/>
      <c r="C14072" s="219"/>
      <c r="D14072" s="219"/>
      <c r="E14072" s="219"/>
      <c r="F14072" s="219"/>
      <c r="G14072" s="52">
        <f>G14066+G14068+G14069+G14070</f>
        <v>11815419.75</v>
      </c>
    </row>
    <row r="14073" spans="1:7" x14ac:dyDescent="0.25">
      <c r="A14073" s="59"/>
      <c r="B14073" s="60"/>
      <c r="C14073" s="60"/>
      <c r="D14073" s="60"/>
      <c r="E14073" s="57"/>
      <c r="F14073" s="57"/>
      <c r="G14073" s="58"/>
    </row>
    <row r="14074" spans="1:7" x14ac:dyDescent="0.25">
      <c r="A14074" s="64"/>
      <c r="D14074" s="55"/>
      <c r="E14074" s="49" t="s">
        <v>102</v>
      </c>
      <c r="F14074" s="49" t="s">
        <v>103</v>
      </c>
      <c r="G14074" s="51">
        <f>G14070*19%</f>
        <v>89797.190100000007</v>
      </c>
    </row>
    <row r="14075" spans="1:7" x14ac:dyDescent="0.25">
      <c r="A14075" s="61"/>
      <c r="B14075" s="62"/>
      <c r="C14075" s="62"/>
      <c r="D14075" s="62"/>
      <c r="E14075" s="57"/>
      <c r="F14075" s="57"/>
      <c r="G14075" s="58"/>
    </row>
    <row r="14076" spans="1:7" x14ac:dyDescent="0.25">
      <c r="A14076" s="219" t="s">
        <v>104</v>
      </c>
      <c r="B14076" s="219"/>
      <c r="C14076" s="219"/>
      <c r="D14076" s="219"/>
      <c r="E14076" s="219"/>
      <c r="F14076" s="219"/>
      <c r="G14076" s="52">
        <f>G14074+G14072</f>
        <v>11905216.940099999</v>
      </c>
    </row>
    <row r="14078" spans="1:7" x14ac:dyDescent="0.25">
      <c r="A14078" s="74" t="s">
        <v>29</v>
      </c>
      <c r="B14078" s="226" t="s">
        <v>30</v>
      </c>
      <c r="C14078" s="226"/>
      <c r="D14078" s="74" t="s">
        <v>31</v>
      </c>
      <c r="E14078" s="74" t="s">
        <v>32</v>
      </c>
      <c r="F14078" s="74" t="s">
        <v>189</v>
      </c>
      <c r="G14078" s="74" t="s">
        <v>33</v>
      </c>
    </row>
    <row r="14079" spans="1:7" x14ac:dyDescent="0.25">
      <c r="A14079" s="50" t="str">
        <f>Presupuesto!B255</f>
        <v>005_N2</v>
      </c>
      <c r="B14079" s="220" t="str">
        <f>Presupuesto!C255</f>
        <v>SUMINISTRO E INSTALACIÓN DE HERRAJES PARA BAY-PASS N2</v>
      </c>
      <c r="C14079" s="220"/>
      <c r="D14079" s="50" t="s">
        <v>18</v>
      </c>
      <c r="E14079" s="93">
        <v>0.5</v>
      </c>
      <c r="F14079" s="50"/>
      <c r="G14079" s="51">
        <f>G14148</f>
        <v>6032222.8504999997</v>
      </c>
    </row>
    <row r="14080" spans="1:7" x14ac:dyDescent="0.25">
      <c r="A14080" s="219" t="s">
        <v>34</v>
      </c>
      <c r="B14080" s="219"/>
      <c r="C14080" s="219"/>
      <c r="D14080" s="219"/>
      <c r="E14080" s="219"/>
      <c r="F14080" s="219"/>
      <c r="G14080" s="219"/>
    </row>
    <row r="14081" spans="1:7" x14ac:dyDescent="0.25">
      <c r="A14081" s="49" t="s">
        <v>35</v>
      </c>
      <c r="B14081" s="219" t="s">
        <v>36</v>
      </c>
      <c r="C14081" s="219"/>
      <c r="D14081" s="49" t="s">
        <v>37</v>
      </c>
      <c r="E14081" s="49" t="s">
        <v>38</v>
      </c>
      <c r="F14081" s="49" t="s">
        <v>39</v>
      </c>
      <c r="G14081" s="49" t="s">
        <v>40</v>
      </c>
    </row>
    <row r="14082" spans="1:7" ht="27.75" customHeight="1" x14ac:dyDescent="0.25">
      <c r="A14082" s="17" t="str">
        <f>Material!A11</f>
        <v>MA-10</v>
      </c>
      <c r="B14082" s="221" t="str">
        <f>IFERROR(VLOOKUP(A14082,Material!$A:$J,2,0),"-")</f>
        <v>GRAPA DE OPERAR EN CALIENTE CONDUCTOR AWG-MCM 6 - 400 DIÁMETRO 4 - 13,5 MM</v>
      </c>
      <c r="C14082" s="222"/>
      <c r="D14082" s="50" t="str">
        <f>IFERROR(VLOOKUP(A14082,Material!$A:$J,4,0),"-")</f>
        <v>UN</v>
      </c>
      <c r="E14082" s="50">
        <v>6</v>
      </c>
      <c r="F14082" s="51">
        <f>IFERROR(VLOOKUP(A14082,Material!$A:$J,3,0),"-")</f>
        <v>37155.300000000003</v>
      </c>
      <c r="G14082" s="51">
        <f>IFERROR(ROUNDUP(F14082*E14082,0),"-")</f>
        <v>222932</v>
      </c>
    </row>
    <row r="14083" spans="1:7" x14ac:dyDescent="0.25">
      <c r="A14083" s="17" t="str">
        <f>Material!A12</f>
        <v>MA-11</v>
      </c>
      <c r="B14083" s="72" t="str">
        <f>IFERROR(VLOOKUP(A14083,Material!$A:$J,2,0),"-")</f>
        <v>TUERCA DE OJO ALARGADO PARA PERNO 16 MM</v>
      </c>
      <c r="C14083" s="73"/>
      <c r="D14083" s="50" t="str">
        <f>IFERROR(VLOOKUP(A14083,Material!$A:$J,4,0),"-")</f>
        <v>UN</v>
      </c>
      <c r="E14083" s="50">
        <f>6+6</f>
        <v>12</v>
      </c>
      <c r="F14083" s="51">
        <f>IFERROR(VLOOKUP(A14083,Material!$A:$J,3,0),"-")</f>
        <v>18200</v>
      </c>
      <c r="G14083" s="51">
        <f>IFERROR(ROUNDUP(F14083*E14083,0),"-")</f>
        <v>218400</v>
      </c>
    </row>
    <row r="14084" spans="1:7" x14ac:dyDescent="0.25">
      <c r="A14084" s="17" t="str">
        <f>Material!A2</f>
        <v>MA-01</v>
      </c>
      <c r="B14084" s="72" t="str">
        <f>IFERROR(VLOOKUP(A14084,Material!$A:$J,2,0),"-")</f>
        <v>GRAPA DE RETENCIÓN TIPO PISTOLA DE 6-4/0 DE 3 UES EN ALUMINIO</v>
      </c>
      <c r="C14084" s="73"/>
      <c r="D14084" s="50" t="str">
        <f>IFERROR(VLOOKUP(A14084,Material!$A:$J,4,0),"-")</f>
        <v>UN</v>
      </c>
      <c r="E14084" s="50">
        <f>6+6</f>
        <v>12</v>
      </c>
      <c r="F14084" s="51">
        <f>IFERROR(VLOOKUP(A14084,Material!$A:$J,3,0),"-")</f>
        <v>104000</v>
      </c>
      <c r="G14084" s="51">
        <f>IFERROR(ROUNDUP(F14084*E14084,0),"-")</f>
        <v>1248000</v>
      </c>
    </row>
    <row r="14085" spans="1:7" x14ac:dyDescent="0.25">
      <c r="A14085" s="17" t="str">
        <f>Material!A338</f>
        <v>MA-337</v>
      </c>
      <c r="B14085" s="72" t="str">
        <f>IFERROR(VLOOKUP(A14085,Material!$A:$J,2,0),"-")</f>
        <v>AISLADOR TIPO PIN DE PORCELANA PARA 13.2 KV ANSI 55-4</v>
      </c>
      <c r="C14085" s="73"/>
      <c r="D14085" s="50" t="str">
        <f>IFERROR(VLOOKUP(A14085,Material!$A:$J,4,0),"-")</f>
        <v>UN</v>
      </c>
      <c r="E14085" s="50">
        <f>2*3+12/2</f>
        <v>12</v>
      </c>
      <c r="F14085" s="51">
        <f>IFERROR(VLOOKUP(A14085,Material!$A:$J,3,0),"-")</f>
        <v>23855</v>
      </c>
      <c r="G14085" s="51">
        <f>IFERROR(ROUNDUP(F14085*E14085,0),"-")</f>
        <v>286260</v>
      </c>
    </row>
    <row r="14086" spans="1:7" ht="27" customHeight="1" x14ac:dyDescent="0.25">
      <c r="A14086" s="17" t="str">
        <f>Material!A10</f>
        <v>MA-09</v>
      </c>
      <c r="B14086" s="221" t="str">
        <f>IFERROR(VLOOKUP(A14086,Material!$A:$J,2,0),"-")</f>
        <v>ESPARRAGO DE HIERRO GALVANIZADO ROSCADO EN TODA SU LONGITUD, 4 TUERCAS. DIAMETRO 16 MM LONGITUD 458  MM</v>
      </c>
      <c r="C14086" s="222"/>
      <c r="D14086" s="50" t="str">
        <f>IFERROR(VLOOKUP(A14086,Material!$A:$J,4,0),"-")</f>
        <v>UN</v>
      </c>
      <c r="E14086" s="50">
        <v>3</v>
      </c>
      <c r="F14086" s="51">
        <f>IFERROR(VLOOKUP(A14086,Material!$A:$J,3,0),"-")</f>
        <v>10920</v>
      </c>
      <c r="G14086" s="51">
        <f>IFERROR(ROUNDUP(F14086*E14086,0),"-")</f>
        <v>32760</v>
      </c>
    </row>
    <row r="14087" spans="1:7" x14ac:dyDescent="0.25">
      <c r="A14087" s="17"/>
      <c r="B14087" s="72"/>
      <c r="C14087" s="73"/>
      <c r="D14087" s="50"/>
      <c r="E14087" s="50"/>
      <c r="F14087" s="51"/>
      <c r="G14087" s="51"/>
    </row>
    <row r="14088" spans="1:7" x14ac:dyDescent="0.25">
      <c r="A14088" s="17"/>
      <c r="B14088" s="72"/>
      <c r="C14088" s="73"/>
      <c r="D14088" s="50"/>
      <c r="E14088" s="50"/>
      <c r="F14088" s="51"/>
      <c r="G14088" s="51"/>
    </row>
    <row r="14089" spans="1:7" x14ac:dyDescent="0.25">
      <c r="A14089" s="17"/>
      <c r="B14089" s="72"/>
      <c r="C14089" s="73"/>
      <c r="D14089" s="50"/>
      <c r="E14089" s="50"/>
      <c r="F14089" s="51"/>
      <c r="G14089" s="51"/>
    </row>
    <row r="14090" spans="1:7" x14ac:dyDescent="0.25">
      <c r="A14090" s="219" t="s">
        <v>41</v>
      </c>
      <c r="B14090" s="219"/>
      <c r="C14090" s="219"/>
      <c r="D14090" s="219"/>
      <c r="E14090" s="219"/>
      <c r="F14090" s="219"/>
      <c r="G14090" s="52">
        <f>SUM(G14082:G14089)</f>
        <v>2008352</v>
      </c>
    </row>
    <row r="14091" spans="1:7" x14ac:dyDescent="0.25">
      <c r="A14091" s="56"/>
      <c r="B14091" s="57"/>
      <c r="C14091" s="57"/>
      <c r="D14091" s="57"/>
      <c r="E14091" s="57"/>
      <c r="F14091" s="57"/>
      <c r="G14091" s="58"/>
    </row>
    <row r="14092" spans="1:7" x14ac:dyDescent="0.25">
      <c r="A14092" s="219" t="s">
        <v>42</v>
      </c>
      <c r="B14092" s="219"/>
      <c r="C14092" s="219"/>
      <c r="D14092" s="219"/>
      <c r="E14092" s="219"/>
      <c r="F14092" s="219"/>
      <c r="G14092" s="219"/>
    </row>
    <row r="14093" spans="1:7" x14ac:dyDescent="0.25">
      <c r="A14093" s="49" t="s">
        <v>35</v>
      </c>
      <c r="B14093" s="49" t="s">
        <v>36</v>
      </c>
      <c r="C14093" s="49" t="s">
        <v>38</v>
      </c>
      <c r="D14093" s="49" t="s">
        <v>43</v>
      </c>
      <c r="E14093" s="49" t="s">
        <v>44</v>
      </c>
      <c r="F14093" s="49" t="s">
        <v>45</v>
      </c>
      <c r="G14093" s="49" t="s">
        <v>40</v>
      </c>
    </row>
    <row r="14094" spans="1:7" x14ac:dyDescent="0.25">
      <c r="A14094" s="50" t="s">
        <v>319</v>
      </c>
      <c r="B14094" s="68" t="str">
        <f>VLOOKUP(A14094,'[1]Componentes APUs'!$H$1:$L$25,2,0)</f>
        <v>Ingeniero Residente de Obra</v>
      </c>
      <c r="C14094" s="93">
        <v>0.25</v>
      </c>
      <c r="D14094" s="50">
        <f>VLOOKUP(A14094,'[1]Componentes APUs'!$H$1:$L$25,3,0)</f>
        <v>4</v>
      </c>
      <c r="E14094" s="51">
        <f>VLOOKUP(A14094,'[1]Componentes APUs'!$H$1:$L$25,4,0)</f>
        <v>271142.85714285716</v>
      </c>
      <c r="F14094" s="51">
        <f>VLOOKUP(A14094,'[1]Componentes APUs'!$H$1:$L$25,5,0)</f>
        <v>162685.71428571429</v>
      </c>
      <c r="G14094" s="51">
        <f>ROUNDUP((E14094+F14094)*C14094/E14079,0)</f>
        <v>216915</v>
      </c>
    </row>
    <row r="14095" spans="1:7" x14ac:dyDescent="0.25">
      <c r="A14095" s="50" t="s">
        <v>320</v>
      </c>
      <c r="B14095" s="68" t="str">
        <f>VLOOKUP(A14095,'[1]Componentes APUs'!$H$1:$L$25,2,0)</f>
        <v>Tecnico Supervisor</v>
      </c>
      <c r="C14095" s="93">
        <v>0.25</v>
      </c>
      <c r="D14095" s="50">
        <f>VLOOKUP(A14095,'[1]Componentes APUs'!$H$1:$L$25,3,0)</f>
        <v>2.2999999999999998</v>
      </c>
      <c r="E14095" s="51">
        <f>VLOOKUP(A14095,'[1]Componentes APUs'!$H$1:$L$25,4,0)</f>
        <v>155907.14285714284</v>
      </c>
      <c r="F14095" s="51">
        <f>VLOOKUP(A14095,'[1]Componentes APUs'!$H$1:$L$25,5,0)</f>
        <v>93544.285714285696</v>
      </c>
      <c r="G14095" s="51">
        <f>ROUNDUP((E14095+F14095)*C14095/E14079,0)</f>
        <v>124726</v>
      </c>
    </row>
    <row r="14096" spans="1:7" x14ac:dyDescent="0.25">
      <c r="A14096" s="50" t="s">
        <v>46</v>
      </c>
      <c r="B14096" s="68" t="str">
        <f>VLOOKUP(A14096,'[1]Componentes APUs'!$H$1:$L$25,2,0)</f>
        <v>Tecnico Liniero</v>
      </c>
      <c r="C14096" s="93">
        <v>2</v>
      </c>
      <c r="D14096" s="50">
        <f>VLOOKUP(A14096,'[1]Componentes APUs'!$H$1:$L$25,3,0)</f>
        <v>2</v>
      </c>
      <c r="E14096" s="51">
        <f>VLOOKUP(A14096,'[1]Componentes APUs'!$H$1:$L$25,4,0)</f>
        <v>154619.04761904763</v>
      </c>
      <c r="F14096" s="51">
        <f>VLOOKUP(A14096,'[1]Componentes APUs'!$H$1:$L$25,5,0)</f>
        <v>92771.42857142858</v>
      </c>
      <c r="G14096" s="51">
        <f>ROUNDUP((E14096+F14096)*C14096/E14079,0)</f>
        <v>989562</v>
      </c>
    </row>
    <row r="14097" spans="1:7" x14ac:dyDescent="0.25">
      <c r="A14097" s="50" t="s">
        <v>48</v>
      </c>
      <c r="B14097" s="68" t="str">
        <f>VLOOKUP(A14097,'[1]Componentes APUs'!$H$1:$L$25,2,0)</f>
        <v>Ayudante Calificado</v>
      </c>
      <c r="C14097" s="93">
        <v>2</v>
      </c>
      <c r="D14097" s="50">
        <f>VLOOKUP(A14097,'[1]Componentes APUs'!$H$1:$L$25,3,0)</f>
        <v>1.5</v>
      </c>
      <c r="E14097" s="51">
        <f>VLOOKUP(A14097,'[1]Componentes APUs'!$H$1:$L$25,4,0)</f>
        <v>115964.28571428571</v>
      </c>
      <c r="F14097" s="51">
        <f>VLOOKUP(A14097,'[1]Componentes APUs'!$H$1:$L$25,5,0)</f>
        <v>69578.57142857142</v>
      </c>
      <c r="G14097" s="51">
        <f>ROUNDUP((E14097+F14097)*C14097/E14079,0)</f>
        <v>742172</v>
      </c>
    </row>
    <row r="14098" spans="1:7" x14ac:dyDescent="0.25">
      <c r="A14098" s="50" t="s">
        <v>50</v>
      </c>
      <c r="B14098" s="68" t="str">
        <f>VLOOKUP(A14098,'[1]Componentes APUs'!$H$1:$L$25,2,0)</f>
        <v>Profesional en SST</v>
      </c>
      <c r="C14098" s="93">
        <v>0.25</v>
      </c>
      <c r="D14098" s="50">
        <f>VLOOKUP(A14098,'[1]Componentes APUs'!$H$1:$L$25,3,0)</f>
        <v>2.5</v>
      </c>
      <c r="E14098" s="51">
        <f>VLOOKUP(A14098,'[1]Componentes APUs'!$H$1:$L$25,4,0)</f>
        <v>169464.28571428571</v>
      </c>
      <c r="F14098" s="51">
        <f>VLOOKUP(A14098,'[1]Componentes APUs'!$H$1:$L$25,5,0)</f>
        <v>101678.57142857142</v>
      </c>
      <c r="G14098" s="51">
        <f>ROUNDUP((E14098+F14098)*C14098/E14079,0)</f>
        <v>135572</v>
      </c>
    </row>
    <row r="14099" spans="1:7" x14ac:dyDescent="0.25">
      <c r="A14099" s="50" t="s">
        <v>52</v>
      </c>
      <c r="B14099" s="68" t="str">
        <f>VLOOKUP(A14099,'[1]Componentes APUs'!$H$1:$L$25,2,0)</f>
        <v>Ayudante No Calificado</v>
      </c>
      <c r="C14099" s="93">
        <v>0</v>
      </c>
      <c r="D14099" s="50">
        <f>VLOOKUP(A14099,'[1]Componentes APUs'!$H$1:$L$25,3,0)</f>
        <v>1</v>
      </c>
      <c r="E14099" s="51">
        <f>VLOOKUP(A14099,'[1]Componentes APUs'!$H$1:$L$25,4,0)</f>
        <v>77309.523809523816</v>
      </c>
      <c r="F14099" s="51">
        <f>VLOOKUP(A14099,'[1]Componentes APUs'!$H$1:$L$25,5,0)</f>
        <v>46385.71428571429</v>
      </c>
      <c r="G14099" s="51">
        <f>ROUNDUP((E14099+F14099)*C14099/E14079,0)</f>
        <v>0</v>
      </c>
    </row>
    <row r="14100" spans="1:7" x14ac:dyDescent="0.25">
      <c r="A14100" s="219" t="s">
        <v>56</v>
      </c>
      <c r="B14100" s="219"/>
      <c r="C14100" s="219"/>
      <c r="D14100" s="219"/>
      <c r="E14100" s="219"/>
      <c r="F14100" s="219"/>
      <c r="G14100" s="52">
        <f>SUM(G14094:G14099)</f>
        <v>2208947</v>
      </c>
    </row>
    <row r="14101" spans="1:7" x14ac:dyDescent="0.25">
      <c r="A14101" s="56"/>
      <c r="B14101" s="57"/>
      <c r="C14101" s="57"/>
      <c r="D14101" s="57"/>
      <c r="E14101" s="57"/>
      <c r="F14101" s="57"/>
      <c r="G14101" s="58"/>
    </row>
    <row r="14102" spans="1:7" x14ac:dyDescent="0.25">
      <c r="A14102" s="219" t="s">
        <v>57</v>
      </c>
      <c r="B14102" s="219"/>
      <c r="C14102" s="219"/>
      <c r="D14102" s="219"/>
      <c r="E14102" s="219"/>
      <c r="F14102" s="219"/>
      <c r="G14102" s="219"/>
    </row>
    <row r="14103" spans="1:7" x14ac:dyDescent="0.25">
      <c r="A14103" s="49" t="s">
        <v>35</v>
      </c>
      <c r="B14103" s="219" t="s">
        <v>36</v>
      </c>
      <c r="C14103" s="219"/>
      <c r="D14103" s="49" t="s">
        <v>37</v>
      </c>
      <c r="E14103" s="49" t="s">
        <v>38</v>
      </c>
      <c r="F14103" s="49" t="s">
        <v>39</v>
      </c>
      <c r="G14103" s="49" t="s">
        <v>40</v>
      </c>
    </row>
    <row r="14104" spans="1:7" x14ac:dyDescent="0.25">
      <c r="A14104" s="50" t="s">
        <v>326</v>
      </c>
      <c r="B14104" s="220" t="str">
        <f>VLOOKUP(A14104,'[1]Componentes APUs'!$S$1:$V$10,2,0)</f>
        <v>Juego Llaves</v>
      </c>
      <c r="C14104" s="220"/>
      <c r="D14104" s="50" t="s">
        <v>18</v>
      </c>
      <c r="E14104" s="50">
        <v>2</v>
      </c>
      <c r="F14104" s="51">
        <f>VLOOKUP(A14104,'[1]Componentes APUs'!$S$1:$V$10,4,0)</f>
        <v>9167</v>
      </c>
      <c r="G14104" s="51">
        <f>ROUNDUP(F14104*((E14104/21)/E14079),0)</f>
        <v>1747</v>
      </c>
    </row>
    <row r="14105" spans="1:7" x14ac:dyDescent="0.25">
      <c r="A14105" s="50" t="s">
        <v>58</v>
      </c>
      <c r="B14105" s="220" t="str">
        <f>VLOOKUP(A14105,'[1]Componentes APUs'!$S$1:$V$10,2,0)</f>
        <v>Manila de servicio</v>
      </c>
      <c r="C14105" s="220"/>
      <c r="D14105" s="50" t="s">
        <v>18</v>
      </c>
      <c r="E14105" s="50">
        <v>2</v>
      </c>
      <c r="F14105" s="51">
        <f>VLOOKUP(A14105,'[1]Componentes APUs'!$S$1:$V$10,4,0)</f>
        <v>2333</v>
      </c>
      <c r="G14105" s="51">
        <f>ROUNDUP(F14105*((E14105/21)/E14079),0)</f>
        <v>445</v>
      </c>
    </row>
    <row r="14106" spans="1:7" x14ac:dyDescent="0.25">
      <c r="A14106" s="50" t="s">
        <v>327</v>
      </c>
      <c r="B14106" s="220" t="str">
        <f>VLOOKUP(A14106,'[1]Componentes APUs'!$S$1:$V$10,2,0)</f>
        <v>Tula portaherramientas</v>
      </c>
      <c r="C14106" s="220"/>
      <c r="D14106" s="50" t="s">
        <v>18</v>
      </c>
      <c r="E14106" s="50">
        <v>2</v>
      </c>
      <c r="F14106" s="51">
        <f>VLOOKUP(A14106,'[1]Componentes APUs'!$S$1:$V$10,4,0)</f>
        <v>1250</v>
      </c>
      <c r="G14106" s="51">
        <f>ROUNDUP(F14106*((E14106/21)/E14079),0)</f>
        <v>239</v>
      </c>
    </row>
    <row r="14107" spans="1:7" x14ac:dyDescent="0.25">
      <c r="A14107" s="50" t="s">
        <v>60</v>
      </c>
      <c r="B14107" s="220" t="str">
        <f>VLOOKUP(A14107,'[1]Componentes APUs'!$S$1:$V$10,2,0)</f>
        <v>Agarradoras</v>
      </c>
      <c r="C14107" s="220"/>
      <c r="D14107" s="50" t="s">
        <v>18</v>
      </c>
      <c r="E14107" s="50">
        <v>0</v>
      </c>
      <c r="F14107" s="51">
        <f>VLOOKUP(A14107,'[1]Componentes APUs'!$S$1:$V$10,4,0)</f>
        <v>125000</v>
      </c>
      <c r="G14107" s="51">
        <f>ROUNDUP(F14107*((E14107/21)/E14079),0)</f>
        <v>0</v>
      </c>
    </row>
    <row r="14108" spans="1:7" x14ac:dyDescent="0.25">
      <c r="A14108" s="50" t="s">
        <v>62</v>
      </c>
      <c r="B14108" s="220" t="str">
        <f>VLOOKUP(A14108,'[1]Componentes APUs'!$S$1:$V$10,2,0)</f>
        <v>Templadoras</v>
      </c>
      <c r="C14108" s="220"/>
      <c r="D14108" s="50" t="s">
        <v>18</v>
      </c>
      <c r="E14108" s="50">
        <v>0</v>
      </c>
      <c r="F14108" s="51">
        <f>VLOOKUP(A14108,'[1]Componentes APUs'!$S$1:$V$10,4,0)</f>
        <v>250000</v>
      </c>
      <c r="G14108" s="51">
        <f>ROUNDUP(F14108*((E14108/21)/E14079),0)</f>
        <v>0</v>
      </c>
    </row>
    <row r="14109" spans="1:7" x14ac:dyDescent="0.25">
      <c r="A14109" s="50" t="s">
        <v>328</v>
      </c>
      <c r="B14109" s="220" t="str">
        <f>VLOOKUP(A14109,'[1]Componentes APUs'!$S$1:$V$10,2,0)</f>
        <v>Herramienta Menor</v>
      </c>
      <c r="C14109" s="220"/>
      <c r="D14109" s="50" t="s">
        <v>18</v>
      </c>
      <c r="E14109" s="50">
        <v>2</v>
      </c>
      <c r="F14109" s="51">
        <f>VLOOKUP(A14109,'[1]Componentes APUs'!$S$1:$V$10,4,0)</f>
        <v>75758</v>
      </c>
      <c r="G14109" s="51">
        <f>ROUNDUP(F14109*((E14109/21)/E14079),0)</f>
        <v>14431</v>
      </c>
    </row>
    <row r="14110" spans="1:7" x14ac:dyDescent="0.25">
      <c r="A14110" s="219" t="s">
        <v>69</v>
      </c>
      <c r="B14110" s="219"/>
      <c r="C14110" s="219"/>
      <c r="D14110" s="219"/>
      <c r="E14110" s="219"/>
      <c r="F14110" s="219"/>
      <c r="G14110" s="52">
        <f>SUM(G14104:G14109)</f>
        <v>16862</v>
      </c>
    </row>
    <row r="14111" spans="1:7" x14ac:dyDescent="0.25">
      <c r="A14111" s="56"/>
      <c r="B14111" s="57"/>
      <c r="C14111" s="57"/>
      <c r="D14111" s="57"/>
      <c r="E14111" s="57"/>
      <c r="F14111" s="57"/>
      <c r="G14111" s="58"/>
    </row>
    <row r="14112" spans="1:7" x14ac:dyDescent="0.25">
      <c r="A14112" s="219" t="s">
        <v>70</v>
      </c>
      <c r="B14112" s="219"/>
      <c r="C14112" s="219"/>
      <c r="D14112" s="219"/>
      <c r="E14112" s="219"/>
      <c r="F14112" s="219"/>
      <c r="G14112" s="219"/>
    </row>
    <row r="14113" spans="1:7" x14ac:dyDescent="0.25">
      <c r="A14113" s="49" t="s">
        <v>35</v>
      </c>
      <c r="B14113" s="219" t="s">
        <v>36</v>
      </c>
      <c r="C14113" s="219"/>
      <c r="D14113" s="49" t="s">
        <v>37</v>
      </c>
      <c r="E14113" s="49" t="s">
        <v>38</v>
      </c>
      <c r="F14113" s="49" t="s">
        <v>39</v>
      </c>
      <c r="G14113" s="49" t="s">
        <v>40</v>
      </c>
    </row>
    <row r="14114" spans="1:7" x14ac:dyDescent="0.25">
      <c r="A14114" s="50" t="s">
        <v>71</v>
      </c>
      <c r="B14114" s="71" t="str">
        <f>VLOOKUP(A14114,'[1]Componentes APUs'!$A$1:$D$14,2,0)</f>
        <v>Camisa indigo sin partes metalicas</v>
      </c>
      <c r="C14114" s="71"/>
      <c r="D14114" s="50" t="str">
        <f>VLOOKUP(A14114,'[1]Componentes APUs'!$A$1:$D$14,3,0)</f>
        <v>U</v>
      </c>
      <c r="E14114" s="50">
        <f>SUM(C14094:C14099)</f>
        <v>4.75</v>
      </c>
      <c r="F14114" s="51">
        <f>VLOOKUP(A14114,'[1]Componentes APUs'!$A$1:$D$14,4,0)</f>
        <v>8585.8585858585866</v>
      </c>
      <c r="G14114" s="51">
        <f>ROUNDUP(F14114*(E14114/21)/E14079,0)</f>
        <v>3885</v>
      </c>
    </row>
    <row r="14115" spans="1:7" x14ac:dyDescent="0.25">
      <c r="A14115" s="69" t="s">
        <v>73</v>
      </c>
      <c r="B14115" s="72" t="str">
        <f>VLOOKUP(A14115,'[1]Componentes APUs'!$A$1:$D$14,2,0)</f>
        <v>Bota de seguridad dielectrica</v>
      </c>
      <c r="C14115" s="73"/>
      <c r="D14115" s="70" t="str">
        <f>VLOOKUP(A14115,'[1]Componentes APUs'!$A$1:$D$14,3,0)</f>
        <v>Par</v>
      </c>
      <c r="E14115" s="50">
        <f>SUM(C14094:C14099)</f>
        <v>4.75</v>
      </c>
      <c r="F14115" s="51">
        <f>VLOOKUP(A14115,'[1]Componentes APUs'!$A$1:$D$14,4,0)</f>
        <v>7500</v>
      </c>
      <c r="G14115" s="51">
        <f>ROUNDUP(F14115*(E14115/21)/E14079,0)</f>
        <v>3393</v>
      </c>
    </row>
    <row r="14116" spans="1:7" x14ac:dyDescent="0.25">
      <c r="A14116" s="50" t="s">
        <v>76</v>
      </c>
      <c r="B14116" s="72" t="str">
        <f>VLOOKUP(A14116,'[1]Componentes APUs'!$A$1:$D$14,2,0)</f>
        <v>Casco dielectrico Tipo 1 Clase E con barbuquejo</v>
      </c>
      <c r="C14116" s="73"/>
      <c r="D14116" s="50" t="str">
        <f>VLOOKUP(A14116,'[1]Componentes APUs'!$A$1:$D$14,3,0)</f>
        <v>U</v>
      </c>
      <c r="E14116" s="50">
        <f>C14094+C14095+C14097+C14098+C14099+IF(A14096&lt;&gt;"MO-3",C14096,0)</f>
        <v>2.75</v>
      </c>
      <c r="F14116" s="51">
        <f>VLOOKUP(A14116,'[1]Componentes APUs'!$A$1:$D$14,4,0)</f>
        <v>10101.010101010101</v>
      </c>
      <c r="G14116" s="51">
        <f>ROUNDUP(F14116*(E14116/21)/E14079,0)</f>
        <v>2646</v>
      </c>
    </row>
    <row r="14117" spans="1:7" x14ac:dyDescent="0.25">
      <c r="A14117" s="69" t="s">
        <v>77</v>
      </c>
      <c r="B14117" s="72" t="str">
        <f>VLOOKUP(A14117,'[1]Componentes APUs'!$A$1:$D$14,2,0)</f>
        <v>Correa plastica y antiflama</v>
      </c>
      <c r="C14117" s="73"/>
      <c r="D14117" s="50" t="str">
        <f>VLOOKUP(A14117,'[1]Componentes APUs'!$A$1:$D$14,3,0)</f>
        <v>U</v>
      </c>
      <c r="E14117" s="50">
        <f>SUM(C14094:C14099)</f>
        <v>4.75</v>
      </c>
      <c r="F14117" s="51">
        <f>VLOOKUP(A14117,'[1]Componentes APUs'!$A$1:$D$14,4,0)</f>
        <v>3787.878787878788</v>
      </c>
      <c r="G14117" s="51">
        <f>ROUNDUP(F14117*(E14117/21)/E14079,0)</f>
        <v>1714</v>
      </c>
    </row>
    <row r="14118" spans="1:7" x14ac:dyDescent="0.25">
      <c r="A14118" s="50" t="s">
        <v>79</v>
      </c>
      <c r="B14118" s="72" t="str">
        <f>VLOOKUP(A14118,'[1]Componentes APUs'!$A$1:$D$14,2,0)</f>
        <v>Gafas protectoras filtro UV</v>
      </c>
      <c r="C14118" s="73"/>
      <c r="D14118" s="50" t="str">
        <f>VLOOKUP(A14118,'[1]Componentes APUs'!$A$1:$D$14,3,0)</f>
        <v>U</v>
      </c>
      <c r="E14118" s="50">
        <f>SUM(C14094:C14099)</f>
        <v>4.75</v>
      </c>
      <c r="F14118" s="51">
        <f>VLOOKUP(A14118,'[1]Componentes APUs'!$A$1:$D$14,4,0)</f>
        <v>2777.7777777777778</v>
      </c>
      <c r="G14118" s="51">
        <f>ROUNDUP(F14118*(E14118/21)/E14079,0)</f>
        <v>1257</v>
      </c>
    </row>
    <row r="14119" spans="1:7" x14ac:dyDescent="0.25">
      <c r="A14119" s="69" t="s">
        <v>402</v>
      </c>
      <c r="B14119" s="72" t="str">
        <f>VLOOKUP(A14119,'[1]Componentes APUs'!$A$1:$D$14,2,0)</f>
        <v>Bota de seguridad PVC dielectrica</v>
      </c>
      <c r="C14119" s="73"/>
      <c r="D14119" s="50" t="str">
        <f>VLOOKUP(A14119,'[1]Componentes APUs'!$A$1:$D$14,3,0)</f>
        <v>Par</v>
      </c>
      <c r="E14119" s="50">
        <f>SUM(C14094:C14099)</f>
        <v>4.75</v>
      </c>
      <c r="F14119" s="51">
        <f>VLOOKUP(A14119,'[1]Componentes APUs'!$A$1:$D$14,4,0)</f>
        <v>2916.6666666666665</v>
      </c>
      <c r="G14119" s="51">
        <f>ROUNDUP(F14119*(E14119/21)/E14079,0)</f>
        <v>1320</v>
      </c>
    </row>
    <row r="14120" spans="1:7" x14ac:dyDescent="0.25">
      <c r="A14120" s="50" t="s">
        <v>403</v>
      </c>
      <c r="B14120" s="72" t="str">
        <f>VLOOKUP(A14120,'[1]Componentes APUs'!$A$1:$D$14,2,0)</f>
        <v>Capuchon</v>
      </c>
      <c r="C14120" s="73"/>
      <c r="D14120" s="50" t="str">
        <f>VLOOKUP(A14120,'[1]Componentes APUs'!$A$1:$D$14,3,0)</f>
        <v>U</v>
      </c>
      <c r="E14120" s="50">
        <f>SUM(C14094:C14099)</f>
        <v>4.75</v>
      </c>
      <c r="F14120" s="51">
        <f>VLOOKUP(A14120,'[1]Componentes APUs'!$A$1:$D$14,4,0)</f>
        <v>2525.2525252525252</v>
      </c>
      <c r="G14120" s="51">
        <f>ROUNDUP(F14120*(E14120/21)/E14079,0)</f>
        <v>1143</v>
      </c>
    </row>
    <row r="14121" spans="1:7" x14ac:dyDescent="0.25">
      <c r="A14121" s="69" t="s">
        <v>81</v>
      </c>
      <c r="B14121" s="72" t="str">
        <f>VLOOKUP(A14121,'[1]Componentes APUs'!$A$1:$D$14,2,0)</f>
        <v>Guantes Protectores  - ingeniero reforzados</v>
      </c>
      <c r="C14121" s="73"/>
      <c r="D14121" s="50" t="str">
        <f>VLOOKUP(A14121,'[1]Componentes APUs'!$A$1:$D$14,3,0)</f>
        <v>Par</v>
      </c>
      <c r="E14121" s="50">
        <f>C14096+C14097+C14099</f>
        <v>4</v>
      </c>
      <c r="F14121" s="51">
        <f>VLOOKUP(A14121,'[1]Componentes APUs'!$A$1:$D$14,4,0)</f>
        <v>2525.2525252525252</v>
      </c>
      <c r="G14121" s="51">
        <f>ROUNDUP(F14121*(E14121/21)/E14079,0)</f>
        <v>963</v>
      </c>
    </row>
    <row r="14122" spans="1:7" x14ac:dyDescent="0.25">
      <c r="A14122" s="50" t="s">
        <v>83</v>
      </c>
      <c r="B14122" s="72" t="str">
        <f>VLOOKUP(A14122,'[1]Componentes APUs'!$A$1:$D$14,2,0)</f>
        <v>Impermeable (pantalon camisa)</v>
      </c>
      <c r="C14122" s="73"/>
      <c r="D14122" s="50" t="str">
        <f>VLOOKUP(A14122,'[1]Componentes APUs'!$A$1:$D$14,3,0)</f>
        <v>U</v>
      </c>
      <c r="E14122" s="50">
        <f>SUM(C14094:C14099)</f>
        <v>4.75</v>
      </c>
      <c r="F14122" s="51">
        <f>VLOOKUP(A14122,'[1]Componentes APUs'!$A$1:$D$14,4,0)</f>
        <v>3750</v>
      </c>
      <c r="G14122" s="51">
        <f>ROUNDUP(F14122*(E14122/21)/E14079,0)</f>
        <v>1697</v>
      </c>
    </row>
    <row r="14123" spans="1:7" x14ac:dyDescent="0.25">
      <c r="A14123" s="69" t="s">
        <v>85</v>
      </c>
      <c r="B14123" s="72" t="str">
        <f>VLOOKUP(A14123,'[1]Componentes APUs'!$A$1:$D$14,2,0)</f>
        <v>Jean Dielectrico</v>
      </c>
      <c r="C14123" s="73"/>
      <c r="D14123" s="50" t="str">
        <f>VLOOKUP(A14123,'[1]Componentes APUs'!$A$1:$D$14,3,0)</f>
        <v>U</v>
      </c>
      <c r="E14123" s="50">
        <f>SUM(C14094:C14099)</f>
        <v>4.75</v>
      </c>
      <c r="F14123" s="51">
        <f>VLOOKUP(A14123,'[1]Componentes APUs'!$A$1:$D$14,4,0)</f>
        <v>7575.757575757576</v>
      </c>
      <c r="G14123" s="51">
        <f>ROUNDUP(F14123*(E14123/21)/E14079,0)</f>
        <v>3428</v>
      </c>
    </row>
    <row r="14124" spans="1:7" x14ac:dyDescent="0.25">
      <c r="A14124" s="50" t="s">
        <v>87</v>
      </c>
      <c r="B14124" s="72" t="str">
        <f>VLOOKUP(A14124,'[1]Componentes APUs'!$A$1:$D$14,2,0)</f>
        <v>Casco dielectrico Tipo 2 Clase E con barboquejo</v>
      </c>
      <c r="C14124" s="73"/>
      <c r="D14124" s="50" t="str">
        <f>VLOOKUP(A14124,'[1]Componentes APUs'!$A$1:$D$14,3,0)</f>
        <v>U</v>
      </c>
      <c r="E14124" s="53">
        <f>IF(A14096="MO-3",C14096,0)</f>
        <v>2</v>
      </c>
      <c r="F14124" s="51">
        <f>VLOOKUP(A14124,'[1]Componentes APUs'!$A$1:$D$14,4,0)</f>
        <v>7500</v>
      </c>
      <c r="G14124" s="51">
        <f>ROUNDUP(F14124*(E14124/21)/E14079,0)</f>
        <v>1429</v>
      </c>
    </row>
    <row r="14125" spans="1:7" x14ac:dyDescent="0.25">
      <c r="A14125" s="69" t="s">
        <v>89</v>
      </c>
      <c r="B14125" s="72" t="str">
        <f>VLOOKUP(A14125,'[1]Componentes APUs'!$A$1:$D$14,2,0)</f>
        <v>Kit de rescate para trabajo en alturas</v>
      </c>
      <c r="C14125" s="73"/>
      <c r="D14125" s="50" t="str">
        <f>VLOOKUP(A14125,'[1]Componentes APUs'!$A$1:$D$14,3,0)</f>
        <v>U</v>
      </c>
      <c r="E14125" s="50">
        <f>IF(AND(A14096="MO-3",C14096=2),1,0)</f>
        <v>1</v>
      </c>
      <c r="F14125" s="51">
        <f>VLOOKUP(A14125,'[1]Componentes APUs'!$A$1:$D$14,4,0)</f>
        <v>37500</v>
      </c>
      <c r="G14125" s="51">
        <f>ROUNDUP(F14125*(E14125/21)/E14079,0)</f>
        <v>3572</v>
      </c>
    </row>
    <row r="14126" spans="1:7" x14ac:dyDescent="0.25">
      <c r="A14126" s="50" t="s">
        <v>91</v>
      </c>
      <c r="B14126" s="72" t="str">
        <f>VLOOKUP(A14126,'[1]Componentes APUs'!$A$1:$D$14,2,0)</f>
        <v>Equipo completo para trabajo en alturas con pretales (Arnes dielectrico, 1 mosqueton de seguridad, tie off dielectrico, eslinga de posicionamiento, juego de pretales)</v>
      </c>
      <c r="C14126" s="73"/>
      <c r="D14126" s="50" t="str">
        <f>VLOOKUP(A14126,'[1]Componentes APUs'!$A$1:$D$14,3,0)</f>
        <v>U</v>
      </c>
      <c r="E14126" s="50">
        <f>IF(A14096="MO-3",C14096,0)</f>
        <v>2</v>
      </c>
      <c r="F14126" s="51">
        <f>VLOOKUP(A14126,'[1]Componentes APUs'!$A$1:$D$14,4,0)</f>
        <v>26041.666666666668</v>
      </c>
      <c r="G14126" s="51">
        <f>ROUNDUP(F14126*(E14126/21)/E14079,0)</f>
        <v>4961</v>
      </c>
    </row>
    <row r="14127" spans="1:7" x14ac:dyDescent="0.25">
      <c r="A14127" s="219" t="s">
        <v>95</v>
      </c>
      <c r="B14127" s="219"/>
      <c r="C14127" s="219"/>
      <c r="D14127" s="219"/>
      <c r="E14127" s="219"/>
      <c r="F14127" s="219"/>
      <c r="G14127" s="52">
        <f>SUM(G14114:G14126)</f>
        <v>31408</v>
      </c>
    </row>
    <row r="14128" spans="1:7" x14ac:dyDescent="0.25">
      <c r="A14128" s="56"/>
      <c r="B14128" s="57"/>
      <c r="C14128" s="57"/>
      <c r="D14128" s="57"/>
      <c r="E14128" s="57"/>
      <c r="F14128" s="57"/>
      <c r="G14128" s="58"/>
    </row>
    <row r="14129" spans="1:7" x14ac:dyDescent="0.25">
      <c r="A14129" s="219" t="s">
        <v>96</v>
      </c>
      <c r="B14129" s="219"/>
      <c r="C14129" s="219"/>
      <c r="D14129" s="219"/>
      <c r="E14129" s="219"/>
      <c r="F14129" s="219"/>
      <c r="G14129" s="219"/>
    </row>
    <row r="14130" spans="1:7" x14ac:dyDescent="0.25">
      <c r="A14130" s="49" t="s">
        <v>35</v>
      </c>
      <c r="B14130" s="225" t="s">
        <v>36</v>
      </c>
      <c r="C14130" s="225"/>
      <c r="D14130" s="49" t="s">
        <v>37</v>
      </c>
      <c r="E14130" s="49" t="s">
        <v>38</v>
      </c>
      <c r="F14130" s="49" t="s">
        <v>39</v>
      </c>
      <c r="G14130" s="49" t="s">
        <v>40</v>
      </c>
    </row>
    <row r="14131" spans="1:7" x14ac:dyDescent="0.25">
      <c r="A14131" s="69" t="s">
        <v>97</v>
      </c>
      <c r="B14131" s="72" t="str">
        <f>VLOOKUP(A14131,'[1]Componentes APUs'!$N$1:$Q$30,2,0)</f>
        <v>Camioneta</v>
      </c>
      <c r="C14131" s="73"/>
      <c r="D14131" s="70" t="str">
        <f>VLOOKUP(A14131,'[1]Componentes APUs'!$N$1:$Q$30,3,0)</f>
        <v>U</v>
      </c>
      <c r="E14131" s="50">
        <v>1</v>
      </c>
      <c r="F14131" s="51">
        <f>VLOOKUP(A14131,'[1]Componentes APUs'!$N$1:$Q$30,4,0)</f>
        <v>5500000</v>
      </c>
      <c r="G14131" s="51">
        <f>IFERROR(ROUNDUP(F14131*(E14131/21)/E14079,0),"-")</f>
        <v>523810</v>
      </c>
    </row>
    <row r="14132" spans="1:7" x14ac:dyDescent="0.25">
      <c r="A14132" s="50" t="s">
        <v>321</v>
      </c>
      <c r="B14132" s="72" t="str">
        <f>VLOOKUP(A14132,'[1]Componentes APUs'!$N$1:$Q$30,2,0)</f>
        <v>Grúa Hidráulica</v>
      </c>
      <c r="C14132" s="73"/>
      <c r="D14132" s="70" t="str">
        <f>VLOOKUP(A14132,'[1]Componentes APUs'!$N$1:$Q$30,3,0)</f>
        <v>U</v>
      </c>
      <c r="E14132" s="50">
        <v>0</v>
      </c>
      <c r="F14132" s="51">
        <f>VLOOKUP(A14132,'[1]Componentes APUs'!$N$1:$Q$30,4,0)</f>
        <v>21000000</v>
      </c>
      <c r="G14132" s="51">
        <f>IFERROR(ROUNDUP(F14132*(E14132/21)/E14079,0),"-")</f>
        <v>0</v>
      </c>
    </row>
    <row r="14133" spans="1:7" x14ac:dyDescent="0.25">
      <c r="A14133" s="69" t="s">
        <v>322</v>
      </c>
      <c r="B14133" s="72" t="str">
        <f>VLOOKUP(A14133,'[1]Componentes APUs'!$N$1:$Q$30,2,0)</f>
        <v>Camabaja</v>
      </c>
      <c r="C14133" s="73"/>
      <c r="D14133" s="70" t="str">
        <f>VLOOKUP(A14133,'[1]Componentes APUs'!$N$1:$Q$30,3,0)</f>
        <v>TON/KM</v>
      </c>
      <c r="E14133" s="50">
        <v>0</v>
      </c>
      <c r="F14133" s="51">
        <f>VLOOKUP(A14133,'[1]Componentes APUs'!$N$1:$Q$30,4,0)</f>
        <v>611</v>
      </c>
      <c r="G14133" s="51">
        <f>IFERROR(ROUNDUP(F14133*(E14133/21)/E14079,0),"-")</f>
        <v>0</v>
      </c>
    </row>
    <row r="14134" spans="1:7" x14ac:dyDescent="0.25">
      <c r="A14134" s="50" t="s">
        <v>323</v>
      </c>
      <c r="B14134" s="72" t="str">
        <f>VLOOKUP(A14134,'[1]Componentes APUs'!$N$1:$Q$30,2,0)</f>
        <v>Volqueta</v>
      </c>
      <c r="C14134" s="73"/>
      <c r="D14134" s="70" t="str">
        <f>VLOOKUP(A14134,'[1]Componentes APUs'!$N$1:$Q$30,3,0)</f>
        <v>U</v>
      </c>
      <c r="E14134" s="50">
        <v>0</v>
      </c>
      <c r="F14134" s="51">
        <f>VLOOKUP(A14134,'[1]Componentes APUs'!$N$1:$Q$30,4,0)</f>
        <v>18900000</v>
      </c>
      <c r="G14134" s="51">
        <f>IFERROR(ROUNDUP(F14134*(E14134/21)/E14079,0),"-")</f>
        <v>0</v>
      </c>
    </row>
    <row r="14135" spans="1:7" x14ac:dyDescent="0.25">
      <c r="A14135" s="69" t="s">
        <v>324</v>
      </c>
      <c r="B14135" s="72" t="str">
        <f>VLOOKUP(A14135,'[1]Componentes APUs'!$N$1:$Q$30,2,0)</f>
        <v>Retroexcavadora</v>
      </c>
      <c r="C14135" s="73"/>
      <c r="D14135" s="70" t="str">
        <f>VLOOKUP(A14135,'[1]Componentes APUs'!$N$1:$Q$30,3,0)</f>
        <v>U</v>
      </c>
      <c r="E14135" s="50">
        <v>0</v>
      </c>
      <c r="F14135" s="51">
        <f>VLOOKUP(A14135,'[1]Componentes APUs'!$N$1:$Q$30,4,0)</f>
        <v>1494459.54</v>
      </c>
      <c r="G14135" s="51">
        <f>IFERROR(ROUNDUP(F14135*(E14135/21)/E14079,0),"-")</f>
        <v>0</v>
      </c>
    </row>
    <row r="14136" spans="1:7" x14ac:dyDescent="0.25">
      <c r="A14136" s="219" t="s">
        <v>99</v>
      </c>
      <c r="B14136" s="219"/>
      <c r="C14136" s="219"/>
      <c r="D14136" s="219"/>
      <c r="E14136" s="219"/>
      <c r="F14136" s="219"/>
      <c r="G14136" s="52">
        <f>SUM(G14131:G14135)</f>
        <v>523810</v>
      </c>
    </row>
    <row r="14137" spans="1:7" x14ac:dyDescent="0.25">
      <c r="A14137" s="56"/>
      <c r="B14137" s="57"/>
      <c r="C14137" s="57"/>
      <c r="D14137" s="57"/>
      <c r="E14137" s="57"/>
      <c r="F14137" s="57"/>
      <c r="G14137" s="58"/>
    </row>
    <row r="14138" spans="1:7" x14ac:dyDescent="0.25">
      <c r="A14138" s="219" t="s">
        <v>1516</v>
      </c>
      <c r="B14138" s="219"/>
      <c r="C14138" s="219"/>
      <c r="D14138" s="219"/>
      <c r="E14138" s="219"/>
      <c r="F14138" s="219"/>
      <c r="G14138" s="52">
        <f>G14136+G14127+G14110+G14100+G14090</f>
        <v>4789379</v>
      </c>
    </row>
    <row r="14139" spans="1:7" x14ac:dyDescent="0.25">
      <c r="A14139" s="59"/>
      <c r="B14139" s="60"/>
      <c r="C14139" s="60"/>
      <c r="D14139" s="60"/>
      <c r="E14139" s="57"/>
      <c r="F14139" s="57"/>
      <c r="G14139" s="58"/>
    </row>
    <row r="14140" spans="1:7" x14ac:dyDescent="0.25">
      <c r="A14140" s="64"/>
      <c r="D14140" s="55"/>
      <c r="E14140" s="49" t="s">
        <v>25</v>
      </c>
      <c r="F14140" s="54">
        <v>0.15</v>
      </c>
      <c r="G14140" s="51">
        <f>G14138*F14140</f>
        <v>718406.85</v>
      </c>
    </row>
    <row r="14141" spans="1:7" x14ac:dyDescent="0.25">
      <c r="A14141" s="64"/>
      <c r="D14141" s="55"/>
      <c r="E14141" s="49" t="s">
        <v>26</v>
      </c>
      <c r="F14141" s="54">
        <v>0.05</v>
      </c>
      <c r="G14141" s="51">
        <f>G14138*F14141</f>
        <v>239468.95</v>
      </c>
    </row>
    <row r="14142" spans="1:7" x14ac:dyDescent="0.25">
      <c r="A14142" s="61"/>
      <c r="B14142" s="65"/>
      <c r="C14142" s="65"/>
      <c r="D14142" s="62"/>
      <c r="E14142" s="49" t="s">
        <v>27</v>
      </c>
      <c r="F14142" s="54">
        <v>0.05</v>
      </c>
      <c r="G14142" s="51">
        <f>G14138*F14142</f>
        <v>239468.95</v>
      </c>
    </row>
    <row r="14143" spans="1:7" x14ac:dyDescent="0.25">
      <c r="A14143" s="61"/>
      <c r="B14143" s="62"/>
      <c r="C14143" s="62"/>
      <c r="D14143" s="62"/>
      <c r="E14143" s="62"/>
      <c r="F14143" s="62"/>
      <c r="G14143" s="63"/>
    </row>
    <row r="14144" spans="1:7" x14ac:dyDescent="0.25">
      <c r="A14144" s="219" t="s">
        <v>1517</v>
      </c>
      <c r="B14144" s="219"/>
      <c r="C14144" s="219"/>
      <c r="D14144" s="219"/>
      <c r="E14144" s="219"/>
      <c r="F14144" s="219"/>
      <c r="G14144" s="52">
        <f>G14138+G14140+G14141+G14142</f>
        <v>5986723.75</v>
      </c>
    </row>
    <row r="14145" spans="1:7" x14ac:dyDescent="0.25">
      <c r="A14145" s="59"/>
      <c r="B14145" s="60"/>
      <c r="C14145" s="60"/>
      <c r="D14145" s="60"/>
      <c r="E14145" s="57"/>
      <c r="F14145" s="57"/>
      <c r="G14145" s="58"/>
    </row>
    <row r="14146" spans="1:7" x14ac:dyDescent="0.25">
      <c r="A14146" s="64"/>
      <c r="D14146" s="55"/>
      <c r="E14146" s="49" t="s">
        <v>102</v>
      </c>
      <c r="F14146" s="49" t="s">
        <v>103</v>
      </c>
      <c r="G14146" s="51">
        <f>G14142*19%</f>
        <v>45499.1005</v>
      </c>
    </row>
    <row r="14147" spans="1:7" x14ac:dyDescent="0.25">
      <c r="A14147" s="61"/>
      <c r="B14147" s="62"/>
      <c r="C14147" s="62"/>
      <c r="D14147" s="62"/>
      <c r="E14147" s="57"/>
      <c r="F14147" s="57"/>
      <c r="G14147" s="58"/>
    </row>
    <row r="14148" spans="1:7" x14ac:dyDescent="0.25">
      <c r="A14148" s="219" t="s">
        <v>104</v>
      </c>
      <c r="B14148" s="219"/>
      <c r="C14148" s="219"/>
      <c r="D14148" s="219"/>
      <c r="E14148" s="219"/>
      <c r="F14148" s="219"/>
      <c r="G14148" s="52">
        <f>G14146+G14144</f>
        <v>6032222.8504999997</v>
      </c>
    </row>
    <row r="14150" spans="1:7" x14ac:dyDescent="0.25">
      <c r="A14150" s="74" t="s">
        <v>29</v>
      </c>
      <c r="B14150" s="226" t="s">
        <v>30</v>
      </c>
      <c r="C14150" s="226"/>
      <c r="D14150" s="74" t="s">
        <v>31</v>
      </c>
      <c r="E14150" s="74" t="s">
        <v>32</v>
      </c>
      <c r="F14150" s="74" t="s">
        <v>189</v>
      </c>
      <c r="G14150" s="74" t="s">
        <v>33</v>
      </c>
    </row>
    <row r="14151" spans="1:7" ht="34.5" customHeight="1" x14ac:dyDescent="0.25">
      <c r="A14151" s="50" t="str">
        <f>Presupuesto!B258</f>
        <v>008_N2</v>
      </c>
      <c r="B14151" s="220" t="str">
        <f>Presupuesto!C258</f>
        <v>SUMINISTRO E INSTALACIÓN DE CABLE ACSR 3X 4/0 AWG 15KV PARA CONEXIÓN ENTRE EQUIPOS</v>
      </c>
      <c r="C14151" s="220"/>
      <c r="D14151" s="50" t="s">
        <v>108</v>
      </c>
      <c r="E14151" s="50">
        <v>50</v>
      </c>
      <c r="F14151" s="50"/>
      <c r="G14151" s="51">
        <f>G14219</f>
        <v>153428.51149999999</v>
      </c>
    </row>
    <row r="14152" spans="1:7" x14ac:dyDescent="0.25">
      <c r="A14152" s="219" t="s">
        <v>34</v>
      </c>
      <c r="B14152" s="219"/>
      <c r="C14152" s="219"/>
      <c r="D14152" s="219"/>
      <c r="E14152" s="219"/>
      <c r="F14152" s="219"/>
      <c r="G14152" s="219"/>
    </row>
    <row r="14153" spans="1:7" x14ac:dyDescent="0.25">
      <c r="A14153" s="49" t="s">
        <v>35</v>
      </c>
      <c r="B14153" s="219" t="s">
        <v>36</v>
      </c>
      <c r="C14153" s="219"/>
      <c r="D14153" s="49" t="s">
        <v>37</v>
      </c>
      <c r="E14153" s="49" t="s">
        <v>38</v>
      </c>
      <c r="F14153" s="49" t="s">
        <v>39</v>
      </c>
      <c r="G14153" s="49" t="s">
        <v>40</v>
      </c>
    </row>
    <row r="14154" spans="1:7" x14ac:dyDescent="0.25">
      <c r="A14154" s="17" t="str">
        <f>Material!A190</f>
        <v>MA-189</v>
      </c>
      <c r="B14154" s="72" t="str">
        <f>IFERROR(VLOOKUP(A14154,Material!$A:$J,2,0),"-")</f>
        <v>CABLE ECOLOGICO 4/0 AWG 15KV</v>
      </c>
      <c r="C14154" s="73"/>
      <c r="D14154" s="50" t="str">
        <f>IFERROR(VLOOKUP(A14154,Material!$A:$J,4,0),"-")</f>
        <v>ML</v>
      </c>
      <c r="E14154" s="50">
        <v>3</v>
      </c>
      <c r="F14154" s="51">
        <f>IFERROR(VLOOKUP(A14154,Material!$A:$J,3,0),"-")</f>
        <v>31172.05</v>
      </c>
      <c r="G14154" s="51">
        <f t="shared" ref="G14154:G14160" si="200">IFERROR(ROUNDUP(F14154*E14154,0),"-")</f>
        <v>93517</v>
      </c>
    </row>
    <row r="14155" spans="1:7" x14ac:dyDescent="0.25">
      <c r="A14155" s="17"/>
      <c r="B14155" s="72" t="str">
        <f>IFERROR(VLOOKUP(A14155,Material!$A:$J,2,0),"-")</f>
        <v>-</v>
      </c>
      <c r="C14155" s="73"/>
      <c r="D14155" s="50" t="str">
        <f>IFERROR(VLOOKUP(A14155,Material!$A:$J,4,0),"-")</f>
        <v>-</v>
      </c>
      <c r="E14155" s="50"/>
      <c r="F14155" s="51" t="str">
        <f>IFERROR(VLOOKUP(A14155,Material!$A:$J,3,0),"-")</f>
        <v>-</v>
      </c>
      <c r="G14155" s="51" t="str">
        <f t="shared" si="200"/>
        <v>-</v>
      </c>
    </row>
    <row r="14156" spans="1:7" x14ac:dyDescent="0.25">
      <c r="A14156" s="17"/>
      <c r="B14156" s="72" t="str">
        <f>IFERROR(VLOOKUP(A14156,Material!$A:$J,2,0),"-")</f>
        <v>-</v>
      </c>
      <c r="C14156" s="73"/>
      <c r="D14156" s="50" t="str">
        <f>IFERROR(VLOOKUP(A14156,Material!$A:$J,4,0),"-")</f>
        <v>-</v>
      </c>
      <c r="E14156" s="50"/>
      <c r="F14156" s="51" t="str">
        <f>IFERROR(VLOOKUP(A14156,Material!$A:$J,3,0),"-")</f>
        <v>-</v>
      </c>
      <c r="G14156" s="51" t="str">
        <f t="shared" si="200"/>
        <v>-</v>
      </c>
    </row>
    <row r="14157" spans="1:7" x14ac:dyDescent="0.25">
      <c r="A14157" s="17"/>
      <c r="B14157" s="72" t="str">
        <f>IFERROR(VLOOKUP(A14157,Material!$A:$J,2,0),"-")</f>
        <v>-</v>
      </c>
      <c r="C14157" s="73"/>
      <c r="D14157" s="50" t="str">
        <f>IFERROR(VLOOKUP(A14157,Material!$A:$J,4,0),"-")</f>
        <v>-</v>
      </c>
      <c r="E14157" s="50"/>
      <c r="F14157" s="51" t="str">
        <f>IFERROR(VLOOKUP(A14157,Material!$A:$J,3,0),"-")</f>
        <v>-</v>
      </c>
      <c r="G14157" s="51" t="str">
        <f t="shared" si="200"/>
        <v>-</v>
      </c>
    </row>
    <row r="14158" spans="1:7" x14ac:dyDescent="0.25">
      <c r="A14158" s="17"/>
      <c r="B14158" s="72" t="str">
        <f>IFERROR(VLOOKUP(A14158,Material!$A:$J,2,0),"-")</f>
        <v>-</v>
      </c>
      <c r="C14158" s="73"/>
      <c r="D14158" s="50" t="str">
        <f>IFERROR(VLOOKUP(A14158,Material!$A:$J,4,0),"-")</f>
        <v>-</v>
      </c>
      <c r="E14158" s="50"/>
      <c r="F14158" s="51" t="str">
        <f>IFERROR(VLOOKUP(A14158,Material!$A:$J,3,0),"-")</f>
        <v>-</v>
      </c>
      <c r="G14158" s="51" t="str">
        <f t="shared" si="200"/>
        <v>-</v>
      </c>
    </row>
    <row r="14159" spans="1:7" x14ac:dyDescent="0.25">
      <c r="A14159" s="17"/>
      <c r="B14159" s="72" t="str">
        <f>IFERROR(VLOOKUP(A14159,Material!$A:$J,2,0),"-")</f>
        <v>-</v>
      </c>
      <c r="C14159" s="73"/>
      <c r="D14159" s="50" t="str">
        <f>IFERROR(VLOOKUP(A14159,Material!$A:$J,4,0),"-")</f>
        <v>-</v>
      </c>
      <c r="E14159" s="50"/>
      <c r="F14159" s="51" t="str">
        <f>IFERROR(VLOOKUP(A14159,Material!$A:$J,3,0),"-")</f>
        <v>-</v>
      </c>
      <c r="G14159" s="51" t="str">
        <f t="shared" si="200"/>
        <v>-</v>
      </c>
    </row>
    <row r="14160" spans="1:7" x14ac:dyDescent="0.25">
      <c r="A14160" s="17"/>
      <c r="B14160" s="72" t="str">
        <f>IFERROR(VLOOKUP(A14160,Material!$A:$J,2,0),"-")</f>
        <v>-</v>
      </c>
      <c r="C14160" s="73"/>
      <c r="D14160" s="50" t="str">
        <f>IFERROR(VLOOKUP(A14160,Material!$A:$J,4,0),"-")</f>
        <v>-</v>
      </c>
      <c r="E14160" s="50"/>
      <c r="F14160" s="51" t="str">
        <f>IFERROR(VLOOKUP(A14160,Material!$A:$J,3,0),"-")</f>
        <v>-</v>
      </c>
      <c r="G14160" s="51" t="str">
        <f t="shared" si="200"/>
        <v>-</v>
      </c>
    </row>
    <row r="14161" spans="1:7" x14ac:dyDescent="0.25">
      <c r="A14161" s="219" t="s">
        <v>41</v>
      </c>
      <c r="B14161" s="219"/>
      <c r="C14161" s="219"/>
      <c r="D14161" s="219"/>
      <c r="E14161" s="219"/>
      <c r="F14161" s="219"/>
      <c r="G14161" s="52">
        <f>SUM(G14154:G14160)</f>
        <v>93517</v>
      </c>
    </row>
    <row r="14162" spans="1:7" x14ac:dyDescent="0.25">
      <c r="A14162" s="56"/>
      <c r="B14162" s="57"/>
      <c r="C14162" s="57"/>
      <c r="D14162" s="57"/>
      <c r="E14162" s="57"/>
      <c r="F14162" s="57"/>
      <c r="G14162" s="58"/>
    </row>
    <row r="14163" spans="1:7" x14ac:dyDescent="0.25">
      <c r="A14163" s="219" t="s">
        <v>42</v>
      </c>
      <c r="B14163" s="219"/>
      <c r="C14163" s="219"/>
      <c r="D14163" s="219"/>
      <c r="E14163" s="219"/>
      <c r="F14163" s="219"/>
      <c r="G14163" s="219"/>
    </row>
    <row r="14164" spans="1:7" x14ac:dyDescent="0.25">
      <c r="A14164" s="49" t="s">
        <v>35</v>
      </c>
      <c r="B14164" s="49" t="s">
        <v>36</v>
      </c>
      <c r="C14164" s="49" t="s">
        <v>38</v>
      </c>
      <c r="D14164" s="49" t="s">
        <v>43</v>
      </c>
      <c r="E14164" s="49" t="s">
        <v>44</v>
      </c>
      <c r="F14164" s="49" t="s">
        <v>45</v>
      </c>
      <c r="G14164" s="49" t="s">
        <v>40</v>
      </c>
    </row>
    <row r="14165" spans="1:7" x14ac:dyDescent="0.25">
      <c r="A14165" s="50" t="s">
        <v>319</v>
      </c>
      <c r="B14165" s="68" t="str">
        <f>VLOOKUP(A14165,'[1]Componentes APUs'!$H$1:$L$25,2,0)</f>
        <v>Ingeniero Residente de Obra</v>
      </c>
      <c r="C14165" s="93">
        <v>0.25</v>
      </c>
      <c r="D14165" s="50">
        <f>VLOOKUP(A14165,'[1]Componentes APUs'!$H$1:$L$25,3,0)</f>
        <v>4</v>
      </c>
      <c r="E14165" s="51">
        <f>VLOOKUP(A14165,'[1]Componentes APUs'!$H$1:$L$25,4,0)</f>
        <v>271142.85714285716</v>
      </c>
      <c r="F14165" s="51">
        <f>VLOOKUP(A14165,'[1]Componentes APUs'!$H$1:$L$25,5,0)</f>
        <v>162685.71428571429</v>
      </c>
      <c r="G14165" s="51">
        <f>ROUNDUP((E14165+F14165)*C14165/E14151,0)</f>
        <v>2170</v>
      </c>
    </row>
    <row r="14166" spans="1:7" x14ac:dyDescent="0.25">
      <c r="A14166" s="50" t="s">
        <v>320</v>
      </c>
      <c r="B14166" s="68" t="str">
        <f>VLOOKUP(A14166,'[1]Componentes APUs'!$H$1:$L$25,2,0)</f>
        <v>Tecnico Supervisor</v>
      </c>
      <c r="C14166" s="93">
        <v>0.25</v>
      </c>
      <c r="D14166" s="50">
        <f>VLOOKUP(A14166,'[1]Componentes APUs'!$H$1:$L$25,3,0)</f>
        <v>2.2999999999999998</v>
      </c>
      <c r="E14166" s="51">
        <f>VLOOKUP(A14166,'[1]Componentes APUs'!$H$1:$L$25,4,0)</f>
        <v>155907.14285714284</v>
      </c>
      <c r="F14166" s="51">
        <f>VLOOKUP(A14166,'[1]Componentes APUs'!$H$1:$L$25,5,0)</f>
        <v>93544.285714285696</v>
      </c>
      <c r="G14166" s="51">
        <f>ROUNDUP((E14166+F14166)*C14166/E14151,0)</f>
        <v>1248</v>
      </c>
    </row>
    <row r="14167" spans="1:7" x14ac:dyDescent="0.25">
      <c r="A14167" s="50" t="s">
        <v>46</v>
      </c>
      <c r="B14167" s="68" t="str">
        <f>VLOOKUP(A14167,'[1]Componentes APUs'!$H$1:$L$25,2,0)</f>
        <v>Tecnico Liniero</v>
      </c>
      <c r="C14167" s="93">
        <v>2</v>
      </c>
      <c r="D14167" s="50">
        <f>VLOOKUP(A14167,'[1]Componentes APUs'!$H$1:$L$25,3,0)</f>
        <v>2</v>
      </c>
      <c r="E14167" s="51">
        <f>VLOOKUP(A14167,'[1]Componentes APUs'!$H$1:$L$25,4,0)</f>
        <v>154619.04761904763</v>
      </c>
      <c r="F14167" s="51">
        <f>VLOOKUP(A14167,'[1]Componentes APUs'!$H$1:$L$25,5,0)</f>
        <v>92771.42857142858</v>
      </c>
      <c r="G14167" s="51">
        <f>ROUNDUP((E14167+F14167)*C14167/E14151,0)</f>
        <v>9896</v>
      </c>
    </row>
    <row r="14168" spans="1:7" x14ac:dyDescent="0.25">
      <c r="A14168" s="50" t="s">
        <v>48</v>
      </c>
      <c r="B14168" s="68" t="str">
        <f>VLOOKUP(A14168,'[1]Componentes APUs'!$H$1:$L$25,2,0)</f>
        <v>Ayudante Calificado</v>
      </c>
      <c r="C14168" s="93">
        <v>2</v>
      </c>
      <c r="D14168" s="50">
        <f>VLOOKUP(A14168,'[1]Componentes APUs'!$H$1:$L$25,3,0)</f>
        <v>1.5</v>
      </c>
      <c r="E14168" s="51">
        <f>VLOOKUP(A14168,'[1]Componentes APUs'!$H$1:$L$25,4,0)</f>
        <v>115964.28571428571</v>
      </c>
      <c r="F14168" s="51">
        <f>VLOOKUP(A14168,'[1]Componentes APUs'!$H$1:$L$25,5,0)</f>
        <v>69578.57142857142</v>
      </c>
      <c r="G14168" s="51">
        <f>ROUNDUP((E14168+F14168)*C14168/E14151,0)</f>
        <v>7422</v>
      </c>
    </row>
    <row r="14169" spans="1:7" x14ac:dyDescent="0.25">
      <c r="A14169" s="50" t="s">
        <v>50</v>
      </c>
      <c r="B14169" s="68" t="str">
        <f>VLOOKUP(A14169,'[1]Componentes APUs'!$H$1:$L$25,2,0)</f>
        <v>Profesional en SST</v>
      </c>
      <c r="C14169" s="93">
        <v>0.25</v>
      </c>
      <c r="D14169" s="50">
        <f>VLOOKUP(A14169,'[1]Componentes APUs'!$H$1:$L$25,3,0)</f>
        <v>2.5</v>
      </c>
      <c r="E14169" s="51">
        <f>VLOOKUP(A14169,'[1]Componentes APUs'!$H$1:$L$25,4,0)</f>
        <v>169464.28571428571</v>
      </c>
      <c r="F14169" s="51">
        <f>VLOOKUP(A14169,'[1]Componentes APUs'!$H$1:$L$25,5,0)</f>
        <v>101678.57142857142</v>
      </c>
      <c r="G14169" s="51">
        <f>ROUNDUP((E14169+F14169)*C14169/E14151,0)</f>
        <v>1356</v>
      </c>
    </row>
    <row r="14170" spans="1:7" x14ac:dyDescent="0.25">
      <c r="A14170" s="50" t="s">
        <v>52</v>
      </c>
      <c r="B14170" s="68" t="str">
        <f>VLOOKUP(A14170,'[1]Componentes APUs'!$H$1:$L$25,2,0)</f>
        <v>Ayudante No Calificado</v>
      </c>
      <c r="C14170" s="93">
        <v>0</v>
      </c>
      <c r="D14170" s="50">
        <f>VLOOKUP(A14170,'[1]Componentes APUs'!$H$1:$L$25,3,0)</f>
        <v>1</v>
      </c>
      <c r="E14170" s="51">
        <f>VLOOKUP(A14170,'[1]Componentes APUs'!$H$1:$L$25,4,0)</f>
        <v>77309.523809523816</v>
      </c>
      <c r="F14170" s="51">
        <f>VLOOKUP(A14170,'[1]Componentes APUs'!$H$1:$L$25,5,0)</f>
        <v>46385.71428571429</v>
      </c>
      <c r="G14170" s="51">
        <f>ROUNDUP((E14170+F14170)*C14170/E14151,0)</f>
        <v>0</v>
      </c>
    </row>
    <row r="14171" spans="1:7" x14ac:dyDescent="0.25">
      <c r="A14171" s="219" t="s">
        <v>56</v>
      </c>
      <c r="B14171" s="219"/>
      <c r="C14171" s="219"/>
      <c r="D14171" s="219"/>
      <c r="E14171" s="219"/>
      <c r="F14171" s="219"/>
      <c r="G14171" s="52">
        <f>SUM(G14165:G14170)</f>
        <v>22092</v>
      </c>
    </row>
    <row r="14172" spans="1:7" x14ac:dyDescent="0.25">
      <c r="A14172" s="56"/>
      <c r="B14172" s="57"/>
      <c r="C14172" s="57"/>
      <c r="D14172" s="57"/>
      <c r="E14172" s="57"/>
      <c r="F14172" s="57"/>
      <c r="G14172" s="58"/>
    </row>
    <row r="14173" spans="1:7" x14ac:dyDescent="0.25">
      <c r="A14173" s="219" t="s">
        <v>57</v>
      </c>
      <c r="B14173" s="219"/>
      <c r="C14173" s="219"/>
      <c r="D14173" s="219"/>
      <c r="E14173" s="219"/>
      <c r="F14173" s="219"/>
      <c r="G14173" s="219"/>
    </row>
    <row r="14174" spans="1:7" x14ac:dyDescent="0.25">
      <c r="A14174" s="49" t="s">
        <v>35</v>
      </c>
      <c r="B14174" s="219" t="s">
        <v>36</v>
      </c>
      <c r="C14174" s="219"/>
      <c r="D14174" s="49" t="s">
        <v>37</v>
      </c>
      <c r="E14174" s="49" t="s">
        <v>38</v>
      </c>
      <c r="F14174" s="49" t="s">
        <v>39</v>
      </c>
      <c r="G14174" s="49" t="s">
        <v>40</v>
      </c>
    </row>
    <row r="14175" spans="1:7" x14ac:dyDescent="0.25">
      <c r="A14175" s="50" t="s">
        <v>326</v>
      </c>
      <c r="B14175" s="220" t="str">
        <f>VLOOKUP(A14175,'[1]Componentes APUs'!$S$1:$V$10,2,0)</f>
        <v>Juego Llaves</v>
      </c>
      <c r="C14175" s="220"/>
      <c r="D14175" s="50" t="s">
        <v>18</v>
      </c>
      <c r="E14175" s="50">
        <v>2</v>
      </c>
      <c r="F14175" s="51">
        <f>VLOOKUP(A14175,'[1]Componentes APUs'!$S$1:$V$10,4,0)</f>
        <v>9167</v>
      </c>
      <c r="G14175" s="51">
        <f>ROUNDUP(F14175*((E14175/21)/E14151),0)</f>
        <v>18</v>
      </c>
    </row>
    <row r="14176" spans="1:7" x14ac:dyDescent="0.25">
      <c r="A14176" s="50" t="s">
        <v>58</v>
      </c>
      <c r="B14176" s="220" t="str">
        <f>VLOOKUP(A14176,'[1]Componentes APUs'!$S$1:$V$10,2,0)</f>
        <v>Manila de servicio</v>
      </c>
      <c r="C14176" s="220"/>
      <c r="D14176" s="50" t="s">
        <v>18</v>
      </c>
      <c r="E14176" s="50">
        <v>2</v>
      </c>
      <c r="F14176" s="51">
        <f>VLOOKUP(A14176,'[1]Componentes APUs'!$S$1:$V$10,4,0)</f>
        <v>2333</v>
      </c>
      <c r="G14176" s="51">
        <f>ROUNDUP(F14176*((E14176/21)/E14151),0)</f>
        <v>5</v>
      </c>
    </row>
    <row r="14177" spans="1:7" x14ac:dyDescent="0.25">
      <c r="A14177" s="50" t="s">
        <v>327</v>
      </c>
      <c r="B14177" s="220" t="str">
        <f>VLOOKUP(A14177,'[1]Componentes APUs'!$S$1:$V$10,2,0)</f>
        <v>Tula portaherramientas</v>
      </c>
      <c r="C14177" s="220"/>
      <c r="D14177" s="50" t="s">
        <v>18</v>
      </c>
      <c r="E14177" s="50">
        <v>2</v>
      </c>
      <c r="F14177" s="51">
        <f>VLOOKUP(A14177,'[1]Componentes APUs'!$S$1:$V$10,4,0)</f>
        <v>1250</v>
      </c>
      <c r="G14177" s="51">
        <f>ROUNDUP(F14177*((E14177/21)/E14151),0)</f>
        <v>3</v>
      </c>
    </row>
    <row r="14178" spans="1:7" x14ac:dyDescent="0.25">
      <c r="A14178" s="50" t="s">
        <v>60</v>
      </c>
      <c r="B14178" s="220" t="str">
        <f>VLOOKUP(A14178,'[1]Componentes APUs'!$S$1:$V$10,2,0)</f>
        <v>Agarradoras</v>
      </c>
      <c r="C14178" s="220"/>
      <c r="D14178" s="50" t="s">
        <v>18</v>
      </c>
      <c r="E14178" s="50">
        <v>2</v>
      </c>
      <c r="F14178" s="51">
        <f>VLOOKUP(A14178,'[1]Componentes APUs'!$S$1:$V$10,4,0)</f>
        <v>125000</v>
      </c>
      <c r="G14178" s="51">
        <f>ROUNDUP(F14178*((E14178/21)/E14151),0)</f>
        <v>239</v>
      </c>
    </row>
    <row r="14179" spans="1:7" x14ac:dyDescent="0.25">
      <c r="A14179" s="50" t="s">
        <v>62</v>
      </c>
      <c r="B14179" s="220" t="str">
        <f>VLOOKUP(A14179,'[1]Componentes APUs'!$S$1:$V$10,2,0)</f>
        <v>Templadoras</v>
      </c>
      <c r="C14179" s="220"/>
      <c r="D14179" s="50" t="s">
        <v>18</v>
      </c>
      <c r="E14179" s="50">
        <v>1</v>
      </c>
      <c r="F14179" s="51">
        <f>VLOOKUP(A14179,'[1]Componentes APUs'!$S$1:$V$10,4,0)</f>
        <v>250000</v>
      </c>
      <c r="G14179" s="51">
        <f>ROUNDUP(F14179*((E14179/21)/E14151),0)</f>
        <v>239</v>
      </c>
    </row>
    <row r="14180" spans="1:7" x14ac:dyDescent="0.25">
      <c r="A14180" s="50" t="s">
        <v>328</v>
      </c>
      <c r="B14180" s="220" t="str">
        <f>VLOOKUP(A14180,'[1]Componentes APUs'!$S$1:$V$10,2,0)</f>
        <v>Herramienta Menor</v>
      </c>
      <c r="C14180" s="220"/>
      <c r="D14180" s="50" t="s">
        <v>18</v>
      </c>
      <c r="E14180" s="50">
        <v>2</v>
      </c>
      <c r="F14180" s="51">
        <f>VLOOKUP(A14180,'[1]Componentes APUs'!$S$1:$V$10,4,0)</f>
        <v>75758</v>
      </c>
      <c r="G14180" s="51">
        <f>ROUNDUP(F14180*((E14180/21)/E14151),0)</f>
        <v>145</v>
      </c>
    </row>
    <row r="14181" spans="1:7" x14ac:dyDescent="0.25">
      <c r="A14181" s="219" t="s">
        <v>69</v>
      </c>
      <c r="B14181" s="219"/>
      <c r="C14181" s="219"/>
      <c r="D14181" s="219"/>
      <c r="E14181" s="219"/>
      <c r="F14181" s="219"/>
      <c r="G14181" s="52">
        <f>SUM(G14175:G14180)</f>
        <v>649</v>
      </c>
    </row>
    <row r="14182" spans="1:7" x14ac:dyDescent="0.25">
      <c r="A14182" s="56"/>
      <c r="B14182" s="57"/>
      <c r="C14182" s="57"/>
      <c r="D14182" s="57"/>
      <c r="E14182" s="57"/>
      <c r="F14182" s="57"/>
      <c r="G14182" s="58"/>
    </row>
    <row r="14183" spans="1:7" x14ac:dyDescent="0.25">
      <c r="A14183" s="219" t="s">
        <v>70</v>
      </c>
      <c r="B14183" s="219"/>
      <c r="C14183" s="219"/>
      <c r="D14183" s="219"/>
      <c r="E14183" s="219"/>
      <c r="F14183" s="219"/>
      <c r="G14183" s="219"/>
    </row>
    <row r="14184" spans="1:7" x14ac:dyDescent="0.25">
      <c r="A14184" s="49" t="s">
        <v>35</v>
      </c>
      <c r="B14184" s="219" t="s">
        <v>36</v>
      </c>
      <c r="C14184" s="219"/>
      <c r="D14184" s="49" t="s">
        <v>37</v>
      </c>
      <c r="E14184" s="49" t="s">
        <v>38</v>
      </c>
      <c r="F14184" s="49" t="s">
        <v>39</v>
      </c>
      <c r="G14184" s="49" t="s">
        <v>40</v>
      </c>
    </row>
    <row r="14185" spans="1:7" x14ac:dyDescent="0.25">
      <c r="A14185" s="50" t="s">
        <v>71</v>
      </c>
      <c r="B14185" s="71" t="str">
        <f>VLOOKUP(A14185,'[1]Componentes APUs'!$A$1:$D$14,2,0)</f>
        <v>Camisa indigo sin partes metalicas</v>
      </c>
      <c r="C14185" s="71"/>
      <c r="D14185" s="50" t="str">
        <f>VLOOKUP(A14185,'[1]Componentes APUs'!$A$1:$D$14,3,0)</f>
        <v>U</v>
      </c>
      <c r="E14185" s="50">
        <f>SUM(C14165:C14170)</f>
        <v>4.75</v>
      </c>
      <c r="F14185" s="51">
        <f>VLOOKUP(A14185,'[1]Componentes APUs'!$A$1:$D$14,4,0)</f>
        <v>8585.8585858585866</v>
      </c>
      <c r="G14185" s="51">
        <f>ROUNDUP(F14185*(E14185/21)/E14151,0)</f>
        <v>39</v>
      </c>
    </row>
    <row r="14186" spans="1:7" x14ac:dyDescent="0.25">
      <c r="A14186" s="69" t="s">
        <v>73</v>
      </c>
      <c r="B14186" s="72" t="str">
        <f>VLOOKUP(A14186,'[1]Componentes APUs'!$A$1:$D$14,2,0)</f>
        <v>Bota de seguridad dielectrica</v>
      </c>
      <c r="C14186" s="73"/>
      <c r="D14186" s="70" t="str">
        <f>VLOOKUP(A14186,'[1]Componentes APUs'!$A$1:$D$14,3,0)</f>
        <v>Par</v>
      </c>
      <c r="E14186" s="50">
        <f>SUM(C14165:C14170)</f>
        <v>4.75</v>
      </c>
      <c r="F14186" s="51">
        <f>VLOOKUP(A14186,'[1]Componentes APUs'!$A$1:$D$14,4,0)</f>
        <v>7500</v>
      </c>
      <c r="G14186" s="51">
        <f>ROUNDUP(F14186*(E14186/21)/E14151,0)</f>
        <v>34</v>
      </c>
    </row>
    <row r="14187" spans="1:7" x14ac:dyDescent="0.25">
      <c r="A14187" s="50" t="s">
        <v>76</v>
      </c>
      <c r="B14187" s="72" t="str">
        <f>VLOOKUP(A14187,'[1]Componentes APUs'!$A$1:$D$14,2,0)</f>
        <v>Casco dielectrico Tipo 1 Clase E con barbuquejo</v>
      </c>
      <c r="C14187" s="73"/>
      <c r="D14187" s="50" t="str">
        <f>VLOOKUP(A14187,'[1]Componentes APUs'!$A$1:$D$14,3,0)</f>
        <v>U</v>
      </c>
      <c r="E14187" s="50">
        <f>C14165+C14166+C14168+C14169+C14170+IF(A14167&lt;&gt;"MO-3",C14167,0)</f>
        <v>2.75</v>
      </c>
      <c r="F14187" s="51">
        <f>VLOOKUP(A14187,'[1]Componentes APUs'!$A$1:$D$14,4,0)</f>
        <v>10101.010101010101</v>
      </c>
      <c r="G14187" s="51">
        <f>ROUNDUP(F14187*(E14187/21)/E14151,0)</f>
        <v>27</v>
      </c>
    </row>
    <row r="14188" spans="1:7" x14ac:dyDescent="0.25">
      <c r="A14188" s="69" t="s">
        <v>77</v>
      </c>
      <c r="B14188" s="72" t="str">
        <f>VLOOKUP(A14188,'[1]Componentes APUs'!$A$1:$D$14,2,0)</f>
        <v>Correa plastica y antiflama</v>
      </c>
      <c r="C14188" s="73"/>
      <c r="D14188" s="50" t="str">
        <f>VLOOKUP(A14188,'[1]Componentes APUs'!$A$1:$D$14,3,0)</f>
        <v>U</v>
      </c>
      <c r="E14188" s="50">
        <f>SUM(C14165:C14170)</f>
        <v>4.75</v>
      </c>
      <c r="F14188" s="51">
        <f>VLOOKUP(A14188,'[1]Componentes APUs'!$A$1:$D$14,4,0)</f>
        <v>3787.878787878788</v>
      </c>
      <c r="G14188" s="51">
        <f>ROUNDUP(F14188*(E14188/21)/E14151,0)</f>
        <v>18</v>
      </c>
    </row>
    <row r="14189" spans="1:7" x14ac:dyDescent="0.25">
      <c r="A14189" s="50" t="s">
        <v>79</v>
      </c>
      <c r="B14189" s="72" t="str">
        <f>VLOOKUP(A14189,'[1]Componentes APUs'!$A$1:$D$14,2,0)</f>
        <v>Gafas protectoras filtro UV</v>
      </c>
      <c r="C14189" s="73"/>
      <c r="D14189" s="50" t="str">
        <f>VLOOKUP(A14189,'[1]Componentes APUs'!$A$1:$D$14,3,0)</f>
        <v>U</v>
      </c>
      <c r="E14189" s="50">
        <f>SUM(C14165:C14170)</f>
        <v>4.75</v>
      </c>
      <c r="F14189" s="51">
        <f>VLOOKUP(A14189,'[1]Componentes APUs'!$A$1:$D$14,4,0)</f>
        <v>2777.7777777777778</v>
      </c>
      <c r="G14189" s="51">
        <f>ROUNDUP(F14189*(E14189/21)/E14151,0)</f>
        <v>13</v>
      </c>
    </row>
    <row r="14190" spans="1:7" x14ac:dyDescent="0.25">
      <c r="A14190" s="69" t="s">
        <v>402</v>
      </c>
      <c r="B14190" s="72" t="str">
        <f>VLOOKUP(A14190,'[1]Componentes APUs'!$A$1:$D$14,2,0)</f>
        <v>Bota de seguridad PVC dielectrica</v>
      </c>
      <c r="C14190" s="73"/>
      <c r="D14190" s="50" t="str">
        <f>VLOOKUP(A14190,'[1]Componentes APUs'!$A$1:$D$14,3,0)</f>
        <v>Par</v>
      </c>
      <c r="E14190" s="50">
        <f>SUM(C14165:C14170)</f>
        <v>4.75</v>
      </c>
      <c r="F14190" s="51">
        <f>VLOOKUP(A14190,'[1]Componentes APUs'!$A$1:$D$14,4,0)</f>
        <v>2916.6666666666665</v>
      </c>
      <c r="G14190" s="51">
        <f>ROUNDUP(F14190*(E14190/21)/E14151,0)</f>
        <v>14</v>
      </c>
    </row>
    <row r="14191" spans="1:7" x14ac:dyDescent="0.25">
      <c r="A14191" s="50" t="s">
        <v>403</v>
      </c>
      <c r="B14191" s="72" t="str">
        <f>VLOOKUP(A14191,'[1]Componentes APUs'!$A$1:$D$14,2,0)</f>
        <v>Capuchon</v>
      </c>
      <c r="C14191" s="73"/>
      <c r="D14191" s="50" t="str">
        <f>VLOOKUP(A14191,'[1]Componentes APUs'!$A$1:$D$14,3,0)</f>
        <v>U</v>
      </c>
      <c r="E14191" s="50">
        <f>SUM(C14165:C14170)</f>
        <v>4.75</v>
      </c>
      <c r="F14191" s="51">
        <f>VLOOKUP(A14191,'[1]Componentes APUs'!$A$1:$D$14,4,0)</f>
        <v>2525.2525252525252</v>
      </c>
      <c r="G14191" s="51">
        <f>ROUNDUP(F14191*(E14191/21)/E14151,0)</f>
        <v>12</v>
      </c>
    </row>
    <row r="14192" spans="1:7" x14ac:dyDescent="0.25">
      <c r="A14192" s="69" t="s">
        <v>81</v>
      </c>
      <c r="B14192" s="72" t="str">
        <f>VLOOKUP(A14192,'[1]Componentes APUs'!$A$1:$D$14,2,0)</f>
        <v>Guantes Protectores  - ingeniero reforzados</v>
      </c>
      <c r="C14192" s="73"/>
      <c r="D14192" s="50" t="str">
        <f>VLOOKUP(A14192,'[1]Componentes APUs'!$A$1:$D$14,3,0)</f>
        <v>Par</v>
      </c>
      <c r="E14192" s="50">
        <f>C14167+C14168+C14170</f>
        <v>4</v>
      </c>
      <c r="F14192" s="51">
        <f>VLOOKUP(A14192,'[1]Componentes APUs'!$A$1:$D$14,4,0)</f>
        <v>2525.2525252525252</v>
      </c>
      <c r="G14192" s="51">
        <f>ROUNDUP(F14192*(E14192/21)/E14151,0)</f>
        <v>10</v>
      </c>
    </row>
    <row r="14193" spans="1:7" x14ac:dyDescent="0.25">
      <c r="A14193" s="50" t="s">
        <v>83</v>
      </c>
      <c r="B14193" s="72" t="str">
        <f>VLOOKUP(A14193,'[1]Componentes APUs'!$A$1:$D$14,2,0)</f>
        <v>Impermeable (pantalon camisa)</v>
      </c>
      <c r="C14193" s="73"/>
      <c r="D14193" s="50" t="str">
        <f>VLOOKUP(A14193,'[1]Componentes APUs'!$A$1:$D$14,3,0)</f>
        <v>U</v>
      </c>
      <c r="E14193" s="50">
        <f>SUM(C14165:C14170)</f>
        <v>4.75</v>
      </c>
      <c r="F14193" s="51">
        <f>VLOOKUP(A14193,'[1]Componentes APUs'!$A$1:$D$14,4,0)</f>
        <v>3750</v>
      </c>
      <c r="G14193" s="51">
        <f>ROUNDUP(F14193*(E14193/21)/E14151,0)</f>
        <v>17</v>
      </c>
    </row>
    <row r="14194" spans="1:7" x14ac:dyDescent="0.25">
      <c r="A14194" s="69" t="s">
        <v>85</v>
      </c>
      <c r="B14194" s="72" t="str">
        <f>VLOOKUP(A14194,'[1]Componentes APUs'!$A$1:$D$14,2,0)</f>
        <v>Jean Dielectrico</v>
      </c>
      <c r="C14194" s="73"/>
      <c r="D14194" s="50" t="str">
        <f>VLOOKUP(A14194,'[1]Componentes APUs'!$A$1:$D$14,3,0)</f>
        <v>U</v>
      </c>
      <c r="E14194" s="50">
        <f>SUM(C14165:C14170)</f>
        <v>4.75</v>
      </c>
      <c r="F14194" s="51">
        <f>VLOOKUP(A14194,'[1]Componentes APUs'!$A$1:$D$14,4,0)</f>
        <v>7575.757575757576</v>
      </c>
      <c r="G14194" s="51">
        <f>ROUNDUP(F14194*(E14194/21)/E14151,0)</f>
        <v>35</v>
      </c>
    </row>
    <row r="14195" spans="1:7" x14ac:dyDescent="0.25">
      <c r="A14195" s="50" t="s">
        <v>87</v>
      </c>
      <c r="B14195" s="72" t="str">
        <f>VLOOKUP(A14195,'[1]Componentes APUs'!$A$1:$D$14,2,0)</f>
        <v>Casco dielectrico Tipo 2 Clase E con barboquejo</v>
      </c>
      <c r="C14195" s="73"/>
      <c r="D14195" s="50" t="str">
        <f>VLOOKUP(A14195,'[1]Componentes APUs'!$A$1:$D$14,3,0)</f>
        <v>U</v>
      </c>
      <c r="E14195" s="53">
        <f>IF(A14167="MO-3",C14167,0)</f>
        <v>2</v>
      </c>
      <c r="F14195" s="51">
        <f>VLOOKUP(A14195,'[1]Componentes APUs'!$A$1:$D$14,4,0)</f>
        <v>7500</v>
      </c>
      <c r="G14195" s="51">
        <f>ROUNDUP(F14195*(E14195/21)/E14151,0)</f>
        <v>15</v>
      </c>
    </row>
    <row r="14196" spans="1:7" x14ac:dyDescent="0.25">
      <c r="A14196" s="69" t="s">
        <v>89</v>
      </c>
      <c r="B14196" s="72" t="str">
        <f>VLOOKUP(A14196,'[1]Componentes APUs'!$A$1:$D$14,2,0)</f>
        <v>Kit de rescate para trabajo en alturas</v>
      </c>
      <c r="C14196" s="73"/>
      <c r="D14196" s="50" t="str">
        <f>VLOOKUP(A14196,'[1]Componentes APUs'!$A$1:$D$14,3,0)</f>
        <v>U</v>
      </c>
      <c r="E14196" s="50">
        <f>IF(AND(A14167="MO-3",C14167=2),1,0)</f>
        <v>1</v>
      </c>
      <c r="F14196" s="51">
        <f>VLOOKUP(A14196,'[1]Componentes APUs'!$A$1:$D$14,4,0)</f>
        <v>37500</v>
      </c>
      <c r="G14196" s="51">
        <f>ROUNDUP(F14196*(E14196/21)/E14151,0)</f>
        <v>36</v>
      </c>
    </row>
    <row r="14197" spans="1:7" x14ac:dyDescent="0.25">
      <c r="A14197" s="50" t="s">
        <v>91</v>
      </c>
      <c r="B14197" s="72" t="str">
        <f>VLOOKUP(A14197,'[1]Componentes APUs'!$A$1:$D$14,2,0)</f>
        <v>Equipo completo para trabajo en alturas con pretales (Arnes dielectrico, 1 mosqueton de seguridad, tie off dielectrico, eslinga de posicionamiento, juego de pretales)</v>
      </c>
      <c r="C14197" s="73"/>
      <c r="D14197" s="50" t="str">
        <f>VLOOKUP(A14197,'[1]Componentes APUs'!$A$1:$D$14,3,0)</f>
        <v>U</v>
      </c>
      <c r="E14197" s="50">
        <f>IF(A14167="MO-3",C14167,0)</f>
        <v>2</v>
      </c>
      <c r="F14197" s="51">
        <f>VLOOKUP(A14197,'[1]Componentes APUs'!$A$1:$D$14,4,0)</f>
        <v>26041.666666666668</v>
      </c>
      <c r="G14197" s="51">
        <f>ROUNDUP(F14197*(E14197/21)/E14151,0)</f>
        <v>50</v>
      </c>
    </row>
    <row r="14198" spans="1:7" x14ac:dyDescent="0.25">
      <c r="A14198" s="219" t="s">
        <v>95</v>
      </c>
      <c r="B14198" s="219"/>
      <c r="C14198" s="219"/>
      <c r="D14198" s="219"/>
      <c r="E14198" s="219"/>
      <c r="F14198" s="219"/>
      <c r="G14198" s="52">
        <f>SUM(G14185:G14197)</f>
        <v>320</v>
      </c>
    </row>
    <row r="14199" spans="1:7" x14ac:dyDescent="0.25">
      <c r="A14199" s="56"/>
      <c r="B14199" s="57"/>
      <c r="C14199" s="57"/>
      <c r="D14199" s="57"/>
      <c r="E14199" s="57"/>
      <c r="F14199" s="57"/>
      <c r="G14199" s="58"/>
    </row>
    <row r="14200" spans="1:7" x14ac:dyDescent="0.25">
      <c r="A14200" s="219" t="s">
        <v>96</v>
      </c>
      <c r="B14200" s="219"/>
      <c r="C14200" s="219"/>
      <c r="D14200" s="219"/>
      <c r="E14200" s="219"/>
      <c r="F14200" s="219"/>
      <c r="G14200" s="219"/>
    </row>
    <row r="14201" spans="1:7" x14ac:dyDescent="0.25">
      <c r="A14201" s="49" t="s">
        <v>35</v>
      </c>
      <c r="B14201" s="225" t="s">
        <v>36</v>
      </c>
      <c r="C14201" s="225"/>
      <c r="D14201" s="49" t="s">
        <v>37</v>
      </c>
      <c r="E14201" s="49" t="s">
        <v>38</v>
      </c>
      <c r="F14201" s="49" t="s">
        <v>39</v>
      </c>
      <c r="G14201" s="49" t="s">
        <v>40</v>
      </c>
    </row>
    <row r="14202" spans="1:7" x14ac:dyDescent="0.25">
      <c r="A14202" s="69" t="s">
        <v>97</v>
      </c>
      <c r="B14202" s="72" t="str">
        <f>VLOOKUP(A14202,'[1]Componentes APUs'!$N$1:$Q$30,2,0)</f>
        <v>Camioneta</v>
      </c>
      <c r="C14202" s="73"/>
      <c r="D14202" s="70" t="str">
        <f>VLOOKUP(A14202,'[1]Componentes APUs'!$N$1:$Q$30,3,0)</f>
        <v>U</v>
      </c>
      <c r="E14202" s="50">
        <v>1</v>
      </c>
      <c r="F14202" s="51">
        <f>VLOOKUP(A14202,'[1]Componentes APUs'!$N$1:$Q$30,4,0)</f>
        <v>5500000</v>
      </c>
      <c r="G14202" s="51">
        <f>IFERROR(ROUNDUP(F14202*(E14202/21)/E14151,0),"-")</f>
        <v>5239</v>
      </c>
    </row>
    <row r="14203" spans="1:7" x14ac:dyDescent="0.25">
      <c r="A14203" s="50" t="s">
        <v>321</v>
      </c>
      <c r="B14203" s="72" t="str">
        <f>VLOOKUP(A14203,'[1]Componentes APUs'!$N$1:$Q$30,2,0)</f>
        <v>Grúa Hidráulica</v>
      </c>
      <c r="C14203" s="73"/>
      <c r="D14203" s="70" t="str">
        <f>VLOOKUP(A14203,'[1]Componentes APUs'!$N$1:$Q$30,3,0)</f>
        <v>U</v>
      </c>
      <c r="E14203" s="50">
        <v>0</v>
      </c>
      <c r="F14203" s="51">
        <f>VLOOKUP(A14203,'[1]Componentes APUs'!$N$1:$Q$30,4,0)</f>
        <v>21000000</v>
      </c>
      <c r="G14203" s="51">
        <f>IFERROR(ROUNDUP(F14203*(E14203/21)/E14151,0),"-")</f>
        <v>0</v>
      </c>
    </row>
    <row r="14204" spans="1:7" x14ac:dyDescent="0.25">
      <c r="A14204" s="69" t="s">
        <v>322</v>
      </c>
      <c r="B14204" s="72" t="str">
        <f>VLOOKUP(A14204,'[1]Componentes APUs'!$N$1:$Q$30,2,0)</f>
        <v>Camabaja</v>
      </c>
      <c r="C14204" s="73"/>
      <c r="D14204" s="70" t="str">
        <f>VLOOKUP(A14204,'[1]Componentes APUs'!$N$1:$Q$30,3,0)</f>
        <v>TON/KM</v>
      </c>
      <c r="E14204" s="50">
        <v>0</v>
      </c>
      <c r="F14204" s="51">
        <f>VLOOKUP(A14204,'[1]Componentes APUs'!$N$1:$Q$30,4,0)</f>
        <v>611</v>
      </c>
      <c r="G14204" s="51">
        <f>IFERROR(ROUNDUP(F14204*(E14204/21)/E14151,0),"-")</f>
        <v>0</v>
      </c>
    </row>
    <row r="14205" spans="1:7" x14ac:dyDescent="0.25">
      <c r="A14205" s="50" t="s">
        <v>323</v>
      </c>
      <c r="B14205" s="72" t="str">
        <f>VLOOKUP(A14205,'[1]Componentes APUs'!$N$1:$Q$30,2,0)</f>
        <v>Volqueta</v>
      </c>
      <c r="C14205" s="73"/>
      <c r="D14205" s="70" t="str">
        <f>VLOOKUP(A14205,'[1]Componentes APUs'!$N$1:$Q$30,3,0)</f>
        <v>U</v>
      </c>
      <c r="E14205" s="50">
        <v>0</v>
      </c>
      <c r="F14205" s="51">
        <f>VLOOKUP(A14205,'[1]Componentes APUs'!$N$1:$Q$30,4,0)</f>
        <v>18900000</v>
      </c>
      <c r="G14205" s="51">
        <f>IFERROR(ROUNDUP(F14205*(E14205/21)/E14151,0),"-")</f>
        <v>0</v>
      </c>
    </row>
    <row r="14206" spans="1:7" x14ac:dyDescent="0.25">
      <c r="A14206" s="69" t="s">
        <v>324</v>
      </c>
      <c r="B14206" s="72" t="str">
        <f>VLOOKUP(A14206,'[1]Componentes APUs'!$N$1:$Q$30,2,0)</f>
        <v>Retroexcavadora</v>
      </c>
      <c r="C14206" s="73"/>
      <c r="D14206" s="70" t="str">
        <f>VLOOKUP(A14206,'[1]Componentes APUs'!$N$1:$Q$30,3,0)</f>
        <v>U</v>
      </c>
      <c r="E14206" s="50">
        <v>0</v>
      </c>
      <c r="F14206" s="51">
        <f>VLOOKUP(A14206,'[1]Componentes APUs'!$N$1:$Q$30,4,0)</f>
        <v>1494459.54</v>
      </c>
      <c r="G14206" s="51">
        <f>IFERROR(ROUNDUP(F14206*(E14206/21)/E14151,0),"-")</f>
        <v>0</v>
      </c>
    </row>
    <row r="14207" spans="1:7" x14ac:dyDescent="0.25">
      <c r="A14207" s="219" t="s">
        <v>99</v>
      </c>
      <c r="B14207" s="219"/>
      <c r="C14207" s="219"/>
      <c r="D14207" s="219"/>
      <c r="E14207" s="219"/>
      <c r="F14207" s="219"/>
      <c r="G14207" s="52">
        <f>SUM(G14202:G14206)</f>
        <v>5239</v>
      </c>
    </row>
    <row r="14208" spans="1:7" x14ac:dyDescent="0.25">
      <c r="A14208" s="56"/>
      <c r="B14208" s="57"/>
      <c r="C14208" s="57"/>
      <c r="D14208" s="57"/>
      <c r="E14208" s="57"/>
      <c r="F14208" s="57"/>
      <c r="G14208" s="58"/>
    </row>
    <row r="14209" spans="1:7" x14ac:dyDescent="0.25">
      <c r="A14209" s="219" t="s">
        <v>1516</v>
      </c>
      <c r="B14209" s="219"/>
      <c r="C14209" s="219"/>
      <c r="D14209" s="219"/>
      <c r="E14209" s="219"/>
      <c r="F14209" s="219"/>
      <c r="G14209" s="52">
        <f>G14207+G14198+G14181+G14171+G14161</f>
        <v>121817</v>
      </c>
    </row>
    <row r="14210" spans="1:7" x14ac:dyDescent="0.25">
      <c r="A14210" s="59"/>
      <c r="B14210" s="60"/>
      <c r="C14210" s="60"/>
      <c r="D14210" s="60"/>
      <c r="E14210" s="57"/>
      <c r="F14210" s="57"/>
      <c r="G14210" s="58"/>
    </row>
    <row r="14211" spans="1:7" x14ac:dyDescent="0.25">
      <c r="A14211" s="64"/>
      <c r="D14211" s="55"/>
      <c r="E14211" s="49" t="s">
        <v>25</v>
      </c>
      <c r="F14211" s="54">
        <v>0.15</v>
      </c>
      <c r="G14211" s="51">
        <f>G14209*F14211</f>
        <v>18272.55</v>
      </c>
    </row>
    <row r="14212" spans="1:7" x14ac:dyDescent="0.25">
      <c r="A14212" s="64"/>
      <c r="D14212" s="55"/>
      <c r="E14212" s="49" t="s">
        <v>26</v>
      </c>
      <c r="F14212" s="54">
        <v>0.05</v>
      </c>
      <c r="G14212" s="51">
        <f>G14209*F14212</f>
        <v>6090.85</v>
      </c>
    </row>
    <row r="14213" spans="1:7" x14ac:dyDescent="0.25">
      <c r="A14213" s="61"/>
      <c r="B14213" s="65"/>
      <c r="C14213" s="65"/>
      <c r="D14213" s="62"/>
      <c r="E14213" s="49" t="s">
        <v>27</v>
      </c>
      <c r="F14213" s="54">
        <v>0.05</v>
      </c>
      <c r="G14213" s="51">
        <f>G14209*F14213</f>
        <v>6090.85</v>
      </c>
    </row>
    <row r="14214" spans="1:7" x14ac:dyDescent="0.25">
      <c r="A14214" s="61"/>
      <c r="B14214" s="62"/>
      <c r="C14214" s="62"/>
      <c r="D14214" s="62"/>
      <c r="E14214" s="62"/>
      <c r="F14214" s="62"/>
      <c r="G14214" s="63"/>
    </row>
    <row r="14215" spans="1:7" x14ac:dyDescent="0.25">
      <c r="A14215" s="219" t="s">
        <v>1517</v>
      </c>
      <c r="B14215" s="219"/>
      <c r="C14215" s="219"/>
      <c r="D14215" s="219"/>
      <c r="E14215" s="219"/>
      <c r="F14215" s="219"/>
      <c r="G14215" s="52">
        <f>G14209+G14211+G14212+G14213</f>
        <v>152271.25</v>
      </c>
    </row>
    <row r="14216" spans="1:7" x14ac:dyDescent="0.25">
      <c r="A14216" s="59"/>
      <c r="B14216" s="60"/>
      <c r="C14216" s="60"/>
      <c r="D14216" s="60"/>
      <c r="E14216" s="57"/>
      <c r="F14216" s="57"/>
      <c r="G14216" s="58"/>
    </row>
    <row r="14217" spans="1:7" x14ac:dyDescent="0.25">
      <c r="A14217" s="64"/>
      <c r="D14217" s="55"/>
      <c r="E14217" s="49" t="s">
        <v>102</v>
      </c>
      <c r="F14217" s="49" t="s">
        <v>103</v>
      </c>
      <c r="G14217" s="51">
        <f>G14213*19%</f>
        <v>1157.2615000000001</v>
      </c>
    </row>
    <row r="14218" spans="1:7" x14ac:dyDescent="0.25">
      <c r="A14218" s="61"/>
      <c r="B14218" s="62"/>
      <c r="C14218" s="62"/>
      <c r="D14218" s="62"/>
      <c r="E14218" s="57"/>
      <c r="F14218" s="57"/>
      <c r="G14218" s="58"/>
    </row>
    <row r="14219" spans="1:7" x14ac:dyDescent="0.25">
      <c r="A14219" s="219" t="s">
        <v>104</v>
      </c>
      <c r="B14219" s="219"/>
      <c r="C14219" s="219"/>
      <c r="D14219" s="219"/>
      <c r="E14219" s="219"/>
      <c r="F14219" s="219"/>
      <c r="G14219" s="52">
        <f>G14217+G14215</f>
        <v>153428.51149999999</v>
      </c>
    </row>
    <row r="14221" spans="1:7" x14ac:dyDescent="0.25">
      <c r="A14221" s="74" t="s">
        <v>29</v>
      </c>
      <c r="B14221" s="226" t="s">
        <v>30</v>
      </c>
      <c r="C14221" s="226"/>
      <c r="D14221" s="74" t="s">
        <v>31</v>
      </c>
      <c r="E14221" s="74" t="s">
        <v>32</v>
      </c>
      <c r="F14221" s="74" t="s">
        <v>189</v>
      </c>
      <c r="G14221" s="74" t="s">
        <v>33</v>
      </c>
    </row>
    <row r="14222" spans="1:7" ht="96.75" customHeight="1" x14ac:dyDescent="0.25">
      <c r="A14222" s="50" t="str">
        <f>Presupuesto!B261</f>
        <v>010_N2</v>
      </c>
      <c r="B14222" s="220" t="str">
        <f>Presupuesto!C261</f>
        <v>SUMINISTRO, TRANSPORTE E INSTALACIÓN DE RECONECTADOR TRIFÁSICO (R). UM:15KV, IN: 630A, ISC:12.5KA MIN, LIWV:170KV. INCLUYE CONTROL MICROPROCESADOR DE ÚLTIMA TECNOLOGÍA, CABLES DE 6M, DPS, Y PRENSACABLES Y TARJETA DE COMUNICACIÓN LAN DUAL ETHERNET RJ45 Y ÓPTICA MTRJ, 6 SENSORES DE TENSIÓN, 3 SENSORES DE CORRIENTE, DPS DE BAJA TENSIÓN BIFÁSICO/TRIFILAR 175VAC - 5KA, UN GABINETE DE COMUNICACIÓN QUE INCLUYA RADIO Y ANTENA, BATERIA DE RESPALDO Y CARGADOR.</v>
      </c>
      <c r="C14222" s="220"/>
      <c r="D14222" s="50" t="s">
        <v>108</v>
      </c>
      <c r="E14222" s="50">
        <v>0.6</v>
      </c>
      <c r="F14222" s="50"/>
      <c r="G14222" s="51">
        <f>G14285</f>
        <v>165044733.89799997</v>
      </c>
    </row>
    <row r="14223" spans="1:7" x14ac:dyDescent="0.25">
      <c r="A14223" s="219" t="s">
        <v>34</v>
      </c>
      <c r="B14223" s="219"/>
      <c r="C14223" s="219"/>
      <c r="D14223" s="219"/>
      <c r="E14223" s="219"/>
      <c r="F14223" s="219"/>
      <c r="G14223" s="219"/>
    </row>
    <row r="14224" spans="1:7" x14ac:dyDescent="0.25">
      <c r="A14224" s="49" t="s">
        <v>35</v>
      </c>
      <c r="B14224" s="219" t="s">
        <v>36</v>
      </c>
      <c r="C14224" s="219"/>
      <c r="D14224" s="49" t="s">
        <v>37</v>
      </c>
      <c r="E14224" s="49" t="s">
        <v>38</v>
      </c>
      <c r="F14224" s="49" t="s">
        <v>39</v>
      </c>
      <c r="G14224" s="49" t="s">
        <v>40</v>
      </c>
    </row>
    <row r="14225" spans="1:7" ht="77.25" customHeight="1" x14ac:dyDescent="0.25">
      <c r="A14225" s="17" t="str">
        <f>Material!A46</f>
        <v>MA-45</v>
      </c>
      <c r="B14225" s="221" t="str">
        <f>IFERROR(VLOOKUP(A14225,Material!$A:$J,2,0),"-")</f>
        <v>RECONECTADOR TRIFÁSICO (R). UM:15KV, IN: 630A, ISC:12.5KA MIN, LIWV:170KV. INCLUYE CONTROL MICROPROCESADOR DE ÚLTIMA TECNOLOGÍA, CABLES DE 6M, PRENSACABLES Y TARJETA DE COMUNICACIÓN LAN DUAL ETHERNET RJ45 Y ÓPTICA MTRJ, 3 SENSORES DE TENSIÓN, 3 SENSORES DE CORRIENTE, UN GABINETE DE COMUNICACIÓN QUE INCLUYA RADIO Y ANTENA, BATERIA DE RESPALDO Y CARGADOR.</v>
      </c>
      <c r="C14225" s="222"/>
      <c r="D14225" s="50" t="str">
        <f>IFERROR(VLOOKUP(A14225,Material!$A:$J,4,0),"-")</f>
        <v>UN</v>
      </c>
      <c r="E14225" s="50">
        <v>1</v>
      </c>
      <c r="F14225" s="51">
        <f>IFERROR(VLOOKUP(A14225,Material!$A:$J,3,0),"-")</f>
        <v>128787750</v>
      </c>
      <c r="G14225" s="51">
        <f t="shared" ref="G14225" si="201">IFERROR(ROUNDUP(F14225*E14225,0),"-")</f>
        <v>128787750</v>
      </c>
    </row>
    <row r="14226" spans="1:7" x14ac:dyDescent="0.25">
      <c r="A14226" s="219" t="s">
        <v>41</v>
      </c>
      <c r="B14226" s="219"/>
      <c r="C14226" s="219"/>
      <c r="D14226" s="219"/>
      <c r="E14226" s="219"/>
      <c r="F14226" s="219"/>
      <c r="G14226" s="52">
        <f>SUM(G14225:G14225)</f>
        <v>128787750</v>
      </c>
    </row>
    <row r="14227" spans="1:7" x14ac:dyDescent="0.25">
      <c r="A14227" s="56"/>
      <c r="B14227" s="57"/>
      <c r="C14227" s="57"/>
      <c r="D14227" s="57"/>
      <c r="E14227" s="57"/>
      <c r="F14227" s="57"/>
      <c r="G14227" s="58"/>
    </row>
    <row r="14228" spans="1:7" x14ac:dyDescent="0.25">
      <c r="A14228" s="219" t="s">
        <v>42</v>
      </c>
      <c r="B14228" s="219"/>
      <c r="C14228" s="219"/>
      <c r="D14228" s="219"/>
      <c r="E14228" s="219"/>
      <c r="F14228" s="219"/>
      <c r="G14228" s="219"/>
    </row>
    <row r="14229" spans="1:7" x14ac:dyDescent="0.25">
      <c r="A14229" s="49" t="s">
        <v>35</v>
      </c>
      <c r="B14229" s="49" t="s">
        <v>36</v>
      </c>
      <c r="C14229" s="49" t="s">
        <v>38</v>
      </c>
      <c r="D14229" s="49" t="s">
        <v>43</v>
      </c>
      <c r="E14229" s="49" t="s">
        <v>44</v>
      </c>
      <c r="F14229" s="49" t="s">
        <v>45</v>
      </c>
      <c r="G14229" s="49" t="s">
        <v>40</v>
      </c>
    </row>
    <row r="14230" spans="1:7" x14ac:dyDescent="0.25">
      <c r="A14230" s="50" t="s">
        <v>319</v>
      </c>
      <c r="B14230" s="68" t="str">
        <f>VLOOKUP(A14230,'[1]Componentes APUs'!$H$1:$L$25,2,0)</f>
        <v>Ingeniero Residente de Obra</v>
      </c>
      <c r="C14230" s="93">
        <v>0.25</v>
      </c>
      <c r="D14230" s="50">
        <f>VLOOKUP(A14230,'[1]Componentes APUs'!$H$1:$L$25,3,0)</f>
        <v>4</v>
      </c>
      <c r="E14230" s="51">
        <f>VLOOKUP(A14230,'[1]Componentes APUs'!$H$1:$L$25,4,0)</f>
        <v>271142.85714285716</v>
      </c>
      <c r="F14230" s="51">
        <f>VLOOKUP(A14230,'[1]Componentes APUs'!$H$1:$L$25,5,0)</f>
        <v>162685.71428571429</v>
      </c>
      <c r="G14230" s="51">
        <f>ROUNDUP((E14230+F14230)*C14230/E14222,0)</f>
        <v>180762</v>
      </c>
    </row>
    <row r="14231" spans="1:7" x14ac:dyDescent="0.25">
      <c r="A14231" s="50" t="s">
        <v>320</v>
      </c>
      <c r="B14231" s="68" t="str">
        <f>VLOOKUP(A14231,'[1]Componentes APUs'!$H$1:$L$25,2,0)</f>
        <v>Tecnico Supervisor</v>
      </c>
      <c r="C14231" s="93">
        <v>0.25</v>
      </c>
      <c r="D14231" s="50">
        <f>VLOOKUP(A14231,'[1]Componentes APUs'!$H$1:$L$25,3,0)</f>
        <v>2.2999999999999998</v>
      </c>
      <c r="E14231" s="51">
        <f>VLOOKUP(A14231,'[1]Componentes APUs'!$H$1:$L$25,4,0)</f>
        <v>155907.14285714284</v>
      </c>
      <c r="F14231" s="51">
        <f>VLOOKUP(A14231,'[1]Componentes APUs'!$H$1:$L$25,5,0)</f>
        <v>93544.285714285696</v>
      </c>
      <c r="G14231" s="51">
        <f>ROUNDUP((E14231+F14231)*C14231/E14222,0)</f>
        <v>103939</v>
      </c>
    </row>
    <row r="14232" spans="1:7" x14ac:dyDescent="0.25">
      <c r="A14232" s="50" t="s">
        <v>46</v>
      </c>
      <c r="B14232" s="68" t="str">
        <f>VLOOKUP(A14232,'[1]Componentes APUs'!$H$1:$L$25,2,0)</f>
        <v>Tecnico Liniero</v>
      </c>
      <c r="C14232" s="93">
        <v>2</v>
      </c>
      <c r="D14232" s="50">
        <f>VLOOKUP(A14232,'[1]Componentes APUs'!$H$1:$L$25,3,0)</f>
        <v>2</v>
      </c>
      <c r="E14232" s="51">
        <f>VLOOKUP(A14232,'[1]Componentes APUs'!$H$1:$L$25,4,0)</f>
        <v>154619.04761904763</v>
      </c>
      <c r="F14232" s="51">
        <f>VLOOKUP(A14232,'[1]Componentes APUs'!$H$1:$L$25,5,0)</f>
        <v>92771.42857142858</v>
      </c>
      <c r="G14232" s="51">
        <f>ROUNDUP((E14232+F14232)*C14232/E14222,0)</f>
        <v>824635</v>
      </c>
    </row>
    <row r="14233" spans="1:7" x14ac:dyDescent="0.25">
      <c r="A14233" s="50" t="s">
        <v>48</v>
      </c>
      <c r="B14233" s="68" t="str">
        <f>VLOOKUP(A14233,'[1]Componentes APUs'!$H$1:$L$25,2,0)</f>
        <v>Ayudante Calificado</v>
      </c>
      <c r="C14233" s="93">
        <v>1</v>
      </c>
      <c r="D14233" s="50">
        <f>VLOOKUP(A14233,'[1]Componentes APUs'!$H$1:$L$25,3,0)</f>
        <v>1.5</v>
      </c>
      <c r="E14233" s="51">
        <f>VLOOKUP(A14233,'[1]Componentes APUs'!$H$1:$L$25,4,0)</f>
        <v>115964.28571428571</v>
      </c>
      <c r="F14233" s="51">
        <f>VLOOKUP(A14233,'[1]Componentes APUs'!$H$1:$L$25,5,0)</f>
        <v>69578.57142857142</v>
      </c>
      <c r="G14233" s="51">
        <f>ROUNDUP((E14233+F14233)*C14233/E14222,0)</f>
        <v>309239</v>
      </c>
    </row>
    <row r="14234" spans="1:7" x14ac:dyDescent="0.25">
      <c r="A14234" s="50" t="s">
        <v>50</v>
      </c>
      <c r="B14234" s="68" t="str">
        <f>VLOOKUP(A14234,'[1]Componentes APUs'!$H$1:$L$25,2,0)</f>
        <v>Profesional en SST</v>
      </c>
      <c r="C14234" s="93">
        <v>0.25</v>
      </c>
      <c r="D14234" s="50">
        <f>VLOOKUP(A14234,'[1]Componentes APUs'!$H$1:$L$25,3,0)</f>
        <v>2.5</v>
      </c>
      <c r="E14234" s="51">
        <f>VLOOKUP(A14234,'[1]Componentes APUs'!$H$1:$L$25,4,0)</f>
        <v>169464.28571428571</v>
      </c>
      <c r="F14234" s="51">
        <f>VLOOKUP(A14234,'[1]Componentes APUs'!$H$1:$L$25,5,0)</f>
        <v>101678.57142857142</v>
      </c>
      <c r="G14234" s="51">
        <f>ROUNDUP((E14234+F14234)*C14234/E14222,0)</f>
        <v>112977</v>
      </c>
    </row>
    <row r="14235" spans="1:7" x14ac:dyDescent="0.25">
      <c r="A14235" s="50" t="s">
        <v>52</v>
      </c>
      <c r="B14235" s="68" t="str">
        <f>VLOOKUP(A14235,'[1]Componentes APUs'!$H$1:$L$25,2,0)</f>
        <v>Ayudante No Calificado</v>
      </c>
      <c r="C14235" s="93">
        <v>1</v>
      </c>
      <c r="D14235" s="50">
        <f>VLOOKUP(A14235,'[1]Componentes APUs'!$H$1:$L$25,3,0)</f>
        <v>1</v>
      </c>
      <c r="E14235" s="51">
        <f>VLOOKUP(A14235,'[1]Componentes APUs'!$H$1:$L$25,4,0)</f>
        <v>77309.523809523816</v>
      </c>
      <c r="F14235" s="51">
        <f>VLOOKUP(A14235,'[1]Componentes APUs'!$H$1:$L$25,5,0)</f>
        <v>46385.71428571429</v>
      </c>
      <c r="G14235" s="51">
        <f>ROUNDUP((E14235+F14235)*C14235/E14222,0)</f>
        <v>206159</v>
      </c>
    </row>
    <row r="14236" spans="1:7" x14ac:dyDescent="0.25">
      <c r="A14236" s="219" t="s">
        <v>56</v>
      </c>
      <c r="B14236" s="219"/>
      <c r="C14236" s="219"/>
      <c r="D14236" s="219"/>
      <c r="E14236" s="219"/>
      <c r="F14236" s="219"/>
      <c r="G14236" s="52">
        <f>SUM(G14230:G14235)</f>
        <v>1737711</v>
      </c>
    </row>
    <row r="14237" spans="1:7" x14ac:dyDescent="0.25">
      <c r="A14237" s="56"/>
      <c r="B14237" s="57"/>
      <c r="C14237" s="57"/>
      <c r="D14237" s="57"/>
      <c r="E14237" s="57"/>
      <c r="F14237" s="57"/>
      <c r="G14237" s="58"/>
    </row>
    <row r="14238" spans="1:7" x14ac:dyDescent="0.25">
      <c r="A14238" s="219" t="s">
        <v>57</v>
      </c>
      <c r="B14238" s="219"/>
      <c r="C14238" s="219"/>
      <c r="D14238" s="219"/>
      <c r="E14238" s="219"/>
      <c r="F14238" s="219"/>
      <c r="G14238" s="219"/>
    </row>
    <row r="14239" spans="1:7" x14ac:dyDescent="0.25">
      <c r="A14239" s="49" t="s">
        <v>35</v>
      </c>
      <c r="B14239" s="219" t="s">
        <v>36</v>
      </c>
      <c r="C14239" s="219"/>
      <c r="D14239" s="49" t="s">
        <v>37</v>
      </c>
      <c r="E14239" s="49" t="s">
        <v>38</v>
      </c>
      <c r="F14239" s="49" t="s">
        <v>39</v>
      </c>
      <c r="G14239" s="49" t="s">
        <v>40</v>
      </c>
    </row>
    <row r="14240" spans="1:7" x14ac:dyDescent="0.25">
      <c r="A14240" s="50" t="s">
        <v>326</v>
      </c>
      <c r="B14240" s="220" t="str">
        <f>VLOOKUP(A14240,'[1]Componentes APUs'!$S$1:$V$10,2,0)</f>
        <v>Juego Llaves</v>
      </c>
      <c r="C14240" s="220"/>
      <c r="D14240" s="50" t="s">
        <v>18</v>
      </c>
      <c r="E14240" s="50">
        <v>2</v>
      </c>
      <c r="F14240" s="51">
        <f>VLOOKUP(A14240,'[1]Componentes APUs'!$S$1:$V$10,4,0)</f>
        <v>9167</v>
      </c>
      <c r="G14240" s="51">
        <f>ROUNDUP(F14240*((E14240/21)/E14222),0)</f>
        <v>1456</v>
      </c>
    </row>
    <row r="14241" spans="1:7" x14ac:dyDescent="0.25">
      <c r="A14241" s="50" t="s">
        <v>58</v>
      </c>
      <c r="B14241" s="220" t="str">
        <f>VLOOKUP(A14241,'[1]Componentes APUs'!$S$1:$V$10,2,0)</f>
        <v>Manila de servicio</v>
      </c>
      <c r="C14241" s="220"/>
      <c r="D14241" s="50" t="s">
        <v>18</v>
      </c>
      <c r="E14241" s="50">
        <v>2</v>
      </c>
      <c r="F14241" s="51">
        <f>VLOOKUP(A14241,'[1]Componentes APUs'!$S$1:$V$10,4,0)</f>
        <v>2333</v>
      </c>
      <c r="G14241" s="51">
        <f>ROUNDUP(F14241*((E14241/21)/E14222),0)</f>
        <v>371</v>
      </c>
    </row>
    <row r="14242" spans="1:7" x14ac:dyDescent="0.25">
      <c r="A14242" s="50" t="s">
        <v>327</v>
      </c>
      <c r="B14242" s="220" t="str">
        <f>VLOOKUP(A14242,'[1]Componentes APUs'!$S$1:$V$10,2,0)</f>
        <v>Tula portaherramientas</v>
      </c>
      <c r="C14242" s="220"/>
      <c r="D14242" s="50" t="s">
        <v>18</v>
      </c>
      <c r="E14242" s="50">
        <v>2</v>
      </c>
      <c r="F14242" s="51">
        <f>VLOOKUP(A14242,'[1]Componentes APUs'!$S$1:$V$10,4,0)</f>
        <v>1250</v>
      </c>
      <c r="G14242" s="51">
        <f>ROUNDUP(F14242*((E14242/21)/E14222),0)</f>
        <v>199</v>
      </c>
    </row>
    <row r="14243" spans="1:7" x14ac:dyDescent="0.25">
      <c r="A14243" s="50" t="s">
        <v>60</v>
      </c>
      <c r="B14243" s="220" t="str">
        <f>VLOOKUP(A14243,'[1]Componentes APUs'!$S$1:$V$10,2,0)</f>
        <v>Agarradoras</v>
      </c>
      <c r="C14243" s="220"/>
      <c r="D14243" s="50" t="s">
        <v>18</v>
      </c>
      <c r="E14243" s="50">
        <v>0</v>
      </c>
      <c r="F14243" s="51">
        <f>VLOOKUP(A14243,'[1]Componentes APUs'!$S$1:$V$10,4,0)</f>
        <v>125000</v>
      </c>
      <c r="G14243" s="51">
        <f>ROUNDUP(F14243*((E14243/21)/E14222),0)</f>
        <v>0</v>
      </c>
    </row>
    <row r="14244" spans="1:7" x14ac:dyDescent="0.25">
      <c r="A14244" s="50" t="s">
        <v>62</v>
      </c>
      <c r="B14244" s="220" t="str">
        <f>VLOOKUP(A14244,'[1]Componentes APUs'!$S$1:$V$10,2,0)</f>
        <v>Templadoras</v>
      </c>
      <c r="C14244" s="220"/>
      <c r="D14244" s="50" t="s">
        <v>18</v>
      </c>
      <c r="E14244" s="50">
        <v>0</v>
      </c>
      <c r="F14244" s="51">
        <f>VLOOKUP(A14244,'[1]Componentes APUs'!$S$1:$V$10,4,0)</f>
        <v>250000</v>
      </c>
      <c r="G14244" s="51">
        <f>ROUNDUP(F14244*((E14244/21)/E14222),0)</f>
        <v>0</v>
      </c>
    </row>
    <row r="14245" spans="1:7" x14ac:dyDescent="0.25">
      <c r="A14245" s="50" t="s">
        <v>328</v>
      </c>
      <c r="B14245" s="220" t="str">
        <f>VLOOKUP(A14245,'[1]Componentes APUs'!$S$1:$V$10,2,0)</f>
        <v>Herramienta Menor</v>
      </c>
      <c r="C14245" s="220"/>
      <c r="D14245" s="50" t="s">
        <v>18</v>
      </c>
      <c r="E14245" s="50">
        <v>2</v>
      </c>
      <c r="F14245" s="51">
        <f>VLOOKUP(A14245,'[1]Componentes APUs'!$S$1:$V$10,4,0)</f>
        <v>75758</v>
      </c>
      <c r="G14245" s="51">
        <f>ROUNDUP(F14245*((E14245/21)/E14222),0)</f>
        <v>12026</v>
      </c>
    </row>
    <row r="14246" spans="1:7" x14ac:dyDescent="0.25">
      <c r="A14246" s="50" t="s">
        <v>66</v>
      </c>
      <c r="B14246" s="220" t="str">
        <f>VLOOKUP(A14246,'[1]Componentes APUs'!$S$1:$V$10,2,0)</f>
        <v>Diferencial 2 Toneladas</v>
      </c>
      <c r="C14246" s="220"/>
      <c r="D14246" s="50" t="s">
        <v>18</v>
      </c>
      <c r="E14246" s="50">
        <v>1</v>
      </c>
      <c r="F14246" s="51">
        <f>VLOOKUP(A14246,'[1]Componentes APUs'!$S$1:$V$10,4,0)</f>
        <v>474905</v>
      </c>
      <c r="G14246" s="51">
        <f>ROUNDUP(F14246*((E14246/21)/E14222),0)</f>
        <v>37691</v>
      </c>
    </row>
    <row r="14247" spans="1:7" x14ac:dyDescent="0.25">
      <c r="A14247" s="219" t="s">
        <v>69</v>
      </c>
      <c r="B14247" s="219"/>
      <c r="C14247" s="219"/>
      <c r="D14247" s="219"/>
      <c r="E14247" s="219"/>
      <c r="F14247" s="219"/>
      <c r="G14247" s="52">
        <f>SUM(G14240:G14246)</f>
        <v>51743</v>
      </c>
    </row>
    <row r="14248" spans="1:7" x14ac:dyDescent="0.25">
      <c r="A14248" s="56"/>
      <c r="B14248" s="57"/>
      <c r="C14248" s="57"/>
      <c r="D14248" s="57"/>
      <c r="E14248" s="57"/>
      <c r="F14248" s="57"/>
      <c r="G14248" s="58"/>
    </row>
    <row r="14249" spans="1:7" x14ac:dyDescent="0.25">
      <c r="A14249" s="219" t="s">
        <v>70</v>
      </c>
      <c r="B14249" s="219"/>
      <c r="C14249" s="219"/>
      <c r="D14249" s="219"/>
      <c r="E14249" s="219"/>
      <c r="F14249" s="219"/>
      <c r="G14249" s="219"/>
    </row>
    <row r="14250" spans="1:7" x14ac:dyDescent="0.25">
      <c r="A14250" s="49" t="s">
        <v>35</v>
      </c>
      <c r="B14250" s="219" t="s">
        <v>36</v>
      </c>
      <c r="C14250" s="219"/>
      <c r="D14250" s="49" t="s">
        <v>37</v>
      </c>
      <c r="E14250" s="49" t="s">
        <v>38</v>
      </c>
      <c r="F14250" s="49" t="s">
        <v>39</v>
      </c>
      <c r="G14250" s="49" t="s">
        <v>40</v>
      </c>
    </row>
    <row r="14251" spans="1:7" x14ac:dyDescent="0.25">
      <c r="A14251" s="50" t="s">
        <v>71</v>
      </c>
      <c r="B14251" s="71" t="str">
        <f>VLOOKUP(A14251,'[1]Componentes APUs'!$A$1:$D$14,2,0)</f>
        <v>Camisa indigo sin partes metalicas</v>
      </c>
      <c r="C14251" s="71"/>
      <c r="D14251" s="50" t="str">
        <f>VLOOKUP(A14251,'[1]Componentes APUs'!$A$1:$D$14,3,0)</f>
        <v>U</v>
      </c>
      <c r="E14251" s="50">
        <f>SUM(C14230:C14235)</f>
        <v>4.75</v>
      </c>
      <c r="F14251" s="51">
        <f>VLOOKUP(A14251,'[1]Componentes APUs'!$A$1:$D$14,4,0)</f>
        <v>8585.8585858585866</v>
      </c>
      <c r="G14251" s="51">
        <f>ROUNDUP(F14251*(E14251/21)/E14222,0)</f>
        <v>3237</v>
      </c>
    </row>
    <row r="14252" spans="1:7" x14ac:dyDescent="0.25">
      <c r="A14252" s="69" t="s">
        <v>73</v>
      </c>
      <c r="B14252" s="72" t="str">
        <f>VLOOKUP(A14252,'[1]Componentes APUs'!$A$1:$D$14,2,0)</f>
        <v>Bota de seguridad dielectrica</v>
      </c>
      <c r="C14252" s="73"/>
      <c r="D14252" s="70" t="str">
        <f>VLOOKUP(A14252,'[1]Componentes APUs'!$A$1:$D$14,3,0)</f>
        <v>Par</v>
      </c>
      <c r="E14252" s="50">
        <f>SUM(C14230:C14235)</f>
        <v>4.75</v>
      </c>
      <c r="F14252" s="51">
        <f>VLOOKUP(A14252,'[1]Componentes APUs'!$A$1:$D$14,4,0)</f>
        <v>7500</v>
      </c>
      <c r="G14252" s="51">
        <f>ROUNDUP(F14252*(E14252/21)/E14222,0)</f>
        <v>2828</v>
      </c>
    </row>
    <row r="14253" spans="1:7" x14ac:dyDescent="0.25">
      <c r="A14253" s="50" t="s">
        <v>76</v>
      </c>
      <c r="B14253" s="72" t="str">
        <f>VLOOKUP(A14253,'[1]Componentes APUs'!$A$1:$D$14,2,0)</f>
        <v>Casco dielectrico Tipo 1 Clase E con barbuquejo</v>
      </c>
      <c r="C14253" s="73"/>
      <c r="D14253" s="50" t="str">
        <f>VLOOKUP(A14253,'[1]Componentes APUs'!$A$1:$D$14,3,0)</f>
        <v>U</v>
      </c>
      <c r="E14253" s="50">
        <f>C14231+C14234+C14235+C14233+C14230+IF(A14232&lt;&gt;"MO-3",C14232,0)</f>
        <v>2.75</v>
      </c>
      <c r="F14253" s="51">
        <f>VLOOKUP(A14253,'[1]Componentes APUs'!$A$1:$D$14,4,0)</f>
        <v>10101.010101010101</v>
      </c>
      <c r="G14253" s="51">
        <f>ROUNDUP(F14253*(E14253/21)/E14222,0)</f>
        <v>2205</v>
      </c>
    </row>
    <row r="14254" spans="1:7" x14ac:dyDescent="0.25">
      <c r="A14254" s="69" t="s">
        <v>77</v>
      </c>
      <c r="B14254" s="72" t="str">
        <f>VLOOKUP(A14254,'[1]Componentes APUs'!$A$1:$D$14,2,0)</f>
        <v>Correa plastica y antiflama</v>
      </c>
      <c r="C14254" s="73"/>
      <c r="D14254" s="50" t="str">
        <f>VLOOKUP(A14254,'[1]Componentes APUs'!$A$1:$D$14,3,0)</f>
        <v>U</v>
      </c>
      <c r="E14254" s="50">
        <f>SUM(C14230:C14235)</f>
        <v>4.75</v>
      </c>
      <c r="F14254" s="51">
        <f>VLOOKUP(A14254,'[1]Componentes APUs'!$A$1:$D$14,4,0)</f>
        <v>3787.878787878788</v>
      </c>
      <c r="G14254" s="51">
        <f>ROUNDUP(F14254*(E14254/21)/E14222,0)</f>
        <v>1428</v>
      </c>
    </row>
    <row r="14255" spans="1:7" x14ac:dyDescent="0.25">
      <c r="A14255" s="50" t="s">
        <v>79</v>
      </c>
      <c r="B14255" s="72" t="str">
        <f>VLOOKUP(A14255,'[1]Componentes APUs'!$A$1:$D$14,2,0)</f>
        <v>Gafas protectoras filtro UV</v>
      </c>
      <c r="C14255" s="73"/>
      <c r="D14255" s="50" t="str">
        <f>VLOOKUP(A14255,'[1]Componentes APUs'!$A$1:$D$14,3,0)</f>
        <v>U</v>
      </c>
      <c r="E14255" s="50">
        <f>SUM(C14230:C14235)</f>
        <v>4.75</v>
      </c>
      <c r="F14255" s="51">
        <f>VLOOKUP(A14255,'[1]Componentes APUs'!$A$1:$D$14,4,0)</f>
        <v>2777.7777777777778</v>
      </c>
      <c r="G14255" s="51">
        <f>ROUNDUP(F14255*(E14255/21)/E14222,0)</f>
        <v>1048</v>
      </c>
    </row>
    <row r="14256" spans="1:7" x14ac:dyDescent="0.25">
      <c r="A14256" s="69" t="s">
        <v>402</v>
      </c>
      <c r="B14256" s="72" t="str">
        <f>VLOOKUP(A14256,'[1]Componentes APUs'!$A$1:$D$14,2,0)</f>
        <v>Bota de seguridad PVC dielectrica</v>
      </c>
      <c r="C14256" s="73"/>
      <c r="D14256" s="50" t="str">
        <f>VLOOKUP(A14256,'[1]Componentes APUs'!$A$1:$D$14,3,0)</f>
        <v>Par</v>
      </c>
      <c r="E14256" s="50">
        <f>SUM(C14230:C14235)</f>
        <v>4.75</v>
      </c>
      <c r="F14256" s="51">
        <f>VLOOKUP(A14256,'[1]Componentes APUs'!$A$1:$D$14,4,0)</f>
        <v>2916.6666666666665</v>
      </c>
      <c r="G14256" s="51">
        <f>ROUNDUP(F14256*(E14256/21)/E14222,0)</f>
        <v>1100</v>
      </c>
    </row>
    <row r="14257" spans="1:7" x14ac:dyDescent="0.25">
      <c r="A14257" s="50" t="s">
        <v>403</v>
      </c>
      <c r="B14257" s="72" t="str">
        <f>VLOOKUP(A14257,'[1]Componentes APUs'!$A$1:$D$14,2,0)</f>
        <v>Capuchon</v>
      </c>
      <c r="C14257" s="73"/>
      <c r="D14257" s="50" t="str">
        <f>VLOOKUP(A14257,'[1]Componentes APUs'!$A$1:$D$14,3,0)</f>
        <v>U</v>
      </c>
      <c r="E14257" s="50">
        <f>SUM(C14230:C14235)</f>
        <v>4.75</v>
      </c>
      <c r="F14257" s="51">
        <f>VLOOKUP(A14257,'[1]Componentes APUs'!$A$1:$D$14,4,0)</f>
        <v>2525.2525252525252</v>
      </c>
      <c r="G14257" s="51">
        <f>ROUNDUP(F14257*(E14257/21)/E14222,0)</f>
        <v>952</v>
      </c>
    </row>
    <row r="14258" spans="1:7" x14ac:dyDescent="0.25">
      <c r="A14258" s="69" t="s">
        <v>81</v>
      </c>
      <c r="B14258" s="72" t="str">
        <f>VLOOKUP(A14258,'[1]Componentes APUs'!$A$1:$D$14,2,0)</f>
        <v>Guantes Protectores  - ingeniero reforzados</v>
      </c>
      <c r="C14258" s="73"/>
      <c r="D14258" s="50" t="str">
        <f>VLOOKUP(A14258,'[1]Componentes APUs'!$A$1:$D$14,3,0)</f>
        <v>Par</v>
      </c>
      <c r="E14258" s="50">
        <f>C14232+C14233+C14235</f>
        <v>4</v>
      </c>
      <c r="F14258" s="51">
        <f>VLOOKUP(A14258,'[1]Componentes APUs'!$A$1:$D$14,4,0)</f>
        <v>2525.2525252525252</v>
      </c>
      <c r="G14258" s="51">
        <f>ROUNDUP(F14258*(E14258/21)/E14222,0)</f>
        <v>802</v>
      </c>
    </row>
    <row r="14259" spans="1:7" x14ac:dyDescent="0.25">
      <c r="A14259" s="50" t="s">
        <v>83</v>
      </c>
      <c r="B14259" s="72" t="str">
        <f>VLOOKUP(A14259,'[1]Componentes APUs'!$A$1:$D$14,2,0)</f>
        <v>Impermeable (pantalon camisa)</v>
      </c>
      <c r="C14259" s="73"/>
      <c r="D14259" s="50" t="str">
        <f>VLOOKUP(A14259,'[1]Componentes APUs'!$A$1:$D$14,3,0)</f>
        <v>U</v>
      </c>
      <c r="E14259" s="50">
        <f>SUM(C14230:C14235)</f>
        <v>4.75</v>
      </c>
      <c r="F14259" s="51">
        <f>VLOOKUP(A14259,'[1]Componentes APUs'!$A$1:$D$14,4,0)</f>
        <v>3750</v>
      </c>
      <c r="G14259" s="51">
        <f>ROUNDUP(F14259*(E14259/21)/E14222,0)</f>
        <v>1414</v>
      </c>
    </row>
    <row r="14260" spans="1:7" x14ac:dyDescent="0.25">
      <c r="A14260" s="69" t="s">
        <v>85</v>
      </c>
      <c r="B14260" s="72" t="str">
        <f>VLOOKUP(A14260,'[1]Componentes APUs'!$A$1:$D$14,2,0)</f>
        <v>Jean Dielectrico</v>
      </c>
      <c r="C14260" s="73"/>
      <c r="D14260" s="50" t="str">
        <f>VLOOKUP(A14260,'[1]Componentes APUs'!$A$1:$D$14,3,0)</f>
        <v>U</v>
      </c>
      <c r="E14260" s="50">
        <f>SUM(C14230:C14235)</f>
        <v>4.75</v>
      </c>
      <c r="F14260" s="51">
        <f>VLOOKUP(A14260,'[1]Componentes APUs'!$A$1:$D$14,4,0)</f>
        <v>7575.757575757576</v>
      </c>
      <c r="G14260" s="51">
        <f>ROUNDUP(F14260*(E14260/21)/E14222,0)</f>
        <v>2856</v>
      </c>
    </row>
    <row r="14261" spans="1:7" x14ac:dyDescent="0.25">
      <c r="A14261" s="50" t="s">
        <v>87</v>
      </c>
      <c r="B14261" s="72" t="str">
        <f>VLOOKUP(A14261,'[1]Componentes APUs'!$A$1:$D$14,2,0)</f>
        <v>Casco dielectrico Tipo 2 Clase E con barboquejo</v>
      </c>
      <c r="C14261" s="73"/>
      <c r="D14261" s="50" t="str">
        <f>VLOOKUP(A14261,'[1]Componentes APUs'!$A$1:$D$14,3,0)</f>
        <v>U</v>
      </c>
      <c r="E14261" s="53">
        <f>IF(A14232="MO-3",C14232,0)</f>
        <v>2</v>
      </c>
      <c r="F14261" s="51">
        <f>VLOOKUP(A14261,'[1]Componentes APUs'!$A$1:$D$14,4,0)</f>
        <v>7500</v>
      </c>
      <c r="G14261" s="51">
        <f>ROUNDUP(F14261*(E14261/21)/E14222,0)</f>
        <v>1191</v>
      </c>
    </row>
    <row r="14262" spans="1:7" x14ac:dyDescent="0.25">
      <c r="A14262" s="69" t="s">
        <v>89</v>
      </c>
      <c r="B14262" s="72" t="str">
        <f>VLOOKUP(A14262,'[1]Componentes APUs'!$A$1:$D$14,2,0)</f>
        <v>Kit de rescate para trabajo en alturas</v>
      </c>
      <c r="C14262" s="73"/>
      <c r="D14262" s="50" t="str">
        <f>VLOOKUP(A14262,'[1]Componentes APUs'!$A$1:$D$14,3,0)</f>
        <v>U</v>
      </c>
      <c r="E14262" s="50">
        <f>IF(AND(A14232="MO-3",C14232=2),1,0)</f>
        <v>1</v>
      </c>
      <c r="F14262" s="51">
        <f>VLOOKUP(A14262,'[1]Componentes APUs'!$A$1:$D$14,4,0)</f>
        <v>37500</v>
      </c>
      <c r="G14262" s="51">
        <f>ROUNDUP(F14262*(E14262/21)/E14222,0)</f>
        <v>2977</v>
      </c>
    </row>
    <row r="14263" spans="1:7" x14ac:dyDescent="0.25">
      <c r="A14263" s="50" t="s">
        <v>91</v>
      </c>
      <c r="B14263" s="72" t="str">
        <f>VLOOKUP(A14263,'[1]Componentes APUs'!$A$1:$D$14,2,0)</f>
        <v>Equipo completo para trabajo en alturas con pretales (Arnes dielectrico, 1 mosqueton de seguridad, tie off dielectrico, eslinga de posicionamiento, juego de pretales)</v>
      </c>
      <c r="C14263" s="73"/>
      <c r="D14263" s="50" t="str">
        <f>VLOOKUP(A14263,'[1]Componentes APUs'!$A$1:$D$14,3,0)</f>
        <v>U</v>
      </c>
      <c r="E14263" s="50">
        <f>IF(A14232="MO-3",C14232,0)</f>
        <v>2</v>
      </c>
      <c r="F14263" s="51">
        <f>VLOOKUP(A14263,'[1]Componentes APUs'!$A$1:$D$14,4,0)</f>
        <v>26041.666666666668</v>
      </c>
      <c r="G14263" s="51">
        <f>ROUNDUP(F14263*(E14263/21)/E14222,0)</f>
        <v>4134</v>
      </c>
    </row>
    <row r="14264" spans="1:7" x14ac:dyDescent="0.25">
      <c r="A14264" s="219" t="s">
        <v>95</v>
      </c>
      <c r="B14264" s="219"/>
      <c r="C14264" s="219"/>
      <c r="D14264" s="219"/>
      <c r="E14264" s="219"/>
      <c r="F14264" s="219"/>
      <c r="G14264" s="52">
        <f>SUM(G14251:G14263)</f>
        <v>26172</v>
      </c>
    </row>
    <row r="14265" spans="1:7" x14ac:dyDescent="0.25">
      <c r="A14265" s="56"/>
      <c r="B14265" s="57"/>
      <c r="C14265" s="57"/>
      <c r="D14265" s="57"/>
      <c r="E14265" s="57"/>
      <c r="F14265" s="57"/>
      <c r="G14265" s="58"/>
    </row>
    <row r="14266" spans="1:7" x14ac:dyDescent="0.25">
      <c r="A14266" s="219" t="s">
        <v>96</v>
      </c>
      <c r="B14266" s="219"/>
      <c r="C14266" s="219"/>
      <c r="D14266" s="219"/>
      <c r="E14266" s="219"/>
      <c r="F14266" s="219"/>
      <c r="G14266" s="219"/>
    </row>
    <row r="14267" spans="1:7" x14ac:dyDescent="0.25">
      <c r="A14267" s="49" t="s">
        <v>35</v>
      </c>
      <c r="B14267" s="225" t="s">
        <v>36</v>
      </c>
      <c r="C14267" s="225"/>
      <c r="D14267" s="49" t="s">
        <v>37</v>
      </c>
      <c r="E14267" s="49" t="s">
        <v>38</v>
      </c>
      <c r="F14267" s="49" t="s">
        <v>39</v>
      </c>
      <c r="G14267" s="49" t="s">
        <v>40</v>
      </c>
    </row>
    <row r="14268" spans="1:7" x14ac:dyDescent="0.25">
      <c r="A14268" s="69" t="s">
        <v>97</v>
      </c>
      <c r="B14268" s="72" t="str">
        <f>VLOOKUP(A14268,'[1]Componentes APUs'!$N$1:$Q$30,2,0)</f>
        <v>Camioneta</v>
      </c>
      <c r="C14268" s="73"/>
      <c r="D14268" s="70" t="str">
        <f>VLOOKUP(A14268,'[1]Componentes APUs'!$N$1:$Q$30,3,0)</f>
        <v>U</v>
      </c>
      <c r="E14268" s="50">
        <v>1</v>
      </c>
      <c r="F14268" s="51">
        <f>VLOOKUP(A14268,'[1]Componentes APUs'!$N$1:$Q$30,4,0)</f>
        <v>5500000</v>
      </c>
      <c r="G14268" s="51">
        <f>IFERROR(ROUNDUP(F14268*(E14268/21)/E14222,0),"-")</f>
        <v>436508</v>
      </c>
    </row>
    <row r="14269" spans="1:7" x14ac:dyDescent="0.25">
      <c r="A14269" s="50" t="s">
        <v>321</v>
      </c>
      <c r="B14269" s="72" t="str">
        <f>VLOOKUP(A14269,'[1]Componentes APUs'!$N$1:$Q$30,2,0)</f>
        <v>Grúa Hidráulica</v>
      </c>
      <c r="C14269" s="73"/>
      <c r="D14269" s="70" t="str">
        <f>VLOOKUP(A14269,'[1]Componentes APUs'!$N$1:$Q$30,3,0)</f>
        <v>U</v>
      </c>
      <c r="E14269" s="50">
        <v>0</v>
      </c>
      <c r="F14269" s="51">
        <f>VLOOKUP(A14269,'[1]Componentes APUs'!$N$1:$Q$30,4,0)</f>
        <v>21000000</v>
      </c>
      <c r="G14269" s="51">
        <f>IFERROR(ROUNDUP(F14269*(E14269/21)/E14222,0),"-")</f>
        <v>0</v>
      </c>
    </row>
    <row r="14270" spans="1:7" x14ac:dyDescent="0.25">
      <c r="A14270" s="69" t="s">
        <v>322</v>
      </c>
      <c r="B14270" s="72" t="str">
        <f>VLOOKUP(A14270,'[1]Componentes APUs'!$N$1:$Q$30,2,0)</f>
        <v>Camabaja</v>
      </c>
      <c r="C14270" s="73"/>
      <c r="D14270" s="70" t="str">
        <f>VLOOKUP(A14270,'[1]Componentes APUs'!$N$1:$Q$30,3,0)</f>
        <v>TON/KM</v>
      </c>
      <c r="E14270" s="50">
        <v>0</v>
      </c>
      <c r="F14270" s="51">
        <f>VLOOKUP(A14270,'[1]Componentes APUs'!$N$1:$Q$30,4,0)</f>
        <v>611</v>
      </c>
      <c r="G14270" s="51">
        <f>IFERROR(ROUNDUP(F14270*(E14270/21)/E14222,0),"-")</f>
        <v>0</v>
      </c>
    </row>
    <row r="14271" spans="1:7" x14ac:dyDescent="0.25">
      <c r="A14271" s="50" t="s">
        <v>323</v>
      </c>
      <c r="B14271" s="72" t="str">
        <f>VLOOKUP(A14271,'[1]Componentes APUs'!$N$1:$Q$30,2,0)</f>
        <v>Volqueta</v>
      </c>
      <c r="C14271" s="73"/>
      <c r="D14271" s="70" t="str">
        <f>VLOOKUP(A14271,'[1]Componentes APUs'!$N$1:$Q$30,3,0)</f>
        <v>U</v>
      </c>
      <c r="E14271" s="50">
        <v>0</v>
      </c>
      <c r="F14271" s="51">
        <f>VLOOKUP(A14271,'[1]Componentes APUs'!$N$1:$Q$30,4,0)</f>
        <v>18900000</v>
      </c>
      <c r="G14271" s="51">
        <f>IFERROR(ROUNDUP(F14271*(E14271/21)/E14222,0),"-")</f>
        <v>0</v>
      </c>
    </row>
    <row r="14272" spans="1:7" x14ac:dyDescent="0.25">
      <c r="A14272" s="69" t="s">
        <v>324</v>
      </c>
      <c r="B14272" s="72" t="str">
        <f>VLOOKUP(A14272,'[1]Componentes APUs'!$N$1:$Q$30,2,0)</f>
        <v>Retroexcavadora</v>
      </c>
      <c r="C14272" s="73"/>
      <c r="D14272" s="70" t="str">
        <f>VLOOKUP(A14272,'[1]Componentes APUs'!$N$1:$Q$30,3,0)</f>
        <v>U</v>
      </c>
      <c r="E14272" s="50">
        <v>0</v>
      </c>
      <c r="F14272" s="51">
        <f>VLOOKUP(A14272,'[1]Componentes APUs'!$N$1:$Q$30,4,0)</f>
        <v>1494459.54</v>
      </c>
      <c r="G14272" s="51">
        <f>IFERROR(ROUNDUP(F14272*(E14272/21)/E14222,0),"-")</f>
        <v>0</v>
      </c>
    </row>
    <row r="14273" spans="1:7" x14ac:dyDescent="0.25">
      <c r="A14273" s="219" t="s">
        <v>99</v>
      </c>
      <c r="B14273" s="219"/>
      <c r="C14273" s="219"/>
      <c r="D14273" s="219"/>
      <c r="E14273" s="219"/>
      <c r="F14273" s="219"/>
      <c r="G14273" s="52">
        <f>SUM(G14268:G14272)</f>
        <v>436508</v>
      </c>
    </row>
    <row r="14274" spans="1:7" x14ac:dyDescent="0.25">
      <c r="A14274" s="56"/>
      <c r="B14274" s="57"/>
      <c r="C14274" s="57"/>
      <c r="D14274" s="57"/>
      <c r="E14274" s="57"/>
      <c r="F14274" s="57"/>
      <c r="G14274" s="58"/>
    </row>
    <row r="14275" spans="1:7" x14ac:dyDescent="0.25">
      <c r="A14275" s="219" t="s">
        <v>1516</v>
      </c>
      <c r="B14275" s="219"/>
      <c r="C14275" s="219"/>
      <c r="D14275" s="219"/>
      <c r="E14275" s="219"/>
      <c r="F14275" s="219"/>
      <c r="G14275" s="52">
        <f>G14273+G14264+G14247+G14236+G14226</f>
        <v>131039884</v>
      </c>
    </row>
    <row r="14276" spans="1:7" x14ac:dyDescent="0.25">
      <c r="A14276" s="59"/>
      <c r="B14276" s="60"/>
      <c r="C14276" s="60"/>
      <c r="D14276" s="60"/>
      <c r="E14276" s="57"/>
      <c r="F14276" s="57"/>
      <c r="G14276" s="58"/>
    </row>
    <row r="14277" spans="1:7" x14ac:dyDescent="0.25">
      <c r="A14277" s="64"/>
      <c r="D14277" s="55"/>
      <c r="E14277" s="49" t="s">
        <v>25</v>
      </c>
      <c r="F14277" s="54">
        <v>0.15</v>
      </c>
      <c r="G14277" s="51">
        <f>G14275*F14277</f>
        <v>19655982.599999998</v>
      </c>
    </row>
    <row r="14278" spans="1:7" x14ac:dyDescent="0.25">
      <c r="A14278" s="64"/>
      <c r="D14278" s="55"/>
      <c r="E14278" s="49" t="s">
        <v>26</v>
      </c>
      <c r="F14278" s="54">
        <v>0.05</v>
      </c>
      <c r="G14278" s="51">
        <f>G14275*F14278</f>
        <v>6551994.2000000002</v>
      </c>
    </row>
    <row r="14279" spans="1:7" x14ac:dyDescent="0.25">
      <c r="A14279" s="61"/>
      <c r="B14279" s="65"/>
      <c r="C14279" s="65"/>
      <c r="D14279" s="62"/>
      <c r="E14279" s="49" t="s">
        <v>27</v>
      </c>
      <c r="F14279" s="54">
        <v>0.05</v>
      </c>
      <c r="G14279" s="51">
        <f>G14275*F14279</f>
        <v>6551994.2000000002</v>
      </c>
    </row>
    <row r="14280" spans="1:7" x14ac:dyDescent="0.25">
      <c r="A14280" s="61"/>
      <c r="B14280" s="62"/>
      <c r="C14280" s="62"/>
      <c r="D14280" s="62"/>
      <c r="E14280" s="62"/>
      <c r="F14280" s="62"/>
      <c r="G14280" s="63"/>
    </row>
    <row r="14281" spans="1:7" x14ac:dyDescent="0.25">
      <c r="A14281" s="219" t="s">
        <v>1517</v>
      </c>
      <c r="B14281" s="219"/>
      <c r="C14281" s="219"/>
      <c r="D14281" s="219"/>
      <c r="E14281" s="219"/>
      <c r="F14281" s="219"/>
      <c r="G14281" s="52">
        <f>G14275+G14277+G14278+G14279</f>
        <v>163799854.99999997</v>
      </c>
    </row>
    <row r="14282" spans="1:7" x14ac:dyDescent="0.25">
      <c r="A14282" s="59"/>
      <c r="B14282" s="60"/>
      <c r="C14282" s="60"/>
      <c r="D14282" s="60"/>
      <c r="E14282" s="57"/>
      <c r="F14282" s="57"/>
      <c r="G14282" s="58"/>
    </row>
    <row r="14283" spans="1:7" x14ac:dyDescent="0.25">
      <c r="A14283" s="64"/>
      <c r="D14283" s="55"/>
      <c r="E14283" s="49" t="s">
        <v>102</v>
      </c>
      <c r="F14283" s="49" t="s">
        <v>103</v>
      </c>
      <c r="G14283" s="51">
        <f>G14279*19%</f>
        <v>1244878.898</v>
      </c>
    </row>
    <row r="14284" spans="1:7" x14ac:dyDescent="0.25">
      <c r="A14284" s="61"/>
      <c r="B14284" s="62"/>
      <c r="C14284" s="62"/>
      <c r="D14284" s="62"/>
      <c r="E14284" s="57"/>
      <c r="F14284" s="57"/>
      <c r="G14284" s="58"/>
    </row>
    <row r="14285" spans="1:7" x14ac:dyDescent="0.25">
      <c r="A14285" s="219" t="s">
        <v>104</v>
      </c>
      <c r="B14285" s="219"/>
      <c r="C14285" s="219"/>
      <c r="D14285" s="219"/>
      <c r="E14285" s="219"/>
      <c r="F14285" s="219"/>
      <c r="G14285" s="52">
        <f>G14283+G14281</f>
        <v>165044733.89799997</v>
      </c>
    </row>
    <row r="14287" spans="1:7" x14ac:dyDescent="0.25">
      <c r="A14287" s="74" t="s">
        <v>29</v>
      </c>
      <c r="B14287" s="226" t="s">
        <v>30</v>
      </c>
      <c r="C14287" s="226"/>
      <c r="D14287" s="74" t="s">
        <v>31</v>
      </c>
      <c r="E14287" s="74" t="s">
        <v>32</v>
      </c>
      <c r="F14287" s="74" t="s">
        <v>189</v>
      </c>
      <c r="G14287" s="74" t="s">
        <v>33</v>
      </c>
    </row>
    <row r="14288" spans="1:7" ht="42" customHeight="1" x14ac:dyDescent="0.25">
      <c r="A14288" s="50" t="str">
        <f>Presupuesto!B262</f>
        <v>011_N2</v>
      </c>
      <c r="B14288" s="220" t="str">
        <f>Presupuesto!C262</f>
        <v>SUMINISTRO DE SECCIONADOR TRIPOLAR MOTORIZADO CON CUCHILLA DE PUESTA A TIERRA MOTORIZADA (SC) UM:15KV, IN: 630A, ISC:12.5KA MIN, LIWV:95KV. INCLUYE: BRAZO DE MANDO MANUAL A LA ALTURA APROPIADA</v>
      </c>
      <c r="C14288" s="220"/>
      <c r="D14288" s="50" t="s">
        <v>108</v>
      </c>
      <c r="E14288" s="50">
        <v>0.5</v>
      </c>
      <c r="F14288" s="50"/>
      <c r="G14288" s="51">
        <f>G14352</f>
        <v>72756549.052000001</v>
      </c>
    </row>
    <row r="14289" spans="1:7" x14ac:dyDescent="0.25">
      <c r="A14289" s="219" t="s">
        <v>34</v>
      </c>
      <c r="B14289" s="219"/>
      <c r="C14289" s="219"/>
      <c r="D14289" s="219"/>
      <c r="E14289" s="219"/>
      <c r="F14289" s="219"/>
      <c r="G14289" s="219"/>
    </row>
    <row r="14290" spans="1:7" x14ac:dyDescent="0.25">
      <c r="A14290" s="49" t="s">
        <v>35</v>
      </c>
      <c r="B14290" s="219" t="s">
        <v>36</v>
      </c>
      <c r="C14290" s="219"/>
      <c r="D14290" s="49" t="s">
        <v>37</v>
      </c>
      <c r="E14290" s="49" t="s">
        <v>38</v>
      </c>
      <c r="F14290" s="49" t="s">
        <v>39</v>
      </c>
      <c r="G14290" s="49" t="s">
        <v>40</v>
      </c>
    </row>
    <row r="14291" spans="1:7" ht="40.5" customHeight="1" x14ac:dyDescent="0.25">
      <c r="A14291" s="17" t="str">
        <f>Material!A47</f>
        <v>MA-46</v>
      </c>
      <c r="B14291" s="221" t="str">
        <f>IFERROR(VLOOKUP(A14291,Material!$A:$J,2,0),"-")</f>
        <v>SECCIONADOR TRIPOLAR MOTORIZADO CON CUCHILLA DE PUESTA A TIERRA MOTORIZADA (SC) UM:15KV, IN: 630A, ISC:12.5KA MIN, LIWV:95KV. INCLUYE: BRAZO DE MANDO MANUAL A LA ALTURA APROPIADA</v>
      </c>
      <c r="C14291" s="222"/>
      <c r="D14291" s="50" t="str">
        <f>IFERROR(VLOOKUP(A14291,Material!$A:$J,4,0),"-")</f>
        <v>UN</v>
      </c>
      <c r="E14291" s="50">
        <v>1</v>
      </c>
      <c r="F14291" s="51">
        <f>IFERROR(VLOOKUP(A14291,Material!$A:$J,3,0),"-")</f>
        <v>55063653.419221319</v>
      </c>
      <c r="G14291" s="51">
        <f t="shared" ref="G14291:G14292" si="202">IFERROR(ROUNDUP(F14291*E14291,0),"-")</f>
        <v>55063654</v>
      </c>
    </row>
    <row r="14292" spans="1:7" x14ac:dyDescent="0.25">
      <c r="A14292" s="17"/>
      <c r="B14292" s="72" t="str">
        <f>IFERROR(VLOOKUP(A14292,Material!$A:$J,2,0),"-")</f>
        <v>-</v>
      </c>
      <c r="C14292" s="76"/>
      <c r="D14292" s="50" t="str">
        <f>IFERROR(VLOOKUP(A14292,Material!$A:$J,4,0),"-")</f>
        <v>-</v>
      </c>
      <c r="E14292" s="50"/>
      <c r="F14292" s="51" t="str">
        <f>IFERROR(VLOOKUP(A14292,Material!$A:$J,3,0),"-")</f>
        <v>-</v>
      </c>
      <c r="G14292" s="51" t="str">
        <f t="shared" si="202"/>
        <v>-</v>
      </c>
    </row>
    <row r="14293" spans="1:7" x14ac:dyDescent="0.25">
      <c r="A14293" s="219" t="s">
        <v>41</v>
      </c>
      <c r="B14293" s="219"/>
      <c r="C14293" s="219"/>
      <c r="D14293" s="219"/>
      <c r="E14293" s="219"/>
      <c r="F14293" s="219"/>
      <c r="G14293" s="52">
        <f>SUM(G14291:G14292)</f>
        <v>55063654</v>
      </c>
    </row>
    <row r="14294" spans="1:7" x14ac:dyDescent="0.25">
      <c r="A14294" s="56"/>
      <c r="B14294" s="57"/>
      <c r="C14294" s="57"/>
      <c r="D14294" s="57"/>
      <c r="E14294" s="57"/>
      <c r="F14294" s="57"/>
      <c r="G14294" s="58"/>
    </row>
    <row r="14295" spans="1:7" x14ac:dyDescent="0.25">
      <c r="A14295" s="219" t="s">
        <v>42</v>
      </c>
      <c r="B14295" s="219"/>
      <c r="C14295" s="219"/>
      <c r="D14295" s="219"/>
      <c r="E14295" s="219"/>
      <c r="F14295" s="219"/>
      <c r="G14295" s="219"/>
    </row>
    <row r="14296" spans="1:7" x14ac:dyDescent="0.25">
      <c r="A14296" s="49" t="s">
        <v>35</v>
      </c>
      <c r="B14296" s="49" t="s">
        <v>36</v>
      </c>
      <c r="C14296" s="49" t="s">
        <v>38</v>
      </c>
      <c r="D14296" s="49" t="s">
        <v>43</v>
      </c>
      <c r="E14296" s="49" t="s">
        <v>44</v>
      </c>
      <c r="F14296" s="49" t="s">
        <v>45</v>
      </c>
      <c r="G14296" s="49" t="s">
        <v>40</v>
      </c>
    </row>
    <row r="14297" spans="1:7" x14ac:dyDescent="0.25">
      <c r="A14297" s="50" t="s">
        <v>319</v>
      </c>
      <c r="B14297" s="68" t="str">
        <f>VLOOKUP(A14297,'[1]Componentes APUs'!$H$1:$L$25,2,0)</f>
        <v>Ingeniero Residente de Obra</v>
      </c>
      <c r="C14297" s="93">
        <v>0.25</v>
      </c>
      <c r="D14297" s="50">
        <f>VLOOKUP(A14297,'[1]Componentes APUs'!$H$1:$L$25,3,0)</f>
        <v>4</v>
      </c>
      <c r="E14297" s="51">
        <f>VLOOKUP(A14297,'[1]Componentes APUs'!$H$1:$L$25,4,0)</f>
        <v>271142.85714285716</v>
      </c>
      <c r="F14297" s="51">
        <f>VLOOKUP(A14297,'[1]Componentes APUs'!$H$1:$L$25,5,0)</f>
        <v>162685.71428571429</v>
      </c>
      <c r="G14297" s="51">
        <f>ROUNDUP((E14297+F14297)*C14297/E14288,0)</f>
        <v>216915</v>
      </c>
    </row>
    <row r="14298" spans="1:7" x14ac:dyDescent="0.25">
      <c r="A14298" s="50" t="s">
        <v>320</v>
      </c>
      <c r="B14298" s="68" t="str">
        <f>VLOOKUP(A14298,'[1]Componentes APUs'!$H$1:$L$25,2,0)</f>
        <v>Tecnico Supervisor</v>
      </c>
      <c r="C14298" s="93">
        <v>0.25</v>
      </c>
      <c r="D14298" s="50">
        <f>VLOOKUP(A14298,'[1]Componentes APUs'!$H$1:$L$25,3,0)</f>
        <v>2.2999999999999998</v>
      </c>
      <c r="E14298" s="51">
        <f>VLOOKUP(A14298,'[1]Componentes APUs'!$H$1:$L$25,4,0)</f>
        <v>155907.14285714284</v>
      </c>
      <c r="F14298" s="51">
        <f>VLOOKUP(A14298,'[1]Componentes APUs'!$H$1:$L$25,5,0)</f>
        <v>93544.285714285696</v>
      </c>
      <c r="G14298" s="51">
        <f>ROUNDUP((E14298+F14298)*C14298/E14288,0)</f>
        <v>124726</v>
      </c>
    </row>
    <row r="14299" spans="1:7" x14ac:dyDescent="0.25">
      <c r="A14299" s="50" t="s">
        <v>46</v>
      </c>
      <c r="B14299" s="68" t="str">
        <f>VLOOKUP(A14299,'[1]Componentes APUs'!$H$1:$L$25,2,0)</f>
        <v>Tecnico Liniero</v>
      </c>
      <c r="C14299" s="93">
        <v>2</v>
      </c>
      <c r="D14299" s="50">
        <f>VLOOKUP(A14299,'[1]Componentes APUs'!$H$1:$L$25,3,0)</f>
        <v>2</v>
      </c>
      <c r="E14299" s="51">
        <f>VLOOKUP(A14299,'[1]Componentes APUs'!$H$1:$L$25,4,0)</f>
        <v>154619.04761904763</v>
      </c>
      <c r="F14299" s="51">
        <f>VLOOKUP(A14299,'[1]Componentes APUs'!$H$1:$L$25,5,0)</f>
        <v>92771.42857142858</v>
      </c>
      <c r="G14299" s="51">
        <f>ROUNDUP((E14299+F14299)*C14299/E14288,0)</f>
        <v>989562</v>
      </c>
    </row>
    <row r="14300" spans="1:7" x14ac:dyDescent="0.25">
      <c r="A14300" s="50" t="s">
        <v>48</v>
      </c>
      <c r="B14300" s="68" t="str">
        <f>VLOOKUP(A14300,'[1]Componentes APUs'!$H$1:$L$25,2,0)</f>
        <v>Ayudante Calificado</v>
      </c>
      <c r="C14300" s="93">
        <v>1</v>
      </c>
      <c r="D14300" s="50">
        <f>VLOOKUP(A14300,'[1]Componentes APUs'!$H$1:$L$25,3,0)</f>
        <v>1.5</v>
      </c>
      <c r="E14300" s="51">
        <f>VLOOKUP(A14300,'[1]Componentes APUs'!$H$1:$L$25,4,0)</f>
        <v>115964.28571428571</v>
      </c>
      <c r="F14300" s="51">
        <f>VLOOKUP(A14300,'[1]Componentes APUs'!$H$1:$L$25,5,0)</f>
        <v>69578.57142857142</v>
      </c>
      <c r="G14300" s="51">
        <f>ROUNDUP((E14300+F14300)*C14300/E14288,0)</f>
        <v>371086</v>
      </c>
    </row>
    <row r="14301" spans="1:7" x14ac:dyDescent="0.25">
      <c r="A14301" s="50" t="s">
        <v>50</v>
      </c>
      <c r="B14301" s="68" t="str">
        <f>VLOOKUP(A14301,'[1]Componentes APUs'!$H$1:$L$25,2,0)</f>
        <v>Profesional en SST</v>
      </c>
      <c r="C14301" s="93">
        <v>0.25</v>
      </c>
      <c r="D14301" s="50">
        <f>VLOOKUP(A14301,'[1]Componentes APUs'!$H$1:$L$25,3,0)</f>
        <v>2.5</v>
      </c>
      <c r="E14301" s="51">
        <f>VLOOKUP(A14301,'[1]Componentes APUs'!$H$1:$L$25,4,0)</f>
        <v>169464.28571428571</v>
      </c>
      <c r="F14301" s="51">
        <f>VLOOKUP(A14301,'[1]Componentes APUs'!$H$1:$L$25,5,0)</f>
        <v>101678.57142857142</v>
      </c>
      <c r="G14301" s="51">
        <f>ROUNDUP((E14301+F14301)*C14301/E14288,0)</f>
        <v>135572</v>
      </c>
    </row>
    <row r="14302" spans="1:7" x14ac:dyDescent="0.25">
      <c r="A14302" s="50" t="s">
        <v>52</v>
      </c>
      <c r="B14302" s="68" t="str">
        <f>VLOOKUP(A14302,'[1]Componentes APUs'!$H$1:$L$25,2,0)</f>
        <v>Ayudante No Calificado</v>
      </c>
      <c r="C14302" s="93">
        <v>1</v>
      </c>
      <c r="D14302" s="50">
        <f>VLOOKUP(A14302,'[1]Componentes APUs'!$H$1:$L$25,3,0)</f>
        <v>1</v>
      </c>
      <c r="E14302" s="51">
        <f>VLOOKUP(A14302,'[1]Componentes APUs'!$H$1:$L$25,4,0)</f>
        <v>77309.523809523816</v>
      </c>
      <c r="F14302" s="51">
        <f>VLOOKUP(A14302,'[1]Componentes APUs'!$H$1:$L$25,5,0)</f>
        <v>46385.71428571429</v>
      </c>
      <c r="G14302" s="51">
        <f>ROUNDUP((E14302+F14302)*C14302/E14288,0)</f>
        <v>247391</v>
      </c>
    </row>
    <row r="14303" spans="1:7" x14ac:dyDescent="0.25">
      <c r="A14303" s="219" t="s">
        <v>56</v>
      </c>
      <c r="B14303" s="219"/>
      <c r="C14303" s="219"/>
      <c r="D14303" s="219"/>
      <c r="E14303" s="219"/>
      <c r="F14303" s="219"/>
      <c r="G14303" s="52">
        <f>SUM(G14297:G14302)</f>
        <v>2085252</v>
      </c>
    </row>
    <row r="14304" spans="1:7" x14ac:dyDescent="0.25">
      <c r="A14304" s="56"/>
      <c r="B14304" s="57"/>
      <c r="C14304" s="57"/>
      <c r="D14304" s="57"/>
      <c r="E14304" s="57"/>
      <c r="F14304" s="57"/>
      <c r="G14304" s="58"/>
    </row>
    <row r="14305" spans="1:7" x14ac:dyDescent="0.25">
      <c r="A14305" s="219" t="s">
        <v>57</v>
      </c>
      <c r="B14305" s="219"/>
      <c r="C14305" s="219"/>
      <c r="D14305" s="219"/>
      <c r="E14305" s="219"/>
      <c r="F14305" s="219"/>
      <c r="G14305" s="219"/>
    </row>
    <row r="14306" spans="1:7" x14ac:dyDescent="0.25">
      <c r="A14306" s="49" t="s">
        <v>35</v>
      </c>
      <c r="B14306" s="219" t="s">
        <v>36</v>
      </c>
      <c r="C14306" s="219"/>
      <c r="D14306" s="49" t="s">
        <v>37</v>
      </c>
      <c r="E14306" s="49" t="s">
        <v>38</v>
      </c>
      <c r="F14306" s="49" t="s">
        <v>39</v>
      </c>
      <c r="G14306" s="49" t="s">
        <v>40</v>
      </c>
    </row>
    <row r="14307" spans="1:7" x14ac:dyDescent="0.25">
      <c r="A14307" s="50" t="s">
        <v>326</v>
      </c>
      <c r="B14307" s="220" t="str">
        <f>VLOOKUP(A14307,'[1]Componentes APUs'!$S$1:$V$10,2,0)</f>
        <v>Juego Llaves</v>
      </c>
      <c r="C14307" s="220"/>
      <c r="D14307" s="50" t="s">
        <v>18</v>
      </c>
      <c r="E14307" s="50">
        <v>2</v>
      </c>
      <c r="F14307" s="51">
        <f>VLOOKUP(A14307,'[1]Componentes APUs'!$S$1:$V$10,4,0)</f>
        <v>9167</v>
      </c>
      <c r="G14307" s="51">
        <f>ROUNDUP(F14307*((E14307/21)/E14288),0)</f>
        <v>1747</v>
      </c>
    </row>
    <row r="14308" spans="1:7" x14ac:dyDescent="0.25">
      <c r="A14308" s="50" t="s">
        <v>58</v>
      </c>
      <c r="B14308" s="220" t="str">
        <f>VLOOKUP(A14308,'[1]Componentes APUs'!$S$1:$V$10,2,0)</f>
        <v>Manila de servicio</v>
      </c>
      <c r="C14308" s="220"/>
      <c r="D14308" s="50" t="s">
        <v>18</v>
      </c>
      <c r="E14308" s="50">
        <v>2</v>
      </c>
      <c r="F14308" s="51">
        <f>VLOOKUP(A14308,'[1]Componentes APUs'!$S$1:$V$10,4,0)</f>
        <v>2333</v>
      </c>
      <c r="G14308" s="51">
        <f>ROUNDUP(F14308*((E14308/21)/E14288),0)</f>
        <v>445</v>
      </c>
    </row>
    <row r="14309" spans="1:7" x14ac:dyDescent="0.25">
      <c r="A14309" s="50" t="s">
        <v>327</v>
      </c>
      <c r="B14309" s="220" t="str">
        <f>VLOOKUP(A14309,'[1]Componentes APUs'!$S$1:$V$10,2,0)</f>
        <v>Tula portaherramientas</v>
      </c>
      <c r="C14309" s="220"/>
      <c r="D14309" s="50" t="s">
        <v>18</v>
      </c>
      <c r="E14309" s="50">
        <v>2</v>
      </c>
      <c r="F14309" s="51">
        <f>VLOOKUP(A14309,'[1]Componentes APUs'!$S$1:$V$10,4,0)</f>
        <v>1250</v>
      </c>
      <c r="G14309" s="51">
        <f>ROUNDUP(F14309*((E14309/21)/E14288),0)</f>
        <v>239</v>
      </c>
    </row>
    <row r="14310" spans="1:7" x14ac:dyDescent="0.25">
      <c r="A14310" s="50" t="s">
        <v>60</v>
      </c>
      <c r="B14310" s="220" t="str">
        <f>VLOOKUP(A14310,'[1]Componentes APUs'!$S$1:$V$10,2,0)</f>
        <v>Agarradoras</v>
      </c>
      <c r="C14310" s="220"/>
      <c r="D14310" s="50" t="s">
        <v>18</v>
      </c>
      <c r="E14310" s="50">
        <v>0</v>
      </c>
      <c r="F14310" s="51">
        <f>VLOOKUP(A14310,'[1]Componentes APUs'!$S$1:$V$10,4,0)</f>
        <v>125000</v>
      </c>
      <c r="G14310" s="51">
        <f>ROUNDUP(F14310*((E14310/21)/E14288),0)</f>
        <v>0</v>
      </c>
    </row>
    <row r="14311" spans="1:7" x14ac:dyDescent="0.25">
      <c r="A14311" s="50" t="s">
        <v>62</v>
      </c>
      <c r="B14311" s="220" t="str">
        <f>VLOOKUP(A14311,'[1]Componentes APUs'!$S$1:$V$10,2,0)</f>
        <v>Templadoras</v>
      </c>
      <c r="C14311" s="220"/>
      <c r="D14311" s="50" t="s">
        <v>18</v>
      </c>
      <c r="E14311" s="50">
        <v>0</v>
      </c>
      <c r="F14311" s="51">
        <f>VLOOKUP(A14311,'[1]Componentes APUs'!$S$1:$V$10,4,0)</f>
        <v>250000</v>
      </c>
      <c r="G14311" s="51">
        <f>ROUNDUP(F14311*((E14311/21)/E14288),0)</f>
        <v>0</v>
      </c>
    </row>
    <row r="14312" spans="1:7" x14ac:dyDescent="0.25">
      <c r="A14312" s="50" t="s">
        <v>328</v>
      </c>
      <c r="B14312" s="220" t="str">
        <f>VLOOKUP(A14312,'[1]Componentes APUs'!$S$1:$V$10,2,0)</f>
        <v>Herramienta Menor</v>
      </c>
      <c r="C14312" s="220"/>
      <c r="D14312" s="50" t="s">
        <v>18</v>
      </c>
      <c r="E14312" s="50">
        <v>2</v>
      </c>
      <c r="F14312" s="51">
        <f>VLOOKUP(A14312,'[1]Componentes APUs'!$S$1:$V$10,4,0)</f>
        <v>75758</v>
      </c>
      <c r="G14312" s="51">
        <f>ROUNDUP(F14312*((E14312/21)/E14288),0)</f>
        <v>14431</v>
      </c>
    </row>
    <row r="14313" spans="1:7" x14ac:dyDescent="0.25">
      <c r="A14313" s="50" t="s">
        <v>66</v>
      </c>
      <c r="B14313" s="220" t="str">
        <f>VLOOKUP(A14313,'[1]Componentes APUs'!$S$1:$V$10,2,0)</f>
        <v>Diferencial 2 Toneladas</v>
      </c>
      <c r="C14313" s="220"/>
      <c r="D14313" s="50" t="s">
        <v>18</v>
      </c>
      <c r="E14313" s="50">
        <v>1</v>
      </c>
      <c r="F14313" s="51">
        <f>VLOOKUP(A14313,'[1]Componentes APUs'!$S$1:$V$10,4,0)</f>
        <v>474905</v>
      </c>
      <c r="G14313" s="51">
        <f>ROUNDUP(F14313*((E14313/21)/E14288),0)</f>
        <v>45230</v>
      </c>
    </row>
    <row r="14314" spans="1:7" x14ac:dyDescent="0.25">
      <c r="A14314" s="219" t="s">
        <v>69</v>
      </c>
      <c r="B14314" s="219"/>
      <c r="C14314" s="219"/>
      <c r="D14314" s="219"/>
      <c r="E14314" s="219"/>
      <c r="F14314" s="219"/>
      <c r="G14314" s="52">
        <f>SUM(G14307:G14313)</f>
        <v>62092</v>
      </c>
    </row>
    <row r="14315" spans="1:7" x14ac:dyDescent="0.25">
      <c r="A14315" s="56"/>
      <c r="B14315" s="57"/>
      <c r="C14315" s="57"/>
      <c r="D14315" s="57"/>
      <c r="E14315" s="57"/>
      <c r="F14315" s="57"/>
      <c r="G14315" s="58"/>
    </row>
    <row r="14316" spans="1:7" x14ac:dyDescent="0.25">
      <c r="A14316" s="219" t="s">
        <v>70</v>
      </c>
      <c r="B14316" s="219"/>
      <c r="C14316" s="219"/>
      <c r="D14316" s="219"/>
      <c r="E14316" s="219"/>
      <c r="F14316" s="219"/>
      <c r="G14316" s="219"/>
    </row>
    <row r="14317" spans="1:7" x14ac:dyDescent="0.25">
      <c r="A14317" s="49" t="s">
        <v>35</v>
      </c>
      <c r="B14317" s="219" t="s">
        <v>36</v>
      </c>
      <c r="C14317" s="219"/>
      <c r="D14317" s="49" t="s">
        <v>37</v>
      </c>
      <c r="E14317" s="49" t="s">
        <v>38</v>
      </c>
      <c r="F14317" s="49" t="s">
        <v>39</v>
      </c>
      <c r="G14317" s="49" t="s">
        <v>40</v>
      </c>
    </row>
    <row r="14318" spans="1:7" x14ac:dyDescent="0.25">
      <c r="A14318" s="50" t="s">
        <v>71</v>
      </c>
      <c r="B14318" s="71" t="str">
        <f>VLOOKUP(A14318,'[1]Componentes APUs'!$A$1:$D$14,2,0)</f>
        <v>Camisa indigo sin partes metalicas</v>
      </c>
      <c r="C14318" s="71"/>
      <c r="D14318" s="50" t="str">
        <f>VLOOKUP(A14318,'[1]Componentes APUs'!$A$1:$D$14,3,0)</f>
        <v>U</v>
      </c>
      <c r="E14318" s="50">
        <f>SUM(C14297:C14302)</f>
        <v>4.75</v>
      </c>
      <c r="F14318" s="51">
        <f>VLOOKUP(A14318,'[1]Componentes APUs'!$A$1:$D$14,4,0)</f>
        <v>8585.8585858585866</v>
      </c>
      <c r="G14318" s="51">
        <f>ROUNDUP(F14318*(E14318/21)/E14288,0)</f>
        <v>3885</v>
      </c>
    </row>
    <row r="14319" spans="1:7" x14ac:dyDescent="0.25">
      <c r="A14319" s="69" t="s">
        <v>73</v>
      </c>
      <c r="B14319" s="72" t="str">
        <f>VLOOKUP(A14319,'[1]Componentes APUs'!$A$1:$D$14,2,0)</f>
        <v>Bota de seguridad dielectrica</v>
      </c>
      <c r="C14319" s="73"/>
      <c r="D14319" s="70" t="str">
        <f>VLOOKUP(A14319,'[1]Componentes APUs'!$A$1:$D$14,3,0)</f>
        <v>Par</v>
      </c>
      <c r="E14319" s="50">
        <f>SUM(C14297:C14302)</f>
        <v>4.75</v>
      </c>
      <c r="F14319" s="51">
        <f>VLOOKUP(A14319,'[1]Componentes APUs'!$A$1:$D$14,4,0)</f>
        <v>7500</v>
      </c>
      <c r="G14319" s="51">
        <f>ROUNDUP(F14319*(E14319/21)/E14288,0)</f>
        <v>3393</v>
      </c>
    </row>
    <row r="14320" spans="1:7" x14ac:dyDescent="0.25">
      <c r="A14320" s="50" t="s">
        <v>76</v>
      </c>
      <c r="B14320" s="72" t="str">
        <f>VLOOKUP(A14320,'[1]Componentes APUs'!$A$1:$D$14,2,0)</f>
        <v>Casco dielectrico Tipo 1 Clase E con barbuquejo</v>
      </c>
      <c r="C14320" s="73"/>
      <c r="D14320" s="50" t="str">
        <f>VLOOKUP(A14320,'[1]Componentes APUs'!$A$1:$D$14,3,0)</f>
        <v>U</v>
      </c>
      <c r="E14320" s="50">
        <f>C14298+C14301+C14302+C14300+C14297+IF(A14299&lt;&gt;"MO-3",C14299,0)</f>
        <v>2.75</v>
      </c>
      <c r="F14320" s="51">
        <f>VLOOKUP(A14320,'[1]Componentes APUs'!$A$1:$D$14,4,0)</f>
        <v>10101.010101010101</v>
      </c>
      <c r="G14320" s="51">
        <f>ROUNDUP(F14320*(E14320/21)/E14288,0)</f>
        <v>2646</v>
      </c>
    </row>
    <row r="14321" spans="1:7" x14ac:dyDescent="0.25">
      <c r="A14321" s="69" t="s">
        <v>77</v>
      </c>
      <c r="B14321" s="72" t="str">
        <f>VLOOKUP(A14321,'[1]Componentes APUs'!$A$1:$D$14,2,0)</f>
        <v>Correa plastica y antiflama</v>
      </c>
      <c r="C14321" s="73"/>
      <c r="D14321" s="50" t="str">
        <f>VLOOKUP(A14321,'[1]Componentes APUs'!$A$1:$D$14,3,0)</f>
        <v>U</v>
      </c>
      <c r="E14321" s="50">
        <f>SUM(C14297:C14302)</f>
        <v>4.75</v>
      </c>
      <c r="F14321" s="51">
        <f>VLOOKUP(A14321,'[1]Componentes APUs'!$A$1:$D$14,4,0)</f>
        <v>3787.878787878788</v>
      </c>
      <c r="G14321" s="51">
        <f>ROUNDUP(F14321*(E14321/21)/E14288,0)</f>
        <v>1714</v>
      </c>
    </row>
    <row r="14322" spans="1:7" x14ac:dyDescent="0.25">
      <c r="A14322" s="50" t="s">
        <v>79</v>
      </c>
      <c r="B14322" s="72" t="str">
        <f>VLOOKUP(A14322,'[1]Componentes APUs'!$A$1:$D$14,2,0)</f>
        <v>Gafas protectoras filtro UV</v>
      </c>
      <c r="C14322" s="73"/>
      <c r="D14322" s="50" t="str">
        <f>VLOOKUP(A14322,'[1]Componentes APUs'!$A$1:$D$14,3,0)</f>
        <v>U</v>
      </c>
      <c r="E14322" s="50">
        <f>SUM(C14297:C14302)</f>
        <v>4.75</v>
      </c>
      <c r="F14322" s="51">
        <f>VLOOKUP(A14322,'[1]Componentes APUs'!$A$1:$D$14,4,0)</f>
        <v>2777.7777777777778</v>
      </c>
      <c r="G14322" s="51">
        <f>ROUNDUP(F14322*(E14322/21)/E14288,0)</f>
        <v>1257</v>
      </c>
    </row>
    <row r="14323" spans="1:7" x14ac:dyDescent="0.25">
      <c r="A14323" s="69" t="s">
        <v>402</v>
      </c>
      <c r="B14323" s="72" t="str">
        <f>VLOOKUP(A14323,'[1]Componentes APUs'!$A$1:$D$14,2,0)</f>
        <v>Bota de seguridad PVC dielectrica</v>
      </c>
      <c r="C14323" s="73"/>
      <c r="D14323" s="50" t="str">
        <f>VLOOKUP(A14323,'[1]Componentes APUs'!$A$1:$D$14,3,0)</f>
        <v>Par</v>
      </c>
      <c r="E14323" s="50">
        <f>SUM(C14297:C14302)</f>
        <v>4.75</v>
      </c>
      <c r="F14323" s="51">
        <f>VLOOKUP(A14323,'[1]Componentes APUs'!$A$1:$D$14,4,0)</f>
        <v>2916.6666666666665</v>
      </c>
      <c r="G14323" s="51">
        <f>ROUNDUP(F14323*(E14323/21)/E14288,0)</f>
        <v>1320</v>
      </c>
    </row>
    <row r="14324" spans="1:7" x14ac:dyDescent="0.25">
      <c r="A14324" s="50" t="s">
        <v>403</v>
      </c>
      <c r="B14324" s="72" t="str">
        <f>VLOOKUP(A14324,'[1]Componentes APUs'!$A$1:$D$14,2,0)</f>
        <v>Capuchon</v>
      </c>
      <c r="C14324" s="73"/>
      <c r="D14324" s="50" t="str">
        <f>VLOOKUP(A14324,'[1]Componentes APUs'!$A$1:$D$14,3,0)</f>
        <v>U</v>
      </c>
      <c r="E14324" s="50">
        <f>SUM(C14297:C14302)</f>
        <v>4.75</v>
      </c>
      <c r="F14324" s="51">
        <f>VLOOKUP(A14324,'[1]Componentes APUs'!$A$1:$D$14,4,0)</f>
        <v>2525.2525252525252</v>
      </c>
      <c r="G14324" s="51">
        <f>ROUNDUP(F14324*(E14324/21)/E14288,0)</f>
        <v>1143</v>
      </c>
    </row>
    <row r="14325" spans="1:7" x14ac:dyDescent="0.25">
      <c r="A14325" s="69" t="s">
        <v>81</v>
      </c>
      <c r="B14325" s="72" t="str">
        <f>VLOOKUP(A14325,'[1]Componentes APUs'!$A$1:$D$14,2,0)</f>
        <v>Guantes Protectores  - ingeniero reforzados</v>
      </c>
      <c r="C14325" s="73"/>
      <c r="D14325" s="50" t="str">
        <f>VLOOKUP(A14325,'[1]Componentes APUs'!$A$1:$D$14,3,0)</f>
        <v>Par</v>
      </c>
      <c r="E14325" s="50">
        <f>C14299+C14300+C14302</f>
        <v>4</v>
      </c>
      <c r="F14325" s="51">
        <f>VLOOKUP(A14325,'[1]Componentes APUs'!$A$1:$D$14,4,0)</f>
        <v>2525.2525252525252</v>
      </c>
      <c r="G14325" s="51">
        <f>ROUNDUP(F14325*(E14325/21)/E14288,0)</f>
        <v>963</v>
      </c>
    </row>
    <row r="14326" spans="1:7" x14ac:dyDescent="0.25">
      <c r="A14326" s="50" t="s">
        <v>83</v>
      </c>
      <c r="B14326" s="72" t="str">
        <f>VLOOKUP(A14326,'[1]Componentes APUs'!$A$1:$D$14,2,0)</f>
        <v>Impermeable (pantalon camisa)</v>
      </c>
      <c r="C14326" s="73"/>
      <c r="D14326" s="50" t="str">
        <f>VLOOKUP(A14326,'[1]Componentes APUs'!$A$1:$D$14,3,0)</f>
        <v>U</v>
      </c>
      <c r="E14326" s="50">
        <f>SUM(C14297:C14302)</f>
        <v>4.75</v>
      </c>
      <c r="F14326" s="51">
        <f>VLOOKUP(A14326,'[1]Componentes APUs'!$A$1:$D$14,4,0)</f>
        <v>3750</v>
      </c>
      <c r="G14326" s="51">
        <f>ROUNDUP(F14326*(E14326/21)/E14288,0)</f>
        <v>1697</v>
      </c>
    </row>
    <row r="14327" spans="1:7" x14ac:dyDescent="0.25">
      <c r="A14327" s="69" t="s">
        <v>85</v>
      </c>
      <c r="B14327" s="72" t="str">
        <f>VLOOKUP(A14327,'[1]Componentes APUs'!$A$1:$D$14,2,0)</f>
        <v>Jean Dielectrico</v>
      </c>
      <c r="C14327" s="73"/>
      <c r="D14327" s="50" t="str">
        <f>VLOOKUP(A14327,'[1]Componentes APUs'!$A$1:$D$14,3,0)</f>
        <v>U</v>
      </c>
      <c r="E14327" s="50">
        <f>SUM(C14297:C14302)</f>
        <v>4.75</v>
      </c>
      <c r="F14327" s="51">
        <f>VLOOKUP(A14327,'[1]Componentes APUs'!$A$1:$D$14,4,0)</f>
        <v>7575.757575757576</v>
      </c>
      <c r="G14327" s="51">
        <f>ROUNDUP(F14327*(E14327/21)/E14288,0)</f>
        <v>3428</v>
      </c>
    </row>
    <row r="14328" spans="1:7" x14ac:dyDescent="0.25">
      <c r="A14328" s="50" t="s">
        <v>87</v>
      </c>
      <c r="B14328" s="72" t="str">
        <f>VLOOKUP(A14328,'[1]Componentes APUs'!$A$1:$D$14,2,0)</f>
        <v>Casco dielectrico Tipo 2 Clase E con barboquejo</v>
      </c>
      <c r="C14328" s="73"/>
      <c r="D14328" s="50" t="str">
        <f>VLOOKUP(A14328,'[1]Componentes APUs'!$A$1:$D$14,3,0)</f>
        <v>U</v>
      </c>
      <c r="E14328" s="53">
        <f>IF(A14299="MO-3",C14299,0)</f>
        <v>2</v>
      </c>
      <c r="F14328" s="51">
        <f>VLOOKUP(A14328,'[1]Componentes APUs'!$A$1:$D$14,4,0)</f>
        <v>7500</v>
      </c>
      <c r="G14328" s="51">
        <f>ROUNDUP(F14328*(E14328/21)/E14288,0)</f>
        <v>1429</v>
      </c>
    </row>
    <row r="14329" spans="1:7" x14ac:dyDescent="0.25">
      <c r="A14329" s="69" t="s">
        <v>89</v>
      </c>
      <c r="B14329" s="72" t="str">
        <f>VLOOKUP(A14329,'[1]Componentes APUs'!$A$1:$D$14,2,0)</f>
        <v>Kit de rescate para trabajo en alturas</v>
      </c>
      <c r="C14329" s="73"/>
      <c r="D14329" s="50" t="str">
        <f>VLOOKUP(A14329,'[1]Componentes APUs'!$A$1:$D$14,3,0)</f>
        <v>U</v>
      </c>
      <c r="E14329" s="50">
        <f>IF(AND(A14299="MO-3",C14299=2),1,0)</f>
        <v>1</v>
      </c>
      <c r="F14329" s="51">
        <f>VLOOKUP(A14329,'[1]Componentes APUs'!$A$1:$D$14,4,0)</f>
        <v>37500</v>
      </c>
      <c r="G14329" s="51">
        <f>ROUNDUP(F14329*(E14329/21)/E14288,0)</f>
        <v>3572</v>
      </c>
    </row>
    <row r="14330" spans="1:7" x14ac:dyDescent="0.25">
      <c r="A14330" s="50" t="s">
        <v>91</v>
      </c>
      <c r="B14330" s="72" t="str">
        <f>VLOOKUP(A14330,'[1]Componentes APUs'!$A$1:$D$14,2,0)</f>
        <v>Equipo completo para trabajo en alturas con pretales (Arnes dielectrico, 1 mosqueton de seguridad, tie off dielectrico, eslinga de posicionamiento, juego de pretales)</v>
      </c>
      <c r="C14330" s="73"/>
      <c r="D14330" s="50" t="str">
        <f>VLOOKUP(A14330,'[1]Componentes APUs'!$A$1:$D$14,3,0)</f>
        <v>U</v>
      </c>
      <c r="E14330" s="50">
        <f>IF(A14299="MO-3",C14299,0)</f>
        <v>2</v>
      </c>
      <c r="F14330" s="51">
        <f>VLOOKUP(A14330,'[1]Componentes APUs'!$A$1:$D$14,4,0)</f>
        <v>26041.666666666668</v>
      </c>
      <c r="G14330" s="51">
        <f>ROUNDUP(F14330*(E14330/21)/E14288,0)</f>
        <v>4961</v>
      </c>
    </row>
    <row r="14331" spans="1:7" x14ac:dyDescent="0.25">
      <c r="A14331" s="219" t="s">
        <v>95</v>
      </c>
      <c r="B14331" s="219"/>
      <c r="C14331" s="219"/>
      <c r="D14331" s="219"/>
      <c r="E14331" s="219"/>
      <c r="F14331" s="219"/>
      <c r="G14331" s="52">
        <f>SUM(G14318:G14330)</f>
        <v>31408</v>
      </c>
    </row>
    <row r="14332" spans="1:7" x14ac:dyDescent="0.25">
      <c r="A14332" s="56"/>
      <c r="B14332" s="57"/>
      <c r="C14332" s="57"/>
      <c r="D14332" s="57"/>
      <c r="E14332" s="57"/>
      <c r="F14332" s="57"/>
      <c r="G14332" s="58"/>
    </row>
    <row r="14333" spans="1:7" x14ac:dyDescent="0.25">
      <c r="A14333" s="219" t="s">
        <v>96</v>
      </c>
      <c r="B14333" s="219"/>
      <c r="C14333" s="219"/>
      <c r="D14333" s="219"/>
      <c r="E14333" s="219"/>
      <c r="F14333" s="219"/>
      <c r="G14333" s="219"/>
    </row>
    <row r="14334" spans="1:7" x14ac:dyDescent="0.25">
      <c r="A14334" s="49" t="s">
        <v>35</v>
      </c>
      <c r="B14334" s="225" t="s">
        <v>36</v>
      </c>
      <c r="C14334" s="225"/>
      <c r="D14334" s="49" t="s">
        <v>37</v>
      </c>
      <c r="E14334" s="49" t="s">
        <v>38</v>
      </c>
      <c r="F14334" s="49" t="s">
        <v>39</v>
      </c>
      <c r="G14334" s="49" t="s">
        <v>40</v>
      </c>
    </row>
    <row r="14335" spans="1:7" x14ac:dyDescent="0.25">
      <c r="A14335" s="69" t="s">
        <v>97</v>
      </c>
      <c r="B14335" s="72" t="str">
        <f>VLOOKUP(A14335,'[1]Componentes APUs'!$N$1:$Q$30,2,0)</f>
        <v>Camioneta</v>
      </c>
      <c r="C14335" s="73"/>
      <c r="D14335" s="70" t="str">
        <f>VLOOKUP(A14335,'[1]Componentes APUs'!$N$1:$Q$30,3,0)</f>
        <v>U</v>
      </c>
      <c r="E14335" s="50">
        <v>1</v>
      </c>
      <c r="F14335" s="51">
        <f>VLOOKUP(A14335,'[1]Componentes APUs'!$N$1:$Q$30,4,0)</f>
        <v>5500000</v>
      </c>
      <c r="G14335" s="51">
        <f>IFERROR(ROUNDUP(F14335*(E14335/21)/E14288,0),"-")</f>
        <v>523810</v>
      </c>
    </row>
    <row r="14336" spans="1:7" x14ac:dyDescent="0.25">
      <c r="A14336" s="50" t="s">
        <v>321</v>
      </c>
      <c r="B14336" s="72" t="str">
        <f>VLOOKUP(A14336,'[1]Componentes APUs'!$N$1:$Q$30,2,0)</f>
        <v>Grúa Hidráulica</v>
      </c>
      <c r="C14336" s="73"/>
      <c r="D14336" s="70" t="str">
        <f>VLOOKUP(A14336,'[1]Componentes APUs'!$N$1:$Q$30,3,0)</f>
        <v>U</v>
      </c>
      <c r="E14336" s="50">
        <v>0</v>
      </c>
      <c r="F14336" s="51">
        <f>VLOOKUP(A14336,'[1]Componentes APUs'!$N$1:$Q$30,4,0)</f>
        <v>21000000</v>
      </c>
      <c r="G14336" s="51">
        <f>IFERROR(ROUNDUP(F14336*(E14336/21)/E14288,0),"-")</f>
        <v>0</v>
      </c>
    </row>
    <row r="14337" spans="1:7" x14ac:dyDescent="0.25">
      <c r="A14337" s="69" t="s">
        <v>322</v>
      </c>
      <c r="B14337" s="72" t="str">
        <f>VLOOKUP(A14337,'[1]Componentes APUs'!$N$1:$Q$30,2,0)</f>
        <v>Camabaja</v>
      </c>
      <c r="C14337" s="73"/>
      <c r="D14337" s="70" t="str">
        <f>VLOOKUP(A14337,'[1]Componentes APUs'!$N$1:$Q$30,3,0)</f>
        <v>TON/KM</v>
      </c>
      <c r="E14337" s="50">
        <v>0</v>
      </c>
      <c r="F14337" s="51">
        <f>VLOOKUP(A14337,'[1]Componentes APUs'!$N$1:$Q$30,4,0)</f>
        <v>611</v>
      </c>
      <c r="G14337" s="51">
        <f>IFERROR(ROUNDUP(F14337*(E14337/21)/E14288,0),"-")</f>
        <v>0</v>
      </c>
    </row>
    <row r="14338" spans="1:7" x14ac:dyDescent="0.25">
      <c r="A14338" s="50" t="s">
        <v>323</v>
      </c>
      <c r="B14338" s="72" t="str">
        <f>VLOOKUP(A14338,'[1]Componentes APUs'!$N$1:$Q$30,2,0)</f>
        <v>Volqueta</v>
      </c>
      <c r="C14338" s="73"/>
      <c r="D14338" s="70" t="str">
        <f>VLOOKUP(A14338,'[1]Componentes APUs'!$N$1:$Q$30,3,0)</f>
        <v>U</v>
      </c>
      <c r="E14338" s="50">
        <v>0</v>
      </c>
      <c r="F14338" s="51">
        <f>VLOOKUP(A14338,'[1]Componentes APUs'!$N$1:$Q$30,4,0)</f>
        <v>18900000</v>
      </c>
      <c r="G14338" s="51">
        <f>IFERROR(ROUNDUP(F14338*(E14338/21)/E14288,0),"-")</f>
        <v>0</v>
      </c>
    </row>
    <row r="14339" spans="1:7" x14ac:dyDescent="0.25">
      <c r="A14339" s="69" t="s">
        <v>324</v>
      </c>
      <c r="B14339" s="72" t="str">
        <f>VLOOKUP(A14339,'[1]Componentes APUs'!$N$1:$Q$30,2,0)</f>
        <v>Retroexcavadora</v>
      </c>
      <c r="C14339" s="73"/>
      <c r="D14339" s="70" t="str">
        <f>VLOOKUP(A14339,'[1]Componentes APUs'!$N$1:$Q$30,3,0)</f>
        <v>U</v>
      </c>
      <c r="E14339" s="50">
        <v>0</v>
      </c>
      <c r="F14339" s="51">
        <f>VLOOKUP(A14339,'[1]Componentes APUs'!$N$1:$Q$30,4,0)</f>
        <v>1494459.54</v>
      </c>
      <c r="G14339" s="51">
        <f>IFERROR(ROUNDUP(F14339*(E14339/21)/E14288,0),"-")</f>
        <v>0</v>
      </c>
    </row>
    <row r="14340" spans="1:7" x14ac:dyDescent="0.25">
      <c r="A14340" s="219" t="s">
        <v>99</v>
      </c>
      <c r="B14340" s="219"/>
      <c r="C14340" s="219"/>
      <c r="D14340" s="219"/>
      <c r="E14340" s="219"/>
      <c r="F14340" s="219"/>
      <c r="G14340" s="52">
        <f>SUM(G14335:G14339)</f>
        <v>523810</v>
      </c>
    </row>
    <row r="14341" spans="1:7" x14ac:dyDescent="0.25">
      <c r="A14341" s="56"/>
      <c r="B14341" s="57"/>
      <c r="C14341" s="57"/>
      <c r="D14341" s="57"/>
      <c r="E14341" s="57"/>
      <c r="F14341" s="57"/>
      <c r="G14341" s="58"/>
    </row>
    <row r="14342" spans="1:7" x14ac:dyDescent="0.25">
      <c r="A14342" s="219" t="s">
        <v>1516</v>
      </c>
      <c r="B14342" s="219"/>
      <c r="C14342" s="219"/>
      <c r="D14342" s="219"/>
      <c r="E14342" s="219"/>
      <c r="F14342" s="219"/>
      <c r="G14342" s="52">
        <f>G14340+G14331+G14314+G14303+G14293</f>
        <v>57766216</v>
      </c>
    </row>
    <row r="14343" spans="1:7" x14ac:dyDescent="0.25">
      <c r="A14343" s="59"/>
      <c r="B14343" s="60"/>
      <c r="C14343" s="60"/>
      <c r="D14343" s="60"/>
      <c r="E14343" s="57"/>
      <c r="F14343" s="57"/>
      <c r="G14343" s="58"/>
    </row>
    <row r="14344" spans="1:7" x14ac:dyDescent="0.25">
      <c r="A14344" s="64"/>
      <c r="D14344" s="55"/>
      <c r="E14344" s="49" t="s">
        <v>25</v>
      </c>
      <c r="F14344" s="54">
        <v>0.15</v>
      </c>
      <c r="G14344" s="51">
        <f>G14342*F14344</f>
        <v>8664932.4000000004</v>
      </c>
    </row>
    <row r="14345" spans="1:7" x14ac:dyDescent="0.25">
      <c r="A14345" s="64"/>
      <c r="D14345" s="55"/>
      <c r="E14345" s="49" t="s">
        <v>26</v>
      </c>
      <c r="F14345" s="54">
        <v>0.05</v>
      </c>
      <c r="G14345" s="51">
        <f>G14342*F14345</f>
        <v>2888310.8000000003</v>
      </c>
    </row>
    <row r="14346" spans="1:7" x14ac:dyDescent="0.25">
      <c r="A14346" s="61"/>
      <c r="B14346" s="65"/>
      <c r="C14346" s="65"/>
      <c r="D14346" s="62"/>
      <c r="E14346" s="49" t="s">
        <v>27</v>
      </c>
      <c r="F14346" s="54">
        <v>0.05</v>
      </c>
      <c r="G14346" s="51">
        <f>G14342*F14346</f>
        <v>2888310.8000000003</v>
      </c>
    </row>
    <row r="14347" spans="1:7" x14ac:dyDescent="0.25">
      <c r="A14347" s="61"/>
      <c r="B14347" s="62"/>
      <c r="C14347" s="62"/>
      <c r="D14347" s="62"/>
      <c r="E14347" s="62"/>
      <c r="F14347" s="62"/>
      <c r="G14347" s="63"/>
    </row>
    <row r="14348" spans="1:7" x14ac:dyDescent="0.25">
      <c r="A14348" s="219" t="s">
        <v>1517</v>
      </c>
      <c r="B14348" s="219"/>
      <c r="C14348" s="219"/>
      <c r="D14348" s="219"/>
      <c r="E14348" s="219"/>
      <c r="F14348" s="219"/>
      <c r="G14348" s="52">
        <f>G14342+G14344+G14345+G14346</f>
        <v>72207770</v>
      </c>
    </row>
    <row r="14349" spans="1:7" x14ac:dyDescent="0.25">
      <c r="A14349" s="59"/>
      <c r="B14349" s="60"/>
      <c r="C14349" s="60"/>
      <c r="D14349" s="60"/>
      <c r="E14349" s="57"/>
      <c r="F14349" s="57"/>
      <c r="G14349" s="58"/>
    </row>
    <row r="14350" spans="1:7" x14ac:dyDescent="0.25">
      <c r="A14350" s="64"/>
      <c r="D14350" s="55"/>
      <c r="E14350" s="49" t="s">
        <v>102</v>
      </c>
      <c r="F14350" s="49" t="s">
        <v>103</v>
      </c>
      <c r="G14350" s="51">
        <f>G14346*19%</f>
        <v>548779.05200000003</v>
      </c>
    </row>
    <row r="14351" spans="1:7" x14ac:dyDescent="0.25">
      <c r="A14351" s="61"/>
      <c r="B14351" s="62"/>
      <c r="C14351" s="62"/>
      <c r="D14351" s="62"/>
      <c r="E14351" s="57"/>
      <c r="F14351" s="57"/>
      <c r="G14351" s="58"/>
    </row>
    <row r="14352" spans="1:7" x14ac:dyDescent="0.25">
      <c r="A14352" s="219" t="s">
        <v>104</v>
      </c>
      <c r="B14352" s="219"/>
      <c r="C14352" s="219"/>
      <c r="D14352" s="219"/>
      <c r="E14352" s="219"/>
      <c r="F14352" s="219"/>
      <c r="G14352" s="52">
        <f>G14350+G14348</f>
        <v>72756549.052000001</v>
      </c>
    </row>
    <row r="14354" spans="1:7" x14ac:dyDescent="0.25">
      <c r="A14354" s="74" t="s">
        <v>29</v>
      </c>
      <c r="B14354" s="226" t="s">
        <v>30</v>
      </c>
      <c r="C14354" s="226"/>
      <c r="D14354" s="74" t="s">
        <v>31</v>
      </c>
      <c r="E14354" s="74" t="s">
        <v>32</v>
      </c>
      <c r="F14354" s="74" t="s">
        <v>189</v>
      </c>
      <c r="G14354" s="74" t="s">
        <v>33</v>
      </c>
    </row>
    <row r="14355" spans="1:7" ht="49.5" customHeight="1" x14ac:dyDescent="0.25">
      <c r="A14355" s="50" t="str">
        <f>Presupuesto!B263</f>
        <v>012_N2</v>
      </c>
      <c r="B14355" s="220" t="str">
        <f>Presupuesto!C263</f>
        <v>SUMINISTRO DE SECCIONADOR TRIPOLAR MOTORIZADO SIN CUCHILLA DE PUESTA A TIERRA (SE). UM:15KV, IN: 630A, ISC:12.5KA MIN, LIWV:95KV. INCLUYE: BRAZO DE MANDO MANUAL A LA ALTURA APROPIADA</v>
      </c>
      <c r="C14355" s="220"/>
      <c r="D14355" s="50" t="s">
        <v>108</v>
      </c>
      <c r="E14355" s="50">
        <v>0.5</v>
      </c>
      <c r="F14355" s="50"/>
      <c r="G14355" s="51">
        <f>G14420</f>
        <v>51002317.690500006</v>
      </c>
    </row>
    <row r="14356" spans="1:7" x14ac:dyDescent="0.25">
      <c r="A14356" s="219" t="s">
        <v>34</v>
      </c>
      <c r="B14356" s="219"/>
      <c r="C14356" s="219"/>
      <c r="D14356" s="219"/>
      <c r="E14356" s="219"/>
      <c r="F14356" s="219"/>
      <c r="G14356" s="219"/>
    </row>
    <row r="14357" spans="1:7" x14ac:dyDescent="0.25">
      <c r="A14357" s="49" t="s">
        <v>35</v>
      </c>
      <c r="B14357" s="219" t="s">
        <v>36</v>
      </c>
      <c r="C14357" s="219"/>
      <c r="D14357" s="49" t="s">
        <v>37</v>
      </c>
      <c r="E14357" s="49" t="s">
        <v>38</v>
      </c>
      <c r="F14357" s="49" t="s">
        <v>39</v>
      </c>
      <c r="G14357" s="49" t="s">
        <v>40</v>
      </c>
    </row>
    <row r="14358" spans="1:7" ht="36" customHeight="1" x14ac:dyDescent="0.25">
      <c r="A14358" s="17" t="str">
        <f>Material!A48</f>
        <v>MA-47</v>
      </c>
      <c r="B14358" s="221" t="str">
        <f>IFERROR(VLOOKUP(A14358,Material!$A:$J,2,0),"-")</f>
        <v>SECCIONADOR TRIPOLAR MOTORIZADO SIN CUCHILLA DE PUESTA A TIERRA (SE). UM:15KV, IN: 630A, ISC:12.5KA MIN, LIWV:95KV. INCLUYE: BRAZO DE MANDO MANUAL A LA ALTURA APROPIADA</v>
      </c>
      <c r="C14358" s="222"/>
      <c r="D14358" s="50" t="str">
        <f>IFERROR(VLOOKUP(A14358,Material!$A:$J,4,0),"-")</f>
        <v>UN</v>
      </c>
      <c r="E14358" s="50">
        <v>1</v>
      </c>
      <c r="F14358" s="51">
        <f>IFERROR(VLOOKUP(A14358,Material!$A:$J,3,0),"-")</f>
        <v>37791536.679983996</v>
      </c>
      <c r="G14358" s="51">
        <f t="shared" ref="G14358:G14360" si="203">IFERROR(ROUNDUP(F14358*E14358,0),"-")</f>
        <v>37791537</v>
      </c>
    </row>
    <row r="14359" spans="1:7" x14ac:dyDescent="0.25">
      <c r="A14359" s="17"/>
      <c r="B14359" s="72" t="str">
        <f>IFERROR(VLOOKUP(A14359,Material!$A:$J,2,0),"-")</f>
        <v>-</v>
      </c>
      <c r="C14359" s="73"/>
      <c r="D14359" s="50" t="str">
        <f>IFERROR(VLOOKUP(A14359,Material!$A:$J,4,0),"-")</f>
        <v>-</v>
      </c>
      <c r="E14359" s="50"/>
      <c r="F14359" s="51" t="str">
        <f>IFERROR(VLOOKUP(A14359,Material!$A:$J,3,0),"-")</f>
        <v>-</v>
      </c>
      <c r="G14359" s="51" t="str">
        <f t="shared" si="203"/>
        <v>-</v>
      </c>
    </row>
    <row r="14360" spans="1:7" x14ac:dyDescent="0.25">
      <c r="A14360" s="17"/>
      <c r="B14360" s="72" t="str">
        <f>IFERROR(VLOOKUP(A14360,Material!$A:$J,2,0),"-")</f>
        <v>-</v>
      </c>
      <c r="C14360" s="73"/>
      <c r="D14360" s="50" t="str">
        <f>IFERROR(VLOOKUP(A14360,Material!$A:$J,4,0),"-")</f>
        <v>-</v>
      </c>
      <c r="E14360" s="50"/>
      <c r="F14360" s="51" t="str">
        <f>IFERROR(VLOOKUP(A14360,Material!$A:$J,3,0),"-")</f>
        <v>-</v>
      </c>
      <c r="G14360" s="51" t="str">
        <f t="shared" si="203"/>
        <v>-</v>
      </c>
    </row>
    <row r="14361" spans="1:7" x14ac:dyDescent="0.25">
      <c r="A14361" s="219" t="s">
        <v>41</v>
      </c>
      <c r="B14361" s="219"/>
      <c r="C14361" s="219"/>
      <c r="D14361" s="219"/>
      <c r="E14361" s="219"/>
      <c r="F14361" s="219"/>
      <c r="G14361" s="52">
        <f>SUM(G14358:G14360)</f>
        <v>37791537</v>
      </c>
    </row>
    <row r="14362" spans="1:7" x14ac:dyDescent="0.25">
      <c r="A14362" s="56"/>
      <c r="B14362" s="57"/>
      <c r="C14362" s="57"/>
      <c r="D14362" s="57"/>
      <c r="E14362" s="57"/>
      <c r="F14362" s="57"/>
      <c r="G14362" s="58"/>
    </row>
    <row r="14363" spans="1:7" x14ac:dyDescent="0.25">
      <c r="A14363" s="219" t="s">
        <v>42</v>
      </c>
      <c r="B14363" s="219"/>
      <c r="C14363" s="219"/>
      <c r="D14363" s="219"/>
      <c r="E14363" s="219"/>
      <c r="F14363" s="219"/>
      <c r="G14363" s="219"/>
    </row>
    <row r="14364" spans="1:7" x14ac:dyDescent="0.25">
      <c r="A14364" s="49" t="s">
        <v>35</v>
      </c>
      <c r="B14364" s="49" t="s">
        <v>36</v>
      </c>
      <c r="C14364" s="49" t="s">
        <v>38</v>
      </c>
      <c r="D14364" s="49" t="s">
        <v>43</v>
      </c>
      <c r="E14364" s="49" t="s">
        <v>44</v>
      </c>
      <c r="F14364" s="49" t="s">
        <v>45</v>
      </c>
      <c r="G14364" s="49" t="s">
        <v>40</v>
      </c>
    </row>
    <row r="14365" spans="1:7" x14ac:dyDescent="0.25">
      <c r="A14365" s="50" t="s">
        <v>319</v>
      </c>
      <c r="B14365" s="68" t="str">
        <f>VLOOKUP(A14365,'[1]Componentes APUs'!$H$1:$L$25,2,0)</f>
        <v>Ingeniero Residente de Obra</v>
      </c>
      <c r="C14365" s="93">
        <v>0.25</v>
      </c>
      <c r="D14365" s="50">
        <f>VLOOKUP(A14365,'[1]Componentes APUs'!$H$1:$L$25,3,0)</f>
        <v>4</v>
      </c>
      <c r="E14365" s="51">
        <f>VLOOKUP(A14365,'[1]Componentes APUs'!$H$1:$L$25,4,0)</f>
        <v>271142.85714285716</v>
      </c>
      <c r="F14365" s="51">
        <f>VLOOKUP(A14365,'[1]Componentes APUs'!$H$1:$L$25,5,0)</f>
        <v>162685.71428571429</v>
      </c>
      <c r="G14365" s="51">
        <f>ROUNDUP((E14365+F14365)*C14365/E14355,0)</f>
        <v>216915</v>
      </c>
    </row>
    <row r="14366" spans="1:7" x14ac:dyDescent="0.25">
      <c r="A14366" s="50" t="s">
        <v>320</v>
      </c>
      <c r="B14366" s="68" t="str">
        <f>VLOOKUP(A14366,'[1]Componentes APUs'!$H$1:$L$25,2,0)</f>
        <v>Tecnico Supervisor</v>
      </c>
      <c r="C14366" s="93">
        <v>0.25</v>
      </c>
      <c r="D14366" s="50">
        <f>VLOOKUP(A14366,'[1]Componentes APUs'!$H$1:$L$25,3,0)</f>
        <v>2.2999999999999998</v>
      </c>
      <c r="E14366" s="51">
        <f>VLOOKUP(A14366,'[1]Componentes APUs'!$H$1:$L$25,4,0)</f>
        <v>155907.14285714284</v>
      </c>
      <c r="F14366" s="51">
        <f>VLOOKUP(A14366,'[1]Componentes APUs'!$H$1:$L$25,5,0)</f>
        <v>93544.285714285696</v>
      </c>
      <c r="G14366" s="51">
        <f>ROUNDUP((E14366+F14366)*C14366/E14355,0)</f>
        <v>124726</v>
      </c>
    </row>
    <row r="14367" spans="1:7" x14ac:dyDescent="0.25">
      <c r="A14367" s="50" t="s">
        <v>46</v>
      </c>
      <c r="B14367" s="68" t="str">
        <f>VLOOKUP(A14367,'[1]Componentes APUs'!$H$1:$L$25,2,0)</f>
        <v>Tecnico Liniero</v>
      </c>
      <c r="C14367" s="93">
        <v>2</v>
      </c>
      <c r="D14367" s="50">
        <f>VLOOKUP(A14367,'[1]Componentes APUs'!$H$1:$L$25,3,0)</f>
        <v>2</v>
      </c>
      <c r="E14367" s="51">
        <f>VLOOKUP(A14367,'[1]Componentes APUs'!$H$1:$L$25,4,0)</f>
        <v>154619.04761904763</v>
      </c>
      <c r="F14367" s="51">
        <f>VLOOKUP(A14367,'[1]Componentes APUs'!$H$1:$L$25,5,0)</f>
        <v>92771.42857142858</v>
      </c>
      <c r="G14367" s="51">
        <f>ROUNDUP((E14367+F14367)*C14367/E14355,0)</f>
        <v>989562</v>
      </c>
    </row>
    <row r="14368" spans="1:7" x14ac:dyDescent="0.25">
      <c r="A14368" s="50" t="s">
        <v>48</v>
      </c>
      <c r="B14368" s="68" t="str">
        <f>VLOOKUP(A14368,'[1]Componentes APUs'!$H$1:$L$25,2,0)</f>
        <v>Ayudante Calificado</v>
      </c>
      <c r="C14368" s="93">
        <v>1</v>
      </c>
      <c r="D14368" s="50">
        <f>VLOOKUP(A14368,'[1]Componentes APUs'!$H$1:$L$25,3,0)</f>
        <v>1.5</v>
      </c>
      <c r="E14368" s="51">
        <f>VLOOKUP(A14368,'[1]Componentes APUs'!$H$1:$L$25,4,0)</f>
        <v>115964.28571428571</v>
      </c>
      <c r="F14368" s="51">
        <f>VLOOKUP(A14368,'[1]Componentes APUs'!$H$1:$L$25,5,0)</f>
        <v>69578.57142857142</v>
      </c>
      <c r="G14368" s="51">
        <f>ROUNDUP((E14368+F14368)*C14368/E14355,0)</f>
        <v>371086</v>
      </c>
    </row>
    <row r="14369" spans="1:7" x14ac:dyDescent="0.25">
      <c r="A14369" s="50" t="s">
        <v>50</v>
      </c>
      <c r="B14369" s="68" t="str">
        <f>VLOOKUP(A14369,'[1]Componentes APUs'!$H$1:$L$25,2,0)</f>
        <v>Profesional en SST</v>
      </c>
      <c r="C14369" s="93">
        <v>0.25</v>
      </c>
      <c r="D14369" s="50">
        <f>VLOOKUP(A14369,'[1]Componentes APUs'!$H$1:$L$25,3,0)</f>
        <v>2.5</v>
      </c>
      <c r="E14369" s="51">
        <f>VLOOKUP(A14369,'[1]Componentes APUs'!$H$1:$L$25,4,0)</f>
        <v>169464.28571428571</v>
      </c>
      <c r="F14369" s="51">
        <f>VLOOKUP(A14369,'[1]Componentes APUs'!$H$1:$L$25,5,0)</f>
        <v>101678.57142857142</v>
      </c>
      <c r="G14369" s="51">
        <f>ROUNDUP((E14369+F14369)*C14369/E14355,0)</f>
        <v>135572</v>
      </c>
    </row>
    <row r="14370" spans="1:7" x14ac:dyDescent="0.25">
      <c r="A14370" s="50" t="s">
        <v>52</v>
      </c>
      <c r="B14370" s="68" t="str">
        <f>VLOOKUP(A14370,'[1]Componentes APUs'!$H$1:$L$25,2,0)</f>
        <v>Ayudante No Calificado</v>
      </c>
      <c r="C14370" s="93">
        <v>1</v>
      </c>
      <c r="D14370" s="50">
        <f>VLOOKUP(A14370,'[1]Componentes APUs'!$H$1:$L$25,3,0)</f>
        <v>1</v>
      </c>
      <c r="E14370" s="51">
        <f>VLOOKUP(A14370,'[1]Componentes APUs'!$H$1:$L$25,4,0)</f>
        <v>77309.523809523816</v>
      </c>
      <c r="F14370" s="51">
        <f>VLOOKUP(A14370,'[1]Componentes APUs'!$H$1:$L$25,5,0)</f>
        <v>46385.71428571429</v>
      </c>
      <c r="G14370" s="51">
        <f>ROUNDUP((E14370+F14370)*C14370/E14355,0)</f>
        <v>247391</v>
      </c>
    </row>
    <row r="14371" spans="1:7" x14ac:dyDescent="0.25">
      <c r="A14371" s="219" t="s">
        <v>56</v>
      </c>
      <c r="B14371" s="219"/>
      <c r="C14371" s="219"/>
      <c r="D14371" s="219"/>
      <c r="E14371" s="219"/>
      <c r="F14371" s="219"/>
      <c r="G14371" s="52">
        <f>SUM(G14365:G14370)</f>
        <v>2085252</v>
      </c>
    </row>
    <row r="14372" spans="1:7" x14ac:dyDescent="0.25">
      <c r="A14372" s="56"/>
      <c r="B14372" s="57"/>
      <c r="C14372" s="57"/>
      <c r="D14372" s="57"/>
      <c r="E14372" s="57"/>
      <c r="F14372" s="57"/>
      <c r="G14372" s="58"/>
    </row>
    <row r="14373" spans="1:7" x14ac:dyDescent="0.25">
      <c r="A14373" s="219" t="s">
        <v>57</v>
      </c>
      <c r="B14373" s="219"/>
      <c r="C14373" s="219"/>
      <c r="D14373" s="219"/>
      <c r="E14373" s="219"/>
      <c r="F14373" s="219"/>
      <c r="G14373" s="219"/>
    </row>
    <row r="14374" spans="1:7" x14ac:dyDescent="0.25">
      <c r="A14374" s="49" t="s">
        <v>35</v>
      </c>
      <c r="B14374" s="219" t="s">
        <v>36</v>
      </c>
      <c r="C14374" s="219"/>
      <c r="D14374" s="49" t="s">
        <v>37</v>
      </c>
      <c r="E14374" s="49" t="s">
        <v>38</v>
      </c>
      <c r="F14374" s="49" t="s">
        <v>39</v>
      </c>
      <c r="G14374" s="49" t="s">
        <v>40</v>
      </c>
    </row>
    <row r="14375" spans="1:7" x14ac:dyDescent="0.25">
      <c r="A14375" s="50" t="s">
        <v>326</v>
      </c>
      <c r="B14375" s="220" t="str">
        <f>VLOOKUP(A14375,'[1]Componentes APUs'!$S$1:$V$10,2,0)</f>
        <v>Juego Llaves</v>
      </c>
      <c r="C14375" s="220"/>
      <c r="D14375" s="50" t="s">
        <v>18</v>
      </c>
      <c r="E14375" s="50">
        <v>2</v>
      </c>
      <c r="F14375" s="51">
        <f>VLOOKUP(A14375,'[1]Componentes APUs'!$S$1:$V$10,4,0)</f>
        <v>9167</v>
      </c>
      <c r="G14375" s="51">
        <f>ROUNDUP(F14375*((E14375/21)/E14355),0)</f>
        <v>1747</v>
      </c>
    </row>
    <row r="14376" spans="1:7" x14ac:dyDescent="0.25">
      <c r="A14376" s="50" t="s">
        <v>58</v>
      </c>
      <c r="B14376" s="220" t="str">
        <f>VLOOKUP(A14376,'[1]Componentes APUs'!$S$1:$V$10,2,0)</f>
        <v>Manila de servicio</v>
      </c>
      <c r="C14376" s="220"/>
      <c r="D14376" s="50" t="s">
        <v>18</v>
      </c>
      <c r="E14376" s="50">
        <v>2</v>
      </c>
      <c r="F14376" s="51">
        <f>VLOOKUP(A14376,'[1]Componentes APUs'!$S$1:$V$10,4,0)</f>
        <v>2333</v>
      </c>
      <c r="G14376" s="51">
        <f>ROUNDUP(F14376*((E14376/21)/E14355),0)</f>
        <v>445</v>
      </c>
    </row>
    <row r="14377" spans="1:7" x14ac:dyDescent="0.25">
      <c r="A14377" s="50" t="s">
        <v>327</v>
      </c>
      <c r="B14377" s="220" t="str">
        <f>VLOOKUP(A14377,'[1]Componentes APUs'!$S$1:$V$10,2,0)</f>
        <v>Tula portaherramientas</v>
      </c>
      <c r="C14377" s="220"/>
      <c r="D14377" s="50" t="s">
        <v>18</v>
      </c>
      <c r="E14377" s="50">
        <v>2</v>
      </c>
      <c r="F14377" s="51">
        <f>VLOOKUP(A14377,'[1]Componentes APUs'!$S$1:$V$10,4,0)</f>
        <v>1250</v>
      </c>
      <c r="G14377" s="51">
        <f>ROUNDUP(F14377*((E14377/21)/E14355),0)</f>
        <v>239</v>
      </c>
    </row>
    <row r="14378" spans="1:7" x14ac:dyDescent="0.25">
      <c r="A14378" s="50" t="s">
        <v>60</v>
      </c>
      <c r="B14378" s="220" t="str">
        <f>VLOOKUP(A14378,'[1]Componentes APUs'!$S$1:$V$10,2,0)</f>
        <v>Agarradoras</v>
      </c>
      <c r="C14378" s="220"/>
      <c r="D14378" s="50" t="s">
        <v>18</v>
      </c>
      <c r="E14378" s="50">
        <v>0</v>
      </c>
      <c r="F14378" s="51">
        <f>VLOOKUP(A14378,'[1]Componentes APUs'!$S$1:$V$10,4,0)</f>
        <v>125000</v>
      </c>
      <c r="G14378" s="51">
        <f>ROUNDUP(F14378*((E14378/21)/E14355),0)</f>
        <v>0</v>
      </c>
    </row>
    <row r="14379" spans="1:7" x14ac:dyDescent="0.25">
      <c r="A14379" s="50" t="s">
        <v>62</v>
      </c>
      <c r="B14379" s="220" t="str">
        <f>VLOOKUP(A14379,'[1]Componentes APUs'!$S$1:$V$10,2,0)</f>
        <v>Templadoras</v>
      </c>
      <c r="C14379" s="220"/>
      <c r="D14379" s="50" t="s">
        <v>18</v>
      </c>
      <c r="E14379" s="50">
        <v>0</v>
      </c>
      <c r="F14379" s="51">
        <f>VLOOKUP(A14379,'[1]Componentes APUs'!$S$1:$V$10,4,0)</f>
        <v>250000</v>
      </c>
      <c r="G14379" s="51">
        <f>ROUNDUP(F14379*((E14379/21)/E14355),0)</f>
        <v>0</v>
      </c>
    </row>
    <row r="14380" spans="1:7" x14ac:dyDescent="0.25">
      <c r="A14380" s="50" t="s">
        <v>328</v>
      </c>
      <c r="B14380" s="220" t="str">
        <f>VLOOKUP(A14380,'[1]Componentes APUs'!$S$1:$V$10,2,0)</f>
        <v>Herramienta Menor</v>
      </c>
      <c r="C14380" s="220"/>
      <c r="D14380" s="50" t="s">
        <v>18</v>
      </c>
      <c r="E14380" s="50">
        <v>2</v>
      </c>
      <c r="F14380" s="51">
        <f>VLOOKUP(A14380,'[1]Componentes APUs'!$S$1:$V$10,4,0)</f>
        <v>75758</v>
      </c>
      <c r="G14380" s="51">
        <f>ROUNDUP(F14380*((E14380/21)/E14355),0)</f>
        <v>14431</v>
      </c>
    </row>
    <row r="14381" spans="1:7" x14ac:dyDescent="0.25">
      <c r="A14381" s="50" t="s">
        <v>66</v>
      </c>
      <c r="B14381" s="220" t="str">
        <f>VLOOKUP(A14381,'[1]Componentes APUs'!$S$1:$V$10,2,0)</f>
        <v>Diferencial 2 Toneladas</v>
      </c>
      <c r="C14381" s="220"/>
      <c r="D14381" s="50" t="s">
        <v>18</v>
      </c>
      <c r="E14381" s="50">
        <v>1</v>
      </c>
      <c r="F14381" s="51">
        <f>VLOOKUP(A14381,'[1]Componentes APUs'!$S$1:$V$10,4,0)</f>
        <v>474905</v>
      </c>
      <c r="G14381" s="51">
        <f>ROUNDUP(F14381*((E14381/21)/E14355),0)</f>
        <v>45230</v>
      </c>
    </row>
    <row r="14382" spans="1:7" x14ac:dyDescent="0.25">
      <c r="A14382" s="219" t="s">
        <v>69</v>
      </c>
      <c r="B14382" s="219"/>
      <c r="C14382" s="219"/>
      <c r="D14382" s="219"/>
      <c r="E14382" s="219"/>
      <c r="F14382" s="219"/>
      <c r="G14382" s="52">
        <f>SUM(G14375:G14381)</f>
        <v>62092</v>
      </c>
    </row>
    <row r="14383" spans="1:7" x14ac:dyDescent="0.25">
      <c r="A14383" s="56"/>
      <c r="B14383" s="57"/>
      <c r="C14383" s="57"/>
      <c r="D14383" s="57"/>
      <c r="E14383" s="57"/>
      <c r="F14383" s="57"/>
      <c r="G14383" s="58"/>
    </row>
    <row r="14384" spans="1:7" x14ac:dyDescent="0.25">
      <c r="A14384" s="219" t="s">
        <v>70</v>
      </c>
      <c r="B14384" s="219"/>
      <c r="C14384" s="219"/>
      <c r="D14384" s="219"/>
      <c r="E14384" s="219"/>
      <c r="F14384" s="219"/>
      <c r="G14384" s="219"/>
    </row>
    <row r="14385" spans="1:7" x14ac:dyDescent="0.25">
      <c r="A14385" s="49" t="s">
        <v>35</v>
      </c>
      <c r="B14385" s="219" t="s">
        <v>36</v>
      </c>
      <c r="C14385" s="219"/>
      <c r="D14385" s="49" t="s">
        <v>37</v>
      </c>
      <c r="E14385" s="49" t="s">
        <v>38</v>
      </c>
      <c r="F14385" s="49" t="s">
        <v>39</v>
      </c>
      <c r="G14385" s="49" t="s">
        <v>40</v>
      </c>
    </row>
    <row r="14386" spans="1:7" x14ac:dyDescent="0.25">
      <c r="A14386" s="50" t="s">
        <v>71</v>
      </c>
      <c r="B14386" s="71" t="str">
        <f>VLOOKUP(A14386,'[1]Componentes APUs'!$A$1:$D$14,2,0)</f>
        <v>Camisa indigo sin partes metalicas</v>
      </c>
      <c r="C14386" s="71"/>
      <c r="D14386" s="50" t="str">
        <f>VLOOKUP(A14386,'[1]Componentes APUs'!$A$1:$D$14,3,0)</f>
        <v>U</v>
      </c>
      <c r="E14386" s="50">
        <f>SUM(C14365:C14370)</f>
        <v>4.75</v>
      </c>
      <c r="F14386" s="51">
        <f>VLOOKUP(A14386,'[1]Componentes APUs'!$A$1:$D$14,4,0)</f>
        <v>8585.8585858585866</v>
      </c>
      <c r="G14386" s="51">
        <f>ROUNDUP(F14386*(E14386/21)/E14355,0)</f>
        <v>3885</v>
      </c>
    </row>
    <row r="14387" spans="1:7" x14ac:dyDescent="0.25">
      <c r="A14387" s="69" t="s">
        <v>73</v>
      </c>
      <c r="B14387" s="72" t="str">
        <f>VLOOKUP(A14387,'[1]Componentes APUs'!$A$1:$D$14,2,0)</f>
        <v>Bota de seguridad dielectrica</v>
      </c>
      <c r="C14387" s="73"/>
      <c r="D14387" s="70" t="str">
        <f>VLOOKUP(A14387,'[1]Componentes APUs'!$A$1:$D$14,3,0)</f>
        <v>Par</v>
      </c>
      <c r="E14387" s="50">
        <f>SUM(C14365:C14370)</f>
        <v>4.75</v>
      </c>
      <c r="F14387" s="51">
        <f>VLOOKUP(A14387,'[1]Componentes APUs'!$A$1:$D$14,4,0)</f>
        <v>7500</v>
      </c>
      <c r="G14387" s="51">
        <f>ROUNDUP(F14387*(E14387/21)/E14355,0)</f>
        <v>3393</v>
      </c>
    </row>
    <row r="14388" spans="1:7" x14ac:dyDescent="0.25">
      <c r="A14388" s="50" t="s">
        <v>76</v>
      </c>
      <c r="B14388" s="72" t="str">
        <f>VLOOKUP(A14388,'[1]Componentes APUs'!$A$1:$D$14,2,0)</f>
        <v>Casco dielectrico Tipo 1 Clase E con barbuquejo</v>
      </c>
      <c r="C14388" s="73"/>
      <c r="D14388" s="50" t="str">
        <f>VLOOKUP(A14388,'[1]Componentes APUs'!$A$1:$D$14,3,0)</f>
        <v>U</v>
      </c>
      <c r="E14388" s="50">
        <f>C14366+C14369+C14370+C14368+C14365+IF(A14367&lt;&gt;"MO-3",C14367,0)</f>
        <v>2.75</v>
      </c>
      <c r="F14388" s="51">
        <f>VLOOKUP(A14388,'[1]Componentes APUs'!$A$1:$D$14,4,0)</f>
        <v>10101.010101010101</v>
      </c>
      <c r="G14388" s="51">
        <f>ROUNDUP(F14388*(E14388/21)/E14355,0)</f>
        <v>2646</v>
      </c>
    </row>
    <row r="14389" spans="1:7" x14ac:dyDescent="0.25">
      <c r="A14389" s="69" t="s">
        <v>77</v>
      </c>
      <c r="B14389" s="72" t="str">
        <f>VLOOKUP(A14389,'[1]Componentes APUs'!$A$1:$D$14,2,0)</f>
        <v>Correa plastica y antiflama</v>
      </c>
      <c r="C14389" s="73"/>
      <c r="D14389" s="50" t="str">
        <f>VLOOKUP(A14389,'[1]Componentes APUs'!$A$1:$D$14,3,0)</f>
        <v>U</v>
      </c>
      <c r="E14389" s="50">
        <f>SUM(C14365:C14370)</f>
        <v>4.75</v>
      </c>
      <c r="F14389" s="51">
        <f>VLOOKUP(A14389,'[1]Componentes APUs'!$A$1:$D$14,4,0)</f>
        <v>3787.878787878788</v>
      </c>
      <c r="G14389" s="51">
        <f>ROUNDUP(F14389*(E14389/21)/E14355,0)</f>
        <v>1714</v>
      </c>
    </row>
    <row r="14390" spans="1:7" x14ac:dyDescent="0.25">
      <c r="A14390" s="50" t="s">
        <v>79</v>
      </c>
      <c r="B14390" s="72" t="str">
        <f>VLOOKUP(A14390,'[1]Componentes APUs'!$A$1:$D$14,2,0)</f>
        <v>Gafas protectoras filtro UV</v>
      </c>
      <c r="C14390" s="73"/>
      <c r="D14390" s="50" t="str">
        <f>VLOOKUP(A14390,'[1]Componentes APUs'!$A$1:$D$14,3,0)</f>
        <v>U</v>
      </c>
      <c r="E14390" s="50">
        <f>SUM(C14365:C14370)</f>
        <v>4.75</v>
      </c>
      <c r="F14390" s="51">
        <f>VLOOKUP(A14390,'[1]Componentes APUs'!$A$1:$D$14,4,0)</f>
        <v>2777.7777777777778</v>
      </c>
      <c r="G14390" s="51">
        <f>ROUNDUP(F14390*(E14390/21)/E14355,0)</f>
        <v>1257</v>
      </c>
    </row>
    <row r="14391" spans="1:7" x14ac:dyDescent="0.25">
      <c r="A14391" s="69" t="s">
        <v>402</v>
      </c>
      <c r="B14391" s="72" t="str">
        <f>VLOOKUP(A14391,'[1]Componentes APUs'!$A$1:$D$14,2,0)</f>
        <v>Bota de seguridad PVC dielectrica</v>
      </c>
      <c r="C14391" s="73"/>
      <c r="D14391" s="50" t="str">
        <f>VLOOKUP(A14391,'[1]Componentes APUs'!$A$1:$D$14,3,0)</f>
        <v>Par</v>
      </c>
      <c r="E14391" s="50">
        <f>SUM(C14365:C14370)</f>
        <v>4.75</v>
      </c>
      <c r="F14391" s="51">
        <f>VLOOKUP(A14391,'[1]Componentes APUs'!$A$1:$D$14,4,0)</f>
        <v>2916.6666666666665</v>
      </c>
      <c r="G14391" s="51">
        <f>ROUNDUP(F14391*(E14391/21)/E14355,0)</f>
        <v>1320</v>
      </c>
    </row>
    <row r="14392" spans="1:7" x14ac:dyDescent="0.25">
      <c r="A14392" s="50" t="s">
        <v>403</v>
      </c>
      <c r="B14392" s="72" t="str">
        <f>VLOOKUP(A14392,'[1]Componentes APUs'!$A$1:$D$14,2,0)</f>
        <v>Capuchon</v>
      </c>
      <c r="C14392" s="73"/>
      <c r="D14392" s="50" t="str">
        <f>VLOOKUP(A14392,'[1]Componentes APUs'!$A$1:$D$14,3,0)</f>
        <v>U</v>
      </c>
      <c r="E14392" s="50">
        <f>SUM(C14365:C14370)</f>
        <v>4.75</v>
      </c>
      <c r="F14392" s="51">
        <f>VLOOKUP(A14392,'[1]Componentes APUs'!$A$1:$D$14,4,0)</f>
        <v>2525.2525252525252</v>
      </c>
      <c r="G14392" s="51">
        <f>ROUNDUP(F14392*(E14392/21)/E14355,0)</f>
        <v>1143</v>
      </c>
    </row>
    <row r="14393" spans="1:7" x14ac:dyDescent="0.25">
      <c r="A14393" s="69" t="s">
        <v>81</v>
      </c>
      <c r="B14393" s="72" t="str">
        <f>VLOOKUP(A14393,'[1]Componentes APUs'!$A$1:$D$14,2,0)</f>
        <v>Guantes Protectores  - ingeniero reforzados</v>
      </c>
      <c r="C14393" s="73"/>
      <c r="D14393" s="50" t="str">
        <f>VLOOKUP(A14393,'[1]Componentes APUs'!$A$1:$D$14,3,0)</f>
        <v>Par</v>
      </c>
      <c r="E14393" s="50">
        <f>C14367+C14368+C14370</f>
        <v>4</v>
      </c>
      <c r="F14393" s="51">
        <f>VLOOKUP(A14393,'[1]Componentes APUs'!$A$1:$D$14,4,0)</f>
        <v>2525.2525252525252</v>
      </c>
      <c r="G14393" s="51">
        <f>ROUNDUP(F14393*(E14393/21)/E14355,0)</f>
        <v>963</v>
      </c>
    </row>
    <row r="14394" spans="1:7" x14ac:dyDescent="0.25">
      <c r="A14394" s="50" t="s">
        <v>83</v>
      </c>
      <c r="B14394" s="72" t="str">
        <f>VLOOKUP(A14394,'[1]Componentes APUs'!$A$1:$D$14,2,0)</f>
        <v>Impermeable (pantalon camisa)</v>
      </c>
      <c r="C14394" s="73"/>
      <c r="D14394" s="50" t="str">
        <f>VLOOKUP(A14394,'[1]Componentes APUs'!$A$1:$D$14,3,0)</f>
        <v>U</v>
      </c>
      <c r="E14394" s="50">
        <f>SUM(C14365:C14370)</f>
        <v>4.75</v>
      </c>
      <c r="F14394" s="51">
        <f>VLOOKUP(A14394,'[1]Componentes APUs'!$A$1:$D$14,4,0)</f>
        <v>3750</v>
      </c>
      <c r="G14394" s="51">
        <f>ROUNDUP(F14394*(E14394/21)/E14355,0)</f>
        <v>1697</v>
      </c>
    </row>
    <row r="14395" spans="1:7" x14ac:dyDescent="0.25">
      <c r="A14395" s="69" t="s">
        <v>85</v>
      </c>
      <c r="B14395" s="72" t="str">
        <f>VLOOKUP(A14395,'[1]Componentes APUs'!$A$1:$D$14,2,0)</f>
        <v>Jean Dielectrico</v>
      </c>
      <c r="C14395" s="73"/>
      <c r="D14395" s="50" t="str">
        <f>VLOOKUP(A14395,'[1]Componentes APUs'!$A$1:$D$14,3,0)</f>
        <v>U</v>
      </c>
      <c r="E14395" s="50">
        <f>SUM(C14365:C14370)</f>
        <v>4.75</v>
      </c>
      <c r="F14395" s="51">
        <f>VLOOKUP(A14395,'[1]Componentes APUs'!$A$1:$D$14,4,0)</f>
        <v>7575.757575757576</v>
      </c>
      <c r="G14395" s="51">
        <f>ROUNDUP(F14395*(E14395/21)/E14355,0)</f>
        <v>3428</v>
      </c>
    </row>
    <row r="14396" spans="1:7" x14ac:dyDescent="0.25">
      <c r="A14396" s="50" t="s">
        <v>87</v>
      </c>
      <c r="B14396" s="72" t="str">
        <f>VLOOKUP(A14396,'[1]Componentes APUs'!$A$1:$D$14,2,0)</f>
        <v>Casco dielectrico Tipo 2 Clase E con barboquejo</v>
      </c>
      <c r="C14396" s="73"/>
      <c r="D14396" s="50" t="str">
        <f>VLOOKUP(A14396,'[1]Componentes APUs'!$A$1:$D$14,3,0)</f>
        <v>U</v>
      </c>
      <c r="E14396" s="53">
        <f>IF(A14367="MO-3",C14367,0)</f>
        <v>2</v>
      </c>
      <c r="F14396" s="51">
        <f>VLOOKUP(A14396,'[1]Componentes APUs'!$A$1:$D$14,4,0)</f>
        <v>7500</v>
      </c>
      <c r="G14396" s="51">
        <f>ROUNDUP(F14396*(E14396/21)/E14355,0)</f>
        <v>1429</v>
      </c>
    </row>
    <row r="14397" spans="1:7" x14ac:dyDescent="0.25">
      <c r="A14397" s="69" t="s">
        <v>89</v>
      </c>
      <c r="B14397" s="72" t="str">
        <f>VLOOKUP(A14397,'[1]Componentes APUs'!$A$1:$D$14,2,0)</f>
        <v>Kit de rescate para trabajo en alturas</v>
      </c>
      <c r="C14397" s="73"/>
      <c r="D14397" s="50" t="str">
        <f>VLOOKUP(A14397,'[1]Componentes APUs'!$A$1:$D$14,3,0)</f>
        <v>U</v>
      </c>
      <c r="E14397" s="50">
        <f>IF(AND(A14367="MO-3",C14367=2),1,0)</f>
        <v>1</v>
      </c>
      <c r="F14397" s="51">
        <f>VLOOKUP(A14397,'[1]Componentes APUs'!$A$1:$D$14,4,0)</f>
        <v>37500</v>
      </c>
      <c r="G14397" s="51">
        <f>ROUNDUP(F14397*(E14397/21)/E14355,0)</f>
        <v>3572</v>
      </c>
    </row>
    <row r="14398" spans="1:7" x14ac:dyDescent="0.25">
      <c r="A14398" s="50" t="s">
        <v>91</v>
      </c>
      <c r="B14398" s="72" t="str">
        <f>VLOOKUP(A14398,'[1]Componentes APUs'!$A$1:$D$14,2,0)</f>
        <v>Equipo completo para trabajo en alturas con pretales (Arnes dielectrico, 1 mosqueton de seguridad, tie off dielectrico, eslinga de posicionamiento, juego de pretales)</v>
      </c>
      <c r="C14398" s="73"/>
      <c r="D14398" s="50" t="str">
        <f>VLOOKUP(A14398,'[1]Componentes APUs'!$A$1:$D$14,3,0)</f>
        <v>U</v>
      </c>
      <c r="E14398" s="50">
        <f>IF(A14367="MO-3",C14367,0)</f>
        <v>2</v>
      </c>
      <c r="F14398" s="51">
        <f>VLOOKUP(A14398,'[1]Componentes APUs'!$A$1:$D$14,4,0)</f>
        <v>26041.666666666668</v>
      </c>
      <c r="G14398" s="51">
        <f>ROUNDUP(F14398*(E14398/21)/E14355,0)</f>
        <v>4961</v>
      </c>
    </row>
    <row r="14399" spans="1:7" x14ac:dyDescent="0.25">
      <c r="A14399" s="219" t="s">
        <v>95</v>
      </c>
      <c r="B14399" s="219"/>
      <c r="C14399" s="219"/>
      <c r="D14399" s="219"/>
      <c r="E14399" s="219"/>
      <c r="F14399" s="219"/>
      <c r="G14399" s="52">
        <f>SUM(G14386:G14398)</f>
        <v>31408</v>
      </c>
    </row>
    <row r="14400" spans="1:7" x14ac:dyDescent="0.25">
      <c r="A14400" s="56"/>
      <c r="B14400" s="57"/>
      <c r="C14400" s="57"/>
      <c r="D14400" s="57"/>
      <c r="E14400" s="57"/>
      <c r="F14400" s="57"/>
      <c r="G14400" s="58"/>
    </row>
    <row r="14401" spans="1:7" x14ac:dyDescent="0.25">
      <c r="A14401" s="219" t="s">
        <v>96</v>
      </c>
      <c r="B14401" s="219"/>
      <c r="C14401" s="219"/>
      <c r="D14401" s="219"/>
      <c r="E14401" s="219"/>
      <c r="F14401" s="219"/>
      <c r="G14401" s="219"/>
    </row>
    <row r="14402" spans="1:7" x14ac:dyDescent="0.25">
      <c r="A14402" s="49" t="s">
        <v>35</v>
      </c>
      <c r="B14402" s="225" t="s">
        <v>36</v>
      </c>
      <c r="C14402" s="225"/>
      <c r="D14402" s="49" t="s">
        <v>37</v>
      </c>
      <c r="E14402" s="49" t="s">
        <v>38</v>
      </c>
      <c r="F14402" s="49" t="s">
        <v>39</v>
      </c>
      <c r="G14402" s="49" t="s">
        <v>40</v>
      </c>
    </row>
    <row r="14403" spans="1:7" x14ac:dyDescent="0.25">
      <c r="A14403" s="69" t="s">
        <v>97</v>
      </c>
      <c r="B14403" s="72" t="str">
        <f>VLOOKUP(A14403,'[1]Componentes APUs'!$N$1:$Q$30,2,0)</f>
        <v>Camioneta</v>
      </c>
      <c r="C14403" s="73"/>
      <c r="D14403" s="70" t="str">
        <f>VLOOKUP(A14403,'[1]Componentes APUs'!$N$1:$Q$30,3,0)</f>
        <v>U</v>
      </c>
      <c r="E14403" s="50">
        <v>1</v>
      </c>
      <c r="F14403" s="51">
        <f>VLOOKUP(A14403,'[1]Componentes APUs'!$N$1:$Q$30,4,0)</f>
        <v>5500000</v>
      </c>
      <c r="G14403" s="51">
        <f>IFERROR(ROUNDUP(F14403*(E14403/21)/E14355,0),"-")</f>
        <v>523810</v>
      </c>
    </row>
    <row r="14404" spans="1:7" x14ac:dyDescent="0.25">
      <c r="A14404" s="50" t="s">
        <v>321</v>
      </c>
      <c r="B14404" s="72" t="str">
        <f>VLOOKUP(A14404,'[1]Componentes APUs'!$N$1:$Q$30,2,0)</f>
        <v>Grúa Hidráulica</v>
      </c>
      <c r="C14404" s="73"/>
      <c r="D14404" s="70" t="str">
        <f>VLOOKUP(A14404,'[1]Componentes APUs'!$N$1:$Q$30,3,0)</f>
        <v>U</v>
      </c>
      <c r="E14404" s="50">
        <v>0</v>
      </c>
      <c r="F14404" s="51">
        <f>VLOOKUP(A14404,'[1]Componentes APUs'!$N$1:$Q$30,4,0)</f>
        <v>21000000</v>
      </c>
      <c r="G14404" s="51">
        <f>IFERROR(ROUNDUP(F14404*(E14404/21)/E14355,0),"-")</f>
        <v>0</v>
      </c>
    </row>
    <row r="14405" spans="1:7" x14ac:dyDescent="0.25">
      <c r="A14405" s="69" t="s">
        <v>322</v>
      </c>
      <c r="B14405" s="72" t="str">
        <f>VLOOKUP(A14405,'[1]Componentes APUs'!$N$1:$Q$30,2,0)</f>
        <v>Camabaja</v>
      </c>
      <c r="C14405" s="73"/>
      <c r="D14405" s="70" t="str">
        <f>VLOOKUP(A14405,'[1]Componentes APUs'!$N$1:$Q$30,3,0)</f>
        <v>TON/KM</v>
      </c>
      <c r="E14405" s="50">
        <v>0</v>
      </c>
      <c r="F14405" s="51">
        <f>VLOOKUP(A14405,'[1]Componentes APUs'!$N$1:$Q$30,4,0)</f>
        <v>611</v>
      </c>
      <c r="G14405" s="51">
        <f>IFERROR(ROUNDUP(F14405*(E14405/21)/E14355,0),"-")</f>
        <v>0</v>
      </c>
    </row>
    <row r="14406" spans="1:7" x14ac:dyDescent="0.25">
      <c r="A14406" s="50" t="s">
        <v>323</v>
      </c>
      <c r="B14406" s="72" t="str">
        <f>VLOOKUP(A14406,'[1]Componentes APUs'!$N$1:$Q$30,2,0)</f>
        <v>Volqueta</v>
      </c>
      <c r="C14406" s="73"/>
      <c r="D14406" s="70" t="str">
        <f>VLOOKUP(A14406,'[1]Componentes APUs'!$N$1:$Q$30,3,0)</f>
        <v>U</v>
      </c>
      <c r="E14406" s="50">
        <v>0</v>
      </c>
      <c r="F14406" s="51">
        <f>VLOOKUP(A14406,'[1]Componentes APUs'!$N$1:$Q$30,4,0)</f>
        <v>18900000</v>
      </c>
      <c r="G14406" s="51">
        <f>IFERROR(ROUNDUP(F14406*(E14406/21)/E14355,0),"-")</f>
        <v>0</v>
      </c>
    </row>
    <row r="14407" spans="1:7" x14ac:dyDescent="0.25">
      <c r="A14407" s="69" t="s">
        <v>324</v>
      </c>
      <c r="B14407" s="72" t="str">
        <f>VLOOKUP(A14407,'[1]Componentes APUs'!$N$1:$Q$30,2,0)</f>
        <v>Retroexcavadora</v>
      </c>
      <c r="C14407" s="73"/>
      <c r="D14407" s="70" t="str">
        <f>VLOOKUP(A14407,'[1]Componentes APUs'!$N$1:$Q$30,3,0)</f>
        <v>U</v>
      </c>
      <c r="E14407" s="50">
        <v>0</v>
      </c>
      <c r="F14407" s="51">
        <f>VLOOKUP(A14407,'[1]Componentes APUs'!$N$1:$Q$30,4,0)</f>
        <v>1494459.54</v>
      </c>
      <c r="G14407" s="51">
        <f>IFERROR(ROUNDUP(F14407*(E14407/21)/E14355,0),"-")</f>
        <v>0</v>
      </c>
    </row>
    <row r="14408" spans="1:7" x14ac:dyDescent="0.25">
      <c r="A14408" s="219" t="s">
        <v>99</v>
      </c>
      <c r="B14408" s="219"/>
      <c r="C14408" s="219"/>
      <c r="D14408" s="219"/>
      <c r="E14408" s="219"/>
      <c r="F14408" s="219"/>
      <c r="G14408" s="52">
        <f>SUM(G14403:G14407)</f>
        <v>523810</v>
      </c>
    </row>
    <row r="14409" spans="1:7" x14ac:dyDescent="0.25">
      <c r="A14409" s="56"/>
      <c r="B14409" s="57"/>
      <c r="C14409" s="57"/>
      <c r="D14409" s="57"/>
      <c r="E14409" s="57"/>
      <c r="F14409" s="57"/>
      <c r="G14409" s="58"/>
    </row>
    <row r="14410" spans="1:7" x14ac:dyDescent="0.25">
      <c r="A14410" s="219" t="s">
        <v>1516</v>
      </c>
      <c r="B14410" s="219"/>
      <c r="C14410" s="219"/>
      <c r="D14410" s="219"/>
      <c r="E14410" s="219"/>
      <c r="F14410" s="219"/>
      <c r="G14410" s="52">
        <f>G14408+G14399+G14382+G14371+G14361</f>
        <v>40494099</v>
      </c>
    </row>
    <row r="14411" spans="1:7" x14ac:dyDescent="0.25">
      <c r="A14411" s="59"/>
      <c r="B14411" s="60"/>
      <c r="C14411" s="60"/>
      <c r="D14411" s="60"/>
      <c r="E14411" s="57"/>
      <c r="F14411" s="57"/>
      <c r="G14411" s="58"/>
    </row>
    <row r="14412" spans="1:7" x14ac:dyDescent="0.25">
      <c r="A14412" s="64"/>
      <c r="D14412" s="55"/>
      <c r="E14412" s="49" t="s">
        <v>25</v>
      </c>
      <c r="F14412" s="54">
        <v>0.15</v>
      </c>
      <c r="G14412" s="51">
        <f>G14410*F14412</f>
        <v>6074114.8499999996</v>
      </c>
    </row>
    <row r="14413" spans="1:7" x14ac:dyDescent="0.25">
      <c r="A14413" s="64"/>
      <c r="D14413" s="55"/>
      <c r="E14413" s="49" t="s">
        <v>26</v>
      </c>
      <c r="F14413" s="54">
        <v>0.05</v>
      </c>
      <c r="G14413" s="51">
        <f>G14410*F14413</f>
        <v>2024704.9500000002</v>
      </c>
    </row>
    <row r="14414" spans="1:7" x14ac:dyDescent="0.25">
      <c r="A14414" s="61"/>
      <c r="B14414" s="65"/>
      <c r="C14414" s="65"/>
      <c r="D14414" s="62"/>
      <c r="E14414" s="49" t="s">
        <v>27</v>
      </c>
      <c r="F14414" s="54">
        <v>0.05</v>
      </c>
      <c r="G14414" s="51">
        <f>G14410*F14414</f>
        <v>2024704.9500000002</v>
      </c>
    </row>
    <row r="14415" spans="1:7" x14ac:dyDescent="0.25">
      <c r="A14415" s="61"/>
      <c r="B14415" s="62"/>
      <c r="C14415" s="62"/>
      <c r="D14415" s="62"/>
      <c r="E14415" s="62"/>
      <c r="F14415" s="62"/>
      <c r="G14415" s="63"/>
    </row>
    <row r="14416" spans="1:7" x14ac:dyDescent="0.25">
      <c r="A14416" s="219" t="s">
        <v>1517</v>
      </c>
      <c r="B14416" s="219"/>
      <c r="C14416" s="219"/>
      <c r="D14416" s="219"/>
      <c r="E14416" s="219"/>
      <c r="F14416" s="219"/>
      <c r="G14416" s="52">
        <f>G14410+G14412+G14413+G14414</f>
        <v>50617623.750000007</v>
      </c>
    </row>
    <row r="14417" spans="1:7" x14ac:dyDescent="0.25">
      <c r="A14417" s="59"/>
      <c r="B14417" s="60"/>
      <c r="C14417" s="60"/>
      <c r="D14417" s="60"/>
      <c r="E14417" s="57"/>
      <c r="F14417" s="57"/>
      <c r="G14417" s="58"/>
    </row>
    <row r="14418" spans="1:7" x14ac:dyDescent="0.25">
      <c r="A14418" s="64"/>
      <c r="D14418" s="55"/>
      <c r="E14418" s="49" t="s">
        <v>102</v>
      </c>
      <c r="F14418" s="49" t="s">
        <v>103</v>
      </c>
      <c r="G14418" s="51">
        <f>G14414*19%</f>
        <v>384693.94050000003</v>
      </c>
    </row>
    <row r="14419" spans="1:7" x14ac:dyDescent="0.25">
      <c r="A14419" s="61"/>
      <c r="B14419" s="62"/>
      <c r="C14419" s="62"/>
      <c r="D14419" s="62"/>
      <c r="E14419" s="57"/>
      <c r="F14419" s="57"/>
      <c r="G14419" s="58"/>
    </row>
    <row r="14420" spans="1:7" x14ac:dyDescent="0.25">
      <c r="A14420" s="219" t="s">
        <v>104</v>
      </c>
      <c r="B14420" s="219"/>
      <c r="C14420" s="219"/>
      <c r="D14420" s="219"/>
      <c r="E14420" s="219"/>
      <c r="F14420" s="219"/>
      <c r="G14420" s="52">
        <f>G14418+G14416</f>
        <v>51002317.690500006</v>
      </c>
    </row>
    <row r="14422" spans="1:7" x14ac:dyDescent="0.25">
      <c r="A14422" s="74" t="s">
        <v>29</v>
      </c>
      <c r="B14422" s="226" t="s">
        <v>30</v>
      </c>
      <c r="C14422" s="226"/>
      <c r="D14422" s="74" t="s">
        <v>31</v>
      </c>
      <c r="E14422" s="74" t="s">
        <v>32</v>
      </c>
      <c r="F14422" s="74" t="s">
        <v>189</v>
      </c>
      <c r="G14422" s="74" t="s">
        <v>33</v>
      </c>
    </row>
    <row r="14423" spans="1:7" ht="24" customHeight="1" x14ac:dyDescent="0.25">
      <c r="A14423" s="50" t="str">
        <f>Presupuesto!B264</f>
        <v>013_N2</v>
      </c>
      <c r="B14423" s="220" t="str">
        <f>Presupuesto!C264</f>
        <v>SUMINISTRO DE PARARRAYOS, O DPS,  TIPO LÍNEA. (PY) UR:15KV;UC:9,6KV. IND:10 KA; CLASE 3.</v>
      </c>
      <c r="C14423" s="220"/>
      <c r="D14423" s="50" t="s">
        <v>108</v>
      </c>
      <c r="E14423" s="50">
        <v>9</v>
      </c>
      <c r="F14423" s="50"/>
      <c r="G14423" s="51">
        <f>G14491</f>
        <v>381124.7</v>
      </c>
    </row>
    <row r="14424" spans="1:7" x14ac:dyDescent="0.25">
      <c r="A14424" s="219" t="s">
        <v>34</v>
      </c>
      <c r="B14424" s="219"/>
      <c r="C14424" s="219"/>
      <c r="D14424" s="219"/>
      <c r="E14424" s="219"/>
      <c r="F14424" s="219"/>
      <c r="G14424" s="219"/>
    </row>
    <row r="14425" spans="1:7" x14ac:dyDescent="0.25">
      <c r="A14425" s="49" t="s">
        <v>35</v>
      </c>
      <c r="B14425" s="219" t="s">
        <v>36</v>
      </c>
      <c r="C14425" s="219"/>
      <c r="D14425" s="49" t="s">
        <v>37</v>
      </c>
      <c r="E14425" s="49" t="s">
        <v>38</v>
      </c>
      <c r="F14425" s="49" t="s">
        <v>39</v>
      </c>
      <c r="G14425" s="49" t="s">
        <v>40</v>
      </c>
    </row>
    <row r="14426" spans="1:7" x14ac:dyDescent="0.25">
      <c r="A14426" s="17" t="str">
        <f>Material!A49</f>
        <v>MA-48</v>
      </c>
      <c r="B14426" s="72" t="str">
        <f>IFERROR(VLOOKUP(A14426,Material!$A:$J,2,0),"-")</f>
        <v>DPS VNOM: 15KV. ISC 12.5 KA</v>
      </c>
      <c r="C14426" s="73"/>
      <c r="D14426" s="50" t="str">
        <f>IFERROR(VLOOKUP(A14426,Material!$A:$J,4,0),"-")</f>
        <v>UN</v>
      </c>
      <c r="E14426" s="50">
        <v>1</v>
      </c>
      <c r="F14426" s="51">
        <f>IFERROR(VLOOKUP(A14426,Material!$A:$J,3,0),"-")</f>
        <v>154960</v>
      </c>
      <c r="G14426" s="51">
        <f t="shared" ref="G14426:G14432" si="204">IFERROR(ROUNDUP(F14426*E14426,0),"-")</f>
        <v>154960</v>
      </c>
    </row>
    <row r="14427" spans="1:7" x14ac:dyDescent="0.25">
      <c r="A14427" s="17"/>
      <c r="B14427" s="72" t="str">
        <f>IFERROR(VLOOKUP(A14427,Material!$A:$J,2,0),"-")</f>
        <v>-</v>
      </c>
      <c r="C14427" s="73"/>
      <c r="D14427" s="50" t="str">
        <f>IFERROR(VLOOKUP(A14427,Material!$A:$J,4,0),"-")</f>
        <v>-</v>
      </c>
      <c r="E14427" s="50"/>
      <c r="F14427" s="51" t="str">
        <f>IFERROR(VLOOKUP(A14427,Material!$A:$J,3,0),"-")</f>
        <v>-</v>
      </c>
      <c r="G14427" s="51" t="str">
        <f t="shared" si="204"/>
        <v>-</v>
      </c>
    </row>
    <row r="14428" spans="1:7" x14ac:dyDescent="0.25">
      <c r="A14428" s="17"/>
      <c r="B14428" s="72" t="str">
        <f>IFERROR(VLOOKUP(A14428,Material!$A:$J,2,0),"-")</f>
        <v>-</v>
      </c>
      <c r="C14428" s="73"/>
      <c r="D14428" s="50" t="str">
        <f>IFERROR(VLOOKUP(A14428,Material!$A:$J,4,0),"-")</f>
        <v>-</v>
      </c>
      <c r="E14428" s="50"/>
      <c r="F14428" s="51" t="str">
        <f>IFERROR(VLOOKUP(A14428,Material!$A:$J,3,0),"-")</f>
        <v>-</v>
      </c>
      <c r="G14428" s="51" t="str">
        <f t="shared" si="204"/>
        <v>-</v>
      </c>
    </row>
    <row r="14429" spans="1:7" x14ac:dyDescent="0.25">
      <c r="A14429" s="17"/>
      <c r="B14429" s="72" t="str">
        <f>IFERROR(VLOOKUP(A14429,Material!$A:$J,2,0),"-")</f>
        <v>-</v>
      </c>
      <c r="C14429" s="73"/>
      <c r="D14429" s="50" t="str">
        <f>IFERROR(VLOOKUP(A14429,Material!$A:$J,4,0),"-")</f>
        <v>-</v>
      </c>
      <c r="E14429" s="50"/>
      <c r="F14429" s="51" t="str">
        <f>IFERROR(VLOOKUP(A14429,Material!$A:$J,3,0),"-")</f>
        <v>-</v>
      </c>
      <c r="G14429" s="51" t="str">
        <f t="shared" si="204"/>
        <v>-</v>
      </c>
    </row>
    <row r="14430" spans="1:7" x14ac:dyDescent="0.25">
      <c r="A14430" s="17"/>
      <c r="B14430" s="72" t="str">
        <f>IFERROR(VLOOKUP(A14430,Material!$A:$J,2,0),"-")</f>
        <v>-</v>
      </c>
      <c r="C14430" s="73"/>
      <c r="D14430" s="50" t="str">
        <f>IFERROR(VLOOKUP(A14430,Material!$A:$J,4,0),"-")</f>
        <v>-</v>
      </c>
      <c r="E14430" s="50"/>
      <c r="F14430" s="51" t="str">
        <f>IFERROR(VLOOKUP(A14430,Material!$A:$J,3,0),"-")</f>
        <v>-</v>
      </c>
      <c r="G14430" s="51" t="str">
        <f t="shared" si="204"/>
        <v>-</v>
      </c>
    </row>
    <row r="14431" spans="1:7" x14ac:dyDescent="0.25">
      <c r="A14431" s="17"/>
      <c r="B14431" s="75" t="str">
        <f>IFERROR(VLOOKUP(A14431,Material!$A:$J,2,0),"-")</f>
        <v>-</v>
      </c>
      <c r="C14431" s="76"/>
      <c r="D14431" s="50" t="str">
        <f>IFERROR(VLOOKUP(A14431,Material!$A:$J,4,0),"-")</f>
        <v>-</v>
      </c>
      <c r="E14431" s="50"/>
      <c r="F14431" s="51" t="str">
        <f>IFERROR(VLOOKUP(A14431,Material!$A:$J,3,0),"-")</f>
        <v>-</v>
      </c>
      <c r="G14431" s="51" t="str">
        <f t="shared" si="204"/>
        <v>-</v>
      </c>
    </row>
    <row r="14432" spans="1:7" x14ac:dyDescent="0.25">
      <c r="A14432" s="17"/>
      <c r="B14432" s="72" t="str">
        <f>IFERROR(VLOOKUP(A14432,Material!$A:$J,2,0),"-")</f>
        <v>-</v>
      </c>
      <c r="C14432" s="76"/>
      <c r="D14432" s="50" t="str">
        <f>IFERROR(VLOOKUP(A14432,Material!$A:$J,4,0),"-")</f>
        <v>-</v>
      </c>
      <c r="E14432" s="50"/>
      <c r="F14432" s="51" t="str">
        <f>IFERROR(VLOOKUP(A14432,Material!$A:$J,3,0),"-")</f>
        <v>-</v>
      </c>
      <c r="G14432" s="51" t="str">
        <f t="shared" si="204"/>
        <v>-</v>
      </c>
    </row>
    <row r="14433" spans="1:7" x14ac:dyDescent="0.25">
      <c r="A14433" s="219" t="s">
        <v>41</v>
      </c>
      <c r="B14433" s="219"/>
      <c r="C14433" s="219"/>
      <c r="D14433" s="219"/>
      <c r="E14433" s="219"/>
      <c r="F14433" s="219"/>
      <c r="G14433" s="52">
        <f>SUM(G14426:G14432)</f>
        <v>154960</v>
      </c>
    </row>
    <row r="14434" spans="1:7" x14ac:dyDescent="0.25">
      <c r="A14434" s="56"/>
      <c r="B14434" s="57"/>
      <c r="C14434" s="57"/>
      <c r="D14434" s="57"/>
      <c r="E14434" s="57"/>
      <c r="F14434" s="57"/>
      <c r="G14434" s="58"/>
    </row>
    <row r="14435" spans="1:7" x14ac:dyDescent="0.25">
      <c r="A14435" s="219" t="s">
        <v>42</v>
      </c>
      <c r="B14435" s="219"/>
      <c r="C14435" s="219"/>
      <c r="D14435" s="219"/>
      <c r="E14435" s="219"/>
      <c r="F14435" s="219"/>
      <c r="G14435" s="219"/>
    </row>
    <row r="14436" spans="1:7" x14ac:dyDescent="0.25">
      <c r="A14436" s="49" t="s">
        <v>35</v>
      </c>
      <c r="B14436" s="49" t="s">
        <v>36</v>
      </c>
      <c r="C14436" s="49" t="s">
        <v>38</v>
      </c>
      <c r="D14436" s="49" t="s">
        <v>43</v>
      </c>
      <c r="E14436" s="49" t="s">
        <v>44</v>
      </c>
      <c r="F14436" s="49" t="s">
        <v>45</v>
      </c>
      <c r="G14436" s="49" t="s">
        <v>40</v>
      </c>
    </row>
    <row r="14437" spans="1:7" x14ac:dyDescent="0.25">
      <c r="A14437" s="50" t="s">
        <v>319</v>
      </c>
      <c r="B14437" s="68" t="str">
        <f>VLOOKUP(A14437,'[1]Componentes APUs'!$H$1:$L$25,2,0)</f>
        <v>Ingeniero Residente de Obra</v>
      </c>
      <c r="C14437" s="93">
        <v>0.25</v>
      </c>
      <c r="D14437" s="50">
        <f>VLOOKUP(A14437,'[1]Componentes APUs'!$H$1:$L$25,3,0)</f>
        <v>4</v>
      </c>
      <c r="E14437" s="51">
        <f>VLOOKUP(A14437,'[1]Componentes APUs'!$H$1:$L$25,4,0)</f>
        <v>271142.85714285716</v>
      </c>
      <c r="F14437" s="51">
        <f>VLOOKUP(A14437,'[1]Componentes APUs'!$H$1:$L$25,5,0)</f>
        <v>162685.71428571429</v>
      </c>
      <c r="G14437" s="51">
        <f>ROUNDUP((E14437+F14437)*C14437/E14423,0)</f>
        <v>12051</v>
      </c>
    </row>
    <row r="14438" spans="1:7" x14ac:dyDescent="0.25">
      <c r="A14438" s="50" t="s">
        <v>320</v>
      </c>
      <c r="B14438" s="68" t="str">
        <f>VLOOKUP(A14438,'[1]Componentes APUs'!$H$1:$L$25,2,0)</f>
        <v>Tecnico Supervisor</v>
      </c>
      <c r="C14438" s="93">
        <v>0.25</v>
      </c>
      <c r="D14438" s="50">
        <f>VLOOKUP(A14438,'[1]Componentes APUs'!$H$1:$L$25,3,0)</f>
        <v>2.2999999999999998</v>
      </c>
      <c r="E14438" s="51">
        <f>VLOOKUP(A14438,'[1]Componentes APUs'!$H$1:$L$25,4,0)</f>
        <v>155907.14285714284</v>
      </c>
      <c r="F14438" s="51">
        <f>VLOOKUP(A14438,'[1]Componentes APUs'!$H$1:$L$25,5,0)</f>
        <v>93544.285714285696</v>
      </c>
      <c r="G14438" s="51">
        <f>ROUNDUP((E14438+F14438)*C14438/E14423,0)</f>
        <v>6930</v>
      </c>
    </row>
    <row r="14439" spans="1:7" x14ac:dyDescent="0.25">
      <c r="A14439" s="50" t="s">
        <v>46</v>
      </c>
      <c r="B14439" s="68" t="str">
        <f>VLOOKUP(A14439,'[1]Componentes APUs'!$H$1:$L$25,2,0)</f>
        <v>Tecnico Liniero</v>
      </c>
      <c r="C14439" s="93">
        <v>2</v>
      </c>
      <c r="D14439" s="50">
        <f>VLOOKUP(A14439,'[1]Componentes APUs'!$H$1:$L$25,3,0)</f>
        <v>2</v>
      </c>
      <c r="E14439" s="51">
        <f>VLOOKUP(A14439,'[1]Componentes APUs'!$H$1:$L$25,4,0)</f>
        <v>154619.04761904763</v>
      </c>
      <c r="F14439" s="51">
        <f>VLOOKUP(A14439,'[1]Componentes APUs'!$H$1:$L$25,5,0)</f>
        <v>92771.42857142858</v>
      </c>
      <c r="G14439" s="51">
        <f>ROUNDUP((E14439+F14439)*C14439/E14423,0)</f>
        <v>54976</v>
      </c>
    </row>
    <row r="14440" spans="1:7" x14ac:dyDescent="0.25">
      <c r="A14440" s="50" t="s">
        <v>48</v>
      </c>
      <c r="B14440" s="68" t="str">
        <f>VLOOKUP(A14440,'[1]Componentes APUs'!$H$1:$L$25,2,0)</f>
        <v>Ayudante Calificado</v>
      </c>
      <c r="C14440" s="93">
        <v>1</v>
      </c>
      <c r="D14440" s="50">
        <f>VLOOKUP(A14440,'[1]Componentes APUs'!$H$1:$L$25,3,0)</f>
        <v>1.5</v>
      </c>
      <c r="E14440" s="51">
        <f>VLOOKUP(A14440,'[1]Componentes APUs'!$H$1:$L$25,4,0)</f>
        <v>115964.28571428571</v>
      </c>
      <c r="F14440" s="51">
        <f>VLOOKUP(A14440,'[1]Componentes APUs'!$H$1:$L$25,5,0)</f>
        <v>69578.57142857142</v>
      </c>
      <c r="G14440" s="51">
        <f>ROUNDUP((E14440+F14440)*C14440/E14423,0)</f>
        <v>20616</v>
      </c>
    </row>
    <row r="14441" spans="1:7" x14ac:dyDescent="0.25">
      <c r="A14441" s="50" t="s">
        <v>50</v>
      </c>
      <c r="B14441" s="68" t="str">
        <f>VLOOKUP(A14441,'[1]Componentes APUs'!$H$1:$L$25,2,0)</f>
        <v>Profesional en SST</v>
      </c>
      <c r="C14441" s="93">
        <v>0.25</v>
      </c>
      <c r="D14441" s="50">
        <f>VLOOKUP(A14441,'[1]Componentes APUs'!$H$1:$L$25,3,0)</f>
        <v>2.5</v>
      </c>
      <c r="E14441" s="51">
        <f>VLOOKUP(A14441,'[1]Componentes APUs'!$H$1:$L$25,4,0)</f>
        <v>169464.28571428571</v>
      </c>
      <c r="F14441" s="51">
        <f>VLOOKUP(A14441,'[1]Componentes APUs'!$H$1:$L$25,5,0)</f>
        <v>101678.57142857142</v>
      </c>
      <c r="G14441" s="51">
        <f>ROUNDUP((E14441+F14441)*C14441/E14423,0)</f>
        <v>7532</v>
      </c>
    </row>
    <row r="14442" spans="1:7" x14ac:dyDescent="0.25">
      <c r="A14442" s="50" t="s">
        <v>52</v>
      </c>
      <c r="B14442" s="68" t="str">
        <f>VLOOKUP(A14442,'[1]Componentes APUs'!$H$1:$L$25,2,0)</f>
        <v>Ayudante No Calificado</v>
      </c>
      <c r="C14442" s="93">
        <v>1</v>
      </c>
      <c r="D14442" s="50">
        <f>VLOOKUP(A14442,'[1]Componentes APUs'!$H$1:$L$25,3,0)</f>
        <v>1</v>
      </c>
      <c r="E14442" s="51">
        <f>VLOOKUP(A14442,'[1]Componentes APUs'!$H$1:$L$25,4,0)</f>
        <v>77309.523809523816</v>
      </c>
      <c r="F14442" s="51">
        <f>VLOOKUP(A14442,'[1]Componentes APUs'!$H$1:$L$25,5,0)</f>
        <v>46385.71428571429</v>
      </c>
      <c r="G14442" s="51">
        <f>ROUNDUP((E14442+F14442)*C14442/E14423,0)</f>
        <v>13744</v>
      </c>
    </row>
    <row r="14443" spans="1:7" x14ac:dyDescent="0.25">
      <c r="A14443" s="219" t="s">
        <v>56</v>
      </c>
      <c r="B14443" s="219"/>
      <c r="C14443" s="219"/>
      <c r="D14443" s="219"/>
      <c r="E14443" s="219"/>
      <c r="F14443" s="219"/>
      <c r="G14443" s="52">
        <f>SUM(G14437:G14442)</f>
        <v>115849</v>
      </c>
    </row>
    <row r="14444" spans="1:7" x14ac:dyDescent="0.25">
      <c r="A14444" s="56"/>
      <c r="B14444" s="57"/>
      <c r="C14444" s="57"/>
      <c r="D14444" s="57"/>
      <c r="E14444" s="57"/>
      <c r="F14444" s="57"/>
      <c r="G14444" s="58"/>
    </row>
    <row r="14445" spans="1:7" x14ac:dyDescent="0.25">
      <c r="A14445" s="219" t="s">
        <v>57</v>
      </c>
      <c r="B14445" s="219"/>
      <c r="C14445" s="219"/>
      <c r="D14445" s="219"/>
      <c r="E14445" s="219"/>
      <c r="F14445" s="219"/>
      <c r="G14445" s="219"/>
    </row>
    <row r="14446" spans="1:7" x14ac:dyDescent="0.25">
      <c r="A14446" s="49" t="s">
        <v>35</v>
      </c>
      <c r="B14446" s="219" t="s">
        <v>36</v>
      </c>
      <c r="C14446" s="219"/>
      <c r="D14446" s="49" t="s">
        <v>37</v>
      </c>
      <c r="E14446" s="49" t="s">
        <v>38</v>
      </c>
      <c r="F14446" s="49" t="s">
        <v>39</v>
      </c>
      <c r="G14446" s="49" t="s">
        <v>40</v>
      </c>
    </row>
    <row r="14447" spans="1:7" x14ac:dyDescent="0.25">
      <c r="A14447" s="50" t="s">
        <v>326</v>
      </c>
      <c r="B14447" s="220" t="str">
        <f>VLOOKUP(A14447,'[1]Componentes APUs'!$S$1:$V$10,2,0)</f>
        <v>Juego Llaves</v>
      </c>
      <c r="C14447" s="220"/>
      <c r="D14447" s="50" t="s">
        <v>18</v>
      </c>
      <c r="E14447" s="50">
        <v>2</v>
      </c>
      <c r="F14447" s="51">
        <f>VLOOKUP(A14447,'[1]Componentes APUs'!$S$1:$V$10,4,0)</f>
        <v>9167</v>
      </c>
      <c r="G14447" s="51">
        <f>ROUNDUP(F14447*((E14447/21)/E14423),0)</f>
        <v>98</v>
      </c>
    </row>
    <row r="14448" spans="1:7" x14ac:dyDescent="0.25">
      <c r="A14448" s="50" t="s">
        <v>58</v>
      </c>
      <c r="B14448" s="220" t="str">
        <f>VLOOKUP(A14448,'[1]Componentes APUs'!$S$1:$V$10,2,0)</f>
        <v>Manila de servicio</v>
      </c>
      <c r="C14448" s="220"/>
      <c r="D14448" s="50" t="s">
        <v>18</v>
      </c>
      <c r="E14448" s="50">
        <v>2</v>
      </c>
      <c r="F14448" s="51">
        <f>VLOOKUP(A14448,'[1]Componentes APUs'!$S$1:$V$10,4,0)</f>
        <v>2333</v>
      </c>
      <c r="G14448" s="51">
        <f>ROUNDUP(F14448*((E14448/21)/E14423),0)</f>
        <v>25</v>
      </c>
    </row>
    <row r="14449" spans="1:7" x14ac:dyDescent="0.25">
      <c r="A14449" s="50" t="s">
        <v>327</v>
      </c>
      <c r="B14449" s="220" t="str">
        <f>VLOOKUP(A14449,'[1]Componentes APUs'!$S$1:$V$10,2,0)</f>
        <v>Tula portaherramientas</v>
      </c>
      <c r="C14449" s="220"/>
      <c r="D14449" s="50" t="s">
        <v>18</v>
      </c>
      <c r="E14449" s="50">
        <v>2</v>
      </c>
      <c r="F14449" s="51">
        <f>VLOOKUP(A14449,'[1]Componentes APUs'!$S$1:$V$10,4,0)</f>
        <v>1250</v>
      </c>
      <c r="G14449" s="51">
        <f>ROUNDUP(F14449*((E14449/21)/E14423),0)</f>
        <v>14</v>
      </c>
    </row>
    <row r="14450" spans="1:7" x14ac:dyDescent="0.25">
      <c r="A14450" s="50" t="s">
        <v>60</v>
      </c>
      <c r="B14450" s="220" t="str">
        <f>VLOOKUP(A14450,'[1]Componentes APUs'!$S$1:$V$10,2,0)</f>
        <v>Agarradoras</v>
      </c>
      <c r="C14450" s="220"/>
      <c r="D14450" s="50" t="s">
        <v>18</v>
      </c>
      <c r="E14450" s="50">
        <v>0</v>
      </c>
      <c r="F14450" s="51">
        <f>VLOOKUP(A14450,'[1]Componentes APUs'!$S$1:$V$10,4,0)</f>
        <v>125000</v>
      </c>
      <c r="G14450" s="51">
        <f>ROUNDUP(F14450*((E14450/21)/E14423),0)</f>
        <v>0</v>
      </c>
    </row>
    <row r="14451" spans="1:7" x14ac:dyDescent="0.25">
      <c r="A14451" s="50" t="s">
        <v>62</v>
      </c>
      <c r="B14451" s="220" t="str">
        <f>VLOOKUP(A14451,'[1]Componentes APUs'!$S$1:$V$10,2,0)</f>
        <v>Templadoras</v>
      </c>
      <c r="C14451" s="220"/>
      <c r="D14451" s="50" t="s">
        <v>18</v>
      </c>
      <c r="E14451" s="50">
        <v>0</v>
      </c>
      <c r="F14451" s="51">
        <f>VLOOKUP(A14451,'[1]Componentes APUs'!$S$1:$V$10,4,0)</f>
        <v>250000</v>
      </c>
      <c r="G14451" s="51">
        <f>ROUNDUP(F14451*((E14451/21)/E14423),0)</f>
        <v>0</v>
      </c>
    </row>
    <row r="14452" spans="1:7" x14ac:dyDescent="0.25">
      <c r="A14452" s="50" t="s">
        <v>328</v>
      </c>
      <c r="B14452" s="220" t="str">
        <f>VLOOKUP(A14452,'[1]Componentes APUs'!$S$1:$V$10,2,0)</f>
        <v>Herramienta Menor</v>
      </c>
      <c r="C14452" s="220"/>
      <c r="D14452" s="50" t="s">
        <v>18</v>
      </c>
      <c r="E14452" s="50">
        <v>2</v>
      </c>
      <c r="F14452" s="51">
        <f>VLOOKUP(A14452,'[1]Componentes APUs'!$S$1:$V$10,4,0)</f>
        <v>75758</v>
      </c>
      <c r="G14452" s="51">
        <f>ROUNDUP(F14452*((E14452/21)/E14423),0)</f>
        <v>802</v>
      </c>
    </row>
    <row r="14453" spans="1:7" x14ac:dyDescent="0.25">
      <c r="A14453" s="219" t="s">
        <v>69</v>
      </c>
      <c r="B14453" s="219"/>
      <c r="C14453" s="219"/>
      <c r="D14453" s="219"/>
      <c r="E14453" s="219"/>
      <c r="F14453" s="219"/>
      <c r="G14453" s="52">
        <f>SUM(G14447:G14452)</f>
        <v>939</v>
      </c>
    </row>
    <row r="14454" spans="1:7" x14ac:dyDescent="0.25">
      <c r="A14454" s="56"/>
      <c r="B14454" s="57"/>
      <c r="C14454" s="57"/>
      <c r="D14454" s="57"/>
      <c r="E14454" s="57"/>
      <c r="F14454" s="57"/>
      <c r="G14454" s="58"/>
    </row>
    <row r="14455" spans="1:7" x14ac:dyDescent="0.25">
      <c r="A14455" s="219" t="s">
        <v>70</v>
      </c>
      <c r="B14455" s="219"/>
      <c r="C14455" s="219"/>
      <c r="D14455" s="219"/>
      <c r="E14455" s="219"/>
      <c r="F14455" s="219"/>
      <c r="G14455" s="219"/>
    </row>
    <row r="14456" spans="1:7" x14ac:dyDescent="0.25">
      <c r="A14456" s="49" t="s">
        <v>35</v>
      </c>
      <c r="B14456" s="219" t="s">
        <v>36</v>
      </c>
      <c r="C14456" s="219"/>
      <c r="D14456" s="49" t="s">
        <v>37</v>
      </c>
      <c r="E14456" s="49" t="s">
        <v>38</v>
      </c>
      <c r="F14456" s="49" t="s">
        <v>39</v>
      </c>
      <c r="G14456" s="49" t="s">
        <v>40</v>
      </c>
    </row>
    <row r="14457" spans="1:7" x14ac:dyDescent="0.25">
      <c r="A14457" s="50" t="s">
        <v>71</v>
      </c>
      <c r="B14457" s="71" t="str">
        <f>VLOOKUP(A14457,'[1]Componentes APUs'!$A$1:$D$14,2,0)</f>
        <v>Camisa indigo sin partes metalicas</v>
      </c>
      <c r="C14457" s="71"/>
      <c r="D14457" s="50" t="str">
        <f>VLOOKUP(A14457,'[1]Componentes APUs'!$A$1:$D$14,3,0)</f>
        <v>U</v>
      </c>
      <c r="E14457" s="50">
        <f>SUM(C14437:C14442)</f>
        <v>4.75</v>
      </c>
      <c r="F14457" s="51">
        <f>VLOOKUP(A14457,'[1]Componentes APUs'!$A$1:$D$14,4,0)</f>
        <v>8585.8585858585866</v>
      </c>
      <c r="G14457" s="51">
        <f>ROUNDUP(F14457*(E14457/21)/E14423,0)</f>
        <v>216</v>
      </c>
    </row>
    <row r="14458" spans="1:7" x14ac:dyDescent="0.25">
      <c r="A14458" s="69" t="s">
        <v>73</v>
      </c>
      <c r="B14458" s="72" t="str">
        <f>VLOOKUP(A14458,'[1]Componentes APUs'!$A$1:$D$14,2,0)</f>
        <v>Bota de seguridad dielectrica</v>
      </c>
      <c r="C14458" s="73"/>
      <c r="D14458" s="70" t="str">
        <f>VLOOKUP(A14458,'[1]Componentes APUs'!$A$1:$D$14,3,0)</f>
        <v>Par</v>
      </c>
      <c r="E14458" s="50">
        <f>SUM(C14437:C14442)</f>
        <v>4.75</v>
      </c>
      <c r="F14458" s="51">
        <f>VLOOKUP(A14458,'[1]Componentes APUs'!$A$1:$D$14,4,0)</f>
        <v>7500</v>
      </c>
      <c r="G14458" s="51">
        <f>ROUNDUP(F14458*(E14458/21)/E14423,0)</f>
        <v>189</v>
      </c>
    </row>
    <row r="14459" spans="1:7" x14ac:dyDescent="0.25">
      <c r="A14459" s="50" t="s">
        <v>76</v>
      </c>
      <c r="B14459" s="72" t="str">
        <f>VLOOKUP(A14459,'[1]Componentes APUs'!$A$1:$D$14,2,0)</f>
        <v>Casco dielectrico Tipo 1 Clase E con barbuquejo</v>
      </c>
      <c r="C14459" s="73"/>
      <c r="D14459" s="50" t="str">
        <f>VLOOKUP(A14459,'[1]Componentes APUs'!$A$1:$D$14,3,0)</f>
        <v>U</v>
      </c>
      <c r="E14459" s="50">
        <f>C14437+C14440+C14441+C14438+C14442+IF(A14439&lt;&gt;"MO-3",C14439,0)</f>
        <v>2.75</v>
      </c>
      <c r="F14459" s="51">
        <f>VLOOKUP(A14459,'[1]Componentes APUs'!$A$1:$D$14,4,0)</f>
        <v>10101.010101010101</v>
      </c>
      <c r="G14459" s="51">
        <f>ROUNDUP(F14459*(E14459/21)/E14423,0)</f>
        <v>147</v>
      </c>
    </row>
    <row r="14460" spans="1:7" x14ac:dyDescent="0.25">
      <c r="A14460" s="69" t="s">
        <v>77</v>
      </c>
      <c r="B14460" s="72" t="str">
        <f>VLOOKUP(A14460,'[1]Componentes APUs'!$A$1:$D$14,2,0)</f>
        <v>Correa plastica y antiflama</v>
      </c>
      <c r="C14460" s="73"/>
      <c r="D14460" s="50" t="str">
        <f>VLOOKUP(A14460,'[1]Componentes APUs'!$A$1:$D$14,3,0)</f>
        <v>U</v>
      </c>
      <c r="E14460" s="50">
        <f>SUM(C14437:C14442)</f>
        <v>4.75</v>
      </c>
      <c r="F14460" s="51">
        <f>VLOOKUP(A14460,'[1]Componentes APUs'!$A$1:$D$14,4,0)</f>
        <v>3787.878787878788</v>
      </c>
      <c r="G14460" s="51">
        <f>ROUNDUP(F14460*(E14460/21)/E14423,0)</f>
        <v>96</v>
      </c>
    </row>
    <row r="14461" spans="1:7" x14ac:dyDescent="0.25">
      <c r="A14461" s="50" t="s">
        <v>79</v>
      </c>
      <c r="B14461" s="72" t="str">
        <f>VLOOKUP(A14461,'[1]Componentes APUs'!$A$1:$D$14,2,0)</f>
        <v>Gafas protectoras filtro UV</v>
      </c>
      <c r="C14461" s="73"/>
      <c r="D14461" s="50" t="str">
        <f>VLOOKUP(A14461,'[1]Componentes APUs'!$A$1:$D$14,3,0)</f>
        <v>U</v>
      </c>
      <c r="E14461" s="50">
        <f>SUM(C14437:C14442)</f>
        <v>4.75</v>
      </c>
      <c r="F14461" s="51">
        <f>VLOOKUP(A14461,'[1]Componentes APUs'!$A$1:$D$14,4,0)</f>
        <v>2777.7777777777778</v>
      </c>
      <c r="G14461" s="51">
        <f>ROUNDUP(F14461*(E14461/21)/E14423,0)</f>
        <v>70</v>
      </c>
    </row>
    <row r="14462" spans="1:7" x14ac:dyDescent="0.25">
      <c r="A14462" s="69" t="s">
        <v>402</v>
      </c>
      <c r="B14462" s="72" t="str">
        <f>VLOOKUP(A14462,'[1]Componentes APUs'!$A$1:$D$14,2,0)</f>
        <v>Bota de seguridad PVC dielectrica</v>
      </c>
      <c r="C14462" s="73"/>
      <c r="D14462" s="50" t="str">
        <f>VLOOKUP(A14462,'[1]Componentes APUs'!$A$1:$D$14,3,0)</f>
        <v>Par</v>
      </c>
      <c r="E14462" s="50">
        <f>SUM(C14437:C14442)</f>
        <v>4.75</v>
      </c>
      <c r="F14462" s="51">
        <f>VLOOKUP(A14462,'[1]Componentes APUs'!$A$1:$D$14,4,0)</f>
        <v>2916.6666666666665</v>
      </c>
      <c r="G14462" s="51">
        <f>ROUNDUP(F14462*(E14462/21)/E14423,0)</f>
        <v>74</v>
      </c>
    </row>
    <row r="14463" spans="1:7" x14ac:dyDescent="0.25">
      <c r="A14463" s="50" t="s">
        <v>403</v>
      </c>
      <c r="B14463" s="72" t="str">
        <f>VLOOKUP(A14463,'[1]Componentes APUs'!$A$1:$D$14,2,0)</f>
        <v>Capuchon</v>
      </c>
      <c r="C14463" s="73"/>
      <c r="D14463" s="50" t="str">
        <f>VLOOKUP(A14463,'[1]Componentes APUs'!$A$1:$D$14,3,0)</f>
        <v>U</v>
      </c>
      <c r="E14463" s="50">
        <f>SUM(C14437:C14442)</f>
        <v>4.75</v>
      </c>
      <c r="F14463" s="51">
        <f>VLOOKUP(A14463,'[1]Componentes APUs'!$A$1:$D$14,4,0)</f>
        <v>2525.2525252525252</v>
      </c>
      <c r="G14463" s="51">
        <f>ROUNDUP(F14463*(E14463/21)/E14423,0)</f>
        <v>64</v>
      </c>
    </row>
    <row r="14464" spans="1:7" x14ac:dyDescent="0.25">
      <c r="A14464" s="69" t="s">
        <v>81</v>
      </c>
      <c r="B14464" s="72" t="str">
        <f>VLOOKUP(A14464,'[1]Componentes APUs'!$A$1:$D$14,2,0)</f>
        <v>Guantes Protectores  - ingeniero reforzados</v>
      </c>
      <c r="C14464" s="73"/>
      <c r="D14464" s="50" t="str">
        <f>VLOOKUP(A14464,'[1]Componentes APUs'!$A$1:$D$14,3,0)</f>
        <v>Par</v>
      </c>
      <c r="E14464" s="50">
        <f>C14439+C14440+C14442</f>
        <v>4</v>
      </c>
      <c r="F14464" s="51">
        <f>VLOOKUP(A14464,'[1]Componentes APUs'!$A$1:$D$14,4,0)</f>
        <v>2525.2525252525252</v>
      </c>
      <c r="G14464" s="51">
        <f>ROUNDUP(F14464*(E14464/21)/E14423,0)</f>
        <v>54</v>
      </c>
    </row>
    <row r="14465" spans="1:7" x14ac:dyDescent="0.25">
      <c r="A14465" s="50" t="s">
        <v>83</v>
      </c>
      <c r="B14465" s="72" t="str">
        <f>VLOOKUP(A14465,'[1]Componentes APUs'!$A$1:$D$14,2,0)</f>
        <v>Impermeable (pantalon camisa)</v>
      </c>
      <c r="C14465" s="73"/>
      <c r="D14465" s="50" t="str">
        <f>VLOOKUP(A14465,'[1]Componentes APUs'!$A$1:$D$14,3,0)</f>
        <v>U</v>
      </c>
      <c r="E14465" s="50">
        <f>SUM(C14437:C14442)</f>
        <v>4.75</v>
      </c>
      <c r="F14465" s="51">
        <f>VLOOKUP(A14465,'[1]Componentes APUs'!$A$1:$D$14,4,0)</f>
        <v>3750</v>
      </c>
      <c r="G14465" s="51">
        <f>ROUNDUP(F14465*(E14465/21)/E14423,0)</f>
        <v>95</v>
      </c>
    </row>
    <row r="14466" spans="1:7" x14ac:dyDescent="0.25">
      <c r="A14466" s="69" t="s">
        <v>85</v>
      </c>
      <c r="B14466" s="72" t="str">
        <f>VLOOKUP(A14466,'[1]Componentes APUs'!$A$1:$D$14,2,0)</f>
        <v>Jean Dielectrico</v>
      </c>
      <c r="C14466" s="73"/>
      <c r="D14466" s="50" t="str">
        <f>VLOOKUP(A14466,'[1]Componentes APUs'!$A$1:$D$14,3,0)</f>
        <v>U</v>
      </c>
      <c r="E14466" s="50">
        <f>SUM(C14437:C14442)</f>
        <v>4.75</v>
      </c>
      <c r="F14466" s="51">
        <f>VLOOKUP(A14466,'[1]Componentes APUs'!$A$1:$D$14,4,0)</f>
        <v>7575.757575757576</v>
      </c>
      <c r="G14466" s="51">
        <f>ROUNDUP(F14466*(E14466/21)/E14423,0)</f>
        <v>191</v>
      </c>
    </row>
    <row r="14467" spans="1:7" x14ac:dyDescent="0.25">
      <c r="A14467" s="50" t="s">
        <v>87</v>
      </c>
      <c r="B14467" s="72" t="str">
        <f>VLOOKUP(A14467,'[1]Componentes APUs'!$A$1:$D$14,2,0)</f>
        <v>Casco dielectrico Tipo 2 Clase E con barboquejo</v>
      </c>
      <c r="C14467" s="73"/>
      <c r="D14467" s="50" t="str">
        <f>VLOOKUP(A14467,'[1]Componentes APUs'!$A$1:$D$14,3,0)</f>
        <v>U</v>
      </c>
      <c r="E14467" s="53">
        <f>IF(A14439="MO-3",C14439,0)</f>
        <v>2</v>
      </c>
      <c r="F14467" s="51">
        <f>VLOOKUP(A14467,'[1]Componentes APUs'!$A$1:$D$14,4,0)</f>
        <v>7500</v>
      </c>
      <c r="G14467" s="51">
        <f>ROUNDUP(F14467*(E14467/21)/E14423,0)</f>
        <v>80</v>
      </c>
    </row>
    <row r="14468" spans="1:7" x14ac:dyDescent="0.25">
      <c r="A14468" s="69" t="s">
        <v>89</v>
      </c>
      <c r="B14468" s="72" t="str">
        <f>VLOOKUP(A14468,'[1]Componentes APUs'!$A$1:$D$14,2,0)</f>
        <v>Kit de rescate para trabajo en alturas</v>
      </c>
      <c r="C14468" s="73"/>
      <c r="D14468" s="50" t="str">
        <f>VLOOKUP(A14468,'[1]Componentes APUs'!$A$1:$D$14,3,0)</f>
        <v>U</v>
      </c>
      <c r="E14468" s="50">
        <f>IF(AND(A14439="MO-3",C14439=2),1,0)</f>
        <v>1</v>
      </c>
      <c r="F14468" s="51">
        <f>VLOOKUP(A14468,'[1]Componentes APUs'!$A$1:$D$14,4,0)</f>
        <v>37500</v>
      </c>
      <c r="G14468" s="51">
        <f>ROUNDUP(F14468*(E14468/21)/E14423,0)</f>
        <v>199</v>
      </c>
    </row>
    <row r="14469" spans="1:7" x14ac:dyDescent="0.25">
      <c r="A14469" s="50" t="s">
        <v>91</v>
      </c>
      <c r="B14469" s="72" t="str">
        <f>VLOOKUP(A14469,'[1]Componentes APUs'!$A$1:$D$14,2,0)</f>
        <v>Equipo completo para trabajo en alturas con pretales (Arnes dielectrico, 1 mosqueton de seguridad, tie off dielectrico, eslinga de posicionamiento, juego de pretales)</v>
      </c>
      <c r="C14469" s="73"/>
      <c r="D14469" s="50" t="str">
        <f>VLOOKUP(A14469,'[1]Componentes APUs'!$A$1:$D$14,3,0)</f>
        <v>U</v>
      </c>
      <c r="E14469" s="50">
        <f>IF(A14439="MO-3",C14439,0)</f>
        <v>2</v>
      </c>
      <c r="F14469" s="51">
        <f>VLOOKUP(A14469,'[1]Componentes APUs'!$A$1:$D$14,4,0)</f>
        <v>26041.666666666668</v>
      </c>
      <c r="G14469" s="51">
        <f>ROUNDUP(F14469*(E14469/21)/E14423,0)</f>
        <v>276</v>
      </c>
    </row>
    <row r="14470" spans="1:7" x14ac:dyDescent="0.25">
      <c r="A14470" s="219" t="s">
        <v>95</v>
      </c>
      <c r="B14470" s="219"/>
      <c r="C14470" s="219"/>
      <c r="D14470" s="219"/>
      <c r="E14470" s="219"/>
      <c r="F14470" s="219"/>
      <c r="G14470" s="52">
        <f>SUM(G14457:G14469)</f>
        <v>1751</v>
      </c>
    </row>
    <row r="14471" spans="1:7" x14ac:dyDescent="0.25">
      <c r="A14471" s="56"/>
      <c r="B14471" s="57"/>
      <c r="C14471" s="57"/>
      <c r="D14471" s="57"/>
      <c r="E14471" s="57"/>
      <c r="F14471" s="57"/>
      <c r="G14471" s="58"/>
    </row>
    <row r="14472" spans="1:7" x14ac:dyDescent="0.25">
      <c r="A14472" s="219" t="s">
        <v>96</v>
      </c>
      <c r="B14472" s="219"/>
      <c r="C14472" s="219"/>
      <c r="D14472" s="219"/>
      <c r="E14472" s="219"/>
      <c r="F14472" s="219"/>
      <c r="G14472" s="219"/>
    </row>
    <row r="14473" spans="1:7" x14ac:dyDescent="0.25">
      <c r="A14473" s="49" t="s">
        <v>35</v>
      </c>
      <c r="B14473" s="225" t="s">
        <v>36</v>
      </c>
      <c r="C14473" s="225"/>
      <c r="D14473" s="49" t="s">
        <v>37</v>
      </c>
      <c r="E14473" s="49" t="s">
        <v>38</v>
      </c>
      <c r="F14473" s="49" t="s">
        <v>39</v>
      </c>
      <c r="G14473" s="49" t="s">
        <v>40</v>
      </c>
    </row>
    <row r="14474" spans="1:7" x14ac:dyDescent="0.25">
      <c r="A14474" s="69" t="s">
        <v>97</v>
      </c>
      <c r="B14474" s="72" t="str">
        <f>VLOOKUP(A14474,'[1]Componentes APUs'!$N$1:$Q$30,2,0)</f>
        <v>Camioneta</v>
      </c>
      <c r="C14474" s="73"/>
      <c r="D14474" s="70" t="str">
        <f>VLOOKUP(A14474,'[1]Componentes APUs'!$N$1:$Q$30,3,0)</f>
        <v>U</v>
      </c>
      <c r="E14474" s="50">
        <v>1</v>
      </c>
      <c r="F14474" s="51">
        <f>VLOOKUP(A14474,'[1]Componentes APUs'!$N$1:$Q$30,4,0)</f>
        <v>5500000</v>
      </c>
      <c r="G14474" s="51">
        <f>IFERROR(ROUNDUP(F14474*(E14474/21)/E14423,0),"-")</f>
        <v>29101</v>
      </c>
    </row>
    <row r="14475" spans="1:7" x14ac:dyDescent="0.25">
      <c r="A14475" s="50" t="s">
        <v>321</v>
      </c>
      <c r="B14475" s="72" t="str">
        <f>VLOOKUP(A14475,'[1]Componentes APUs'!$N$1:$Q$30,2,0)</f>
        <v>Grúa Hidráulica</v>
      </c>
      <c r="C14475" s="73"/>
      <c r="D14475" s="70" t="str">
        <f>VLOOKUP(A14475,'[1]Componentes APUs'!$N$1:$Q$30,3,0)</f>
        <v>U</v>
      </c>
      <c r="E14475" s="50">
        <v>0</v>
      </c>
      <c r="F14475" s="51">
        <f>VLOOKUP(A14475,'[1]Componentes APUs'!$N$1:$Q$30,4,0)</f>
        <v>21000000</v>
      </c>
      <c r="G14475" s="51">
        <f>IFERROR(ROUNDUP(F14475*(E14475/21)/E14423,0),"-")</f>
        <v>0</v>
      </c>
    </row>
    <row r="14476" spans="1:7" x14ac:dyDescent="0.25">
      <c r="A14476" s="69" t="s">
        <v>322</v>
      </c>
      <c r="B14476" s="72" t="str">
        <f>VLOOKUP(A14476,'[1]Componentes APUs'!$N$1:$Q$30,2,0)</f>
        <v>Camabaja</v>
      </c>
      <c r="C14476" s="73"/>
      <c r="D14476" s="70" t="str">
        <f>VLOOKUP(A14476,'[1]Componentes APUs'!$N$1:$Q$30,3,0)</f>
        <v>TON/KM</v>
      </c>
      <c r="E14476" s="50">
        <v>0</v>
      </c>
      <c r="F14476" s="51">
        <f>VLOOKUP(A14476,'[1]Componentes APUs'!$N$1:$Q$30,4,0)</f>
        <v>611</v>
      </c>
      <c r="G14476" s="51">
        <f>IFERROR(ROUNDUP(F14476*(E14476/21)/E14423,0),"-")</f>
        <v>0</v>
      </c>
    </row>
    <row r="14477" spans="1:7" x14ac:dyDescent="0.25">
      <c r="A14477" s="50" t="s">
        <v>323</v>
      </c>
      <c r="B14477" s="72" t="str">
        <f>VLOOKUP(A14477,'[1]Componentes APUs'!$N$1:$Q$30,2,0)</f>
        <v>Volqueta</v>
      </c>
      <c r="C14477" s="73"/>
      <c r="D14477" s="70" t="str">
        <f>VLOOKUP(A14477,'[1]Componentes APUs'!$N$1:$Q$30,3,0)</f>
        <v>U</v>
      </c>
      <c r="E14477" s="50">
        <v>0</v>
      </c>
      <c r="F14477" s="51">
        <f>VLOOKUP(A14477,'[1]Componentes APUs'!$N$1:$Q$30,4,0)</f>
        <v>18900000</v>
      </c>
      <c r="G14477" s="51">
        <f>IFERROR(ROUNDUP(F14477*(E14477/21)/E14423,0),"-")</f>
        <v>0</v>
      </c>
    </row>
    <row r="14478" spans="1:7" x14ac:dyDescent="0.25">
      <c r="A14478" s="69" t="s">
        <v>324</v>
      </c>
      <c r="B14478" s="72" t="str">
        <f>VLOOKUP(A14478,'[1]Componentes APUs'!$N$1:$Q$30,2,0)</f>
        <v>Retroexcavadora</v>
      </c>
      <c r="C14478" s="73"/>
      <c r="D14478" s="70" t="str">
        <f>VLOOKUP(A14478,'[1]Componentes APUs'!$N$1:$Q$30,3,0)</f>
        <v>U</v>
      </c>
      <c r="E14478" s="50">
        <v>0</v>
      </c>
      <c r="F14478" s="51">
        <f>VLOOKUP(A14478,'[1]Componentes APUs'!$N$1:$Q$30,4,0)</f>
        <v>1494459.54</v>
      </c>
      <c r="G14478" s="51">
        <f>IFERROR(ROUNDUP(F14478*(E14478/21)/E14423,0),"-")</f>
        <v>0</v>
      </c>
    </row>
    <row r="14479" spans="1:7" x14ac:dyDescent="0.25">
      <c r="A14479" s="219" t="s">
        <v>99</v>
      </c>
      <c r="B14479" s="219"/>
      <c r="C14479" s="219"/>
      <c r="D14479" s="219"/>
      <c r="E14479" s="219"/>
      <c r="F14479" s="219"/>
      <c r="G14479" s="52">
        <f>SUM(G14474:G14478)</f>
        <v>29101</v>
      </c>
    </row>
    <row r="14480" spans="1:7" x14ac:dyDescent="0.25">
      <c r="A14480" s="56"/>
      <c r="B14480" s="57"/>
      <c r="C14480" s="57"/>
      <c r="D14480" s="57"/>
      <c r="E14480" s="57"/>
      <c r="F14480" s="57"/>
      <c r="G14480" s="58"/>
    </row>
    <row r="14481" spans="1:7" x14ac:dyDescent="0.25">
      <c r="A14481" s="219" t="s">
        <v>1516</v>
      </c>
      <c r="B14481" s="219"/>
      <c r="C14481" s="219"/>
      <c r="D14481" s="219"/>
      <c r="E14481" s="219"/>
      <c r="F14481" s="219"/>
      <c r="G14481" s="52">
        <f>G14479+G14470+G14453+G14443+G14433</f>
        <v>302600</v>
      </c>
    </row>
    <row r="14482" spans="1:7" x14ac:dyDescent="0.25">
      <c r="A14482" s="59"/>
      <c r="B14482" s="60"/>
      <c r="C14482" s="60"/>
      <c r="D14482" s="60"/>
      <c r="E14482" s="57"/>
      <c r="F14482" s="57"/>
      <c r="G14482" s="58"/>
    </row>
    <row r="14483" spans="1:7" x14ac:dyDescent="0.25">
      <c r="A14483" s="64"/>
      <c r="D14483" s="55"/>
      <c r="E14483" s="49" t="s">
        <v>25</v>
      </c>
      <c r="F14483" s="54">
        <v>0.15</v>
      </c>
      <c r="G14483" s="51">
        <f>G14481*F14483</f>
        <v>45390</v>
      </c>
    </row>
    <row r="14484" spans="1:7" x14ac:dyDescent="0.25">
      <c r="A14484" s="64"/>
      <c r="D14484" s="55"/>
      <c r="E14484" s="49" t="s">
        <v>26</v>
      </c>
      <c r="F14484" s="54">
        <v>0.05</v>
      </c>
      <c r="G14484" s="51">
        <f>G14481*F14484</f>
        <v>15130</v>
      </c>
    </row>
    <row r="14485" spans="1:7" x14ac:dyDescent="0.25">
      <c r="A14485" s="61"/>
      <c r="B14485" s="65"/>
      <c r="C14485" s="65"/>
      <c r="D14485" s="62"/>
      <c r="E14485" s="49" t="s">
        <v>27</v>
      </c>
      <c r="F14485" s="54">
        <v>0.05</v>
      </c>
      <c r="G14485" s="51">
        <f>G14481*F14485</f>
        <v>15130</v>
      </c>
    </row>
    <row r="14486" spans="1:7" x14ac:dyDescent="0.25">
      <c r="A14486" s="61"/>
      <c r="B14486" s="62"/>
      <c r="C14486" s="62"/>
      <c r="D14486" s="62"/>
      <c r="E14486" s="62"/>
      <c r="F14486" s="62"/>
      <c r="G14486" s="63"/>
    </row>
    <row r="14487" spans="1:7" x14ac:dyDescent="0.25">
      <c r="A14487" s="219" t="s">
        <v>1517</v>
      </c>
      <c r="B14487" s="219"/>
      <c r="C14487" s="219"/>
      <c r="D14487" s="219"/>
      <c r="E14487" s="219"/>
      <c r="F14487" s="219"/>
      <c r="G14487" s="52">
        <f>G14481+G14483+G14484+G14485</f>
        <v>378250</v>
      </c>
    </row>
    <row r="14488" spans="1:7" x14ac:dyDescent="0.25">
      <c r="A14488" s="59"/>
      <c r="B14488" s="60"/>
      <c r="C14488" s="60"/>
      <c r="D14488" s="60"/>
      <c r="E14488" s="57"/>
      <c r="F14488" s="57"/>
      <c r="G14488" s="58"/>
    </row>
    <row r="14489" spans="1:7" x14ac:dyDescent="0.25">
      <c r="A14489" s="64"/>
      <c r="D14489" s="55"/>
      <c r="E14489" s="49" t="s">
        <v>102</v>
      </c>
      <c r="F14489" s="49" t="s">
        <v>103</v>
      </c>
      <c r="G14489" s="51">
        <f>G14485*19%</f>
        <v>2874.7</v>
      </c>
    </row>
    <row r="14490" spans="1:7" x14ac:dyDescent="0.25">
      <c r="A14490" s="61"/>
      <c r="B14490" s="62"/>
      <c r="C14490" s="62"/>
      <c r="D14490" s="62"/>
      <c r="E14490" s="57"/>
      <c r="F14490" s="57"/>
      <c r="G14490" s="58"/>
    </row>
    <row r="14491" spans="1:7" x14ac:dyDescent="0.25">
      <c r="A14491" s="219" t="s">
        <v>104</v>
      </c>
      <c r="B14491" s="219"/>
      <c r="C14491" s="219"/>
      <c r="D14491" s="219"/>
      <c r="E14491" s="219"/>
      <c r="F14491" s="219"/>
      <c r="G14491" s="52">
        <f>G14489+G14487</f>
        <v>381124.7</v>
      </c>
    </row>
    <row r="14493" spans="1:7" x14ac:dyDescent="0.25">
      <c r="A14493" s="74" t="s">
        <v>29</v>
      </c>
      <c r="B14493" s="226" t="s">
        <v>30</v>
      </c>
      <c r="C14493" s="226"/>
      <c r="D14493" s="74" t="s">
        <v>31</v>
      </c>
      <c r="E14493" s="74" t="s">
        <v>32</v>
      </c>
      <c r="F14493" s="74" t="s">
        <v>189</v>
      </c>
      <c r="G14493" s="74" t="s">
        <v>33</v>
      </c>
    </row>
    <row r="14494" spans="1:7" ht="117.75" customHeight="1" x14ac:dyDescent="0.25">
      <c r="A14494" s="50" t="str">
        <f>Presupuesto!B267</f>
        <v>015_N2</v>
      </c>
      <c r="B14494" s="220" t="str">
        <f>Presupuesto!C267</f>
        <v>CELDA INTERRUPTOR TRIFÁSICO 15 KV/ 63 kA, AISLADA EN VACÍO. CORRIENTE NOMINAL: 1250 A. 60 HZ. 3 POLOS. INCLUYE: SECCIONADORES, 3 TRANSFORMADORES DE CORRIENTE TRIPLE NUCLEO (N1:300-600/5 CL: 0.5s, N2:300-600/5  CL: 0.5s, N3:300-600/5 CL: 5P30, BURDEN: 25 VA) CON PROTOCOLOS DE PRUEBA DE PRECISIÓN DE FABRICANTE Y LABORATORIO ACREDITADO Y UNIDAD INTEGRADA DE CONTROL Y PROTECCIÓN (RELE CON FUNCIONES: 50,  51, 50N, 51N,50BFE1,E2,27,59,26,49,63,71,96,33,63Q), PUERTO DE COMUNICACIÓN PARA FIBRA ÓPTICA, PROTOCOLO DE COMUNICACIÓN 61850. BAHIA DE TRANSFORMADOR</v>
      </c>
      <c r="C14494" s="220"/>
      <c r="D14494" s="50" t="s">
        <v>108</v>
      </c>
      <c r="E14494" s="50">
        <v>0.5</v>
      </c>
      <c r="F14494" s="50"/>
      <c r="G14494" s="51">
        <f>G14554</f>
        <v>417609699.51800001</v>
      </c>
    </row>
    <row r="14495" spans="1:7" x14ac:dyDescent="0.25">
      <c r="A14495" s="219" t="s">
        <v>34</v>
      </c>
      <c r="B14495" s="219"/>
      <c r="C14495" s="219"/>
      <c r="D14495" s="219"/>
      <c r="E14495" s="219"/>
      <c r="F14495" s="219"/>
      <c r="G14495" s="219"/>
    </row>
    <row r="14496" spans="1:7" x14ac:dyDescent="0.25">
      <c r="A14496" s="49" t="s">
        <v>35</v>
      </c>
      <c r="B14496" s="219" t="s">
        <v>36</v>
      </c>
      <c r="C14496" s="219"/>
      <c r="D14496" s="49" t="s">
        <v>37</v>
      </c>
      <c r="E14496" s="49" t="s">
        <v>38</v>
      </c>
      <c r="F14496" s="49" t="s">
        <v>39</v>
      </c>
      <c r="G14496" s="49" t="s">
        <v>40</v>
      </c>
    </row>
    <row r="14497" spans="1:7" ht="95.25" customHeight="1" x14ac:dyDescent="0.25">
      <c r="A14497" s="17" t="str">
        <f>Material!A366</f>
        <v>MA-365</v>
      </c>
      <c r="B14497" s="232" t="str">
        <f>IFERROR(VLOOKUP(A14497,Material!$A:$H,2,0),"-")</f>
        <v>CELDA INTERRUPTOR TRIFÁSICO 15 KV, TIPO INTERIOR, EN VACÍO. CORRIENTE NOMINAL: 1250 A. 60 HZ. 3 POLOS. INCLUYE: 3 TRANSFORMADORES DE CORRIENTE TRIPLE NUCLEO (N1:300-600/5 CL: 0.5s, N2:300-600/5  CL: 0,5s, N3:300-600/5 CL: 5P20) CON PROTOCOLOS DE PRUEBA DE PRECISIÓN DE FABRICANTE Y LABORATORIO ACREDITADO Y UNIDAD INTEGRADA DE CONTROL Y PROTECCIÓN (RELE CON FUNCIONES: 50, 51, 50N, 51N,50BFE1,E2,27,59,26,49,63,71,96,33,63Q), PUERTO DE COMUNICACIÓN PARA FIBRA ÓPTICA, PROTOCOLO DE COMUNICACIÓN 61850.</v>
      </c>
      <c r="C14497" s="233"/>
      <c r="D14497" s="50" t="str">
        <f>IFERROR(VLOOKUP(A14497,Material!$A:$H,4,0),"-")</f>
        <v>UN</v>
      </c>
      <c r="E14497" s="50">
        <v>1</v>
      </c>
      <c r="F14497" s="51">
        <f>IFERROR(VLOOKUP(A14497,Material!$A:$H,3,0),"-")</f>
        <v>325828481.97486538</v>
      </c>
      <c r="G14497" s="51">
        <f t="shared" ref="G14497" si="205">IFERROR(ROUNDUP(F14497*E14497,0),"-")</f>
        <v>325828482</v>
      </c>
    </row>
    <row r="14498" spans="1:7" x14ac:dyDescent="0.25">
      <c r="A14498" s="219" t="s">
        <v>41</v>
      </c>
      <c r="B14498" s="219"/>
      <c r="C14498" s="219"/>
      <c r="D14498" s="219"/>
      <c r="E14498" s="219"/>
      <c r="F14498" s="219"/>
      <c r="G14498" s="52">
        <f>SUM(G14497:G14497)</f>
        <v>325828482</v>
      </c>
    </row>
    <row r="14499" spans="1:7" x14ac:dyDescent="0.25">
      <c r="A14499" s="56"/>
      <c r="B14499" s="57"/>
      <c r="C14499" s="57"/>
      <c r="D14499" s="57"/>
      <c r="E14499" s="57"/>
      <c r="F14499" s="57"/>
      <c r="G14499" s="58"/>
    </row>
    <row r="14500" spans="1:7" x14ac:dyDescent="0.25">
      <c r="A14500" s="219" t="s">
        <v>42</v>
      </c>
      <c r="B14500" s="219"/>
      <c r="C14500" s="219"/>
      <c r="D14500" s="219"/>
      <c r="E14500" s="219"/>
      <c r="F14500" s="219"/>
      <c r="G14500" s="219"/>
    </row>
    <row r="14501" spans="1:7" x14ac:dyDescent="0.25">
      <c r="A14501" s="49" t="s">
        <v>35</v>
      </c>
      <c r="B14501" s="49" t="s">
        <v>36</v>
      </c>
      <c r="C14501" s="49" t="s">
        <v>38</v>
      </c>
      <c r="D14501" s="49" t="s">
        <v>43</v>
      </c>
      <c r="E14501" s="49" t="s">
        <v>44</v>
      </c>
      <c r="F14501" s="49" t="s">
        <v>45</v>
      </c>
      <c r="G14501" s="49" t="s">
        <v>40</v>
      </c>
    </row>
    <row r="14502" spans="1:7" x14ac:dyDescent="0.25">
      <c r="A14502" s="50" t="s">
        <v>319</v>
      </c>
      <c r="B14502" s="68" t="str">
        <f>VLOOKUP(A14502,'Componentes APUs'!$H$1:$L$25,2,0)</f>
        <v>Ingeniero Residente de Obra</v>
      </c>
      <c r="C14502" s="93">
        <v>0.25</v>
      </c>
      <c r="D14502" s="50">
        <f>VLOOKUP(A14502,'Componentes APUs'!$H$1:$L$25,3,0)</f>
        <v>4</v>
      </c>
      <c r="E14502" s="51">
        <f>VLOOKUP(A14502,'Componentes APUs'!$H$1:$L$25,4,0)</f>
        <v>271142.85714285716</v>
      </c>
      <c r="F14502" s="51">
        <f>VLOOKUP(A14502,'Componentes APUs'!$H$1:$L$25,5,0)</f>
        <v>162685.71428571429</v>
      </c>
      <c r="G14502" s="51">
        <f>ROUNDUP((E14502+F14502)*C14502/E14494,0)</f>
        <v>216915</v>
      </c>
    </row>
    <row r="14503" spans="1:7" x14ac:dyDescent="0.25">
      <c r="A14503" s="50" t="s">
        <v>320</v>
      </c>
      <c r="B14503" s="68" t="str">
        <f>VLOOKUP(A14503,'Componentes APUs'!$H$1:$L$25,2,0)</f>
        <v>Tecnico Supervisor</v>
      </c>
      <c r="C14503" s="93">
        <v>0.25</v>
      </c>
      <c r="D14503" s="50">
        <f>VLOOKUP(A14503,'Componentes APUs'!$H$1:$L$25,3,0)</f>
        <v>2.2999999999999998</v>
      </c>
      <c r="E14503" s="51">
        <f>VLOOKUP(A14503,'Componentes APUs'!$H$1:$L$25,4,0)</f>
        <v>155907.14285714284</v>
      </c>
      <c r="F14503" s="51">
        <f>VLOOKUP(A14503,'Componentes APUs'!$H$1:$L$25,5,0)</f>
        <v>93544.285714285696</v>
      </c>
      <c r="G14503" s="51">
        <f>ROUNDUP((E14503+F14503)*C14503/E14494,0)</f>
        <v>124726</v>
      </c>
    </row>
    <row r="14504" spans="1:7" x14ac:dyDescent="0.25">
      <c r="A14504" s="50" t="s">
        <v>46</v>
      </c>
      <c r="B14504" s="68" t="str">
        <f>VLOOKUP(A14504,'Componentes APUs'!$H$1:$L$25,2,0)</f>
        <v>Tecnico Liniero</v>
      </c>
      <c r="C14504" s="93">
        <v>2</v>
      </c>
      <c r="D14504" s="50">
        <f>VLOOKUP(A14504,'Componentes APUs'!$H$1:$L$25,3,0)</f>
        <v>2</v>
      </c>
      <c r="E14504" s="51">
        <f>VLOOKUP(A14504,'Componentes APUs'!$H$1:$L$25,4,0)</f>
        <v>154619.04761904763</v>
      </c>
      <c r="F14504" s="51">
        <f>VLOOKUP(A14504,'Componentes APUs'!$H$1:$L$25,5,0)</f>
        <v>92771.42857142858</v>
      </c>
      <c r="G14504" s="51">
        <f>ROUNDUP((E14504+F14504)*C14504/E14494,0)</f>
        <v>989562</v>
      </c>
    </row>
    <row r="14505" spans="1:7" x14ac:dyDescent="0.25">
      <c r="A14505" s="50" t="s">
        <v>48</v>
      </c>
      <c r="B14505" s="68" t="str">
        <f>VLOOKUP(A14505,'Componentes APUs'!$H$1:$L$25,2,0)</f>
        <v>Ayudante Calificado</v>
      </c>
      <c r="C14505" s="93">
        <v>1</v>
      </c>
      <c r="D14505" s="50">
        <f>VLOOKUP(A14505,'Componentes APUs'!$H$1:$L$25,3,0)</f>
        <v>1.5</v>
      </c>
      <c r="E14505" s="51">
        <f>VLOOKUP(A14505,'Componentes APUs'!$H$1:$L$25,4,0)</f>
        <v>115964.28571428571</v>
      </c>
      <c r="F14505" s="51">
        <f>VLOOKUP(A14505,'Componentes APUs'!$H$1:$L$25,5,0)</f>
        <v>69578.57142857142</v>
      </c>
      <c r="G14505" s="51">
        <f>ROUNDUP((E14505+F14505)*C14505/E14494,0)</f>
        <v>371086</v>
      </c>
    </row>
    <row r="14506" spans="1:7" x14ac:dyDescent="0.25">
      <c r="A14506" s="50" t="s">
        <v>50</v>
      </c>
      <c r="B14506" s="68" t="str">
        <f>VLOOKUP(A14506,'Componentes APUs'!$H$1:$L$25,2,0)</f>
        <v>Profesional en SST</v>
      </c>
      <c r="C14506" s="93">
        <v>0.25</v>
      </c>
      <c r="D14506" s="50">
        <f>VLOOKUP(A14506,'Componentes APUs'!$H$1:$L$25,3,0)</f>
        <v>2.5</v>
      </c>
      <c r="E14506" s="51">
        <f>VLOOKUP(A14506,'Componentes APUs'!$H$1:$L$25,4,0)</f>
        <v>169464.28571428571</v>
      </c>
      <c r="F14506" s="51">
        <f>VLOOKUP(A14506,'Componentes APUs'!$H$1:$L$25,5,0)</f>
        <v>101678.57142857142</v>
      </c>
      <c r="G14506" s="51">
        <f>ROUNDUP((E14506+F14506)*C14506/E14494,0)</f>
        <v>135572</v>
      </c>
    </row>
    <row r="14507" spans="1:7" x14ac:dyDescent="0.25">
      <c r="A14507" s="50" t="s">
        <v>52</v>
      </c>
      <c r="B14507" s="68" t="str">
        <f>VLOOKUP(A14507,'Componentes APUs'!$H$1:$L$25,2,0)</f>
        <v>Ayudante No Calificado</v>
      </c>
      <c r="C14507" s="93">
        <v>1</v>
      </c>
      <c r="D14507" s="50">
        <f>VLOOKUP(A14507,'Componentes APUs'!$H$1:$L$25,3,0)</f>
        <v>1</v>
      </c>
      <c r="E14507" s="51">
        <f>VLOOKUP(A14507,'Componentes APUs'!$H$1:$L$25,4,0)</f>
        <v>77309.523809523816</v>
      </c>
      <c r="F14507" s="51">
        <f>VLOOKUP(A14507,'Componentes APUs'!$H$1:$L$25,5,0)</f>
        <v>46385.71428571429</v>
      </c>
      <c r="G14507" s="51">
        <f>ROUNDUP((E14507+F14507)*C14507/E14494,0)</f>
        <v>247391</v>
      </c>
    </row>
    <row r="14508" spans="1:7" x14ac:dyDescent="0.25">
      <c r="A14508" s="50" t="s">
        <v>1121</v>
      </c>
      <c r="B14508" s="68" t="str">
        <f>VLOOKUP(A14508,'Componentes APUs'!$H$1:$L$25,2,0)</f>
        <v>Ingeniero Especialista de Control y Protección Subestación</v>
      </c>
      <c r="C14508" s="93">
        <v>1</v>
      </c>
      <c r="D14508" s="50">
        <f>VLOOKUP(A14508,'Componentes APUs'!$H$1:$L$25,3,0)</f>
        <v>14</v>
      </c>
      <c r="E14508" s="51">
        <f>VLOOKUP(A14508,'Componentes APUs'!$H$1:$L$25,4,0)</f>
        <v>949000</v>
      </c>
      <c r="F14508" s="51">
        <f>VLOOKUP(A14508,'Componentes APUs'!$H$1:$L$25,5,0)</f>
        <v>569400</v>
      </c>
      <c r="G14508" s="51">
        <f>ROUNDUP((E14508+F14508)*C14508/E14494,0)</f>
        <v>3036800</v>
      </c>
    </row>
    <row r="14509" spans="1:7" x14ac:dyDescent="0.25">
      <c r="A14509" s="219" t="s">
        <v>56</v>
      </c>
      <c r="B14509" s="219"/>
      <c r="C14509" s="219"/>
      <c r="D14509" s="219"/>
      <c r="E14509" s="219"/>
      <c r="F14509" s="219"/>
      <c r="G14509" s="52">
        <f>SUM(G14502:G14508)</f>
        <v>5122052</v>
      </c>
    </row>
    <row r="14510" spans="1:7" x14ac:dyDescent="0.25">
      <c r="A14510" s="56"/>
      <c r="B14510" s="57"/>
      <c r="C14510" s="57"/>
      <c r="D14510" s="57"/>
      <c r="E14510" s="57"/>
      <c r="F14510" s="57"/>
      <c r="G14510" s="58"/>
    </row>
    <row r="14511" spans="1:7" x14ac:dyDescent="0.25">
      <c r="A14511" s="219" t="s">
        <v>57</v>
      </c>
      <c r="B14511" s="219"/>
      <c r="C14511" s="219"/>
      <c r="D14511" s="219"/>
      <c r="E14511" s="219"/>
      <c r="F14511" s="219"/>
      <c r="G14511" s="219"/>
    </row>
    <row r="14512" spans="1:7" x14ac:dyDescent="0.25">
      <c r="A14512" s="49" t="s">
        <v>35</v>
      </c>
      <c r="B14512" s="219" t="s">
        <v>36</v>
      </c>
      <c r="C14512" s="219"/>
      <c r="D14512" s="49" t="s">
        <v>37</v>
      </c>
      <c r="E14512" s="49" t="s">
        <v>38</v>
      </c>
      <c r="F14512" s="49" t="s">
        <v>39</v>
      </c>
      <c r="G14512" s="49" t="s">
        <v>40</v>
      </c>
    </row>
    <row r="14513" spans="1:7" x14ac:dyDescent="0.25">
      <c r="A14513" s="50" t="s">
        <v>326</v>
      </c>
      <c r="B14513" s="220" t="str">
        <f>VLOOKUP(A14513,'Componentes APUs'!$S$1:$V$10,2,0)</f>
        <v>Juego Llaves</v>
      </c>
      <c r="C14513" s="220"/>
      <c r="D14513" s="50" t="s">
        <v>18</v>
      </c>
      <c r="E14513" s="50">
        <v>2</v>
      </c>
      <c r="F14513" s="51">
        <f>VLOOKUP(A14513,'Componentes APUs'!$S$1:$V$10,4,0)</f>
        <v>9167</v>
      </c>
      <c r="G14513" s="51">
        <f>ROUNDUP(F14513*((E14513/21)/E14494),0)</f>
        <v>1747</v>
      </c>
    </row>
    <row r="14514" spans="1:7" x14ac:dyDescent="0.25">
      <c r="A14514" s="50" t="s">
        <v>58</v>
      </c>
      <c r="B14514" s="220" t="str">
        <f>VLOOKUP(A14514,'Componentes APUs'!$S$1:$V$10,2,0)</f>
        <v>Manila de servicio</v>
      </c>
      <c r="C14514" s="220"/>
      <c r="D14514" s="50" t="s">
        <v>18</v>
      </c>
      <c r="E14514" s="50">
        <v>2</v>
      </c>
      <c r="F14514" s="51">
        <f>VLOOKUP(A14514,'Componentes APUs'!$S$1:$V$10,4,0)</f>
        <v>2333</v>
      </c>
      <c r="G14514" s="51">
        <f>ROUNDUP(F14514*((E14514/21)/E14494),0)</f>
        <v>445</v>
      </c>
    </row>
    <row r="14515" spans="1:7" x14ac:dyDescent="0.25">
      <c r="A14515" s="50" t="s">
        <v>327</v>
      </c>
      <c r="B14515" s="220" t="str">
        <f>VLOOKUP(A14515,'Componentes APUs'!$S$1:$V$10,2,0)</f>
        <v>Tula portaherramientas</v>
      </c>
      <c r="C14515" s="220"/>
      <c r="D14515" s="50" t="s">
        <v>18</v>
      </c>
      <c r="E14515" s="50">
        <v>2</v>
      </c>
      <c r="F14515" s="51">
        <f>VLOOKUP(A14515,'Componentes APUs'!$S$1:$V$10,4,0)</f>
        <v>1250</v>
      </c>
      <c r="G14515" s="51">
        <f>ROUNDUP(F14515*((E14515/21)/E14494),0)</f>
        <v>239</v>
      </c>
    </row>
    <row r="14516" spans="1:7" x14ac:dyDescent="0.25">
      <c r="A14516" s="50" t="s">
        <v>60</v>
      </c>
      <c r="B14516" s="220" t="str">
        <f>VLOOKUP(A14516,'Componentes APUs'!$S$1:$V$10,2,0)</f>
        <v>Agarradoras</v>
      </c>
      <c r="C14516" s="220"/>
      <c r="D14516" s="50" t="s">
        <v>18</v>
      </c>
      <c r="E14516" s="50">
        <v>0</v>
      </c>
      <c r="F14516" s="51">
        <f>VLOOKUP(A14516,'Componentes APUs'!$S$1:$V$10,4,0)</f>
        <v>125000</v>
      </c>
      <c r="G14516" s="51">
        <f>ROUNDUP(F14516*((E14516/21)/E14494),0)</f>
        <v>0</v>
      </c>
    </row>
    <row r="14517" spans="1:7" x14ac:dyDescent="0.25">
      <c r="A14517" s="50" t="s">
        <v>62</v>
      </c>
      <c r="B14517" s="220" t="str">
        <f>VLOOKUP(A14517,'Componentes APUs'!$S$1:$V$10,2,0)</f>
        <v>Templadoras</v>
      </c>
      <c r="C14517" s="220"/>
      <c r="D14517" s="50" t="s">
        <v>18</v>
      </c>
      <c r="E14517" s="50">
        <v>0</v>
      </c>
      <c r="F14517" s="51">
        <f>VLOOKUP(A14517,'Componentes APUs'!$S$1:$V$10,4,0)</f>
        <v>250000</v>
      </c>
      <c r="G14517" s="51">
        <f>ROUNDUP(F14517*((E14517/21)/E14494),0)</f>
        <v>0</v>
      </c>
    </row>
    <row r="14518" spans="1:7" x14ac:dyDescent="0.25">
      <c r="A14518" s="50" t="s">
        <v>328</v>
      </c>
      <c r="B14518" s="220" t="str">
        <f>VLOOKUP(A14518,'Componentes APUs'!$S$1:$V$10,2,0)</f>
        <v>Herramienta Menor</v>
      </c>
      <c r="C14518" s="220"/>
      <c r="D14518" s="50" t="s">
        <v>18</v>
      </c>
      <c r="E14518" s="50">
        <v>2</v>
      </c>
      <c r="F14518" s="51">
        <f>VLOOKUP(A14518,'Componentes APUs'!$S$1:$V$10,4,0)</f>
        <v>75758</v>
      </c>
      <c r="G14518" s="51">
        <f>ROUNDUP(F14518*((E14518/21)/E14494),0)</f>
        <v>14431</v>
      </c>
    </row>
    <row r="14519" spans="1:7" x14ac:dyDescent="0.25">
      <c r="A14519" s="50" t="s">
        <v>66</v>
      </c>
      <c r="B14519" s="220" t="str">
        <f>VLOOKUP(A14519,'Componentes APUs'!$S$1:$V$10,2,0)</f>
        <v>Diferencial 2 Toneladas</v>
      </c>
      <c r="C14519" s="220"/>
      <c r="D14519" s="50" t="s">
        <v>18</v>
      </c>
      <c r="E14519" s="50">
        <v>1</v>
      </c>
      <c r="F14519" s="51">
        <f>VLOOKUP(A14519,'Componentes APUs'!$S$1:$V$10,4,0)</f>
        <v>474905</v>
      </c>
      <c r="G14519" s="51">
        <f>ROUNDUP(F14519*((E14519/21)/E14494),0)</f>
        <v>45230</v>
      </c>
    </row>
    <row r="14520" spans="1:7" x14ac:dyDescent="0.25">
      <c r="A14520" s="219" t="s">
        <v>69</v>
      </c>
      <c r="B14520" s="219"/>
      <c r="C14520" s="219"/>
      <c r="D14520" s="219"/>
      <c r="E14520" s="219"/>
      <c r="F14520" s="219"/>
      <c r="G14520" s="52">
        <f>SUM(G14513:G14519)</f>
        <v>62092</v>
      </c>
    </row>
    <row r="14521" spans="1:7" x14ac:dyDescent="0.25">
      <c r="A14521" s="56"/>
      <c r="B14521" s="57"/>
      <c r="C14521" s="57"/>
      <c r="D14521" s="57"/>
      <c r="E14521" s="57"/>
      <c r="F14521" s="57"/>
      <c r="G14521" s="58"/>
    </row>
    <row r="14522" spans="1:7" x14ac:dyDescent="0.25">
      <c r="A14522" s="219" t="s">
        <v>70</v>
      </c>
      <c r="B14522" s="219"/>
      <c r="C14522" s="219"/>
      <c r="D14522" s="219"/>
      <c r="E14522" s="219"/>
      <c r="F14522" s="219"/>
      <c r="G14522" s="219"/>
    </row>
    <row r="14523" spans="1:7" x14ac:dyDescent="0.25">
      <c r="A14523" s="49" t="s">
        <v>35</v>
      </c>
      <c r="B14523" s="219" t="s">
        <v>36</v>
      </c>
      <c r="C14523" s="219"/>
      <c r="D14523" s="49" t="s">
        <v>37</v>
      </c>
      <c r="E14523" s="49" t="s">
        <v>38</v>
      </c>
      <c r="F14523" s="49" t="s">
        <v>39</v>
      </c>
      <c r="G14523" s="49" t="s">
        <v>40</v>
      </c>
    </row>
    <row r="14524" spans="1:7" x14ac:dyDescent="0.25">
      <c r="A14524" s="50" t="s">
        <v>71</v>
      </c>
      <c r="B14524" s="71" t="str">
        <f>VLOOKUP(A14524,'Componentes APUs'!$A$1:$D$14,2,0)</f>
        <v>Camisa indigo sin partes metalicas</v>
      </c>
      <c r="C14524" s="71"/>
      <c r="D14524" s="50" t="str">
        <f>VLOOKUP(A14524,'Componentes APUs'!$A$1:$D$14,3,0)</f>
        <v>U</v>
      </c>
      <c r="E14524" s="50">
        <f>SUM(C14502:C14507)</f>
        <v>4.75</v>
      </c>
      <c r="F14524" s="51">
        <f>VLOOKUP(A14524,'Componentes APUs'!$A$1:$D$14,4,0)</f>
        <v>8585.8585858585866</v>
      </c>
      <c r="G14524" s="51">
        <f>ROUNDUP(F14524*(E14524/21)/E14494,0)</f>
        <v>3885</v>
      </c>
    </row>
    <row r="14525" spans="1:7" x14ac:dyDescent="0.25">
      <c r="A14525" s="69" t="s">
        <v>73</v>
      </c>
      <c r="B14525" s="72" t="str">
        <f>VLOOKUP(A14525,'Componentes APUs'!$A$1:$D$14,2,0)</f>
        <v>Bota de seguridad dielectrica</v>
      </c>
      <c r="C14525" s="73"/>
      <c r="D14525" s="70" t="str">
        <f>VLOOKUP(A14525,'Componentes APUs'!$A$1:$D$14,3,0)</f>
        <v>Par</v>
      </c>
      <c r="E14525" s="50">
        <f>SUM(C14502:C14507)</f>
        <v>4.75</v>
      </c>
      <c r="F14525" s="51">
        <f>VLOOKUP(A14525,'Componentes APUs'!$A$1:$D$14,4,0)</f>
        <v>7500</v>
      </c>
      <c r="G14525" s="51">
        <f>ROUNDUP(F14525*(E14525/21)/E14494,0)</f>
        <v>3393</v>
      </c>
    </row>
    <row r="14526" spans="1:7" x14ac:dyDescent="0.25">
      <c r="A14526" s="50" t="s">
        <v>76</v>
      </c>
      <c r="B14526" s="72" t="str">
        <f>VLOOKUP(A14526,'Componentes APUs'!$A$1:$D$14,2,0)</f>
        <v>Casco dielectrico Tipo 1 Clase E con barbuquejo</v>
      </c>
      <c r="C14526" s="73"/>
      <c r="D14526" s="50" t="str">
        <f>VLOOKUP(A14526,'Componentes APUs'!$A$1:$D$14,3,0)</f>
        <v>U</v>
      </c>
      <c r="E14526" s="50">
        <f>C14503+C14506+C14507+C14505+C14502+IF(A14504&lt;&gt;"MO-3",C14504,0)</f>
        <v>2.75</v>
      </c>
      <c r="F14526" s="51">
        <f>VLOOKUP(A14526,'Componentes APUs'!$A$1:$D$14,4,0)</f>
        <v>10101.010101010101</v>
      </c>
      <c r="G14526" s="51">
        <f>ROUNDUP(F14526*(E14526/21)/E14494,0)</f>
        <v>2646</v>
      </c>
    </row>
    <row r="14527" spans="1:7" x14ac:dyDescent="0.25">
      <c r="A14527" s="69" t="s">
        <v>77</v>
      </c>
      <c r="B14527" s="72" t="str">
        <f>VLOOKUP(A14527,'Componentes APUs'!$A$1:$D$14,2,0)</f>
        <v>Correa plastica y antiflama</v>
      </c>
      <c r="C14527" s="73"/>
      <c r="D14527" s="50" t="str">
        <f>VLOOKUP(A14527,'Componentes APUs'!$A$1:$D$14,3,0)</f>
        <v>U</v>
      </c>
      <c r="E14527" s="50">
        <f>SUM(C14502:C14507)</f>
        <v>4.75</v>
      </c>
      <c r="F14527" s="51">
        <f>VLOOKUP(A14527,'Componentes APUs'!$A$1:$D$14,4,0)</f>
        <v>3787.878787878788</v>
      </c>
      <c r="G14527" s="51">
        <f>ROUNDUP(F14527*(E14527/21)/E14494,0)</f>
        <v>1714</v>
      </c>
    </row>
    <row r="14528" spans="1:7" x14ac:dyDescent="0.25">
      <c r="A14528" s="50" t="s">
        <v>79</v>
      </c>
      <c r="B14528" s="72" t="str">
        <f>VLOOKUP(A14528,'Componentes APUs'!$A$1:$D$14,2,0)</f>
        <v>Gafas protectoras filtro UV</v>
      </c>
      <c r="C14528" s="73"/>
      <c r="D14528" s="50" t="str">
        <f>VLOOKUP(A14528,'Componentes APUs'!$A$1:$D$14,3,0)</f>
        <v>U</v>
      </c>
      <c r="E14528" s="50">
        <f>SUM(C14502:C14507)</f>
        <v>4.75</v>
      </c>
      <c r="F14528" s="51">
        <f>VLOOKUP(A14528,'Componentes APUs'!$A$1:$D$14,4,0)</f>
        <v>2777.7777777777778</v>
      </c>
      <c r="G14528" s="51">
        <f>ROUNDUP(F14528*(E14528/21)/E14494,0)</f>
        <v>1257</v>
      </c>
    </row>
    <row r="14529" spans="1:7" x14ac:dyDescent="0.25">
      <c r="A14529" s="69" t="s">
        <v>402</v>
      </c>
      <c r="B14529" s="72" t="str">
        <f>VLOOKUP(A14529,'Componentes APUs'!$A$1:$D$14,2,0)</f>
        <v>Bota de seguridad PVC dielectrica</v>
      </c>
      <c r="C14529" s="73"/>
      <c r="D14529" s="50" t="str">
        <f>VLOOKUP(A14529,'Componentes APUs'!$A$1:$D$14,3,0)</f>
        <v>Par</v>
      </c>
      <c r="E14529" s="50">
        <f>SUM(C14502:C14507)</f>
        <v>4.75</v>
      </c>
      <c r="F14529" s="51">
        <f>VLOOKUP(A14529,'Componentes APUs'!$A$1:$D$14,4,0)</f>
        <v>2916.6666666666665</v>
      </c>
      <c r="G14529" s="51">
        <f>ROUNDUP(F14529*(E14529/21)/E14494,0)</f>
        <v>1320</v>
      </c>
    </row>
    <row r="14530" spans="1:7" x14ac:dyDescent="0.25">
      <c r="A14530" s="50" t="s">
        <v>403</v>
      </c>
      <c r="B14530" s="72" t="str">
        <f>VLOOKUP(A14530,'Componentes APUs'!$A$1:$D$14,2,0)</f>
        <v>Capuchon</v>
      </c>
      <c r="C14530" s="73"/>
      <c r="D14530" s="50" t="str">
        <f>VLOOKUP(A14530,'Componentes APUs'!$A$1:$D$14,3,0)</f>
        <v>U</v>
      </c>
      <c r="E14530" s="50">
        <f>SUM(C14502:C14507)</f>
        <v>4.75</v>
      </c>
      <c r="F14530" s="51">
        <f>VLOOKUP(A14530,'Componentes APUs'!$A$1:$D$14,4,0)</f>
        <v>2525.2525252525252</v>
      </c>
      <c r="G14530" s="51">
        <f>ROUNDUP(F14530*(E14530/21)/E14494,0)</f>
        <v>1143</v>
      </c>
    </row>
    <row r="14531" spans="1:7" x14ac:dyDescent="0.25">
      <c r="A14531" s="69" t="s">
        <v>81</v>
      </c>
      <c r="B14531" s="72" t="str">
        <f>VLOOKUP(A14531,'Componentes APUs'!$A$1:$D$14,2,0)</f>
        <v>Guantes Protectores  - ingeniero reforzados</v>
      </c>
      <c r="C14531" s="73"/>
      <c r="D14531" s="50" t="str">
        <f>VLOOKUP(A14531,'Componentes APUs'!$A$1:$D$14,3,0)</f>
        <v>Par</v>
      </c>
      <c r="E14531" s="50">
        <f>C14504+C14505+C14507</f>
        <v>4</v>
      </c>
      <c r="F14531" s="51">
        <f>VLOOKUP(A14531,'Componentes APUs'!$A$1:$D$14,4,0)</f>
        <v>2525.2525252525252</v>
      </c>
      <c r="G14531" s="51">
        <f>ROUNDUP(F14531*(E14531/21)/E14494,0)</f>
        <v>963</v>
      </c>
    </row>
    <row r="14532" spans="1:7" x14ac:dyDescent="0.25">
      <c r="A14532" s="50" t="s">
        <v>83</v>
      </c>
      <c r="B14532" s="72" t="str">
        <f>VLOOKUP(A14532,'Componentes APUs'!$A$1:$D$14,2,0)</f>
        <v>Impermeable (pantalon camisa)</v>
      </c>
      <c r="C14532" s="73"/>
      <c r="D14532" s="50" t="str">
        <f>VLOOKUP(A14532,'Componentes APUs'!$A$1:$D$14,3,0)</f>
        <v>U</v>
      </c>
      <c r="E14532" s="50">
        <f>SUM(C14502:C14507)</f>
        <v>4.75</v>
      </c>
      <c r="F14532" s="51">
        <f>VLOOKUP(A14532,'Componentes APUs'!$A$1:$D$14,4,0)</f>
        <v>3750</v>
      </c>
      <c r="G14532" s="51">
        <f>ROUNDUP(F14532*(E14532/21)/E14494,0)</f>
        <v>1697</v>
      </c>
    </row>
    <row r="14533" spans="1:7" x14ac:dyDescent="0.25">
      <c r="A14533" s="69" t="s">
        <v>85</v>
      </c>
      <c r="B14533" s="72" t="str">
        <f>VLOOKUP(A14533,'Componentes APUs'!$A$1:$D$14,2,0)</f>
        <v>Jean Dielectrico</v>
      </c>
      <c r="C14533" s="73"/>
      <c r="D14533" s="50" t="str">
        <f>VLOOKUP(A14533,'Componentes APUs'!$A$1:$D$14,3,0)</f>
        <v>U</v>
      </c>
      <c r="E14533" s="50">
        <f>SUM(C14502:C14507)</f>
        <v>4.75</v>
      </c>
      <c r="F14533" s="51">
        <f>VLOOKUP(A14533,'Componentes APUs'!$A$1:$D$14,4,0)</f>
        <v>7575.757575757576</v>
      </c>
      <c r="G14533" s="51">
        <f>ROUNDUP(F14533*(E14533/21)/E14494,0)</f>
        <v>3428</v>
      </c>
    </row>
    <row r="14534" spans="1:7" x14ac:dyDescent="0.25">
      <c r="A14534" s="50" t="s">
        <v>87</v>
      </c>
      <c r="B14534" s="72" t="str">
        <f>VLOOKUP(A14534,'Componentes APUs'!$A$1:$D$14,2,0)</f>
        <v>Casco dielectrico Tipo 2 Clase E con barboquejo</v>
      </c>
      <c r="C14534" s="73"/>
      <c r="D14534" s="50" t="str">
        <f>VLOOKUP(A14534,'Componentes APUs'!$A$1:$D$14,3,0)</f>
        <v>U</v>
      </c>
      <c r="E14534" s="53">
        <f>IF(A14504="MO-3",C14504,0)</f>
        <v>2</v>
      </c>
      <c r="F14534" s="51">
        <f>VLOOKUP(A14534,'Componentes APUs'!$A$1:$D$14,4,0)</f>
        <v>7500</v>
      </c>
      <c r="G14534" s="51">
        <f>ROUNDUP(F14534*(E14534/21)/E14494,0)</f>
        <v>1429</v>
      </c>
    </row>
    <row r="14535" spans="1:7" x14ac:dyDescent="0.25">
      <c r="A14535" s="69" t="s">
        <v>89</v>
      </c>
      <c r="B14535" s="72" t="str">
        <f>VLOOKUP(A14535,'Componentes APUs'!$A$1:$D$14,2,0)</f>
        <v>Kit de rescate para trabajo en alturas</v>
      </c>
      <c r="C14535" s="73"/>
      <c r="D14535" s="50" t="str">
        <f>VLOOKUP(A14535,'Componentes APUs'!$A$1:$D$14,3,0)</f>
        <v>U</v>
      </c>
      <c r="E14535" s="50">
        <f>IF(AND(A14504="MO-3",C14504=2),1,0)</f>
        <v>1</v>
      </c>
      <c r="F14535" s="51">
        <f>VLOOKUP(A14535,'Componentes APUs'!$A$1:$D$14,4,0)</f>
        <v>37500</v>
      </c>
      <c r="G14535" s="51">
        <f>ROUNDUP(F14535*(E14535/21)/E14494,0)</f>
        <v>3572</v>
      </c>
    </row>
    <row r="14536" spans="1:7" x14ac:dyDescent="0.25">
      <c r="A14536" s="50" t="s">
        <v>91</v>
      </c>
      <c r="B14536" s="72" t="str">
        <f>VLOOKUP(A14536,'Componentes APUs'!$A$1:$D$14,2,0)</f>
        <v>Equipo completo para trabajo en alturas con pretales (Arnes dielectrico, 1 mosqueton de seguridad, tie off dielectrico, eslinga de posicionamiento, juego de pretales)</v>
      </c>
      <c r="C14536" s="73"/>
      <c r="D14536" s="50" t="str">
        <f>VLOOKUP(A14536,'Componentes APUs'!$A$1:$D$14,3,0)</f>
        <v>U</v>
      </c>
      <c r="E14536" s="50">
        <f>IF(A14504="MO-3",C14504,0)</f>
        <v>2</v>
      </c>
      <c r="F14536" s="51">
        <f>VLOOKUP(A14536,'Componentes APUs'!$A$1:$D$14,4,0)</f>
        <v>26041.666666666668</v>
      </c>
      <c r="G14536" s="51">
        <f>ROUNDUP(F14536*(E14536/21)/E14494,0)</f>
        <v>4961</v>
      </c>
    </row>
    <row r="14537" spans="1:7" x14ac:dyDescent="0.25">
      <c r="A14537" s="219" t="s">
        <v>95</v>
      </c>
      <c r="B14537" s="219"/>
      <c r="C14537" s="219"/>
      <c r="D14537" s="219"/>
      <c r="E14537" s="219"/>
      <c r="F14537" s="219"/>
      <c r="G14537" s="52">
        <f>SUM(G14524:G14536)</f>
        <v>31408</v>
      </c>
    </row>
    <row r="14538" spans="1:7" x14ac:dyDescent="0.25">
      <c r="A14538" s="56"/>
      <c r="B14538" s="57"/>
      <c r="C14538" s="57"/>
      <c r="D14538" s="57"/>
      <c r="E14538" s="57"/>
      <c r="F14538" s="57"/>
      <c r="G14538" s="58"/>
    </row>
    <row r="14539" spans="1:7" x14ac:dyDescent="0.25">
      <c r="A14539" s="219" t="s">
        <v>96</v>
      </c>
      <c r="B14539" s="219"/>
      <c r="C14539" s="219"/>
      <c r="D14539" s="219"/>
      <c r="E14539" s="219"/>
      <c r="F14539" s="219"/>
      <c r="G14539" s="219"/>
    </row>
    <row r="14540" spans="1:7" x14ac:dyDescent="0.25">
      <c r="A14540" s="49" t="s">
        <v>35</v>
      </c>
      <c r="B14540" s="225" t="s">
        <v>36</v>
      </c>
      <c r="C14540" s="225"/>
      <c r="D14540" s="49" t="s">
        <v>37</v>
      </c>
      <c r="E14540" s="49" t="s">
        <v>38</v>
      </c>
      <c r="F14540" s="49" t="s">
        <v>39</v>
      </c>
      <c r="G14540" s="49" t="s">
        <v>40</v>
      </c>
    </row>
    <row r="14541" spans="1:7" x14ac:dyDescent="0.25">
      <c r="A14541" s="69" t="s">
        <v>97</v>
      </c>
      <c r="B14541" s="72" t="str">
        <f>VLOOKUP(A14541,'Componentes APUs'!$N$1:$Q$30,2,0)</f>
        <v>Camioneta</v>
      </c>
      <c r="C14541" s="73"/>
      <c r="D14541" s="70" t="str">
        <f>VLOOKUP(A14541,'Componentes APUs'!$N$1:$Q$30,3,0)</f>
        <v>U</v>
      </c>
      <c r="E14541" s="50">
        <v>1</v>
      </c>
      <c r="F14541" s="51">
        <f>VLOOKUP(A14541,'Componentes APUs'!$N$1:$Q$30,4,0)</f>
        <v>5500000</v>
      </c>
      <c r="G14541" s="51">
        <f>IFERROR(ROUNDUP(F14541*(E14541/21)/E14494,0),"-")</f>
        <v>523810</v>
      </c>
    </row>
    <row r="14542" spans="1:7" x14ac:dyDescent="0.25">
      <c r="A14542" s="219" t="s">
        <v>99</v>
      </c>
      <c r="B14542" s="219"/>
      <c r="C14542" s="219"/>
      <c r="D14542" s="219"/>
      <c r="E14542" s="219"/>
      <c r="F14542" s="219"/>
      <c r="G14542" s="52">
        <f>SUM(G14541:G14541)</f>
        <v>523810</v>
      </c>
    </row>
    <row r="14543" spans="1:7" x14ac:dyDescent="0.25">
      <c r="A14543" s="56"/>
      <c r="B14543" s="57"/>
      <c r="C14543" s="57"/>
      <c r="D14543" s="57"/>
      <c r="E14543" s="57"/>
      <c r="F14543" s="57"/>
      <c r="G14543" s="58"/>
    </row>
    <row r="14544" spans="1:7" x14ac:dyDescent="0.25">
      <c r="A14544" s="219" t="s">
        <v>1516</v>
      </c>
      <c r="B14544" s="219"/>
      <c r="C14544" s="219"/>
      <c r="D14544" s="219"/>
      <c r="E14544" s="219"/>
      <c r="F14544" s="219"/>
      <c r="G14544" s="52">
        <f>G14542+G14537+G14520+G14509+G14498</f>
        <v>331567844</v>
      </c>
    </row>
    <row r="14545" spans="1:7" x14ac:dyDescent="0.25">
      <c r="A14545" s="59"/>
      <c r="B14545" s="60"/>
      <c r="C14545" s="60"/>
      <c r="D14545" s="60"/>
      <c r="E14545" s="57"/>
      <c r="F14545" s="57"/>
      <c r="G14545" s="58"/>
    </row>
    <row r="14546" spans="1:7" x14ac:dyDescent="0.25">
      <c r="A14546" s="64"/>
      <c r="D14546" s="55"/>
      <c r="E14546" s="49" t="s">
        <v>25</v>
      </c>
      <c r="F14546" s="54">
        <v>0.15</v>
      </c>
      <c r="G14546" s="51">
        <f>G14544*F14546</f>
        <v>49735176.600000001</v>
      </c>
    </row>
    <row r="14547" spans="1:7" x14ac:dyDescent="0.25">
      <c r="A14547" s="64"/>
      <c r="D14547" s="55"/>
      <c r="E14547" s="49" t="s">
        <v>26</v>
      </c>
      <c r="F14547" s="54">
        <v>0.05</v>
      </c>
      <c r="G14547" s="51">
        <f>G14544*F14547</f>
        <v>16578392.200000001</v>
      </c>
    </row>
    <row r="14548" spans="1:7" x14ac:dyDescent="0.25">
      <c r="A14548" s="61"/>
      <c r="B14548" s="65"/>
      <c r="C14548" s="65"/>
      <c r="D14548" s="62"/>
      <c r="E14548" s="49" t="s">
        <v>27</v>
      </c>
      <c r="F14548" s="54">
        <v>0.05</v>
      </c>
      <c r="G14548" s="51">
        <f>G14544*F14548</f>
        <v>16578392.200000001</v>
      </c>
    </row>
    <row r="14549" spans="1:7" x14ac:dyDescent="0.25">
      <c r="A14549" s="61"/>
      <c r="B14549" s="62"/>
      <c r="C14549" s="62"/>
      <c r="D14549" s="62"/>
      <c r="E14549" s="62"/>
      <c r="F14549" s="62"/>
      <c r="G14549" s="63"/>
    </row>
    <row r="14550" spans="1:7" x14ac:dyDescent="0.25">
      <c r="A14550" s="219" t="s">
        <v>1517</v>
      </c>
      <c r="B14550" s="219"/>
      <c r="C14550" s="219"/>
      <c r="D14550" s="219"/>
      <c r="E14550" s="219"/>
      <c r="F14550" s="219"/>
      <c r="G14550" s="52">
        <f>G14544+G14546+G14547+G14548</f>
        <v>414459805</v>
      </c>
    </row>
    <row r="14551" spans="1:7" x14ac:dyDescent="0.25">
      <c r="A14551" s="59"/>
      <c r="B14551" s="60"/>
      <c r="C14551" s="60"/>
      <c r="D14551" s="60"/>
      <c r="E14551" s="57"/>
      <c r="F14551" s="57"/>
      <c r="G14551" s="58"/>
    </row>
    <row r="14552" spans="1:7" x14ac:dyDescent="0.25">
      <c r="A14552" s="64"/>
      <c r="D14552" s="55"/>
      <c r="E14552" s="49" t="s">
        <v>102</v>
      </c>
      <c r="F14552" s="49" t="s">
        <v>103</v>
      </c>
      <c r="G14552" s="51">
        <f>G14548*19%</f>
        <v>3149894.5180000002</v>
      </c>
    </row>
    <row r="14553" spans="1:7" x14ac:dyDescent="0.25">
      <c r="A14553" s="61"/>
      <c r="B14553" s="62"/>
      <c r="C14553" s="62"/>
      <c r="D14553" s="62"/>
      <c r="E14553" s="57"/>
      <c r="F14553" s="57"/>
      <c r="G14553" s="58"/>
    </row>
    <row r="14554" spans="1:7" x14ac:dyDescent="0.25">
      <c r="A14554" s="219" t="s">
        <v>104</v>
      </c>
      <c r="B14554" s="219"/>
      <c r="C14554" s="219"/>
      <c r="D14554" s="219"/>
      <c r="E14554" s="219"/>
      <c r="F14554" s="219"/>
      <c r="G14554" s="52">
        <f>G14552+G14550</f>
        <v>417609699.51800001</v>
      </c>
    </row>
    <row r="14556" spans="1:7" x14ac:dyDescent="0.25">
      <c r="A14556" s="74" t="s">
        <v>29</v>
      </c>
      <c r="B14556" s="226" t="s">
        <v>30</v>
      </c>
      <c r="C14556" s="226"/>
      <c r="D14556" s="74" t="s">
        <v>31</v>
      </c>
      <c r="E14556" s="74" t="s">
        <v>32</v>
      </c>
      <c r="F14556" s="74" t="s">
        <v>189</v>
      </c>
      <c r="G14556" s="74" t="s">
        <v>33</v>
      </c>
    </row>
    <row r="14557" spans="1:7" ht="113.25" customHeight="1" x14ac:dyDescent="0.25">
      <c r="A14557" s="50" t="str">
        <f>Presupuesto!B268</f>
        <v>016_N2</v>
      </c>
      <c r="B14557" s="220" t="str">
        <f>Presupuesto!C268</f>
        <v>CELDA INTERRUPTOR TRIFÁSICO 15 KV/ 63 kA, AISLADA EN VACÍO. CORRIENTE NOMINAL: 1250 A. 60 HZ. 3 POLOS. INCLUYE: SECCIONADORES, 3 TRANSFORMADORES DE CORRIENTE TRIPLE NUCLEO (N1:300-600/5 CL: 0.5s, N2:300-600/5  CL: 0.5s, N3:300-600/5 CL: 5P30, BURDEN: 25 VA) CON PROTOCOLOS DE PRUEBA DE PRECISIÓN DE FABRICANTE Y LABORATORIO ACREDITADO Y UNIDAD INTEGRADA DE CONTROL Y PROTECCIÓN (RELÉS: 50, 51, 50N, 51N, 50BFE1/E2,25, 27,59, 74, 79, 67, 67N, 81), PUERTO DE COMUNICACIÓN PARA FIBRA ÓPTICA, PROTOCOLO DE COMUNICACIÓN 61850. PARA BAHÍA DE LÍNEA</v>
      </c>
      <c r="C14557" s="220"/>
      <c r="D14557" s="50" t="s">
        <v>108</v>
      </c>
      <c r="E14557" s="50">
        <v>0.5</v>
      </c>
      <c r="F14557" s="50"/>
      <c r="G14557" s="51">
        <f>G14617</f>
        <v>417609699.51800001</v>
      </c>
    </row>
    <row r="14558" spans="1:7" x14ac:dyDescent="0.25">
      <c r="A14558" s="219" t="s">
        <v>34</v>
      </c>
      <c r="B14558" s="219"/>
      <c r="C14558" s="219"/>
      <c r="D14558" s="219"/>
      <c r="E14558" s="219"/>
      <c r="F14558" s="219"/>
      <c r="G14558" s="219"/>
    </row>
    <row r="14559" spans="1:7" x14ac:dyDescent="0.25">
      <c r="A14559" s="49" t="s">
        <v>35</v>
      </c>
      <c r="B14559" s="219" t="s">
        <v>36</v>
      </c>
      <c r="C14559" s="219"/>
      <c r="D14559" s="49" t="s">
        <v>37</v>
      </c>
      <c r="E14559" s="49" t="s">
        <v>38</v>
      </c>
      <c r="F14559" s="49" t="s">
        <v>39</v>
      </c>
      <c r="G14559" s="49" t="s">
        <v>40</v>
      </c>
    </row>
    <row r="14560" spans="1:7" ht="102.75" customHeight="1" x14ac:dyDescent="0.25">
      <c r="A14560" s="17" t="str">
        <f>Material!A367</f>
        <v>MA-366</v>
      </c>
      <c r="B14560" s="232" t="str">
        <f>IFERROR(VLOOKUP(A14560,Material!$A:$H,2,0),"-")</f>
        <v>CELDA INTERRUPTOR TRIFÁSICO 15 KV, TIPO INTERIOR, EN VACÍO. CORRIENTE NOMINAL: 1250 A. 60 HZ. 3 POLOS. INCLUYE: 3 TRANSFORMADORES DE CORRIENTE TRIPLE NUCLEO (N1:300-600/5 CL: 0.5s, N2:300-600/5  CL: 0.5s, N3:300-600/5 CL: 5P20) CON PROTOCOLOS DE PRUEBA DE PRECISIÓN DE FABRICANTE Y LABORATORIO ACREDITADO Y UNIDAD INTEGRADA DE CONTROL Y PROTECCIÓN (RELÉS: 50, 51, 50N, 51N, 50BFE1/E2,25, 27,59, 74, 79, 67, 67N, 81), PUERTO DE COMUNICACIÓN PARA FIBRA ÓPTICA, PROTOCOLO DE COMUNICACIÓN 61850.</v>
      </c>
      <c r="C14560" s="233"/>
      <c r="D14560" s="50" t="str">
        <f>IFERROR(VLOOKUP(A14560,Material!$A:$H,4,0),"-")</f>
        <v>UN</v>
      </c>
      <c r="E14560" s="50">
        <v>1</v>
      </c>
      <c r="F14560" s="51">
        <f>IFERROR(VLOOKUP(A14560,Material!$A:$H,3,0),"-")</f>
        <v>325828481.97486538</v>
      </c>
      <c r="G14560" s="51">
        <f t="shared" ref="G14560" si="206">IFERROR(ROUNDUP(F14560*E14560,0),"-")</f>
        <v>325828482</v>
      </c>
    </row>
    <row r="14561" spans="1:7" x14ac:dyDescent="0.25">
      <c r="A14561" s="219" t="s">
        <v>41</v>
      </c>
      <c r="B14561" s="219"/>
      <c r="C14561" s="219"/>
      <c r="D14561" s="219"/>
      <c r="E14561" s="219"/>
      <c r="F14561" s="219"/>
      <c r="G14561" s="52">
        <f>SUM(G14560:G14560)</f>
        <v>325828482</v>
      </c>
    </row>
    <row r="14562" spans="1:7" x14ac:dyDescent="0.25">
      <c r="A14562" s="56"/>
      <c r="B14562" s="57"/>
      <c r="C14562" s="57"/>
      <c r="D14562" s="57"/>
      <c r="E14562" s="57"/>
      <c r="F14562" s="57"/>
      <c r="G14562" s="58"/>
    </row>
    <row r="14563" spans="1:7" x14ac:dyDescent="0.25">
      <c r="A14563" s="219" t="s">
        <v>42</v>
      </c>
      <c r="B14563" s="219"/>
      <c r="C14563" s="219"/>
      <c r="D14563" s="219"/>
      <c r="E14563" s="219"/>
      <c r="F14563" s="219"/>
      <c r="G14563" s="219"/>
    </row>
    <row r="14564" spans="1:7" x14ac:dyDescent="0.25">
      <c r="A14564" s="49" t="s">
        <v>35</v>
      </c>
      <c r="B14564" s="49" t="s">
        <v>36</v>
      </c>
      <c r="C14564" s="49" t="s">
        <v>38</v>
      </c>
      <c r="D14564" s="49" t="s">
        <v>43</v>
      </c>
      <c r="E14564" s="49" t="s">
        <v>44</v>
      </c>
      <c r="F14564" s="49" t="s">
        <v>45</v>
      </c>
      <c r="G14564" s="49" t="s">
        <v>40</v>
      </c>
    </row>
    <row r="14565" spans="1:7" x14ac:dyDescent="0.25">
      <c r="A14565" s="50" t="s">
        <v>319</v>
      </c>
      <c r="B14565" s="68" t="str">
        <f>VLOOKUP(A14565,'Componentes APUs'!$H$1:$L$25,2,0)</f>
        <v>Ingeniero Residente de Obra</v>
      </c>
      <c r="C14565" s="93">
        <v>0.25</v>
      </c>
      <c r="D14565" s="50">
        <f>VLOOKUP(A14565,'Componentes APUs'!$H$1:$L$25,3,0)</f>
        <v>4</v>
      </c>
      <c r="E14565" s="51">
        <f>VLOOKUP(A14565,'Componentes APUs'!$H$1:$L$25,4,0)</f>
        <v>271142.85714285716</v>
      </c>
      <c r="F14565" s="51">
        <f>VLOOKUP(A14565,'Componentes APUs'!$H$1:$L$25,5,0)</f>
        <v>162685.71428571429</v>
      </c>
      <c r="G14565" s="51">
        <f>ROUNDUP((E14565+F14565)*C14565/E14557,0)</f>
        <v>216915</v>
      </c>
    </row>
    <row r="14566" spans="1:7" x14ac:dyDescent="0.25">
      <c r="A14566" s="50" t="s">
        <v>320</v>
      </c>
      <c r="B14566" s="68" t="str">
        <f>VLOOKUP(A14566,'Componentes APUs'!$H$1:$L$25,2,0)</f>
        <v>Tecnico Supervisor</v>
      </c>
      <c r="C14566" s="93">
        <v>0.25</v>
      </c>
      <c r="D14566" s="50">
        <f>VLOOKUP(A14566,'Componentes APUs'!$H$1:$L$25,3,0)</f>
        <v>2.2999999999999998</v>
      </c>
      <c r="E14566" s="51">
        <f>VLOOKUP(A14566,'Componentes APUs'!$H$1:$L$25,4,0)</f>
        <v>155907.14285714284</v>
      </c>
      <c r="F14566" s="51">
        <f>VLOOKUP(A14566,'Componentes APUs'!$H$1:$L$25,5,0)</f>
        <v>93544.285714285696</v>
      </c>
      <c r="G14566" s="51">
        <f>ROUNDUP((E14566+F14566)*C14566/E14557,0)</f>
        <v>124726</v>
      </c>
    </row>
    <row r="14567" spans="1:7" x14ac:dyDescent="0.25">
      <c r="A14567" s="50" t="s">
        <v>46</v>
      </c>
      <c r="B14567" s="68" t="str">
        <f>VLOOKUP(A14567,'Componentes APUs'!$H$1:$L$25,2,0)</f>
        <v>Tecnico Liniero</v>
      </c>
      <c r="C14567" s="93">
        <v>2</v>
      </c>
      <c r="D14567" s="50">
        <f>VLOOKUP(A14567,'Componentes APUs'!$H$1:$L$25,3,0)</f>
        <v>2</v>
      </c>
      <c r="E14567" s="51">
        <f>VLOOKUP(A14567,'Componentes APUs'!$H$1:$L$25,4,0)</f>
        <v>154619.04761904763</v>
      </c>
      <c r="F14567" s="51">
        <f>VLOOKUP(A14567,'Componentes APUs'!$H$1:$L$25,5,0)</f>
        <v>92771.42857142858</v>
      </c>
      <c r="G14567" s="51">
        <f>ROUNDUP((E14567+F14567)*C14567/E14557,0)</f>
        <v>989562</v>
      </c>
    </row>
    <row r="14568" spans="1:7" x14ac:dyDescent="0.25">
      <c r="A14568" s="50" t="s">
        <v>48</v>
      </c>
      <c r="B14568" s="68" t="str">
        <f>VLOOKUP(A14568,'Componentes APUs'!$H$1:$L$25,2,0)</f>
        <v>Ayudante Calificado</v>
      </c>
      <c r="C14568" s="93">
        <v>1</v>
      </c>
      <c r="D14568" s="50">
        <f>VLOOKUP(A14568,'Componentes APUs'!$H$1:$L$25,3,0)</f>
        <v>1.5</v>
      </c>
      <c r="E14568" s="51">
        <f>VLOOKUP(A14568,'Componentes APUs'!$H$1:$L$25,4,0)</f>
        <v>115964.28571428571</v>
      </c>
      <c r="F14568" s="51">
        <f>VLOOKUP(A14568,'Componentes APUs'!$H$1:$L$25,5,0)</f>
        <v>69578.57142857142</v>
      </c>
      <c r="G14568" s="51">
        <f>ROUNDUP((E14568+F14568)*C14568/E14557,0)</f>
        <v>371086</v>
      </c>
    </row>
    <row r="14569" spans="1:7" x14ac:dyDescent="0.25">
      <c r="A14569" s="50" t="s">
        <v>50</v>
      </c>
      <c r="B14569" s="68" t="str">
        <f>VLOOKUP(A14569,'Componentes APUs'!$H$1:$L$25,2,0)</f>
        <v>Profesional en SST</v>
      </c>
      <c r="C14569" s="93">
        <v>0.25</v>
      </c>
      <c r="D14569" s="50">
        <f>VLOOKUP(A14569,'Componentes APUs'!$H$1:$L$25,3,0)</f>
        <v>2.5</v>
      </c>
      <c r="E14569" s="51">
        <f>VLOOKUP(A14569,'Componentes APUs'!$H$1:$L$25,4,0)</f>
        <v>169464.28571428571</v>
      </c>
      <c r="F14569" s="51">
        <f>VLOOKUP(A14569,'Componentes APUs'!$H$1:$L$25,5,0)</f>
        <v>101678.57142857142</v>
      </c>
      <c r="G14569" s="51">
        <f>ROUNDUP((E14569+F14569)*C14569/E14557,0)</f>
        <v>135572</v>
      </c>
    </row>
    <row r="14570" spans="1:7" x14ac:dyDescent="0.25">
      <c r="A14570" s="50" t="s">
        <v>52</v>
      </c>
      <c r="B14570" s="68" t="str">
        <f>VLOOKUP(A14570,'Componentes APUs'!$H$1:$L$25,2,0)</f>
        <v>Ayudante No Calificado</v>
      </c>
      <c r="C14570" s="93">
        <v>1</v>
      </c>
      <c r="D14570" s="50">
        <f>VLOOKUP(A14570,'Componentes APUs'!$H$1:$L$25,3,0)</f>
        <v>1</v>
      </c>
      <c r="E14570" s="51">
        <f>VLOOKUP(A14570,'Componentes APUs'!$H$1:$L$25,4,0)</f>
        <v>77309.523809523816</v>
      </c>
      <c r="F14570" s="51">
        <f>VLOOKUP(A14570,'Componentes APUs'!$H$1:$L$25,5,0)</f>
        <v>46385.71428571429</v>
      </c>
      <c r="G14570" s="51">
        <f>ROUNDUP((E14570+F14570)*C14570/E14557,0)</f>
        <v>247391</v>
      </c>
    </row>
    <row r="14571" spans="1:7" x14ac:dyDescent="0.25">
      <c r="A14571" s="50" t="s">
        <v>1121</v>
      </c>
      <c r="B14571" s="68" t="str">
        <f>VLOOKUP(A14571,'Componentes APUs'!$H$1:$L$25,2,0)</f>
        <v>Ingeniero Especialista de Control y Protección Subestación</v>
      </c>
      <c r="C14571" s="93">
        <v>1</v>
      </c>
      <c r="D14571" s="50">
        <f>VLOOKUP(A14571,'Componentes APUs'!$H$1:$L$25,3,0)</f>
        <v>14</v>
      </c>
      <c r="E14571" s="51">
        <f>VLOOKUP(A14571,'Componentes APUs'!$H$1:$L$25,4,0)</f>
        <v>949000</v>
      </c>
      <c r="F14571" s="51">
        <f>VLOOKUP(A14571,'Componentes APUs'!$H$1:$L$25,5,0)</f>
        <v>569400</v>
      </c>
      <c r="G14571" s="51">
        <f>ROUNDUP((E14571+F14571)*C14571/E14557,0)</f>
        <v>3036800</v>
      </c>
    </row>
    <row r="14572" spans="1:7" x14ac:dyDescent="0.25">
      <c r="A14572" s="219" t="s">
        <v>56</v>
      </c>
      <c r="B14572" s="219"/>
      <c r="C14572" s="219"/>
      <c r="D14572" s="219"/>
      <c r="E14572" s="219"/>
      <c r="F14572" s="219"/>
      <c r="G14572" s="52">
        <f>SUM(G14565:G14571)</f>
        <v>5122052</v>
      </c>
    </row>
    <row r="14573" spans="1:7" x14ac:dyDescent="0.25">
      <c r="A14573" s="56"/>
      <c r="B14573" s="57"/>
      <c r="C14573" s="57"/>
      <c r="D14573" s="57"/>
      <c r="E14573" s="57"/>
      <c r="F14573" s="57"/>
      <c r="G14573" s="58"/>
    </row>
    <row r="14574" spans="1:7" x14ac:dyDescent="0.25">
      <c r="A14574" s="219" t="s">
        <v>57</v>
      </c>
      <c r="B14574" s="219"/>
      <c r="C14574" s="219"/>
      <c r="D14574" s="219"/>
      <c r="E14574" s="219"/>
      <c r="F14574" s="219"/>
      <c r="G14574" s="219"/>
    </row>
    <row r="14575" spans="1:7" x14ac:dyDescent="0.25">
      <c r="A14575" s="49" t="s">
        <v>35</v>
      </c>
      <c r="B14575" s="219" t="s">
        <v>36</v>
      </c>
      <c r="C14575" s="219"/>
      <c r="D14575" s="49" t="s">
        <v>37</v>
      </c>
      <c r="E14575" s="49" t="s">
        <v>38</v>
      </c>
      <c r="F14575" s="49" t="s">
        <v>39</v>
      </c>
      <c r="G14575" s="49" t="s">
        <v>40</v>
      </c>
    </row>
    <row r="14576" spans="1:7" x14ac:dyDescent="0.25">
      <c r="A14576" s="50" t="s">
        <v>326</v>
      </c>
      <c r="B14576" s="220" t="str">
        <f>VLOOKUP(A14576,'Componentes APUs'!$S$1:$V$10,2,0)</f>
        <v>Juego Llaves</v>
      </c>
      <c r="C14576" s="220"/>
      <c r="D14576" s="50" t="s">
        <v>18</v>
      </c>
      <c r="E14576" s="50">
        <v>2</v>
      </c>
      <c r="F14576" s="51">
        <f>VLOOKUP(A14576,'Componentes APUs'!$S$1:$V$10,4,0)</f>
        <v>9167</v>
      </c>
      <c r="G14576" s="51">
        <f>ROUNDUP(F14576*((E14576/21)/E14557),0)</f>
        <v>1747</v>
      </c>
    </row>
    <row r="14577" spans="1:7" x14ac:dyDescent="0.25">
      <c r="A14577" s="50" t="s">
        <v>58</v>
      </c>
      <c r="B14577" s="220" t="str">
        <f>VLOOKUP(A14577,'Componentes APUs'!$S$1:$V$10,2,0)</f>
        <v>Manila de servicio</v>
      </c>
      <c r="C14577" s="220"/>
      <c r="D14577" s="50" t="s">
        <v>18</v>
      </c>
      <c r="E14577" s="50">
        <v>2</v>
      </c>
      <c r="F14577" s="51">
        <f>VLOOKUP(A14577,'Componentes APUs'!$S$1:$V$10,4,0)</f>
        <v>2333</v>
      </c>
      <c r="G14577" s="51">
        <f>ROUNDUP(F14577*((E14577/21)/E14557),0)</f>
        <v>445</v>
      </c>
    </row>
    <row r="14578" spans="1:7" x14ac:dyDescent="0.25">
      <c r="A14578" s="50" t="s">
        <v>327</v>
      </c>
      <c r="B14578" s="220" t="str">
        <f>VLOOKUP(A14578,'Componentes APUs'!$S$1:$V$10,2,0)</f>
        <v>Tula portaherramientas</v>
      </c>
      <c r="C14578" s="220"/>
      <c r="D14578" s="50" t="s">
        <v>18</v>
      </c>
      <c r="E14578" s="50">
        <v>2</v>
      </c>
      <c r="F14578" s="51">
        <f>VLOOKUP(A14578,'Componentes APUs'!$S$1:$V$10,4,0)</f>
        <v>1250</v>
      </c>
      <c r="G14578" s="51">
        <f>ROUNDUP(F14578*((E14578/21)/E14557),0)</f>
        <v>239</v>
      </c>
    </row>
    <row r="14579" spans="1:7" x14ac:dyDescent="0.25">
      <c r="A14579" s="50" t="s">
        <v>60</v>
      </c>
      <c r="B14579" s="220" t="str">
        <f>VLOOKUP(A14579,'Componentes APUs'!$S$1:$V$10,2,0)</f>
        <v>Agarradoras</v>
      </c>
      <c r="C14579" s="220"/>
      <c r="D14579" s="50" t="s">
        <v>18</v>
      </c>
      <c r="E14579" s="50">
        <v>0</v>
      </c>
      <c r="F14579" s="51">
        <f>VLOOKUP(A14579,'Componentes APUs'!$S$1:$V$10,4,0)</f>
        <v>125000</v>
      </c>
      <c r="G14579" s="51">
        <f>ROUNDUP(F14579*((E14579/21)/E14557),0)</f>
        <v>0</v>
      </c>
    </row>
    <row r="14580" spans="1:7" x14ac:dyDescent="0.25">
      <c r="A14580" s="50" t="s">
        <v>62</v>
      </c>
      <c r="B14580" s="220" t="str">
        <f>VLOOKUP(A14580,'Componentes APUs'!$S$1:$V$10,2,0)</f>
        <v>Templadoras</v>
      </c>
      <c r="C14580" s="220"/>
      <c r="D14580" s="50" t="s">
        <v>18</v>
      </c>
      <c r="E14580" s="50">
        <v>0</v>
      </c>
      <c r="F14580" s="51">
        <f>VLOOKUP(A14580,'Componentes APUs'!$S$1:$V$10,4,0)</f>
        <v>250000</v>
      </c>
      <c r="G14580" s="51">
        <f>ROUNDUP(F14580*((E14580/21)/E14557),0)</f>
        <v>0</v>
      </c>
    </row>
    <row r="14581" spans="1:7" x14ac:dyDescent="0.25">
      <c r="A14581" s="50" t="s">
        <v>328</v>
      </c>
      <c r="B14581" s="220" t="str">
        <f>VLOOKUP(A14581,'Componentes APUs'!$S$1:$V$10,2,0)</f>
        <v>Herramienta Menor</v>
      </c>
      <c r="C14581" s="220"/>
      <c r="D14581" s="50" t="s">
        <v>18</v>
      </c>
      <c r="E14581" s="50">
        <v>2</v>
      </c>
      <c r="F14581" s="51">
        <f>VLOOKUP(A14581,'Componentes APUs'!$S$1:$V$10,4,0)</f>
        <v>75758</v>
      </c>
      <c r="G14581" s="51">
        <f>ROUNDUP(F14581*((E14581/21)/E14557),0)</f>
        <v>14431</v>
      </c>
    </row>
    <row r="14582" spans="1:7" x14ac:dyDescent="0.25">
      <c r="A14582" s="50" t="s">
        <v>66</v>
      </c>
      <c r="B14582" s="220" t="str">
        <f>VLOOKUP(A14582,'Componentes APUs'!$S$1:$V$10,2,0)</f>
        <v>Diferencial 2 Toneladas</v>
      </c>
      <c r="C14582" s="220"/>
      <c r="D14582" s="50" t="s">
        <v>18</v>
      </c>
      <c r="E14582" s="50">
        <v>1</v>
      </c>
      <c r="F14582" s="51">
        <f>VLOOKUP(A14582,'Componentes APUs'!$S$1:$V$10,4,0)</f>
        <v>474905</v>
      </c>
      <c r="G14582" s="51">
        <f>ROUNDUP(F14582*((E14582/21)/E14557),0)</f>
        <v>45230</v>
      </c>
    </row>
    <row r="14583" spans="1:7" x14ac:dyDescent="0.25">
      <c r="A14583" s="219" t="s">
        <v>69</v>
      </c>
      <c r="B14583" s="219"/>
      <c r="C14583" s="219"/>
      <c r="D14583" s="219"/>
      <c r="E14583" s="219"/>
      <c r="F14583" s="219"/>
      <c r="G14583" s="52">
        <f>SUM(G14576:G14582)</f>
        <v>62092</v>
      </c>
    </row>
    <row r="14584" spans="1:7" x14ac:dyDescent="0.25">
      <c r="A14584" s="56"/>
      <c r="B14584" s="57"/>
      <c r="C14584" s="57"/>
      <c r="D14584" s="57"/>
      <c r="E14584" s="57"/>
      <c r="F14584" s="57"/>
      <c r="G14584" s="58"/>
    </row>
    <row r="14585" spans="1:7" x14ac:dyDescent="0.25">
      <c r="A14585" s="219" t="s">
        <v>70</v>
      </c>
      <c r="B14585" s="219"/>
      <c r="C14585" s="219"/>
      <c r="D14585" s="219"/>
      <c r="E14585" s="219"/>
      <c r="F14585" s="219"/>
      <c r="G14585" s="219"/>
    </row>
    <row r="14586" spans="1:7" x14ac:dyDescent="0.25">
      <c r="A14586" s="49" t="s">
        <v>35</v>
      </c>
      <c r="B14586" s="219" t="s">
        <v>36</v>
      </c>
      <c r="C14586" s="219"/>
      <c r="D14586" s="49" t="s">
        <v>37</v>
      </c>
      <c r="E14586" s="49" t="s">
        <v>38</v>
      </c>
      <c r="F14586" s="49" t="s">
        <v>39</v>
      </c>
      <c r="G14586" s="49" t="s">
        <v>40</v>
      </c>
    </row>
    <row r="14587" spans="1:7" x14ac:dyDescent="0.25">
      <c r="A14587" s="50" t="s">
        <v>71</v>
      </c>
      <c r="B14587" s="71" t="str">
        <f>VLOOKUP(A14587,'Componentes APUs'!$A$1:$D$14,2,0)</f>
        <v>Camisa indigo sin partes metalicas</v>
      </c>
      <c r="C14587" s="71"/>
      <c r="D14587" s="50" t="str">
        <f>VLOOKUP(A14587,'Componentes APUs'!$A$1:$D$14,3,0)</f>
        <v>U</v>
      </c>
      <c r="E14587" s="50">
        <f>SUM(C14565:C14570)</f>
        <v>4.75</v>
      </c>
      <c r="F14587" s="51">
        <f>VLOOKUP(A14587,'Componentes APUs'!$A$1:$D$14,4,0)</f>
        <v>8585.8585858585866</v>
      </c>
      <c r="G14587" s="51">
        <f>ROUNDUP(F14587*(E14587/21)/E14557,0)</f>
        <v>3885</v>
      </c>
    </row>
    <row r="14588" spans="1:7" x14ac:dyDescent="0.25">
      <c r="A14588" s="69" t="s">
        <v>73</v>
      </c>
      <c r="B14588" s="72" t="str">
        <f>VLOOKUP(A14588,'Componentes APUs'!$A$1:$D$14,2,0)</f>
        <v>Bota de seguridad dielectrica</v>
      </c>
      <c r="C14588" s="73"/>
      <c r="D14588" s="70" t="str">
        <f>VLOOKUP(A14588,'Componentes APUs'!$A$1:$D$14,3,0)</f>
        <v>Par</v>
      </c>
      <c r="E14588" s="50">
        <f>SUM(C14565:C14570)</f>
        <v>4.75</v>
      </c>
      <c r="F14588" s="51">
        <f>VLOOKUP(A14588,'Componentes APUs'!$A$1:$D$14,4,0)</f>
        <v>7500</v>
      </c>
      <c r="G14588" s="51">
        <f>ROUNDUP(F14588*(E14588/21)/E14557,0)</f>
        <v>3393</v>
      </c>
    </row>
    <row r="14589" spans="1:7" x14ac:dyDescent="0.25">
      <c r="A14589" s="50" t="s">
        <v>76</v>
      </c>
      <c r="B14589" s="72" t="str">
        <f>VLOOKUP(A14589,'Componentes APUs'!$A$1:$D$14,2,0)</f>
        <v>Casco dielectrico Tipo 1 Clase E con barbuquejo</v>
      </c>
      <c r="C14589" s="73"/>
      <c r="D14589" s="50" t="str">
        <f>VLOOKUP(A14589,'Componentes APUs'!$A$1:$D$14,3,0)</f>
        <v>U</v>
      </c>
      <c r="E14589" s="50">
        <f>C14566+C14569+C14570+C14568+C14565+IF(A14567&lt;&gt;"MO-3",C14567,0)</f>
        <v>2.75</v>
      </c>
      <c r="F14589" s="51">
        <f>VLOOKUP(A14589,'Componentes APUs'!$A$1:$D$14,4,0)</f>
        <v>10101.010101010101</v>
      </c>
      <c r="G14589" s="51">
        <f>ROUNDUP(F14589*(E14589/21)/E14557,0)</f>
        <v>2646</v>
      </c>
    </row>
    <row r="14590" spans="1:7" x14ac:dyDescent="0.25">
      <c r="A14590" s="69" t="s">
        <v>77</v>
      </c>
      <c r="B14590" s="72" t="str">
        <f>VLOOKUP(A14590,'Componentes APUs'!$A$1:$D$14,2,0)</f>
        <v>Correa plastica y antiflama</v>
      </c>
      <c r="C14590" s="73"/>
      <c r="D14590" s="50" t="str">
        <f>VLOOKUP(A14590,'Componentes APUs'!$A$1:$D$14,3,0)</f>
        <v>U</v>
      </c>
      <c r="E14590" s="50">
        <f>SUM(C14565:C14570)</f>
        <v>4.75</v>
      </c>
      <c r="F14590" s="51">
        <f>VLOOKUP(A14590,'Componentes APUs'!$A$1:$D$14,4,0)</f>
        <v>3787.878787878788</v>
      </c>
      <c r="G14590" s="51">
        <f>ROUNDUP(F14590*(E14590/21)/E14557,0)</f>
        <v>1714</v>
      </c>
    </row>
    <row r="14591" spans="1:7" x14ac:dyDescent="0.25">
      <c r="A14591" s="50" t="s">
        <v>79</v>
      </c>
      <c r="B14591" s="72" t="str">
        <f>VLOOKUP(A14591,'Componentes APUs'!$A$1:$D$14,2,0)</f>
        <v>Gafas protectoras filtro UV</v>
      </c>
      <c r="C14591" s="73"/>
      <c r="D14591" s="50" t="str">
        <f>VLOOKUP(A14591,'Componentes APUs'!$A$1:$D$14,3,0)</f>
        <v>U</v>
      </c>
      <c r="E14591" s="50">
        <f>SUM(C14565:C14570)</f>
        <v>4.75</v>
      </c>
      <c r="F14591" s="51">
        <f>VLOOKUP(A14591,'Componentes APUs'!$A$1:$D$14,4,0)</f>
        <v>2777.7777777777778</v>
      </c>
      <c r="G14591" s="51">
        <f>ROUNDUP(F14591*(E14591/21)/E14557,0)</f>
        <v>1257</v>
      </c>
    </row>
    <row r="14592" spans="1:7" x14ac:dyDescent="0.25">
      <c r="A14592" s="69" t="s">
        <v>402</v>
      </c>
      <c r="B14592" s="72" t="str">
        <f>VLOOKUP(A14592,'Componentes APUs'!$A$1:$D$14,2,0)</f>
        <v>Bota de seguridad PVC dielectrica</v>
      </c>
      <c r="C14592" s="73"/>
      <c r="D14592" s="50" t="str">
        <f>VLOOKUP(A14592,'Componentes APUs'!$A$1:$D$14,3,0)</f>
        <v>Par</v>
      </c>
      <c r="E14592" s="50">
        <f>SUM(C14565:C14570)</f>
        <v>4.75</v>
      </c>
      <c r="F14592" s="51">
        <f>VLOOKUP(A14592,'Componentes APUs'!$A$1:$D$14,4,0)</f>
        <v>2916.6666666666665</v>
      </c>
      <c r="G14592" s="51">
        <f>ROUNDUP(F14592*(E14592/21)/E14557,0)</f>
        <v>1320</v>
      </c>
    </row>
    <row r="14593" spans="1:7" x14ac:dyDescent="0.25">
      <c r="A14593" s="50" t="s">
        <v>403</v>
      </c>
      <c r="B14593" s="72" t="str">
        <f>VLOOKUP(A14593,'Componentes APUs'!$A$1:$D$14,2,0)</f>
        <v>Capuchon</v>
      </c>
      <c r="C14593" s="73"/>
      <c r="D14593" s="50" t="str">
        <f>VLOOKUP(A14593,'Componentes APUs'!$A$1:$D$14,3,0)</f>
        <v>U</v>
      </c>
      <c r="E14593" s="50">
        <f>SUM(C14565:C14570)</f>
        <v>4.75</v>
      </c>
      <c r="F14593" s="51">
        <f>VLOOKUP(A14593,'Componentes APUs'!$A$1:$D$14,4,0)</f>
        <v>2525.2525252525252</v>
      </c>
      <c r="G14593" s="51">
        <f>ROUNDUP(F14593*(E14593/21)/E14557,0)</f>
        <v>1143</v>
      </c>
    </row>
    <row r="14594" spans="1:7" x14ac:dyDescent="0.25">
      <c r="A14594" s="69" t="s">
        <v>81</v>
      </c>
      <c r="B14594" s="72" t="str">
        <f>VLOOKUP(A14594,'Componentes APUs'!$A$1:$D$14,2,0)</f>
        <v>Guantes Protectores  - ingeniero reforzados</v>
      </c>
      <c r="C14594" s="73"/>
      <c r="D14594" s="50" t="str">
        <f>VLOOKUP(A14594,'Componentes APUs'!$A$1:$D$14,3,0)</f>
        <v>Par</v>
      </c>
      <c r="E14594" s="50">
        <f>C14567+C14568+C14570</f>
        <v>4</v>
      </c>
      <c r="F14594" s="51">
        <f>VLOOKUP(A14594,'Componentes APUs'!$A$1:$D$14,4,0)</f>
        <v>2525.2525252525252</v>
      </c>
      <c r="G14594" s="51">
        <f>ROUNDUP(F14594*(E14594/21)/E14557,0)</f>
        <v>963</v>
      </c>
    </row>
    <row r="14595" spans="1:7" x14ac:dyDescent="0.25">
      <c r="A14595" s="50" t="s">
        <v>83</v>
      </c>
      <c r="B14595" s="72" t="str">
        <f>VLOOKUP(A14595,'Componentes APUs'!$A$1:$D$14,2,0)</f>
        <v>Impermeable (pantalon camisa)</v>
      </c>
      <c r="C14595" s="73"/>
      <c r="D14595" s="50" t="str">
        <f>VLOOKUP(A14595,'Componentes APUs'!$A$1:$D$14,3,0)</f>
        <v>U</v>
      </c>
      <c r="E14595" s="50">
        <f>SUM(C14565:C14570)</f>
        <v>4.75</v>
      </c>
      <c r="F14595" s="51">
        <f>VLOOKUP(A14595,'Componentes APUs'!$A$1:$D$14,4,0)</f>
        <v>3750</v>
      </c>
      <c r="G14595" s="51">
        <f>ROUNDUP(F14595*(E14595/21)/E14557,0)</f>
        <v>1697</v>
      </c>
    </row>
    <row r="14596" spans="1:7" x14ac:dyDescent="0.25">
      <c r="A14596" s="69" t="s">
        <v>85</v>
      </c>
      <c r="B14596" s="72" t="str">
        <f>VLOOKUP(A14596,'Componentes APUs'!$A$1:$D$14,2,0)</f>
        <v>Jean Dielectrico</v>
      </c>
      <c r="C14596" s="73"/>
      <c r="D14596" s="50" t="str">
        <f>VLOOKUP(A14596,'Componentes APUs'!$A$1:$D$14,3,0)</f>
        <v>U</v>
      </c>
      <c r="E14596" s="50">
        <f>SUM(C14565:C14570)</f>
        <v>4.75</v>
      </c>
      <c r="F14596" s="51">
        <f>VLOOKUP(A14596,'Componentes APUs'!$A$1:$D$14,4,0)</f>
        <v>7575.757575757576</v>
      </c>
      <c r="G14596" s="51">
        <f>ROUNDUP(F14596*(E14596/21)/E14557,0)</f>
        <v>3428</v>
      </c>
    </row>
    <row r="14597" spans="1:7" x14ac:dyDescent="0.25">
      <c r="A14597" s="50" t="s">
        <v>87</v>
      </c>
      <c r="B14597" s="72" t="str">
        <f>VLOOKUP(A14597,'Componentes APUs'!$A$1:$D$14,2,0)</f>
        <v>Casco dielectrico Tipo 2 Clase E con barboquejo</v>
      </c>
      <c r="C14597" s="73"/>
      <c r="D14597" s="50" t="str">
        <f>VLOOKUP(A14597,'Componentes APUs'!$A$1:$D$14,3,0)</f>
        <v>U</v>
      </c>
      <c r="E14597" s="53">
        <f>IF(A14567="MO-3",C14567,0)</f>
        <v>2</v>
      </c>
      <c r="F14597" s="51">
        <f>VLOOKUP(A14597,'Componentes APUs'!$A$1:$D$14,4,0)</f>
        <v>7500</v>
      </c>
      <c r="G14597" s="51">
        <f>ROUNDUP(F14597*(E14597/21)/E14557,0)</f>
        <v>1429</v>
      </c>
    </row>
    <row r="14598" spans="1:7" x14ac:dyDescent="0.25">
      <c r="A14598" s="69" t="s">
        <v>89</v>
      </c>
      <c r="B14598" s="72" t="str">
        <f>VLOOKUP(A14598,'Componentes APUs'!$A$1:$D$14,2,0)</f>
        <v>Kit de rescate para trabajo en alturas</v>
      </c>
      <c r="C14598" s="73"/>
      <c r="D14598" s="50" t="str">
        <f>VLOOKUP(A14598,'Componentes APUs'!$A$1:$D$14,3,0)</f>
        <v>U</v>
      </c>
      <c r="E14598" s="50">
        <f>IF(AND(A14567="MO-3",C14567=2),1,0)</f>
        <v>1</v>
      </c>
      <c r="F14598" s="51">
        <f>VLOOKUP(A14598,'Componentes APUs'!$A$1:$D$14,4,0)</f>
        <v>37500</v>
      </c>
      <c r="G14598" s="51">
        <f>ROUNDUP(F14598*(E14598/21)/E14557,0)</f>
        <v>3572</v>
      </c>
    </row>
    <row r="14599" spans="1:7" x14ac:dyDescent="0.25">
      <c r="A14599" s="50" t="s">
        <v>91</v>
      </c>
      <c r="B14599" s="72" t="str">
        <f>VLOOKUP(A14599,'Componentes APUs'!$A$1:$D$14,2,0)</f>
        <v>Equipo completo para trabajo en alturas con pretales (Arnes dielectrico, 1 mosqueton de seguridad, tie off dielectrico, eslinga de posicionamiento, juego de pretales)</v>
      </c>
      <c r="C14599" s="73"/>
      <c r="D14599" s="50" t="str">
        <f>VLOOKUP(A14599,'Componentes APUs'!$A$1:$D$14,3,0)</f>
        <v>U</v>
      </c>
      <c r="E14599" s="50">
        <f>IF(A14567="MO-3",C14567,0)</f>
        <v>2</v>
      </c>
      <c r="F14599" s="51">
        <f>VLOOKUP(A14599,'Componentes APUs'!$A$1:$D$14,4,0)</f>
        <v>26041.666666666668</v>
      </c>
      <c r="G14599" s="51">
        <f>ROUNDUP(F14599*(E14599/21)/E14557,0)</f>
        <v>4961</v>
      </c>
    </row>
    <row r="14600" spans="1:7" x14ac:dyDescent="0.25">
      <c r="A14600" s="219" t="s">
        <v>95</v>
      </c>
      <c r="B14600" s="219"/>
      <c r="C14600" s="219"/>
      <c r="D14600" s="219"/>
      <c r="E14600" s="219"/>
      <c r="F14600" s="219"/>
      <c r="G14600" s="52">
        <f>SUM(G14587:G14599)</f>
        <v>31408</v>
      </c>
    </row>
    <row r="14601" spans="1:7" x14ac:dyDescent="0.25">
      <c r="A14601" s="56"/>
      <c r="B14601" s="57"/>
      <c r="C14601" s="57"/>
      <c r="D14601" s="57"/>
      <c r="E14601" s="57"/>
      <c r="F14601" s="57"/>
      <c r="G14601" s="58"/>
    </row>
    <row r="14602" spans="1:7" x14ac:dyDescent="0.25">
      <c r="A14602" s="219" t="s">
        <v>96</v>
      </c>
      <c r="B14602" s="219"/>
      <c r="C14602" s="219"/>
      <c r="D14602" s="219"/>
      <c r="E14602" s="219"/>
      <c r="F14602" s="219"/>
      <c r="G14602" s="219"/>
    </row>
    <row r="14603" spans="1:7" x14ac:dyDescent="0.25">
      <c r="A14603" s="49" t="s">
        <v>35</v>
      </c>
      <c r="B14603" s="225" t="s">
        <v>36</v>
      </c>
      <c r="C14603" s="225"/>
      <c r="D14603" s="49" t="s">
        <v>37</v>
      </c>
      <c r="E14603" s="49" t="s">
        <v>38</v>
      </c>
      <c r="F14603" s="49" t="s">
        <v>39</v>
      </c>
      <c r="G14603" s="49" t="s">
        <v>40</v>
      </c>
    </row>
    <row r="14604" spans="1:7" x14ac:dyDescent="0.25">
      <c r="A14604" s="69" t="s">
        <v>97</v>
      </c>
      <c r="B14604" s="72" t="str">
        <f>VLOOKUP(A14604,'Componentes APUs'!$N$1:$Q$30,2,0)</f>
        <v>Camioneta</v>
      </c>
      <c r="C14604" s="73"/>
      <c r="D14604" s="70" t="str">
        <f>VLOOKUP(A14604,'Componentes APUs'!$N$1:$Q$30,3,0)</f>
        <v>U</v>
      </c>
      <c r="E14604" s="50">
        <v>1</v>
      </c>
      <c r="F14604" s="51">
        <f>VLOOKUP(A14604,'Componentes APUs'!$N$1:$Q$30,4,0)</f>
        <v>5500000</v>
      </c>
      <c r="G14604" s="51">
        <f>IFERROR(ROUNDUP(F14604*(E14604/21)/E14557,0),"-")</f>
        <v>523810</v>
      </c>
    </row>
    <row r="14605" spans="1:7" x14ac:dyDescent="0.25">
      <c r="A14605" s="219" t="s">
        <v>99</v>
      </c>
      <c r="B14605" s="219"/>
      <c r="C14605" s="219"/>
      <c r="D14605" s="219"/>
      <c r="E14605" s="219"/>
      <c r="F14605" s="219"/>
      <c r="G14605" s="52">
        <f>SUM(G14604:G14604)</f>
        <v>523810</v>
      </c>
    </row>
    <row r="14606" spans="1:7" x14ac:dyDescent="0.25">
      <c r="A14606" s="56"/>
      <c r="B14606" s="57"/>
      <c r="C14606" s="57"/>
      <c r="D14606" s="57"/>
      <c r="E14606" s="57"/>
      <c r="F14606" s="57"/>
      <c r="G14606" s="58"/>
    </row>
    <row r="14607" spans="1:7" x14ac:dyDescent="0.25">
      <c r="A14607" s="219" t="s">
        <v>1516</v>
      </c>
      <c r="B14607" s="219"/>
      <c r="C14607" s="219"/>
      <c r="D14607" s="219"/>
      <c r="E14607" s="219"/>
      <c r="F14607" s="219"/>
      <c r="G14607" s="52">
        <f>G14605+G14600+G14583+G14572+G14561</f>
        <v>331567844</v>
      </c>
    </row>
    <row r="14608" spans="1:7" x14ac:dyDescent="0.25">
      <c r="A14608" s="59"/>
      <c r="B14608" s="60"/>
      <c r="C14608" s="60"/>
      <c r="D14608" s="60"/>
      <c r="E14608" s="57"/>
      <c r="F14608" s="57"/>
      <c r="G14608" s="58"/>
    </row>
    <row r="14609" spans="1:7" x14ac:dyDescent="0.25">
      <c r="A14609" s="64"/>
      <c r="D14609" s="55"/>
      <c r="E14609" s="49" t="s">
        <v>25</v>
      </c>
      <c r="F14609" s="54">
        <v>0.15</v>
      </c>
      <c r="G14609" s="51">
        <f>G14607*F14609</f>
        <v>49735176.600000001</v>
      </c>
    </row>
    <row r="14610" spans="1:7" x14ac:dyDescent="0.25">
      <c r="A14610" s="64"/>
      <c r="D14610" s="55"/>
      <c r="E14610" s="49" t="s">
        <v>26</v>
      </c>
      <c r="F14610" s="54">
        <v>0.05</v>
      </c>
      <c r="G14610" s="51">
        <f>G14607*F14610</f>
        <v>16578392.200000001</v>
      </c>
    </row>
    <row r="14611" spans="1:7" x14ac:dyDescent="0.25">
      <c r="A14611" s="61"/>
      <c r="B14611" s="65"/>
      <c r="C14611" s="65"/>
      <c r="D14611" s="62"/>
      <c r="E14611" s="49" t="s">
        <v>27</v>
      </c>
      <c r="F14611" s="54">
        <v>0.05</v>
      </c>
      <c r="G14611" s="51">
        <f>G14607*F14611</f>
        <v>16578392.200000001</v>
      </c>
    </row>
    <row r="14612" spans="1:7" x14ac:dyDescent="0.25">
      <c r="A14612" s="61"/>
      <c r="B14612" s="62"/>
      <c r="C14612" s="62"/>
      <c r="D14612" s="62"/>
      <c r="E14612" s="62"/>
      <c r="F14612" s="62"/>
      <c r="G14612" s="63"/>
    </row>
    <row r="14613" spans="1:7" x14ac:dyDescent="0.25">
      <c r="A14613" s="219" t="s">
        <v>1517</v>
      </c>
      <c r="B14613" s="219"/>
      <c r="C14613" s="219"/>
      <c r="D14613" s="219"/>
      <c r="E14613" s="219"/>
      <c r="F14613" s="219"/>
      <c r="G14613" s="52">
        <f>G14607+G14609+G14610+G14611</f>
        <v>414459805</v>
      </c>
    </row>
    <row r="14614" spans="1:7" x14ac:dyDescent="0.25">
      <c r="A14614" s="59"/>
      <c r="B14614" s="60"/>
      <c r="C14614" s="60"/>
      <c r="D14614" s="60"/>
      <c r="E14614" s="57"/>
      <c r="F14614" s="57"/>
      <c r="G14614" s="58"/>
    </row>
    <row r="14615" spans="1:7" x14ac:dyDescent="0.25">
      <c r="A14615" s="64"/>
      <c r="D14615" s="55"/>
      <c r="E14615" s="49" t="s">
        <v>102</v>
      </c>
      <c r="F14615" s="49" t="s">
        <v>103</v>
      </c>
      <c r="G14615" s="51">
        <f>G14611*19%</f>
        <v>3149894.5180000002</v>
      </c>
    </row>
    <row r="14616" spans="1:7" x14ac:dyDescent="0.25">
      <c r="A14616" s="61"/>
      <c r="B14616" s="62"/>
      <c r="C14616" s="62"/>
      <c r="D14616" s="62"/>
      <c r="E14616" s="57"/>
      <c r="F14616" s="57"/>
      <c r="G14616" s="58"/>
    </row>
    <row r="14617" spans="1:7" x14ac:dyDescent="0.25">
      <c r="A14617" s="219" t="s">
        <v>104</v>
      </c>
      <c r="B14617" s="219"/>
      <c r="C14617" s="219"/>
      <c r="D14617" s="219"/>
      <c r="E14617" s="219"/>
      <c r="F14617" s="219"/>
      <c r="G14617" s="52">
        <f>G14615+G14613</f>
        <v>417609699.51800001</v>
      </c>
    </row>
    <row r="14619" spans="1:7" x14ac:dyDescent="0.25">
      <c r="A14619" s="74" t="s">
        <v>29</v>
      </c>
      <c r="B14619" s="226" t="s">
        <v>30</v>
      </c>
      <c r="C14619" s="226"/>
      <c r="D14619" s="74" t="s">
        <v>31</v>
      </c>
      <c r="E14619" s="74" t="s">
        <v>32</v>
      </c>
      <c r="F14619" s="74" t="s">
        <v>189</v>
      </c>
      <c r="G14619" s="74" t="s">
        <v>33</v>
      </c>
    </row>
    <row r="14620" spans="1:7" ht="118.5" customHeight="1" x14ac:dyDescent="0.25">
      <c r="A14620" s="50" t="str">
        <f>Presupuesto!B269</f>
        <v>017_N2</v>
      </c>
      <c r="B14620" s="220" t="str">
        <f>Presupuesto!C269</f>
        <v>CELDA INTERRUPTOR TRIFÁSICO 15 KV/ 63 kA, AISLADA EN VACÍO. CORRIENTE NOMINAL: 2000 A. 60 HZ. 3 POLOS. INCLUYE: SECCIONADORES, 3 TRANSFORMADORES DE CORRIENTE TRIPLE NUCLEO (N1:500-1000/5 CL: 0.5s, N2:500-1000/5 CL: 0.5s  CL: 0.5s, N3:500-1000/5 CL: 0.5s CL: 5P30, BURDEN: 25 VA) CON PROTOCOLOS DE PRUEBA DE PRECISIÓN DE FABRICANTE Y LABORATORIO ACREDITADO Y UNIDAD INTEGRADA DE CONTROL Y PROTECCIÓN (RELE CON FUNCIONES: 50,  51, 50N, 51N,50BFE1,E2,27,59,26,49,63,71,96,33,63Q), PUERTO DE COMUNICACIÓN PARA FIBRA ÓPTICA, PROTOCOLO DE COMUNICACIÓN 61850. BAHIA DE TRANSFORMADOR.</v>
      </c>
      <c r="C14620" s="220"/>
      <c r="D14620" s="50" t="s">
        <v>108</v>
      </c>
      <c r="E14620" s="50">
        <v>0.5</v>
      </c>
      <c r="F14620" s="50"/>
      <c r="G14620" s="51">
        <f>G14679</f>
        <v>499685894.88950002</v>
      </c>
    </row>
    <row r="14621" spans="1:7" x14ac:dyDescent="0.25">
      <c r="A14621" s="219" t="s">
        <v>34</v>
      </c>
      <c r="B14621" s="219"/>
      <c r="C14621" s="219"/>
      <c r="D14621" s="219"/>
      <c r="E14621" s="219"/>
      <c r="F14621" s="219"/>
      <c r="G14621" s="219"/>
    </row>
    <row r="14622" spans="1:7" x14ac:dyDescent="0.25">
      <c r="A14622" s="49" t="s">
        <v>35</v>
      </c>
      <c r="B14622" s="219" t="s">
        <v>36</v>
      </c>
      <c r="C14622" s="219"/>
      <c r="D14622" s="49" t="s">
        <v>37</v>
      </c>
      <c r="E14622" s="49" t="s">
        <v>38</v>
      </c>
      <c r="F14622" s="49" t="s">
        <v>39</v>
      </c>
      <c r="G14622" s="49" t="s">
        <v>40</v>
      </c>
    </row>
    <row r="14623" spans="1:7" ht="117.75" customHeight="1" x14ac:dyDescent="0.25">
      <c r="A14623" s="17" t="str">
        <f>Material!A542</f>
        <v>MA-541</v>
      </c>
      <c r="B14623" s="221" t="str">
        <f>IFERROR(VLOOKUP(A14623,Material!$A:$H,2,0),"-")</f>
        <v>CELDA INTERRUPTOR TRIFÁSICO 15 KV/ 63 kA, AISLADA EN VACÍO. CORRIENTE NOMINAL: 2000 A. 60 HZ. 3 POLOS. INCLUYE: SECCIONADORES, 3 TRANSFORMADORES DE CORRIENTE TRIPLE NUCLEO (N1:500-1000/5 CL: 0.5s, N2:500-1000/5 CL: 0.5s  CL: 0.5s, N3:500-1000/5 CL: 0.5s CL: 5P30, BURDEN: 25 VA) CON PROTOCOLOS DE PRUEBA DE PRECISIÓN DE FABRICANTE Y LABORATORIO ACREDITADO Y UNIDAD INTEGRADA DE CONTROL Y PROTECCIÓN (RELE CON FUNCIONES: 50,  51, 50N, 51N,50BFE1,E2,27,59,26,49,63,71,96,33,63Q), PUERTO DE COMUNICACIÓN PARA FIBRA ÓPTICA, PROTOCOLO DE COMUNICACIÓN 61850. BAHIA DE TRANSFORMADOR.</v>
      </c>
      <c r="C14623" s="222"/>
      <c r="D14623" s="50" t="str">
        <f>IFERROR(VLOOKUP(A14623,Material!$A:$H,4,0),"-")</f>
        <v>UN</v>
      </c>
      <c r="E14623" s="50">
        <v>1</v>
      </c>
      <c r="F14623" s="51">
        <f>IFERROR(VLOOKUP(A14623,Material!$A:$H,3,0),"-")</f>
        <v>390994178.36983842</v>
      </c>
      <c r="G14623" s="51">
        <f t="shared" ref="G14623" si="207">IFERROR(ROUNDUP(F14623*E14623,0),"-")</f>
        <v>390994179</v>
      </c>
    </row>
    <row r="14624" spans="1:7" x14ac:dyDescent="0.25">
      <c r="A14624" s="219" t="s">
        <v>41</v>
      </c>
      <c r="B14624" s="219"/>
      <c r="C14624" s="219"/>
      <c r="D14624" s="219"/>
      <c r="E14624" s="219"/>
      <c r="F14624" s="219"/>
      <c r="G14624" s="52">
        <f>SUM(G14623:G14623)</f>
        <v>390994179</v>
      </c>
    </row>
    <row r="14625" spans="1:7" x14ac:dyDescent="0.25">
      <c r="A14625" s="56"/>
      <c r="B14625" s="57"/>
      <c r="C14625" s="57"/>
      <c r="D14625" s="57"/>
      <c r="E14625" s="57"/>
      <c r="F14625" s="57"/>
      <c r="G14625" s="58"/>
    </row>
    <row r="14626" spans="1:7" x14ac:dyDescent="0.25">
      <c r="A14626" s="219" t="s">
        <v>42</v>
      </c>
      <c r="B14626" s="219"/>
      <c r="C14626" s="219"/>
      <c r="D14626" s="219"/>
      <c r="E14626" s="219"/>
      <c r="F14626" s="219"/>
      <c r="G14626" s="219"/>
    </row>
    <row r="14627" spans="1:7" x14ac:dyDescent="0.25">
      <c r="A14627" s="49" t="s">
        <v>35</v>
      </c>
      <c r="B14627" s="49" t="s">
        <v>36</v>
      </c>
      <c r="C14627" s="49" t="s">
        <v>38</v>
      </c>
      <c r="D14627" s="49" t="s">
        <v>43</v>
      </c>
      <c r="E14627" s="49" t="s">
        <v>44</v>
      </c>
      <c r="F14627" s="49" t="s">
        <v>45</v>
      </c>
      <c r="G14627" s="49" t="s">
        <v>40</v>
      </c>
    </row>
    <row r="14628" spans="1:7" x14ac:dyDescent="0.25">
      <c r="A14628" s="50" t="s">
        <v>319</v>
      </c>
      <c r="B14628" s="68" t="str">
        <f>VLOOKUP(A14628,'Componentes APUs'!$H$1:$L$25,2,0)</f>
        <v>Ingeniero Residente de Obra</v>
      </c>
      <c r="C14628" s="93">
        <v>0.25</v>
      </c>
      <c r="D14628" s="50">
        <f>VLOOKUP(A14628,'Componentes APUs'!$H$1:$L$25,3,0)</f>
        <v>4</v>
      </c>
      <c r="E14628" s="51">
        <f>VLOOKUP(A14628,'Componentes APUs'!$H$1:$L$25,4,0)</f>
        <v>271142.85714285716</v>
      </c>
      <c r="F14628" s="51">
        <f>VLOOKUP(A14628,'Componentes APUs'!$H$1:$L$25,5,0)</f>
        <v>162685.71428571429</v>
      </c>
      <c r="G14628" s="51">
        <f>ROUNDUP((E14628+F14628)*C14628/E14620,0)</f>
        <v>216915</v>
      </c>
    </row>
    <row r="14629" spans="1:7" x14ac:dyDescent="0.25">
      <c r="A14629" s="50" t="s">
        <v>320</v>
      </c>
      <c r="B14629" s="68" t="str">
        <f>VLOOKUP(A14629,'Componentes APUs'!$H$1:$L$25,2,0)</f>
        <v>Tecnico Supervisor</v>
      </c>
      <c r="C14629" s="93">
        <v>0.25</v>
      </c>
      <c r="D14629" s="50">
        <f>VLOOKUP(A14629,'Componentes APUs'!$H$1:$L$25,3,0)</f>
        <v>2.2999999999999998</v>
      </c>
      <c r="E14629" s="51">
        <f>VLOOKUP(A14629,'Componentes APUs'!$H$1:$L$25,4,0)</f>
        <v>155907.14285714284</v>
      </c>
      <c r="F14629" s="51">
        <f>VLOOKUP(A14629,'Componentes APUs'!$H$1:$L$25,5,0)</f>
        <v>93544.285714285696</v>
      </c>
      <c r="G14629" s="51">
        <f>ROUNDUP((E14629+F14629)*C14629/E14620,0)</f>
        <v>124726</v>
      </c>
    </row>
    <row r="14630" spans="1:7" x14ac:dyDescent="0.25">
      <c r="A14630" s="50" t="s">
        <v>46</v>
      </c>
      <c r="B14630" s="68" t="str">
        <f>VLOOKUP(A14630,'Componentes APUs'!$H$1:$L$25,2,0)</f>
        <v>Tecnico Liniero</v>
      </c>
      <c r="C14630" s="93">
        <v>2</v>
      </c>
      <c r="D14630" s="50">
        <f>VLOOKUP(A14630,'Componentes APUs'!$H$1:$L$25,3,0)</f>
        <v>2</v>
      </c>
      <c r="E14630" s="51">
        <f>VLOOKUP(A14630,'Componentes APUs'!$H$1:$L$25,4,0)</f>
        <v>154619.04761904763</v>
      </c>
      <c r="F14630" s="51">
        <f>VLOOKUP(A14630,'Componentes APUs'!$H$1:$L$25,5,0)</f>
        <v>92771.42857142858</v>
      </c>
      <c r="G14630" s="51">
        <f>ROUNDUP((E14630+F14630)*C14630/E14620,0)</f>
        <v>989562</v>
      </c>
    </row>
    <row r="14631" spans="1:7" x14ac:dyDescent="0.25">
      <c r="A14631" s="50" t="s">
        <v>48</v>
      </c>
      <c r="B14631" s="68" t="str">
        <f>VLOOKUP(A14631,'Componentes APUs'!$H$1:$L$25,2,0)</f>
        <v>Ayudante Calificado</v>
      </c>
      <c r="C14631" s="93">
        <v>1</v>
      </c>
      <c r="D14631" s="50">
        <f>VLOOKUP(A14631,'Componentes APUs'!$H$1:$L$25,3,0)</f>
        <v>1.5</v>
      </c>
      <c r="E14631" s="51">
        <f>VLOOKUP(A14631,'Componentes APUs'!$H$1:$L$25,4,0)</f>
        <v>115964.28571428571</v>
      </c>
      <c r="F14631" s="51">
        <f>VLOOKUP(A14631,'Componentes APUs'!$H$1:$L$25,5,0)</f>
        <v>69578.57142857142</v>
      </c>
      <c r="G14631" s="51">
        <f>ROUNDUP((E14631+F14631)*C14631/E14620,0)</f>
        <v>371086</v>
      </c>
    </row>
    <row r="14632" spans="1:7" x14ac:dyDescent="0.25">
      <c r="A14632" s="50" t="s">
        <v>50</v>
      </c>
      <c r="B14632" s="68" t="str">
        <f>VLOOKUP(A14632,'Componentes APUs'!$H$1:$L$25,2,0)</f>
        <v>Profesional en SST</v>
      </c>
      <c r="C14632" s="93">
        <v>0.25</v>
      </c>
      <c r="D14632" s="50">
        <f>VLOOKUP(A14632,'Componentes APUs'!$H$1:$L$25,3,0)</f>
        <v>2.5</v>
      </c>
      <c r="E14632" s="51">
        <f>VLOOKUP(A14632,'Componentes APUs'!$H$1:$L$25,4,0)</f>
        <v>169464.28571428571</v>
      </c>
      <c r="F14632" s="51">
        <f>VLOOKUP(A14632,'Componentes APUs'!$H$1:$L$25,5,0)</f>
        <v>101678.57142857142</v>
      </c>
      <c r="G14632" s="51">
        <f>ROUNDUP((E14632+F14632)*C14632/E14620,0)</f>
        <v>135572</v>
      </c>
    </row>
    <row r="14633" spans="1:7" x14ac:dyDescent="0.25">
      <c r="A14633" s="50" t="s">
        <v>52</v>
      </c>
      <c r="B14633" s="68" t="str">
        <f>VLOOKUP(A14633,'Componentes APUs'!$H$1:$L$25,2,0)</f>
        <v>Ayudante No Calificado</v>
      </c>
      <c r="C14633" s="93">
        <v>1</v>
      </c>
      <c r="D14633" s="50">
        <f>VLOOKUP(A14633,'Componentes APUs'!$H$1:$L$25,3,0)</f>
        <v>1</v>
      </c>
      <c r="E14633" s="51">
        <f>VLOOKUP(A14633,'Componentes APUs'!$H$1:$L$25,4,0)</f>
        <v>77309.523809523816</v>
      </c>
      <c r="F14633" s="51">
        <f>VLOOKUP(A14633,'Componentes APUs'!$H$1:$L$25,5,0)</f>
        <v>46385.71428571429</v>
      </c>
      <c r="G14633" s="51">
        <f>ROUNDUP((E14633+F14633)*C14633/E14620,0)</f>
        <v>247391</v>
      </c>
    </row>
    <row r="14634" spans="1:7" x14ac:dyDescent="0.25">
      <c r="A14634" s="50" t="s">
        <v>1121</v>
      </c>
      <c r="B14634" s="68" t="str">
        <f>VLOOKUP(A14634,'Componentes APUs'!$H$1:$L$25,2,0)</f>
        <v>Ingeniero Especialista de Control y Protección Subestación</v>
      </c>
      <c r="C14634" s="93">
        <v>1</v>
      </c>
      <c r="D14634" s="50">
        <f>VLOOKUP(A14634,'Componentes APUs'!$H$1:$L$25,3,0)</f>
        <v>14</v>
      </c>
      <c r="E14634" s="51">
        <f>VLOOKUP(A14634,'Componentes APUs'!$H$1:$L$25,4,0)</f>
        <v>949000</v>
      </c>
      <c r="F14634" s="51">
        <f>VLOOKUP(A14634,'Componentes APUs'!$H$1:$L$25,5,0)</f>
        <v>569400</v>
      </c>
      <c r="G14634" s="51">
        <f>ROUNDUP((E14634+F14634)*C14634/E14620,0)</f>
        <v>3036800</v>
      </c>
    </row>
    <row r="14635" spans="1:7" x14ac:dyDescent="0.25">
      <c r="A14635" s="219" t="s">
        <v>56</v>
      </c>
      <c r="B14635" s="219"/>
      <c r="C14635" s="219"/>
      <c r="D14635" s="219"/>
      <c r="E14635" s="219"/>
      <c r="F14635" s="219"/>
      <c r="G14635" s="52">
        <f>SUM(G14628:G14634)</f>
        <v>5122052</v>
      </c>
    </row>
    <row r="14636" spans="1:7" x14ac:dyDescent="0.25">
      <c r="A14636" s="56"/>
      <c r="B14636" s="57"/>
      <c r="C14636" s="57"/>
      <c r="D14636" s="57"/>
      <c r="E14636" s="57"/>
      <c r="F14636" s="57"/>
      <c r="G14636" s="58"/>
    </row>
    <row r="14637" spans="1:7" x14ac:dyDescent="0.25">
      <c r="A14637" s="219" t="s">
        <v>57</v>
      </c>
      <c r="B14637" s="219"/>
      <c r="C14637" s="219"/>
      <c r="D14637" s="219"/>
      <c r="E14637" s="219"/>
      <c r="F14637" s="219"/>
      <c r="G14637" s="219"/>
    </row>
    <row r="14638" spans="1:7" x14ac:dyDescent="0.25">
      <c r="A14638" s="49" t="s">
        <v>35</v>
      </c>
      <c r="B14638" s="219" t="s">
        <v>36</v>
      </c>
      <c r="C14638" s="219"/>
      <c r="D14638" s="49" t="s">
        <v>37</v>
      </c>
      <c r="E14638" s="49" t="s">
        <v>38</v>
      </c>
      <c r="F14638" s="49" t="s">
        <v>39</v>
      </c>
      <c r="G14638" s="49" t="s">
        <v>40</v>
      </c>
    </row>
    <row r="14639" spans="1:7" x14ac:dyDescent="0.25">
      <c r="A14639" s="50" t="s">
        <v>326</v>
      </c>
      <c r="B14639" s="220" t="str">
        <f>VLOOKUP(A14639,'Componentes APUs'!$S$1:$V$10,2,0)</f>
        <v>Juego Llaves</v>
      </c>
      <c r="C14639" s="220"/>
      <c r="D14639" s="50" t="s">
        <v>18</v>
      </c>
      <c r="E14639" s="50">
        <v>2</v>
      </c>
      <c r="F14639" s="51">
        <f>VLOOKUP(A14639,'Componentes APUs'!$S$1:$V$10,4,0)</f>
        <v>9167</v>
      </c>
      <c r="G14639" s="51">
        <f>ROUNDUP(F14639*((E14639/21)/E14620),0)</f>
        <v>1747</v>
      </c>
    </row>
    <row r="14640" spans="1:7" x14ac:dyDescent="0.25">
      <c r="A14640" s="50" t="s">
        <v>58</v>
      </c>
      <c r="B14640" s="220" t="str">
        <f>VLOOKUP(A14640,'Componentes APUs'!$S$1:$V$10,2,0)</f>
        <v>Manila de servicio</v>
      </c>
      <c r="C14640" s="220"/>
      <c r="D14640" s="50" t="s">
        <v>18</v>
      </c>
      <c r="E14640" s="50">
        <v>2</v>
      </c>
      <c r="F14640" s="51">
        <f>VLOOKUP(A14640,'Componentes APUs'!$S$1:$V$10,4,0)</f>
        <v>2333</v>
      </c>
      <c r="G14640" s="51">
        <f>ROUNDUP(F14640*((E14640/21)/E14620),0)</f>
        <v>445</v>
      </c>
    </row>
    <row r="14641" spans="1:7" x14ac:dyDescent="0.25">
      <c r="A14641" s="50" t="s">
        <v>327</v>
      </c>
      <c r="B14641" s="220" t="str">
        <f>VLOOKUP(A14641,'Componentes APUs'!$S$1:$V$10,2,0)</f>
        <v>Tula portaherramientas</v>
      </c>
      <c r="C14641" s="220"/>
      <c r="D14641" s="50" t="s">
        <v>18</v>
      </c>
      <c r="E14641" s="50">
        <v>2</v>
      </c>
      <c r="F14641" s="51">
        <f>VLOOKUP(A14641,'Componentes APUs'!$S$1:$V$10,4,0)</f>
        <v>1250</v>
      </c>
      <c r="G14641" s="51">
        <f>ROUNDUP(F14641*((E14641/21)/E14620),0)</f>
        <v>239</v>
      </c>
    </row>
    <row r="14642" spans="1:7" x14ac:dyDescent="0.25">
      <c r="A14642" s="50" t="s">
        <v>60</v>
      </c>
      <c r="B14642" s="220" t="str">
        <f>VLOOKUP(A14642,'Componentes APUs'!$S$1:$V$10,2,0)</f>
        <v>Agarradoras</v>
      </c>
      <c r="C14642" s="220"/>
      <c r="D14642" s="50" t="s">
        <v>18</v>
      </c>
      <c r="E14642" s="50">
        <v>0</v>
      </c>
      <c r="F14642" s="51">
        <f>VLOOKUP(A14642,'Componentes APUs'!$S$1:$V$10,4,0)</f>
        <v>125000</v>
      </c>
      <c r="G14642" s="51">
        <f>ROUNDUP(F14642*((E14642/21)/E14620),0)</f>
        <v>0</v>
      </c>
    </row>
    <row r="14643" spans="1:7" x14ac:dyDescent="0.25">
      <c r="A14643" s="50" t="s">
        <v>328</v>
      </c>
      <c r="B14643" s="220" t="str">
        <f>VLOOKUP(A14643,'Componentes APUs'!$S$1:$V$10,2,0)</f>
        <v>Herramienta Menor</v>
      </c>
      <c r="C14643" s="220"/>
      <c r="D14643" s="50" t="s">
        <v>18</v>
      </c>
      <c r="E14643" s="50">
        <v>2</v>
      </c>
      <c r="F14643" s="51">
        <f>VLOOKUP(A14643,'Componentes APUs'!$S$1:$V$10,4,0)</f>
        <v>75758</v>
      </c>
      <c r="G14643" s="51">
        <f>ROUNDUP(F14643*((E14643/21)/E14620),0)</f>
        <v>14431</v>
      </c>
    </row>
    <row r="14644" spans="1:7" x14ac:dyDescent="0.25">
      <c r="A14644" s="50" t="s">
        <v>66</v>
      </c>
      <c r="B14644" s="220" t="str">
        <f>VLOOKUP(A14644,'Componentes APUs'!$S$1:$V$10,2,0)</f>
        <v>Diferencial 2 Toneladas</v>
      </c>
      <c r="C14644" s="220"/>
      <c r="D14644" s="50" t="s">
        <v>18</v>
      </c>
      <c r="E14644" s="50">
        <v>1</v>
      </c>
      <c r="F14644" s="51">
        <f>VLOOKUP(A14644,'Componentes APUs'!$S$1:$V$10,4,0)</f>
        <v>474905</v>
      </c>
      <c r="G14644" s="51">
        <f>ROUNDUP(F14644*((E14644/21)/E14620),0)</f>
        <v>45230</v>
      </c>
    </row>
    <row r="14645" spans="1:7" x14ac:dyDescent="0.25">
      <c r="A14645" s="219" t="s">
        <v>69</v>
      </c>
      <c r="B14645" s="219"/>
      <c r="C14645" s="219"/>
      <c r="D14645" s="219"/>
      <c r="E14645" s="219"/>
      <c r="F14645" s="219"/>
      <c r="G14645" s="52">
        <f>SUM(G14639:G14644)</f>
        <v>62092</v>
      </c>
    </row>
    <row r="14646" spans="1:7" x14ac:dyDescent="0.25">
      <c r="A14646" s="56"/>
      <c r="B14646" s="57"/>
      <c r="C14646" s="57"/>
      <c r="D14646" s="57"/>
      <c r="E14646" s="57"/>
      <c r="F14646" s="57"/>
      <c r="G14646" s="58"/>
    </row>
    <row r="14647" spans="1:7" x14ac:dyDescent="0.25">
      <c r="A14647" s="219" t="s">
        <v>70</v>
      </c>
      <c r="B14647" s="219"/>
      <c r="C14647" s="219"/>
      <c r="D14647" s="219"/>
      <c r="E14647" s="219"/>
      <c r="F14647" s="219"/>
      <c r="G14647" s="219"/>
    </row>
    <row r="14648" spans="1:7" x14ac:dyDescent="0.25">
      <c r="A14648" s="49" t="s">
        <v>35</v>
      </c>
      <c r="B14648" s="219" t="s">
        <v>36</v>
      </c>
      <c r="C14648" s="219"/>
      <c r="D14648" s="49" t="s">
        <v>37</v>
      </c>
      <c r="E14648" s="49" t="s">
        <v>38</v>
      </c>
      <c r="F14648" s="49" t="s">
        <v>39</v>
      </c>
      <c r="G14648" s="49" t="s">
        <v>40</v>
      </c>
    </row>
    <row r="14649" spans="1:7" x14ac:dyDescent="0.25">
      <c r="A14649" s="50" t="s">
        <v>71</v>
      </c>
      <c r="B14649" s="71" t="str">
        <f>VLOOKUP(A14649,'Componentes APUs'!$A$1:$D$14,2,0)</f>
        <v>Camisa indigo sin partes metalicas</v>
      </c>
      <c r="C14649" s="71"/>
      <c r="D14649" s="50" t="str">
        <f>VLOOKUP(A14649,'Componentes APUs'!$A$1:$D$14,3,0)</f>
        <v>U</v>
      </c>
      <c r="E14649" s="50">
        <f>SUM(C14628:C14633)</f>
        <v>4.75</v>
      </c>
      <c r="F14649" s="51">
        <f>VLOOKUP(A14649,'Componentes APUs'!$A$1:$D$14,4,0)</f>
        <v>8585.8585858585866</v>
      </c>
      <c r="G14649" s="51">
        <f>ROUNDUP(F14649*(E14649/21)/E14620,0)</f>
        <v>3885</v>
      </c>
    </row>
    <row r="14650" spans="1:7" x14ac:dyDescent="0.25">
      <c r="A14650" s="69" t="s">
        <v>73</v>
      </c>
      <c r="B14650" s="72" t="str">
        <f>VLOOKUP(A14650,'Componentes APUs'!$A$1:$D$14,2,0)</f>
        <v>Bota de seguridad dielectrica</v>
      </c>
      <c r="C14650" s="73"/>
      <c r="D14650" s="70" t="str">
        <f>VLOOKUP(A14650,'Componentes APUs'!$A$1:$D$14,3,0)</f>
        <v>Par</v>
      </c>
      <c r="E14650" s="50">
        <f>SUM(C14628:C14633)</f>
        <v>4.75</v>
      </c>
      <c r="F14650" s="51">
        <f>VLOOKUP(A14650,'Componentes APUs'!$A$1:$D$14,4,0)</f>
        <v>7500</v>
      </c>
      <c r="G14650" s="51">
        <f>ROUNDUP(F14650*(E14650/21)/E14620,0)</f>
        <v>3393</v>
      </c>
    </row>
    <row r="14651" spans="1:7" x14ac:dyDescent="0.25">
      <c r="A14651" s="50" t="s">
        <v>76</v>
      </c>
      <c r="B14651" s="72" t="str">
        <f>VLOOKUP(A14651,'Componentes APUs'!$A$1:$D$14,2,0)</f>
        <v>Casco dielectrico Tipo 1 Clase E con barbuquejo</v>
      </c>
      <c r="C14651" s="73"/>
      <c r="D14651" s="50" t="str">
        <f>VLOOKUP(A14651,'Componentes APUs'!$A$1:$D$14,3,0)</f>
        <v>U</v>
      </c>
      <c r="E14651" s="50">
        <f>C14629+C14632+C14633+C14631+C14628+IF(A14630&lt;&gt;"MO-3",C14630,0)</f>
        <v>2.75</v>
      </c>
      <c r="F14651" s="51">
        <f>VLOOKUP(A14651,'Componentes APUs'!$A$1:$D$14,4,0)</f>
        <v>10101.010101010101</v>
      </c>
      <c r="G14651" s="51">
        <f>ROUNDUP(F14651*(E14651/21)/E14620,0)</f>
        <v>2646</v>
      </c>
    </row>
    <row r="14652" spans="1:7" x14ac:dyDescent="0.25">
      <c r="A14652" s="69" t="s">
        <v>77</v>
      </c>
      <c r="B14652" s="72" t="str">
        <f>VLOOKUP(A14652,'Componentes APUs'!$A$1:$D$14,2,0)</f>
        <v>Correa plastica y antiflama</v>
      </c>
      <c r="C14652" s="73"/>
      <c r="D14652" s="50" t="str">
        <f>VLOOKUP(A14652,'Componentes APUs'!$A$1:$D$14,3,0)</f>
        <v>U</v>
      </c>
      <c r="E14652" s="50">
        <f>SUM(C14628:C14633)</f>
        <v>4.75</v>
      </c>
      <c r="F14652" s="51">
        <f>VLOOKUP(A14652,'Componentes APUs'!$A$1:$D$14,4,0)</f>
        <v>3787.878787878788</v>
      </c>
      <c r="G14652" s="51">
        <f>ROUNDUP(F14652*(E14652/21)/E14620,0)</f>
        <v>1714</v>
      </c>
    </row>
    <row r="14653" spans="1:7" x14ac:dyDescent="0.25">
      <c r="A14653" s="50" t="s">
        <v>79</v>
      </c>
      <c r="B14653" s="72" t="str">
        <f>VLOOKUP(A14653,'Componentes APUs'!$A$1:$D$14,2,0)</f>
        <v>Gafas protectoras filtro UV</v>
      </c>
      <c r="C14653" s="73"/>
      <c r="D14653" s="50" t="str">
        <f>VLOOKUP(A14653,'Componentes APUs'!$A$1:$D$14,3,0)</f>
        <v>U</v>
      </c>
      <c r="E14653" s="50">
        <f>SUM(C14628:C14633)</f>
        <v>4.75</v>
      </c>
      <c r="F14653" s="51">
        <f>VLOOKUP(A14653,'Componentes APUs'!$A$1:$D$14,4,0)</f>
        <v>2777.7777777777778</v>
      </c>
      <c r="G14653" s="51">
        <f>ROUNDUP(F14653*(E14653/21)/E14620,0)</f>
        <v>1257</v>
      </c>
    </row>
    <row r="14654" spans="1:7" x14ac:dyDescent="0.25">
      <c r="A14654" s="69" t="s">
        <v>402</v>
      </c>
      <c r="B14654" s="72" t="str">
        <f>VLOOKUP(A14654,'Componentes APUs'!$A$1:$D$14,2,0)</f>
        <v>Bota de seguridad PVC dielectrica</v>
      </c>
      <c r="C14654" s="73"/>
      <c r="D14654" s="50" t="str">
        <f>VLOOKUP(A14654,'Componentes APUs'!$A$1:$D$14,3,0)</f>
        <v>Par</v>
      </c>
      <c r="E14654" s="50">
        <f>SUM(C14628:C14633)</f>
        <v>4.75</v>
      </c>
      <c r="F14654" s="51">
        <f>VLOOKUP(A14654,'Componentes APUs'!$A$1:$D$14,4,0)</f>
        <v>2916.6666666666665</v>
      </c>
      <c r="G14654" s="51">
        <f>ROUNDUP(F14654*(E14654/21)/E14620,0)</f>
        <v>1320</v>
      </c>
    </row>
    <row r="14655" spans="1:7" x14ac:dyDescent="0.25">
      <c r="A14655" s="50" t="s">
        <v>403</v>
      </c>
      <c r="B14655" s="72" t="str">
        <f>VLOOKUP(A14655,'Componentes APUs'!$A$1:$D$14,2,0)</f>
        <v>Capuchon</v>
      </c>
      <c r="C14655" s="73"/>
      <c r="D14655" s="50" t="str">
        <f>VLOOKUP(A14655,'Componentes APUs'!$A$1:$D$14,3,0)</f>
        <v>U</v>
      </c>
      <c r="E14655" s="50">
        <f>SUM(C14628:C14633)</f>
        <v>4.75</v>
      </c>
      <c r="F14655" s="51">
        <f>VLOOKUP(A14655,'Componentes APUs'!$A$1:$D$14,4,0)</f>
        <v>2525.2525252525252</v>
      </c>
      <c r="G14655" s="51">
        <f>ROUNDUP(F14655*(E14655/21)/E14620,0)</f>
        <v>1143</v>
      </c>
    </row>
    <row r="14656" spans="1:7" x14ac:dyDescent="0.25">
      <c r="A14656" s="69" t="s">
        <v>81</v>
      </c>
      <c r="B14656" s="72" t="str">
        <f>VLOOKUP(A14656,'Componentes APUs'!$A$1:$D$14,2,0)</f>
        <v>Guantes Protectores  - ingeniero reforzados</v>
      </c>
      <c r="C14656" s="73"/>
      <c r="D14656" s="50" t="str">
        <f>VLOOKUP(A14656,'Componentes APUs'!$A$1:$D$14,3,0)</f>
        <v>Par</v>
      </c>
      <c r="E14656" s="50">
        <f>C14630+C14631+C14633</f>
        <v>4</v>
      </c>
      <c r="F14656" s="51">
        <f>VLOOKUP(A14656,'Componentes APUs'!$A$1:$D$14,4,0)</f>
        <v>2525.2525252525252</v>
      </c>
      <c r="G14656" s="51">
        <f>ROUNDUP(F14656*(E14656/21)/E14620,0)</f>
        <v>963</v>
      </c>
    </row>
    <row r="14657" spans="1:7" x14ac:dyDescent="0.25">
      <c r="A14657" s="50" t="s">
        <v>83</v>
      </c>
      <c r="B14657" s="72" t="str">
        <f>VLOOKUP(A14657,'Componentes APUs'!$A$1:$D$14,2,0)</f>
        <v>Impermeable (pantalon camisa)</v>
      </c>
      <c r="C14657" s="73"/>
      <c r="D14657" s="50" t="str">
        <f>VLOOKUP(A14657,'Componentes APUs'!$A$1:$D$14,3,0)</f>
        <v>U</v>
      </c>
      <c r="E14657" s="50">
        <f>SUM(C14628:C14633)</f>
        <v>4.75</v>
      </c>
      <c r="F14657" s="51">
        <f>VLOOKUP(A14657,'Componentes APUs'!$A$1:$D$14,4,0)</f>
        <v>3750</v>
      </c>
      <c r="G14657" s="51">
        <f>ROUNDUP(F14657*(E14657/21)/E14620,0)</f>
        <v>1697</v>
      </c>
    </row>
    <row r="14658" spans="1:7" x14ac:dyDescent="0.25">
      <c r="A14658" s="69" t="s">
        <v>85</v>
      </c>
      <c r="B14658" s="72" t="str">
        <f>VLOOKUP(A14658,'Componentes APUs'!$A$1:$D$14,2,0)</f>
        <v>Jean Dielectrico</v>
      </c>
      <c r="C14658" s="73"/>
      <c r="D14658" s="50" t="str">
        <f>VLOOKUP(A14658,'Componentes APUs'!$A$1:$D$14,3,0)</f>
        <v>U</v>
      </c>
      <c r="E14658" s="50">
        <f>SUM(C14628:C14633)</f>
        <v>4.75</v>
      </c>
      <c r="F14658" s="51">
        <f>VLOOKUP(A14658,'Componentes APUs'!$A$1:$D$14,4,0)</f>
        <v>7575.757575757576</v>
      </c>
      <c r="G14658" s="51">
        <f>ROUNDUP(F14658*(E14658/21)/E14620,0)</f>
        <v>3428</v>
      </c>
    </row>
    <row r="14659" spans="1:7" x14ac:dyDescent="0.25">
      <c r="A14659" s="50" t="s">
        <v>87</v>
      </c>
      <c r="B14659" s="72" t="str">
        <f>VLOOKUP(A14659,'Componentes APUs'!$A$1:$D$14,2,0)</f>
        <v>Casco dielectrico Tipo 2 Clase E con barboquejo</v>
      </c>
      <c r="C14659" s="73"/>
      <c r="D14659" s="50" t="str">
        <f>VLOOKUP(A14659,'Componentes APUs'!$A$1:$D$14,3,0)</f>
        <v>U</v>
      </c>
      <c r="E14659" s="53">
        <f>IF(A14630="MO-3",C14630,0)</f>
        <v>2</v>
      </c>
      <c r="F14659" s="51">
        <f>VLOOKUP(A14659,'Componentes APUs'!$A$1:$D$14,4,0)</f>
        <v>7500</v>
      </c>
      <c r="G14659" s="51">
        <f>ROUNDUP(F14659*(E14659/21)/E14620,0)</f>
        <v>1429</v>
      </c>
    </row>
    <row r="14660" spans="1:7" x14ac:dyDescent="0.25">
      <c r="A14660" s="69" t="s">
        <v>89</v>
      </c>
      <c r="B14660" s="72" t="str">
        <f>VLOOKUP(A14660,'Componentes APUs'!$A$1:$D$14,2,0)</f>
        <v>Kit de rescate para trabajo en alturas</v>
      </c>
      <c r="C14660" s="73"/>
      <c r="D14660" s="50" t="str">
        <f>VLOOKUP(A14660,'Componentes APUs'!$A$1:$D$14,3,0)</f>
        <v>U</v>
      </c>
      <c r="E14660" s="50">
        <f>IF(AND(A14630="MO-3",C14630=2),1,0)</f>
        <v>1</v>
      </c>
      <c r="F14660" s="51">
        <f>VLOOKUP(A14660,'Componentes APUs'!$A$1:$D$14,4,0)</f>
        <v>37500</v>
      </c>
      <c r="G14660" s="51">
        <f>ROUNDUP(F14660*(E14660/21)/E14620,0)</f>
        <v>3572</v>
      </c>
    </row>
    <row r="14661" spans="1:7" x14ac:dyDescent="0.25">
      <c r="A14661" s="50" t="s">
        <v>91</v>
      </c>
      <c r="B14661" s="72" t="str">
        <f>VLOOKUP(A14661,'Componentes APUs'!$A$1:$D$14,2,0)</f>
        <v>Equipo completo para trabajo en alturas con pretales (Arnes dielectrico, 1 mosqueton de seguridad, tie off dielectrico, eslinga de posicionamiento, juego de pretales)</v>
      </c>
      <c r="C14661" s="73"/>
      <c r="D14661" s="50" t="str">
        <f>VLOOKUP(A14661,'Componentes APUs'!$A$1:$D$14,3,0)</f>
        <v>U</v>
      </c>
      <c r="E14661" s="50">
        <f>IF(A14630="MO-3",C14630,0)</f>
        <v>2</v>
      </c>
      <c r="F14661" s="51">
        <f>VLOOKUP(A14661,'Componentes APUs'!$A$1:$D$14,4,0)</f>
        <v>26041.666666666668</v>
      </c>
      <c r="G14661" s="51">
        <f>ROUNDUP(F14661*(E14661/21)/E14620,0)</f>
        <v>4961</v>
      </c>
    </row>
    <row r="14662" spans="1:7" x14ac:dyDescent="0.25">
      <c r="A14662" s="219" t="s">
        <v>95</v>
      </c>
      <c r="B14662" s="219"/>
      <c r="C14662" s="219"/>
      <c r="D14662" s="219"/>
      <c r="E14662" s="219"/>
      <c r="F14662" s="219"/>
      <c r="G14662" s="52">
        <f>SUM(G14649:G14661)</f>
        <v>31408</v>
      </c>
    </row>
    <row r="14663" spans="1:7" x14ac:dyDescent="0.25">
      <c r="A14663" s="56"/>
      <c r="B14663" s="57"/>
      <c r="C14663" s="57"/>
      <c r="D14663" s="57"/>
      <c r="E14663" s="57"/>
      <c r="F14663" s="57"/>
      <c r="G14663" s="58"/>
    </row>
    <row r="14664" spans="1:7" x14ac:dyDescent="0.25">
      <c r="A14664" s="219" t="s">
        <v>96</v>
      </c>
      <c r="B14664" s="219"/>
      <c r="C14664" s="219"/>
      <c r="D14664" s="219"/>
      <c r="E14664" s="219"/>
      <c r="F14664" s="219"/>
      <c r="G14664" s="219"/>
    </row>
    <row r="14665" spans="1:7" x14ac:dyDescent="0.25">
      <c r="A14665" s="49" t="s">
        <v>35</v>
      </c>
      <c r="B14665" s="225" t="s">
        <v>36</v>
      </c>
      <c r="C14665" s="225"/>
      <c r="D14665" s="49" t="s">
        <v>37</v>
      </c>
      <c r="E14665" s="49" t="s">
        <v>38</v>
      </c>
      <c r="F14665" s="49" t="s">
        <v>39</v>
      </c>
      <c r="G14665" s="49" t="s">
        <v>40</v>
      </c>
    </row>
    <row r="14666" spans="1:7" x14ac:dyDescent="0.25">
      <c r="A14666" s="69" t="s">
        <v>97</v>
      </c>
      <c r="B14666" s="72" t="str">
        <f>VLOOKUP(A14666,'Componentes APUs'!$N$1:$Q$30,2,0)</f>
        <v>Camioneta</v>
      </c>
      <c r="C14666" s="73"/>
      <c r="D14666" s="70" t="str">
        <f>VLOOKUP(A14666,'Componentes APUs'!$N$1:$Q$30,3,0)</f>
        <v>U</v>
      </c>
      <c r="E14666" s="50">
        <v>1</v>
      </c>
      <c r="F14666" s="51">
        <f>VLOOKUP(A14666,'Componentes APUs'!$N$1:$Q$30,4,0)</f>
        <v>5500000</v>
      </c>
      <c r="G14666" s="51">
        <f>IFERROR(ROUNDUP(F14666*(E14666/21)/E14620,0),"-")</f>
        <v>523810</v>
      </c>
    </row>
    <row r="14667" spans="1:7" x14ac:dyDescent="0.25">
      <c r="A14667" s="219" t="s">
        <v>99</v>
      </c>
      <c r="B14667" s="219"/>
      <c r="C14667" s="219"/>
      <c r="D14667" s="219"/>
      <c r="E14667" s="219"/>
      <c r="F14667" s="219"/>
      <c r="G14667" s="52">
        <f>SUM(G14666:G14666)</f>
        <v>523810</v>
      </c>
    </row>
    <row r="14668" spans="1:7" x14ac:dyDescent="0.25">
      <c r="A14668" s="56"/>
      <c r="B14668" s="57"/>
      <c r="C14668" s="57"/>
      <c r="D14668" s="57"/>
      <c r="E14668" s="57"/>
      <c r="F14668" s="57"/>
      <c r="G14668" s="58"/>
    </row>
    <row r="14669" spans="1:7" x14ac:dyDescent="0.25">
      <c r="A14669" s="219" t="s">
        <v>1516</v>
      </c>
      <c r="B14669" s="219"/>
      <c r="C14669" s="219"/>
      <c r="D14669" s="219"/>
      <c r="E14669" s="219"/>
      <c r="F14669" s="219"/>
      <c r="G14669" s="52">
        <f>G14667+G14662+G14645+G14635+G14624</f>
        <v>396733541</v>
      </c>
    </row>
    <row r="14670" spans="1:7" x14ac:dyDescent="0.25">
      <c r="A14670" s="59"/>
      <c r="B14670" s="60"/>
      <c r="C14670" s="60"/>
      <c r="D14670" s="60"/>
      <c r="E14670" s="57"/>
      <c r="F14670" s="57"/>
      <c r="G14670" s="58"/>
    </row>
    <row r="14671" spans="1:7" x14ac:dyDescent="0.25">
      <c r="A14671" s="64"/>
      <c r="D14671" s="55"/>
      <c r="E14671" s="49" t="s">
        <v>25</v>
      </c>
      <c r="F14671" s="54">
        <v>0.15</v>
      </c>
      <c r="G14671" s="51">
        <f>G14669*F14671</f>
        <v>59510031.149999999</v>
      </c>
    </row>
    <row r="14672" spans="1:7" x14ac:dyDescent="0.25">
      <c r="A14672" s="64"/>
      <c r="D14672" s="55"/>
      <c r="E14672" s="49" t="s">
        <v>26</v>
      </c>
      <c r="F14672" s="54">
        <v>0.05</v>
      </c>
      <c r="G14672" s="51">
        <f>G14669*F14672</f>
        <v>19836677.050000001</v>
      </c>
    </row>
    <row r="14673" spans="1:7" x14ac:dyDescent="0.25">
      <c r="A14673" s="61"/>
      <c r="B14673" s="65"/>
      <c r="C14673" s="65"/>
      <c r="D14673" s="62"/>
      <c r="E14673" s="49" t="s">
        <v>27</v>
      </c>
      <c r="F14673" s="54">
        <v>0.05</v>
      </c>
      <c r="G14673" s="51">
        <f>G14669*F14673</f>
        <v>19836677.050000001</v>
      </c>
    </row>
    <row r="14674" spans="1:7" x14ac:dyDescent="0.25">
      <c r="A14674" s="61"/>
      <c r="B14674" s="62"/>
      <c r="C14674" s="62"/>
      <c r="D14674" s="62"/>
      <c r="E14674" s="62"/>
      <c r="F14674" s="62"/>
      <c r="G14674" s="63"/>
    </row>
    <row r="14675" spans="1:7" x14ac:dyDescent="0.25">
      <c r="A14675" s="219" t="s">
        <v>1517</v>
      </c>
      <c r="B14675" s="219"/>
      <c r="C14675" s="219"/>
      <c r="D14675" s="219"/>
      <c r="E14675" s="219"/>
      <c r="F14675" s="219"/>
      <c r="G14675" s="52">
        <f>G14669+G14671+G14672+G14673</f>
        <v>495916926.25</v>
      </c>
    </row>
    <row r="14676" spans="1:7" x14ac:dyDescent="0.25">
      <c r="A14676" s="59"/>
      <c r="B14676" s="60"/>
      <c r="C14676" s="60"/>
      <c r="D14676" s="60"/>
      <c r="E14676" s="57"/>
      <c r="F14676" s="57"/>
      <c r="G14676" s="58"/>
    </row>
    <row r="14677" spans="1:7" x14ac:dyDescent="0.25">
      <c r="A14677" s="64"/>
      <c r="D14677" s="55"/>
      <c r="E14677" s="49" t="s">
        <v>102</v>
      </c>
      <c r="F14677" s="49" t="s">
        <v>103</v>
      </c>
      <c r="G14677" s="51">
        <f>G14673*19%</f>
        <v>3768968.6395</v>
      </c>
    </row>
    <row r="14678" spans="1:7" x14ac:dyDescent="0.25">
      <c r="A14678" s="61"/>
      <c r="B14678" s="62"/>
      <c r="C14678" s="62"/>
      <c r="D14678" s="62"/>
      <c r="E14678" s="57"/>
      <c r="F14678" s="57"/>
      <c r="G14678" s="58"/>
    </row>
    <row r="14679" spans="1:7" x14ac:dyDescent="0.25">
      <c r="A14679" s="219" t="s">
        <v>104</v>
      </c>
      <c r="B14679" s="219"/>
      <c r="C14679" s="219"/>
      <c r="D14679" s="219"/>
      <c r="E14679" s="219"/>
      <c r="F14679" s="219"/>
      <c r="G14679" s="52">
        <f>G14677+G14675</f>
        <v>499685894.88950002</v>
      </c>
    </row>
    <row r="14681" spans="1:7" x14ac:dyDescent="0.25">
      <c r="A14681" s="74" t="s">
        <v>29</v>
      </c>
      <c r="B14681" s="226" t="s">
        <v>30</v>
      </c>
      <c r="C14681" s="226"/>
      <c r="D14681" s="74" t="s">
        <v>31</v>
      </c>
      <c r="E14681" s="74" t="s">
        <v>32</v>
      </c>
      <c r="F14681" s="74" t="s">
        <v>189</v>
      </c>
      <c r="G14681" s="74" t="s">
        <v>33</v>
      </c>
    </row>
    <row r="14682" spans="1:7" ht="68.25" customHeight="1" x14ac:dyDescent="0.25">
      <c r="A14682" s="50" t="str">
        <f>Presupuesto!B270</f>
        <v>018_N2</v>
      </c>
      <c r="B14682" s="220" t="str">
        <f>Presupuesto!C270</f>
        <v>SUMINISTRO E INSTALACIÓN DE CELDA PARA TRANSFORMADORES DE POTENCIAL : INCLUYE 3 TRANSFORMADORES DE TENSIÓN. USO INTERIOR. DOBLE NUCLEO. (N1: 13,8√3/115√3 - CL 0.5-10 VA; N2: 13,8√3/115√3- CL: 3P-10VA) CON PROTOCOLOS DE PRUEBA DE PRECISIÓN DE FABRICANTE Y LABORATORIO ACREDITADO.</v>
      </c>
      <c r="C14682" s="220"/>
      <c r="D14682" s="50" t="s">
        <v>18</v>
      </c>
      <c r="E14682" s="50">
        <v>0.5</v>
      </c>
      <c r="F14682" s="50"/>
      <c r="G14682" s="51">
        <f>G14748</f>
        <v>158602526.16450003</v>
      </c>
    </row>
    <row r="14683" spans="1:7" x14ac:dyDescent="0.25">
      <c r="A14683" s="219" t="s">
        <v>34</v>
      </c>
      <c r="B14683" s="219"/>
      <c r="C14683" s="219"/>
      <c r="D14683" s="219"/>
      <c r="E14683" s="219"/>
      <c r="F14683" s="219"/>
      <c r="G14683" s="219"/>
    </row>
    <row r="14684" spans="1:7" x14ac:dyDescent="0.25">
      <c r="A14684" s="49" t="s">
        <v>35</v>
      </c>
      <c r="B14684" s="219" t="s">
        <v>36</v>
      </c>
      <c r="C14684" s="219"/>
      <c r="D14684" s="49" t="s">
        <v>37</v>
      </c>
      <c r="E14684" s="49" t="s">
        <v>38</v>
      </c>
      <c r="F14684" s="49" t="s">
        <v>39</v>
      </c>
      <c r="G14684" s="49" t="s">
        <v>40</v>
      </c>
    </row>
    <row r="14685" spans="1:7" ht="32.25" customHeight="1" x14ac:dyDescent="0.25">
      <c r="A14685" s="17" t="str">
        <f>Material!A543</f>
        <v>MA-542</v>
      </c>
      <c r="B14685" s="221" t="str">
        <f>IFERROR(VLOOKUP(A14685,Material!$A:$H,2,0),"-")</f>
        <v>CELDA DE MEDIDA DE FABRICACIÓN ESPECIAL. DE USO INTERIOR. IP 65 PARA ALBERGAR TRANSFORMADORES DE POTENCIAL AL TREN DE CELDAS</v>
      </c>
      <c r="C14685" s="222"/>
      <c r="D14685" s="50" t="str">
        <f>IFERROR(VLOOKUP(A14685,Material!$A:$H,4,0),"-")</f>
        <v>UN</v>
      </c>
      <c r="E14685" s="50">
        <v>1</v>
      </c>
      <c r="F14685" s="51">
        <f>IFERROR(VLOOKUP(A14685,Material!$A:$H,3,0),"-")</f>
        <v>90000000</v>
      </c>
      <c r="G14685" s="51">
        <f t="shared" ref="G14685:G14687" si="208">IFERROR(ROUNDUP(F14685*E14685,0),"-")</f>
        <v>90000000</v>
      </c>
    </row>
    <row r="14686" spans="1:7" ht="29.25" customHeight="1" x14ac:dyDescent="0.25">
      <c r="A14686" s="17" t="str">
        <f>Material!A416</f>
        <v>MA-415</v>
      </c>
      <c r="B14686" s="221" t="str">
        <f>IFERROR(VLOOKUP(A14686,Material!$A:$H,2,0),"-")</f>
        <v>TRANSFORMADOR DE TENSIÓN. USO INTERIOR. DOBLE NUCLEO. (N1: 34,5√3/115√3. CL 0,2, 10 VA; N2: 34,5√3/115√3.CL 3P)</v>
      </c>
      <c r="C14686" s="222"/>
      <c r="D14686" s="50" t="str">
        <f>IFERROR(VLOOKUP(A14686,Material!$A:$H,4,0),"-")</f>
        <v>UN</v>
      </c>
      <c r="E14686" s="50">
        <v>3</v>
      </c>
      <c r="F14686" s="51">
        <f>IFERROR(VLOOKUP(A14686,Material!$A:$H,3,0),"-")</f>
        <v>10820639.024993686</v>
      </c>
      <c r="G14686" s="51">
        <f t="shared" si="208"/>
        <v>32461918</v>
      </c>
    </row>
    <row r="14687" spans="1:7" x14ac:dyDescent="0.25">
      <c r="A14687" s="17"/>
      <c r="B14687" s="72" t="str">
        <f>IFERROR(VLOOKUP(A14687,Material!$A:$H,2,0),"-")</f>
        <v>-</v>
      </c>
      <c r="C14687" s="73"/>
      <c r="D14687" s="50" t="str">
        <f>IFERROR(VLOOKUP(A14687,Material!$A:$H,4,0),"-")</f>
        <v>-</v>
      </c>
      <c r="E14687" s="50"/>
      <c r="F14687" s="51" t="str">
        <f>IFERROR(VLOOKUP(A14687,Material!$A:$H,3,0),"-")</f>
        <v>-</v>
      </c>
      <c r="G14687" s="51" t="str">
        <f t="shared" si="208"/>
        <v>-</v>
      </c>
    </row>
    <row r="14688" spans="1:7" x14ac:dyDescent="0.25">
      <c r="A14688" s="219" t="s">
        <v>41</v>
      </c>
      <c r="B14688" s="219"/>
      <c r="C14688" s="219"/>
      <c r="D14688" s="219"/>
      <c r="E14688" s="219"/>
      <c r="F14688" s="219"/>
      <c r="G14688" s="52">
        <f>SUM(G14685:G14687)</f>
        <v>122461918</v>
      </c>
    </row>
    <row r="14689" spans="1:7" x14ac:dyDescent="0.25">
      <c r="A14689" s="56"/>
      <c r="B14689" s="57"/>
      <c r="C14689" s="57"/>
      <c r="D14689" s="57"/>
      <c r="E14689" s="57"/>
      <c r="F14689" s="57"/>
      <c r="G14689" s="58"/>
    </row>
    <row r="14690" spans="1:7" x14ac:dyDescent="0.25">
      <c r="A14690" s="219" t="s">
        <v>42</v>
      </c>
      <c r="B14690" s="219"/>
      <c r="C14690" s="219"/>
      <c r="D14690" s="219"/>
      <c r="E14690" s="219"/>
      <c r="F14690" s="219"/>
      <c r="G14690" s="219"/>
    </row>
    <row r="14691" spans="1:7" x14ac:dyDescent="0.25">
      <c r="A14691" s="49" t="s">
        <v>35</v>
      </c>
      <c r="B14691" s="49" t="s">
        <v>36</v>
      </c>
      <c r="C14691" s="49" t="s">
        <v>38</v>
      </c>
      <c r="D14691" s="49" t="s">
        <v>43</v>
      </c>
      <c r="E14691" s="49" t="s">
        <v>44</v>
      </c>
      <c r="F14691" s="49" t="s">
        <v>45</v>
      </c>
      <c r="G14691" s="49" t="s">
        <v>40</v>
      </c>
    </row>
    <row r="14692" spans="1:7" x14ac:dyDescent="0.25">
      <c r="A14692" s="50" t="s">
        <v>319</v>
      </c>
      <c r="B14692" s="68" t="str">
        <f>VLOOKUP(A14692,'Componentes APUs'!$H$1:$L$25,2,0)</f>
        <v>Ingeniero Residente de Obra</v>
      </c>
      <c r="C14692" s="93">
        <v>0.25</v>
      </c>
      <c r="D14692" s="50">
        <f>VLOOKUP(A14692,'Componentes APUs'!$H$1:$L$25,3,0)</f>
        <v>4</v>
      </c>
      <c r="E14692" s="51">
        <f>VLOOKUP(A14692,'Componentes APUs'!$H$1:$L$25,4,0)</f>
        <v>271142.85714285716</v>
      </c>
      <c r="F14692" s="51">
        <f>VLOOKUP(A14692,'Componentes APUs'!$H$1:$L$25,5,0)</f>
        <v>162685.71428571429</v>
      </c>
      <c r="G14692" s="51">
        <f>ROUNDUP((E14692+F14692)*C14692/E14682,0)</f>
        <v>216915</v>
      </c>
    </row>
    <row r="14693" spans="1:7" x14ac:dyDescent="0.25">
      <c r="A14693" s="50" t="s">
        <v>320</v>
      </c>
      <c r="B14693" s="68" t="str">
        <f>VLOOKUP(A14693,'Componentes APUs'!$H$1:$L$25,2,0)</f>
        <v>Tecnico Supervisor</v>
      </c>
      <c r="C14693" s="93">
        <v>0.25</v>
      </c>
      <c r="D14693" s="50">
        <f>VLOOKUP(A14693,'Componentes APUs'!$H$1:$L$25,3,0)</f>
        <v>2.2999999999999998</v>
      </c>
      <c r="E14693" s="51">
        <f>VLOOKUP(A14693,'Componentes APUs'!$H$1:$L$25,4,0)</f>
        <v>155907.14285714284</v>
      </c>
      <c r="F14693" s="51">
        <f>VLOOKUP(A14693,'Componentes APUs'!$H$1:$L$25,5,0)</f>
        <v>93544.285714285696</v>
      </c>
      <c r="G14693" s="51">
        <f>ROUNDUP((E14693+F14693)*C14693/E14682,0)</f>
        <v>124726</v>
      </c>
    </row>
    <row r="14694" spans="1:7" x14ac:dyDescent="0.25">
      <c r="A14694" s="50" t="s">
        <v>46</v>
      </c>
      <c r="B14694" s="68" t="str">
        <f>VLOOKUP(A14694,'Componentes APUs'!$H$1:$L$25,2,0)</f>
        <v>Tecnico Liniero</v>
      </c>
      <c r="C14694" s="93">
        <v>1</v>
      </c>
      <c r="D14694" s="50">
        <f>VLOOKUP(A14694,'Componentes APUs'!$H$1:$L$25,3,0)</f>
        <v>2</v>
      </c>
      <c r="E14694" s="51">
        <f>VLOOKUP(A14694,'Componentes APUs'!$H$1:$L$25,4,0)</f>
        <v>154619.04761904763</v>
      </c>
      <c r="F14694" s="51">
        <f>VLOOKUP(A14694,'Componentes APUs'!$H$1:$L$25,5,0)</f>
        <v>92771.42857142858</v>
      </c>
      <c r="G14694" s="51">
        <f>ROUNDUP((E14694+F14694)*C14694/E14682,0)</f>
        <v>494781</v>
      </c>
    </row>
    <row r="14695" spans="1:7" x14ac:dyDescent="0.25">
      <c r="A14695" s="50" t="s">
        <v>48</v>
      </c>
      <c r="B14695" s="68" t="str">
        <f>VLOOKUP(A14695,'Componentes APUs'!$H$1:$L$25,2,0)</f>
        <v>Ayudante Calificado</v>
      </c>
      <c r="C14695" s="93">
        <v>1</v>
      </c>
      <c r="D14695" s="50">
        <f>VLOOKUP(A14695,'Componentes APUs'!$H$1:$L$25,3,0)</f>
        <v>1.5</v>
      </c>
      <c r="E14695" s="51">
        <f>VLOOKUP(A14695,'Componentes APUs'!$H$1:$L$25,4,0)</f>
        <v>115964.28571428571</v>
      </c>
      <c r="F14695" s="51">
        <f>VLOOKUP(A14695,'Componentes APUs'!$H$1:$L$25,5,0)</f>
        <v>69578.57142857142</v>
      </c>
      <c r="G14695" s="51">
        <f>ROUNDUP((E14695+F14695)*C14695/E14682,0)</f>
        <v>371086</v>
      </c>
    </row>
    <row r="14696" spans="1:7" x14ac:dyDescent="0.25">
      <c r="A14696" s="50" t="s">
        <v>50</v>
      </c>
      <c r="B14696" s="68" t="str">
        <f>VLOOKUP(A14696,'Componentes APUs'!$H$1:$L$25,2,0)</f>
        <v>Profesional en SST</v>
      </c>
      <c r="C14696" s="93">
        <v>0.25</v>
      </c>
      <c r="D14696" s="50">
        <f>VLOOKUP(A14696,'Componentes APUs'!$H$1:$L$25,3,0)</f>
        <v>2.5</v>
      </c>
      <c r="E14696" s="51">
        <f>VLOOKUP(A14696,'Componentes APUs'!$H$1:$L$25,4,0)</f>
        <v>169464.28571428571</v>
      </c>
      <c r="F14696" s="51">
        <f>VLOOKUP(A14696,'Componentes APUs'!$H$1:$L$25,5,0)</f>
        <v>101678.57142857142</v>
      </c>
      <c r="G14696" s="51">
        <f>ROUNDUP((E14696+F14696)*C14696/E14682,0)</f>
        <v>135572</v>
      </c>
    </row>
    <row r="14697" spans="1:7" x14ac:dyDescent="0.25">
      <c r="A14697" s="50" t="s">
        <v>52</v>
      </c>
      <c r="B14697" s="68" t="str">
        <f>VLOOKUP(A14697,'Componentes APUs'!$H$1:$L$25,2,0)</f>
        <v>Ayudante No Calificado</v>
      </c>
      <c r="C14697" s="93">
        <v>0</v>
      </c>
      <c r="D14697" s="50">
        <f>VLOOKUP(A14697,'Componentes APUs'!$H$1:$L$25,3,0)</f>
        <v>1</v>
      </c>
      <c r="E14697" s="51">
        <f>VLOOKUP(A14697,'Componentes APUs'!$H$1:$L$25,4,0)</f>
        <v>77309.523809523816</v>
      </c>
      <c r="F14697" s="51">
        <f>VLOOKUP(A14697,'Componentes APUs'!$H$1:$L$25,5,0)</f>
        <v>46385.71428571429</v>
      </c>
      <c r="G14697" s="51">
        <f>ROUNDUP((E14697+F14697)*C14697/E14682,0)</f>
        <v>0</v>
      </c>
    </row>
    <row r="14698" spans="1:7" x14ac:dyDescent="0.25">
      <c r="A14698" s="50" t="s">
        <v>1121</v>
      </c>
      <c r="B14698" s="68" t="str">
        <f>VLOOKUP(A14698,'Componentes APUs'!$H$1:$L$25,2,0)</f>
        <v>Ingeniero Especialista de Control y Protección Subestación</v>
      </c>
      <c r="C14698" s="93">
        <v>0.5</v>
      </c>
      <c r="D14698" s="50">
        <f>VLOOKUP(A14698,'Componentes APUs'!$H$1:$L$25,3,0)</f>
        <v>14</v>
      </c>
      <c r="E14698" s="51">
        <f>VLOOKUP(A14698,'Componentes APUs'!$H$1:$L$25,4,0)</f>
        <v>949000</v>
      </c>
      <c r="F14698" s="51">
        <f>VLOOKUP(A14698,'Componentes APUs'!$H$1:$L$25,5,0)</f>
        <v>569400</v>
      </c>
      <c r="G14698" s="51">
        <f>ROUNDUP((E14698+F14698)*C14698/E14682,0)</f>
        <v>1518400</v>
      </c>
    </row>
    <row r="14699" spans="1:7" x14ac:dyDescent="0.25">
      <c r="A14699" s="219" t="s">
        <v>56</v>
      </c>
      <c r="B14699" s="219"/>
      <c r="C14699" s="219"/>
      <c r="D14699" s="219"/>
      <c r="E14699" s="219"/>
      <c r="F14699" s="219"/>
      <c r="G14699" s="52">
        <f>SUM(G14692:G14698)</f>
        <v>2861480</v>
      </c>
    </row>
    <row r="14700" spans="1:7" x14ac:dyDescent="0.25">
      <c r="A14700" s="56"/>
      <c r="B14700" s="57"/>
      <c r="C14700" s="57"/>
      <c r="D14700" s="57"/>
      <c r="E14700" s="57"/>
      <c r="F14700" s="57"/>
      <c r="G14700" s="58"/>
    </row>
    <row r="14701" spans="1:7" x14ac:dyDescent="0.25">
      <c r="A14701" s="219" t="s">
        <v>57</v>
      </c>
      <c r="B14701" s="219"/>
      <c r="C14701" s="219"/>
      <c r="D14701" s="219"/>
      <c r="E14701" s="219"/>
      <c r="F14701" s="219"/>
      <c r="G14701" s="219"/>
    </row>
    <row r="14702" spans="1:7" x14ac:dyDescent="0.25">
      <c r="A14702" s="49" t="s">
        <v>35</v>
      </c>
      <c r="B14702" s="219" t="s">
        <v>36</v>
      </c>
      <c r="C14702" s="219"/>
      <c r="D14702" s="49" t="s">
        <v>37</v>
      </c>
      <c r="E14702" s="49" t="s">
        <v>38</v>
      </c>
      <c r="F14702" s="49" t="s">
        <v>39</v>
      </c>
      <c r="G14702" s="49" t="s">
        <v>40</v>
      </c>
    </row>
    <row r="14703" spans="1:7" x14ac:dyDescent="0.25">
      <c r="A14703" s="50" t="s">
        <v>326</v>
      </c>
      <c r="B14703" s="220" t="str">
        <f>VLOOKUP(A14703,'Componentes APUs'!$S$1:$V$10,2,0)</f>
        <v>Juego Llaves</v>
      </c>
      <c r="C14703" s="220"/>
      <c r="D14703" s="50" t="s">
        <v>18</v>
      </c>
      <c r="E14703" s="50">
        <v>2</v>
      </c>
      <c r="F14703" s="51">
        <f>VLOOKUP(A14703,'Componentes APUs'!$S$1:$V$10,4,0)</f>
        <v>9167</v>
      </c>
      <c r="G14703" s="51">
        <f>ROUNDUP(F14703*((E14703/21)/E14682),0)</f>
        <v>1747</v>
      </c>
    </row>
    <row r="14704" spans="1:7" x14ac:dyDescent="0.25">
      <c r="A14704" s="50" t="s">
        <v>58</v>
      </c>
      <c r="B14704" s="220" t="str">
        <f>VLOOKUP(A14704,'Componentes APUs'!$S$1:$V$10,2,0)</f>
        <v>Manila de servicio</v>
      </c>
      <c r="C14704" s="220"/>
      <c r="D14704" s="50" t="s">
        <v>18</v>
      </c>
      <c r="E14704" s="50">
        <v>2</v>
      </c>
      <c r="F14704" s="51">
        <f>VLOOKUP(A14704,'Componentes APUs'!$S$1:$V$10,4,0)</f>
        <v>2333</v>
      </c>
      <c r="G14704" s="51">
        <f>ROUNDUP(F14704*((E14704/21)/E14682),0)</f>
        <v>445</v>
      </c>
    </row>
    <row r="14705" spans="1:7" x14ac:dyDescent="0.25">
      <c r="A14705" s="50" t="s">
        <v>327</v>
      </c>
      <c r="B14705" s="220" t="str">
        <f>VLOOKUP(A14705,'Componentes APUs'!$S$1:$V$10,2,0)</f>
        <v>Tula portaherramientas</v>
      </c>
      <c r="C14705" s="220"/>
      <c r="D14705" s="50" t="s">
        <v>18</v>
      </c>
      <c r="E14705" s="50">
        <v>2</v>
      </c>
      <c r="F14705" s="51">
        <f>VLOOKUP(A14705,'Componentes APUs'!$S$1:$V$10,4,0)</f>
        <v>1250</v>
      </c>
      <c r="G14705" s="51">
        <f>ROUNDUP(F14705*((E14705/21)/E14682),0)</f>
        <v>239</v>
      </c>
    </row>
    <row r="14706" spans="1:7" x14ac:dyDescent="0.25">
      <c r="A14706" s="50" t="s">
        <v>60</v>
      </c>
      <c r="B14706" s="220" t="str">
        <f>VLOOKUP(A14706,'Componentes APUs'!$S$1:$V$10,2,0)</f>
        <v>Agarradoras</v>
      </c>
      <c r="C14706" s="220"/>
      <c r="D14706" s="50" t="s">
        <v>18</v>
      </c>
      <c r="E14706" s="50">
        <v>0</v>
      </c>
      <c r="F14706" s="51">
        <f>VLOOKUP(A14706,'Componentes APUs'!$S$1:$V$10,4,0)</f>
        <v>125000</v>
      </c>
      <c r="G14706" s="51">
        <f>ROUNDUP(F14706*((E14706/21)/E14682),0)</f>
        <v>0</v>
      </c>
    </row>
    <row r="14707" spans="1:7" x14ac:dyDescent="0.25">
      <c r="A14707" s="50" t="s">
        <v>62</v>
      </c>
      <c r="B14707" s="220" t="str">
        <f>VLOOKUP(A14707,'Componentes APUs'!$S$1:$V$10,2,0)</f>
        <v>Templadoras</v>
      </c>
      <c r="C14707" s="220"/>
      <c r="D14707" s="50" t="s">
        <v>18</v>
      </c>
      <c r="E14707" s="50">
        <v>0</v>
      </c>
      <c r="F14707" s="51">
        <f>VLOOKUP(A14707,'Componentes APUs'!$S$1:$V$10,4,0)</f>
        <v>250000</v>
      </c>
      <c r="G14707" s="51">
        <f>ROUNDUP(F14707*((E14707/21)/E14682),0)</f>
        <v>0</v>
      </c>
    </row>
    <row r="14708" spans="1:7" x14ac:dyDescent="0.25">
      <c r="A14708" s="50" t="s">
        <v>328</v>
      </c>
      <c r="B14708" s="220" t="str">
        <f>VLOOKUP(A14708,'Componentes APUs'!$S$1:$V$10,2,0)</f>
        <v>Herramienta Menor</v>
      </c>
      <c r="C14708" s="220"/>
      <c r="D14708" s="50" t="s">
        <v>18</v>
      </c>
      <c r="E14708" s="50">
        <v>2</v>
      </c>
      <c r="F14708" s="51">
        <f>VLOOKUP(A14708,'Componentes APUs'!$S$1:$V$10,4,0)</f>
        <v>75758</v>
      </c>
      <c r="G14708" s="51">
        <f>ROUNDUP(F14708*((E14708/21)/E14682),0)</f>
        <v>14431</v>
      </c>
    </row>
    <row r="14709" spans="1:7" x14ac:dyDescent="0.25">
      <c r="A14709" s="50" t="s">
        <v>66</v>
      </c>
      <c r="B14709" s="220" t="str">
        <f>VLOOKUP(A14709,'Componentes APUs'!$S$1:$V$10,2,0)</f>
        <v>Diferencial 2 Toneladas</v>
      </c>
      <c r="C14709" s="220"/>
      <c r="D14709" s="50" t="s">
        <v>18</v>
      </c>
      <c r="E14709" s="50">
        <v>1</v>
      </c>
      <c r="F14709" s="51">
        <f>VLOOKUP(A14709,'Componentes APUs'!$S$1:$V$10,4,0)</f>
        <v>474905</v>
      </c>
      <c r="G14709" s="51">
        <f>ROUNDUP(F14709*((E14709/21)/E14682),0)</f>
        <v>45230</v>
      </c>
    </row>
    <row r="14710" spans="1:7" x14ac:dyDescent="0.25">
      <c r="A14710" s="219" t="s">
        <v>69</v>
      </c>
      <c r="B14710" s="219"/>
      <c r="C14710" s="219"/>
      <c r="D14710" s="219"/>
      <c r="E14710" s="219"/>
      <c r="F14710" s="219"/>
      <c r="G14710" s="52">
        <f>SUM(G14703:G14709)</f>
        <v>62092</v>
      </c>
    </row>
    <row r="14711" spans="1:7" x14ac:dyDescent="0.25">
      <c r="A14711" s="56"/>
      <c r="B14711" s="57"/>
      <c r="C14711" s="57"/>
      <c r="D14711" s="57"/>
      <c r="E14711" s="57"/>
      <c r="F14711" s="57"/>
      <c r="G14711" s="58"/>
    </row>
    <row r="14712" spans="1:7" x14ac:dyDescent="0.25">
      <c r="A14712" s="219" t="s">
        <v>70</v>
      </c>
      <c r="B14712" s="219"/>
      <c r="C14712" s="219"/>
      <c r="D14712" s="219"/>
      <c r="E14712" s="219"/>
      <c r="F14712" s="219"/>
      <c r="G14712" s="219"/>
    </row>
    <row r="14713" spans="1:7" x14ac:dyDescent="0.25">
      <c r="A14713" s="49" t="s">
        <v>35</v>
      </c>
      <c r="B14713" s="219" t="s">
        <v>36</v>
      </c>
      <c r="C14713" s="219"/>
      <c r="D14713" s="49" t="s">
        <v>37</v>
      </c>
      <c r="E14713" s="49" t="s">
        <v>38</v>
      </c>
      <c r="F14713" s="49" t="s">
        <v>39</v>
      </c>
      <c r="G14713" s="49" t="s">
        <v>40</v>
      </c>
    </row>
    <row r="14714" spans="1:7" x14ac:dyDescent="0.25">
      <c r="A14714" s="50" t="s">
        <v>71</v>
      </c>
      <c r="B14714" s="71" t="str">
        <f>VLOOKUP(A14714,'Componentes APUs'!$A$1:$D$14,2,0)</f>
        <v>Camisa indigo sin partes metalicas</v>
      </c>
      <c r="C14714" s="71"/>
      <c r="D14714" s="50" t="str">
        <f>VLOOKUP(A14714,'Componentes APUs'!$A$1:$D$14,3,0)</f>
        <v>U</v>
      </c>
      <c r="E14714" s="50">
        <f>SUM(C14692:C14697)</f>
        <v>2.75</v>
      </c>
      <c r="F14714" s="51">
        <f>VLOOKUP(A14714,'Componentes APUs'!$A$1:$D$14,4,0)</f>
        <v>8585.8585858585866</v>
      </c>
      <c r="G14714" s="51">
        <f>ROUNDUP(F14714*(E14714/21)/E14682,0)</f>
        <v>2249</v>
      </c>
    </row>
    <row r="14715" spans="1:7" x14ac:dyDescent="0.25">
      <c r="A14715" s="69" t="s">
        <v>73</v>
      </c>
      <c r="B14715" s="72" t="str">
        <f>VLOOKUP(A14715,'Componentes APUs'!$A$1:$D$14,2,0)</f>
        <v>Bota de seguridad dielectrica</v>
      </c>
      <c r="C14715" s="73"/>
      <c r="D14715" s="70" t="str">
        <f>VLOOKUP(A14715,'Componentes APUs'!$A$1:$D$14,3,0)</f>
        <v>Par</v>
      </c>
      <c r="E14715" s="50">
        <f>SUM(C14692:C14697)</f>
        <v>2.75</v>
      </c>
      <c r="F14715" s="51">
        <f>VLOOKUP(A14715,'Componentes APUs'!$A$1:$D$14,4,0)</f>
        <v>7500</v>
      </c>
      <c r="G14715" s="51">
        <f>ROUNDUP(F14715*(E14715/21)/E14682,0)</f>
        <v>1965</v>
      </c>
    </row>
    <row r="14716" spans="1:7" x14ac:dyDescent="0.25">
      <c r="A14716" s="50" t="s">
        <v>76</v>
      </c>
      <c r="B14716" s="72" t="str">
        <f>VLOOKUP(A14716,'Componentes APUs'!$A$1:$D$14,2,0)</f>
        <v>Casco dielectrico Tipo 1 Clase E con barbuquejo</v>
      </c>
      <c r="C14716" s="73"/>
      <c r="D14716" s="50" t="str">
        <f>VLOOKUP(A14716,'Componentes APUs'!$A$1:$D$14,3,0)</f>
        <v>U</v>
      </c>
      <c r="E14716" s="50">
        <f>C14693+C14696+C14697+C14695+C14692+IF(A14694&lt;&gt;"MO-3",C14694,0)</f>
        <v>1.75</v>
      </c>
      <c r="F14716" s="51">
        <f>VLOOKUP(A14716,'Componentes APUs'!$A$1:$D$14,4,0)</f>
        <v>10101.010101010101</v>
      </c>
      <c r="G14716" s="51">
        <f>ROUNDUP(F14716*(E14716/21)/E14682,0)</f>
        <v>1684</v>
      </c>
    </row>
    <row r="14717" spans="1:7" x14ac:dyDescent="0.25">
      <c r="A14717" s="69" t="s">
        <v>77</v>
      </c>
      <c r="B14717" s="72" t="str">
        <f>VLOOKUP(A14717,'Componentes APUs'!$A$1:$D$14,2,0)</f>
        <v>Correa plastica y antiflama</v>
      </c>
      <c r="C14717" s="73"/>
      <c r="D14717" s="50" t="str">
        <f>VLOOKUP(A14717,'Componentes APUs'!$A$1:$D$14,3,0)</f>
        <v>U</v>
      </c>
      <c r="E14717" s="50">
        <f>SUM(C14692:C14697)</f>
        <v>2.75</v>
      </c>
      <c r="F14717" s="51">
        <f>VLOOKUP(A14717,'Componentes APUs'!$A$1:$D$14,4,0)</f>
        <v>3787.878787878788</v>
      </c>
      <c r="G14717" s="51">
        <f>ROUNDUP(F14717*(E14717/21)/E14682,0)</f>
        <v>993</v>
      </c>
    </row>
    <row r="14718" spans="1:7" x14ac:dyDescent="0.25">
      <c r="A14718" s="50" t="s">
        <v>79</v>
      </c>
      <c r="B14718" s="72" t="str">
        <f>VLOOKUP(A14718,'Componentes APUs'!$A$1:$D$14,2,0)</f>
        <v>Gafas protectoras filtro UV</v>
      </c>
      <c r="C14718" s="73"/>
      <c r="D14718" s="50" t="str">
        <f>VLOOKUP(A14718,'Componentes APUs'!$A$1:$D$14,3,0)</f>
        <v>U</v>
      </c>
      <c r="E14718" s="50">
        <f>SUM(C14692:C14697)</f>
        <v>2.75</v>
      </c>
      <c r="F14718" s="51">
        <f>VLOOKUP(A14718,'Componentes APUs'!$A$1:$D$14,4,0)</f>
        <v>2777.7777777777778</v>
      </c>
      <c r="G14718" s="51">
        <f>ROUNDUP(F14718*(E14718/21)/E14682,0)</f>
        <v>728</v>
      </c>
    </row>
    <row r="14719" spans="1:7" x14ac:dyDescent="0.25">
      <c r="A14719" s="69" t="s">
        <v>402</v>
      </c>
      <c r="B14719" s="72" t="str">
        <f>VLOOKUP(A14719,'Componentes APUs'!$A$1:$D$14,2,0)</f>
        <v>Bota de seguridad PVC dielectrica</v>
      </c>
      <c r="C14719" s="73"/>
      <c r="D14719" s="50" t="str">
        <f>VLOOKUP(A14719,'Componentes APUs'!$A$1:$D$14,3,0)</f>
        <v>Par</v>
      </c>
      <c r="E14719" s="50">
        <f>SUM(C14692:C14697)</f>
        <v>2.75</v>
      </c>
      <c r="F14719" s="51">
        <f>VLOOKUP(A14719,'Componentes APUs'!$A$1:$D$14,4,0)</f>
        <v>2916.6666666666665</v>
      </c>
      <c r="G14719" s="51">
        <f>ROUNDUP(F14719*(E14719/21)/E14682,0)</f>
        <v>764</v>
      </c>
    </row>
    <row r="14720" spans="1:7" x14ac:dyDescent="0.25">
      <c r="A14720" s="50" t="s">
        <v>403</v>
      </c>
      <c r="B14720" s="72" t="str">
        <f>VLOOKUP(A14720,'Componentes APUs'!$A$1:$D$14,2,0)</f>
        <v>Capuchon</v>
      </c>
      <c r="C14720" s="73"/>
      <c r="D14720" s="50" t="str">
        <f>VLOOKUP(A14720,'Componentes APUs'!$A$1:$D$14,3,0)</f>
        <v>U</v>
      </c>
      <c r="E14720" s="50">
        <f>SUM(C14692:C14697)</f>
        <v>2.75</v>
      </c>
      <c r="F14720" s="51">
        <f>VLOOKUP(A14720,'Componentes APUs'!$A$1:$D$14,4,0)</f>
        <v>2525.2525252525252</v>
      </c>
      <c r="G14720" s="51">
        <f>ROUNDUP(F14720*(E14720/21)/E14682,0)</f>
        <v>662</v>
      </c>
    </row>
    <row r="14721" spans="1:7" x14ac:dyDescent="0.25">
      <c r="A14721" s="69" t="s">
        <v>81</v>
      </c>
      <c r="B14721" s="72" t="str">
        <f>VLOOKUP(A14721,'Componentes APUs'!$A$1:$D$14,2,0)</f>
        <v>Guantes Protectores  - ingeniero reforzados</v>
      </c>
      <c r="C14721" s="73"/>
      <c r="D14721" s="50" t="str">
        <f>VLOOKUP(A14721,'Componentes APUs'!$A$1:$D$14,3,0)</f>
        <v>Par</v>
      </c>
      <c r="E14721" s="50">
        <f>C14694+C14695+C14697</f>
        <v>2</v>
      </c>
      <c r="F14721" s="51">
        <f>VLOOKUP(A14721,'Componentes APUs'!$A$1:$D$14,4,0)</f>
        <v>2525.2525252525252</v>
      </c>
      <c r="G14721" s="51">
        <f>ROUNDUP(F14721*(E14721/21)/E14682,0)</f>
        <v>482</v>
      </c>
    </row>
    <row r="14722" spans="1:7" x14ac:dyDescent="0.25">
      <c r="A14722" s="50" t="s">
        <v>83</v>
      </c>
      <c r="B14722" s="72" t="str">
        <f>VLOOKUP(A14722,'Componentes APUs'!$A$1:$D$14,2,0)</f>
        <v>Impermeable (pantalon camisa)</v>
      </c>
      <c r="C14722" s="73"/>
      <c r="D14722" s="50" t="str">
        <f>VLOOKUP(A14722,'Componentes APUs'!$A$1:$D$14,3,0)</f>
        <v>U</v>
      </c>
      <c r="E14722" s="50">
        <f>SUM(C14692:C14697)</f>
        <v>2.75</v>
      </c>
      <c r="F14722" s="51">
        <f>VLOOKUP(A14722,'Componentes APUs'!$A$1:$D$14,4,0)</f>
        <v>3750</v>
      </c>
      <c r="G14722" s="51">
        <f>ROUNDUP(F14722*(E14722/21)/E14682,0)</f>
        <v>983</v>
      </c>
    </row>
    <row r="14723" spans="1:7" x14ac:dyDescent="0.25">
      <c r="A14723" s="69" t="s">
        <v>85</v>
      </c>
      <c r="B14723" s="72" t="str">
        <f>VLOOKUP(A14723,'Componentes APUs'!$A$1:$D$14,2,0)</f>
        <v>Jean Dielectrico</v>
      </c>
      <c r="C14723" s="73"/>
      <c r="D14723" s="50" t="str">
        <f>VLOOKUP(A14723,'Componentes APUs'!$A$1:$D$14,3,0)</f>
        <v>U</v>
      </c>
      <c r="E14723" s="50">
        <f>SUM(C14692:C14697)</f>
        <v>2.75</v>
      </c>
      <c r="F14723" s="51">
        <f>VLOOKUP(A14723,'Componentes APUs'!$A$1:$D$14,4,0)</f>
        <v>7575.757575757576</v>
      </c>
      <c r="G14723" s="51">
        <f>ROUNDUP(F14723*(E14723/21)/E14682,0)</f>
        <v>1985</v>
      </c>
    </row>
    <row r="14724" spans="1:7" x14ac:dyDescent="0.25">
      <c r="A14724" s="50" t="s">
        <v>87</v>
      </c>
      <c r="B14724" s="72" t="str">
        <f>VLOOKUP(A14724,'Componentes APUs'!$A$1:$D$14,2,0)</f>
        <v>Casco dielectrico Tipo 2 Clase E con barboquejo</v>
      </c>
      <c r="C14724" s="73"/>
      <c r="D14724" s="50" t="str">
        <f>VLOOKUP(A14724,'Componentes APUs'!$A$1:$D$14,3,0)</f>
        <v>U</v>
      </c>
      <c r="E14724" s="53">
        <f>IF(A14694="MO-3",C14694,0)</f>
        <v>1</v>
      </c>
      <c r="F14724" s="51">
        <f>VLOOKUP(A14724,'Componentes APUs'!$A$1:$D$14,4,0)</f>
        <v>7500</v>
      </c>
      <c r="G14724" s="51">
        <f>ROUNDUP(F14724*(E14724/21)/E14682,0)</f>
        <v>715</v>
      </c>
    </row>
    <row r="14725" spans="1:7" x14ac:dyDescent="0.25">
      <c r="A14725" s="69" t="s">
        <v>89</v>
      </c>
      <c r="B14725" s="72" t="str">
        <f>VLOOKUP(A14725,'Componentes APUs'!$A$1:$D$14,2,0)</f>
        <v>Kit de rescate para trabajo en alturas</v>
      </c>
      <c r="C14725" s="73"/>
      <c r="D14725" s="50" t="str">
        <f>VLOOKUP(A14725,'Componentes APUs'!$A$1:$D$14,3,0)</f>
        <v>U</v>
      </c>
      <c r="E14725" s="50">
        <f>IF(AND(A14694="MO-3",C14694=2),1,0)</f>
        <v>0</v>
      </c>
      <c r="F14725" s="51">
        <f>VLOOKUP(A14725,'Componentes APUs'!$A$1:$D$14,4,0)</f>
        <v>37500</v>
      </c>
      <c r="G14725" s="51">
        <f>ROUNDUP(F14725*(E14725/21)/E14682,0)</f>
        <v>0</v>
      </c>
    </row>
    <row r="14726" spans="1:7" x14ac:dyDescent="0.25">
      <c r="A14726" s="50" t="s">
        <v>91</v>
      </c>
      <c r="B14726" s="72" t="str">
        <f>VLOOKUP(A14726,'Componentes APUs'!$A$1:$D$14,2,0)</f>
        <v>Equipo completo para trabajo en alturas con pretales (Arnes dielectrico, 1 mosqueton de seguridad, tie off dielectrico, eslinga de posicionamiento, juego de pretales)</v>
      </c>
      <c r="C14726" s="73"/>
      <c r="D14726" s="50" t="str">
        <f>VLOOKUP(A14726,'Componentes APUs'!$A$1:$D$14,3,0)</f>
        <v>U</v>
      </c>
      <c r="E14726" s="50">
        <f>IF(A14694="MO-3",C14694,0)</f>
        <v>1</v>
      </c>
      <c r="F14726" s="51">
        <f>VLOOKUP(A14726,'Componentes APUs'!$A$1:$D$14,4,0)</f>
        <v>26041.666666666668</v>
      </c>
      <c r="G14726" s="51">
        <f>ROUNDUP(F14726*(E14726/21)/E14682,0)</f>
        <v>2481</v>
      </c>
    </row>
    <row r="14727" spans="1:7" x14ac:dyDescent="0.25">
      <c r="A14727" s="219" t="s">
        <v>95</v>
      </c>
      <c r="B14727" s="219"/>
      <c r="C14727" s="219"/>
      <c r="D14727" s="219"/>
      <c r="E14727" s="219"/>
      <c r="F14727" s="219"/>
      <c r="G14727" s="52">
        <f>SUM(G14714:G14726)</f>
        <v>15691</v>
      </c>
    </row>
    <row r="14728" spans="1:7" x14ac:dyDescent="0.25">
      <c r="A14728" s="56"/>
      <c r="B14728" s="57"/>
      <c r="C14728" s="57"/>
      <c r="D14728" s="57"/>
      <c r="E14728" s="57"/>
      <c r="F14728" s="57"/>
      <c r="G14728" s="58"/>
    </row>
    <row r="14729" spans="1:7" x14ac:dyDescent="0.25">
      <c r="A14729" s="219" t="s">
        <v>96</v>
      </c>
      <c r="B14729" s="219"/>
      <c r="C14729" s="219"/>
      <c r="D14729" s="219"/>
      <c r="E14729" s="219"/>
      <c r="F14729" s="219"/>
      <c r="G14729" s="219"/>
    </row>
    <row r="14730" spans="1:7" x14ac:dyDescent="0.25">
      <c r="A14730" s="49" t="s">
        <v>35</v>
      </c>
      <c r="B14730" s="225" t="s">
        <v>36</v>
      </c>
      <c r="C14730" s="225"/>
      <c r="D14730" s="49" t="s">
        <v>37</v>
      </c>
      <c r="E14730" s="49" t="s">
        <v>38</v>
      </c>
      <c r="F14730" s="49" t="s">
        <v>39</v>
      </c>
      <c r="G14730" s="49" t="s">
        <v>40</v>
      </c>
    </row>
    <row r="14731" spans="1:7" x14ac:dyDescent="0.25">
      <c r="A14731" s="69" t="s">
        <v>97</v>
      </c>
      <c r="B14731" s="72" t="str">
        <f>VLOOKUP(A14731,'Componentes APUs'!$N$1:$Q$30,2,0)</f>
        <v>Camioneta</v>
      </c>
      <c r="C14731" s="73"/>
      <c r="D14731" s="70" t="str">
        <f>VLOOKUP(A14731,'Componentes APUs'!$N$1:$Q$30,3,0)</f>
        <v>U</v>
      </c>
      <c r="E14731" s="50">
        <v>1</v>
      </c>
      <c r="F14731" s="51">
        <f>VLOOKUP(A14731,'Componentes APUs'!$N$1:$Q$30,4,0)</f>
        <v>5500000</v>
      </c>
      <c r="G14731" s="51">
        <f>IFERROR(ROUNDUP(F14731*(E14731/21)/E14682,0),"-")</f>
        <v>523810</v>
      </c>
    </row>
    <row r="14732" spans="1:7" x14ac:dyDescent="0.25">
      <c r="A14732" s="50" t="s">
        <v>321</v>
      </c>
      <c r="B14732" s="72" t="str">
        <f>VLOOKUP(A14732,'Componentes APUs'!$N$1:$Q$30,2,0)</f>
        <v>Grúa Hidráulica</v>
      </c>
      <c r="C14732" s="73"/>
      <c r="D14732" s="70" t="str">
        <f>VLOOKUP(A14732,'Componentes APUs'!$N$1:$Q$30,3,0)</f>
        <v>U</v>
      </c>
      <c r="E14732" s="50">
        <v>0</v>
      </c>
      <c r="F14732" s="51">
        <f>VLOOKUP(A14732,'Componentes APUs'!$N$1:$Q$30,4,0)</f>
        <v>21000000</v>
      </c>
      <c r="G14732" s="51">
        <f>IFERROR(ROUNDUP(F14732*(E14732/21)/E14682,0),"-")</f>
        <v>0</v>
      </c>
    </row>
    <row r="14733" spans="1:7" x14ac:dyDescent="0.25">
      <c r="A14733" s="69" t="s">
        <v>322</v>
      </c>
      <c r="B14733" s="72" t="str">
        <f>VLOOKUP(A14733,'Componentes APUs'!$N$1:$Q$30,2,0)</f>
        <v>Camabaja</v>
      </c>
      <c r="C14733" s="73"/>
      <c r="D14733" s="70" t="str">
        <f>VLOOKUP(A14733,'Componentes APUs'!$N$1:$Q$30,3,0)</f>
        <v>TON/KM</v>
      </c>
      <c r="E14733" s="50">
        <v>0</v>
      </c>
      <c r="F14733" s="51">
        <f>VLOOKUP(A14733,'Componentes APUs'!$N$1:$Q$30,4,0)</f>
        <v>611</v>
      </c>
      <c r="G14733" s="51">
        <f>IFERROR(ROUNDUP(F14733*(E14733/21)/E14682,0),"-")</f>
        <v>0</v>
      </c>
    </row>
    <row r="14734" spans="1:7" x14ac:dyDescent="0.25">
      <c r="A14734" s="50" t="s">
        <v>323</v>
      </c>
      <c r="B14734" s="72" t="str">
        <f>VLOOKUP(A14734,'Componentes APUs'!$N$1:$Q$30,2,0)</f>
        <v>Volqueta</v>
      </c>
      <c r="C14734" s="73"/>
      <c r="D14734" s="70" t="str">
        <f>VLOOKUP(A14734,'Componentes APUs'!$N$1:$Q$30,3,0)</f>
        <v>U</v>
      </c>
      <c r="E14734" s="50">
        <v>0</v>
      </c>
      <c r="F14734" s="51">
        <f>VLOOKUP(A14734,'Componentes APUs'!$N$1:$Q$30,4,0)</f>
        <v>14828184</v>
      </c>
      <c r="G14734" s="51">
        <f>IFERROR(ROUNDUP(F14734*(E14734/21)/E14682,0),"-")</f>
        <v>0</v>
      </c>
    </row>
    <row r="14735" spans="1:7" x14ac:dyDescent="0.25">
      <c r="A14735" s="69" t="s">
        <v>324</v>
      </c>
      <c r="B14735" s="72" t="str">
        <f>VLOOKUP(A14735,'Componentes APUs'!$N$1:$Q$30,2,0)</f>
        <v>Retroexcavadora</v>
      </c>
      <c r="C14735" s="73"/>
      <c r="D14735" s="70" t="str">
        <f>VLOOKUP(A14735,'Componentes APUs'!$N$1:$Q$30,3,0)</f>
        <v>U</v>
      </c>
      <c r="E14735" s="50">
        <v>0</v>
      </c>
      <c r="F14735" s="51">
        <f>VLOOKUP(A14735,'Componentes APUs'!$N$1:$Q$30,4,0)</f>
        <v>46030656</v>
      </c>
      <c r="G14735" s="51">
        <f>IFERROR(ROUNDUP(F14735*(E14735/21)/E14682,0),"-")</f>
        <v>0</v>
      </c>
    </row>
    <row r="14736" spans="1:7" x14ac:dyDescent="0.25">
      <c r="A14736" s="219" t="s">
        <v>99</v>
      </c>
      <c r="B14736" s="219"/>
      <c r="C14736" s="219"/>
      <c r="D14736" s="219"/>
      <c r="E14736" s="219"/>
      <c r="F14736" s="219"/>
      <c r="G14736" s="52">
        <f>SUM(G14731:G14735)</f>
        <v>523810</v>
      </c>
    </row>
    <row r="14737" spans="1:7" x14ac:dyDescent="0.25">
      <c r="A14737" s="56"/>
      <c r="B14737" s="57"/>
      <c r="C14737" s="57"/>
      <c r="D14737" s="57"/>
      <c r="E14737" s="57"/>
      <c r="F14737" s="57"/>
      <c r="G14737" s="58"/>
    </row>
    <row r="14738" spans="1:7" x14ac:dyDescent="0.25">
      <c r="A14738" s="219" t="s">
        <v>1516</v>
      </c>
      <c r="B14738" s="219"/>
      <c r="C14738" s="219"/>
      <c r="D14738" s="219"/>
      <c r="E14738" s="219"/>
      <c r="F14738" s="219"/>
      <c r="G14738" s="52">
        <f>G14736+G14727+G14710+G14699+G14688</f>
        <v>125924991</v>
      </c>
    </row>
    <row r="14739" spans="1:7" x14ac:dyDescent="0.25">
      <c r="A14739" s="59"/>
      <c r="B14739" s="60"/>
      <c r="C14739" s="60"/>
      <c r="D14739" s="60"/>
      <c r="E14739" s="57"/>
      <c r="F14739" s="57"/>
      <c r="G14739" s="58"/>
    </row>
    <row r="14740" spans="1:7" x14ac:dyDescent="0.25">
      <c r="A14740" s="64"/>
      <c r="D14740" s="55"/>
      <c r="E14740" s="49" t="s">
        <v>25</v>
      </c>
      <c r="F14740" s="54">
        <v>0.15</v>
      </c>
      <c r="G14740" s="51">
        <f>G14738*F14740</f>
        <v>18888748.649999999</v>
      </c>
    </row>
    <row r="14741" spans="1:7" x14ac:dyDescent="0.25">
      <c r="A14741" s="64"/>
      <c r="D14741" s="55"/>
      <c r="E14741" s="49" t="s">
        <v>26</v>
      </c>
      <c r="F14741" s="54">
        <v>0.05</v>
      </c>
      <c r="G14741" s="51">
        <f>G14738*F14741</f>
        <v>6296249.5500000007</v>
      </c>
    </row>
    <row r="14742" spans="1:7" x14ac:dyDescent="0.25">
      <c r="A14742" s="61"/>
      <c r="B14742" s="65"/>
      <c r="C14742" s="65"/>
      <c r="D14742" s="62"/>
      <c r="E14742" s="49" t="s">
        <v>27</v>
      </c>
      <c r="F14742" s="54">
        <v>0.05</v>
      </c>
      <c r="G14742" s="51">
        <f>G14738*F14742</f>
        <v>6296249.5500000007</v>
      </c>
    </row>
    <row r="14743" spans="1:7" x14ac:dyDescent="0.25">
      <c r="A14743" s="61"/>
      <c r="B14743" s="62"/>
      <c r="C14743" s="62"/>
      <c r="D14743" s="62"/>
      <c r="E14743" s="62"/>
      <c r="F14743" s="62"/>
      <c r="G14743" s="63"/>
    </row>
    <row r="14744" spans="1:7" x14ac:dyDescent="0.25">
      <c r="A14744" s="219" t="s">
        <v>1517</v>
      </c>
      <c r="B14744" s="219"/>
      <c r="C14744" s="219"/>
      <c r="D14744" s="219"/>
      <c r="E14744" s="219"/>
      <c r="F14744" s="219"/>
      <c r="G14744" s="52">
        <f>G14738+G14740+G14741+G14742</f>
        <v>157406238.75000003</v>
      </c>
    </row>
    <row r="14745" spans="1:7" x14ac:dyDescent="0.25">
      <c r="A14745" s="59"/>
      <c r="B14745" s="60"/>
      <c r="C14745" s="60"/>
      <c r="D14745" s="60"/>
      <c r="E14745" s="57"/>
      <c r="F14745" s="57"/>
      <c r="G14745" s="58"/>
    </row>
    <row r="14746" spans="1:7" x14ac:dyDescent="0.25">
      <c r="A14746" s="64"/>
      <c r="D14746" s="55"/>
      <c r="E14746" s="49" t="s">
        <v>102</v>
      </c>
      <c r="F14746" s="49" t="s">
        <v>103</v>
      </c>
      <c r="G14746" s="51">
        <f>G14742*19%</f>
        <v>1196287.4145000002</v>
      </c>
    </row>
    <row r="14747" spans="1:7" x14ac:dyDescent="0.25">
      <c r="A14747" s="61"/>
      <c r="B14747" s="62"/>
      <c r="C14747" s="62"/>
      <c r="D14747" s="62"/>
      <c r="E14747" s="57"/>
      <c r="F14747" s="57"/>
      <c r="G14747" s="58"/>
    </row>
    <row r="14748" spans="1:7" x14ac:dyDescent="0.25">
      <c r="A14748" s="219" t="s">
        <v>104</v>
      </c>
      <c r="B14748" s="219"/>
      <c r="C14748" s="219"/>
      <c r="D14748" s="219"/>
      <c r="E14748" s="219"/>
      <c r="F14748" s="219"/>
      <c r="G14748" s="52">
        <f>G14746+G14744</f>
        <v>158602526.16450003</v>
      </c>
    </row>
    <row r="14750" spans="1:7" x14ac:dyDescent="0.25">
      <c r="A14750" s="74" t="s">
        <v>29</v>
      </c>
      <c r="B14750" s="226" t="s">
        <v>30</v>
      </c>
      <c r="C14750" s="226"/>
      <c r="D14750" s="74" t="s">
        <v>31</v>
      </c>
      <c r="E14750" s="74" t="s">
        <v>32</v>
      </c>
      <c r="F14750" s="74" t="s">
        <v>189</v>
      </c>
      <c r="G14750" s="74" t="s">
        <v>33</v>
      </c>
    </row>
    <row r="14751" spans="1:7" ht="55.5" customHeight="1" x14ac:dyDescent="0.25">
      <c r="A14751" s="50" t="str">
        <f>Presupuesto!B273</f>
        <v>020_N2</v>
      </c>
      <c r="B14751" s="220" t="str">
        <f>Presupuesto!C273</f>
        <v>SUMINISTRO E INSTALACIÓN DE TRANSFORMADOR DE CORRIENTE. USO EXTERIOR. TRIPLE NÚCLEO: ( N1:300-600/5 CL: 0,5S, N2:300-600/5 CL: 0,5S, N3:300-600/5 CL: 5P20) UM:15KV, ISC:12.5KA MIN. INCLUYE PROTOCOLOS DE PRUEBA DE PRECISIÓN DE FABRICANTE Y LABORATORIO ACREDITADO.</v>
      </c>
      <c r="C14751" s="220"/>
      <c r="D14751" s="50" t="s">
        <v>8</v>
      </c>
      <c r="E14751" s="50">
        <v>3</v>
      </c>
      <c r="F14751" s="50"/>
      <c r="G14751" s="51">
        <f>G14815</f>
        <v>26466677.060999997</v>
      </c>
    </row>
    <row r="14752" spans="1:7" x14ac:dyDescent="0.25">
      <c r="A14752" s="219" t="s">
        <v>34</v>
      </c>
      <c r="B14752" s="219"/>
      <c r="C14752" s="219"/>
      <c r="D14752" s="219"/>
      <c r="E14752" s="219"/>
      <c r="F14752" s="219"/>
      <c r="G14752" s="219"/>
    </row>
    <row r="14753" spans="1:7" x14ac:dyDescent="0.25">
      <c r="A14753" s="49" t="s">
        <v>35</v>
      </c>
      <c r="B14753" s="219" t="s">
        <v>36</v>
      </c>
      <c r="C14753" s="219"/>
      <c r="D14753" s="49" t="s">
        <v>37</v>
      </c>
      <c r="E14753" s="49" t="s">
        <v>38</v>
      </c>
      <c r="F14753" s="49" t="s">
        <v>39</v>
      </c>
      <c r="G14753" s="49" t="s">
        <v>40</v>
      </c>
    </row>
    <row r="14754" spans="1:7" ht="54" customHeight="1" x14ac:dyDescent="0.25">
      <c r="A14754" s="17" t="str">
        <f>Material!A50</f>
        <v>MA-49</v>
      </c>
      <c r="B14754" s="221" t="str">
        <f>IFERROR(VLOOKUP(A14754,Material!$A:$J,2,0),"-")</f>
        <v>TRANSFORMADOR DE CORRIENTE. USO EXTERIOR. TRIPLE NÚCLEO: ( N1:300-600/5 CL: 0,5S, N2:300-600/5 CL: 0,5S, N3:300-600/5 CL: 5P20) UM:15KV, ISC:12.5KA MIN. INCLUYE PROTOCOLOS DE PRUEBA DE PRECISIÓN DE FABRICANTE Y LABORATORIO ACREDITADO.</v>
      </c>
      <c r="C14754" s="222"/>
      <c r="D14754" s="50" t="str">
        <f>IFERROR(VLOOKUP(A14754,Material!$A:$J,4,0),"-")</f>
        <v>UN</v>
      </c>
      <c r="E14754" s="50">
        <v>1</v>
      </c>
      <c r="F14754" s="51">
        <f>IFERROR(VLOOKUP(A14754,Material!$A:$J,3,0),"-")</f>
        <v>20563200</v>
      </c>
      <c r="G14754" s="51">
        <f t="shared" ref="G14754:G14755" si="209">IFERROR(ROUNDUP(F14754*E14754,0),"-")</f>
        <v>20563200</v>
      </c>
    </row>
    <row r="14755" spans="1:7" x14ac:dyDescent="0.25">
      <c r="A14755" s="17"/>
      <c r="B14755" s="72" t="str">
        <f>IFERROR(VLOOKUP(A14755,Material!$A:$J,2,0),"-")</f>
        <v>-</v>
      </c>
      <c r="C14755" s="73"/>
      <c r="D14755" s="50" t="str">
        <f>IFERROR(VLOOKUP(A14755,Material!$A:$J,4,0),"-")</f>
        <v>-</v>
      </c>
      <c r="E14755" s="50"/>
      <c r="F14755" s="51" t="str">
        <f>IFERROR(VLOOKUP(A14755,Material!$A:$J,3,0),"-")</f>
        <v>-</v>
      </c>
      <c r="G14755" s="51" t="str">
        <f t="shared" si="209"/>
        <v>-</v>
      </c>
    </row>
    <row r="14756" spans="1:7" x14ac:dyDescent="0.25">
      <c r="A14756" s="219" t="s">
        <v>41</v>
      </c>
      <c r="B14756" s="219"/>
      <c r="C14756" s="219"/>
      <c r="D14756" s="219"/>
      <c r="E14756" s="219"/>
      <c r="F14756" s="219"/>
      <c r="G14756" s="52">
        <f>SUM(G14754:G14755)</f>
        <v>20563200</v>
      </c>
    </row>
    <row r="14757" spans="1:7" x14ac:dyDescent="0.25">
      <c r="A14757" s="56"/>
      <c r="B14757" s="57"/>
      <c r="C14757" s="57"/>
      <c r="D14757" s="57"/>
      <c r="E14757" s="57"/>
      <c r="F14757" s="57"/>
      <c r="G14757" s="58"/>
    </row>
    <row r="14758" spans="1:7" x14ac:dyDescent="0.25">
      <c r="A14758" s="219" t="s">
        <v>42</v>
      </c>
      <c r="B14758" s="219"/>
      <c r="C14758" s="219"/>
      <c r="D14758" s="219"/>
      <c r="E14758" s="219"/>
      <c r="F14758" s="219"/>
      <c r="G14758" s="219"/>
    </row>
    <row r="14759" spans="1:7" x14ac:dyDescent="0.25">
      <c r="A14759" s="49" t="s">
        <v>35</v>
      </c>
      <c r="B14759" s="49" t="s">
        <v>36</v>
      </c>
      <c r="C14759" s="49" t="s">
        <v>38</v>
      </c>
      <c r="D14759" s="49" t="s">
        <v>43</v>
      </c>
      <c r="E14759" s="49" t="s">
        <v>44</v>
      </c>
      <c r="F14759" s="49" t="s">
        <v>45</v>
      </c>
      <c r="G14759" s="49" t="s">
        <v>40</v>
      </c>
    </row>
    <row r="14760" spans="1:7" x14ac:dyDescent="0.25">
      <c r="A14760" s="50" t="s">
        <v>319</v>
      </c>
      <c r="B14760" s="68" t="str">
        <f>VLOOKUP(A14760,'[1]Componentes APUs'!$H$1:$L$25,2,0)</f>
        <v>Ingeniero Residente de Obra</v>
      </c>
      <c r="C14760" s="93">
        <v>0.25</v>
      </c>
      <c r="D14760" s="50">
        <f>VLOOKUP(A14760,'[1]Componentes APUs'!$H$1:$L$25,3,0)</f>
        <v>4</v>
      </c>
      <c r="E14760" s="51">
        <f>VLOOKUP(A14760,'[1]Componentes APUs'!$H$1:$L$25,4,0)</f>
        <v>271142.85714285716</v>
      </c>
      <c r="F14760" s="51">
        <f>VLOOKUP(A14760,'[1]Componentes APUs'!$H$1:$L$25,5,0)</f>
        <v>162685.71428571429</v>
      </c>
      <c r="G14760" s="51">
        <f>ROUNDUP((E14760+F14760)*C14760/E14751,0)</f>
        <v>36153</v>
      </c>
    </row>
    <row r="14761" spans="1:7" x14ac:dyDescent="0.25">
      <c r="A14761" s="50" t="s">
        <v>320</v>
      </c>
      <c r="B14761" s="68" t="str">
        <f>VLOOKUP(A14761,'[1]Componentes APUs'!$H$1:$L$25,2,0)</f>
        <v>Tecnico Supervisor</v>
      </c>
      <c r="C14761" s="93">
        <v>0.25</v>
      </c>
      <c r="D14761" s="50">
        <f>VLOOKUP(A14761,'[1]Componentes APUs'!$H$1:$L$25,3,0)</f>
        <v>2.2999999999999998</v>
      </c>
      <c r="E14761" s="51">
        <f>VLOOKUP(A14761,'[1]Componentes APUs'!$H$1:$L$25,4,0)</f>
        <v>155907.14285714284</v>
      </c>
      <c r="F14761" s="51">
        <f>VLOOKUP(A14761,'[1]Componentes APUs'!$H$1:$L$25,5,0)</f>
        <v>93544.285714285696</v>
      </c>
      <c r="G14761" s="51">
        <f>ROUNDUP((E14761+F14761)*C14761/E14751,0)</f>
        <v>20788</v>
      </c>
    </row>
    <row r="14762" spans="1:7" x14ac:dyDescent="0.25">
      <c r="A14762" s="50" t="s">
        <v>46</v>
      </c>
      <c r="B14762" s="68" t="str">
        <f>VLOOKUP(A14762,'[1]Componentes APUs'!$H$1:$L$25,2,0)</f>
        <v>Tecnico Liniero</v>
      </c>
      <c r="C14762" s="93">
        <v>2</v>
      </c>
      <c r="D14762" s="50">
        <f>VLOOKUP(A14762,'[1]Componentes APUs'!$H$1:$L$25,3,0)</f>
        <v>2</v>
      </c>
      <c r="E14762" s="51">
        <f>VLOOKUP(A14762,'[1]Componentes APUs'!$H$1:$L$25,4,0)</f>
        <v>154619.04761904763</v>
      </c>
      <c r="F14762" s="51">
        <f>VLOOKUP(A14762,'[1]Componentes APUs'!$H$1:$L$25,5,0)</f>
        <v>92771.42857142858</v>
      </c>
      <c r="G14762" s="51">
        <f>ROUNDUP((E14762+F14762)*C14762/E14751,0)</f>
        <v>164927</v>
      </c>
    </row>
    <row r="14763" spans="1:7" x14ac:dyDescent="0.25">
      <c r="A14763" s="50" t="s">
        <v>48</v>
      </c>
      <c r="B14763" s="68" t="str">
        <f>VLOOKUP(A14763,'[1]Componentes APUs'!$H$1:$L$25,2,0)</f>
        <v>Ayudante Calificado</v>
      </c>
      <c r="C14763" s="93">
        <v>1</v>
      </c>
      <c r="D14763" s="50">
        <f>VLOOKUP(A14763,'[1]Componentes APUs'!$H$1:$L$25,3,0)</f>
        <v>1.5</v>
      </c>
      <c r="E14763" s="51">
        <f>VLOOKUP(A14763,'[1]Componentes APUs'!$H$1:$L$25,4,0)</f>
        <v>115964.28571428571</v>
      </c>
      <c r="F14763" s="51">
        <f>VLOOKUP(A14763,'[1]Componentes APUs'!$H$1:$L$25,5,0)</f>
        <v>69578.57142857142</v>
      </c>
      <c r="G14763" s="51">
        <f>ROUNDUP((E14763+F14763)*C14763/E14751,0)</f>
        <v>61848</v>
      </c>
    </row>
    <row r="14764" spans="1:7" x14ac:dyDescent="0.25">
      <c r="A14764" s="50" t="s">
        <v>50</v>
      </c>
      <c r="B14764" s="68" t="str">
        <f>VLOOKUP(A14764,'[1]Componentes APUs'!$H$1:$L$25,2,0)</f>
        <v>Profesional en SST</v>
      </c>
      <c r="C14764" s="93">
        <v>0.25</v>
      </c>
      <c r="D14764" s="50">
        <f>VLOOKUP(A14764,'[1]Componentes APUs'!$H$1:$L$25,3,0)</f>
        <v>2.5</v>
      </c>
      <c r="E14764" s="51">
        <f>VLOOKUP(A14764,'[1]Componentes APUs'!$H$1:$L$25,4,0)</f>
        <v>169464.28571428571</v>
      </c>
      <c r="F14764" s="51">
        <f>VLOOKUP(A14764,'[1]Componentes APUs'!$H$1:$L$25,5,0)</f>
        <v>101678.57142857142</v>
      </c>
      <c r="G14764" s="51">
        <f>ROUNDUP((E14764+F14764)*C14764/E14751,0)</f>
        <v>22596</v>
      </c>
    </row>
    <row r="14765" spans="1:7" x14ac:dyDescent="0.25">
      <c r="A14765" s="50" t="s">
        <v>52</v>
      </c>
      <c r="B14765" s="68" t="str">
        <f>VLOOKUP(A14765,'[1]Componentes APUs'!$H$1:$L$25,2,0)</f>
        <v>Ayudante No Calificado</v>
      </c>
      <c r="C14765" s="93">
        <v>1</v>
      </c>
      <c r="D14765" s="50">
        <f>VLOOKUP(A14765,'[1]Componentes APUs'!$H$1:$L$25,3,0)</f>
        <v>1</v>
      </c>
      <c r="E14765" s="51">
        <f>VLOOKUP(A14765,'[1]Componentes APUs'!$H$1:$L$25,4,0)</f>
        <v>77309.523809523816</v>
      </c>
      <c r="F14765" s="51">
        <f>VLOOKUP(A14765,'[1]Componentes APUs'!$H$1:$L$25,5,0)</f>
        <v>46385.71428571429</v>
      </c>
      <c r="G14765" s="51">
        <f>ROUNDUP((E14765+F14765)*C14765/E14751,0)</f>
        <v>41232</v>
      </c>
    </row>
    <row r="14766" spans="1:7" x14ac:dyDescent="0.25">
      <c r="A14766" s="219" t="s">
        <v>56</v>
      </c>
      <c r="B14766" s="219"/>
      <c r="C14766" s="219"/>
      <c r="D14766" s="219"/>
      <c r="E14766" s="219"/>
      <c r="F14766" s="219"/>
      <c r="G14766" s="52">
        <f>SUM(G14760:G14765)</f>
        <v>347544</v>
      </c>
    </row>
    <row r="14767" spans="1:7" x14ac:dyDescent="0.25">
      <c r="A14767" s="56"/>
      <c r="B14767" s="57"/>
      <c r="C14767" s="57"/>
      <c r="D14767" s="57"/>
      <c r="E14767" s="57"/>
      <c r="F14767" s="57"/>
      <c r="G14767" s="58"/>
    </row>
    <row r="14768" spans="1:7" x14ac:dyDescent="0.25">
      <c r="A14768" s="219" t="s">
        <v>57</v>
      </c>
      <c r="B14768" s="219"/>
      <c r="C14768" s="219"/>
      <c r="D14768" s="219"/>
      <c r="E14768" s="219"/>
      <c r="F14768" s="219"/>
      <c r="G14768" s="219"/>
    </row>
    <row r="14769" spans="1:7" x14ac:dyDescent="0.25">
      <c r="A14769" s="49" t="s">
        <v>35</v>
      </c>
      <c r="B14769" s="219" t="s">
        <v>36</v>
      </c>
      <c r="C14769" s="219"/>
      <c r="D14769" s="49" t="s">
        <v>37</v>
      </c>
      <c r="E14769" s="49" t="s">
        <v>38</v>
      </c>
      <c r="F14769" s="49" t="s">
        <v>39</v>
      </c>
      <c r="G14769" s="49" t="s">
        <v>40</v>
      </c>
    </row>
    <row r="14770" spans="1:7" x14ac:dyDescent="0.25">
      <c r="A14770" s="50" t="s">
        <v>326</v>
      </c>
      <c r="B14770" s="220" t="str">
        <f>VLOOKUP(A14770,'[1]Componentes APUs'!$S$1:$V$10,2,0)</f>
        <v>Juego Llaves</v>
      </c>
      <c r="C14770" s="220"/>
      <c r="D14770" s="50" t="s">
        <v>18</v>
      </c>
      <c r="E14770" s="50">
        <v>2</v>
      </c>
      <c r="F14770" s="51">
        <f>VLOOKUP(A14770,'[1]Componentes APUs'!$S$1:$V$10,4,0)</f>
        <v>9167</v>
      </c>
      <c r="G14770" s="51">
        <f>ROUNDUP(F14770*((E14770/21)/E14751),0)</f>
        <v>292</v>
      </c>
    </row>
    <row r="14771" spans="1:7" x14ac:dyDescent="0.25">
      <c r="A14771" s="50" t="s">
        <v>58</v>
      </c>
      <c r="B14771" s="220" t="str">
        <f>VLOOKUP(A14771,'[1]Componentes APUs'!$S$1:$V$10,2,0)</f>
        <v>Manila de servicio</v>
      </c>
      <c r="C14771" s="220"/>
      <c r="D14771" s="50" t="s">
        <v>18</v>
      </c>
      <c r="E14771" s="50">
        <v>2</v>
      </c>
      <c r="F14771" s="51">
        <f>VLOOKUP(A14771,'[1]Componentes APUs'!$S$1:$V$10,4,0)</f>
        <v>2333</v>
      </c>
      <c r="G14771" s="51">
        <f>ROUNDUP(F14771*((E14771/21)/E14751),0)</f>
        <v>75</v>
      </c>
    </row>
    <row r="14772" spans="1:7" x14ac:dyDescent="0.25">
      <c r="A14772" s="50" t="s">
        <v>327</v>
      </c>
      <c r="B14772" s="220" t="str">
        <f>VLOOKUP(A14772,'[1]Componentes APUs'!$S$1:$V$10,2,0)</f>
        <v>Tula portaherramientas</v>
      </c>
      <c r="C14772" s="220"/>
      <c r="D14772" s="50" t="s">
        <v>18</v>
      </c>
      <c r="E14772" s="50">
        <v>2</v>
      </c>
      <c r="F14772" s="51">
        <f>VLOOKUP(A14772,'[1]Componentes APUs'!$S$1:$V$10,4,0)</f>
        <v>1250</v>
      </c>
      <c r="G14772" s="51">
        <f>ROUNDUP(F14772*((E14772/21)/E14751),0)</f>
        <v>40</v>
      </c>
    </row>
    <row r="14773" spans="1:7" x14ac:dyDescent="0.25">
      <c r="A14773" s="50" t="s">
        <v>60</v>
      </c>
      <c r="B14773" s="220" t="str">
        <f>VLOOKUP(A14773,'[1]Componentes APUs'!$S$1:$V$10,2,0)</f>
        <v>Agarradoras</v>
      </c>
      <c r="C14773" s="220"/>
      <c r="D14773" s="50" t="s">
        <v>18</v>
      </c>
      <c r="E14773" s="50">
        <v>0</v>
      </c>
      <c r="F14773" s="51">
        <f>VLOOKUP(A14773,'[1]Componentes APUs'!$S$1:$V$10,4,0)</f>
        <v>125000</v>
      </c>
      <c r="G14773" s="51">
        <f>ROUNDUP(F14773*((E14773/21)/E14751),0)</f>
        <v>0</v>
      </c>
    </row>
    <row r="14774" spans="1:7" x14ac:dyDescent="0.25">
      <c r="A14774" s="50" t="s">
        <v>62</v>
      </c>
      <c r="B14774" s="220" t="str">
        <f>VLOOKUP(A14774,'[1]Componentes APUs'!$S$1:$V$10,2,0)</f>
        <v>Templadoras</v>
      </c>
      <c r="C14774" s="220"/>
      <c r="D14774" s="50" t="s">
        <v>18</v>
      </c>
      <c r="E14774" s="50">
        <v>0</v>
      </c>
      <c r="F14774" s="51">
        <f>VLOOKUP(A14774,'[1]Componentes APUs'!$S$1:$V$10,4,0)</f>
        <v>250000</v>
      </c>
      <c r="G14774" s="51">
        <f>ROUNDUP(F14774*((E14774/21)/E14751),0)</f>
        <v>0</v>
      </c>
    </row>
    <row r="14775" spans="1:7" x14ac:dyDescent="0.25">
      <c r="A14775" s="50" t="s">
        <v>328</v>
      </c>
      <c r="B14775" s="220" t="str">
        <f>VLOOKUP(A14775,'[1]Componentes APUs'!$S$1:$V$10,2,0)</f>
        <v>Herramienta Menor</v>
      </c>
      <c r="C14775" s="220"/>
      <c r="D14775" s="50" t="s">
        <v>18</v>
      </c>
      <c r="E14775" s="50">
        <v>2</v>
      </c>
      <c r="F14775" s="51">
        <f>VLOOKUP(A14775,'[1]Componentes APUs'!$S$1:$V$10,4,0)</f>
        <v>75758</v>
      </c>
      <c r="G14775" s="51">
        <f>ROUNDUP(F14775*((E14775/21)/E14751),0)</f>
        <v>2406</v>
      </c>
    </row>
    <row r="14776" spans="1:7" x14ac:dyDescent="0.25">
      <c r="A14776" s="50" t="s">
        <v>66</v>
      </c>
      <c r="B14776" s="220" t="str">
        <f>VLOOKUP(A14776,'[1]Componentes APUs'!$S$1:$V$10,2,0)</f>
        <v>Diferencial 2 Toneladas</v>
      </c>
      <c r="C14776" s="220"/>
      <c r="D14776" s="50" t="s">
        <v>18</v>
      </c>
      <c r="E14776" s="50">
        <v>1</v>
      </c>
      <c r="F14776" s="51">
        <f>VLOOKUP(A14776,'[1]Componentes APUs'!$S$1:$V$10,4,0)</f>
        <v>474905</v>
      </c>
      <c r="G14776" s="51">
        <f>ROUNDUP(F14776*((E14776/21)/E14751),0)</f>
        <v>7539</v>
      </c>
    </row>
    <row r="14777" spans="1:7" x14ac:dyDescent="0.25">
      <c r="A14777" s="219" t="s">
        <v>69</v>
      </c>
      <c r="B14777" s="219"/>
      <c r="C14777" s="219"/>
      <c r="D14777" s="219"/>
      <c r="E14777" s="219"/>
      <c r="F14777" s="219"/>
      <c r="G14777" s="52">
        <f>SUM(G14770:G14776)</f>
        <v>10352</v>
      </c>
    </row>
    <row r="14778" spans="1:7" x14ac:dyDescent="0.25">
      <c r="A14778" s="56"/>
      <c r="B14778" s="57"/>
      <c r="C14778" s="57"/>
      <c r="D14778" s="57"/>
      <c r="E14778" s="57"/>
      <c r="F14778" s="57"/>
      <c r="G14778" s="58"/>
    </row>
    <row r="14779" spans="1:7" x14ac:dyDescent="0.25">
      <c r="A14779" s="219" t="s">
        <v>70</v>
      </c>
      <c r="B14779" s="219"/>
      <c r="C14779" s="219"/>
      <c r="D14779" s="219"/>
      <c r="E14779" s="219"/>
      <c r="F14779" s="219"/>
      <c r="G14779" s="219"/>
    </row>
    <row r="14780" spans="1:7" x14ac:dyDescent="0.25">
      <c r="A14780" s="49" t="s">
        <v>35</v>
      </c>
      <c r="B14780" s="219" t="s">
        <v>36</v>
      </c>
      <c r="C14780" s="219"/>
      <c r="D14780" s="49" t="s">
        <v>37</v>
      </c>
      <c r="E14780" s="49" t="s">
        <v>38</v>
      </c>
      <c r="F14780" s="49" t="s">
        <v>39</v>
      </c>
      <c r="G14780" s="49" t="s">
        <v>40</v>
      </c>
    </row>
    <row r="14781" spans="1:7" x14ac:dyDescent="0.25">
      <c r="A14781" s="50" t="s">
        <v>71</v>
      </c>
      <c r="B14781" s="71" t="str">
        <f>VLOOKUP(A14781,'[1]Componentes APUs'!$A$1:$D$14,2,0)</f>
        <v>Camisa indigo sin partes metalicas</v>
      </c>
      <c r="C14781" s="71"/>
      <c r="D14781" s="50" t="str">
        <f>VLOOKUP(A14781,'[1]Componentes APUs'!$A$1:$D$14,3,0)</f>
        <v>U</v>
      </c>
      <c r="E14781" s="50">
        <f>SUM(C14760:C14765)</f>
        <v>4.75</v>
      </c>
      <c r="F14781" s="51">
        <f>VLOOKUP(A14781,'[1]Componentes APUs'!$A$1:$D$14,4,0)</f>
        <v>8585.8585858585866</v>
      </c>
      <c r="G14781" s="51">
        <f>ROUNDUP(F14781*(E14781/21)/E14751,0)</f>
        <v>648</v>
      </c>
    </row>
    <row r="14782" spans="1:7" x14ac:dyDescent="0.25">
      <c r="A14782" s="69" t="s">
        <v>73</v>
      </c>
      <c r="B14782" s="72" t="str">
        <f>VLOOKUP(A14782,'[1]Componentes APUs'!$A$1:$D$14,2,0)</f>
        <v>Bota de seguridad dielectrica</v>
      </c>
      <c r="C14782" s="73"/>
      <c r="D14782" s="70" t="str">
        <f>VLOOKUP(A14782,'[1]Componentes APUs'!$A$1:$D$14,3,0)</f>
        <v>Par</v>
      </c>
      <c r="E14782" s="50">
        <f>SUM(C14760:C14765)</f>
        <v>4.75</v>
      </c>
      <c r="F14782" s="51">
        <f>VLOOKUP(A14782,'[1]Componentes APUs'!$A$1:$D$14,4,0)</f>
        <v>7500</v>
      </c>
      <c r="G14782" s="51">
        <f>ROUNDUP(F14782*(E14782/21)/E14751,0)</f>
        <v>566</v>
      </c>
    </row>
    <row r="14783" spans="1:7" x14ac:dyDescent="0.25">
      <c r="A14783" s="50" t="s">
        <v>76</v>
      </c>
      <c r="B14783" s="72" t="str">
        <f>VLOOKUP(A14783,'[1]Componentes APUs'!$A$1:$D$14,2,0)</f>
        <v>Casco dielectrico Tipo 1 Clase E con barbuquejo</v>
      </c>
      <c r="C14783" s="73"/>
      <c r="D14783" s="50" t="str">
        <f>VLOOKUP(A14783,'[1]Componentes APUs'!$A$1:$D$14,3,0)</f>
        <v>U</v>
      </c>
      <c r="E14783" s="50">
        <f>C14761+C14764+C14765+C14763+C14760+IF(A14762&lt;&gt;"MO-3",C14762,0)</f>
        <v>2.75</v>
      </c>
      <c r="F14783" s="51">
        <f>VLOOKUP(A14783,'[1]Componentes APUs'!$A$1:$D$14,4,0)</f>
        <v>10101.010101010101</v>
      </c>
      <c r="G14783" s="51">
        <f>ROUNDUP(F14783*(E14783/21)/E14751,0)</f>
        <v>441</v>
      </c>
    </row>
    <row r="14784" spans="1:7" x14ac:dyDescent="0.25">
      <c r="A14784" s="69" t="s">
        <v>77</v>
      </c>
      <c r="B14784" s="72" t="str">
        <f>VLOOKUP(A14784,'[1]Componentes APUs'!$A$1:$D$14,2,0)</f>
        <v>Correa plastica y antiflama</v>
      </c>
      <c r="C14784" s="73"/>
      <c r="D14784" s="50" t="str">
        <f>VLOOKUP(A14784,'[1]Componentes APUs'!$A$1:$D$14,3,0)</f>
        <v>U</v>
      </c>
      <c r="E14784" s="50">
        <f>SUM(C14760:C14765)</f>
        <v>4.75</v>
      </c>
      <c r="F14784" s="51">
        <f>VLOOKUP(A14784,'[1]Componentes APUs'!$A$1:$D$14,4,0)</f>
        <v>3787.878787878788</v>
      </c>
      <c r="G14784" s="51">
        <f>ROUNDUP(F14784*(E14784/21)/E14751,0)</f>
        <v>286</v>
      </c>
    </row>
    <row r="14785" spans="1:7" x14ac:dyDescent="0.25">
      <c r="A14785" s="50" t="s">
        <v>79</v>
      </c>
      <c r="B14785" s="72" t="str">
        <f>VLOOKUP(A14785,'[1]Componentes APUs'!$A$1:$D$14,2,0)</f>
        <v>Gafas protectoras filtro UV</v>
      </c>
      <c r="C14785" s="73"/>
      <c r="D14785" s="50" t="str">
        <f>VLOOKUP(A14785,'[1]Componentes APUs'!$A$1:$D$14,3,0)</f>
        <v>U</v>
      </c>
      <c r="E14785" s="50">
        <f>SUM(C14760:C14765)</f>
        <v>4.75</v>
      </c>
      <c r="F14785" s="51">
        <f>VLOOKUP(A14785,'[1]Componentes APUs'!$A$1:$D$14,4,0)</f>
        <v>2777.7777777777778</v>
      </c>
      <c r="G14785" s="51">
        <f>ROUNDUP(F14785*(E14785/21)/E14751,0)</f>
        <v>210</v>
      </c>
    </row>
    <row r="14786" spans="1:7" x14ac:dyDescent="0.25">
      <c r="A14786" s="69" t="s">
        <v>402</v>
      </c>
      <c r="B14786" s="72" t="str">
        <f>VLOOKUP(A14786,'[1]Componentes APUs'!$A$1:$D$14,2,0)</f>
        <v>Bota de seguridad PVC dielectrica</v>
      </c>
      <c r="C14786" s="73"/>
      <c r="D14786" s="50" t="str">
        <f>VLOOKUP(A14786,'[1]Componentes APUs'!$A$1:$D$14,3,0)</f>
        <v>Par</v>
      </c>
      <c r="E14786" s="50">
        <f>SUM(C14760:C14765)</f>
        <v>4.75</v>
      </c>
      <c r="F14786" s="51">
        <f>VLOOKUP(A14786,'[1]Componentes APUs'!$A$1:$D$14,4,0)</f>
        <v>2916.6666666666665</v>
      </c>
      <c r="G14786" s="51">
        <f>ROUNDUP(F14786*(E14786/21)/E14751,0)</f>
        <v>220</v>
      </c>
    </row>
    <row r="14787" spans="1:7" x14ac:dyDescent="0.25">
      <c r="A14787" s="50" t="s">
        <v>403</v>
      </c>
      <c r="B14787" s="72" t="str">
        <f>VLOOKUP(A14787,'[1]Componentes APUs'!$A$1:$D$14,2,0)</f>
        <v>Capuchon</v>
      </c>
      <c r="C14787" s="73"/>
      <c r="D14787" s="50" t="str">
        <f>VLOOKUP(A14787,'[1]Componentes APUs'!$A$1:$D$14,3,0)</f>
        <v>U</v>
      </c>
      <c r="E14787" s="50">
        <f>SUM(C14760:C14765)</f>
        <v>4.75</v>
      </c>
      <c r="F14787" s="51">
        <f>VLOOKUP(A14787,'[1]Componentes APUs'!$A$1:$D$14,4,0)</f>
        <v>2525.2525252525252</v>
      </c>
      <c r="G14787" s="51">
        <f>ROUNDUP(F14787*(E14787/21)/E14751,0)</f>
        <v>191</v>
      </c>
    </row>
    <row r="14788" spans="1:7" x14ac:dyDescent="0.25">
      <c r="A14788" s="69" t="s">
        <v>81</v>
      </c>
      <c r="B14788" s="72" t="str">
        <f>VLOOKUP(A14788,'[1]Componentes APUs'!$A$1:$D$14,2,0)</f>
        <v>Guantes Protectores  - ingeniero reforzados</v>
      </c>
      <c r="C14788" s="73"/>
      <c r="D14788" s="50" t="str">
        <f>VLOOKUP(A14788,'[1]Componentes APUs'!$A$1:$D$14,3,0)</f>
        <v>Par</v>
      </c>
      <c r="E14788" s="50">
        <f>C14762+C14763+C14765</f>
        <v>4</v>
      </c>
      <c r="F14788" s="51">
        <f>VLOOKUP(A14788,'[1]Componentes APUs'!$A$1:$D$14,4,0)</f>
        <v>2525.2525252525252</v>
      </c>
      <c r="G14788" s="51">
        <f>ROUNDUP(F14788*(E14788/21)/E14751,0)</f>
        <v>161</v>
      </c>
    </row>
    <row r="14789" spans="1:7" x14ac:dyDescent="0.25">
      <c r="A14789" s="50" t="s">
        <v>83</v>
      </c>
      <c r="B14789" s="72" t="str">
        <f>VLOOKUP(A14789,'[1]Componentes APUs'!$A$1:$D$14,2,0)</f>
        <v>Impermeable (pantalon camisa)</v>
      </c>
      <c r="C14789" s="73"/>
      <c r="D14789" s="50" t="str">
        <f>VLOOKUP(A14789,'[1]Componentes APUs'!$A$1:$D$14,3,0)</f>
        <v>U</v>
      </c>
      <c r="E14789" s="50">
        <f>SUM(C14760:C14765)</f>
        <v>4.75</v>
      </c>
      <c r="F14789" s="51">
        <f>VLOOKUP(A14789,'[1]Componentes APUs'!$A$1:$D$14,4,0)</f>
        <v>3750</v>
      </c>
      <c r="G14789" s="51">
        <f>ROUNDUP(F14789*(E14789/21)/E14751,0)</f>
        <v>283</v>
      </c>
    </row>
    <row r="14790" spans="1:7" x14ac:dyDescent="0.25">
      <c r="A14790" s="69" t="s">
        <v>85</v>
      </c>
      <c r="B14790" s="72" t="str">
        <f>VLOOKUP(A14790,'[1]Componentes APUs'!$A$1:$D$14,2,0)</f>
        <v>Jean Dielectrico</v>
      </c>
      <c r="C14790" s="73"/>
      <c r="D14790" s="50" t="str">
        <f>VLOOKUP(A14790,'[1]Componentes APUs'!$A$1:$D$14,3,0)</f>
        <v>U</v>
      </c>
      <c r="E14790" s="50">
        <f>SUM(C14760:C14765)</f>
        <v>4.75</v>
      </c>
      <c r="F14790" s="51">
        <f>VLOOKUP(A14790,'[1]Componentes APUs'!$A$1:$D$14,4,0)</f>
        <v>7575.757575757576</v>
      </c>
      <c r="G14790" s="51">
        <f>ROUNDUP(F14790*(E14790/21)/E14751,0)</f>
        <v>572</v>
      </c>
    </row>
    <row r="14791" spans="1:7" x14ac:dyDescent="0.25">
      <c r="A14791" s="50" t="s">
        <v>87</v>
      </c>
      <c r="B14791" s="72" t="str">
        <f>VLOOKUP(A14791,'[1]Componentes APUs'!$A$1:$D$14,2,0)</f>
        <v>Casco dielectrico Tipo 2 Clase E con barboquejo</v>
      </c>
      <c r="C14791" s="73"/>
      <c r="D14791" s="50" t="str">
        <f>VLOOKUP(A14791,'[1]Componentes APUs'!$A$1:$D$14,3,0)</f>
        <v>U</v>
      </c>
      <c r="E14791" s="53">
        <f>IF(A14762="MO-3",C14762,0)</f>
        <v>2</v>
      </c>
      <c r="F14791" s="51">
        <f>VLOOKUP(A14791,'[1]Componentes APUs'!$A$1:$D$14,4,0)</f>
        <v>7500</v>
      </c>
      <c r="G14791" s="51">
        <f>ROUNDUP(F14791*(E14791/21)/E14751,0)</f>
        <v>239</v>
      </c>
    </row>
    <row r="14792" spans="1:7" x14ac:dyDescent="0.25">
      <c r="A14792" s="69" t="s">
        <v>89</v>
      </c>
      <c r="B14792" s="72" t="str">
        <f>VLOOKUP(A14792,'[1]Componentes APUs'!$A$1:$D$14,2,0)</f>
        <v>Kit de rescate para trabajo en alturas</v>
      </c>
      <c r="C14792" s="73"/>
      <c r="D14792" s="50" t="str">
        <f>VLOOKUP(A14792,'[1]Componentes APUs'!$A$1:$D$14,3,0)</f>
        <v>U</v>
      </c>
      <c r="E14792" s="50">
        <f>IF(AND(A14762="MO-3",C14762=2),1,0)</f>
        <v>1</v>
      </c>
      <c r="F14792" s="51">
        <f>VLOOKUP(A14792,'[1]Componentes APUs'!$A$1:$D$14,4,0)</f>
        <v>37500</v>
      </c>
      <c r="G14792" s="51">
        <f>ROUNDUP(F14792*(E14792/21)/E14751,0)</f>
        <v>596</v>
      </c>
    </row>
    <row r="14793" spans="1:7" x14ac:dyDescent="0.25">
      <c r="A14793" s="50" t="s">
        <v>91</v>
      </c>
      <c r="B14793" s="72" t="str">
        <f>VLOOKUP(A14793,'[1]Componentes APUs'!$A$1:$D$14,2,0)</f>
        <v>Equipo completo para trabajo en alturas con pretales (Arnes dielectrico, 1 mosqueton de seguridad, tie off dielectrico, eslinga de posicionamiento, juego de pretales)</v>
      </c>
      <c r="C14793" s="73"/>
      <c r="D14793" s="50" t="str">
        <f>VLOOKUP(A14793,'[1]Componentes APUs'!$A$1:$D$14,3,0)</f>
        <v>U</v>
      </c>
      <c r="E14793" s="50">
        <f>IF(A14762="MO-3",C14762,0)</f>
        <v>2</v>
      </c>
      <c r="F14793" s="51">
        <f>VLOOKUP(A14793,'[1]Componentes APUs'!$A$1:$D$14,4,0)</f>
        <v>26041.666666666668</v>
      </c>
      <c r="G14793" s="51">
        <f>ROUNDUP(F14793*(E14793/21)/E14751,0)</f>
        <v>827</v>
      </c>
    </row>
    <row r="14794" spans="1:7" x14ac:dyDescent="0.25">
      <c r="A14794" s="219" t="s">
        <v>95</v>
      </c>
      <c r="B14794" s="219"/>
      <c r="C14794" s="219"/>
      <c r="D14794" s="219"/>
      <c r="E14794" s="219"/>
      <c r="F14794" s="219"/>
      <c r="G14794" s="52">
        <f>SUM(G14781:G14793)</f>
        <v>5240</v>
      </c>
    </row>
    <row r="14795" spans="1:7" x14ac:dyDescent="0.25">
      <c r="A14795" s="56"/>
      <c r="B14795" s="57"/>
      <c r="C14795" s="57"/>
      <c r="D14795" s="57"/>
      <c r="E14795" s="57"/>
      <c r="F14795" s="57"/>
      <c r="G14795" s="58"/>
    </row>
    <row r="14796" spans="1:7" x14ac:dyDescent="0.25">
      <c r="A14796" s="219" t="s">
        <v>96</v>
      </c>
      <c r="B14796" s="219"/>
      <c r="C14796" s="219"/>
      <c r="D14796" s="219"/>
      <c r="E14796" s="219"/>
      <c r="F14796" s="219"/>
      <c r="G14796" s="219"/>
    </row>
    <row r="14797" spans="1:7" x14ac:dyDescent="0.25">
      <c r="A14797" s="49" t="s">
        <v>35</v>
      </c>
      <c r="B14797" s="225" t="s">
        <v>36</v>
      </c>
      <c r="C14797" s="225"/>
      <c r="D14797" s="49" t="s">
        <v>37</v>
      </c>
      <c r="E14797" s="49" t="s">
        <v>38</v>
      </c>
      <c r="F14797" s="49" t="s">
        <v>39</v>
      </c>
      <c r="G14797" s="49" t="s">
        <v>40</v>
      </c>
    </row>
    <row r="14798" spans="1:7" x14ac:dyDescent="0.25">
      <c r="A14798" s="69" t="s">
        <v>97</v>
      </c>
      <c r="B14798" s="72" t="str">
        <f>VLOOKUP(A14798,'[1]Componentes APUs'!$N$1:$Q$30,2,0)</f>
        <v>Camioneta</v>
      </c>
      <c r="C14798" s="73"/>
      <c r="D14798" s="70" t="str">
        <f>VLOOKUP(A14798,'[1]Componentes APUs'!$N$1:$Q$30,3,0)</f>
        <v>U</v>
      </c>
      <c r="E14798" s="50">
        <v>1</v>
      </c>
      <c r="F14798" s="51">
        <f>VLOOKUP(A14798,'[1]Componentes APUs'!$N$1:$Q$30,4,0)</f>
        <v>5500000</v>
      </c>
      <c r="G14798" s="51">
        <f>IFERROR(ROUNDUP(F14798*(E14798/21)/E14751,0),"-")</f>
        <v>87302</v>
      </c>
    </row>
    <row r="14799" spans="1:7" x14ac:dyDescent="0.25">
      <c r="A14799" s="50" t="s">
        <v>321</v>
      </c>
      <c r="B14799" s="72" t="str">
        <f>VLOOKUP(A14799,'[1]Componentes APUs'!$N$1:$Q$30,2,0)</f>
        <v>Grúa Hidráulica</v>
      </c>
      <c r="C14799" s="73"/>
      <c r="D14799" s="70" t="str">
        <f>VLOOKUP(A14799,'[1]Componentes APUs'!$N$1:$Q$30,3,0)</f>
        <v>U</v>
      </c>
      <c r="E14799" s="50">
        <v>0</v>
      </c>
      <c r="F14799" s="51">
        <f>VLOOKUP(A14799,'[1]Componentes APUs'!$N$1:$Q$30,4,0)</f>
        <v>21000000</v>
      </c>
      <c r="G14799" s="51">
        <f>IFERROR(ROUNDUP(F14799*(E14799/21)/E14751,0),"-")</f>
        <v>0</v>
      </c>
    </row>
    <row r="14800" spans="1:7" x14ac:dyDescent="0.25">
      <c r="A14800" s="69" t="s">
        <v>322</v>
      </c>
      <c r="B14800" s="72" t="str">
        <f>VLOOKUP(A14800,'[1]Componentes APUs'!$N$1:$Q$30,2,0)</f>
        <v>Camabaja</v>
      </c>
      <c r="C14800" s="73"/>
      <c r="D14800" s="70" t="str">
        <f>VLOOKUP(A14800,'[1]Componentes APUs'!$N$1:$Q$30,3,0)</f>
        <v>TON/KM</v>
      </c>
      <c r="E14800" s="50">
        <v>0</v>
      </c>
      <c r="F14800" s="51">
        <f>VLOOKUP(A14800,'[1]Componentes APUs'!$N$1:$Q$30,4,0)</f>
        <v>611</v>
      </c>
      <c r="G14800" s="51">
        <f>IFERROR(ROUNDUP(F14800*(E14800/21)/E14751,0),"-")</f>
        <v>0</v>
      </c>
    </row>
    <row r="14801" spans="1:7" x14ac:dyDescent="0.25">
      <c r="A14801" s="50" t="s">
        <v>323</v>
      </c>
      <c r="B14801" s="72" t="str">
        <f>VLOOKUP(A14801,'[1]Componentes APUs'!$N$1:$Q$30,2,0)</f>
        <v>Volqueta</v>
      </c>
      <c r="C14801" s="73"/>
      <c r="D14801" s="70" t="str">
        <f>VLOOKUP(A14801,'[1]Componentes APUs'!$N$1:$Q$30,3,0)</f>
        <v>U</v>
      </c>
      <c r="E14801" s="50">
        <v>0</v>
      </c>
      <c r="F14801" s="51">
        <f>VLOOKUP(A14801,'[1]Componentes APUs'!$N$1:$Q$30,4,0)</f>
        <v>18900000</v>
      </c>
      <c r="G14801" s="51">
        <f>IFERROR(ROUNDUP(F14801*(E14801/21)/E14751,0),"-")</f>
        <v>0</v>
      </c>
    </row>
    <row r="14802" spans="1:7" x14ac:dyDescent="0.25">
      <c r="A14802" s="69" t="s">
        <v>324</v>
      </c>
      <c r="B14802" s="72" t="str">
        <f>VLOOKUP(A14802,'[1]Componentes APUs'!$N$1:$Q$30,2,0)</f>
        <v>Retroexcavadora</v>
      </c>
      <c r="C14802" s="73"/>
      <c r="D14802" s="70" t="str">
        <f>VLOOKUP(A14802,'[1]Componentes APUs'!$N$1:$Q$30,3,0)</f>
        <v>U</v>
      </c>
      <c r="E14802" s="50">
        <v>0</v>
      </c>
      <c r="F14802" s="51">
        <f>VLOOKUP(A14802,'[1]Componentes APUs'!$N$1:$Q$30,4,0)</f>
        <v>1494459.54</v>
      </c>
      <c r="G14802" s="51">
        <f>IFERROR(ROUNDUP(F14802*(E14802/21)/E14751,0),"-")</f>
        <v>0</v>
      </c>
    </row>
    <row r="14803" spans="1:7" x14ac:dyDescent="0.25">
      <c r="A14803" s="219" t="s">
        <v>99</v>
      </c>
      <c r="B14803" s="219"/>
      <c r="C14803" s="219"/>
      <c r="D14803" s="219"/>
      <c r="E14803" s="219"/>
      <c r="F14803" s="219"/>
      <c r="G14803" s="52">
        <f>SUM(G14798:G14802)</f>
        <v>87302</v>
      </c>
    </row>
    <row r="14804" spans="1:7" x14ac:dyDescent="0.25">
      <c r="A14804" s="56"/>
      <c r="B14804" s="57"/>
      <c r="C14804" s="57"/>
      <c r="D14804" s="57"/>
      <c r="E14804" s="57"/>
      <c r="F14804" s="57"/>
      <c r="G14804" s="58"/>
    </row>
    <row r="14805" spans="1:7" x14ac:dyDescent="0.25">
      <c r="A14805" s="219" t="s">
        <v>1516</v>
      </c>
      <c r="B14805" s="219"/>
      <c r="C14805" s="219"/>
      <c r="D14805" s="219"/>
      <c r="E14805" s="219"/>
      <c r="F14805" s="219"/>
      <c r="G14805" s="52">
        <f>G14803+G14794+G14777+G14766+G14756</f>
        <v>21013638</v>
      </c>
    </row>
    <row r="14806" spans="1:7" x14ac:dyDescent="0.25">
      <c r="A14806" s="59"/>
      <c r="B14806" s="60"/>
      <c r="C14806" s="60"/>
      <c r="D14806" s="60"/>
      <c r="E14806" s="57"/>
      <c r="F14806" s="57"/>
      <c r="G14806" s="58"/>
    </row>
    <row r="14807" spans="1:7" x14ac:dyDescent="0.25">
      <c r="A14807" s="64"/>
      <c r="D14807" s="55"/>
      <c r="E14807" s="49" t="s">
        <v>25</v>
      </c>
      <c r="F14807" s="54">
        <v>0.15</v>
      </c>
      <c r="G14807" s="51">
        <f>G14805*F14807</f>
        <v>3152045.6999999997</v>
      </c>
    </row>
    <row r="14808" spans="1:7" x14ac:dyDescent="0.25">
      <c r="A14808" s="64"/>
      <c r="D14808" s="55"/>
      <c r="E14808" s="49" t="s">
        <v>26</v>
      </c>
      <c r="F14808" s="54">
        <v>0.05</v>
      </c>
      <c r="G14808" s="51">
        <f>G14805*F14808</f>
        <v>1050681.9000000001</v>
      </c>
    </row>
    <row r="14809" spans="1:7" x14ac:dyDescent="0.25">
      <c r="A14809" s="61"/>
      <c r="B14809" s="65"/>
      <c r="C14809" s="65"/>
      <c r="D14809" s="62"/>
      <c r="E14809" s="49" t="s">
        <v>27</v>
      </c>
      <c r="F14809" s="54">
        <v>0.05</v>
      </c>
      <c r="G14809" s="51">
        <f>G14805*F14809</f>
        <v>1050681.9000000001</v>
      </c>
    </row>
    <row r="14810" spans="1:7" x14ac:dyDescent="0.25">
      <c r="A14810" s="61"/>
      <c r="B14810" s="62"/>
      <c r="C14810" s="62"/>
      <c r="D14810" s="62"/>
      <c r="E14810" s="62"/>
      <c r="F14810" s="62"/>
      <c r="G14810" s="63"/>
    </row>
    <row r="14811" spans="1:7" x14ac:dyDescent="0.25">
      <c r="A14811" s="219" t="s">
        <v>1517</v>
      </c>
      <c r="B14811" s="219"/>
      <c r="C14811" s="219"/>
      <c r="D14811" s="219"/>
      <c r="E14811" s="219"/>
      <c r="F14811" s="219"/>
      <c r="G14811" s="52">
        <f>G14805+G14807+G14808+G14809</f>
        <v>26267047.499999996</v>
      </c>
    </row>
    <row r="14812" spans="1:7" x14ac:dyDescent="0.25">
      <c r="A14812" s="59"/>
      <c r="B14812" s="60"/>
      <c r="C14812" s="60"/>
      <c r="D14812" s="60"/>
      <c r="E14812" s="57"/>
      <c r="F14812" s="57"/>
      <c r="G14812" s="58"/>
    </row>
    <row r="14813" spans="1:7" x14ac:dyDescent="0.25">
      <c r="A14813" s="64"/>
      <c r="D14813" s="55"/>
      <c r="E14813" s="49" t="s">
        <v>102</v>
      </c>
      <c r="F14813" s="49" t="s">
        <v>103</v>
      </c>
      <c r="G14813" s="51">
        <f>G14809*19%</f>
        <v>199629.56100000002</v>
      </c>
    </row>
    <row r="14814" spans="1:7" x14ac:dyDescent="0.25">
      <c r="A14814" s="61"/>
      <c r="B14814" s="62"/>
      <c r="C14814" s="62"/>
      <c r="D14814" s="62"/>
      <c r="E14814" s="57"/>
      <c r="F14814" s="57"/>
      <c r="G14814" s="58"/>
    </row>
    <row r="14815" spans="1:7" x14ac:dyDescent="0.25">
      <c r="A14815" s="219" t="s">
        <v>104</v>
      </c>
      <c r="B14815" s="219"/>
      <c r="C14815" s="219"/>
      <c r="D14815" s="219"/>
      <c r="E14815" s="219"/>
      <c r="F14815" s="219"/>
      <c r="G14815" s="52">
        <f>G14813+G14811</f>
        <v>26466677.060999997</v>
      </c>
    </row>
    <row r="14817" spans="1:7" x14ac:dyDescent="0.25">
      <c r="A14817" s="74" t="s">
        <v>29</v>
      </c>
      <c r="B14817" s="226" t="s">
        <v>30</v>
      </c>
      <c r="C14817" s="226"/>
      <c r="D14817" s="74" t="s">
        <v>31</v>
      </c>
      <c r="E14817" s="74" t="s">
        <v>32</v>
      </c>
      <c r="F14817" s="74" t="s">
        <v>189</v>
      </c>
      <c r="G14817" s="74" t="s">
        <v>33</v>
      </c>
    </row>
    <row r="14818" spans="1:7" ht="54.75" customHeight="1" x14ac:dyDescent="0.25">
      <c r="A14818" s="50" t="str">
        <f>Presupuesto!B274</f>
        <v>021_N2</v>
      </c>
      <c r="B14818" s="220" t="str">
        <f>Presupuesto!C274</f>
        <v>SUMINISTRO E INSTALACIÓN DE TRANSFORMADOR DE CORRIENTE. USO EXTERIOR. TRIPLE NÚCLEO: ( N1:100-200/5 CL: 0,5S, N2:100-200/5 CL: 0,5S, N3:100-200/5 CL: 5P20) UM:15KV, ISC:12.5KA . INCLUYE PROTOCOLOS DE PRUEBA DE PRECISIÓN DE FABRICANTE Y LABORATORIO ACREDITADO.</v>
      </c>
      <c r="C14818" s="220"/>
      <c r="D14818" s="50" t="s">
        <v>108</v>
      </c>
      <c r="E14818" s="50">
        <v>3</v>
      </c>
      <c r="F14818" s="50"/>
      <c r="G14818" s="51">
        <f>G14883</f>
        <v>26466677.060999997</v>
      </c>
    </row>
    <row r="14819" spans="1:7" x14ac:dyDescent="0.25">
      <c r="A14819" s="219" t="s">
        <v>34</v>
      </c>
      <c r="B14819" s="219"/>
      <c r="C14819" s="219"/>
      <c r="D14819" s="219"/>
      <c r="E14819" s="219"/>
      <c r="F14819" s="219"/>
      <c r="G14819" s="219"/>
    </row>
    <row r="14820" spans="1:7" x14ac:dyDescent="0.25">
      <c r="A14820" s="49" t="s">
        <v>35</v>
      </c>
      <c r="B14820" s="219" t="s">
        <v>36</v>
      </c>
      <c r="C14820" s="219"/>
      <c r="D14820" s="49" t="s">
        <v>37</v>
      </c>
      <c r="E14820" s="49" t="s">
        <v>38</v>
      </c>
      <c r="F14820" s="49" t="s">
        <v>39</v>
      </c>
      <c r="G14820" s="49" t="s">
        <v>40</v>
      </c>
    </row>
    <row r="14821" spans="1:7" ht="48.75" customHeight="1" x14ac:dyDescent="0.25">
      <c r="A14821" s="17" t="str">
        <f>Material!A51</f>
        <v>MA-50</v>
      </c>
      <c r="B14821" s="221" t="str">
        <f>IFERROR(VLOOKUP(A14821,Material!$A:$J,2,0),"-")</f>
        <v>TRANSFORMADOR DE CORRIENTE. USO EXTERIOR. TRIPLE NÚCLEO: ( N1:100-200/5 CL: 0,5S, N2:100-200/5 CL: 0,5S, N3:100-200/5 CL: 5P20) UM:15KV, ISC:12.5KA . INCLUYE PROTOCOLOS DE PRUEBA DE PRECISIÓN DE FABRICANTE Y LABORATORIO ACREDITADO.</v>
      </c>
      <c r="C14821" s="222"/>
      <c r="D14821" s="50" t="str">
        <f>IFERROR(VLOOKUP(A14821,Material!$A:$J,4,0),"-")</f>
        <v>UN</v>
      </c>
      <c r="E14821" s="50">
        <v>1</v>
      </c>
      <c r="F14821" s="51">
        <f>IFERROR(VLOOKUP(A14821,Material!$A:$J,3,0),"-")</f>
        <v>20563200</v>
      </c>
      <c r="G14821" s="51">
        <f t="shared" ref="G14821:G14823" si="210">IFERROR(ROUNDUP(F14821*E14821,0),"-")</f>
        <v>20563200</v>
      </c>
    </row>
    <row r="14822" spans="1:7" x14ac:dyDescent="0.25">
      <c r="A14822" s="17"/>
      <c r="B14822" s="72" t="str">
        <f>IFERROR(VLOOKUP(A14822,Material!$A:$J,2,0),"-")</f>
        <v>-</v>
      </c>
      <c r="C14822" s="73"/>
      <c r="D14822" s="50" t="str">
        <f>IFERROR(VLOOKUP(A14822,Material!$A:$J,4,0),"-")</f>
        <v>-</v>
      </c>
      <c r="E14822" s="50"/>
      <c r="F14822" s="51" t="str">
        <f>IFERROR(VLOOKUP(A14822,Material!$A:$J,3,0),"-")</f>
        <v>-</v>
      </c>
      <c r="G14822" s="51" t="str">
        <f t="shared" si="210"/>
        <v>-</v>
      </c>
    </row>
    <row r="14823" spans="1:7" x14ac:dyDescent="0.25">
      <c r="A14823" s="17"/>
      <c r="B14823" s="72" t="str">
        <f>IFERROR(VLOOKUP(A14823,Material!$A:$J,2,0),"-")</f>
        <v>-</v>
      </c>
      <c r="C14823" s="73"/>
      <c r="D14823" s="50" t="str">
        <f>IFERROR(VLOOKUP(A14823,Material!$A:$J,4,0),"-")</f>
        <v>-</v>
      </c>
      <c r="E14823" s="50"/>
      <c r="F14823" s="51" t="str">
        <f>IFERROR(VLOOKUP(A14823,Material!$A:$J,3,0),"-")</f>
        <v>-</v>
      </c>
      <c r="G14823" s="51" t="str">
        <f t="shared" si="210"/>
        <v>-</v>
      </c>
    </row>
    <row r="14824" spans="1:7" x14ac:dyDescent="0.25">
      <c r="A14824" s="219" t="s">
        <v>41</v>
      </c>
      <c r="B14824" s="219"/>
      <c r="C14824" s="219"/>
      <c r="D14824" s="219"/>
      <c r="E14824" s="219"/>
      <c r="F14824" s="219"/>
      <c r="G14824" s="52">
        <f>SUM(G14821:G14823)</f>
        <v>20563200</v>
      </c>
    </row>
    <row r="14825" spans="1:7" x14ac:dyDescent="0.25">
      <c r="A14825" s="56"/>
      <c r="B14825" s="57"/>
      <c r="C14825" s="57"/>
      <c r="D14825" s="57"/>
      <c r="E14825" s="57"/>
      <c r="F14825" s="57"/>
      <c r="G14825" s="58"/>
    </row>
    <row r="14826" spans="1:7" x14ac:dyDescent="0.25">
      <c r="A14826" s="219" t="s">
        <v>42</v>
      </c>
      <c r="B14826" s="219"/>
      <c r="C14826" s="219"/>
      <c r="D14826" s="219"/>
      <c r="E14826" s="219"/>
      <c r="F14826" s="219"/>
      <c r="G14826" s="219"/>
    </row>
    <row r="14827" spans="1:7" x14ac:dyDescent="0.25">
      <c r="A14827" s="49" t="s">
        <v>35</v>
      </c>
      <c r="B14827" s="49" t="s">
        <v>36</v>
      </c>
      <c r="C14827" s="49" t="s">
        <v>38</v>
      </c>
      <c r="D14827" s="49" t="s">
        <v>43</v>
      </c>
      <c r="E14827" s="49" t="s">
        <v>44</v>
      </c>
      <c r="F14827" s="49" t="s">
        <v>45</v>
      </c>
      <c r="G14827" s="49" t="s">
        <v>40</v>
      </c>
    </row>
    <row r="14828" spans="1:7" x14ac:dyDescent="0.25">
      <c r="A14828" s="50" t="s">
        <v>319</v>
      </c>
      <c r="B14828" s="68" t="str">
        <f>VLOOKUP(A14828,'[1]Componentes APUs'!$H$1:$L$25,2,0)</f>
        <v>Ingeniero Residente de Obra</v>
      </c>
      <c r="C14828" s="93">
        <v>0.25</v>
      </c>
      <c r="D14828" s="50">
        <f>VLOOKUP(A14828,'[1]Componentes APUs'!$H$1:$L$25,3,0)</f>
        <v>4</v>
      </c>
      <c r="E14828" s="51">
        <f>VLOOKUP(A14828,'[1]Componentes APUs'!$H$1:$L$25,4,0)</f>
        <v>271142.85714285716</v>
      </c>
      <c r="F14828" s="51">
        <f>VLOOKUP(A14828,'[1]Componentes APUs'!$H$1:$L$25,5,0)</f>
        <v>162685.71428571429</v>
      </c>
      <c r="G14828" s="51">
        <f>ROUNDUP((E14828+F14828)*C14828/E14818,0)</f>
        <v>36153</v>
      </c>
    </row>
    <row r="14829" spans="1:7" x14ac:dyDescent="0.25">
      <c r="A14829" s="50" t="s">
        <v>320</v>
      </c>
      <c r="B14829" s="68" t="str">
        <f>VLOOKUP(A14829,'[1]Componentes APUs'!$H$1:$L$25,2,0)</f>
        <v>Tecnico Supervisor</v>
      </c>
      <c r="C14829" s="93">
        <v>0.25</v>
      </c>
      <c r="D14829" s="50">
        <f>VLOOKUP(A14829,'[1]Componentes APUs'!$H$1:$L$25,3,0)</f>
        <v>2.2999999999999998</v>
      </c>
      <c r="E14829" s="51">
        <f>VLOOKUP(A14829,'[1]Componentes APUs'!$H$1:$L$25,4,0)</f>
        <v>155907.14285714284</v>
      </c>
      <c r="F14829" s="51">
        <f>VLOOKUP(A14829,'[1]Componentes APUs'!$H$1:$L$25,5,0)</f>
        <v>93544.285714285696</v>
      </c>
      <c r="G14829" s="51">
        <f>ROUNDUP((E14829+F14829)*C14829/E14818,0)</f>
        <v>20788</v>
      </c>
    </row>
    <row r="14830" spans="1:7" x14ac:dyDescent="0.25">
      <c r="A14830" s="50" t="s">
        <v>46</v>
      </c>
      <c r="B14830" s="68" t="str">
        <f>VLOOKUP(A14830,'[1]Componentes APUs'!$H$1:$L$25,2,0)</f>
        <v>Tecnico Liniero</v>
      </c>
      <c r="C14830" s="93">
        <v>2</v>
      </c>
      <c r="D14830" s="50">
        <f>VLOOKUP(A14830,'[1]Componentes APUs'!$H$1:$L$25,3,0)</f>
        <v>2</v>
      </c>
      <c r="E14830" s="51">
        <f>VLOOKUP(A14830,'[1]Componentes APUs'!$H$1:$L$25,4,0)</f>
        <v>154619.04761904763</v>
      </c>
      <c r="F14830" s="51">
        <f>VLOOKUP(A14830,'[1]Componentes APUs'!$H$1:$L$25,5,0)</f>
        <v>92771.42857142858</v>
      </c>
      <c r="G14830" s="51">
        <f>ROUNDUP((E14830+F14830)*C14830/E14818,0)</f>
        <v>164927</v>
      </c>
    </row>
    <row r="14831" spans="1:7" x14ac:dyDescent="0.25">
      <c r="A14831" s="50" t="s">
        <v>48</v>
      </c>
      <c r="B14831" s="68" t="str">
        <f>VLOOKUP(A14831,'[1]Componentes APUs'!$H$1:$L$25,2,0)</f>
        <v>Ayudante Calificado</v>
      </c>
      <c r="C14831" s="93">
        <v>1</v>
      </c>
      <c r="D14831" s="50">
        <f>VLOOKUP(A14831,'[1]Componentes APUs'!$H$1:$L$25,3,0)</f>
        <v>1.5</v>
      </c>
      <c r="E14831" s="51">
        <f>VLOOKUP(A14831,'[1]Componentes APUs'!$H$1:$L$25,4,0)</f>
        <v>115964.28571428571</v>
      </c>
      <c r="F14831" s="51">
        <f>VLOOKUP(A14831,'[1]Componentes APUs'!$H$1:$L$25,5,0)</f>
        <v>69578.57142857142</v>
      </c>
      <c r="G14831" s="51">
        <f>ROUNDUP((E14831+F14831)*C14831/E14818,0)</f>
        <v>61848</v>
      </c>
    </row>
    <row r="14832" spans="1:7" x14ac:dyDescent="0.25">
      <c r="A14832" s="50" t="s">
        <v>50</v>
      </c>
      <c r="B14832" s="68" t="str">
        <f>VLOOKUP(A14832,'[1]Componentes APUs'!$H$1:$L$25,2,0)</f>
        <v>Profesional en SST</v>
      </c>
      <c r="C14832" s="93">
        <v>0.25</v>
      </c>
      <c r="D14832" s="50">
        <f>VLOOKUP(A14832,'[1]Componentes APUs'!$H$1:$L$25,3,0)</f>
        <v>2.5</v>
      </c>
      <c r="E14832" s="51">
        <f>VLOOKUP(A14832,'[1]Componentes APUs'!$H$1:$L$25,4,0)</f>
        <v>169464.28571428571</v>
      </c>
      <c r="F14832" s="51">
        <f>VLOOKUP(A14832,'[1]Componentes APUs'!$H$1:$L$25,5,0)</f>
        <v>101678.57142857142</v>
      </c>
      <c r="G14832" s="51">
        <f>ROUNDUP((E14832+F14832)*C14832/E14818,0)</f>
        <v>22596</v>
      </c>
    </row>
    <row r="14833" spans="1:7" x14ac:dyDescent="0.25">
      <c r="A14833" s="50" t="s">
        <v>52</v>
      </c>
      <c r="B14833" s="68" t="str">
        <f>VLOOKUP(A14833,'[1]Componentes APUs'!$H$1:$L$25,2,0)</f>
        <v>Ayudante No Calificado</v>
      </c>
      <c r="C14833" s="93">
        <v>1</v>
      </c>
      <c r="D14833" s="50">
        <f>VLOOKUP(A14833,'[1]Componentes APUs'!$H$1:$L$25,3,0)</f>
        <v>1</v>
      </c>
      <c r="E14833" s="51">
        <f>VLOOKUP(A14833,'[1]Componentes APUs'!$H$1:$L$25,4,0)</f>
        <v>77309.523809523816</v>
      </c>
      <c r="F14833" s="51">
        <f>VLOOKUP(A14833,'[1]Componentes APUs'!$H$1:$L$25,5,0)</f>
        <v>46385.71428571429</v>
      </c>
      <c r="G14833" s="51">
        <f>ROUNDUP((E14833+F14833)*C14833/E14818,0)</f>
        <v>41232</v>
      </c>
    </row>
    <row r="14834" spans="1:7" x14ac:dyDescent="0.25">
      <c r="A14834" s="219" t="s">
        <v>56</v>
      </c>
      <c r="B14834" s="219"/>
      <c r="C14834" s="219"/>
      <c r="D14834" s="219"/>
      <c r="E14834" s="219"/>
      <c r="F14834" s="219"/>
      <c r="G14834" s="52">
        <f>SUM(G14828:G14833)</f>
        <v>347544</v>
      </c>
    </row>
    <row r="14835" spans="1:7" x14ac:dyDescent="0.25">
      <c r="A14835" s="56"/>
      <c r="B14835" s="57"/>
      <c r="C14835" s="57"/>
      <c r="D14835" s="57"/>
      <c r="E14835" s="57"/>
      <c r="F14835" s="57"/>
      <c r="G14835" s="58"/>
    </row>
    <row r="14836" spans="1:7" x14ac:dyDescent="0.25">
      <c r="A14836" s="219" t="s">
        <v>57</v>
      </c>
      <c r="B14836" s="219"/>
      <c r="C14836" s="219"/>
      <c r="D14836" s="219"/>
      <c r="E14836" s="219"/>
      <c r="F14836" s="219"/>
      <c r="G14836" s="219"/>
    </row>
    <row r="14837" spans="1:7" x14ac:dyDescent="0.25">
      <c r="A14837" s="49" t="s">
        <v>35</v>
      </c>
      <c r="B14837" s="219" t="s">
        <v>36</v>
      </c>
      <c r="C14837" s="219"/>
      <c r="D14837" s="49" t="s">
        <v>37</v>
      </c>
      <c r="E14837" s="49" t="s">
        <v>38</v>
      </c>
      <c r="F14837" s="49" t="s">
        <v>39</v>
      </c>
      <c r="G14837" s="49" t="s">
        <v>40</v>
      </c>
    </row>
    <row r="14838" spans="1:7" x14ac:dyDescent="0.25">
      <c r="A14838" s="50" t="s">
        <v>326</v>
      </c>
      <c r="B14838" s="220" t="str">
        <f>VLOOKUP(A14838,'[1]Componentes APUs'!$S$1:$V$10,2,0)</f>
        <v>Juego Llaves</v>
      </c>
      <c r="C14838" s="220"/>
      <c r="D14838" s="50" t="s">
        <v>18</v>
      </c>
      <c r="E14838" s="50">
        <v>2</v>
      </c>
      <c r="F14838" s="51">
        <f>VLOOKUP(A14838,'[1]Componentes APUs'!$S$1:$V$10,4,0)</f>
        <v>9167</v>
      </c>
      <c r="G14838" s="51">
        <f>ROUNDUP(F14838*((E14838/21)/E14818),0)</f>
        <v>292</v>
      </c>
    </row>
    <row r="14839" spans="1:7" x14ac:dyDescent="0.25">
      <c r="A14839" s="50" t="s">
        <v>58</v>
      </c>
      <c r="B14839" s="220" t="str">
        <f>VLOOKUP(A14839,'[1]Componentes APUs'!$S$1:$V$10,2,0)</f>
        <v>Manila de servicio</v>
      </c>
      <c r="C14839" s="220"/>
      <c r="D14839" s="50" t="s">
        <v>18</v>
      </c>
      <c r="E14839" s="50">
        <v>2</v>
      </c>
      <c r="F14839" s="51">
        <f>VLOOKUP(A14839,'[1]Componentes APUs'!$S$1:$V$10,4,0)</f>
        <v>2333</v>
      </c>
      <c r="G14839" s="51">
        <f>ROUNDUP(F14839*((E14839/21)/E14818),0)</f>
        <v>75</v>
      </c>
    </row>
    <row r="14840" spans="1:7" x14ac:dyDescent="0.25">
      <c r="A14840" s="50" t="s">
        <v>327</v>
      </c>
      <c r="B14840" s="220" t="str">
        <f>VLOOKUP(A14840,'[1]Componentes APUs'!$S$1:$V$10,2,0)</f>
        <v>Tula portaherramientas</v>
      </c>
      <c r="C14840" s="220"/>
      <c r="D14840" s="50" t="s">
        <v>18</v>
      </c>
      <c r="E14840" s="50">
        <v>2</v>
      </c>
      <c r="F14840" s="51">
        <f>VLOOKUP(A14840,'[1]Componentes APUs'!$S$1:$V$10,4,0)</f>
        <v>1250</v>
      </c>
      <c r="G14840" s="51">
        <f>ROUNDUP(F14840*((E14840/21)/E14818),0)</f>
        <v>40</v>
      </c>
    </row>
    <row r="14841" spans="1:7" x14ac:dyDescent="0.25">
      <c r="A14841" s="50" t="s">
        <v>60</v>
      </c>
      <c r="B14841" s="220" t="str">
        <f>VLOOKUP(A14841,'[1]Componentes APUs'!$S$1:$V$10,2,0)</f>
        <v>Agarradoras</v>
      </c>
      <c r="C14841" s="220"/>
      <c r="D14841" s="50" t="s">
        <v>18</v>
      </c>
      <c r="E14841" s="50">
        <v>0</v>
      </c>
      <c r="F14841" s="51">
        <f>VLOOKUP(A14841,'[1]Componentes APUs'!$S$1:$V$10,4,0)</f>
        <v>125000</v>
      </c>
      <c r="G14841" s="51">
        <f>ROUNDUP(F14841*((E14841/21)/E14818),0)</f>
        <v>0</v>
      </c>
    </row>
    <row r="14842" spans="1:7" x14ac:dyDescent="0.25">
      <c r="A14842" s="50" t="s">
        <v>62</v>
      </c>
      <c r="B14842" s="220" t="str">
        <f>VLOOKUP(A14842,'[1]Componentes APUs'!$S$1:$V$10,2,0)</f>
        <v>Templadoras</v>
      </c>
      <c r="C14842" s="220"/>
      <c r="D14842" s="50" t="s">
        <v>18</v>
      </c>
      <c r="E14842" s="50">
        <v>0</v>
      </c>
      <c r="F14842" s="51">
        <f>VLOOKUP(A14842,'[1]Componentes APUs'!$S$1:$V$10,4,0)</f>
        <v>250000</v>
      </c>
      <c r="G14842" s="51">
        <f>ROUNDUP(F14842*((E14842/21)/E14818),0)</f>
        <v>0</v>
      </c>
    </row>
    <row r="14843" spans="1:7" x14ac:dyDescent="0.25">
      <c r="A14843" s="50" t="s">
        <v>328</v>
      </c>
      <c r="B14843" s="220" t="str">
        <f>VLOOKUP(A14843,'[1]Componentes APUs'!$S$1:$V$10,2,0)</f>
        <v>Herramienta Menor</v>
      </c>
      <c r="C14843" s="220"/>
      <c r="D14843" s="50" t="s">
        <v>18</v>
      </c>
      <c r="E14843" s="50">
        <v>2</v>
      </c>
      <c r="F14843" s="51">
        <f>VLOOKUP(A14843,'[1]Componentes APUs'!$S$1:$V$10,4,0)</f>
        <v>75758</v>
      </c>
      <c r="G14843" s="51">
        <f>ROUNDUP(F14843*((E14843/21)/E14818),0)</f>
        <v>2406</v>
      </c>
    </row>
    <row r="14844" spans="1:7" x14ac:dyDescent="0.25">
      <c r="A14844" s="50" t="s">
        <v>66</v>
      </c>
      <c r="B14844" s="220" t="str">
        <f>VLOOKUP(A14844,'[1]Componentes APUs'!$S$1:$V$10,2,0)</f>
        <v>Diferencial 2 Toneladas</v>
      </c>
      <c r="C14844" s="220"/>
      <c r="D14844" s="50" t="s">
        <v>18</v>
      </c>
      <c r="E14844" s="50">
        <v>1</v>
      </c>
      <c r="F14844" s="51">
        <f>VLOOKUP(A14844,'[1]Componentes APUs'!$S$1:$V$10,4,0)</f>
        <v>474905</v>
      </c>
      <c r="G14844" s="51">
        <f>ROUNDUP(F14844*((E14844/21)/E14818),0)</f>
        <v>7539</v>
      </c>
    </row>
    <row r="14845" spans="1:7" x14ac:dyDescent="0.25">
      <c r="A14845" s="219" t="s">
        <v>69</v>
      </c>
      <c r="B14845" s="219"/>
      <c r="C14845" s="219"/>
      <c r="D14845" s="219"/>
      <c r="E14845" s="219"/>
      <c r="F14845" s="219"/>
      <c r="G14845" s="52">
        <f>SUM(G14838:G14844)</f>
        <v>10352</v>
      </c>
    </row>
    <row r="14846" spans="1:7" x14ac:dyDescent="0.25">
      <c r="A14846" s="56"/>
      <c r="B14846" s="57"/>
      <c r="C14846" s="57"/>
      <c r="D14846" s="57"/>
      <c r="E14846" s="57"/>
      <c r="F14846" s="57"/>
      <c r="G14846" s="58"/>
    </row>
    <row r="14847" spans="1:7" x14ac:dyDescent="0.25">
      <c r="A14847" s="219" t="s">
        <v>70</v>
      </c>
      <c r="B14847" s="219"/>
      <c r="C14847" s="219"/>
      <c r="D14847" s="219"/>
      <c r="E14847" s="219"/>
      <c r="F14847" s="219"/>
      <c r="G14847" s="219"/>
    </row>
    <row r="14848" spans="1:7" x14ac:dyDescent="0.25">
      <c r="A14848" s="49" t="s">
        <v>35</v>
      </c>
      <c r="B14848" s="219" t="s">
        <v>36</v>
      </c>
      <c r="C14848" s="219"/>
      <c r="D14848" s="49" t="s">
        <v>37</v>
      </c>
      <c r="E14848" s="49" t="s">
        <v>38</v>
      </c>
      <c r="F14848" s="49" t="s">
        <v>39</v>
      </c>
      <c r="G14848" s="49" t="s">
        <v>40</v>
      </c>
    </row>
    <row r="14849" spans="1:7" x14ac:dyDescent="0.25">
      <c r="A14849" s="50" t="s">
        <v>71</v>
      </c>
      <c r="B14849" s="71" t="str">
        <f>VLOOKUP(A14849,'[1]Componentes APUs'!$A$1:$D$14,2,0)</f>
        <v>Camisa indigo sin partes metalicas</v>
      </c>
      <c r="C14849" s="71"/>
      <c r="D14849" s="50" t="str">
        <f>VLOOKUP(A14849,'[1]Componentes APUs'!$A$1:$D$14,3,0)</f>
        <v>U</v>
      </c>
      <c r="E14849" s="50">
        <f>SUM(C14828:C14833)</f>
        <v>4.75</v>
      </c>
      <c r="F14849" s="51">
        <f>VLOOKUP(A14849,'[1]Componentes APUs'!$A$1:$D$14,4,0)</f>
        <v>8585.8585858585866</v>
      </c>
      <c r="G14849" s="51">
        <f>ROUNDUP(F14849*(E14849/21)/E14818,0)</f>
        <v>648</v>
      </c>
    </row>
    <row r="14850" spans="1:7" x14ac:dyDescent="0.25">
      <c r="A14850" s="69" t="s">
        <v>73</v>
      </c>
      <c r="B14850" s="72" t="str">
        <f>VLOOKUP(A14850,'[1]Componentes APUs'!$A$1:$D$14,2,0)</f>
        <v>Bota de seguridad dielectrica</v>
      </c>
      <c r="C14850" s="73"/>
      <c r="D14850" s="70" t="str">
        <f>VLOOKUP(A14850,'[1]Componentes APUs'!$A$1:$D$14,3,0)</f>
        <v>Par</v>
      </c>
      <c r="E14850" s="50">
        <f>SUM(C14828:C14833)</f>
        <v>4.75</v>
      </c>
      <c r="F14850" s="51">
        <f>VLOOKUP(A14850,'[1]Componentes APUs'!$A$1:$D$14,4,0)</f>
        <v>7500</v>
      </c>
      <c r="G14850" s="51">
        <f>ROUNDUP(F14850*(E14850/21)/E14818,0)</f>
        <v>566</v>
      </c>
    </row>
    <row r="14851" spans="1:7" x14ac:dyDescent="0.25">
      <c r="A14851" s="50" t="s">
        <v>76</v>
      </c>
      <c r="B14851" s="72" t="str">
        <f>VLOOKUP(A14851,'[1]Componentes APUs'!$A$1:$D$14,2,0)</f>
        <v>Casco dielectrico Tipo 1 Clase E con barbuquejo</v>
      </c>
      <c r="C14851" s="73"/>
      <c r="D14851" s="50" t="str">
        <f>VLOOKUP(A14851,'[1]Componentes APUs'!$A$1:$D$14,3,0)</f>
        <v>U</v>
      </c>
      <c r="E14851" s="50">
        <f>C14829+C14832+C14833+C14831+C14828+IF(A14830&lt;&gt;"MO-3",C14830,0)</f>
        <v>2.75</v>
      </c>
      <c r="F14851" s="51">
        <f>VLOOKUP(A14851,'[1]Componentes APUs'!$A$1:$D$14,4,0)</f>
        <v>10101.010101010101</v>
      </c>
      <c r="G14851" s="51">
        <f>ROUNDUP(F14851*(E14851/21)/E14818,0)</f>
        <v>441</v>
      </c>
    </row>
    <row r="14852" spans="1:7" x14ac:dyDescent="0.25">
      <c r="A14852" s="69" t="s">
        <v>77</v>
      </c>
      <c r="B14852" s="72" t="str">
        <f>VLOOKUP(A14852,'[1]Componentes APUs'!$A$1:$D$14,2,0)</f>
        <v>Correa plastica y antiflama</v>
      </c>
      <c r="C14852" s="73"/>
      <c r="D14852" s="50" t="str">
        <f>VLOOKUP(A14852,'[1]Componentes APUs'!$A$1:$D$14,3,0)</f>
        <v>U</v>
      </c>
      <c r="E14852" s="50">
        <f>SUM(C14828:C14833)</f>
        <v>4.75</v>
      </c>
      <c r="F14852" s="51">
        <f>VLOOKUP(A14852,'[1]Componentes APUs'!$A$1:$D$14,4,0)</f>
        <v>3787.878787878788</v>
      </c>
      <c r="G14852" s="51">
        <f>ROUNDUP(F14852*(E14852/21)/E14818,0)</f>
        <v>286</v>
      </c>
    </row>
    <row r="14853" spans="1:7" x14ac:dyDescent="0.25">
      <c r="A14853" s="50" t="s">
        <v>79</v>
      </c>
      <c r="B14853" s="72" t="str">
        <f>VLOOKUP(A14853,'[1]Componentes APUs'!$A$1:$D$14,2,0)</f>
        <v>Gafas protectoras filtro UV</v>
      </c>
      <c r="C14853" s="73"/>
      <c r="D14853" s="50" t="str">
        <f>VLOOKUP(A14853,'[1]Componentes APUs'!$A$1:$D$14,3,0)</f>
        <v>U</v>
      </c>
      <c r="E14853" s="50">
        <f>SUM(C14828:C14833)</f>
        <v>4.75</v>
      </c>
      <c r="F14853" s="51">
        <f>VLOOKUP(A14853,'[1]Componentes APUs'!$A$1:$D$14,4,0)</f>
        <v>2777.7777777777778</v>
      </c>
      <c r="G14853" s="51">
        <f>ROUNDUP(F14853*(E14853/21)/E14818,0)</f>
        <v>210</v>
      </c>
    </row>
    <row r="14854" spans="1:7" x14ac:dyDescent="0.25">
      <c r="A14854" s="69" t="s">
        <v>402</v>
      </c>
      <c r="B14854" s="72" t="str">
        <f>VLOOKUP(A14854,'[1]Componentes APUs'!$A$1:$D$14,2,0)</f>
        <v>Bota de seguridad PVC dielectrica</v>
      </c>
      <c r="C14854" s="73"/>
      <c r="D14854" s="50" t="str">
        <f>VLOOKUP(A14854,'[1]Componentes APUs'!$A$1:$D$14,3,0)</f>
        <v>Par</v>
      </c>
      <c r="E14854" s="50">
        <f>SUM(C14828:C14833)</f>
        <v>4.75</v>
      </c>
      <c r="F14854" s="51">
        <f>VLOOKUP(A14854,'[1]Componentes APUs'!$A$1:$D$14,4,0)</f>
        <v>2916.6666666666665</v>
      </c>
      <c r="G14854" s="51">
        <f>ROUNDUP(F14854*(E14854/21)/E14818,0)</f>
        <v>220</v>
      </c>
    </row>
    <row r="14855" spans="1:7" x14ac:dyDescent="0.25">
      <c r="A14855" s="50" t="s">
        <v>403</v>
      </c>
      <c r="B14855" s="72" t="str">
        <f>VLOOKUP(A14855,'[1]Componentes APUs'!$A$1:$D$14,2,0)</f>
        <v>Capuchon</v>
      </c>
      <c r="C14855" s="73"/>
      <c r="D14855" s="50" t="str">
        <f>VLOOKUP(A14855,'[1]Componentes APUs'!$A$1:$D$14,3,0)</f>
        <v>U</v>
      </c>
      <c r="E14855" s="50">
        <f>SUM(C14828:C14833)</f>
        <v>4.75</v>
      </c>
      <c r="F14855" s="51">
        <f>VLOOKUP(A14855,'[1]Componentes APUs'!$A$1:$D$14,4,0)</f>
        <v>2525.2525252525252</v>
      </c>
      <c r="G14855" s="51">
        <f>ROUNDUP(F14855*(E14855/21)/E14818,0)</f>
        <v>191</v>
      </c>
    </row>
    <row r="14856" spans="1:7" x14ac:dyDescent="0.25">
      <c r="A14856" s="69" t="s">
        <v>81</v>
      </c>
      <c r="B14856" s="72" t="str">
        <f>VLOOKUP(A14856,'[1]Componentes APUs'!$A$1:$D$14,2,0)</f>
        <v>Guantes Protectores  - ingeniero reforzados</v>
      </c>
      <c r="C14856" s="73"/>
      <c r="D14856" s="50" t="str">
        <f>VLOOKUP(A14856,'[1]Componentes APUs'!$A$1:$D$14,3,0)</f>
        <v>Par</v>
      </c>
      <c r="E14856" s="50">
        <f>C14830+C14831+C14833</f>
        <v>4</v>
      </c>
      <c r="F14856" s="51">
        <f>VLOOKUP(A14856,'[1]Componentes APUs'!$A$1:$D$14,4,0)</f>
        <v>2525.2525252525252</v>
      </c>
      <c r="G14856" s="51">
        <f>ROUNDUP(F14856*(E14856/21)/E14818,0)</f>
        <v>161</v>
      </c>
    </row>
    <row r="14857" spans="1:7" x14ac:dyDescent="0.25">
      <c r="A14857" s="50" t="s">
        <v>83</v>
      </c>
      <c r="B14857" s="72" t="str">
        <f>VLOOKUP(A14857,'[1]Componentes APUs'!$A$1:$D$14,2,0)</f>
        <v>Impermeable (pantalon camisa)</v>
      </c>
      <c r="C14857" s="73"/>
      <c r="D14857" s="50" t="str">
        <f>VLOOKUP(A14857,'[1]Componentes APUs'!$A$1:$D$14,3,0)</f>
        <v>U</v>
      </c>
      <c r="E14857" s="50">
        <f>SUM(C14828:C14833)</f>
        <v>4.75</v>
      </c>
      <c r="F14857" s="51">
        <f>VLOOKUP(A14857,'[1]Componentes APUs'!$A$1:$D$14,4,0)</f>
        <v>3750</v>
      </c>
      <c r="G14857" s="51">
        <f>ROUNDUP(F14857*(E14857/21)/E14818,0)</f>
        <v>283</v>
      </c>
    </row>
    <row r="14858" spans="1:7" x14ac:dyDescent="0.25">
      <c r="A14858" s="69" t="s">
        <v>85</v>
      </c>
      <c r="B14858" s="72" t="str">
        <f>VLOOKUP(A14858,'[1]Componentes APUs'!$A$1:$D$14,2,0)</f>
        <v>Jean Dielectrico</v>
      </c>
      <c r="C14858" s="73"/>
      <c r="D14858" s="50" t="str">
        <f>VLOOKUP(A14858,'[1]Componentes APUs'!$A$1:$D$14,3,0)</f>
        <v>U</v>
      </c>
      <c r="E14858" s="50">
        <f>SUM(C14828:C14833)</f>
        <v>4.75</v>
      </c>
      <c r="F14858" s="51">
        <f>VLOOKUP(A14858,'[1]Componentes APUs'!$A$1:$D$14,4,0)</f>
        <v>7575.757575757576</v>
      </c>
      <c r="G14858" s="51">
        <f>ROUNDUP(F14858*(E14858/21)/E14818,0)</f>
        <v>572</v>
      </c>
    </row>
    <row r="14859" spans="1:7" x14ac:dyDescent="0.25">
      <c r="A14859" s="50" t="s">
        <v>87</v>
      </c>
      <c r="B14859" s="72" t="str">
        <f>VLOOKUP(A14859,'[1]Componentes APUs'!$A$1:$D$14,2,0)</f>
        <v>Casco dielectrico Tipo 2 Clase E con barboquejo</v>
      </c>
      <c r="C14859" s="73"/>
      <c r="D14859" s="50" t="str">
        <f>VLOOKUP(A14859,'[1]Componentes APUs'!$A$1:$D$14,3,0)</f>
        <v>U</v>
      </c>
      <c r="E14859" s="53">
        <f>IF(A14830="MO-3",C14830,0)</f>
        <v>2</v>
      </c>
      <c r="F14859" s="51">
        <f>VLOOKUP(A14859,'[1]Componentes APUs'!$A$1:$D$14,4,0)</f>
        <v>7500</v>
      </c>
      <c r="G14859" s="51">
        <f>ROUNDUP(F14859*(E14859/21)/E14818,0)</f>
        <v>239</v>
      </c>
    </row>
    <row r="14860" spans="1:7" x14ac:dyDescent="0.25">
      <c r="A14860" s="69" t="s">
        <v>89</v>
      </c>
      <c r="B14860" s="72" t="str">
        <f>VLOOKUP(A14860,'[1]Componentes APUs'!$A$1:$D$14,2,0)</f>
        <v>Kit de rescate para trabajo en alturas</v>
      </c>
      <c r="C14860" s="73"/>
      <c r="D14860" s="50" t="str">
        <f>VLOOKUP(A14860,'[1]Componentes APUs'!$A$1:$D$14,3,0)</f>
        <v>U</v>
      </c>
      <c r="E14860" s="50">
        <f>IF(AND(A14830="MO-3",C14830=2),1,0)</f>
        <v>1</v>
      </c>
      <c r="F14860" s="51">
        <f>VLOOKUP(A14860,'[1]Componentes APUs'!$A$1:$D$14,4,0)</f>
        <v>37500</v>
      </c>
      <c r="G14860" s="51">
        <f>ROUNDUP(F14860*(E14860/21)/E14818,0)</f>
        <v>596</v>
      </c>
    </row>
    <row r="14861" spans="1:7" x14ac:dyDescent="0.25">
      <c r="A14861" s="50" t="s">
        <v>91</v>
      </c>
      <c r="B14861" s="72" t="str">
        <f>VLOOKUP(A14861,'[1]Componentes APUs'!$A$1:$D$14,2,0)</f>
        <v>Equipo completo para trabajo en alturas con pretales (Arnes dielectrico, 1 mosqueton de seguridad, tie off dielectrico, eslinga de posicionamiento, juego de pretales)</v>
      </c>
      <c r="C14861" s="73"/>
      <c r="D14861" s="50" t="str">
        <f>VLOOKUP(A14861,'[1]Componentes APUs'!$A$1:$D$14,3,0)</f>
        <v>U</v>
      </c>
      <c r="E14861" s="50">
        <f>IF(A14830="MO-3",C14830,0)</f>
        <v>2</v>
      </c>
      <c r="F14861" s="51">
        <f>VLOOKUP(A14861,'[1]Componentes APUs'!$A$1:$D$14,4,0)</f>
        <v>26041.666666666668</v>
      </c>
      <c r="G14861" s="51">
        <f>ROUNDUP(F14861*(E14861/21)/E14818,0)</f>
        <v>827</v>
      </c>
    </row>
    <row r="14862" spans="1:7" x14ac:dyDescent="0.25">
      <c r="A14862" s="219" t="s">
        <v>95</v>
      </c>
      <c r="B14862" s="219"/>
      <c r="C14862" s="219"/>
      <c r="D14862" s="219"/>
      <c r="E14862" s="219"/>
      <c r="F14862" s="219"/>
      <c r="G14862" s="52">
        <f>SUM(G14849:G14861)</f>
        <v>5240</v>
      </c>
    </row>
    <row r="14863" spans="1:7" x14ac:dyDescent="0.25">
      <c r="A14863" s="56"/>
      <c r="B14863" s="57"/>
      <c r="C14863" s="57"/>
      <c r="D14863" s="57"/>
      <c r="E14863" s="57"/>
      <c r="F14863" s="57"/>
      <c r="G14863" s="58"/>
    </row>
    <row r="14864" spans="1:7" x14ac:dyDescent="0.25">
      <c r="A14864" s="219" t="s">
        <v>96</v>
      </c>
      <c r="B14864" s="219"/>
      <c r="C14864" s="219"/>
      <c r="D14864" s="219"/>
      <c r="E14864" s="219"/>
      <c r="F14864" s="219"/>
      <c r="G14864" s="219"/>
    </row>
    <row r="14865" spans="1:7" x14ac:dyDescent="0.25">
      <c r="A14865" s="49" t="s">
        <v>35</v>
      </c>
      <c r="B14865" s="225" t="s">
        <v>36</v>
      </c>
      <c r="C14865" s="225"/>
      <c r="D14865" s="49" t="s">
        <v>37</v>
      </c>
      <c r="E14865" s="49" t="s">
        <v>38</v>
      </c>
      <c r="F14865" s="49" t="s">
        <v>39</v>
      </c>
      <c r="G14865" s="49" t="s">
        <v>40</v>
      </c>
    </row>
    <row r="14866" spans="1:7" x14ac:dyDescent="0.25">
      <c r="A14866" s="69" t="s">
        <v>97</v>
      </c>
      <c r="B14866" s="72" t="str">
        <f>VLOOKUP(A14866,'[1]Componentes APUs'!$N$1:$Q$30,2,0)</f>
        <v>Camioneta</v>
      </c>
      <c r="C14866" s="73"/>
      <c r="D14866" s="70" t="str">
        <f>VLOOKUP(A14866,'[1]Componentes APUs'!$N$1:$Q$30,3,0)</f>
        <v>U</v>
      </c>
      <c r="E14866" s="50">
        <v>1</v>
      </c>
      <c r="F14866" s="51">
        <f>VLOOKUP(A14866,'[1]Componentes APUs'!$N$1:$Q$30,4,0)</f>
        <v>5500000</v>
      </c>
      <c r="G14866" s="51">
        <f>IFERROR(ROUNDUP(F14866*(E14866/21)/E14818,0),"-")</f>
        <v>87302</v>
      </c>
    </row>
    <row r="14867" spans="1:7" x14ac:dyDescent="0.25">
      <c r="A14867" s="50" t="s">
        <v>321</v>
      </c>
      <c r="B14867" s="72" t="str">
        <f>VLOOKUP(A14867,'[1]Componentes APUs'!$N$1:$Q$30,2,0)</f>
        <v>Grúa Hidráulica</v>
      </c>
      <c r="C14867" s="73"/>
      <c r="D14867" s="70" t="str">
        <f>VLOOKUP(A14867,'[1]Componentes APUs'!$N$1:$Q$30,3,0)</f>
        <v>U</v>
      </c>
      <c r="E14867" s="50">
        <v>0</v>
      </c>
      <c r="F14867" s="51">
        <f>VLOOKUP(A14867,'[1]Componentes APUs'!$N$1:$Q$30,4,0)</f>
        <v>21000000</v>
      </c>
      <c r="G14867" s="51">
        <f>IFERROR(ROUNDUP(F14867*(E14867/21)/E14818,0),"-")</f>
        <v>0</v>
      </c>
    </row>
    <row r="14868" spans="1:7" x14ac:dyDescent="0.25">
      <c r="A14868" s="69" t="s">
        <v>322</v>
      </c>
      <c r="B14868" s="72" t="str">
        <f>VLOOKUP(A14868,'[1]Componentes APUs'!$N$1:$Q$30,2,0)</f>
        <v>Camabaja</v>
      </c>
      <c r="C14868" s="73"/>
      <c r="D14868" s="70" t="str">
        <f>VLOOKUP(A14868,'[1]Componentes APUs'!$N$1:$Q$30,3,0)</f>
        <v>TON/KM</v>
      </c>
      <c r="E14868" s="50">
        <v>0</v>
      </c>
      <c r="F14868" s="51">
        <f>VLOOKUP(A14868,'[1]Componentes APUs'!$N$1:$Q$30,4,0)</f>
        <v>611</v>
      </c>
      <c r="G14868" s="51">
        <f>IFERROR(ROUNDUP(F14868*(E14868/21)/E14818,0),"-")</f>
        <v>0</v>
      </c>
    </row>
    <row r="14869" spans="1:7" x14ac:dyDescent="0.25">
      <c r="A14869" s="50" t="s">
        <v>323</v>
      </c>
      <c r="B14869" s="72" t="str">
        <f>VLOOKUP(A14869,'[1]Componentes APUs'!$N$1:$Q$30,2,0)</f>
        <v>Volqueta</v>
      </c>
      <c r="C14869" s="73"/>
      <c r="D14869" s="70" t="str">
        <f>VLOOKUP(A14869,'[1]Componentes APUs'!$N$1:$Q$30,3,0)</f>
        <v>U</v>
      </c>
      <c r="E14869" s="50">
        <v>0</v>
      </c>
      <c r="F14869" s="51">
        <f>VLOOKUP(A14869,'[1]Componentes APUs'!$N$1:$Q$30,4,0)</f>
        <v>18900000</v>
      </c>
      <c r="G14869" s="51">
        <f>IFERROR(ROUNDUP(F14869*(E14869/21)/E14818,0),"-")</f>
        <v>0</v>
      </c>
    </row>
    <row r="14870" spans="1:7" x14ac:dyDescent="0.25">
      <c r="A14870" s="69" t="s">
        <v>324</v>
      </c>
      <c r="B14870" s="72" t="str">
        <f>VLOOKUP(A14870,'[1]Componentes APUs'!$N$1:$Q$30,2,0)</f>
        <v>Retroexcavadora</v>
      </c>
      <c r="C14870" s="73"/>
      <c r="D14870" s="70" t="str">
        <f>VLOOKUP(A14870,'[1]Componentes APUs'!$N$1:$Q$30,3,0)</f>
        <v>U</v>
      </c>
      <c r="E14870" s="50">
        <v>0</v>
      </c>
      <c r="F14870" s="51">
        <f>VLOOKUP(A14870,'[1]Componentes APUs'!$N$1:$Q$30,4,0)</f>
        <v>1494459.54</v>
      </c>
      <c r="G14870" s="51">
        <f>IFERROR(ROUNDUP(F14870*(E14870/21)/E14818,0),"-")</f>
        <v>0</v>
      </c>
    </row>
    <row r="14871" spans="1:7" x14ac:dyDescent="0.25">
      <c r="A14871" s="219" t="s">
        <v>99</v>
      </c>
      <c r="B14871" s="219"/>
      <c r="C14871" s="219"/>
      <c r="D14871" s="219"/>
      <c r="E14871" s="219"/>
      <c r="F14871" s="219"/>
      <c r="G14871" s="52">
        <f>SUM(G14866:G14870)</f>
        <v>87302</v>
      </c>
    </row>
    <row r="14872" spans="1:7" x14ac:dyDescent="0.25">
      <c r="A14872" s="56"/>
      <c r="B14872" s="57"/>
      <c r="C14872" s="57"/>
      <c r="D14872" s="57"/>
      <c r="E14872" s="57"/>
      <c r="F14872" s="57"/>
      <c r="G14872" s="58"/>
    </row>
    <row r="14873" spans="1:7" x14ac:dyDescent="0.25">
      <c r="A14873" s="219" t="s">
        <v>1516</v>
      </c>
      <c r="B14873" s="219"/>
      <c r="C14873" s="219"/>
      <c r="D14873" s="219"/>
      <c r="E14873" s="219"/>
      <c r="F14873" s="219"/>
      <c r="G14873" s="52">
        <f>G14871+G14862+G14845+G14834+G14824</f>
        <v>21013638</v>
      </c>
    </row>
    <row r="14874" spans="1:7" x14ac:dyDescent="0.25">
      <c r="A14874" s="59"/>
      <c r="B14874" s="60"/>
      <c r="C14874" s="60"/>
      <c r="D14874" s="60"/>
      <c r="E14874" s="57"/>
      <c r="F14874" s="57"/>
      <c r="G14874" s="58"/>
    </row>
    <row r="14875" spans="1:7" x14ac:dyDescent="0.25">
      <c r="A14875" s="64"/>
      <c r="D14875" s="55"/>
      <c r="E14875" s="49" t="s">
        <v>25</v>
      </c>
      <c r="F14875" s="54">
        <v>0.15</v>
      </c>
      <c r="G14875" s="51">
        <f>G14873*F14875</f>
        <v>3152045.6999999997</v>
      </c>
    </row>
    <row r="14876" spans="1:7" x14ac:dyDescent="0.25">
      <c r="A14876" s="64"/>
      <c r="D14876" s="55"/>
      <c r="E14876" s="49" t="s">
        <v>26</v>
      </c>
      <c r="F14876" s="54">
        <v>0.05</v>
      </c>
      <c r="G14876" s="51">
        <f>G14873*F14876</f>
        <v>1050681.9000000001</v>
      </c>
    </row>
    <row r="14877" spans="1:7" x14ac:dyDescent="0.25">
      <c r="A14877" s="61"/>
      <c r="B14877" s="65"/>
      <c r="C14877" s="65"/>
      <c r="D14877" s="62"/>
      <c r="E14877" s="49" t="s">
        <v>27</v>
      </c>
      <c r="F14877" s="54">
        <v>0.05</v>
      </c>
      <c r="G14877" s="51">
        <f>G14873*F14877</f>
        <v>1050681.9000000001</v>
      </c>
    </row>
    <row r="14878" spans="1:7" x14ac:dyDescent="0.25">
      <c r="A14878" s="61"/>
      <c r="B14878" s="62"/>
      <c r="C14878" s="62"/>
      <c r="D14878" s="62"/>
      <c r="E14878" s="62"/>
      <c r="F14878" s="62"/>
      <c r="G14878" s="63"/>
    </row>
    <row r="14879" spans="1:7" x14ac:dyDescent="0.25">
      <c r="A14879" s="219" t="s">
        <v>1517</v>
      </c>
      <c r="B14879" s="219"/>
      <c r="C14879" s="219"/>
      <c r="D14879" s="219"/>
      <c r="E14879" s="219"/>
      <c r="F14879" s="219"/>
      <c r="G14879" s="52">
        <f>G14873+G14875+G14876+G14877</f>
        <v>26267047.499999996</v>
      </c>
    </row>
    <row r="14880" spans="1:7" x14ac:dyDescent="0.25">
      <c r="A14880" s="59"/>
      <c r="B14880" s="60"/>
      <c r="C14880" s="60"/>
      <c r="D14880" s="60"/>
      <c r="E14880" s="57"/>
      <c r="F14880" s="57"/>
      <c r="G14880" s="58"/>
    </row>
    <row r="14881" spans="1:7" x14ac:dyDescent="0.25">
      <c r="A14881" s="64"/>
      <c r="D14881" s="55"/>
      <c r="E14881" s="49" t="s">
        <v>102</v>
      </c>
      <c r="F14881" s="49" t="s">
        <v>103</v>
      </c>
      <c r="G14881" s="51">
        <f>G14877*19%</f>
        <v>199629.56100000002</v>
      </c>
    </row>
    <row r="14882" spans="1:7" x14ac:dyDescent="0.25">
      <c r="A14882" s="61"/>
      <c r="B14882" s="62"/>
      <c r="C14882" s="62"/>
      <c r="D14882" s="62"/>
      <c r="E14882" s="57"/>
      <c r="F14882" s="57"/>
      <c r="G14882" s="58"/>
    </row>
    <row r="14883" spans="1:7" x14ac:dyDescent="0.25">
      <c r="A14883" s="219" t="s">
        <v>104</v>
      </c>
      <c r="B14883" s="219"/>
      <c r="C14883" s="219"/>
      <c r="D14883" s="219"/>
      <c r="E14883" s="219"/>
      <c r="F14883" s="219"/>
      <c r="G14883" s="52">
        <f>G14881+G14879</f>
        <v>26466677.060999997</v>
      </c>
    </row>
    <row r="14885" spans="1:7" x14ac:dyDescent="0.25">
      <c r="A14885" s="74" t="s">
        <v>29</v>
      </c>
      <c r="B14885" s="226" t="s">
        <v>30</v>
      </c>
      <c r="C14885" s="226"/>
      <c r="D14885" s="74" t="s">
        <v>31</v>
      </c>
      <c r="E14885" s="74" t="s">
        <v>32</v>
      </c>
      <c r="F14885" s="74" t="s">
        <v>189</v>
      </c>
      <c r="G14885" s="74" t="s">
        <v>33</v>
      </c>
    </row>
    <row r="14886" spans="1:7" ht="39.75" customHeight="1" x14ac:dyDescent="0.25">
      <c r="A14886" s="50" t="str">
        <f>Presupuesto!B275</f>
        <v>022_N2</v>
      </c>
      <c r="B14886" s="220" t="str">
        <f>Presupuesto!C275</f>
        <v>SUMINISTRO E INSTALACIÓN DE TRANSFORMADOR DE TENSIÓN. USO EXTERIOR. DOBLE NUCLEO. (N1: 13,8√3/115√3. CL 0,5, 10 VA; N2: 13,8√3/115√3. 5P-10VA)</v>
      </c>
      <c r="C14886" s="220"/>
      <c r="D14886" s="50" t="s">
        <v>108</v>
      </c>
      <c r="E14886" s="50">
        <v>3</v>
      </c>
      <c r="F14886" s="50"/>
      <c r="G14886" s="51">
        <f>G14955</f>
        <v>24038612.960999995</v>
      </c>
    </row>
    <row r="14887" spans="1:7" x14ac:dyDescent="0.25">
      <c r="A14887" s="219" t="s">
        <v>34</v>
      </c>
      <c r="B14887" s="219"/>
      <c r="C14887" s="219"/>
      <c r="D14887" s="219"/>
      <c r="E14887" s="219"/>
      <c r="F14887" s="219"/>
      <c r="G14887" s="219"/>
    </row>
    <row r="14888" spans="1:7" x14ac:dyDescent="0.25">
      <c r="A14888" s="49" t="s">
        <v>35</v>
      </c>
      <c r="B14888" s="219" t="s">
        <v>36</v>
      </c>
      <c r="C14888" s="219"/>
      <c r="D14888" s="49" t="s">
        <v>37</v>
      </c>
      <c r="E14888" s="49" t="s">
        <v>38</v>
      </c>
      <c r="F14888" s="49" t="s">
        <v>39</v>
      </c>
      <c r="G14888" s="49" t="s">
        <v>40</v>
      </c>
    </row>
    <row r="14889" spans="1:7" ht="27.75" customHeight="1" x14ac:dyDescent="0.25">
      <c r="A14889" s="17" t="str">
        <f>Material!A52</f>
        <v>MA-51</v>
      </c>
      <c r="B14889" s="221" t="str">
        <f>IFERROR(VLOOKUP(A14889,Material!$A:$J,2,0),"-")</f>
        <v>TRANSFORMADOR DE TENSIÓN. USO EXTERIOR. DOBLE NUCLEO. (N1: 13,8√3/115√3. CL 0,5, 10 VA; N2: 13,8√3/115√3. 3P)</v>
      </c>
      <c r="C14889" s="222"/>
      <c r="D14889" s="50" t="str">
        <f>IFERROR(VLOOKUP(A14889,Material!$A:$J,4,0),"-")</f>
        <v>UN</v>
      </c>
      <c r="E14889" s="50">
        <v>1</v>
      </c>
      <c r="F14889" s="51">
        <f>IFERROR(VLOOKUP(A14889,Material!$A:$J,3,0),"-")</f>
        <v>18635400</v>
      </c>
      <c r="G14889" s="51">
        <f t="shared" ref="G14889:G14895" si="211">IFERROR(ROUNDUP(F14889*E14889,0),"-")</f>
        <v>18635400</v>
      </c>
    </row>
    <row r="14890" spans="1:7" x14ac:dyDescent="0.25">
      <c r="A14890" s="17"/>
      <c r="B14890" s="72" t="str">
        <f>IFERROR(VLOOKUP(A14890,Material!$A:$J,2,0),"-")</f>
        <v>-</v>
      </c>
      <c r="C14890" s="73"/>
      <c r="D14890" s="50" t="str">
        <f>IFERROR(VLOOKUP(A14890,Material!$A:$J,4,0),"-")</f>
        <v>-</v>
      </c>
      <c r="E14890" s="50"/>
      <c r="F14890" s="51" t="str">
        <f>IFERROR(VLOOKUP(A14890,Material!$A:$J,3,0),"-")</f>
        <v>-</v>
      </c>
      <c r="G14890" s="51" t="str">
        <f t="shared" si="211"/>
        <v>-</v>
      </c>
    </row>
    <row r="14891" spans="1:7" x14ac:dyDescent="0.25">
      <c r="A14891" s="17"/>
      <c r="B14891" s="72" t="str">
        <f>IFERROR(VLOOKUP(A14891,Material!$A:$J,2,0),"-")</f>
        <v>-</v>
      </c>
      <c r="C14891" s="73"/>
      <c r="D14891" s="50" t="str">
        <f>IFERROR(VLOOKUP(A14891,Material!$A:$J,4,0),"-")</f>
        <v>-</v>
      </c>
      <c r="E14891" s="50"/>
      <c r="F14891" s="51" t="str">
        <f>IFERROR(VLOOKUP(A14891,Material!$A:$J,3,0),"-")</f>
        <v>-</v>
      </c>
      <c r="G14891" s="51" t="str">
        <f t="shared" si="211"/>
        <v>-</v>
      </c>
    </row>
    <row r="14892" spans="1:7" x14ac:dyDescent="0.25">
      <c r="A14892" s="17"/>
      <c r="B14892" s="72" t="str">
        <f>IFERROR(VLOOKUP(A14892,Material!$A:$J,2,0),"-")</f>
        <v>-</v>
      </c>
      <c r="C14892" s="73"/>
      <c r="D14892" s="50" t="str">
        <f>IFERROR(VLOOKUP(A14892,Material!$A:$J,4,0),"-")</f>
        <v>-</v>
      </c>
      <c r="E14892" s="50"/>
      <c r="F14892" s="51" t="str">
        <f>IFERROR(VLOOKUP(A14892,Material!$A:$J,3,0),"-")</f>
        <v>-</v>
      </c>
      <c r="G14892" s="51" t="str">
        <f t="shared" si="211"/>
        <v>-</v>
      </c>
    </row>
    <row r="14893" spans="1:7" x14ac:dyDescent="0.25">
      <c r="A14893" s="17"/>
      <c r="B14893" s="72" t="str">
        <f>IFERROR(VLOOKUP(A14893,Material!$A:$J,2,0),"-")</f>
        <v>-</v>
      </c>
      <c r="C14893" s="73"/>
      <c r="D14893" s="50" t="str">
        <f>IFERROR(VLOOKUP(A14893,Material!$A:$J,4,0),"-")</f>
        <v>-</v>
      </c>
      <c r="E14893" s="50"/>
      <c r="F14893" s="51" t="str">
        <f>IFERROR(VLOOKUP(A14893,Material!$A:$J,3,0),"-")</f>
        <v>-</v>
      </c>
      <c r="G14893" s="51" t="str">
        <f t="shared" si="211"/>
        <v>-</v>
      </c>
    </row>
    <row r="14894" spans="1:7" x14ac:dyDescent="0.25">
      <c r="A14894" s="17"/>
      <c r="B14894" s="75" t="str">
        <f>IFERROR(VLOOKUP(A14894,Material!$A:$J,2,0),"-")</f>
        <v>-</v>
      </c>
      <c r="C14894" s="76"/>
      <c r="D14894" s="50" t="str">
        <f>IFERROR(VLOOKUP(A14894,Material!$A:$J,4,0),"-")</f>
        <v>-</v>
      </c>
      <c r="E14894" s="50"/>
      <c r="F14894" s="51" t="str">
        <f>IFERROR(VLOOKUP(A14894,Material!$A:$J,3,0),"-")</f>
        <v>-</v>
      </c>
      <c r="G14894" s="51" t="str">
        <f t="shared" si="211"/>
        <v>-</v>
      </c>
    </row>
    <row r="14895" spans="1:7" x14ac:dyDescent="0.25">
      <c r="A14895" s="17"/>
      <c r="B14895" s="72" t="str">
        <f>IFERROR(VLOOKUP(A14895,Material!$A:$J,2,0),"-")</f>
        <v>-</v>
      </c>
      <c r="C14895" s="76"/>
      <c r="D14895" s="50" t="str">
        <f>IFERROR(VLOOKUP(A14895,Material!$A:$J,4,0),"-")</f>
        <v>-</v>
      </c>
      <c r="E14895" s="50"/>
      <c r="F14895" s="51" t="str">
        <f>IFERROR(VLOOKUP(A14895,Material!$A:$J,3,0),"-")</f>
        <v>-</v>
      </c>
      <c r="G14895" s="51" t="str">
        <f t="shared" si="211"/>
        <v>-</v>
      </c>
    </row>
    <row r="14896" spans="1:7" x14ac:dyDescent="0.25">
      <c r="A14896" s="219" t="s">
        <v>41</v>
      </c>
      <c r="B14896" s="219"/>
      <c r="C14896" s="219"/>
      <c r="D14896" s="219"/>
      <c r="E14896" s="219"/>
      <c r="F14896" s="219"/>
      <c r="G14896" s="52">
        <f>SUM(G14889:G14895)</f>
        <v>18635400</v>
      </c>
    </row>
    <row r="14897" spans="1:7" x14ac:dyDescent="0.25">
      <c r="A14897" s="56"/>
      <c r="B14897" s="57"/>
      <c r="C14897" s="57"/>
      <c r="D14897" s="57"/>
      <c r="E14897" s="57"/>
      <c r="F14897" s="57"/>
      <c r="G14897" s="58"/>
    </row>
    <row r="14898" spans="1:7" x14ac:dyDescent="0.25">
      <c r="A14898" s="219" t="s">
        <v>42</v>
      </c>
      <c r="B14898" s="219"/>
      <c r="C14898" s="219"/>
      <c r="D14898" s="219"/>
      <c r="E14898" s="219"/>
      <c r="F14898" s="219"/>
      <c r="G14898" s="219"/>
    </row>
    <row r="14899" spans="1:7" x14ac:dyDescent="0.25">
      <c r="A14899" s="49" t="s">
        <v>35</v>
      </c>
      <c r="B14899" s="49" t="s">
        <v>36</v>
      </c>
      <c r="C14899" s="49" t="s">
        <v>38</v>
      </c>
      <c r="D14899" s="49" t="s">
        <v>43</v>
      </c>
      <c r="E14899" s="49" t="s">
        <v>44</v>
      </c>
      <c r="F14899" s="49" t="s">
        <v>45</v>
      </c>
      <c r="G14899" s="49" t="s">
        <v>40</v>
      </c>
    </row>
    <row r="14900" spans="1:7" x14ac:dyDescent="0.25">
      <c r="A14900" s="50" t="s">
        <v>319</v>
      </c>
      <c r="B14900" s="68" t="str">
        <f>VLOOKUP(A14900,'[1]Componentes APUs'!$H$1:$L$25,2,0)</f>
        <v>Ingeniero Residente de Obra</v>
      </c>
      <c r="C14900" s="93">
        <v>0.25</v>
      </c>
      <c r="D14900" s="50">
        <f>VLOOKUP(A14900,'[1]Componentes APUs'!$H$1:$L$25,3,0)</f>
        <v>4</v>
      </c>
      <c r="E14900" s="51">
        <f>VLOOKUP(A14900,'[1]Componentes APUs'!$H$1:$L$25,4,0)</f>
        <v>271142.85714285716</v>
      </c>
      <c r="F14900" s="51">
        <f>VLOOKUP(A14900,'[1]Componentes APUs'!$H$1:$L$25,5,0)</f>
        <v>162685.71428571429</v>
      </c>
      <c r="G14900" s="51">
        <f>ROUNDUP((E14900+F14900)*C14900/E14886,0)</f>
        <v>36153</v>
      </c>
    </row>
    <row r="14901" spans="1:7" x14ac:dyDescent="0.25">
      <c r="A14901" s="50" t="s">
        <v>320</v>
      </c>
      <c r="B14901" s="68" t="str">
        <f>VLOOKUP(A14901,'[1]Componentes APUs'!$H$1:$L$25,2,0)</f>
        <v>Tecnico Supervisor</v>
      </c>
      <c r="C14901" s="93">
        <v>0.25</v>
      </c>
      <c r="D14901" s="50">
        <f>VLOOKUP(A14901,'[1]Componentes APUs'!$H$1:$L$25,3,0)</f>
        <v>2.2999999999999998</v>
      </c>
      <c r="E14901" s="51">
        <f>VLOOKUP(A14901,'[1]Componentes APUs'!$H$1:$L$25,4,0)</f>
        <v>155907.14285714284</v>
      </c>
      <c r="F14901" s="51">
        <f>VLOOKUP(A14901,'[1]Componentes APUs'!$H$1:$L$25,5,0)</f>
        <v>93544.285714285696</v>
      </c>
      <c r="G14901" s="51">
        <f>ROUNDUP((E14901+F14901)*C14901/E14886,0)</f>
        <v>20788</v>
      </c>
    </row>
    <row r="14902" spans="1:7" x14ac:dyDescent="0.25">
      <c r="A14902" s="50" t="s">
        <v>46</v>
      </c>
      <c r="B14902" s="68" t="str">
        <f>VLOOKUP(A14902,'[1]Componentes APUs'!$H$1:$L$25,2,0)</f>
        <v>Tecnico Liniero</v>
      </c>
      <c r="C14902" s="93">
        <v>2</v>
      </c>
      <c r="D14902" s="50">
        <f>VLOOKUP(A14902,'[1]Componentes APUs'!$H$1:$L$25,3,0)</f>
        <v>2</v>
      </c>
      <c r="E14902" s="51">
        <f>VLOOKUP(A14902,'[1]Componentes APUs'!$H$1:$L$25,4,0)</f>
        <v>154619.04761904763</v>
      </c>
      <c r="F14902" s="51">
        <f>VLOOKUP(A14902,'[1]Componentes APUs'!$H$1:$L$25,5,0)</f>
        <v>92771.42857142858</v>
      </c>
      <c r="G14902" s="51">
        <f>ROUNDUP((E14902+F14902)*C14902/E14886,0)</f>
        <v>164927</v>
      </c>
    </row>
    <row r="14903" spans="1:7" x14ac:dyDescent="0.25">
      <c r="A14903" s="50" t="s">
        <v>48</v>
      </c>
      <c r="B14903" s="68" t="str">
        <f>VLOOKUP(A14903,'[1]Componentes APUs'!$H$1:$L$25,2,0)</f>
        <v>Ayudante Calificado</v>
      </c>
      <c r="C14903" s="93">
        <v>1</v>
      </c>
      <c r="D14903" s="50">
        <f>VLOOKUP(A14903,'[1]Componentes APUs'!$H$1:$L$25,3,0)</f>
        <v>1.5</v>
      </c>
      <c r="E14903" s="51">
        <f>VLOOKUP(A14903,'[1]Componentes APUs'!$H$1:$L$25,4,0)</f>
        <v>115964.28571428571</v>
      </c>
      <c r="F14903" s="51">
        <f>VLOOKUP(A14903,'[1]Componentes APUs'!$H$1:$L$25,5,0)</f>
        <v>69578.57142857142</v>
      </c>
      <c r="G14903" s="51">
        <f>ROUNDUP((E14903+F14903)*C14903/E14886,0)</f>
        <v>61848</v>
      </c>
    </row>
    <row r="14904" spans="1:7" x14ac:dyDescent="0.25">
      <c r="A14904" s="50" t="s">
        <v>50</v>
      </c>
      <c r="B14904" s="68" t="str">
        <f>VLOOKUP(A14904,'[1]Componentes APUs'!$H$1:$L$25,2,0)</f>
        <v>Profesional en SST</v>
      </c>
      <c r="C14904" s="93">
        <v>0.25</v>
      </c>
      <c r="D14904" s="50">
        <f>VLOOKUP(A14904,'[1]Componentes APUs'!$H$1:$L$25,3,0)</f>
        <v>2.5</v>
      </c>
      <c r="E14904" s="51">
        <f>VLOOKUP(A14904,'[1]Componentes APUs'!$H$1:$L$25,4,0)</f>
        <v>169464.28571428571</v>
      </c>
      <c r="F14904" s="51">
        <f>VLOOKUP(A14904,'[1]Componentes APUs'!$H$1:$L$25,5,0)</f>
        <v>101678.57142857142</v>
      </c>
      <c r="G14904" s="51">
        <f>ROUNDUP((E14904+F14904)*C14904/E14886,0)</f>
        <v>22596</v>
      </c>
    </row>
    <row r="14905" spans="1:7" x14ac:dyDescent="0.25">
      <c r="A14905" s="50" t="s">
        <v>52</v>
      </c>
      <c r="B14905" s="68" t="str">
        <f>VLOOKUP(A14905,'[1]Componentes APUs'!$H$1:$L$25,2,0)</f>
        <v>Ayudante No Calificado</v>
      </c>
      <c r="C14905" s="93">
        <v>1</v>
      </c>
      <c r="D14905" s="50">
        <f>VLOOKUP(A14905,'[1]Componentes APUs'!$H$1:$L$25,3,0)</f>
        <v>1</v>
      </c>
      <c r="E14905" s="51">
        <f>VLOOKUP(A14905,'[1]Componentes APUs'!$H$1:$L$25,4,0)</f>
        <v>77309.523809523816</v>
      </c>
      <c r="F14905" s="51">
        <f>VLOOKUP(A14905,'[1]Componentes APUs'!$H$1:$L$25,5,0)</f>
        <v>46385.71428571429</v>
      </c>
      <c r="G14905" s="51">
        <f>ROUNDUP((E14905+F14905)*C14905/E14886,0)</f>
        <v>41232</v>
      </c>
    </row>
    <row r="14906" spans="1:7" x14ac:dyDescent="0.25">
      <c r="A14906" s="219" t="s">
        <v>56</v>
      </c>
      <c r="B14906" s="219"/>
      <c r="C14906" s="219"/>
      <c r="D14906" s="219"/>
      <c r="E14906" s="219"/>
      <c r="F14906" s="219"/>
      <c r="G14906" s="52">
        <f>SUM(G14900:G14905)</f>
        <v>347544</v>
      </c>
    </row>
    <row r="14907" spans="1:7" x14ac:dyDescent="0.25">
      <c r="A14907" s="56"/>
      <c r="B14907" s="57"/>
      <c r="C14907" s="57"/>
      <c r="D14907" s="57"/>
      <c r="E14907" s="57"/>
      <c r="F14907" s="57"/>
      <c r="G14907" s="58"/>
    </row>
    <row r="14908" spans="1:7" x14ac:dyDescent="0.25">
      <c r="A14908" s="219" t="s">
        <v>57</v>
      </c>
      <c r="B14908" s="219"/>
      <c r="C14908" s="219"/>
      <c r="D14908" s="219"/>
      <c r="E14908" s="219"/>
      <c r="F14908" s="219"/>
      <c r="G14908" s="219"/>
    </row>
    <row r="14909" spans="1:7" x14ac:dyDescent="0.25">
      <c r="A14909" s="49" t="s">
        <v>35</v>
      </c>
      <c r="B14909" s="219" t="s">
        <v>36</v>
      </c>
      <c r="C14909" s="219"/>
      <c r="D14909" s="49" t="s">
        <v>37</v>
      </c>
      <c r="E14909" s="49" t="s">
        <v>38</v>
      </c>
      <c r="F14909" s="49" t="s">
        <v>39</v>
      </c>
      <c r="G14909" s="49" t="s">
        <v>40</v>
      </c>
    </row>
    <row r="14910" spans="1:7" x14ac:dyDescent="0.25">
      <c r="A14910" s="50" t="s">
        <v>326</v>
      </c>
      <c r="B14910" s="220" t="str">
        <f>VLOOKUP(A14910,'[1]Componentes APUs'!$S$1:$V$10,2,0)</f>
        <v>Juego Llaves</v>
      </c>
      <c r="C14910" s="220"/>
      <c r="D14910" s="50" t="s">
        <v>18</v>
      </c>
      <c r="E14910" s="50">
        <v>2</v>
      </c>
      <c r="F14910" s="51">
        <f>VLOOKUP(A14910,'[1]Componentes APUs'!$S$1:$V$10,4,0)</f>
        <v>9167</v>
      </c>
      <c r="G14910" s="51">
        <f>ROUNDUP(F14910*((E14910/21)/E14886),0)</f>
        <v>292</v>
      </c>
    </row>
    <row r="14911" spans="1:7" x14ac:dyDescent="0.25">
      <c r="A14911" s="50" t="s">
        <v>58</v>
      </c>
      <c r="B14911" s="220" t="str">
        <f>VLOOKUP(A14911,'[1]Componentes APUs'!$S$1:$V$10,2,0)</f>
        <v>Manila de servicio</v>
      </c>
      <c r="C14911" s="220"/>
      <c r="D14911" s="50" t="s">
        <v>18</v>
      </c>
      <c r="E14911" s="50">
        <v>2</v>
      </c>
      <c r="F14911" s="51">
        <f>VLOOKUP(A14911,'[1]Componentes APUs'!$S$1:$V$10,4,0)</f>
        <v>2333</v>
      </c>
      <c r="G14911" s="51">
        <f>ROUNDUP(F14911*((E14911/21)/E14886),0)</f>
        <v>75</v>
      </c>
    </row>
    <row r="14912" spans="1:7" x14ac:dyDescent="0.25">
      <c r="A14912" s="50" t="s">
        <v>327</v>
      </c>
      <c r="B14912" s="220" t="str">
        <f>VLOOKUP(A14912,'[1]Componentes APUs'!$S$1:$V$10,2,0)</f>
        <v>Tula portaherramientas</v>
      </c>
      <c r="C14912" s="220"/>
      <c r="D14912" s="50" t="s">
        <v>18</v>
      </c>
      <c r="E14912" s="50">
        <v>2</v>
      </c>
      <c r="F14912" s="51">
        <f>VLOOKUP(A14912,'[1]Componentes APUs'!$S$1:$V$10,4,0)</f>
        <v>1250</v>
      </c>
      <c r="G14912" s="51">
        <f>ROUNDUP(F14912*((E14912/21)/E14886),0)</f>
        <v>40</v>
      </c>
    </row>
    <row r="14913" spans="1:7" x14ac:dyDescent="0.25">
      <c r="A14913" s="50" t="s">
        <v>60</v>
      </c>
      <c r="B14913" s="220" t="str">
        <f>VLOOKUP(A14913,'[1]Componentes APUs'!$S$1:$V$10,2,0)</f>
        <v>Agarradoras</v>
      </c>
      <c r="C14913" s="220"/>
      <c r="D14913" s="50" t="s">
        <v>18</v>
      </c>
      <c r="E14913" s="50">
        <v>0</v>
      </c>
      <c r="F14913" s="51">
        <f>VLOOKUP(A14913,'[1]Componentes APUs'!$S$1:$V$10,4,0)</f>
        <v>125000</v>
      </c>
      <c r="G14913" s="51">
        <f>ROUNDUP(F14913*((E14913/21)/E14886),0)</f>
        <v>0</v>
      </c>
    </row>
    <row r="14914" spans="1:7" x14ac:dyDescent="0.25">
      <c r="A14914" s="50" t="s">
        <v>62</v>
      </c>
      <c r="B14914" s="220" t="str">
        <f>VLOOKUP(A14914,'[1]Componentes APUs'!$S$1:$V$10,2,0)</f>
        <v>Templadoras</v>
      </c>
      <c r="C14914" s="220"/>
      <c r="D14914" s="50" t="s">
        <v>18</v>
      </c>
      <c r="E14914" s="50">
        <v>0</v>
      </c>
      <c r="F14914" s="51">
        <f>VLOOKUP(A14914,'[1]Componentes APUs'!$S$1:$V$10,4,0)</f>
        <v>250000</v>
      </c>
      <c r="G14914" s="51">
        <f>ROUNDUP(F14914*((E14914/21)/E14886),0)</f>
        <v>0</v>
      </c>
    </row>
    <row r="14915" spans="1:7" x14ac:dyDescent="0.25">
      <c r="A14915" s="50" t="s">
        <v>328</v>
      </c>
      <c r="B14915" s="220" t="str">
        <f>VLOOKUP(A14915,'[1]Componentes APUs'!$S$1:$V$10,2,0)</f>
        <v>Herramienta Menor</v>
      </c>
      <c r="C14915" s="220"/>
      <c r="D14915" s="50" t="s">
        <v>18</v>
      </c>
      <c r="E14915" s="50">
        <v>2</v>
      </c>
      <c r="F14915" s="51">
        <f>VLOOKUP(A14915,'[1]Componentes APUs'!$S$1:$V$10,4,0)</f>
        <v>75758</v>
      </c>
      <c r="G14915" s="51">
        <f>ROUNDUP(F14915*((E14915/21)/E14886),0)</f>
        <v>2406</v>
      </c>
    </row>
    <row r="14916" spans="1:7" x14ac:dyDescent="0.25">
      <c r="A14916" s="50" t="s">
        <v>66</v>
      </c>
      <c r="B14916" s="220" t="str">
        <f>VLOOKUP(A14916,'[1]Componentes APUs'!$S$1:$V$10,2,0)</f>
        <v>Diferencial 2 Toneladas</v>
      </c>
      <c r="C14916" s="220"/>
      <c r="D14916" s="50" t="s">
        <v>18</v>
      </c>
      <c r="E14916" s="50">
        <v>1</v>
      </c>
      <c r="F14916" s="51">
        <f>VLOOKUP(A14916,'[1]Componentes APUs'!$S$1:$V$10,4,0)</f>
        <v>474905</v>
      </c>
      <c r="G14916" s="51">
        <f>ROUNDUP(F14916*((E14916/21)/E14886),0)</f>
        <v>7539</v>
      </c>
    </row>
    <row r="14917" spans="1:7" x14ac:dyDescent="0.25">
      <c r="A14917" s="219" t="s">
        <v>69</v>
      </c>
      <c r="B14917" s="219"/>
      <c r="C14917" s="219"/>
      <c r="D14917" s="219"/>
      <c r="E14917" s="219"/>
      <c r="F14917" s="219"/>
      <c r="G14917" s="52">
        <f>SUM(G14910:G14916)</f>
        <v>10352</v>
      </c>
    </row>
    <row r="14918" spans="1:7" x14ac:dyDescent="0.25">
      <c r="A14918" s="56"/>
      <c r="B14918" s="57"/>
      <c r="C14918" s="57"/>
      <c r="D14918" s="57"/>
      <c r="E14918" s="57"/>
      <c r="F14918" s="57"/>
      <c r="G14918" s="58"/>
    </row>
    <row r="14919" spans="1:7" x14ac:dyDescent="0.25">
      <c r="A14919" s="219" t="s">
        <v>70</v>
      </c>
      <c r="B14919" s="219"/>
      <c r="C14919" s="219"/>
      <c r="D14919" s="219"/>
      <c r="E14919" s="219"/>
      <c r="F14919" s="219"/>
      <c r="G14919" s="219"/>
    </row>
    <row r="14920" spans="1:7" x14ac:dyDescent="0.25">
      <c r="A14920" s="49" t="s">
        <v>35</v>
      </c>
      <c r="B14920" s="219" t="s">
        <v>36</v>
      </c>
      <c r="C14920" s="219"/>
      <c r="D14920" s="49" t="s">
        <v>37</v>
      </c>
      <c r="E14920" s="49" t="s">
        <v>38</v>
      </c>
      <c r="F14920" s="49" t="s">
        <v>39</v>
      </c>
      <c r="G14920" s="49" t="s">
        <v>40</v>
      </c>
    </row>
    <row r="14921" spans="1:7" x14ac:dyDescent="0.25">
      <c r="A14921" s="50" t="s">
        <v>71</v>
      </c>
      <c r="B14921" s="71" t="str">
        <f>VLOOKUP(A14921,'[1]Componentes APUs'!$A$1:$D$14,2,0)</f>
        <v>Camisa indigo sin partes metalicas</v>
      </c>
      <c r="C14921" s="71"/>
      <c r="D14921" s="50" t="str">
        <f>VLOOKUP(A14921,'[1]Componentes APUs'!$A$1:$D$14,3,0)</f>
        <v>U</v>
      </c>
      <c r="E14921" s="50">
        <f>SUM(C14900:C14905)</f>
        <v>4.75</v>
      </c>
      <c r="F14921" s="51">
        <f>VLOOKUP(A14921,'[1]Componentes APUs'!$A$1:$D$14,4,0)</f>
        <v>8585.8585858585866</v>
      </c>
      <c r="G14921" s="51">
        <f>ROUNDUP(F14921*(E14921/21)/E14886,0)</f>
        <v>648</v>
      </c>
    </row>
    <row r="14922" spans="1:7" x14ac:dyDescent="0.25">
      <c r="A14922" s="69" t="s">
        <v>73</v>
      </c>
      <c r="B14922" s="72" t="str">
        <f>VLOOKUP(A14922,'[1]Componentes APUs'!$A$1:$D$14,2,0)</f>
        <v>Bota de seguridad dielectrica</v>
      </c>
      <c r="C14922" s="73"/>
      <c r="D14922" s="70" t="str">
        <f>VLOOKUP(A14922,'[1]Componentes APUs'!$A$1:$D$14,3,0)</f>
        <v>Par</v>
      </c>
      <c r="E14922" s="50">
        <f>SUM(C14900:C14905)</f>
        <v>4.75</v>
      </c>
      <c r="F14922" s="51">
        <f>VLOOKUP(A14922,'[1]Componentes APUs'!$A$1:$D$14,4,0)</f>
        <v>7500</v>
      </c>
      <c r="G14922" s="51">
        <f>ROUNDUP(F14922*(E14922/21)/E14886,0)</f>
        <v>566</v>
      </c>
    </row>
    <row r="14923" spans="1:7" x14ac:dyDescent="0.25">
      <c r="A14923" s="50" t="s">
        <v>76</v>
      </c>
      <c r="B14923" s="72" t="str">
        <f>VLOOKUP(A14923,'[1]Componentes APUs'!$A$1:$D$14,2,0)</f>
        <v>Casco dielectrico Tipo 1 Clase E con barbuquejo</v>
      </c>
      <c r="C14923" s="73"/>
      <c r="D14923" s="50" t="str">
        <f>VLOOKUP(A14923,'[1]Componentes APUs'!$A$1:$D$14,3,0)</f>
        <v>U</v>
      </c>
      <c r="E14923" s="50">
        <f>C14901+C14904+C14905+C14903+C14900+IF(A14902&lt;&gt;"MO-3",C14902,0)</f>
        <v>2.75</v>
      </c>
      <c r="F14923" s="51">
        <f>VLOOKUP(A14923,'[1]Componentes APUs'!$A$1:$D$14,4,0)</f>
        <v>10101.010101010101</v>
      </c>
      <c r="G14923" s="51">
        <f>ROUNDUP(F14923*(E14923/21)/E14886,0)</f>
        <v>441</v>
      </c>
    </row>
    <row r="14924" spans="1:7" x14ac:dyDescent="0.25">
      <c r="A14924" s="69" t="s">
        <v>77</v>
      </c>
      <c r="B14924" s="72" t="str">
        <f>VLOOKUP(A14924,'[1]Componentes APUs'!$A$1:$D$14,2,0)</f>
        <v>Correa plastica y antiflama</v>
      </c>
      <c r="C14924" s="73"/>
      <c r="D14924" s="50" t="str">
        <f>VLOOKUP(A14924,'[1]Componentes APUs'!$A$1:$D$14,3,0)</f>
        <v>U</v>
      </c>
      <c r="E14924" s="50">
        <f>SUM(C14900:C14905)</f>
        <v>4.75</v>
      </c>
      <c r="F14924" s="51">
        <f>VLOOKUP(A14924,'[1]Componentes APUs'!$A$1:$D$14,4,0)</f>
        <v>3787.878787878788</v>
      </c>
      <c r="G14924" s="51">
        <f>ROUNDUP(F14924*(E14924/21)/E14886,0)</f>
        <v>286</v>
      </c>
    </row>
    <row r="14925" spans="1:7" x14ac:dyDescent="0.25">
      <c r="A14925" s="50" t="s">
        <v>79</v>
      </c>
      <c r="B14925" s="72" t="str">
        <f>VLOOKUP(A14925,'[1]Componentes APUs'!$A$1:$D$14,2,0)</f>
        <v>Gafas protectoras filtro UV</v>
      </c>
      <c r="C14925" s="73"/>
      <c r="D14925" s="50" t="str">
        <f>VLOOKUP(A14925,'[1]Componentes APUs'!$A$1:$D$14,3,0)</f>
        <v>U</v>
      </c>
      <c r="E14925" s="50">
        <f>SUM(C14900:C14905)</f>
        <v>4.75</v>
      </c>
      <c r="F14925" s="51">
        <f>VLOOKUP(A14925,'[1]Componentes APUs'!$A$1:$D$14,4,0)</f>
        <v>2777.7777777777778</v>
      </c>
      <c r="G14925" s="51">
        <f>ROUNDUP(F14925*(E14925/21)/E14886,0)</f>
        <v>210</v>
      </c>
    </row>
    <row r="14926" spans="1:7" x14ac:dyDescent="0.25">
      <c r="A14926" s="69" t="s">
        <v>402</v>
      </c>
      <c r="B14926" s="72" t="str">
        <f>VLOOKUP(A14926,'[1]Componentes APUs'!$A$1:$D$14,2,0)</f>
        <v>Bota de seguridad PVC dielectrica</v>
      </c>
      <c r="C14926" s="73"/>
      <c r="D14926" s="50" t="str">
        <f>VLOOKUP(A14926,'[1]Componentes APUs'!$A$1:$D$14,3,0)</f>
        <v>Par</v>
      </c>
      <c r="E14926" s="50">
        <f>SUM(C14900:C14905)</f>
        <v>4.75</v>
      </c>
      <c r="F14926" s="51">
        <f>VLOOKUP(A14926,'[1]Componentes APUs'!$A$1:$D$14,4,0)</f>
        <v>2916.6666666666665</v>
      </c>
      <c r="G14926" s="51">
        <f>ROUNDUP(F14926*(E14926/21)/E14886,0)</f>
        <v>220</v>
      </c>
    </row>
    <row r="14927" spans="1:7" x14ac:dyDescent="0.25">
      <c r="A14927" s="50" t="s">
        <v>403</v>
      </c>
      <c r="B14927" s="72" t="str">
        <f>VLOOKUP(A14927,'[1]Componentes APUs'!$A$1:$D$14,2,0)</f>
        <v>Capuchon</v>
      </c>
      <c r="C14927" s="73"/>
      <c r="D14927" s="50" t="str">
        <f>VLOOKUP(A14927,'[1]Componentes APUs'!$A$1:$D$14,3,0)</f>
        <v>U</v>
      </c>
      <c r="E14927" s="50">
        <f>SUM(C14900:C14905)</f>
        <v>4.75</v>
      </c>
      <c r="F14927" s="51">
        <f>VLOOKUP(A14927,'[1]Componentes APUs'!$A$1:$D$14,4,0)</f>
        <v>2525.2525252525252</v>
      </c>
      <c r="G14927" s="51">
        <f>ROUNDUP(F14927*(E14927/21)/E14886,0)</f>
        <v>191</v>
      </c>
    </row>
    <row r="14928" spans="1:7" x14ac:dyDescent="0.25">
      <c r="A14928" s="69" t="s">
        <v>81</v>
      </c>
      <c r="B14928" s="72" t="str">
        <f>VLOOKUP(A14928,'[1]Componentes APUs'!$A$1:$D$14,2,0)</f>
        <v>Guantes Protectores  - ingeniero reforzados</v>
      </c>
      <c r="C14928" s="73"/>
      <c r="D14928" s="50" t="str">
        <f>VLOOKUP(A14928,'[1]Componentes APUs'!$A$1:$D$14,3,0)</f>
        <v>Par</v>
      </c>
      <c r="E14928" s="50">
        <f>C14902+C14903+C14905</f>
        <v>4</v>
      </c>
      <c r="F14928" s="51">
        <f>VLOOKUP(A14928,'[1]Componentes APUs'!$A$1:$D$14,4,0)</f>
        <v>2525.2525252525252</v>
      </c>
      <c r="G14928" s="51">
        <f>ROUNDUP(F14928*(E14928/21)/E14886,0)</f>
        <v>161</v>
      </c>
    </row>
    <row r="14929" spans="1:7" x14ac:dyDescent="0.25">
      <c r="A14929" s="50" t="s">
        <v>83</v>
      </c>
      <c r="B14929" s="72" t="str">
        <f>VLOOKUP(A14929,'[1]Componentes APUs'!$A$1:$D$14,2,0)</f>
        <v>Impermeable (pantalon camisa)</v>
      </c>
      <c r="C14929" s="73"/>
      <c r="D14929" s="50" t="str">
        <f>VLOOKUP(A14929,'[1]Componentes APUs'!$A$1:$D$14,3,0)</f>
        <v>U</v>
      </c>
      <c r="E14929" s="50">
        <f>SUM(C14900:C14905)</f>
        <v>4.75</v>
      </c>
      <c r="F14929" s="51">
        <f>VLOOKUP(A14929,'[1]Componentes APUs'!$A$1:$D$14,4,0)</f>
        <v>3750</v>
      </c>
      <c r="G14929" s="51">
        <f>ROUNDUP(F14929*(E14929/21)/E14886,0)</f>
        <v>283</v>
      </c>
    </row>
    <row r="14930" spans="1:7" x14ac:dyDescent="0.25">
      <c r="A14930" s="69" t="s">
        <v>85</v>
      </c>
      <c r="B14930" s="72" t="str">
        <f>VLOOKUP(A14930,'[1]Componentes APUs'!$A$1:$D$14,2,0)</f>
        <v>Jean Dielectrico</v>
      </c>
      <c r="C14930" s="73"/>
      <c r="D14930" s="50" t="str">
        <f>VLOOKUP(A14930,'[1]Componentes APUs'!$A$1:$D$14,3,0)</f>
        <v>U</v>
      </c>
      <c r="E14930" s="50">
        <f>SUM(C14900:C14905)</f>
        <v>4.75</v>
      </c>
      <c r="F14930" s="51">
        <f>VLOOKUP(A14930,'[1]Componentes APUs'!$A$1:$D$14,4,0)</f>
        <v>7575.757575757576</v>
      </c>
      <c r="G14930" s="51">
        <f>ROUNDUP(F14930*(E14930/21)/E14886,0)</f>
        <v>572</v>
      </c>
    </row>
    <row r="14931" spans="1:7" x14ac:dyDescent="0.25">
      <c r="A14931" s="50" t="s">
        <v>87</v>
      </c>
      <c r="B14931" s="72" t="str">
        <f>VLOOKUP(A14931,'[1]Componentes APUs'!$A$1:$D$14,2,0)</f>
        <v>Casco dielectrico Tipo 2 Clase E con barboquejo</v>
      </c>
      <c r="C14931" s="73"/>
      <c r="D14931" s="50" t="str">
        <f>VLOOKUP(A14931,'[1]Componentes APUs'!$A$1:$D$14,3,0)</f>
        <v>U</v>
      </c>
      <c r="E14931" s="53">
        <f>IF(A14902="MO-3",C14902,0)</f>
        <v>2</v>
      </c>
      <c r="F14931" s="51">
        <f>VLOOKUP(A14931,'[1]Componentes APUs'!$A$1:$D$14,4,0)</f>
        <v>7500</v>
      </c>
      <c r="G14931" s="51">
        <f>ROUNDUP(F14931*(E14931/21)/E14886,0)</f>
        <v>239</v>
      </c>
    </row>
    <row r="14932" spans="1:7" x14ac:dyDescent="0.25">
      <c r="A14932" s="69" t="s">
        <v>89</v>
      </c>
      <c r="B14932" s="72" t="str">
        <f>VLOOKUP(A14932,'[1]Componentes APUs'!$A$1:$D$14,2,0)</f>
        <v>Kit de rescate para trabajo en alturas</v>
      </c>
      <c r="C14932" s="73"/>
      <c r="D14932" s="50" t="str">
        <f>VLOOKUP(A14932,'[1]Componentes APUs'!$A$1:$D$14,3,0)</f>
        <v>U</v>
      </c>
      <c r="E14932" s="50">
        <f>IF(AND(A14902="MO-3",C14902=2),1,0)</f>
        <v>1</v>
      </c>
      <c r="F14932" s="51">
        <f>VLOOKUP(A14932,'[1]Componentes APUs'!$A$1:$D$14,4,0)</f>
        <v>37500</v>
      </c>
      <c r="G14932" s="51">
        <f>ROUNDUP(F14932*(E14932/21)/E14886,0)</f>
        <v>596</v>
      </c>
    </row>
    <row r="14933" spans="1:7" x14ac:dyDescent="0.25">
      <c r="A14933" s="50" t="s">
        <v>91</v>
      </c>
      <c r="B14933" s="72" t="str">
        <f>VLOOKUP(A14933,'[1]Componentes APUs'!$A$1:$D$14,2,0)</f>
        <v>Equipo completo para trabajo en alturas con pretales (Arnes dielectrico, 1 mosqueton de seguridad, tie off dielectrico, eslinga de posicionamiento, juego de pretales)</v>
      </c>
      <c r="C14933" s="73"/>
      <c r="D14933" s="50" t="str">
        <f>VLOOKUP(A14933,'[1]Componentes APUs'!$A$1:$D$14,3,0)</f>
        <v>U</v>
      </c>
      <c r="E14933" s="50">
        <f>IF(A14902="MO-3",C14902,0)</f>
        <v>2</v>
      </c>
      <c r="F14933" s="51">
        <f>VLOOKUP(A14933,'[1]Componentes APUs'!$A$1:$D$14,4,0)</f>
        <v>26041.666666666668</v>
      </c>
      <c r="G14933" s="51">
        <f>ROUNDUP(F14933*(E14933/21)/E14886,0)</f>
        <v>827</v>
      </c>
    </row>
    <row r="14934" spans="1:7" x14ac:dyDescent="0.25">
      <c r="A14934" s="219" t="s">
        <v>95</v>
      </c>
      <c r="B14934" s="219"/>
      <c r="C14934" s="219"/>
      <c r="D14934" s="219"/>
      <c r="E14934" s="219"/>
      <c r="F14934" s="219"/>
      <c r="G14934" s="52">
        <f>SUM(G14921:G14933)</f>
        <v>5240</v>
      </c>
    </row>
    <row r="14935" spans="1:7" x14ac:dyDescent="0.25">
      <c r="A14935" s="56"/>
      <c r="B14935" s="57"/>
      <c r="C14935" s="57"/>
      <c r="D14935" s="57"/>
      <c r="E14935" s="57"/>
      <c r="F14935" s="57"/>
      <c r="G14935" s="58"/>
    </row>
    <row r="14936" spans="1:7" x14ac:dyDescent="0.25">
      <c r="A14936" s="219" t="s">
        <v>96</v>
      </c>
      <c r="B14936" s="219"/>
      <c r="C14936" s="219"/>
      <c r="D14936" s="219"/>
      <c r="E14936" s="219"/>
      <c r="F14936" s="219"/>
      <c r="G14936" s="219"/>
    </row>
    <row r="14937" spans="1:7" x14ac:dyDescent="0.25">
      <c r="A14937" s="49" t="s">
        <v>35</v>
      </c>
      <c r="B14937" s="225" t="s">
        <v>36</v>
      </c>
      <c r="C14937" s="225"/>
      <c r="D14937" s="49" t="s">
        <v>37</v>
      </c>
      <c r="E14937" s="49" t="s">
        <v>38</v>
      </c>
      <c r="F14937" s="49" t="s">
        <v>39</v>
      </c>
      <c r="G14937" s="49" t="s">
        <v>40</v>
      </c>
    </row>
    <row r="14938" spans="1:7" x14ac:dyDescent="0.25">
      <c r="A14938" s="69" t="s">
        <v>97</v>
      </c>
      <c r="B14938" s="72" t="str">
        <f>VLOOKUP(A14938,'[1]Componentes APUs'!$N$1:$Q$30,2,0)</f>
        <v>Camioneta</v>
      </c>
      <c r="C14938" s="73"/>
      <c r="D14938" s="70" t="str">
        <f>VLOOKUP(A14938,'[1]Componentes APUs'!$N$1:$Q$30,3,0)</f>
        <v>U</v>
      </c>
      <c r="E14938" s="50">
        <v>1</v>
      </c>
      <c r="F14938" s="51">
        <f>VLOOKUP(A14938,'[1]Componentes APUs'!$N$1:$Q$30,4,0)</f>
        <v>5500000</v>
      </c>
      <c r="G14938" s="51">
        <f>IFERROR(ROUNDUP(F14938*(E14938/21)/E14886,0),"-")</f>
        <v>87302</v>
      </c>
    </row>
    <row r="14939" spans="1:7" x14ac:dyDescent="0.25">
      <c r="A14939" s="50" t="s">
        <v>321</v>
      </c>
      <c r="B14939" s="72" t="str">
        <f>VLOOKUP(A14939,'[1]Componentes APUs'!$N$1:$Q$30,2,0)</f>
        <v>Grúa Hidráulica</v>
      </c>
      <c r="C14939" s="73"/>
      <c r="D14939" s="70" t="str">
        <f>VLOOKUP(A14939,'[1]Componentes APUs'!$N$1:$Q$30,3,0)</f>
        <v>U</v>
      </c>
      <c r="E14939" s="50">
        <v>0</v>
      </c>
      <c r="F14939" s="51">
        <f>VLOOKUP(A14939,'[1]Componentes APUs'!$N$1:$Q$30,4,0)</f>
        <v>21000000</v>
      </c>
      <c r="G14939" s="51">
        <f>IFERROR(ROUNDUP(F14939*(E14939/21)/E14886,0),"-")</f>
        <v>0</v>
      </c>
    </row>
    <row r="14940" spans="1:7" x14ac:dyDescent="0.25">
      <c r="A14940" s="69" t="s">
        <v>322</v>
      </c>
      <c r="B14940" s="72" t="str">
        <f>VLOOKUP(A14940,'[1]Componentes APUs'!$N$1:$Q$30,2,0)</f>
        <v>Camabaja</v>
      </c>
      <c r="C14940" s="73"/>
      <c r="D14940" s="70" t="str">
        <f>VLOOKUP(A14940,'[1]Componentes APUs'!$N$1:$Q$30,3,0)</f>
        <v>TON/KM</v>
      </c>
      <c r="E14940" s="50">
        <v>0</v>
      </c>
      <c r="F14940" s="51">
        <f>VLOOKUP(A14940,'[1]Componentes APUs'!$N$1:$Q$30,4,0)</f>
        <v>611</v>
      </c>
      <c r="G14940" s="51">
        <f>IFERROR(ROUNDUP(F14940*(E14940/21)/E14886,0),"-")</f>
        <v>0</v>
      </c>
    </row>
    <row r="14941" spans="1:7" x14ac:dyDescent="0.25">
      <c r="A14941" s="50" t="s">
        <v>323</v>
      </c>
      <c r="B14941" s="72" t="str">
        <f>VLOOKUP(A14941,'[1]Componentes APUs'!$N$1:$Q$30,2,0)</f>
        <v>Volqueta</v>
      </c>
      <c r="C14941" s="73"/>
      <c r="D14941" s="70" t="str">
        <f>VLOOKUP(A14941,'[1]Componentes APUs'!$N$1:$Q$30,3,0)</f>
        <v>U</v>
      </c>
      <c r="E14941" s="50">
        <v>0</v>
      </c>
      <c r="F14941" s="51">
        <f>VLOOKUP(A14941,'[1]Componentes APUs'!$N$1:$Q$30,4,0)</f>
        <v>18900000</v>
      </c>
      <c r="G14941" s="51">
        <f>IFERROR(ROUNDUP(F14941*(E14941/21)/E14886,0),"-")</f>
        <v>0</v>
      </c>
    </row>
    <row r="14942" spans="1:7" x14ac:dyDescent="0.25">
      <c r="A14942" s="69" t="s">
        <v>324</v>
      </c>
      <c r="B14942" s="72" t="str">
        <f>VLOOKUP(A14942,'[1]Componentes APUs'!$N$1:$Q$30,2,0)</f>
        <v>Retroexcavadora</v>
      </c>
      <c r="C14942" s="73"/>
      <c r="D14942" s="70" t="str">
        <f>VLOOKUP(A14942,'[1]Componentes APUs'!$N$1:$Q$30,3,0)</f>
        <v>U</v>
      </c>
      <c r="E14942" s="50">
        <v>0</v>
      </c>
      <c r="F14942" s="51">
        <f>VLOOKUP(A14942,'[1]Componentes APUs'!$N$1:$Q$30,4,0)</f>
        <v>1494459.54</v>
      </c>
      <c r="G14942" s="51">
        <f>IFERROR(ROUNDUP(F14942*(E14942/21)/E14886,0),"-")</f>
        <v>0</v>
      </c>
    </row>
    <row r="14943" spans="1:7" x14ac:dyDescent="0.25">
      <c r="A14943" s="219" t="s">
        <v>99</v>
      </c>
      <c r="B14943" s="219"/>
      <c r="C14943" s="219"/>
      <c r="D14943" s="219"/>
      <c r="E14943" s="219"/>
      <c r="F14943" s="219"/>
      <c r="G14943" s="52">
        <f>SUM(G14938:G14942)</f>
        <v>87302</v>
      </c>
    </row>
    <row r="14944" spans="1:7" x14ac:dyDescent="0.25">
      <c r="A14944" s="56"/>
      <c r="B14944" s="57"/>
      <c r="C14944" s="57"/>
      <c r="D14944" s="57"/>
      <c r="E14944" s="57"/>
      <c r="F14944" s="57"/>
      <c r="G14944" s="58"/>
    </row>
    <row r="14945" spans="1:7" x14ac:dyDescent="0.25">
      <c r="A14945" s="219" t="s">
        <v>1516</v>
      </c>
      <c r="B14945" s="219"/>
      <c r="C14945" s="219"/>
      <c r="D14945" s="219"/>
      <c r="E14945" s="219"/>
      <c r="F14945" s="219"/>
      <c r="G14945" s="52">
        <f>G14943+G14934+G14917+G14906+G14896</f>
        <v>19085838</v>
      </c>
    </row>
    <row r="14946" spans="1:7" x14ac:dyDescent="0.25">
      <c r="A14946" s="59"/>
      <c r="B14946" s="60"/>
      <c r="C14946" s="60"/>
      <c r="D14946" s="60"/>
      <c r="E14946" s="57"/>
      <c r="F14946" s="57"/>
      <c r="G14946" s="58"/>
    </row>
    <row r="14947" spans="1:7" x14ac:dyDescent="0.25">
      <c r="A14947" s="64"/>
      <c r="D14947" s="55"/>
      <c r="E14947" s="49" t="s">
        <v>25</v>
      </c>
      <c r="F14947" s="54">
        <v>0.15</v>
      </c>
      <c r="G14947" s="51">
        <f>G14945*F14947</f>
        <v>2862875.6999999997</v>
      </c>
    </row>
    <row r="14948" spans="1:7" x14ac:dyDescent="0.25">
      <c r="A14948" s="64"/>
      <c r="D14948" s="55"/>
      <c r="E14948" s="49" t="s">
        <v>26</v>
      </c>
      <c r="F14948" s="54">
        <v>0.05</v>
      </c>
      <c r="G14948" s="51">
        <f>G14945*F14948</f>
        <v>954291.9</v>
      </c>
    </row>
    <row r="14949" spans="1:7" x14ac:dyDescent="0.25">
      <c r="A14949" s="61"/>
      <c r="B14949" s="65"/>
      <c r="C14949" s="65"/>
      <c r="D14949" s="62"/>
      <c r="E14949" s="49" t="s">
        <v>27</v>
      </c>
      <c r="F14949" s="54">
        <v>0.05</v>
      </c>
      <c r="G14949" s="51">
        <f>G14945*F14949</f>
        <v>954291.9</v>
      </c>
    </row>
    <row r="14950" spans="1:7" x14ac:dyDescent="0.25">
      <c r="A14950" s="61"/>
      <c r="B14950" s="62"/>
      <c r="C14950" s="62"/>
      <c r="D14950" s="62"/>
      <c r="E14950" s="62"/>
      <c r="F14950" s="62"/>
      <c r="G14950" s="63"/>
    </row>
    <row r="14951" spans="1:7" x14ac:dyDescent="0.25">
      <c r="A14951" s="219" t="s">
        <v>1517</v>
      </c>
      <c r="B14951" s="219"/>
      <c r="C14951" s="219"/>
      <c r="D14951" s="219"/>
      <c r="E14951" s="219"/>
      <c r="F14951" s="219"/>
      <c r="G14951" s="52">
        <f>G14945+G14947+G14948+G14949</f>
        <v>23857297.499999996</v>
      </c>
    </row>
    <row r="14952" spans="1:7" x14ac:dyDescent="0.25">
      <c r="A14952" s="59"/>
      <c r="B14952" s="60"/>
      <c r="C14952" s="60"/>
      <c r="D14952" s="60"/>
      <c r="E14952" s="57"/>
      <c r="F14952" s="57"/>
      <c r="G14952" s="58"/>
    </row>
    <row r="14953" spans="1:7" x14ac:dyDescent="0.25">
      <c r="A14953" s="64"/>
      <c r="D14953" s="55"/>
      <c r="E14953" s="49" t="s">
        <v>102</v>
      </c>
      <c r="F14953" s="49" t="s">
        <v>103</v>
      </c>
      <c r="G14953" s="51">
        <f>G14949*19%</f>
        <v>181315.46100000001</v>
      </c>
    </row>
    <row r="14954" spans="1:7" x14ac:dyDescent="0.25">
      <c r="A14954" s="61"/>
      <c r="B14954" s="62"/>
      <c r="C14954" s="62"/>
      <c r="D14954" s="62"/>
      <c r="E14954" s="57"/>
      <c r="F14954" s="57"/>
      <c r="G14954" s="58"/>
    </row>
    <row r="14955" spans="1:7" x14ac:dyDescent="0.25">
      <c r="A14955" s="219" t="s">
        <v>104</v>
      </c>
      <c r="B14955" s="219"/>
      <c r="C14955" s="219"/>
      <c r="D14955" s="219"/>
      <c r="E14955" s="219"/>
      <c r="F14955" s="219"/>
      <c r="G14955" s="52">
        <f>G14953+G14951</f>
        <v>24038612.960999995</v>
      </c>
    </row>
    <row r="14957" spans="1:7" x14ac:dyDescent="0.25">
      <c r="A14957" s="74" t="s">
        <v>29</v>
      </c>
      <c r="B14957" s="226" t="s">
        <v>30</v>
      </c>
      <c r="C14957" s="226"/>
      <c r="D14957" s="74" t="s">
        <v>31</v>
      </c>
      <c r="E14957" s="74" t="s">
        <v>32</v>
      </c>
      <c r="F14957" s="74" t="s">
        <v>189</v>
      </c>
      <c r="G14957" s="74" t="s">
        <v>33</v>
      </c>
    </row>
    <row r="14958" spans="1:7" ht="84" customHeight="1" x14ac:dyDescent="0.25">
      <c r="A14958" s="50" t="str">
        <f>Presupuesto!B276</f>
        <v>023_N2</v>
      </c>
      <c r="B14958" s="220" t="str">
        <f>Presupuesto!C276</f>
        <v>SUMINISTRO, TRANSPORTE E INSTALACIÓN DE TABLERO AUTOSOPORTADO DE FABRICACIÓN ESPECIAL. DE USO INTERIOR. IP 54. LAMINA DE ACERO GALVANIZADA CALIBRE 18. PARA ALBERGAR HASTA 6 EQUIPOS DE MEDIDA SEMIDIRECTA, SEGÚN DIAGRAMA UNIFILAR (+Q02A, +Q02B,+Q04A,+Q04B). INCLUYE ILUMINACIÓN, RESISTENCIA PARA CALEFACCIÓN, BREAKERS DE PROTECCIÓN, BORNERAS CORTOCIRCUITABLES, CANALETAS Y DEMÁS ACCESORIOS.</v>
      </c>
      <c r="C14958" s="220"/>
      <c r="D14958" s="50" t="s">
        <v>8</v>
      </c>
      <c r="E14958" s="50">
        <f>1/2</f>
        <v>0.5</v>
      </c>
      <c r="F14958" s="50"/>
      <c r="G14958" s="51">
        <f>G15024</f>
        <v>14945606.109500002</v>
      </c>
    </row>
    <row r="14959" spans="1:7" x14ac:dyDescent="0.25">
      <c r="A14959" s="219" t="s">
        <v>34</v>
      </c>
      <c r="B14959" s="219"/>
      <c r="C14959" s="219"/>
      <c r="D14959" s="219"/>
      <c r="E14959" s="219"/>
      <c r="F14959" s="219"/>
      <c r="G14959" s="219"/>
    </row>
    <row r="14960" spans="1:7" x14ac:dyDescent="0.25">
      <c r="A14960" s="49" t="s">
        <v>35</v>
      </c>
      <c r="B14960" s="219" t="s">
        <v>36</v>
      </c>
      <c r="C14960" s="219"/>
      <c r="D14960" s="49" t="s">
        <v>37</v>
      </c>
      <c r="E14960" s="49" t="s">
        <v>38</v>
      </c>
      <c r="F14960" s="49" t="s">
        <v>39</v>
      </c>
      <c r="G14960" s="49" t="s">
        <v>40</v>
      </c>
    </row>
    <row r="14961" spans="1:7" ht="38.25" customHeight="1" x14ac:dyDescent="0.25">
      <c r="A14961" s="17" t="str">
        <f>Material!A32</f>
        <v>MA-31</v>
      </c>
      <c r="B14961" s="232" t="str">
        <f>IFERROR(VLOOKUP(A14961,Material!$A:$H,2,0),"-")</f>
        <v>TABLERO AUTOSOPORTADO DE FABRICACIÓN ESPECIAL. DE USO INTERIOR. IP 65. LAMINA DE ACERO GALVANIZADA CALIBRE 18. PARA ALBERGAR HASTA 6 EQUIPOS DE MEDIDA SEMIDIRECTA</v>
      </c>
      <c r="C14961" s="233"/>
      <c r="D14961" s="50" t="str">
        <f>IFERROR(VLOOKUP(A14961,Material!$A:$H,4,0),"-")</f>
        <v>UN</v>
      </c>
      <c r="E14961" s="50">
        <v>1</v>
      </c>
      <c r="F14961" s="51">
        <f>IFERROR(VLOOKUP(A14961,Material!$A:$H,3,0),"-")</f>
        <v>9100000</v>
      </c>
      <c r="G14961" s="51">
        <f t="shared" ref="G14961:G14967" si="212">IFERROR(ROUNDUP(F14961*E14961,0),"-")</f>
        <v>9100000</v>
      </c>
    </row>
    <row r="14962" spans="1:7" x14ac:dyDescent="0.25">
      <c r="A14962" s="17" t="str">
        <f>Material!A33</f>
        <v>MA-32</v>
      </c>
      <c r="B14962" s="232" t="str">
        <f>IFERROR(VLOOKUP(A14962,Material!$A:$H,2,0),"-")</f>
        <v>LÁMPARA LED</v>
      </c>
      <c r="C14962" s="233"/>
      <c r="D14962" s="50" t="str">
        <f>IFERROR(VLOOKUP(A14962,Material!$A:$H,4,0),"-")</f>
        <v>UN</v>
      </c>
      <c r="E14962" s="50">
        <v>1</v>
      </c>
      <c r="F14962" s="51">
        <f>IFERROR(VLOOKUP(A14962,Material!$A:$H,3,0),"-")</f>
        <v>307373.88256268692</v>
      </c>
      <c r="G14962" s="51">
        <f t="shared" si="212"/>
        <v>307374</v>
      </c>
    </row>
    <row r="14963" spans="1:7" x14ac:dyDescent="0.25">
      <c r="A14963" s="17" t="str">
        <f>Material!A142</f>
        <v>MA-141</v>
      </c>
      <c r="B14963" s="232" t="str">
        <f>IFERROR(VLOOKUP(A14963,Material!$A:$H,2,0),"-")</f>
        <v>CAJA RAWELT</v>
      </c>
      <c r="C14963" s="233"/>
      <c r="D14963" s="50" t="str">
        <f>IFERROR(VLOOKUP(A14963,Material!$A:$H,4,0),"-")</f>
        <v>UN</v>
      </c>
      <c r="E14963" s="50">
        <v>1</v>
      </c>
      <c r="F14963" s="51">
        <f>IFERROR(VLOOKUP(A14963,Material!$A:$H,3,0),"-")</f>
        <v>13778.7</v>
      </c>
      <c r="G14963" s="51">
        <f t="shared" si="212"/>
        <v>13779</v>
      </c>
    </row>
    <row r="14964" spans="1:7" x14ac:dyDescent="0.25">
      <c r="A14964" s="17" t="str">
        <f>Material!A230</f>
        <v>MA-229</v>
      </c>
      <c r="B14964" s="232" t="str">
        <f>IFERROR(VLOOKUP(A14964,Material!$A:$H,2,0),"-")</f>
        <v>TOMA CORRIENTE LEVITON</v>
      </c>
      <c r="C14964" s="233"/>
      <c r="D14964" s="50" t="str">
        <f>IFERROR(VLOOKUP(A14964,Material!$A:$H,4,0),"-")</f>
        <v>UN</v>
      </c>
      <c r="E14964" s="50">
        <v>1</v>
      </c>
      <c r="F14964" s="51">
        <f>IFERROR(VLOOKUP(A14964,Material!$A:$H,3,0),"-")</f>
        <v>4615</v>
      </c>
      <c r="G14964" s="51">
        <f t="shared" si="212"/>
        <v>4615</v>
      </c>
    </row>
    <row r="14965" spans="1:7" x14ac:dyDescent="0.25">
      <c r="A14965" s="17" t="str">
        <f>Material!A34</f>
        <v>MA-33</v>
      </c>
      <c r="B14965" s="232" t="str">
        <f>IFERROR(VLOOKUP(A14965,Material!$A:$H,2,0),"-")</f>
        <v>RESISTENCIA DE CALEFACCIÓN PARA CUADROS ELÉCTRICOS 30W. IP20</v>
      </c>
      <c r="C14965" s="233"/>
      <c r="D14965" s="50" t="str">
        <f>IFERROR(VLOOKUP(A14965,Material!$A:$H,4,0),"-")</f>
        <v>UN</v>
      </c>
      <c r="E14965" s="50">
        <v>1</v>
      </c>
      <c r="F14965" s="51">
        <f>IFERROR(VLOOKUP(A14965,Material!$A:$H,3,0),"-")</f>
        <v>262031.83808815968</v>
      </c>
      <c r="G14965" s="51">
        <f t="shared" si="212"/>
        <v>262032</v>
      </c>
    </row>
    <row r="14966" spans="1:7" x14ac:dyDescent="0.25">
      <c r="A14966" s="17" t="str">
        <f>Material!A35</f>
        <v>MA-34</v>
      </c>
      <c r="B14966" s="232" t="str">
        <f>IFERROR(VLOOKUP(A14966,Material!$A:$H,2,0),"-")</f>
        <v>BREAKER DE RIEL MONOPOLAR 1 X 20 AMP 6 KA</v>
      </c>
      <c r="C14966" s="233"/>
      <c r="D14966" s="50" t="str">
        <f>IFERROR(VLOOKUP(A14966,Material!$A:$H,4,0),"-")</f>
        <v>UN</v>
      </c>
      <c r="E14966" s="50">
        <v>1</v>
      </c>
      <c r="F14966" s="51">
        <f>IFERROR(VLOOKUP(A14966,Material!$A:$H,3,0),"-")</f>
        <v>23790</v>
      </c>
      <c r="G14966" s="51">
        <f t="shared" si="212"/>
        <v>23790</v>
      </c>
    </row>
    <row r="14967" spans="1:7" x14ac:dyDescent="0.25">
      <c r="A14967" s="17" t="str">
        <f>Material!A37</f>
        <v>MA-36</v>
      </c>
      <c r="B14967" s="232" t="str">
        <f>IFERROR(VLOOKUP(A14967,Material!$A:$H,2,0),"-")</f>
        <v>CANALETAS RANURADA 40X60 MM</v>
      </c>
      <c r="C14967" s="233"/>
      <c r="D14967" s="50" t="str">
        <f>IFERROR(VLOOKUP(A14967,Material!$A:$H,4,0),"-")</f>
        <v>ML</v>
      </c>
      <c r="E14967" s="50">
        <v>8</v>
      </c>
      <c r="F14967" s="51">
        <f>IFERROR(VLOOKUP(A14967,Material!$A:$H,3,0),"-")</f>
        <v>31908.5</v>
      </c>
      <c r="G14967" s="51">
        <f t="shared" si="212"/>
        <v>255268</v>
      </c>
    </row>
    <row r="14968" spans="1:7" x14ac:dyDescent="0.25">
      <c r="A14968" s="219" t="s">
        <v>41</v>
      </c>
      <c r="B14968" s="219"/>
      <c r="C14968" s="219"/>
      <c r="D14968" s="219"/>
      <c r="E14968" s="219"/>
      <c r="F14968" s="219"/>
      <c r="G14968" s="52">
        <f>SUM(G14961:G14967)</f>
        <v>9966858</v>
      </c>
    </row>
    <row r="14969" spans="1:7" x14ac:dyDescent="0.25">
      <c r="A14969" s="56"/>
      <c r="B14969" s="57"/>
      <c r="C14969" s="57"/>
      <c r="D14969" s="57"/>
      <c r="E14969" s="57"/>
      <c r="F14969" s="57"/>
      <c r="G14969" s="58"/>
    </row>
    <row r="14970" spans="1:7" x14ac:dyDescent="0.25">
      <c r="A14970" s="219" t="s">
        <v>42</v>
      </c>
      <c r="B14970" s="219"/>
      <c r="C14970" s="219"/>
      <c r="D14970" s="219"/>
      <c r="E14970" s="219"/>
      <c r="F14970" s="219"/>
      <c r="G14970" s="219"/>
    </row>
    <row r="14971" spans="1:7" x14ac:dyDescent="0.25">
      <c r="A14971" s="49" t="s">
        <v>35</v>
      </c>
      <c r="B14971" s="49" t="s">
        <v>36</v>
      </c>
      <c r="C14971" s="49" t="s">
        <v>38</v>
      </c>
      <c r="D14971" s="49" t="s">
        <v>43</v>
      </c>
      <c r="E14971" s="49" t="s">
        <v>44</v>
      </c>
      <c r="F14971" s="49" t="s">
        <v>45</v>
      </c>
      <c r="G14971" s="49" t="s">
        <v>40</v>
      </c>
    </row>
    <row r="14972" spans="1:7" x14ac:dyDescent="0.25">
      <c r="A14972" s="50" t="s">
        <v>319</v>
      </c>
      <c r="B14972" s="68" t="str">
        <f>VLOOKUP(A14972,'Componentes APUs'!$H$1:$L$25,2,0)</f>
        <v>Ingeniero Residente de Obra</v>
      </c>
      <c r="C14972" s="93">
        <v>0.25</v>
      </c>
      <c r="D14972" s="50">
        <f>VLOOKUP(A14972,'Componentes APUs'!$H$1:$L$25,3,0)</f>
        <v>4</v>
      </c>
      <c r="E14972" s="51">
        <f>VLOOKUP(A14972,'Componentes APUs'!$H$1:$L$25,4,0)</f>
        <v>271142.85714285716</v>
      </c>
      <c r="F14972" s="51">
        <f>VLOOKUP(A14972,'Componentes APUs'!$H$1:$L$25,5,0)</f>
        <v>162685.71428571429</v>
      </c>
      <c r="G14972" s="51">
        <f>ROUNDUP((E14972+F14972)*C14972/E14958,0)</f>
        <v>216915</v>
      </c>
    </row>
    <row r="14973" spans="1:7" x14ac:dyDescent="0.25">
      <c r="A14973" s="50" t="s">
        <v>320</v>
      </c>
      <c r="B14973" s="68" t="str">
        <f>VLOOKUP(A14973,'Componentes APUs'!$H$1:$L$25,2,0)</f>
        <v>Tecnico Supervisor</v>
      </c>
      <c r="C14973" s="93">
        <v>0.25</v>
      </c>
      <c r="D14973" s="50">
        <f>VLOOKUP(A14973,'Componentes APUs'!$H$1:$L$25,3,0)</f>
        <v>2.2999999999999998</v>
      </c>
      <c r="E14973" s="51">
        <f>VLOOKUP(A14973,'Componentes APUs'!$H$1:$L$25,4,0)</f>
        <v>155907.14285714284</v>
      </c>
      <c r="F14973" s="51">
        <f>VLOOKUP(A14973,'Componentes APUs'!$H$1:$L$25,5,0)</f>
        <v>93544.285714285696</v>
      </c>
      <c r="G14973" s="51">
        <f>ROUNDUP((E14973+F14973)*C14973/E14958,0)</f>
        <v>124726</v>
      </c>
    </row>
    <row r="14974" spans="1:7" x14ac:dyDescent="0.25">
      <c r="A14974" s="50" t="s">
        <v>46</v>
      </c>
      <c r="B14974" s="68" t="str">
        <f>VLOOKUP(A14974,'Componentes APUs'!$H$1:$L$25,2,0)</f>
        <v>Tecnico Liniero</v>
      </c>
      <c r="C14974" s="93">
        <v>1</v>
      </c>
      <c r="D14974" s="50">
        <f>VLOOKUP(A14974,'Componentes APUs'!$H$1:$L$25,3,0)</f>
        <v>2</v>
      </c>
      <c r="E14974" s="51">
        <f>VLOOKUP(A14974,'Componentes APUs'!$H$1:$L$25,4,0)</f>
        <v>154619.04761904763</v>
      </c>
      <c r="F14974" s="51">
        <f>VLOOKUP(A14974,'Componentes APUs'!$H$1:$L$25,5,0)</f>
        <v>92771.42857142858</v>
      </c>
      <c r="G14974" s="51">
        <f>ROUNDUP((E14974+F14974)*C14974/E14958,0)</f>
        <v>494781</v>
      </c>
    </row>
    <row r="14975" spans="1:7" x14ac:dyDescent="0.25">
      <c r="A14975" s="50" t="s">
        <v>48</v>
      </c>
      <c r="B14975" s="68" t="str">
        <f>VLOOKUP(A14975,'Componentes APUs'!$H$1:$L$25,2,0)</f>
        <v>Ayudante Calificado</v>
      </c>
      <c r="C14975" s="93">
        <v>1</v>
      </c>
      <c r="D14975" s="50">
        <f>VLOOKUP(A14975,'Componentes APUs'!$H$1:$L$25,3,0)</f>
        <v>1.5</v>
      </c>
      <c r="E14975" s="51">
        <f>VLOOKUP(A14975,'Componentes APUs'!$H$1:$L$25,4,0)</f>
        <v>115964.28571428571</v>
      </c>
      <c r="F14975" s="51">
        <f>VLOOKUP(A14975,'Componentes APUs'!$H$1:$L$25,5,0)</f>
        <v>69578.57142857142</v>
      </c>
      <c r="G14975" s="51">
        <f>ROUNDUP((E14975+F14975)*C14975/E14958,0)</f>
        <v>371086</v>
      </c>
    </row>
    <row r="14976" spans="1:7" x14ac:dyDescent="0.25">
      <c r="A14976" s="50" t="s">
        <v>50</v>
      </c>
      <c r="B14976" s="68" t="str">
        <f>VLOOKUP(A14976,'Componentes APUs'!$H$1:$L$25,2,0)</f>
        <v>Profesional en SST</v>
      </c>
      <c r="C14976" s="93">
        <v>0.25</v>
      </c>
      <c r="D14976" s="50">
        <f>VLOOKUP(A14976,'Componentes APUs'!$H$1:$L$25,3,0)</f>
        <v>2.5</v>
      </c>
      <c r="E14976" s="51">
        <f>VLOOKUP(A14976,'Componentes APUs'!$H$1:$L$25,4,0)</f>
        <v>169464.28571428571</v>
      </c>
      <c r="F14976" s="51">
        <f>VLOOKUP(A14976,'Componentes APUs'!$H$1:$L$25,5,0)</f>
        <v>101678.57142857142</v>
      </c>
      <c r="G14976" s="51">
        <f>ROUNDUP((E14976+F14976)*C14976/E14958,0)</f>
        <v>135572</v>
      </c>
    </row>
    <row r="14977" spans="1:7" x14ac:dyDescent="0.25">
      <c r="A14977" s="50" t="s">
        <v>52</v>
      </c>
      <c r="B14977" s="68" t="str">
        <f>VLOOKUP(A14977,'Componentes APUs'!$H$1:$L$25,2,0)</f>
        <v>Ayudante No Calificado</v>
      </c>
      <c r="C14977" s="93">
        <v>0</v>
      </c>
      <c r="D14977" s="50">
        <f>VLOOKUP(A14977,'Componentes APUs'!$H$1:$L$25,3,0)</f>
        <v>1</v>
      </c>
      <c r="E14977" s="51">
        <f>VLOOKUP(A14977,'Componentes APUs'!$H$1:$L$25,4,0)</f>
        <v>77309.523809523816</v>
      </c>
      <c r="F14977" s="51">
        <f>VLOOKUP(A14977,'Componentes APUs'!$H$1:$L$25,5,0)</f>
        <v>46385.71428571429</v>
      </c>
      <c r="G14977" s="51">
        <f>ROUNDUP((E14977+F14977)*C14977/E14958,0)</f>
        <v>0</v>
      </c>
    </row>
    <row r="14978" spans="1:7" x14ac:dyDescent="0.25">
      <c r="A14978" s="219" t="s">
        <v>56</v>
      </c>
      <c r="B14978" s="219"/>
      <c r="C14978" s="219"/>
      <c r="D14978" s="219"/>
      <c r="E14978" s="219"/>
      <c r="F14978" s="219"/>
      <c r="G14978" s="52">
        <f>SUM(G14972:G14977)</f>
        <v>1343080</v>
      </c>
    </row>
    <row r="14979" spans="1:7" x14ac:dyDescent="0.25">
      <c r="A14979" s="56"/>
      <c r="B14979" s="57"/>
      <c r="C14979" s="57"/>
      <c r="D14979" s="57"/>
      <c r="E14979" s="57"/>
      <c r="F14979" s="57"/>
      <c r="G14979" s="58"/>
    </row>
    <row r="14980" spans="1:7" x14ac:dyDescent="0.25">
      <c r="A14980" s="219" t="s">
        <v>57</v>
      </c>
      <c r="B14980" s="219"/>
      <c r="C14980" s="219"/>
      <c r="D14980" s="219"/>
      <c r="E14980" s="219"/>
      <c r="F14980" s="219"/>
      <c r="G14980" s="219"/>
    </row>
    <row r="14981" spans="1:7" x14ac:dyDescent="0.25">
      <c r="A14981" s="49" t="s">
        <v>35</v>
      </c>
      <c r="B14981" s="219" t="s">
        <v>36</v>
      </c>
      <c r="C14981" s="219"/>
      <c r="D14981" s="49" t="s">
        <v>37</v>
      </c>
      <c r="E14981" s="49" t="s">
        <v>38</v>
      </c>
      <c r="F14981" s="49" t="s">
        <v>39</v>
      </c>
      <c r="G14981" s="49" t="s">
        <v>40</v>
      </c>
    </row>
    <row r="14982" spans="1:7" x14ac:dyDescent="0.25">
      <c r="A14982" s="50" t="s">
        <v>326</v>
      </c>
      <c r="B14982" s="220" t="str">
        <f>VLOOKUP(A14982,'Componentes APUs'!$S$1:$V$10,2,0)</f>
        <v>Juego Llaves</v>
      </c>
      <c r="C14982" s="220"/>
      <c r="D14982" s="50" t="s">
        <v>18</v>
      </c>
      <c r="E14982" s="50">
        <v>2</v>
      </c>
      <c r="F14982" s="51">
        <f>VLOOKUP(A14982,'Componentes APUs'!$S$1:$V$10,4,0)</f>
        <v>9167</v>
      </c>
      <c r="G14982" s="51">
        <f>ROUNDUP(F14982*((E14982/21)/E14958),0)</f>
        <v>1747</v>
      </c>
    </row>
    <row r="14983" spans="1:7" x14ac:dyDescent="0.25">
      <c r="A14983" s="50" t="s">
        <v>58</v>
      </c>
      <c r="B14983" s="220" t="str">
        <f>VLOOKUP(A14983,'Componentes APUs'!$S$1:$V$10,2,0)</f>
        <v>Manila de servicio</v>
      </c>
      <c r="C14983" s="220"/>
      <c r="D14983" s="50" t="s">
        <v>18</v>
      </c>
      <c r="E14983" s="50">
        <v>2</v>
      </c>
      <c r="F14983" s="51">
        <f>VLOOKUP(A14983,'Componentes APUs'!$S$1:$V$10,4,0)</f>
        <v>2333</v>
      </c>
      <c r="G14983" s="51">
        <f>ROUNDUP(F14983*((E14983/21)/E14958),0)</f>
        <v>445</v>
      </c>
    </row>
    <row r="14984" spans="1:7" x14ac:dyDescent="0.25">
      <c r="A14984" s="50" t="s">
        <v>327</v>
      </c>
      <c r="B14984" s="220" t="str">
        <f>VLOOKUP(A14984,'Componentes APUs'!$S$1:$V$10,2,0)</f>
        <v>Tula portaherramientas</v>
      </c>
      <c r="C14984" s="220"/>
      <c r="D14984" s="50" t="s">
        <v>18</v>
      </c>
      <c r="E14984" s="50">
        <v>2</v>
      </c>
      <c r="F14984" s="51">
        <f>VLOOKUP(A14984,'Componentes APUs'!$S$1:$V$10,4,0)</f>
        <v>1250</v>
      </c>
      <c r="G14984" s="51">
        <f>ROUNDUP(F14984*((E14984/21)/E14958),0)</f>
        <v>239</v>
      </c>
    </row>
    <row r="14985" spans="1:7" x14ac:dyDescent="0.25">
      <c r="A14985" s="50" t="s">
        <v>60</v>
      </c>
      <c r="B14985" s="220" t="str">
        <f>VLOOKUP(A14985,'Componentes APUs'!$S$1:$V$10,2,0)</f>
        <v>Agarradoras</v>
      </c>
      <c r="C14985" s="220"/>
      <c r="D14985" s="50" t="s">
        <v>18</v>
      </c>
      <c r="E14985" s="50">
        <v>0</v>
      </c>
      <c r="F14985" s="51">
        <f>VLOOKUP(A14985,'Componentes APUs'!$S$1:$V$10,4,0)</f>
        <v>125000</v>
      </c>
      <c r="G14985" s="51">
        <f>ROUNDUP(F14985*((E14985/21)/E14958),0)</f>
        <v>0</v>
      </c>
    </row>
    <row r="14986" spans="1:7" x14ac:dyDescent="0.25">
      <c r="A14986" s="50" t="s">
        <v>62</v>
      </c>
      <c r="B14986" s="220" t="str">
        <f>VLOOKUP(A14986,'Componentes APUs'!$S$1:$V$10,2,0)</f>
        <v>Templadoras</v>
      </c>
      <c r="C14986" s="220"/>
      <c r="D14986" s="50" t="s">
        <v>18</v>
      </c>
      <c r="E14986" s="50">
        <v>0</v>
      </c>
      <c r="F14986" s="51">
        <f>VLOOKUP(A14986,'Componentes APUs'!$S$1:$V$10,4,0)</f>
        <v>250000</v>
      </c>
      <c r="G14986" s="51">
        <f>ROUNDUP(F14986*((E14986/21)/E14958),0)</f>
        <v>0</v>
      </c>
    </row>
    <row r="14987" spans="1:7" x14ac:dyDescent="0.25">
      <c r="A14987" s="50" t="s">
        <v>328</v>
      </c>
      <c r="B14987" s="220" t="str">
        <f>VLOOKUP(A14987,'Componentes APUs'!$S$1:$V$10,2,0)</f>
        <v>Herramienta Menor</v>
      </c>
      <c r="C14987" s="220"/>
      <c r="D14987" s="50" t="s">
        <v>18</v>
      </c>
      <c r="E14987" s="50">
        <v>2</v>
      </c>
      <c r="F14987" s="51">
        <f>VLOOKUP(A14987,'Componentes APUs'!$S$1:$V$10,4,0)</f>
        <v>75758</v>
      </c>
      <c r="G14987" s="51">
        <f>ROUNDUP(F14987*((E14987/21)/E14958),0)</f>
        <v>14431</v>
      </c>
    </row>
    <row r="14988" spans="1:7" x14ac:dyDescent="0.25">
      <c r="A14988" s="219" t="s">
        <v>69</v>
      </c>
      <c r="B14988" s="219"/>
      <c r="C14988" s="219"/>
      <c r="D14988" s="219"/>
      <c r="E14988" s="219"/>
      <c r="F14988" s="219"/>
      <c r="G14988" s="52">
        <f>SUM(G14982:G14987)</f>
        <v>16862</v>
      </c>
    </row>
    <row r="14989" spans="1:7" x14ac:dyDescent="0.25">
      <c r="A14989" s="56"/>
      <c r="B14989" s="57"/>
      <c r="C14989" s="57"/>
      <c r="D14989" s="57"/>
      <c r="E14989" s="57"/>
      <c r="F14989" s="57"/>
      <c r="G14989" s="58"/>
    </row>
    <row r="14990" spans="1:7" x14ac:dyDescent="0.25">
      <c r="A14990" s="219" t="s">
        <v>70</v>
      </c>
      <c r="B14990" s="219"/>
      <c r="C14990" s="219"/>
      <c r="D14990" s="219"/>
      <c r="E14990" s="219"/>
      <c r="F14990" s="219"/>
      <c r="G14990" s="219"/>
    </row>
    <row r="14991" spans="1:7" x14ac:dyDescent="0.25">
      <c r="A14991" s="49" t="s">
        <v>35</v>
      </c>
      <c r="B14991" s="219" t="s">
        <v>36</v>
      </c>
      <c r="C14991" s="219"/>
      <c r="D14991" s="49" t="s">
        <v>37</v>
      </c>
      <c r="E14991" s="49" t="s">
        <v>38</v>
      </c>
      <c r="F14991" s="49" t="s">
        <v>39</v>
      </c>
      <c r="G14991" s="49" t="s">
        <v>40</v>
      </c>
    </row>
    <row r="14992" spans="1:7" x14ac:dyDescent="0.25">
      <c r="A14992" s="50" t="s">
        <v>71</v>
      </c>
      <c r="B14992" s="71" t="str">
        <f>VLOOKUP(A14992,'Componentes APUs'!$A$1:$D$14,2,0)</f>
        <v>Camisa indigo sin partes metalicas</v>
      </c>
      <c r="C14992" s="71"/>
      <c r="D14992" s="50" t="str">
        <f>VLOOKUP(A14992,'Componentes APUs'!$A$1:$D$14,3,0)</f>
        <v>U</v>
      </c>
      <c r="E14992" s="50">
        <f>SUM(C14972:C14977)</f>
        <v>2.75</v>
      </c>
      <c r="F14992" s="51">
        <f>VLOOKUP(A14992,'Componentes APUs'!$A$1:$D$14,4,0)</f>
        <v>8585.8585858585866</v>
      </c>
      <c r="G14992" s="51">
        <f>ROUNDUP(F14992*(E14992/21)/E14958,0)</f>
        <v>2249</v>
      </c>
    </row>
    <row r="14993" spans="1:7" x14ac:dyDescent="0.25">
      <c r="A14993" s="69" t="s">
        <v>73</v>
      </c>
      <c r="B14993" s="72" t="str">
        <f>VLOOKUP(A14993,'Componentes APUs'!$A$1:$D$14,2,0)</f>
        <v>Bota de seguridad dielectrica</v>
      </c>
      <c r="C14993" s="73"/>
      <c r="D14993" s="70" t="str">
        <f>VLOOKUP(A14993,'Componentes APUs'!$A$1:$D$14,3,0)</f>
        <v>Par</v>
      </c>
      <c r="E14993" s="50">
        <f>SUM(C14972:C14977)</f>
        <v>2.75</v>
      </c>
      <c r="F14993" s="51">
        <f>VLOOKUP(A14993,'Componentes APUs'!$A$1:$D$14,4,0)</f>
        <v>7500</v>
      </c>
      <c r="G14993" s="51">
        <f>ROUNDUP(F14993*(E14993/21)/E14958,0)</f>
        <v>1965</v>
      </c>
    </row>
    <row r="14994" spans="1:7" x14ac:dyDescent="0.25">
      <c r="A14994" s="50" t="s">
        <v>76</v>
      </c>
      <c r="B14994" s="72" t="str">
        <f>VLOOKUP(A14994,'Componentes APUs'!$A$1:$D$14,2,0)</f>
        <v>Casco dielectrico Tipo 1 Clase E con barbuquejo</v>
      </c>
      <c r="C14994" s="73"/>
      <c r="D14994" s="50" t="str">
        <f>VLOOKUP(A14994,'Componentes APUs'!$A$1:$D$14,3,0)</f>
        <v>U</v>
      </c>
      <c r="E14994" s="50">
        <f>C14977+C14972+C14975+C14976+C14973+IF(A14974&lt;&gt;"MO-3",C14974,0)</f>
        <v>1.75</v>
      </c>
      <c r="F14994" s="51">
        <f>VLOOKUP(A14994,'Componentes APUs'!$A$1:$D$14,4,0)</f>
        <v>10101.010101010101</v>
      </c>
      <c r="G14994" s="51">
        <f>ROUNDUP(F14994*(E14994/21)/E14958,0)</f>
        <v>1684</v>
      </c>
    </row>
    <row r="14995" spans="1:7" x14ac:dyDescent="0.25">
      <c r="A14995" s="69" t="s">
        <v>77</v>
      </c>
      <c r="B14995" s="72" t="str">
        <f>VLOOKUP(A14995,'Componentes APUs'!$A$1:$D$14,2,0)</f>
        <v>Correa plastica y antiflama</v>
      </c>
      <c r="C14995" s="73"/>
      <c r="D14995" s="50" t="str">
        <f>VLOOKUP(A14995,'Componentes APUs'!$A$1:$D$14,3,0)</f>
        <v>U</v>
      </c>
      <c r="E14995" s="50">
        <f>SUM(C14972:C14977)</f>
        <v>2.75</v>
      </c>
      <c r="F14995" s="51">
        <f>VLOOKUP(A14995,'Componentes APUs'!$A$1:$D$14,4,0)</f>
        <v>3787.878787878788</v>
      </c>
      <c r="G14995" s="51">
        <f>ROUNDUP(F14995*(E14995/21)/E14958,0)</f>
        <v>993</v>
      </c>
    </row>
    <row r="14996" spans="1:7" x14ac:dyDescent="0.25">
      <c r="A14996" s="50" t="s">
        <v>79</v>
      </c>
      <c r="B14996" s="72" t="str">
        <f>VLOOKUP(A14996,'Componentes APUs'!$A$1:$D$14,2,0)</f>
        <v>Gafas protectoras filtro UV</v>
      </c>
      <c r="C14996" s="73"/>
      <c r="D14996" s="50" t="str">
        <f>VLOOKUP(A14996,'Componentes APUs'!$A$1:$D$14,3,0)</f>
        <v>U</v>
      </c>
      <c r="E14996" s="50">
        <f>SUM(C14972:C14977)</f>
        <v>2.75</v>
      </c>
      <c r="F14996" s="51">
        <f>VLOOKUP(A14996,'Componentes APUs'!$A$1:$D$14,4,0)</f>
        <v>2777.7777777777778</v>
      </c>
      <c r="G14996" s="51">
        <f>ROUNDUP(F14996*(E14996/21)/E14958,0)</f>
        <v>728</v>
      </c>
    </row>
    <row r="14997" spans="1:7" x14ac:dyDescent="0.25">
      <c r="A14997" s="69" t="s">
        <v>402</v>
      </c>
      <c r="B14997" s="72" t="str">
        <f>VLOOKUP(A14997,'Componentes APUs'!$A$1:$D$14,2,0)</f>
        <v>Bota de seguridad PVC dielectrica</v>
      </c>
      <c r="C14997" s="73"/>
      <c r="D14997" s="50" t="str">
        <f>VLOOKUP(A14997,'Componentes APUs'!$A$1:$D$14,3,0)</f>
        <v>Par</v>
      </c>
      <c r="E14997" s="50">
        <f>SUM(C14972:C14977)</f>
        <v>2.75</v>
      </c>
      <c r="F14997" s="51">
        <f>VLOOKUP(A14997,'Componentes APUs'!$A$1:$D$14,4,0)</f>
        <v>2916.6666666666665</v>
      </c>
      <c r="G14997" s="51">
        <f>ROUNDUP(F14997*(E14997/21)/E14958,0)</f>
        <v>764</v>
      </c>
    </row>
    <row r="14998" spans="1:7" x14ac:dyDescent="0.25">
      <c r="A14998" s="50" t="s">
        <v>403</v>
      </c>
      <c r="B14998" s="72" t="str">
        <f>VLOOKUP(A14998,'Componentes APUs'!$A$1:$D$14,2,0)</f>
        <v>Capuchon</v>
      </c>
      <c r="C14998" s="73"/>
      <c r="D14998" s="50" t="str">
        <f>VLOOKUP(A14998,'Componentes APUs'!$A$1:$D$14,3,0)</f>
        <v>U</v>
      </c>
      <c r="E14998" s="50">
        <f>SUM(C14972:C14977)</f>
        <v>2.75</v>
      </c>
      <c r="F14998" s="51">
        <f>VLOOKUP(A14998,'Componentes APUs'!$A$1:$D$14,4,0)</f>
        <v>2525.2525252525252</v>
      </c>
      <c r="G14998" s="51">
        <f>ROUNDUP(F14998*(E14998/21)/E14958,0)</f>
        <v>662</v>
      </c>
    </row>
    <row r="14999" spans="1:7" x14ac:dyDescent="0.25">
      <c r="A14999" s="69" t="s">
        <v>81</v>
      </c>
      <c r="B14999" s="72" t="str">
        <f>VLOOKUP(A14999,'Componentes APUs'!$A$1:$D$14,2,0)</f>
        <v>Guantes Protectores  - ingeniero reforzados</v>
      </c>
      <c r="C14999" s="73"/>
      <c r="D14999" s="50" t="str">
        <f>VLOOKUP(A14999,'Componentes APUs'!$A$1:$D$14,3,0)</f>
        <v>Par</v>
      </c>
      <c r="E14999" s="50">
        <f>C14974+C14975+C14977</f>
        <v>2</v>
      </c>
      <c r="F14999" s="51">
        <f>VLOOKUP(A14999,'Componentes APUs'!$A$1:$D$14,4,0)</f>
        <v>2525.2525252525252</v>
      </c>
      <c r="G14999" s="51">
        <f>ROUNDUP(F14999*(E14999/21)/E14958,0)</f>
        <v>482</v>
      </c>
    </row>
    <row r="15000" spans="1:7" x14ac:dyDescent="0.25">
      <c r="A15000" s="50" t="s">
        <v>83</v>
      </c>
      <c r="B15000" s="72" t="str">
        <f>VLOOKUP(A15000,'Componentes APUs'!$A$1:$D$14,2,0)</f>
        <v>Impermeable (pantalon camisa)</v>
      </c>
      <c r="C15000" s="73"/>
      <c r="D15000" s="50" t="str">
        <f>VLOOKUP(A15000,'Componentes APUs'!$A$1:$D$14,3,0)</f>
        <v>U</v>
      </c>
      <c r="E15000" s="50">
        <f>SUM(C14972:C14977)</f>
        <v>2.75</v>
      </c>
      <c r="F15000" s="51">
        <f>VLOOKUP(A15000,'Componentes APUs'!$A$1:$D$14,4,0)</f>
        <v>3750</v>
      </c>
      <c r="G15000" s="51">
        <f>ROUNDUP(F15000*(E15000/21)/E14958,0)</f>
        <v>983</v>
      </c>
    </row>
    <row r="15001" spans="1:7" x14ac:dyDescent="0.25">
      <c r="A15001" s="69" t="s">
        <v>85</v>
      </c>
      <c r="B15001" s="72" t="str">
        <f>VLOOKUP(A15001,'Componentes APUs'!$A$1:$D$14,2,0)</f>
        <v>Jean Dielectrico</v>
      </c>
      <c r="C15001" s="73"/>
      <c r="D15001" s="50" t="str">
        <f>VLOOKUP(A15001,'Componentes APUs'!$A$1:$D$14,3,0)</f>
        <v>U</v>
      </c>
      <c r="E15001" s="50">
        <f>SUM(C14972:C14977)</f>
        <v>2.75</v>
      </c>
      <c r="F15001" s="51">
        <f>VLOOKUP(A15001,'Componentes APUs'!$A$1:$D$14,4,0)</f>
        <v>7575.757575757576</v>
      </c>
      <c r="G15001" s="51">
        <f>ROUNDUP(F15001*(E15001/21)/E14958,0)</f>
        <v>1985</v>
      </c>
    </row>
    <row r="15002" spans="1:7" x14ac:dyDescent="0.25">
      <c r="A15002" s="50" t="s">
        <v>87</v>
      </c>
      <c r="B15002" s="72" t="str">
        <f>VLOOKUP(A15002,'Componentes APUs'!$A$1:$D$14,2,0)</f>
        <v>Casco dielectrico Tipo 2 Clase E con barboquejo</v>
      </c>
      <c r="C15002" s="73"/>
      <c r="D15002" s="50" t="str">
        <f>VLOOKUP(A15002,'Componentes APUs'!$A$1:$D$14,3,0)</f>
        <v>U</v>
      </c>
      <c r="E15002" s="53">
        <f>IF(A14974="MO-3",C14974,0)</f>
        <v>1</v>
      </c>
      <c r="F15002" s="51">
        <f>VLOOKUP(A15002,'Componentes APUs'!$A$1:$D$14,4,0)</f>
        <v>7500</v>
      </c>
      <c r="G15002" s="51">
        <f>ROUNDUP(F15002*(E15002/21)/E14958,0)</f>
        <v>715</v>
      </c>
    </row>
    <row r="15003" spans="1:7" x14ac:dyDescent="0.25">
      <c r="A15003" s="69" t="s">
        <v>89</v>
      </c>
      <c r="B15003" s="72" t="str">
        <f>VLOOKUP(A15003,'Componentes APUs'!$A$1:$D$14,2,0)</f>
        <v>Kit de rescate para trabajo en alturas</v>
      </c>
      <c r="C15003" s="73"/>
      <c r="D15003" s="50" t="str">
        <f>VLOOKUP(A15003,'Componentes APUs'!$A$1:$D$14,3,0)</f>
        <v>U</v>
      </c>
      <c r="E15003" s="50">
        <f>IF(AND(A14974="MO-3",C14974=2),1,0)</f>
        <v>0</v>
      </c>
      <c r="F15003" s="51">
        <f>VLOOKUP(A15003,'Componentes APUs'!$A$1:$D$14,4,0)</f>
        <v>37500</v>
      </c>
      <c r="G15003" s="51">
        <f>ROUNDUP(F15003*(E15003/21)/E14958,0)</f>
        <v>0</v>
      </c>
    </row>
    <row r="15004" spans="1:7" x14ac:dyDescent="0.25">
      <c r="A15004" s="50" t="s">
        <v>91</v>
      </c>
      <c r="B15004" s="72" t="str">
        <f>VLOOKUP(A15004,'Componentes APUs'!$A$1:$D$14,2,0)</f>
        <v>Equipo completo para trabajo en alturas con pretales (Arnes dielectrico, 1 mosqueton de seguridad, tie off dielectrico, eslinga de posicionamiento, juego de pretales)</v>
      </c>
      <c r="C15004" s="73"/>
      <c r="D15004" s="50" t="str">
        <f>VLOOKUP(A15004,'Componentes APUs'!$A$1:$D$14,3,0)</f>
        <v>U</v>
      </c>
      <c r="E15004" s="50">
        <f>IF(A14974="MO-3",C14974,0)</f>
        <v>1</v>
      </c>
      <c r="F15004" s="51">
        <f>VLOOKUP(A15004,'Componentes APUs'!$A$1:$D$14,4,0)</f>
        <v>26041.666666666668</v>
      </c>
      <c r="G15004" s="51">
        <f>ROUNDUP(F15004*(E15004/21)/E14958,0)</f>
        <v>2481</v>
      </c>
    </row>
    <row r="15005" spans="1:7" x14ac:dyDescent="0.25">
      <c r="A15005" s="219" t="s">
        <v>95</v>
      </c>
      <c r="B15005" s="219"/>
      <c r="C15005" s="219"/>
      <c r="D15005" s="219"/>
      <c r="E15005" s="219"/>
      <c r="F15005" s="219"/>
      <c r="G15005" s="52">
        <f>SUM(G14992:G15004)</f>
        <v>15691</v>
      </c>
    </row>
    <row r="15006" spans="1:7" x14ac:dyDescent="0.25">
      <c r="A15006" s="56"/>
      <c r="B15006" s="57"/>
      <c r="C15006" s="57"/>
      <c r="D15006" s="57"/>
      <c r="E15006" s="57"/>
      <c r="F15006" s="57"/>
      <c r="G15006" s="58"/>
    </row>
    <row r="15007" spans="1:7" x14ac:dyDescent="0.25">
      <c r="A15007" s="219" t="s">
        <v>96</v>
      </c>
      <c r="B15007" s="219"/>
      <c r="C15007" s="219"/>
      <c r="D15007" s="219"/>
      <c r="E15007" s="219"/>
      <c r="F15007" s="219"/>
      <c r="G15007" s="219"/>
    </row>
    <row r="15008" spans="1:7" x14ac:dyDescent="0.25">
      <c r="A15008" s="49" t="s">
        <v>35</v>
      </c>
      <c r="B15008" s="225" t="s">
        <v>36</v>
      </c>
      <c r="C15008" s="225"/>
      <c r="D15008" s="49" t="s">
        <v>37</v>
      </c>
      <c r="E15008" s="49" t="s">
        <v>38</v>
      </c>
      <c r="F15008" s="49" t="s">
        <v>39</v>
      </c>
      <c r="G15008" s="49" t="s">
        <v>40</v>
      </c>
    </row>
    <row r="15009" spans="1:7" x14ac:dyDescent="0.25">
      <c r="A15009" s="69" t="s">
        <v>97</v>
      </c>
      <c r="B15009" s="72" t="str">
        <f>VLOOKUP(A15009,'Componentes APUs'!$N$1:$Q$30,2,0)</f>
        <v>Camioneta</v>
      </c>
      <c r="C15009" s="73"/>
      <c r="D15009" s="70" t="str">
        <f>VLOOKUP(A15009,'Componentes APUs'!$N$1:$Q$30,3,0)</f>
        <v>U</v>
      </c>
      <c r="E15009" s="50">
        <v>1</v>
      </c>
      <c r="F15009" s="51">
        <f>VLOOKUP(A15009,'Componentes APUs'!$N$1:$Q$30,4,0)</f>
        <v>5500000</v>
      </c>
      <c r="G15009" s="51">
        <f>IFERROR(ROUNDUP(F15009*(E15009/21)/E14958,0),"-")</f>
        <v>523810</v>
      </c>
    </row>
    <row r="15010" spans="1:7" x14ac:dyDescent="0.25">
      <c r="A15010" s="50" t="s">
        <v>321</v>
      </c>
      <c r="B15010" s="72" t="str">
        <f>VLOOKUP(A15010,'Componentes APUs'!$N$1:$Q$30,2,0)</f>
        <v>Grúa Hidráulica</v>
      </c>
      <c r="C15010" s="73"/>
      <c r="D15010" s="70" t="str">
        <f>VLOOKUP(A15010,'Componentes APUs'!$N$1:$Q$30,3,0)</f>
        <v>U</v>
      </c>
      <c r="E15010" s="50">
        <v>0</v>
      </c>
      <c r="F15010" s="51">
        <f>VLOOKUP(A15010,'Componentes APUs'!$N$1:$Q$30,4,0)</f>
        <v>21000000</v>
      </c>
      <c r="G15010" s="51">
        <f>IFERROR(ROUNDUP(F15010*(E15010/21)/E14958,0),"-")</f>
        <v>0</v>
      </c>
    </row>
    <row r="15011" spans="1:7" x14ac:dyDescent="0.25">
      <c r="A15011" s="69" t="s">
        <v>324</v>
      </c>
      <c r="B15011" s="72" t="str">
        <f>VLOOKUP(A15011,'Componentes APUs'!$N$1:$Q$30,2,0)</f>
        <v>Retroexcavadora</v>
      </c>
      <c r="C15011" s="73"/>
      <c r="D15011" s="70" t="str">
        <f>VLOOKUP(A15011,'Componentes APUs'!$N$1:$Q$30,3,0)</f>
        <v>U</v>
      </c>
      <c r="E15011" s="50">
        <v>0</v>
      </c>
      <c r="F15011" s="51">
        <f>VLOOKUP(A15011,'Componentes APUs'!$N$1:$Q$30,4,0)</f>
        <v>46030656</v>
      </c>
      <c r="G15011" s="51">
        <f>IFERROR(ROUNDUP(F15011*(E15011/21)/E14958,0),"-")</f>
        <v>0</v>
      </c>
    </row>
    <row r="15012" spans="1:7" x14ac:dyDescent="0.25">
      <c r="A15012" s="219" t="s">
        <v>99</v>
      </c>
      <c r="B15012" s="219"/>
      <c r="C15012" s="219"/>
      <c r="D15012" s="219"/>
      <c r="E15012" s="219"/>
      <c r="F15012" s="219"/>
      <c r="G15012" s="52">
        <f>SUM(G15009:G15011)</f>
        <v>523810</v>
      </c>
    </row>
    <row r="15013" spans="1:7" x14ac:dyDescent="0.25">
      <c r="A15013" s="56"/>
      <c r="B15013" s="57"/>
      <c r="C15013" s="57"/>
      <c r="D15013" s="57"/>
      <c r="E15013" s="57"/>
      <c r="F15013" s="57"/>
      <c r="G15013" s="58"/>
    </row>
    <row r="15014" spans="1:7" x14ac:dyDescent="0.25">
      <c r="A15014" s="219" t="s">
        <v>1516</v>
      </c>
      <c r="B15014" s="219"/>
      <c r="C15014" s="219"/>
      <c r="D15014" s="219"/>
      <c r="E15014" s="219"/>
      <c r="F15014" s="219"/>
      <c r="G15014" s="52">
        <f>G15012+G15005+G14988+G14978+G14968</f>
        <v>11866301</v>
      </c>
    </row>
    <row r="15015" spans="1:7" x14ac:dyDescent="0.25">
      <c r="A15015" s="59"/>
      <c r="B15015" s="60"/>
      <c r="C15015" s="60"/>
      <c r="D15015" s="60"/>
      <c r="E15015" s="57"/>
      <c r="F15015" s="57"/>
      <c r="G15015" s="58"/>
    </row>
    <row r="15016" spans="1:7" x14ac:dyDescent="0.25">
      <c r="A15016" s="64"/>
      <c r="D15016" s="55"/>
      <c r="E15016" s="49" t="s">
        <v>25</v>
      </c>
      <c r="F15016" s="54">
        <v>0.15</v>
      </c>
      <c r="G15016" s="51">
        <f>G15014*F15016</f>
        <v>1779945.15</v>
      </c>
    </row>
    <row r="15017" spans="1:7" x14ac:dyDescent="0.25">
      <c r="A15017" s="64"/>
      <c r="D15017" s="55"/>
      <c r="E15017" s="49" t="s">
        <v>26</v>
      </c>
      <c r="F15017" s="54">
        <v>0.05</v>
      </c>
      <c r="G15017" s="51">
        <f>G15014*F15017</f>
        <v>593315.05000000005</v>
      </c>
    </row>
    <row r="15018" spans="1:7" x14ac:dyDescent="0.25">
      <c r="A15018" s="61"/>
      <c r="B15018" s="65"/>
      <c r="C15018" s="65"/>
      <c r="D15018" s="62"/>
      <c r="E15018" s="49" t="s">
        <v>27</v>
      </c>
      <c r="F15018" s="54">
        <v>0.05</v>
      </c>
      <c r="G15018" s="51">
        <f>G15014*F15018</f>
        <v>593315.05000000005</v>
      </c>
    </row>
    <row r="15019" spans="1:7" x14ac:dyDescent="0.25">
      <c r="A15019" s="61"/>
      <c r="B15019" s="62"/>
      <c r="C15019" s="62"/>
      <c r="D15019" s="62"/>
      <c r="E15019" s="62"/>
      <c r="F15019" s="62"/>
      <c r="G15019" s="63"/>
    </row>
    <row r="15020" spans="1:7" x14ac:dyDescent="0.25">
      <c r="A15020" s="219" t="s">
        <v>1517</v>
      </c>
      <c r="B15020" s="219"/>
      <c r="C15020" s="219"/>
      <c r="D15020" s="219"/>
      <c r="E15020" s="219"/>
      <c r="F15020" s="219"/>
      <c r="G15020" s="52">
        <f>G15014+G15016+G15017+G15018</f>
        <v>14832876.250000002</v>
      </c>
    </row>
    <row r="15021" spans="1:7" x14ac:dyDescent="0.25">
      <c r="A15021" s="59"/>
      <c r="B15021" s="60"/>
      <c r="C15021" s="60"/>
      <c r="D15021" s="60"/>
      <c r="E15021" s="57"/>
      <c r="F15021" s="57"/>
      <c r="G15021" s="58"/>
    </row>
    <row r="15022" spans="1:7" x14ac:dyDescent="0.25">
      <c r="A15022" s="64"/>
      <c r="D15022" s="55"/>
      <c r="E15022" s="49" t="s">
        <v>102</v>
      </c>
      <c r="F15022" s="49" t="s">
        <v>103</v>
      </c>
      <c r="G15022" s="51">
        <f>G15018*19%</f>
        <v>112729.85950000001</v>
      </c>
    </row>
    <row r="15023" spans="1:7" x14ac:dyDescent="0.25">
      <c r="A15023" s="61"/>
      <c r="B15023" s="62"/>
      <c r="C15023" s="62"/>
      <c r="D15023" s="62"/>
      <c r="E15023" s="57"/>
      <c r="F15023" s="57"/>
      <c r="G15023" s="58"/>
    </row>
    <row r="15024" spans="1:7" x14ac:dyDescent="0.25">
      <c r="A15024" s="219" t="s">
        <v>104</v>
      </c>
      <c r="B15024" s="219"/>
      <c r="C15024" s="219"/>
      <c r="D15024" s="219"/>
      <c r="E15024" s="219"/>
      <c r="F15024" s="219"/>
      <c r="G15024" s="52">
        <f>G15022+G15020</f>
        <v>14945606.109500002</v>
      </c>
    </row>
    <row r="15026" spans="1:7" x14ac:dyDescent="0.25">
      <c r="A15026" s="74" t="s">
        <v>29</v>
      </c>
      <c r="B15026" s="226" t="s">
        <v>30</v>
      </c>
      <c r="C15026" s="226"/>
      <c r="D15026" s="74" t="s">
        <v>31</v>
      </c>
      <c r="E15026" s="74" t="s">
        <v>32</v>
      </c>
      <c r="F15026" s="74" t="s">
        <v>189</v>
      </c>
      <c r="G15026" s="74" t="s">
        <v>33</v>
      </c>
    </row>
    <row r="15027" spans="1:7" ht="75" customHeight="1" x14ac:dyDescent="0.25">
      <c r="A15027" s="50" t="str">
        <f>Presupuesto!B277</f>
        <v>024_N2</v>
      </c>
      <c r="B15027" s="220" t="str">
        <f>Presupuesto!C277</f>
        <v>SUMINISTRO E INSTALACIÓN DE MEDIDOR DE ENERGÍA KWH-KVARH  CL 0.5S, DE CONEXIÓN INDIRECTA, MULTIFUNCIONAL CON INSTRUMENTACIÓN Y CURVA DE CARGA, MÍNIMO 8 CANALES, PUERTO ETERNET Y DOS PUERTOS SERIALES, CALIBRADO EN KWH Y KVARH CUATRO CUADRANTES Y BORNERAS CORTOCIRCUITABLES (GABINETES: +Q02A, +Q04A). INCLUYE PRUEBAS DE CALIBRACIÓN POR LABORATORIO ACREDITADO.</v>
      </c>
      <c r="C15027" s="220"/>
      <c r="D15027" s="50" t="s">
        <v>18</v>
      </c>
      <c r="E15027" s="50">
        <v>2</v>
      </c>
      <c r="F15027" s="50"/>
      <c r="G15027" s="51">
        <f>G15090</f>
        <v>6291946.8645000001</v>
      </c>
    </row>
    <row r="15028" spans="1:7" x14ac:dyDescent="0.25">
      <c r="A15028" s="219" t="s">
        <v>34</v>
      </c>
      <c r="B15028" s="219"/>
      <c r="C15028" s="219"/>
      <c r="D15028" s="219"/>
      <c r="E15028" s="219"/>
      <c r="F15028" s="219"/>
      <c r="G15028" s="219"/>
    </row>
    <row r="15029" spans="1:7" x14ac:dyDescent="0.25">
      <c r="A15029" s="49" t="s">
        <v>35</v>
      </c>
      <c r="B15029" s="219" t="s">
        <v>36</v>
      </c>
      <c r="C15029" s="219"/>
      <c r="D15029" s="49" t="s">
        <v>37</v>
      </c>
      <c r="E15029" s="49" t="s">
        <v>38</v>
      </c>
      <c r="F15029" s="49" t="s">
        <v>39</v>
      </c>
      <c r="G15029" s="49" t="s">
        <v>40</v>
      </c>
    </row>
    <row r="15030" spans="1:7" ht="71.25" customHeight="1" x14ac:dyDescent="0.25">
      <c r="A15030" s="17" t="str">
        <f>Material!A38</f>
        <v>MA-37</v>
      </c>
      <c r="B15030" s="221" t="str">
        <f>IFERROR(VLOOKUP(A15030,Material!$A:$H,2,0),"-")</f>
        <v>MEDIDOR DE ENERGÍA KWH-KVARH  CL 0.5S, DE CONEXIÓN INDIRECTA, MULTIFUNCIONAL CON INSTRUMENTACIÓN Y CURVA DE CARGA, MÍNIMO 8 CANALES, PUERTO ETERNET Y DOS PUERTOS SERIALES, CALIBRADO EN KWH Y KVARH CUATRO CUADRANTES Y BORNERAS CORTOCIRCUITABLES (+Q01A, +Q03A). INCLUYE PRUEBAS DE CALIBRACIÓN POR LABORATORIO ACREDITADO.</v>
      </c>
      <c r="C15030" s="222"/>
      <c r="D15030" s="50" t="str">
        <f>IFERROR(VLOOKUP(A15030,Material!$A:$H,4,0),"-")</f>
        <v>UN</v>
      </c>
      <c r="E15030" s="50">
        <v>1</v>
      </c>
      <c r="F15030" s="51">
        <f>IFERROR(VLOOKUP(A15030,Material!$A:$H,3,0),"-")</f>
        <v>3445591.5</v>
      </c>
      <c r="G15030" s="51">
        <f t="shared" ref="G15030:G15031" si="213">IFERROR(ROUNDUP(F15030*E15030,0),"-")</f>
        <v>3445592</v>
      </c>
    </row>
    <row r="15031" spans="1:7" x14ac:dyDescent="0.25">
      <c r="A15031" s="17" t="str">
        <f>Material!A36</f>
        <v>MA-35</v>
      </c>
      <c r="B15031" s="72" t="str">
        <f>IFERROR(VLOOKUP(A15031,Material!$A:$H,2,0),"-")</f>
        <v>BLOQUE DE BORNERAS CORTOCIRCUITABLES DE CORRIENTE Y TENSIÓN</v>
      </c>
      <c r="C15031" s="73"/>
      <c r="D15031" s="50" t="str">
        <f>IFERROR(VLOOKUP(A15031,Material!$A:$H,4,0),"-")</f>
        <v>UN</v>
      </c>
      <c r="E15031" s="50">
        <v>1</v>
      </c>
      <c r="F15031" s="51">
        <f>IFERROR(VLOOKUP(A15031,Material!$A:$H,3,0),"-")</f>
        <v>1075128.6000000001</v>
      </c>
      <c r="G15031" s="51">
        <f t="shared" si="213"/>
        <v>1075129</v>
      </c>
    </row>
    <row r="15032" spans="1:7" x14ac:dyDescent="0.25">
      <c r="A15032" s="219" t="s">
        <v>41</v>
      </c>
      <c r="B15032" s="219"/>
      <c r="C15032" s="219"/>
      <c r="D15032" s="219"/>
      <c r="E15032" s="219"/>
      <c r="F15032" s="219"/>
      <c r="G15032" s="52">
        <f>SUM(G15030:G15031)</f>
        <v>4520721</v>
      </c>
    </row>
    <row r="15033" spans="1:7" x14ac:dyDescent="0.25">
      <c r="A15033" s="56"/>
      <c r="B15033" s="57"/>
      <c r="C15033" s="57"/>
      <c r="D15033" s="57"/>
      <c r="E15033" s="57"/>
      <c r="F15033" s="57"/>
      <c r="G15033" s="58"/>
    </row>
    <row r="15034" spans="1:7" x14ac:dyDescent="0.25">
      <c r="A15034" s="219" t="s">
        <v>42</v>
      </c>
      <c r="B15034" s="219"/>
      <c r="C15034" s="219"/>
      <c r="D15034" s="219"/>
      <c r="E15034" s="219"/>
      <c r="F15034" s="219"/>
      <c r="G15034" s="219"/>
    </row>
    <row r="15035" spans="1:7" x14ac:dyDescent="0.25">
      <c r="A15035" s="49" t="s">
        <v>35</v>
      </c>
      <c r="B15035" s="49" t="s">
        <v>36</v>
      </c>
      <c r="C15035" s="49" t="s">
        <v>38</v>
      </c>
      <c r="D15035" s="49" t="s">
        <v>43</v>
      </c>
      <c r="E15035" s="49" t="s">
        <v>44</v>
      </c>
      <c r="F15035" s="49" t="s">
        <v>45</v>
      </c>
      <c r="G15035" s="49" t="s">
        <v>40</v>
      </c>
    </row>
    <row r="15036" spans="1:7" x14ac:dyDescent="0.25">
      <c r="A15036" s="50" t="s">
        <v>319</v>
      </c>
      <c r="B15036" s="68" t="str">
        <f>VLOOKUP(A15036,'Componentes APUs'!$H$1:$L$25,2,0)</f>
        <v>Ingeniero Residente de Obra</v>
      </c>
      <c r="C15036" s="93">
        <v>0.25</v>
      </c>
      <c r="D15036" s="50">
        <f>VLOOKUP(A15036,'Componentes APUs'!$H$1:$L$25,3,0)</f>
        <v>4</v>
      </c>
      <c r="E15036" s="51">
        <f>VLOOKUP(A15036,'Componentes APUs'!$H$1:$L$25,4,0)</f>
        <v>271142.85714285716</v>
      </c>
      <c r="F15036" s="51">
        <f>VLOOKUP(A15036,'Componentes APUs'!$H$1:$L$25,5,0)</f>
        <v>162685.71428571429</v>
      </c>
      <c r="G15036" s="51">
        <f>ROUNDUP((E15036+F15036)*C15036/E15027,0)</f>
        <v>54229</v>
      </c>
    </row>
    <row r="15037" spans="1:7" x14ac:dyDescent="0.25">
      <c r="A15037" s="50" t="s">
        <v>320</v>
      </c>
      <c r="B15037" s="68" t="str">
        <f>VLOOKUP(A15037,'Componentes APUs'!$H$1:$L$25,2,0)</f>
        <v>Tecnico Supervisor</v>
      </c>
      <c r="C15037" s="93">
        <v>0.25</v>
      </c>
      <c r="D15037" s="50">
        <f>VLOOKUP(A15037,'Componentes APUs'!$H$1:$L$25,3,0)</f>
        <v>2.2999999999999998</v>
      </c>
      <c r="E15037" s="51">
        <f>VLOOKUP(A15037,'Componentes APUs'!$H$1:$L$25,4,0)</f>
        <v>155907.14285714284</v>
      </c>
      <c r="F15037" s="51">
        <f>VLOOKUP(A15037,'Componentes APUs'!$H$1:$L$25,5,0)</f>
        <v>93544.285714285696</v>
      </c>
      <c r="G15037" s="51">
        <f>ROUNDUP((E15037+F15037)*C15037/E15027,0)</f>
        <v>31182</v>
      </c>
    </row>
    <row r="15038" spans="1:7" x14ac:dyDescent="0.25">
      <c r="A15038" s="50" t="s">
        <v>46</v>
      </c>
      <c r="B15038" s="68" t="str">
        <f>VLOOKUP(A15038,'Componentes APUs'!$H$1:$L$25,2,0)</f>
        <v>Tecnico Liniero</v>
      </c>
      <c r="C15038" s="93">
        <v>1</v>
      </c>
      <c r="D15038" s="50">
        <f>VLOOKUP(A15038,'Componentes APUs'!$H$1:$L$25,3,0)</f>
        <v>2</v>
      </c>
      <c r="E15038" s="51">
        <f>VLOOKUP(A15038,'Componentes APUs'!$H$1:$L$25,4,0)</f>
        <v>154619.04761904763</v>
      </c>
      <c r="F15038" s="51">
        <f>VLOOKUP(A15038,'Componentes APUs'!$H$1:$L$25,5,0)</f>
        <v>92771.42857142858</v>
      </c>
      <c r="G15038" s="51">
        <f>ROUNDUP((E15038+F15038)*C15038/E15027,0)</f>
        <v>123696</v>
      </c>
    </row>
    <row r="15039" spans="1:7" x14ac:dyDescent="0.25">
      <c r="A15039" s="50" t="s">
        <v>48</v>
      </c>
      <c r="B15039" s="68" t="str">
        <f>VLOOKUP(A15039,'Componentes APUs'!$H$1:$L$25,2,0)</f>
        <v>Ayudante Calificado</v>
      </c>
      <c r="C15039" s="93">
        <v>1</v>
      </c>
      <c r="D15039" s="50">
        <f>VLOOKUP(A15039,'Componentes APUs'!$H$1:$L$25,3,0)</f>
        <v>1.5</v>
      </c>
      <c r="E15039" s="51">
        <f>VLOOKUP(A15039,'Componentes APUs'!$H$1:$L$25,4,0)</f>
        <v>115964.28571428571</v>
      </c>
      <c r="F15039" s="51">
        <f>VLOOKUP(A15039,'Componentes APUs'!$H$1:$L$25,5,0)</f>
        <v>69578.57142857142</v>
      </c>
      <c r="G15039" s="51">
        <f>ROUNDUP((E15039+F15039)*C15039/E15027,0)</f>
        <v>92772</v>
      </c>
    </row>
    <row r="15040" spans="1:7" x14ac:dyDescent="0.25">
      <c r="A15040" s="50" t="s">
        <v>50</v>
      </c>
      <c r="B15040" s="68" t="str">
        <f>VLOOKUP(A15040,'Componentes APUs'!$H$1:$L$25,2,0)</f>
        <v>Profesional en SST</v>
      </c>
      <c r="C15040" s="93">
        <v>0.25</v>
      </c>
      <c r="D15040" s="50">
        <f>VLOOKUP(A15040,'Componentes APUs'!$H$1:$L$25,3,0)</f>
        <v>2.5</v>
      </c>
      <c r="E15040" s="51">
        <f>VLOOKUP(A15040,'Componentes APUs'!$H$1:$L$25,4,0)</f>
        <v>169464.28571428571</v>
      </c>
      <c r="F15040" s="51">
        <f>VLOOKUP(A15040,'Componentes APUs'!$H$1:$L$25,5,0)</f>
        <v>101678.57142857142</v>
      </c>
      <c r="G15040" s="51">
        <f>ROUNDUP((E15040+F15040)*C15040/E15027,0)</f>
        <v>33893</v>
      </c>
    </row>
    <row r="15041" spans="1:7" x14ac:dyDescent="0.25">
      <c r="A15041" s="50" t="s">
        <v>52</v>
      </c>
      <c r="B15041" s="68" t="str">
        <f>VLOOKUP(A15041,'Componentes APUs'!$H$1:$L$25,2,0)</f>
        <v>Ayudante No Calificado</v>
      </c>
      <c r="C15041" s="93">
        <v>0</v>
      </c>
      <c r="D15041" s="50">
        <f>VLOOKUP(A15041,'Componentes APUs'!$H$1:$L$25,3,0)</f>
        <v>1</v>
      </c>
      <c r="E15041" s="51">
        <f>VLOOKUP(A15041,'Componentes APUs'!$H$1:$L$25,4,0)</f>
        <v>77309.523809523816</v>
      </c>
      <c r="F15041" s="51">
        <f>VLOOKUP(A15041,'Componentes APUs'!$H$1:$L$25,5,0)</f>
        <v>46385.71428571429</v>
      </c>
      <c r="G15041" s="51">
        <f>ROUNDUP((E15041+F15041)*C15041/E15027,0)</f>
        <v>0</v>
      </c>
    </row>
    <row r="15042" spans="1:7" x14ac:dyDescent="0.25">
      <c r="A15042" s="219" t="s">
        <v>56</v>
      </c>
      <c r="B15042" s="219"/>
      <c r="C15042" s="219"/>
      <c r="D15042" s="219"/>
      <c r="E15042" s="219"/>
      <c r="F15042" s="219"/>
      <c r="G15042" s="52">
        <f>SUM(G15036:G15041)</f>
        <v>335772</v>
      </c>
    </row>
    <row r="15043" spans="1:7" x14ac:dyDescent="0.25">
      <c r="A15043" s="56"/>
      <c r="B15043" s="57"/>
      <c r="C15043" s="57"/>
      <c r="D15043" s="57"/>
      <c r="E15043" s="57"/>
      <c r="F15043" s="57"/>
      <c r="G15043" s="58"/>
    </row>
    <row r="15044" spans="1:7" x14ac:dyDescent="0.25">
      <c r="A15044" s="219" t="s">
        <v>57</v>
      </c>
      <c r="B15044" s="219"/>
      <c r="C15044" s="219"/>
      <c r="D15044" s="219"/>
      <c r="E15044" s="219"/>
      <c r="F15044" s="219"/>
      <c r="G15044" s="219"/>
    </row>
    <row r="15045" spans="1:7" x14ac:dyDescent="0.25">
      <c r="A15045" s="49" t="s">
        <v>35</v>
      </c>
      <c r="B15045" s="219" t="s">
        <v>36</v>
      </c>
      <c r="C15045" s="219"/>
      <c r="D15045" s="49" t="s">
        <v>37</v>
      </c>
      <c r="E15045" s="49" t="s">
        <v>38</v>
      </c>
      <c r="F15045" s="49" t="s">
        <v>39</v>
      </c>
      <c r="G15045" s="49" t="s">
        <v>40</v>
      </c>
    </row>
    <row r="15046" spans="1:7" x14ac:dyDescent="0.25">
      <c r="A15046" s="50" t="s">
        <v>326</v>
      </c>
      <c r="B15046" s="220" t="str">
        <f>VLOOKUP(A15046,'Componentes APUs'!$S$1:$V$10,2,0)</f>
        <v>Juego Llaves</v>
      </c>
      <c r="C15046" s="220"/>
      <c r="D15046" s="50" t="s">
        <v>18</v>
      </c>
      <c r="E15046" s="50">
        <v>2</v>
      </c>
      <c r="F15046" s="51">
        <f>VLOOKUP(A15046,'Componentes APUs'!$S$1:$V$10,4,0)</f>
        <v>9167</v>
      </c>
      <c r="G15046" s="51">
        <f>ROUNDUP(F15046*((E15046/21)/E15027),0)</f>
        <v>437</v>
      </c>
    </row>
    <row r="15047" spans="1:7" x14ac:dyDescent="0.25">
      <c r="A15047" s="50" t="s">
        <v>58</v>
      </c>
      <c r="B15047" s="220" t="str">
        <f>VLOOKUP(A15047,'Componentes APUs'!$S$1:$V$10,2,0)</f>
        <v>Manila de servicio</v>
      </c>
      <c r="C15047" s="220"/>
      <c r="D15047" s="50" t="s">
        <v>18</v>
      </c>
      <c r="E15047" s="50">
        <v>2</v>
      </c>
      <c r="F15047" s="51">
        <f>VLOOKUP(A15047,'Componentes APUs'!$S$1:$V$10,4,0)</f>
        <v>2333</v>
      </c>
      <c r="G15047" s="51">
        <f>ROUNDUP(F15047*((E15047/21)/E15027),0)</f>
        <v>112</v>
      </c>
    </row>
    <row r="15048" spans="1:7" x14ac:dyDescent="0.25">
      <c r="A15048" s="50" t="s">
        <v>327</v>
      </c>
      <c r="B15048" s="220" t="str">
        <f>VLOOKUP(A15048,'Componentes APUs'!$S$1:$V$10,2,0)</f>
        <v>Tula portaherramientas</v>
      </c>
      <c r="C15048" s="220"/>
      <c r="D15048" s="50" t="s">
        <v>18</v>
      </c>
      <c r="E15048" s="50">
        <v>2</v>
      </c>
      <c r="F15048" s="51">
        <f>VLOOKUP(A15048,'Componentes APUs'!$S$1:$V$10,4,0)</f>
        <v>1250</v>
      </c>
      <c r="G15048" s="51">
        <f>ROUNDUP(F15048*((E15048/21)/E15027),0)</f>
        <v>60</v>
      </c>
    </row>
    <row r="15049" spans="1:7" x14ac:dyDescent="0.25">
      <c r="A15049" s="50" t="s">
        <v>60</v>
      </c>
      <c r="B15049" s="220" t="str">
        <f>VLOOKUP(A15049,'Componentes APUs'!$S$1:$V$10,2,0)</f>
        <v>Agarradoras</v>
      </c>
      <c r="C15049" s="220"/>
      <c r="D15049" s="50" t="s">
        <v>18</v>
      </c>
      <c r="E15049" s="50">
        <v>0</v>
      </c>
      <c r="F15049" s="51">
        <f>VLOOKUP(A15049,'Componentes APUs'!$S$1:$V$10,4,0)</f>
        <v>125000</v>
      </c>
      <c r="G15049" s="51">
        <f>ROUNDUP(F15049*((E15049/21)/E15027),0)</f>
        <v>0</v>
      </c>
    </row>
    <row r="15050" spans="1:7" x14ac:dyDescent="0.25">
      <c r="A15050" s="50" t="s">
        <v>62</v>
      </c>
      <c r="B15050" s="220" t="str">
        <f>VLOOKUP(A15050,'Componentes APUs'!$S$1:$V$10,2,0)</f>
        <v>Templadoras</v>
      </c>
      <c r="C15050" s="220"/>
      <c r="D15050" s="50" t="s">
        <v>18</v>
      </c>
      <c r="E15050" s="50">
        <v>0</v>
      </c>
      <c r="F15050" s="51">
        <f>VLOOKUP(A15050,'Componentes APUs'!$S$1:$V$10,4,0)</f>
        <v>250000</v>
      </c>
      <c r="G15050" s="51">
        <f>ROUNDUP(F15050*((E15050/21)/E15027),0)</f>
        <v>0</v>
      </c>
    </row>
    <row r="15051" spans="1:7" x14ac:dyDescent="0.25">
      <c r="A15051" s="50" t="s">
        <v>328</v>
      </c>
      <c r="B15051" s="220" t="str">
        <f>VLOOKUP(A15051,'Componentes APUs'!$S$1:$V$10,2,0)</f>
        <v>Herramienta Menor</v>
      </c>
      <c r="C15051" s="220"/>
      <c r="D15051" s="50" t="s">
        <v>18</v>
      </c>
      <c r="E15051" s="50">
        <v>2</v>
      </c>
      <c r="F15051" s="51">
        <f>VLOOKUP(A15051,'Componentes APUs'!$S$1:$V$10,4,0)</f>
        <v>75758</v>
      </c>
      <c r="G15051" s="51">
        <f>ROUNDUP(F15051*((E15051/21)/E15027),0)</f>
        <v>3608</v>
      </c>
    </row>
    <row r="15052" spans="1:7" x14ac:dyDescent="0.25">
      <c r="A15052" s="219" t="s">
        <v>69</v>
      </c>
      <c r="B15052" s="219"/>
      <c r="C15052" s="219"/>
      <c r="D15052" s="219"/>
      <c r="E15052" s="219"/>
      <c r="F15052" s="219"/>
      <c r="G15052" s="52">
        <f>SUM(G15046:G15051)</f>
        <v>4217</v>
      </c>
    </row>
    <row r="15053" spans="1:7" x14ac:dyDescent="0.25">
      <c r="A15053" s="56"/>
      <c r="B15053" s="57"/>
      <c r="C15053" s="57"/>
      <c r="D15053" s="57"/>
      <c r="E15053" s="57"/>
      <c r="F15053" s="57"/>
      <c r="G15053" s="58"/>
    </row>
    <row r="15054" spans="1:7" x14ac:dyDescent="0.25">
      <c r="A15054" s="219" t="s">
        <v>70</v>
      </c>
      <c r="B15054" s="219"/>
      <c r="C15054" s="219"/>
      <c r="D15054" s="219"/>
      <c r="E15054" s="219"/>
      <c r="F15054" s="219"/>
      <c r="G15054" s="219"/>
    </row>
    <row r="15055" spans="1:7" x14ac:dyDescent="0.25">
      <c r="A15055" s="49" t="s">
        <v>35</v>
      </c>
      <c r="B15055" s="219" t="s">
        <v>36</v>
      </c>
      <c r="C15055" s="219"/>
      <c r="D15055" s="49" t="s">
        <v>37</v>
      </c>
      <c r="E15055" s="49" t="s">
        <v>38</v>
      </c>
      <c r="F15055" s="49" t="s">
        <v>39</v>
      </c>
      <c r="G15055" s="49" t="s">
        <v>40</v>
      </c>
    </row>
    <row r="15056" spans="1:7" x14ac:dyDescent="0.25">
      <c r="A15056" s="50" t="s">
        <v>71</v>
      </c>
      <c r="B15056" s="71" t="str">
        <f>VLOOKUP(A15056,'Componentes APUs'!$A$1:$D$14,2,0)</f>
        <v>Camisa indigo sin partes metalicas</v>
      </c>
      <c r="C15056" s="71"/>
      <c r="D15056" s="50" t="str">
        <f>VLOOKUP(A15056,'Componentes APUs'!$A$1:$D$14,3,0)</f>
        <v>U</v>
      </c>
      <c r="E15056" s="50">
        <f>SUM(C15036:C15041)</f>
        <v>2.75</v>
      </c>
      <c r="F15056" s="51">
        <f>VLOOKUP(A15056,'Componentes APUs'!$A$1:$D$14,4,0)</f>
        <v>8585.8585858585866</v>
      </c>
      <c r="G15056" s="51">
        <f>ROUNDUP(F15056*(E15056/21)/E15027,0)</f>
        <v>563</v>
      </c>
    </row>
    <row r="15057" spans="1:7" x14ac:dyDescent="0.25">
      <c r="A15057" s="69" t="s">
        <v>73</v>
      </c>
      <c r="B15057" s="72" t="str">
        <f>VLOOKUP(A15057,'Componentes APUs'!$A$1:$D$14,2,0)</f>
        <v>Bota de seguridad dielectrica</v>
      </c>
      <c r="C15057" s="73"/>
      <c r="D15057" s="70" t="str">
        <f>VLOOKUP(A15057,'Componentes APUs'!$A$1:$D$14,3,0)</f>
        <v>Par</v>
      </c>
      <c r="E15057" s="50">
        <f>SUM(C15036:C15041)</f>
        <v>2.75</v>
      </c>
      <c r="F15057" s="51">
        <f>VLOOKUP(A15057,'Componentes APUs'!$A$1:$D$14,4,0)</f>
        <v>7500</v>
      </c>
      <c r="G15057" s="51">
        <f>ROUNDUP(F15057*(E15057/21)/E15027,0)</f>
        <v>492</v>
      </c>
    </row>
    <row r="15058" spans="1:7" x14ac:dyDescent="0.25">
      <c r="A15058" s="50" t="s">
        <v>76</v>
      </c>
      <c r="B15058" s="72" t="str">
        <f>VLOOKUP(A15058,'Componentes APUs'!$A$1:$D$14,2,0)</f>
        <v>Casco dielectrico Tipo 1 Clase E con barbuquejo</v>
      </c>
      <c r="C15058" s="73"/>
      <c r="D15058" s="50" t="str">
        <f>VLOOKUP(A15058,'Componentes APUs'!$A$1:$D$14,3,0)</f>
        <v>U</v>
      </c>
      <c r="E15058" s="50">
        <f>C15041+C15036+C15039+C15040+C15037+IF(A15038&lt;&gt;"MO-3",C15038,0)</f>
        <v>1.75</v>
      </c>
      <c r="F15058" s="51">
        <f>VLOOKUP(A15058,'Componentes APUs'!$A$1:$D$14,4,0)</f>
        <v>10101.010101010101</v>
      </c>
      <c r="G15058" s="51">
        <f>ROUNDUP(F15058*(E15058/21)/E15027,0)</f>
        <v>421</v>
      </c>
    </row>
    <row r="15059" spans="1:7" x14ac:dyDescent="0.25">
      <c r="A15059" s="69" t="s">
        <v>77</v>
      </c>
      <c r="B15059" s="72" t="str">
        <f>VLOOKUP(A15059,'Componentes APUs'!$A$1:$D$14,2,0)</f>
        <v>Correa plastica y antiflama</v>
      </c>
      <c r="C15059" s="73"/>
      <c r="D15059" s="50" t="str">
        <f>VLOOKUP(A15059,'Componentes APUs'!$A$1:$D$14,3,0)</f>
        <v>U</v>
      </c>
      <c r="E15059" s="50">
        <f>SUM(C15036:C15041)</f>
        <v>2.75</v>
      </c>
      <c r="F15059" s="51">
        <f>VLOOKUP(A15059,'Componentes APUs'!$A$1:$D$14,4,0)</f>
        <v>3787.878787878788</v>
      </c>
      <c r="G15059" s="51">
        <f>ROUNDUP(F15059*(E15059/21)/E15027,0)</f>
        <v>249</v>
      </c>
    </row>
    <row r="15060" spans="1:7" x14ac:dyDescent="0.25">
      <c r="A15060" s="50" t="s">
        <v>79</v>
      </c>
      <c r="B15060" s="72" t="str">
        <f>VLOOKUP(A15060,'Componentes APUs'!$A$1:$D$14,2,0)</f>
        <v>Gafas protectoras filtro UV</v>
      </c>
      <c r="C15060" s="73"/>
      <c r="D15060" s="50" t="str">
        <f>VLOOKUP(A15060,'Componentes APUs'!$A$1:$D$14,3,0)</f>
        <v>U</v>
      </c>
      <c r="E15060" s="50">
        <f>SUM(C15036:C15041)</f>
        <v>2.75</v>
      </c>
      <c r="F15060" s="51">
        <f>VLOOKUP(A15060,'Componentes APUs'!$A$1:$D$14,4,0)</f>
        <v>2777.7777777777778</v>
      </c>
      <c r="G15060" s="51">
        <f>ROUNDUP(F15060*(E15060/21)/E15027,0)</f>
        <v>182</v>
      </c>
    </row>
    <row r="15061" spans="1:7" x14ac:dyDescent="0.25">
      <c r="A15061" s="69" t="s">
        <v>402</v>
      </c>
      <c r="B15061" s="72" t="str">
        <f>VLOOKUP(A15061,'Componentes APUs'!$A$1:$D$14,2,0)</f>
        <v>Bota de seguridad PVC dielectrica</v>
      </c>
      <c r="C15061" s="73"/>
      <c r="D15061" s="50" t="str">
        <f>VLOOKUP(A15061,'Componentes APUs'!$A$1:$D$14,3,0)</f>
        <v>Par</v>
      </c>
      <c r="E15061" s="50">
        <f>SUM(C15036:C15041)</f>
        <v>2.75</v>
      </c>
      <c r="F15061" s="51">
        <f>VLOOKUP(A15061,'Componentes APUs'!$A$1:$D$14,4,0)</f>
        <v>2916.6666666666665</v>
      </c>
      <c r="G15061" s="51">
        <f>ROUNDUP(F15061*(E15061/21)/E15027,0)</f>
        <v>191</v>
      </c>
    </row>
    <row r="15062" spans="1:7" x14ac:dyDescent="0.25">
      <c r="A15062" s="50" t="s">
        <v>403</v>
      </c>
      <c r="B15062" s="72" t="str">
        <f>VLOOKUP(A15062,'Componentes APUs'!$A$1:$D$14,2,0)</f>
        <v>Capuchon</v>
      </c>
      <c r="C15062" s="73"/>
      <c r="D15062" s="50" t="str">
        <f>VLOOKUP(A15062,'Componentes APUs'!$A$1:$D$14,3,0)</f>
        <v>U</v>
      </c>
      <c r="E15062" s="50">
        <f>SUM(C15036:C15041)</f>
        <v>2.75</v>
      </c>
      <c r="F15062" s="51">
        <f>VLOOKUP(A15062,'Componentes APUs'!$A$1:$D$14,4,0)</f>
        <v>2525.2525252525252</v>
      </c>
      <c r="G15062" s="51">
        <f>ROUNDUP(F15062*(E15062/21)/E15027,0)</f>
        <v>166</v>
      </c>
    </row>
    <row r="15063" spans="1:7" x14ac:dyDescent="0.25">
      <c r="A15063" s="69" t="s">
        <v>81</v>
      </c>
      <c r="B15063" s="72" t="str">
        <f>VLOOKUP(A15063,'Componentes APUs'!$A$1:$D$14,2,0)</f>
        <v>Guantes Protectores  - ingeniero reforzados</v>
      </c>
      <c r="C15063" s="73"/>
      <c r="D15063" s="50" t="str">
        <f>VLOOKUP(A15063,'Componentes APUs'!$A$1:$D$14,3,0)</f>
        <v>Par</v>
      </c>
      <c r="E15063" s="50">
        <f>C15038+C15039+C15041</f>
        <v>2</v>
      </c>
      <c r="F15063" s="51">
        <f>VLOOKUP(A15063,'Componentes APUs'!$A$1:$D$14,4,0)</f>
        <v>2525.2525252525252</v>
      </c>
      <c r="G15063" s="51">
        <f>ROUNDUP(F15063*(E15063/21)/E15027,0)</f>
        <v>121</v>
      </c>
    </row>
    <row r="15064" spans="1:7" x14ac:dyDescent="0.25">
      <c r="A15064" s="50" t="s">
        <v>83</v>
      </c>
      <c r="B15064" s="72" t="str">
        <f>VLOOKUP(A15064,'Componentes APUs'!$A$1:$D$14,2,0)</f>
        <v>Impermeable (pantalon camisa)</v>
      </c>
      <c r="C15064" s="73"/>
      <c r="D15064" s="50" t="str">
        <f>VLOOKUP(A15064,'Componentes APUs'!$A$1:$D$14,3,0)</f>
        <v>U</v>
      </c>
      <c r="E15064" s="50">
        <f>SUM(C15036:C15041)</f>
        <v>2.75</v>
      </c>
      <c r="F15064" s="51">
        <f>VLOOKUP(A15064,'Componentes APUs'!$A$1:$D$14,4,0)</f>
        <v>3750</v>
      </c>
      <c r="G15064" s="51">
        <f>ROUNDUP(F15064*(E15064/21)/E15027,0)</f>
        <v>246</v>
      </c>
    </row>
    <row r="15065" spans="1:7" x14ac:dyDescent="0.25">
      <c r="A15065" s="69" t="s">
        <v>85</v>
      </c>
      <c r="B15065" s="72" t="str">
        <f>VLOOKUP(A15065,'Componentes APUs'!$A$1:$D$14,2,0)</f>
        <v>Jean Dielectrico</v>
      </c>
      <c r="C15065" s="73"/>
      <c r="D15065" s="50" t="str">
        <f>VLOOKUP(A15065,'Componentes APUs'!$A$1:$D$14,3,0)</f>
        <v>U</v>
      </c>
      <c r="E15065" s="50">
        <f>SUM(C15036:C15041)</f>
        <v>2.75</v>
      </c>
      <c r="F15065" s="51">
        <f>VLOOKUP(A15065,'Componentes APUs'!$A$1:$D$14,4,0)</f>
        <v>7575.757575757576</v>
      </c>
      <c r="G15065" s="51">
        <f>ROUNDUP(F15065*(E15065/21)/E15027,0)</f>
        <v>497</v>
      </c>
    </row>
    <row r="15066" spans="1:7" x14ac:dyDescent="0.25">
      <c r="A15066" s="50" t="s">
        <v>87</v>
      </c>
      <c r="B15066" s="72" t="str">
        <f>VLOOKUP(A15066,'Componentes APUs'!$A$1:$D$14,2,0)</f>
        <v>Casco dielectrico Tipo 2 Clase E con barboquejo</v>
      </c>
      <c r="C15066" s="73"/>
      <c r="D15066" s="50" t="str">
        <f>VLOOKUP(A15066,'Componentes APUs'!$A$1:$D$14,3,0)</f>
        <v>U</v>
      </c>
      <c r="E15066" s="53">
        <f>IF(A15038="MO-3",C15038,0)</f>
        <v>1</v>
      </c>
      <c r="F15066" s="51">
        <f>VLOOKUP(A15066,'Componentes APUs'!$A$1:$D$14,4,0)</f>
        <v>7500</v>
      </c>
      <c r="G15066" s="51">
        <f>ROUNDUP(F15066*(E15066/21)/E15027,0)</f>
        <v>179</v>
      </c>
    </row>
    <row r="15067" spans="1:7" x14ac:dyDescent="0.25">
      <c r="A15067" s="69" t="s">
        <v>89</v>
      </c>
      <c r="B15067" s="72" t="str">
        <f>VLOOKUP(A15067,'Componentes APUs'!$A$1:$D$14,2,0)</f>
        <v>Kit de rescate para trabajo en alturas</v>
      </c>
      <c r="C15067" s="73"/>
      <c r="D15067" s="50" t="str">
        <f>VLOOKUP(A15067,'Componentes APUs'!$A$1:$D$14,3,0)</f>
        <v>U</v>
      </c>
      <c r="E15067" s="50">
        <f>IF(AND(A15038="MO-3",C15038=2),1,0)</f>
        <v>0</v>
      </c>
      <c r="F15067" s="51">
        <f>VLOOKUP(A15067,'Componentes APUs'!$A$1:$D$14,4,0)</f>
        <v>37500</v>
      </c>
      <c r="G15067" s="51">
        <f>ROUNDUP(F15067*(E15067/21)/E15027,0)</f>
        <v>0</v>
      </c>
    </row>
    <row r="15068" spans="1:7" x14ac:dyDescent="0.25">
      <c r="A15068" s="50" t="s">
        <v>91</v>
      </c>
      <c r="B15068" s="72" t="str">
        <f>VLOOKUP(A15068,'Componentes APUs'!$A$1:$D$14,2,0)</f>
        <v>Equipo completo para trabajo en alturas con pretales (Arnes dielectrico, 1 mosqueton de seguridad, tie off dielectrico, eslinga de posicionamiento, juego de pretales)</v>
      </c>
      <c r="C15068" s="73"/>
      <c r="D15068" s="50" t="str">
        <f>VLOOKUP(A15068,'Componentes APUs'!$A$1:$D$14,3,0)</f>
        <v>U</v>
      </c>
      <c r="E15068" s="50">
        <f>IF(A15038="MO-3",C15038,0)</f>
        <v>1</v>
      </c>
      <c r="F15068" s="51">
        <f>VLOOKUP(A15068,'Componentes APUs'!$A$1:$D$14,4,0)</f>
        <v>26041.666666666668</v>
      </c>
      <c r="G15068" s="51">
        <f>ROUNDUP(F15068*(E15068/21)/E15027,0)</f>
        <v>621</v>
      </c>
    </row>
    <row r="15069" spans="1:7" x14ac:dyDescent="0.25">
      <c r="A15069" s="219" t="s">
        <v>95</v>
      </c>
      <c r="B15069" s="219"/>
      <c r="C15069" s="219"/>
      <c r="D15069" s="219"/>
      <c r="E15069" s="219"/>
      <c r="F15069" s="219"/>
      <c r="G15069" s="52">
        <f>SUM(G15056:G15068)</f>
        <v>3928</v>
      </c>
    </row>
    <row r="15070" spans="1:7" x14ac:dyDescent="0.25">
      <c r="A15070" s="56"/>
      <c r="B15070" s="57"/>
      <c r="C15070" s="57"/>
      <c r="D15070" s="57"/>
      <c r="E15070" s="57"/>
      <c r="F15070" s="57"/>
      <c r="G15070" s="58"/>
    </row>
    <row r="15071" spans="1:7" x14ac:dyDescent="0.25">
      <c r="A15071" s="219" t="s">
        <v>96</v>
      </c>
      <c r="B15071" s="219"/>
      <c r="C15071" s="219"/>
      <c r="D15071" s="219"/>
      <c r="E15071" s="219"/>
      <c r="F15071" s="219"/>
      <c r="G15071" s="219"/>
    </row>
    <row r="15072" spans="1:7" x14ac:dyDescent="0.25">
      <c r="A15072" s="49" t="s">
        <v>35</v>
      </c>
      <c r="B15072" s="225" t="s">
        <v>36</v>
      </c>
      <c r="C15072" s="225"/>
      <c r="D15072" s="49" t="s">
        <v>37</v>
      </c>
      <c r="E15072" s="49" t="s">
        <v>38</v>
      </c>
      <c r="F15072" s="49" t="s">
        <v>39</v>
      </c>
      <c r="G15072" s="49" t="s">
        <v>40</v>
      </c>
    </row>
    <row r="15073" spans="1:7" x14ac:dyDescent="0.25">
      <c r="A15073" s="69" t="s">
        <v>97</v>
      </c>
      <c r="B15073" s="72" t="str">
        <f>VLOOKUP(A15073,'Componentes APUs'!$N$1:$Q$30,2,0)</f>
        <v>Camioneta</v>
      </c>
      <c r="C15073" s="73"/>
      <c r="D15073" s="70" t="str">
        <f>VLOOKUP(A15073,'Componentes APUs'!$N$1:$Q$30,3,0)</f>
        <v>U</v>
      </c>
      <c r="E15073" s="50">
        <v>1</v>
      </c>
      <c r="F15073" s="51">
        <f>VLOOKUP(A15073,'Componentes APUs'!$N$1:$Q$30,4,0)</f>
        <v>5500000</v>
      </c>
      <c r="G15073" s="51">
        <f>IFERROR(ROUNDUP(F15073*(E15073/21)/E15027,0),"-")</f>
        <v>130953</v>
      </c>
    </row>
    <row r="15074" spans="1:7" x14ac:dyDescent="0.25">
      <c r="A15074" s="50" t="s">
        <v>321</v>
      </c>
      <c r="B15074" s="72" t="str">
        <f>VLOOKUP(A15074,'Componentes APUs'!$N$1:$Q$30,2,0)</f>
        <v>Grúa Hidráulica</v>
      </c>
      <c r="C15074" s="73"/>
      <c r="D15074" s="70" t="str">
        <f>VLOOKUP(A15074,'Componentes APUs'!$N$1:$Q$30,3,0)</f>
        <v>U</v>
      </c>
      <c r="E15074" s="50">
        <v>0</v>
      </c>
      <c r="F15074" s="51">
        <f>VLOOKUP(A15074,'Componentes APUs'!$N$1:$Q$30,4,0)</f>
        <v>21000000</v>
      </c>
      <c r="G15074" s="51">
        <f>IFERROR(ROUNDUP(F15074*(E15074/21)/E15027,0),"-")</f>
        <v>0</v>
      </c>
    </row>
    <row r="15075" spans="1:7" x14ac:dyDescent="0.25">
      <c r="A15075" s="69" t="s">
        <v>322</v>
      </c>
      <c r="B15075" s="72" t="str">
        <f>VLOOKUP(A15075,'Componentes APUs'!$N$1:$Q$30,2,0)</f>
        <v>Camabaja</v>
      </c>
      <c r="C15075" s="73"/>
      <c r="D15075" s="70" t="str">
        <f>VLOOKUP(A15075,'Componentes APUs'!$N$1:$Q$30,3,0)</f>
        <v>TON/KM</v>
      </c>
      <c r="E15075" s="50">
        <v>0</v>
      </c>
      <c r="F15075" s="51">
        <f>VLOOKUP(A15075,'Componentes APUs'!$N$1:$Q$30,4,0)</f>
        <v>611</v>
      </c>
      <c r="G15075" s="51">
        <f>IFERROR(ROUNDUP(F15075*(E15075/21)/E15027,0),"-")</f>
        <v>0</v>
      </c>
    </row>
    <row r="15076" spans="1:7" x14ac:dyDescent="0.25">
      <c r="A15076" s="50" t="s">
        <v>323</v>
      </c>
      <c r="B15076" s="72" t="str">
        <f>VLOOKUP(A15076,'Componentes APUs'!$N$1:$Q$30,2,0)</f>
        <v>Volqueta</v>
      </c>
      <c r="C15076" s="73"/>
      <c r="D15076" s="70" t="str">
        <f>VLOOKUP(A15076,'Componentes APUs'!$N$1:$Q$30,3,0)</f>
        <v>U</v>
      </c>
      <c r="E15076" s="50">
        <v>0</v>
      </c>
      <c r="F15076" s="51">
        <f>VLOOKUP(A15076,'Componentes APUs'!$N$1:$Q$30,4,0)</f>
        <v>14828184</v>
      </c>
      <c r="G15076" s="51">
        <f>IFERROR(ROUNDUP(F15076*(E15076/21)/E15027,0),"-")</f>
        <v>0</v>
      </c>
    </row>
    <row r="15077" spans="1:7" x14ac:dyDescent="0.25">
      <c r="A15077" s="69" t="s">
        <v>324</v>
      </c>
      <c r="B15077" s="72" t="str">
        <f>VLOOKUP(A15077,'Componentes APUs'!$N$1:$Q$30,2,0)</f>
        <v>Retroexcavadora</v>
      </c>
      <c r="C15077" s="73"/>
      <c r="D15077" s="70" t="str">
        <f>VLOOKUP(A15077,'Componentes APUs'!$N$1:$Q$30,3,0)</f>
        <v>U</v>
      </c>
      <c r="E15077" s="50">
        <v>0</v>
      </c>
      <c r="F15077" s="51">
        <f>VLOOKUP(A15077,'Componentes APUs'!$N$1:$Q$30,4,0)</f>
        <v>46030656</v>
      </c>
      <c r="G15077" s="51">
        <f>IFERROR(ROUNDUP(F15077*(E15077/21)/E15027,0),"-")</f>
        <v>0</v>
      </c>
    </row>
    <row r="15078" spans="1:7" x14ac:dyDescent="0.25">
      <c r="A15078" s="219" t="s">
        <v>99</v>
      </c>
      <c r="B15078" s="219"/>
      <c r="C15078" s="219"/>
      <c r="D15078" s="219"/>
      <c r="E15078" s="219"/>
      <c r="F15078" s="219"/>
      <c r="G15078" s="52">
        <f>SUM(G15073:G15077)</f>
        <v>130953</v>
      </c>
    </row>
    <row r="15079" spans="1:7" x14ac:dyDescent="0.25">
      <c r="A15079" s="56"/>
      <c r="B15079" s="57"/>
      <c r="C15079" s="57"/>
      <c r="D15079" s="57"/>
      <c r="E15079" s="57"/>
      <c r="F15079" s="57"/>
      <c r="G15079" s="58"/>
    </row>
    <row r="15080" spans="1:7" x14ac:dyDescent="0.25">
      <c r="A15080" s="219" t="s">
        <v>1516</v>
      </c>
      <c r="B15080" s="219"/>
      <c r="C15080" s="219"/>
      <c r="D15080" s="219"/>
      <c r="E15080" s="219"/>
      <c r="F15080" s="219"/>
      <c r="G15080" s="52">
        <f>G15078+G15069+G15052+G15042+G15032</f>
        <v>4995591</v>
      </c>
    </row>
    <row r="15081" spans="1:7" x14ac:dyDescent="0.25">
      <c r="A15081" s="59"/>
      <c r="B15081" s="60"/>
      <c r="C15081" s="60"/>
      <c r="D15081" s="60"/>
      <c r="E15081" s="57"/>
      <c r="F15081" s="57"/>
      <c r="G15081" s="58"/>
    </row>
    <row r="15082" spans="1:7" x14ac:dyDescent="0.25">
      <c r="A15082" s="64"/>
      <c r="D15082" s="55"/>
      <c r="E15082" s="49" t="s">
        <v>25</v>
      </c>
      <c r="F15082" s="54">
        <v>0.15</v>
      </c>
      <c r="G15082" s="51">
        <f>G15080*F15082</f>
        <v>749338.65</v>
      </c>
    </row>
    <row r="15083" spans="1:7" x14ac:dyDescent="0.25">
      <c r="A15083" s="64"/>
      <c r="D15083" s="55"/>
      <c r="E15083" s="49" t="s">
        <v>26</v>
      </c>
      <c r="F15083" s="54">
        <v>0.05</v>
      </c>
      <c r="G15083" s="51">
        <f>G15080*F15083</f>
        <v>249779.55000000002</v>
      </c>
    </row>
    <row r="15084" spans="1:7" x14ac:dyDescent="0.25">
      <c r="A15084" s="61"/>
      <c r="B15084" s="65"/>
      <c r="C15084" s="65"/>
      <c r="D15084" s="62"/>
      <c r="E15084" s="49" t="s">
        <v>27</v>
      </c>
      <c r="F15084" s="54">
        <v>0.05</v>
      </c>
      <c r="G15084" s="51">
        <f>G15080*F15084</f>
        <v>249779.55000000002</v>
      </c>
    </row>
    <row r="15085" spans="1:7" x14ac:dyDescent="0.25">
      <c r="A15085" s="61"/>
      <c r="B15085" s="62"/>
      <c r="C15085" s="62"/>
      <c r="D15085" s="62"/>
      <c r="E15085" s="62"/>
      <c r="F15085" s="62"/>
      <c r="G15085" s="63"/>
    </row>
    <row r="15086" spans="1:7" x14ac:dyDescent="0.25">
      <c r="A15086" s="219" t="s">
        <v>1517</v>
      </c>
      <c r="B15086" s="219"/>
      <c r="C15086" s="219"/>
      <c r="D15086" s="219"/>
      <c r="E15086" s="219"/>
      <c r="F15086" s="219"/>
      <c r="G15086" s="52">
        <f>G15080+G15082+G15083+G15084</f>
        <v>6244488.75</v>
      </c>
    </row>
    <row r="15087" spans="1:7" x14ac:dyDescent="0.25">
      <c r="A15087" s="59"/>
      <c r="B15087" s="60"/>
      <c r="C15087" s="60"/>
      <c r="D15087" s="60"/>
      <c r="E15087" s="57"/>
      <c r="F15087" s="57"/>
      <c r="G15087" s="58"/>
    </row>
    <row r="15088" spans="1:7" x14ac:dyDescent="0.25">
      <c r="A15088" s="64"/>
      <c r="D15088" s="55"/>
      <c r="E15088" s="49" t="s">
        <v>102</v>
      </c>
      <c r="F15088" s="49" t="s">
        <v>103</v>
      </c>
      <c r="G15088" s="51">
        <f>G15084*19%</f>
        <v>47458.114500000003</v>
      </c>
    </row>
    <row r="15089" spans="1:7" x14ac:dyDescent="0.25">
      <c r="A15089" s="61"/>
      <c r="B15089" s="62"/>
      <c r="C15089" s="62"/>
      <c r="D15089" s="62"/>
      <c r="E15089" s="57"/>
      <c r="F15089" s="57"/>
      <c r="G15089" s="58"/>
    </row>
    <row r="15090" spans="1:7" x14ac:dyDescent="0.25">
      <c r="A15090" s="219" t="s">
        <v>104</v>
      </c>
      <c r="B15090" s="219"/>
      <c r="C15090" s="219"/>
      <c r="D15090" s="219"/>
      <c r="E15090" s="219"/>
      <c r="F15090" s="219"/>
      <c r="G15090" s="52">
        <f>G15088+G15086</f>
        <v>6291946.8645000001</v>
      </c>
    </row>
    <row r="15092" spans="1:7" x14ac:dyDescent="0.25">
      <c r="A15092" s="74" t="s">
        <v>29</v>
      </c>
      <c r="B15092" s="226" t="s">
        <v>30</v>
      </c>
      <c r="C15092" s="226"/>
      <c r="D15092" s="74" t="s">
        <v>31</v>
      </c>
      <c r="E15092" s="74" t="s">
        <v>32</v>
      </c>
      <c r="F15092" s="74" t="s">
        <v>189</v>
      </c>
      <c r="G15092" s="74" t="s">
        <v>33</v>
      </c>
    </row>
    <row r="15093" spans="1:7" ht="75" customHeight="1" x14ac:dyDescent="0.25">
      <c r="A15093" s="50" t="str">
        <f>Presupuesto!B279</f>
        <v>025_N2</v>
      </c>
      <c r="B15093" s="220" t="str">
        <f>Presupuesto!C279</f>
        <v>SUMINISTRO, TRANSPORTE E INSTALACIÓN DE TABLERO AUTOSOPORTADO DE FABRICACIÓN ESPECIAL. DE USO INTERIOR. IP 54. LAMINA DE ACERO GALVANIZADA CALIBRE 18. PARA ALBERGAR HASTA 6 EQUIPOS DE CONTROL, SEGÚN DIAGRAMA UNIFILAR (+R02A). INCLUYE ILUMINACIÓN, RESISTENCIA PARA CALEFACCIÓN, BREAKERS DE PROTECCIÓN, BORNERAS CORTOCIRCUITABLES, CANALETAS Y DEMÁS ACCESORIOS.</v>
      </c>
      <c r="C15093" s="220"/>
      <c r="D15093" s="50" t="s">
        <v>18</v>
      </c>
      <c r="E15093" s="50">
        <v>1</v>
      </c>
      <c r="F15093" s="50"/>
      <c r="G15093" s="51">
        <f>G15159</f>
        <v>15664833.5085</v>
      </c>
    </row>
    <row r="15094" spans="1:7" x14ac:dyDescent="0.25">
      <c r="A15094" s="219" t="s">
        <v>34</v>
      </c>
      <c r="B15094" s="219"/>
      <c r="C15094" s="219"/>
      <c r="D15094" s="219"/>
      <c r="E15094" s="219"/>
      <c r="F15094" s="219"/>
      <c r="G15094" s="219"/>
    </row>
    <row r="15095" spans="1:7" x14ac:dyDescent="0.25">
      <c r="A15095" s="49" t="s">
        <v>35</v>
      </c>
      <c r="B15095" s="219" t="s">
        <v>36</v>
      </c>
      <c r="C15095" s="219"/>
      <c r="D15095" s="49" t="s">
        <v>37</v>
      </c>
      <c r="E15095" s="49" t="s">
        <v>38</v>
      </c>
      <c r="F15095" s="49" t="s">
        <v>39</v>
      </c>
      <c r="G15095" s="49" t="s">
        <v>40</v>
      </c>
    </row>
    <row r="15096" spans="1:7" ht="39" customHeight="1" x14ac:dyDescent="0.25">
      <c r="A15096" s="17" t="str">
        <f>Material!A32</f>
        <v>MA-31</v>
      </c>
      <c r="B15096" s="221" t="str">
        <f>IFERROR(VLOOKUP(A15096,Material!$A:$J,2,0),"-")</f>
        <v>TABLERO AUTOSOPORTADO DE FABRICACIÓN ESPECIAL. DE USO INTERIOR. IP 65. LAMINA DE ACERO GALVANIZADA CALIBRE 18. PARA ALBERGAR HASTA 6 EQUIPOS DE MEDIDA SEMIDIRECTA</v>
      </c>
      <c r="C15096" s="222"/>
      <c r="D15096" s="50" t="str">
        <f>IFERROR(VLOOKUP(A15096,Material!$A:$J,4,0),"-")</f>
        <v>UN</v>
      </c>
      <c r="E15096" s="50">
        <v>1</v>
      </c>
      <c r="F15096" s="51">
        <f>IFERROR(VLOOKUP(A15096,Material!$A:$J,3,0),"-")</f>
        <v>9100000</v>
      </c>
      <c r="G15096" s="51">
        <f t="shared" ref="G15096:G15102" si="214">IFERROR(ROUNDUP(F15096*E15096,0),"-")</f>
        <v>9100000</v>
      </c>
    </row>
    <row r="15097" spans="1:7" x14ac:dyDescent="0.25">
      <c r="A15097" s="17" t="str">
        <f>Material!A33</f>
        <v>MA-32</v>
      </c>
      <c r="B15097" s="72" t="str">
        <f>IFERROR(VLOOKUP(A15097,Material!$A:$J,2,0),"-")</f>
        <v>LÁMPARA LED</v>
      </c>
      <c r="C15097" s="73"/>
      <c r="D15097" s="50" t="str">
        <f>IFERROR(VLOOKUP(A15097,Material!$A:$J,4,0),"-")</f>
        <v>UN</v>
      </c>
      <c r="E15097" s="50">
        <v>1</v>
      </c>
      <c r="F15097" s="51">
        <f>IFERROR(VLOOKUP(A15097,Material!$A:$J,3,0),"-")</f>
        <v>307373.88256268692</v>
      </c>
      <c r="G15097" s="51">
        <f t="shared" si="214"/>
        <v>307374</v>
      </c>
    </row>
    <row r="15098" spans="1:7" x14ac:dyDescent="0.25">
      <c r="A15098" s="17" t="str">
        <f>Material!A142</f>
        <v>MA-141</v>
      </c>
      <c r="B15098" s="72" t="str">
        <f>IFERROR(VLOOKUP(A15098,Material!$A:$J,2,0),"-")</f>
        <v>CAJA RAWELT</v>
      </c>
      <c r="C15098" s="73"/>
      <c r="D15098" s="50" t="str">
        <f>IFERROR(VLOOKUP(A15098,Material!$A:$J,4,0),"-")</f>
        <v>UN</v>
      </c>
      <c r="E15098" s="50">
        <v>1</v>
      </c>
      <c r="F15098" s="51">
        <f>IFERROR(VLOOKUP(A15098,Material!$A:$J,3,0),"-")</f>
        <v>13778.7</v>
      </c>
      <c r="G15098" s="51">
        <f t="shared" si="214"/>
        <v>13779</v>
      </c>
    </row>
    <row r="15099" spans="1:7" x14ac:dyDescent="0.25">
      <c r="A15099" s="17" t="str">
        <f>Material!A230</f>
        <v>MA-229</v>
      </c>
      <c r="B15099" s="72" t="str">
        <f>IFERROR(VLOOKUP(A15099,Material!$A:$J,2,0),"-")</f>
        <v>TOMA CORRIENTE LEVITON</v>
      </c>
      <c r="C15099" s="73"/>
      <c r="D15099" s="50" t="str">
        <f>IFERROR(VLOOKUP(A15099,Material!$A:$J,4,0),"-")</f>
        <v>UN</v>
      </c>
      <c r="E15099" s="50">
        <v>1</v>
      </c>
      <c r="F15099" s="51">
        <f>IFERROR(VLOOKUP(A15099,Material!$A:$J,3,0),"-")</f>
        <v>4615</v>
      </c>
      <c r="G15099" s="51">
        <f t="shared" si="214"/>
        <v>4615</v>
      </c>
    </row>
    <row r="15100" spans="1:7" x14ac:dyDescent="0.25">
      <c r="A15100" s="17" t="str">
        <f>Material!A34</f>
        <v>MA-33</v>
      </c>
      <c r="B15100" s="72" t="str">
        <f>IFERROR(VLOOKUP(A15100,Material!$A:$J,2,0),"-")</f>
        <v>RESISTENCIA DE CALEFACCIÓN PARA CUADROS ELÉCTRICOS 30W. IP20</v>
      </c>
      <c r="C15100" s="73"/>
      <c r="D15100" s="50" t="str">
        <f>IFERROR(VLOOKUP(A15100,Material!$A:$J,4,0),"-")</f>
        <v>UN</v>
      </c>
      <c r="E15100" s="50">
        <v>1</v>
      </c>
      <c r="F15100" s="51">
        <f>IFERROR(VLOOKUP(A15100,Material!$A:$J,3,0),"-")</f>
        <v>262031.83808815968</v>
      </c>
      <c r="G15100" s="51">
        <f t="shared" si="214"/>
        <v>262032</v>
      </c>
    </row>
    <row r="15101" spans="1:7" x14ac:dyDescent="0.25">
      <c r="A15101" s="17" t="str">
        <f>Material!A35</f>
        <v>MA-34</v>
      </c>
      <c r="B15101" s="72" t="str">
        <f>IFERROR(VLOOKUP(A15101,Material!$A:$J,2,0),"-")</f>
        <v>BREAKER DE RIEL MONOPOLAR 1 X 20 AMP 6 KA</v>
      </c>
      <c r="C15101" s="76"/>
      <c r="D15101" s="50" t="str">
        <f>IFERROR(VLOOKUP(A15101,Material!$A:$J,4,0),"-")</f>
        <v>UN</v>
      </c>
      <c r="E15101" s="50">
        <v>1</v>
      </c>
      <c r="F15101" s="51">
        <f>IFERROR(VLOOKUP(A15101,Material!$A:$J,3,0),"-")</f>
        <v>23790</v>
      </c>
      <c r="G15101" s="51">
        <f t="shared" si="214"/>
        <v>23790</v>
      </c>
    </row>
    <row r="15102" spans="1:7" x14ac:dyDescent="0.25">
      <c r="A15102" s="17" t="str">
        <f>Material!A37</f>
        <v>MA-36</v>
      </c>
      <c r="B15102" s="72" t="str">
        <f>IFERROR(VLOOKUP(A15102,Material!$A:$J,2,0),"-")</f>
        <v>CANALETAS RANURADA 40X60 MM</v>
      </c>
      <c r="C15102" s="76"/>
      <c r="D15102" s="50" t="str">
        <f>IFERROR(VLOOKUP(A15102,Material!$A:$J,4,0),"-")</f>
        <v>ML</v>
      </c>
      <c r="E15102" s="50">
        <v>8</v>
      </c>
      <c r="F15102" s="51">
        <f>IFERROR(VLOOKUP(A15102,Material!$A:$J,3,0),"-")</f>
        <v>31908.5</v>
      </c>
      <c r="G15102" s="51">
        <f t="shared" si="214"/>
        <v>255268</v>
      </c>
    </row>
    <row r="15103" spans="1:7" x14ac:dyDescent="0.25">
      <c r="A15103" s="219" t="s">
        <v>41</v>
      </c>
      <c r="B15103" s="219"/>
      <c r="C15103" s="219"/>
      <c r="D15103" s="219"/>
      <c r="E15103" s="219"/>
      <c r="F15103" s="219"/>
      <c r="G15103" s="52">
        <f>SUM(G15096:G15102)</f>
        <v>9966858</v>
      </c>
    </row>
    <row r="15104" spans="1:7" x14ac:dyDescent="0.25">
      <c r="A15104" s="56"/>
      <c r="B15104" s="57"/>
      <c r="C15104" s="57"/>
      <c r="D15104" s="57"/>
      <c r="E15104" s="57"/>
      <c r="F15104" s="57"/>
      <c r="G15104" s="58"/>
    </row>
    <row r="15105" spans="1:7" x14ac:dyDescent="0.25">
      <c r="A15105" s="219" t="s">
        <v>42</v>
      </c>
      <c r="B15105" s="219"/>
      <c r="C15105" s="219"/>
      <c r="D15105" s="219"/>
      <c r="E15105" s="219"/>
      <c r="F15105" s="219"/>
      <c r="G15105" s="219"/>
    </row>
    <row r="15106" spans="1:7" x14ac:dyDescent="0.25">
      <c r="A15106" s="49" t="s">
        <v>35</v>
      </c>
      <c r="B15106" s="49" t="s">
        <v>36</v>
      </c>
      <c r="C15106" s="49" t="s">
        <v>38</v>
      </c>
      <c r="D15106" s="49" t="s">
        <v>43</v>
      </c>
      <c r="E15106" s="49" t="s">
        <v>44</v>
      </c>
      <c r="F15106" s="49" t="s">
        <v>45</v>
      </c>
      <c r="G15106" s="49" t="s">
        <v>40</v>
      </c>
    </row>
    <row r="15107" spans="1:7" x14ac:dyDescent="0.25">
      <c r="A15107" s="50" t="s">
        <v>319</v>
      </c>
      <c r="B15107" s="68" t="str">
        <f>VLOOKUP(A15107,'[1]Componentes APUs'!$H$1:$L$25,2,0)</f>
        <v>Ingeniero Residente de Obra</v>
      </c>
      <c r="C15107" s="93">
        <v>0.25</v>
      </c>
      <c r="D15107" s="50">
        <f>VLOOKUP(A15107,'[1]Componentes APUs'!$H$1:$L$25,3,0)</f>
        <v>4</v>
      </c>
      <c r="E15107" s="51">
        <f>VLOOKUP(A15107,'[1]Componentes APUs'!$H$1:$L$25,4,0)</f>
        <v>271142.85714285716</v>
      </c>
      <c r="F15107" s="51">
        <f>VLOOKUP(A15107,'[1]Componentes APUs'!$H$1:$L$25,5,0)</f>
        <v>162685.71428571429</v>
      </c>
      <c r="G15107" s="51">
        <f>ROUNDUP((E15107+F15107)*C15107/E15093,0)</f>
        <v>108458</v>
      </c>
    </row>
    <row r="15108" spans="1:7" x14ac:dyDescent="0.25">
      <c r="A15108" s="50" t="s">
        <v>320</v>
      </c>
      <c r="B15108" s="68" t="str">
        <f>VLOOKUP(A15108,'[1]Componentes APUs'!$H$1:$L$25,2,0)</f>
        <v>Tecnico Supervisor</v>
      </c>
      <c r="C15108" s="93">
        <v>0.25</v>
      </c>
      <c r="D15108" s="50">
        <f>VLOOKUP(A15108,'[1]Componentes APUs'!$H$1:$L$25,3,0)</f>
        <v>2.2999999999999998</v>
      </c>
      <c r="E15108" s="51">
        <f>VLOOKUP(A15108,'[1]Componentes APUs'!$H$1:$L$25,4,0)</f>
        <v>155907.14285714284</v>
      </c>
      <c r="F15108" s="51">
        <f>VLOOKUP(A15108,'[1]Componentes APUs'!$H$1:$L$25,5,0)</f>
        <v>93544.285714285696</v>
      </c>
      <c r="G15108" s="51">
        <f>ROUNDUP((E15108+F15108)*C15108/E15093,0)</f>
        <v>62363</v>
      </c>
    </row>
    <row r="15109" spans="1:7" x14ac:dyDescent="0.25">
      <c r="A15109" s="50" t="s">
        <v>46</v>
      </c>
      <c r="B15109" s="68" t="str">
        <f>VLOOKUP(A15109,'[1]Componentes APUs'!$H$1:$L$25,2,0)</f>
        <v>Tecnico Liniero</v>
      </c>
      <c r="C15109" s="93">
        <v>1</v>
      </c>
      <c r="D15109" s="50">
        <f>VLOOKUP(A15109,'[1]Componentes APUs'!$H$1:$L$25,3,0)</f>
        <v>2</v>
      </c>
      <c r="E15109" s="51">
        <f>VLOOKUP(A15109,'[1]Componentes APUs'!$H$1:$L$25,4,0)</f>
        <v>154619.04761904763</v>
      </c>
      <c r="F15109" s="51">
        <f>VLOOKUP(A15109,'[1]Componentes APUs'!$H$1:$L$25,5,0)</f>
        <v>92771.42857142858</v>
      </c>
      <c r="G15109" s="51">
        <f>ROUNDUP((E15109+F15109)*C15109/E15093,0)</f>
        <v>247391</v>
      </c>
    </row>
    <row r="15110" spans="1:7" x14ac:dyDescent="0.25">
      <c r="A15110" s="50" t="s">
        <v>48</v>
      </c>
      <c r="B15110" s="68" t="str">
        <f>VLOOKUP(A15110,'[1]Componentes APUs'!$H$1:$L$25,2,0)</f>
        <v>Ayudante Calificado</v>
      </c>
      <c r="C15110" s="93">
        <v>1</v>
      </c>
      <c r="D15110" s="50">
        <f>VLOOKUP(A15110,'[1]Componentes APUs'!$H$1:$L$25,3,0)</f>
        <v>1.5</v>
      </c>
      <c r="E15110" s="51">
        <f>VLOOKUP(A15110,'[1]Componentes APUs'!$H$1:$L$25,4,0)</f>
        <v>115964.28571428571</v>
      </c>
      <c r="F15110" s="51">
        <f>VLOOKUP(A15110,'[1]Componentes APUs'!$H$1:$L$25,5,0)</f>
        <v>69578.57142857142</v>
      </c>
      <c r="G15110" s="51">
        <f>ROUNDUP((E15110+F15110)*C15110/E15093,0)</f>
        <v>185543</v>
      </c>
    </row>
    <row r="15111" spans="1:7" x14ac:dyDescent="0.25">
      <c r="A15111" s="50" t="s">
        <v>50</v>
      </c>
      <c r="B15111" s="68" t="str">
        <f>VLOOKUP(A15111,'[1]Componentes APUs'!$H$1:$L$25,2,0)</f>
        <v>Profesional en SST</v>
      </c>
      <c r="C15111" s="93">
        <v>0.25</v>
      </c>
      <c r="D15111" s="50">
        <f>VLOOKUP(A15111,'[1]Componentes APUs'!$H$1:$L$25,3,0)</f>
        <v>2.5</v>
      </c>
      <c r="E15111" s="51">
        <f>VLOOKUP(A15111,'[1]Componentes APUs'!$H$1:$L$25,4,0)</f>
        <v>169464.28571428571</v>
      </c>
      <c r="F15111" s="51">
        <f>VLOOKUP(A15111,'[1]Componentes APUs'!$H$1:$L$25,5,0)</f>
        <v>101678.57142857142</v>
      </c>
      <c r="G15111" s="51">
        <f>ROUNDUP((E15111+F15111)*C15111/E15093,0)</f>
        <v>67786</v>
      </c>
    </row>
    <row r="15112" spans="1:7" x14ac:dyDescent="0.25">
      <c r="A15112" s="50" t="s">
        <v>52</v>
      </c>
      <c r="B15112" s="68" t="str">
        <f>VLOOKUP(A15112,'[1]Componentes APUs'!$H$1:$L$25,2,0)</f>
        <v>Ayudante No Calificado</v>
      </c>
      <c r="C15112" s="93">
        <v>0</v>
      </c>
      <c r="D15112" s="50">
        <f>VLOOKUP(A15112,'[1]Componentes APUs'!$H$1:$L$25,3,0)</f>
        <v>1</v>
      </c>
      <c r="E15112" s="51">
        <f>VLOOKUP(A15112,'[1]Componentes APUs'!$H$1:$L$25,4,0)</f>
        <v>77309.523809523816</v>
      </c>
      <c r="F15112" s="51">
        <f>VLOOKUP(A15112,'[1]Componentes APUs'!$H$1:$L$25,5,0)</f>
        <v>46385.71428571429</v>
      </c>
      <c r="G15112" s="51">
        <f>ROUNDUP((E15112+F15112)*C15112/E15093,0)</f>
        <v>0</v>
      </c>
    </row>
    <row r="15113" spans="1:7" x14ac:dyDescent="0.25">
      <c r="A15113" s="50" t="s">
        <v>1121</v>
      </c>
      <c r="B15113" s="68" t="str">
        <f>VLOOKUP(A15113,'[1]Componentes APUs'!$H$1:$L$25,2,0)</f>
        <v>Ingeniero Especialista de Control y Protección Subestación</v>
      </c>
      <c r="C15113" s="93">
        <v>1</v>
      </c>
      <c r="D15113" s="50">
        <f>VLOOKUP(A15113,'[1]Componentes APUs'!$H$1:$L$25,3,0)</f>
        <v>14</v>
      </c>
      <c r="E15113" s="51">
        <f>VLOOKUP(A15113,'[1]Componentes APUs'!$H$1:$L$25,4,0)</f>
        <v>949000</v>
      </c>
      <c r="F15113" s="51">
        <f>VLOOKUP(A15113,'[1]Componentes APUs'!$H$1:$L$25,5,0)</f>
        <v>569400</v>
      </c>
      <c r="G15113" s="51">
        <f>ROUNDUP((E15113+F15113)*C15113/E15093,0)</f>
        <v>1518400</v>
      </c>
    </row>
    <row r="15114" spans="1:7" x14ac:dyDescent="0.25">
      <c r="A15114" s="219" t="s">
        <v>56</v>
      </c>
      <c r="B15114" s="219"/>
      <c r="C15114" s="219"/>
      <c r="D15114" s="219"/>
      <c r="E15114" s="219"/>
      <c r="F15114" s="219"/>
      <c r="G15114" s="52">
        <f>SUM(G15107:G15113)</f>
        <v>2189941</v>
      </c>
    </row>
    <row r="15115" spans="1:7" x14ac:dyDescent="0.25">
      <c r="A15115" s="56"/>
      <c r="B15115" s="57"/>
      <c r="C15115" s="57"/>
      <c r="D15115" s="57"/>
      <c r="E15115" s="57"/>
      <c r="F15115" s="57"/>
      <c r="G15115" s="58"/>
    </row>
    <row r="15116" spans="1:7" x14ac:dyDescent="0.25">
      <c r="A15116" s="219" t="s">
        <v>57</v>
      </c>
      <c r="B15116" s="219"/>
      <c r="C15116" s="219"/>
      <c r="D15116" s="219"/>
      <c r="E15116" s="219"/>
      <c r="F15116" s="219"/>
      <c r="G15116" s="219"/>
    </row>
    <row r="15117" spans="1:7" x14ac:dyDescent="0.25">
      <c r="A15117" s="49" t="s">
        <v>35</v>
      </c>
      <c r="B15117" s="219" t="s">
        <v>36</v>
      </c>
      <c r="C15117" s="219"/>
      <c r="D15117" s="49" t="s">
        <v>37</v>
      </c>
      <c r="E15117" s="49" t="s">
        <v>38</v>
      </c>
      <c r="F15117" s="49" t="s">
        <v>39</v>
      </c>
      <c r="G15117" s="49" t="s">
        <v>40</v>
      </c>
    </row>
    <row r="15118" spans="1:7" x14ac:dyDescent="0.25">
      <c r="A15118" s="50" t="s">
        <v>326</v>
      </c>
      <c r="B15118" s="220" t="str">
        <f>VLOOKUP(A15118,'[1]Componentes APUs'!$S$1:$V$10,2,0)</f>
        <v>Juego Llaves</v>
      </c>
      <c r="C15118" s="220"/>
      <c r="D15118" s="50" t="s">
        <v>18</v>
      </c>
      <c r="E15118" s="50">
        <v>2</v>
      </c>
      <c r="F15118" s="51">
        <f>VLOOKUP(A15118,'[1]Componentes APUs'!$S$1:$V$10,4,0)</f>
        <v>9167</v>
      </c>
      <c r="G15118" s="51">
        <f>ROUNDUP(F15118*((E15118/21)/E15093),0)</f>
        <v>874</v>
      </c>
    </row>
    <row r="15119" spans="1:7" x14ac:dyDescent="0.25">
      <c r="A15119" s="50" t="s">
        <v>58</v>
      </c>
      <c r="B15119" s="220" t="str">
        <f>VLOOKUP(A15119,'[1]Componentes APUs'!$S$1:$V$10,2,0)</f>
        <v>Manila de servicio</v>
      </c>
      <c r="C15119" s="220"/>
      <c r="D15119" s="50" t="s">
        <v>18</v>
      </c>
      <c r="E15119" s="50">
        <v>2</v>
      </c>
      <c r="F15119" s="51">
        <f>VLOOKUP(A15119,'[1]Componentes APUs'!$S$1:$V$10,4,0)</f>
        <v>2333</v>
      </c>
      <c r="G15119" s="51">
        <f>ROUNDUP(F15119*((E15119/21)/E15093),0)</f>
        <v>223</v>
      </c>
    </row>
    <row r="15120" spans="1:7" x14ac:dyDescent="0.25">
      <c r="A15120" s="50" t="s">
        <v>327</v>
      </c>
      <c r="B15120" s="220" t="str">
        <f>VLOOKUP(A15120,'[1]Componentes APUs'!$S$1:$V$10,2,0)</f>
        <v>Tula portaherramientas</v>
      </c>
      <c r="C15120" s="220"/>
      <c r="D15120" s="50" t="s">
        <v>18</v>
      </c>
      <c r="E15120" s="50">
        <v>2</v>
      </c>
      <c r="F15120" s="51">
        <f>VLOOKUP(A15120,'[1]Componentes APUs'!$S$1:$V$10,4,0)</f>
        <v>1250</v>
      </c>
      <c r="G15120" s="51">
        <f>ROUNDUP(F15120*((E15120/21)/E15093),0)</f>
        <v>120</v>
      </c>
    </row>
    <row r="15121" spans="1:7" x14ac:dyDescent="0.25">
      <c r="A15121" s="50" t="s">
        <v>60</v>
      </c>
      <c r="B15121" s="220" t="str">
        <f>VLOOKUP(A15121,'[1]Componentes APUs'!$S$1:$V$10,2,0)</f>
        <v>Agarradoras</v>
      </c>
      <c r="C15121" s="220"/>
      <c r="D15121" s="50" t="s">
        <v>18</v>
      </c>
      <c r="E15121" s="50">
        <v>0</v>
      </c>
      <c r="F15121" s="51">
        <f>VLOOKUP(A15121,'[1]Componentes APUs'!$S$1:$V$10,4,0)</f>
        <v>125000</v>
      </c>
      <c r="G15121" s="51">
        <f>ROUNDUP(F15121*((E15121/21)/E15093),0)</f>
        <v>0</v>
      </c>
    </row>
    <row r="15122" spans="1:7" x14ac:dyDescent="0.25">
      <c r="A15122" s="50" t="s">
        <v>62</v>
      </c>
      <c r="B15122" s="220" t="str">
        <f>VLOOKUP(A15122,'[1]Componentes APUs'!$S$1:$V$10,2,0)</f>
        <v>Templadoras</v>
      </c>
      <c r="C15122" s="220"/>
      <c r="D15122" s="50" t="s">
        <v>18</v>
      </c>
      <c r="E15122" s="50">
        <v>0</v>
      </c>
      <c r="F15122" s="51">
        <f>VLOOKUP(A15122,'[1]Componentes APUs'!$S$1:$V$10,4,0)</f>
        <v>250000</v>
      </c>
      <c r="G15122" s="51">
        <f>ROUNDUP(F15122*((E15122/21)/E15093),0)</f>
        <v>0</v>
      </c>
    </row>
    <row r="15123" spans="1:7" x14ac:dyDescent="0.25">
      <c r="A15123" s="50" t="s">
        <v>328</v>
      </c>
      <c r="B15123" s="220" t="str">
        <f>VLOOKUP(A15123,'[1]Componentes APUs'!$S$1:$V$10,2,0)</f>
        <v>Herramienta Menor</v>
      </c>
      <c r="C15123" s="220"/>
      <c r="D15123" s="50" t="s">
        <v>18</v>
      </c>
      <c r="E15123" s="50">
        <v>2</v>
      </c>
      <c r="F15123" s="51">
        <f>VLOOKUP(A15123,'[1]Componentes APUs'!$S$1:$V$10,4,0)</f>
        <v>75758</v>
      </c>
      <c r="G15123" s="51">
        <f>ROUNDUP(F15123*((E15123/21)/E15093),0)</f>
        <v>7216</v>
      </c>
    </row>
    <row r="15124" spans="1:7" x14ac:dyDescent="0.25">
      <c r="A15124" s="219" t="s">
        <v>69</v>
      </c>
      <c r="B15124" s="219"/>
      <c r="C15124" s="219"/>
      <c r="D15124" s="219"/>
      <c r="E15124" s="219"/>
      <c r="F15124" s="219"/>
      <c r="G15124" s="52">
        <f>SUM(G15118:G15123)</f>
        <v>8433</v>
      </c>
    </row>
    <row r="15125" spans="1:7" x14ac:dyDescent="0.25">
      <c r="A15125" s="56"/>
      <c r="B15125" s="57"/>
      <c r="C15125" s="57"/>
      <c r="D15125" s="57"/>
      <c r="E15125" s="57"/>
      <c r="F15125" s="57"/>
      <c r="G15125" s="58"/>
    </row>
    <row r="15126" spans="1:7" x14ac:dyDescent="0.25">
      <c r="A15126" s="219" t="s">
        <v>70</v>
      </c>
      <c r="B15126" s="219"/>
      <c r="C15126" s="219"/>
      <c r="D15126" s="219"/>
      <c r="E15126" s="219"/>
      <c r="F15126" s="219"/>
      <c r="G15126" s="219"/>
    </row>
    <row r="15127" spans="1:7" x14ac:dyDescent="0.25">
      <c r="A15127" s="49" t="s">
        <v>35</v>
      </c>
      <c r="B15127" s="219" t="s">
        <v>36</v>
      </c>
      <c r="C15127" s="219"/>
      <c r="D15127" s="49" t="s">
        <v>37</v>
      </c>
      <c r="E15127" s="49" t="s">
        <v>38</v>
      </c>
      <c r="F15127" s="49" t="s">
        <v>39</v>
      </c>
      <c r="G15127" s="49" t="s">
        <v>40</v>
      </c>
    </row>
    <row r="15128" spans="1:7" x14ac:dyDescent="0.25">
      <c r="A15128" s="50" t="s">
        <v>71</v>
      </c>
      <c r="B15128" s="71" t="str">
        <f>VLOOKUP(A15128,'[1]Componentes APUs'!$A$1:$D$14,2,0)</f>
        <v>Camisa indigo sin partes metalicas</v>
      </c>
      <c r="C15128" s="71"/>
      <c r="D15128" s="50" t="str">
        <f>VLOOKUP(A15128,'[1]Componentes APUs'!$A$1:$D$14,3,0)</f>
        <v>U</v>
      </c>
      <c r="E15128" s="50">
        <f>SUM(C15107:C15113)</f>
        <v>3.75</v>
      </c>
      <c r="F15128" s="51">
        <f>VLOOKUP(A15128,'[1]Componentes APUs'!$A$1:$D$14,4,0)</f>
        <v>8585.8585858585866</v>
      </c>
      <c r="G15128" s="51">
        <f>ROUNDUP(F15128*(E15128/21)/E15093,0)</f>
        <v>1534</v>
      </c>
    </row>
    <row r="15129" spans="1:7" x14ac:dyDescent="0.25">
      <c r="A15129" s="69" t="s">
        <v>73</v>
      </c>
      <c r="B15129" s="72" t="str">
        <f>VLOOKUP(A15129,'[1]Componentes APUs'!$A$1:$D$14,2,0)</f>
        <v>Bota de seguridad dielectrica</v>
      </c>
      <c r="C15129" s="73"/>
      <c r="D15129" s="70" t="str">
        <f>VLOOKUP(A15129,'[1]Componentes APUs'!$A$1:$D$14,3,0)</f>
        <v>Par</v>
      </c>
      <c r="E15129" s="50">
        <f>SUM(C15107:C15113)</f>
        <v>3.75</v>
      </c>
      <c r="F15129" s="51">
        <f>VLOOKUP(A15129,'[1]Componentes APUs'!$A$1:$D$14,4,0)</f>
        <v>7500</v>
      </c>
      <c r="G15129" s="51">
        <f>ROUNDUP(F15129*(E15129/21)/E15093,0)</f>
        <v>1340</v>
      </c>
    </row>
    <row r="15130" spans="1:7" x14ac:dyDescent="0.25">
      <c r="A15130" s="50" t="s">
        <v>76</v>
      </c>
      <c r="B15130" s="72" t="str">
        <f>VLOOKUP(A15130,'[1]Componentes APUs'!$A$1:$D$14,2,0)</f>
        <v>Casco dielectrico Tipo 1 Clase E con barbuquejo</v>
      </c>
      <c r="C15130" s="73"/>
      <c r="D15130" s="50" t="str">
        <f>VLOOKUP(A15130,'[1]Componentes APUs'!$A$1:$D$14,3,0)</f>
        <v>U</v>
      </c>
      <c r="E15130" s="50">
        <f>C15113+C15108+C15111+C15112+C15107+C15110+IF(A15109&lt;&gt;"MO-3",C15109,0)</f>
        <v>2.75</v>
      </c>
      <c r="F15130" s="51">
        <f>VLOOKUP(A15130,'[1]Componentes APUs'!$A$1:$D$14,4,0)</f>
        <v>10101.010101010101</v>
      </c>
      <c r="G15130" s="51">
        <f>ROUNDUP(F15130*(E15130/21)/E15093,0)</f>
        <v>1323</v>
      </c>
    </row>
    <row r="15131" spans="1:7" x14ac:dyDescent="0.25">
      <c r="A15131" s="69" t="s">
        <v>77</v>
      </c>
      <c r="B15131" s="72" t="str">
        <f>VLOOKUP(A15131,'[1]Componentes APUs'!$A$1:$D$14,2,0)</f>
        <v>Correa plastica y antiflama</v>
      </c>
      <c r="C15131" s="73"/>
      <c r="D15131" s="50" t="str">
        <f>VLOOKUP(A15131,'[1]Componentes APUs'!$A$1:$D$14,3,0)</f>
        <v>U</v>
      </c>
      <c r="E15131" s="50">
        <f>SUM(C15107:C15113)</f>
        <v>3.75</v>
      </c>
      <c r="F15131" s="51">
        <f>VLOOKUP(A15131,'[1]Componentes APUs'!$A$1:$D$14,4,0)</f>
        <v>3787.878787878788</v>
      </c>
      <c r="G15131" s="51">
        <f>ROUNDUP(F15131*(E15131/21)/E15093,0)</f>
        <v>677</v>
      </c>
    </row>
    <row r="15132" spans="1:7" x14ac:dyDescent="0.25">
      <c r="A15132" s="50" t="s">
        <v>79</v>
      </c>
      <c r="B15132" s="72" t="str">
        <f>VLOOKUP(A15132,'[1]Componentes APUs'!$A$1:$D$14,2,0)</f>
        <v>Gafas protectoras filtro UV</v>
      </c>
      <c r="C15132" s="73"/>
      <c r="D15132" s="50" t="str">
        <f>VLOOKUP(A15132,'[1]Componentes APUs'!$A$1:$D$14,3,0)</f>
        <v>U</v>
      </c>
      <c r="E15132" s="50">
        <f>SUM(C15107:C15113)</f>
        <v>3.75</v>
      </c>
      <c r="F15132" s="51">
        <f>VLOOKUP(A15132,'[1]Componentes APUs'!$A$1:$D$14,4,0)</f>
        <v>2777.7777777777778</v>
      </c>
      <c r="G15132" s="51">
        <f>ROUNDUP(F15132*(E15132/21)/E15093,0)</f>
        <v>497</v>
      </c>
    </row>
    <row r="15133" spans="1:7" x14ac:dyDescent="0.25">
      <c r="A15133" s="69" t="s">
        <v>402</v>
      </c>
      <c r="B15133" s="72" t="str">
        <f>VLOOKUP(A15133,'[1]Componentes APUs'!$A$1:$D$14,2,0)</f>
        <v>Bota de seguridad PVC dielectrica</v>
      </c>
      <c r="C15133" s="73"/>
      <c r="D15133" s="50" t="str">
        <f>VLOOKUP(A15133,'[1]Componentes APUs'!$A$1:$D$14,3,0)</f>
        <v>Par</v>
      </c>
      <c r="E15133" s="50">
        <f>SUM(C15107:C15113)</f>
        <v>3.75</v>
      </c>
      <c r="F15133" s="51">
        <f>VLOOKUP(A15133,'[1]Componentes APUs'!$A$1:$D$14,4,0)</f>
        <v>2916.6666666666665</v>
      </c>
      <c r="G15133" s="51">
        <f>ROUNDUP(F15133*(E15133/21)/E15093,0)</f>
        <v>521</v>
      </c>
    </row>
    <row r="15134" spans="1:7" x14ac:dyDescent="0.25">
      <c r="A15134" s="50" t="s">
        <v>403</v>
      </c>
      <c r="B15134" s="72" t="str">
        <f>VLOOKUP(A15134,'[1]Componentes APUs'!$A$1:$D$14,2,0)</f>
        <v>Capuchon</v>
      </c>
      <c r="C15134" s="73"/>
      <c r="D15134" s="50" t="str">
        <f>VLOOKUP(A15134,'[1]Componentes APUs'!$A$1:$D$14,3,0)</f>
        <v>U</v>
      </c>
      <c r="E15134" s="50">
        <f>SUM(C15107:C15113)</f>
        <v>3.75</v>
      </c>
      <c r="F15134" s="51">
        <f>VLOOKUP(A15134,'[1]Componentes APUs'!$A$1:$D$14,4,0)</f>
        <v>2525.2525252525252</v>
      </c>
      <c r="G15134" s="51">
        <f>ROUNDUP(F15134*(E15134/21)/E15093,0)</f>
        <v>451</v>
      </c>
    </row>
    <row r="15135" spans="1:7" x14ac:dyDescent="0.25">
      <c r="A15135" s="69" t="s">
        <v>81</v>
      </c>
      <c r="B15135" s="72" t="str">
        <f>VLOOKUP(A15135,'[1]Componentes APUs'!$A$1:$D$14,2,0)</f>
        <v>Guantes Protectores  - ingeniero reforzados</v>
      </c>
      <c r="C15135" s="73"/>
      <c r="D15135" s="50" t="str">
        <f>VLOOKUP(A15135,'[1]Componentes APUs'!$A$1:$D$14,3,0)</f>
        <v>Par</v>
      </c>
      <c r="E15135" s="50">
        <f>C15109+C15110+C15112</f>
        <v>2</v>
      </c>
      <c r="F15135" s="51">
        <f>VLOOKUP(A15135,'[1]Componentes APUs'!$A$1:$D$14,4,0)</f>
        <v>2525.2525252525252</v>
      </c>
      <c r="G15135" s="51">
        <f>ROUNDUP(F15135*(E15135/21)/E15093,0)</f>
        <v>241</v>
      </c>
    </row>
    <row r="15136" spans="1:7" x14ac:dyDescent="0.25">
      <c r="A15136" s="50" t="s">
        <v>83</v>
      </c>
      <c r="B15136" s="72" t="str">
        <f>VLOOKUP(A15136,'[1]Componentes APUs'!$A$1:$D$14,2,0)</f>
        <v>Impermeable (pantalon camisa)</v>
      </c>
      <c r="C15136" s="73"/>
      <c r="D15136" s="50" t="str">
        <f>VLOOKUP(A15136,'[1]Componentes APUs'!$A$1:$D$14,3,0)</f>
        <v>U</v>
      </c>
      <c r="E15136" s="50">
        <f>SUM(C15107:C15113)</f>
        <v>3.75</v>
      </c>
      <c r="F15136" s="51">
        <f>VLOOKUP(A15136,'[1]Componentes APUs'!$A$1:$D$14,4,0)</f>
        <v>3750</v>
      </c>
      <c r="G15136" s="51">
        <f>ROUNDUP(F15136*(E15136/21)/E15093,0)</f>
        <v>670</v>
      </c>
    </row>
    <row r="15137" spans="1:7" x14ac:dyDescent="0.25">
      <c r="A15137" s="69" t="s">
        <v>85</v>
      </c>
      <c r="B15137" s="72" t="str">
        <f>VLOOKUP(A15137,'[1]Componentes APUs'!$A$1:$D$14,2,0)</f>
        <v>Jean Dielectrico</v>
      </c>
      <c r="C15137" s="73"/>
      <c r="D15137" s="50" t="str">
        <f>VLOOKUP(A15137,'[1]Componentes APUs'!$A$1:$D$14,3,0)</f>
        <v>U</v>
      </c>
      <c r="E15137" s="50">
        <f>SUM(C15107:C15113)</f>
        <v>3.75</v>
      </c>
      <c r="F15137" s="51">
        <f>VLOOKUP(A15137,'[1]Componentes APUs'!$A$1:$D$14,4,0)</f>
        <v>7575.757575757576</v>
      </c>
      <c r="G15137" s="51">
        <f>ROUNDUP(F15137*(E15137/21)/E15093,0)</f>
        <v>1353</v>
      </c>
    </row>
    <row r="15138" spans="1:7" x14ac:dyDescent="0.25">
      <c r="A15138" s="50" t="s">
        <v>87</v>
      </c>
      <c r="B15138" s="72" t="str">
        <f>VLOOKUP(A15138,'[1]Componentes APUs'!$A$1:$D$14,2,0)</f>
        <v>Casco dielectrico Tipo 2 Clase E con barboquejo</v>
      </c>
      <c r="C15138" s="73"/>
      <c r="D15138" s="50" t="str">
        <f>VLOOKUP(A15138,'[1]Componentes APUs'!$A$1:$D$14,3,0)</f>
        <v>U</v>
      </c>
      <c r="E15138" s="53">
        <f>IF(A15109="MO-3",C15109,0)</f>
        <v>1</v>
      </c>
      <c r="F15138" s="51">
        <f>VLOOKUP(A15138,'[1]Componentes APUs'!$A$1:$D$14,4,0)</f>
        <v>7500</v>
      </c>
      <c r="G15138" s="51">
        <f>ROUNDUP(F15138*(E15138/21)/E15093,0)</f>
        <v>358</v>
      </c>
    </row>
    <row r="15139" spans="1:7" x14ac:dyDescent="0.25">
      <c r="A15139" s="69" t="s">
        <v>89</v>
      </c>
      <c r="B15139" s="72" t="str">
        <f>VLOOKUP(A15139,'[1]Componentes APUs'!$A$1:$D$14,2,0)</f>
        <v>Kit de rescate para trabajo en alturas</v>
      </c>
      <c r="C15139" s="73"/>
      <c r="D15139" s="50" t="str">
        <f>VLOOKUP(A15139,'[1]Componentes APUs'!$A$1:$D$14,3,0)</f>
        <v>U</v>
      </c>
      <c r="E15139" s="50">
        <f>IF(AND(A15109="MO-3",C15109=2),1,0)</f>
        <v>0</v>
      </c>
      <c r="F15139" s="51">
        <f>VLOOKUP(A15139,'[1]Componentes APUs'!$A$1:$D$14,4,0)</f>
        <v>37500</v>
      </c>
      <c r="G15139" s="51">
        <f>ROUNDUP(F15139*(E15139/21)/E15093,0)</f>
        <v>0</v>
      </c>
    </row>
    <row r="15140" spans="1:7" x14ac:dyDescent="0.25">
      <c r="A15140" s="50" t="s">
        <v>91</v>
      </c>
      <c r="B15140" s="72" t="str">
        <f>VLOOKUP(A15140,'[1]Componentes APUs'!$A$1:$D$14,2,0)</f>
        <v>Equipo completo para trabajo en alturas con pretales (Arnes dielectrico, 1 mosqueton de seguridad, tie off dielectrico, eslinga de posicionamiento, juego de pretales)</v>
      </c>
      <c r="C15140" s="73"/>
      <c r="D15140" s="50" t="str">
        <f>VLOOKUP(A15140,'[1]Componentes APUs'!$A$1:$D$14,3,0)</f>
        <v>U</v>
      </c>
      <c r="E15140" s="50">
        <f>IF(A15109="MO-3",C15109,0)</f>
        <v>1</v>
      </c>
      <c r="F15140" s="51">
        <f>VLOOKUP(A15140,'[1]Componentes APUs'!$A$1:$D$14,4,0)</f>
        <v>26041.666666666668</v>
      </c>
      <c r="G15140" s="51">
        <f>ROUNDUP(F15140*(E15140/21)/E15093,0)</f>
        <v>1241</v>
      </c>
    </row>
    <row r="15141" spans="1:7" x14ac:dyDescent="0.25">
      <c r="A15141" s="219" t="s">
        <v>95</v>
      </c>
      <c r="B15141" s="219"/>
      <c r="C15141" s="219"/>
      <c r="D15141" s="219"/>
      <c r="E15141" s="219"/>
      <c r="F15141" s="219"/>
      <c r="G15141" s="52">
        <f>SUM(G15128:G15140)</f>
        <v>10206</v>
      </c>
    </row>
    <row r="15142" spans="1:7" x14ac:dyDescent="0.25">
      <c r="A15142" s="56"/>
      <c r="B15142" s="57"/>
      <c r="C15142" s="57"/>
      <c r="D15142" s="57"/>
      <c r="E15142" s="57"/>
      <c r="F15142" s="57"/>
      <c r="G15142" s="58"/>
    </row>
    <row r="15143" spans="1:7" x14ac:dyDescent="0.25">
      <c r="A15143" s="219" t="s">
        <v>96</v>
      </c>
      <c r="B15143" s="219"/>
      <c r="C15143" s="219"/>
      <c r="D15143" s="219"/>
      <c r="E15143" s="219"/>
      <c r="F15143" s="219"/>
      <c r="G15143" s="219"/>
    </row>
    <row r="15144" spans="1:7" x14ac:dyDescent="0.25">
      <c r="A15144" s="49" t="s">
        <v>35</v>
      </c>
      <c r="B15144" s="225" t="s">
        <v>36</v>
      </c>
      <c r="C15144" s="225"/>
      <c r="D15144" s="49" t="s">
        <v>37</v>
      </c>
      <c r="E15144" s="49" t="s">
        <v>38</v>
      </c>
      <c r="F15144" s="49" t="s">
        <v>39</v>
      </c>
      <c r="G15144" s="49" t="s">
        <v>40</v>
      </c>
    </row>
    <row r="15145" spans="1:7" x14ac:dyDescent="0.25">
      <c r="A15145" s="69" t="s">
        <v>97</v>
      </c>
      <c r="B15145" s="72" t="str">
        <f>VLOOKUP(A15145,'[1]Componentes APUs'!$N$1:$Q$30,2,0)</f>
        <v>Camioneta</v>
      </c>
      <c r="C15145" s="73"/>
      <c r="D15145" s="70" t="str">
        <f>VLOOKUP(A15145,'[1]Componentes APUs'!$N$1:$Q$30,3,0)</f>
        <v>U</v>
      </c>
      <c r="E15145" s="50">
        <v>1</v>
      </c>
      <c r="F15145" s="51">
        <f>VLOOKUP(A15145,'[1]Componentes APUs'!$N$1:$Q$30,4,0)</f>
        <v>5500000</v>
      </c>
      <c r="G15145" s="51">
        <f>IFERROR(ROUNDUP(F15145*(E15145/21)/E15093,0),"-")</f>
        <v>261905</v>
      </c>
    </row>
    <row r="15146" spans="1:7" x14ac:dyDescent="0.25">
      <c r="A15146" s="50" t="s">
        <v>321</v>
      </c>
      <c r="B15146" s="72" t="str">
        <f>VLOOKUP(A15146,'[1]Componentes APUs'!$N$1:$Q$30,2,0)</f>
        <v>Grúa Hidráulica</v>
      </c>
      <c r="C15146" s="73"/>
      <c r="D15146" s="70" t="str">
        <f>VLOOKUP(A15146,'[1]Componentes APUs'!$N$1:$Q$30,3,0)</f>
        <v>U</v>
      </c>
      <c r="E15146" s="50">
        <v>0</v>
      </c>
      <c r="F15146" s="51">
        <f>VLOOKUP(A15146,'[1]Componentes APUs'!$N$1:$Q$30,4,0)</f>
        <v>21000000</v>
      </c>
      <c r="G15146" s="51">
        <f>IFERROR(ROUNDUP(F15146*(E15146/21)/E15093,0),"-")</f>
        <v>0</v>
      </c>
    </row>
    <row r="15147" spans="1:7" x14ac:dyDescent="0.25">
      <c r="A15147" s="219" t="s">
        <v>99</v>
      </c>
      <c r="B15147" s="219"/>
      <c r="C15147" s="219"/>
      <c r="D15147" s="219"/>
      <c r="E15147" s="219"/>
      <c r="F15147" s="219"/>
      <c r="G15147" s="52">
        <f>SUM(G15145:G15146)</f>
        <v>261905</v>
      </c>
    </row>
    <row r="15148" spans="1:7" x14ac:dyDescent="0.25">
      <c r="A15148" s="56"/>
      <c r="B15148" s="57"/>
      <c r="C15148" s="57"/>
      <c r="D15148" s="57"/>
      <c r="E15148" s="57"/>
      <c r="F15148" s="57"/>
      <c r="G15148" s="58"/>
    </row>
    <row r="15149" spans="1:7" x14ac:dyDescent="0.25">
      <c r="A15149" s="219" t="s">
        <v>1516</v>
      </c>
      <c r="B15149" s="219"/>
      <c r="C15149" s="219"/>
      <c r="D15149" s="219"/>
      <c r="E15149" s="219"/>
      <c r="F15149" s="219"/>
      <c r="G15149" s="52">
        <f>G15147+G15141+G15124+G15114+G15103</f>
        <v>12437343</v>
      </c>
    </row>
    <row r="15150" spans="1:7" x14ac:dyDescent="0.25">
      <c r="A15150" s="59"/>
      <c r="B15150" s="60"/>
      <c r="C15150" s="60"/>
      <c r="D15150" s="60"/>
      <c r="E15150" s="57"/>
      <c r="F15150" s="57"/>
      <c r="G15150" s="58"/>
    </row>
    <row r="15151" spans="1:7" x14ac:dyDescent="0.25">
      <c r="A15151" s="64"/>
      <c r="D15151" s="55"/>
      <c r="E15151" s="49" t="s">
        <v>25</v>
      </c>
      <c r="F15151" s="54">
        <v>0.15</v>
      </c>
      <c r="G15151" s="51">
        <f>G15149*F15151</f>
        <v>1865601.45</v>
      </c>
    </row>
    <row r="15152" spans="1:7" x14ac:dyDescent="0.25">
      <c r="A15152" s="64"/>
      <c r="D15152" s="55"/>
      <c r="E15152" s="49" t="s">
        <v>26</v>
      </c>
      <c r="F15152" s="54">
        <v>0.05</v>
      </c>
      <c r="G15152" s="51">
        <f>G15149*F15152</f>
        <v>621867.15</v>
      </c>
    </row>
    <row r="15153" spans="1:7" x14ac:dyDescent="0.25">
      <c r="A15153" s="61"/>
      <c r="B15153" s="65"/>
      <c r="C15153" s="65"/>
      <c r="D15153" s="62"/>
      <c r="E15153" s="49" t="s">
        <v>27</v>
      </c>
      <c r="F15153" s="54">
        <v>0.05</v>
      </c>
      <c r="G15153" s="51">
        <f>G15149*F15153</f>
        <v>621867.15</v>
      </c>
    </row>
    <row r="15154" spans="1:7" x14ac:dyDescent="0.25">
      <c r="A15154" s="61"/>
      <c r="B15154" s="62"/>
      <c r="C15154" s="62"/>
      <c r="D15154" s="62"/>
      <c r="E15154" s="62"/>
      <c r="F15154" s="62"/>
      <c r="G15154" s="63"/>
    </row>
    <row r="15155" spans="1:7" x14ac:dyDescent="0.25">
      <c r="A15155" s="219" t="s">
        <v>1517</v>
      </c>
      <c r="B15155" s="219"/>
      <c r="C15155" s="219"/>
      <c r="D15155" s="219"/>
      <c r="E15155" s="219"/>
      <c r="F15155" s="219"/>
      <c r="G15155" s="52">
        <f>G15149+G15151+G15152+G15153</f>
        <v>15546678.75</v>
      </c>
    </row>
    <row r="15156" spans="1:7" x14ac:dyDescent="0.25">
      <c r="A15156" s="59"/>
      <c r="B15156" s="60"/>
      <c r="C15156" s="60"/>
      <c r="D15156" s="60"/>
      <c r="E15156" s="57"/>
      <c r="F15156" s="57"/>
      <c r="G15156" s="58"/>
    </row>
    <row r="15157" spans="1:7" x14ac:dyDescent="0.25">
      <c r="A15157" s="64"/>
      <c r="D15157" s="55"/>
      <c r="E15157" s="49" t="s">
        <v>102</v>
      </c>
      <c r="F15157" s="49" t="s">
        <v>103</v>
      </c>
      <c r="G15157" s="51">
        <f>G15153*19%</f>
        <v>118154.75850000001</v>
      </c>
    </row>
    <row r="15158" spans="1:7" x14ac:dyDescent="0.25">
      <c r="A15158" s="61"/>
      <c r="B15158" s="62"/>
      <c r="C15158" s="62"/>
      <c r="D15158" s="62"/>
      <c r="E15158" s="57"/>
      <c r="F15158" s="57"/>
      <c r="G15158" s="58"/>
    </row>
    <row r="15159" spans="1:7" x14ac:dyDescent="0.25">
      <c r="A15159" s="219" t="s">
        <v>104</v>
      </c>
      <c r="B15159" s="219"/>
      <c r="C15159" s="219"/>
      <c r="D15159" s="219"/>
      <c r="E15159" s="219"/>
      <c r="F15159" s="219"/>
      <c r="G15159" s="52">
        <f>G15157+G15155</f>
        <v>15664833.5085</v>
      </c>
    </row>
    <row r="15161" spans="1:7" x14ac:dyDescent="0.25">
      <c r="A15161" s="74" t="s">
        <v>29</v>
      </c>
      <c r="B15161" s="226" t="s">
        <v>30</v>
      </c>
      <c r="C15161" s="226"/>
      <c r="D15161" s="74" t="s">
        <v>31</v>
      </c>
      <c r="E15161" s="74" t="s">
        <v>32</v>
      </c>
      <c r="F15161" s="74" t="s">
        <v>189</v>
      </c>
      <c r="G15161" s="74" t="s">
        <v>33</v>
      </c>
    </row>
    <row r="15162" spans="1:7" ht="40.5" customHeight="1" x14ac:dyDescent="0.25">
      <c r="A15162" s="50" t="str">
        <f>Presupuesto!B283</f>
        <v>028_N2</v>
      </c>
      <c r="B15162" s="220" t="str">
        <f>Presupuesto!C283</f>
        <v>SUMINISTRO E INSTALACIÓN DE CABLE CABLE 3X250 kcmil -  MV-105 XLPE – 15 kV – Cu – 133 % - Monopolar - Pantalla en Cinta de Cu FR-SR/PVC  INCLUYE TERMINALES PREMOLDEADOS</v>
      </c>
      <c r="C15162" s="220"/>
      <c r="D15162" s="50" t="s">
        <v>108</v>
      </c>
      <c r="E15162" s="93">
        <v>35</v>
      </c>
      <c r="F15162" s="50"/>
      <c r="G15162" s="51">
        <f>G15229</f>
        <v>1011833.1795000001</v>
      </c>
    </row>
    <row r="15163" spans="1:7" x14ac:dyDescent="0.25">
      <c r="A15163" s="219" t="s">
        <v>34</v>
      </c>
      <c r="B15163" s="219"/>
      <c r="C15163" s="219"/>
      <c r="D15163" s="219"/>
      <c r="E15163" s="219"/>
      <c r="F15163" s="219"/>
      <c r="G15163" s="219"/>
    </row>
    <row r="15164" spans="1:7" x14ac:dyDescent="0.25">
      <c r="A15164" s="49" t="s">
        <v>35</v>
      </c>
      <c r="B15164" s="219" t="s">
        <v>36</v>
      </c>
      <c r="C15164" s="219"/>
      <c r="D15164" s="49" t="s">
        <v>37</v>
      </c>
      <c r="E15164" s="49" t="s">
        <v>38</v>
      </c>
      <c r="F15164" s="49" t="s">
        <v>39</v>
      </c>
      <c r="G15164" s="49" t="s">
        <v>40</v>
      </c>
    </row>
    <row r="15165" spans="1:7" x14ac:dyDescent="0.25">
      <c r="A15165" s="17" t="str">
        <f>Material!A412</f>
        <v>MA-411</v>
      </c>
      <c r="B15165" s="72" t="str">
        <f>IFERROR(VLOOKUP(A15165,Material!$A:$H,2,0),"-")</f>
        <v>CABLE 250 KCMIL Cu XLPE 15KV</v>
      </c>
      <c r="C15165" s="73"/>
      <c r="D15165" s="50" t="str">
        <f>IFERROR(VLOOKUP(A15165,Material!$A:$H,4,0),"-")</f>
        <v>ML</v>
      </c>
      <c r="E15165" s="50">
        <v>3</v>
      </c>
      <c r="F15165" s="51">
        <f>IFERROR(VLOOKUP(A15165,Material!$A:$H,3,0),"-")</f>
        <v>242060.27999999997</v>
      </c>
      <c r="G15165" s="51">
        <f t="shared" ref="G15165:G15168" si="215">IFERROR(ROUNDUP(F15165*E15165,0),"-")</f>
        <v>726181</v>
      </c>
    </row>
    <row r="15166" spans="1:7" ht="24" customHeight="1" x14ac:dyDescent="0.25">
      <c r="A15166" s="17" t="str">
        <f>Material!A445</f>
        <v>MA-444</v>
      </c>
      <c r="B15166" s="221" t="str">
        <f>IFERROR(VLOOKUP(A15166,Material!$A:$H,2,0),"-")</f>
        <v>TERMINALES PREMOLDEADAS PARA 15 KV-USO EXTERIOR PARA CALIBRES DE CABLE ENTRE 250-500</v>
      </c>
      <c r="C15166" s="222"/>
      <c r="D15166" s="50" t="str">
        <f>IFERROR(VLOOKUP(A15166,Material!$A:$H,4,0),"-")</f>
        <v>UN</v>
      </c>
      <c r="E15166" s="107">
        <f>(24/160)</f>
        <v>0.15</v>
      </c>
      <c r="F15166" s="51">
        <f>IFERROR(VLOOKUP(A15166,Material!$A:$H,3,0),"-")</f>
        <v>249448.33333333334</v>
      </c>
      <c r="G15166" s="51">
        <f t="shared" si="215"/>
        <v>37418</v>
      </c>
    </row>
    <row r="15167" spans="1:7" x14ac:dyDescent="0.25">
      <c r="A15167" s="17"/>
      <c r="B15167" s="72" t="str">
        <f>IFERROR(VLOOKUP(A15167,Material!$A:$H,2,0),"-")</f>
        <v>-</v>
      </c>
      <c r="C15167" s="73"/>
      <c r="D15167" s="50" t="str">
        <f>IFERROR(VLOOKUP(A15167,Material!$A:$H,4,0),"-")</f>
        <v>-</v>
      </c>
      <c r="E15167" s="50"/>
      <c r="F15167" s="51" t="str">
        <f>IFERROR(VLOOKUP(A15167,Material!$A:$H,3,0),"-")</f>
        <v>-</v>
      </c>
      <c r="G15167" s="51" t="str">
        <f t="shared" si="215"/>
        <v>-</v>
      </c>
    </row>
    <row r="15168" spans="1:7" x14ac:dyDescent="0.25">
      <c r="A15168" s="17"/>
      <c r="B15168" s="72" t="str">
        <f>IFERROR(VLOOKUP(A15168,Material!$A:$H,2,0),"-")</f>
        <v>-</v>
      </c>
      <c r="C15168" s="73"/>
      <c r="D15168" s="50" t="str">
        <f>IFERROR(VLOOKUP(A15168,Material!$A:$H,4,0),"-")</f>
        <v>-</v>
      </c>
      <c r="E15168" s="50"/>
      <c r="F15168" s="51" t="str">
        <f>IFERROR(VLOOKUP(A15168,Material!$A:$H,3,0),"-")</f>
        <v>-</v>
      </c>
      <c r="G15168" s="51" t="str">
        <f t="shared" si="215"/>
        <v>-</v>
      </c>
    </row>
    <row r="15169" spans="1:7" x14ac:dyDescent="0.25">
      <c r="A15169" s="219" t="s">
        <v>41</v>
      </c>
      <c r="B15169" s="219"/>
      <c r="C15169" s="219"/>
      <c r="D15169" s="219"/>
      <c r="E15169" s="219"/>
      <c r="F15169" s="219"/>
      <c r="G15169" s="52">
        <f>SUM(G15165:G15168)</f>
        <v>763599</v>
      </c>
    </row>
    <row r="15170" spans="1:7" x14ac:dyDescent="0.25">
      <c r="A15170" s="56"/>
      <c r="B15170" s="57"/>
      <c r="C15170" s="57"/>
      <c r="D15170" s="57"/>
      <c r="E15170" s="57"/>
      <c r="F15170" s="57"/>
      <c r="G15170" s="58"/>
    </row>
    <row r="15171" spans="1:7" x14ac:dyDescent="0.25">
      <c r="A15171" s="219" t="s">
        <v>42</v>
      </c>
      <c r="B15171" s="219"/>
      <c r="C15171" s="219"/>
      <c r="D15171" s="219"/>
      <c r="E15171" s="219"/>
      <c r="F15171" s="219"/>
      <c r="G15171" s="219"/>
    </row>
    <row r="15172" spans="1:7" x14ac:dyDescent="0.25">
      <c r="A15172" s="49" t="s">
        <v>35</v>
      </c>
      <c r="B15172" s="49" t="s">
        <v>36</v>
      </c>
      <c r="C15172" s="49" t="s">
        <v>38</v>
      </c>
      <c r="D15172" s="49" t="s">
        <v>43</v>
      </c>
      <c r="E15172" s="49" t="s">
        <v>44</v>
      </c>
      <c r="F15172" s="49" t="s">
        <v>45</v>
      </c>
      <c r="G15172" s="49" t="s">
        <v>40</v>
      </c>
    </row>
    <row r="15173" spans="1:7" x14ac:dyDescent="0.25">
      <c r="A15173" s="50" t="s">
        <v>319</v>
      </c>
      <c r="B15173" s="68" t="str">
        <f>VLOOKUP(A15173,'Componentes APUs'!$H$1:$L$25,2,0)</f>
        <v>Ingeniero Residente de Obra</v>
      </c>
      <c r="C15173" s="93">
        <v>0.25</v>
      </c>
      <c r="D15173" s="50">
        <f>VLOOKUP(A15173,'Componentes APUs'!$H$1:$L$25,3,0)</f>
        <v>4</v>
      </c>
      <c r="E15173" s="51">
        <f>VLOOKUP(A15173,'Componentes APUs'!$H$1:$L$25,4,0)</f>
        <v>271142.85714285716</v>
      </c>
      <c r="F15173" s="51">
        <f>VLOOKUP(A15173,'Componentes APUs'!$H$1:$L$25,5,0)</f>
        <v>162685.71428571429</v>
      </c>
      <c r="G15173" s="51">
        <f>ROUNDUP((E15173+F15173)*C15173/E15162,0)</f>
        <v>3099</v>
      </c>
    </row>
    <row r="15174" spans="1:7" x14ac:dyDescent="0.25">
      <c r="A15174" s="50" t="s">
        <v>320</v>
      </c>
      <c r="B15174" s="68" t="str">
        <f>VLOOKUP(A15174,'Componentes APUs'!$H$1:$L$25,2,0)</f>
        <v>Tecnico Supervisor</v>
      </c>
      <c r="C15174" s="93">
        <v>0.25</v>
      </c>
      <c r="D15174" s="50">
        <f>VLOOKUP(A15174,'Componentes APUs'!$H$1:$L$25,3,0)</f>
        <v>2.2999999999999998</v>
      </c>
      <c r="E15174" s="51">
        <f>VLOOKUP(A15174,'Componentes APUs'!$H$1:$L$25,4,0)</f>
        <v>155907.14285714284</v>
      </c>
      <c r="F15174" s="51">
        <f>VLOOKUP(A15174,'Componentes APUs'!$H$1:$L$25,5,0)</f>
        <v>93544.285714285696</v>
      </c>
      <c r="G15174" s="51">
        <f>ROUNDUP((E15174+F15174)*C15174/E15162,0)</f>
        <v>1782</v>
      </c>
    </row>
    <row r="15175" spans="1:7" x14ac:dyDescent="0.25">
      <c r="A15175" s="50" t="s">
        <v>46</v>
      </c>
      <c r="B15175" s="68" t="str">
        <f>VLOOKUP(A15175,'Componentes APUs'!$H$1:$L$25,2,0)</f>
        <v>Tecnico Liniero</v>
      </c>
      <c r="C15175" s="93">
        <v>2</v>
      </c>
      <c r="D15175" s="50">
        <f>VLOOKUP(A15175,'Componentes APUs'!$H$1:$L$25,3,0)</f>
        <v>2</v>
      </c>
      <c r="E15175" s="51">
        <f>VLOOKUP(A15175,'Componentes APUs'!$H$1:$L$25,4,0)</f>
        <v>154619.04761904763</v>
      </c>
      <c r="F15175" s="51">
        <f>VLOOKUP(A15175,'Componentes APUs'!$H$1:$L$25,5,0)</f>
        <v>92771.42857142858</v>
      </c>
      <c r="G15175" s="51">
        <f>ROUNDUP((E15175+F15175)*C15175/E15162,0)</f>
        <v>14137</v>
      </c>
    </row>
    <row r="15176" spans="1:7" x14ac:dyDescent="0.25">
      <c r="A15176" s="50" t="s">
        <v>48</v>
      </c>
      <c r="B15176" s="68" t="str">
        <f>VLOOKUP(A15176,'Componentes APUs'!$H$1:$L$25,2,0)</f>
        <v>Ayudante Calificado</v>
      </c>
      <c r="C15176" s="93">
        <v>2</v>
      </c>
      <c r="D15176" s="50">
        <f>VLOOKUP(A15176,'Componentes APUs'!$H$1:$L$25,3,0)</f>
        <v>1.5</v>
      </c>
      <c r="E15176" s="51">
        <f>VLOOKUP(A15176,'Componentes APUs'!$H$1:$L$25,4,0)</f>
        <v>115964.28571428571</v>
      </c>
      <c r="F15176" s="51">
        <f>VLOOKUP(A15176,'Componentes APUs'!$H$1:$L$25,5,0)</f>
        <v>69578.57142857142</v>
      </c>
      <c r="G15176" s="51">
        <f>ROUNDUP((E15176+F15176)*C15176/E15162,0)</f>
        <v>10603</v>
      </c>
    </row>
    <row r="15177" spans="1:7" x14ac:dyDescent="0.25">
      <c r="A15177" s="50" t="s">
        <v>50</v>
      </c>
      <c r="B15177" s="68" t="str">
        <f>VLOOKUP(A15177,'Componentes APUs'!$H$1:$L$25,2,0)</f>
        <v>Profesional en SST</v>
      </c>
      <c r="C15177" s="93">
        <v>0.25</v>
      </c>
      <c r="D15177" s="50">
        <f>VLOOKUP(A15177,'Componentes APUs'!$H$1:$L$25,3,0)</f>
        <v>2.5</v>
      </c>
      <c r="E15177" s="51">
        <f>VLOOKUP(A15177,'Componentes APUs'!$H$1:$L$25,4,0)</f>
        <v>169464.28571428571</v>
      </c>
      <c r="F15177" s="51">
        <f>VLOOKUP(A15177,'Componentes APUs'!$H$1:$L$25,5,0)</f>
        <v>101678.57142857142</v>
      </c>
      <c r="G15177" s="51">
        <f>ROUNDUP((E15177+F15177)*C15177/E15162,0)</f>
        <v>1937</v>
      </c>
    </row>
    <row r="15178" spans="1:7" x14ac:dyDescent="0.25">
      <c r="A15178" s="50" t="s">
        <v>52</v>
      </c>
      <c r="B15178" s="68" t="str">
        <f>VLOOKUP(A15178,'Componentes APUs'!$H$1:$L$25,2,0)</f>
        <v>Ayudante No Calificado</v>
      </c>
      <c r="C15178" s="93">
        <v>0</v>
      </c>
      <c r="D15178" s="50">
        <f>VLOOKUP(A15178,'Componentes APUs'!$H$1:$L$25,3,0)</f>
        <v>1</v>
      </c>
      <c r="E15178" s="51">
        <f>VLOOKUP(A15178,'Componentes APUs'!$H$1:$L$25,4,0)</f>
        <v>77309.523809523816</v>
      </c>
      <c r="F15178" s="51">
        <f>VLOOKUP(A15178,'Componentes APUs'!$H$1:$L$25,5,0)</f>
        <v>46385.71428571429</v>
      </c>
      <c r="G15178" s="51">
        <f>ROUNDUP((E15178+F15178)*C15178/E15162,0)</f>
        <v>0</v>
      </c>
    </row>
    <row r="15179" spans="1:7" x14ac:dyDescent="0.25">
      <c r="A15179" s="50" t="s">
        <v>54</v>
      </c>
      <c r="B15179" s="68" t="str">
        <f>VLOOKUP(A15179,'Componentes APUs'!$H$1:$L$25,2,0)</f>
        <v>Maestro de obra civil</v>
      </c>
      <c r="C15179" s="93">
        <v>0</v>
      </c>
      <c r="D15179" s="50">
        <f>VLOOKUP(A15179,'Componentes APUs'!$H$1:$L$25,3,0)</f>
        <v>2.5</v>
      </c>
      <c r="E15179" s="51">
        <f>VLOOKUP(A15179,'Componentes APUs'!$H$1:$L$25,4,0)</f>
        <v>169464.28571428571</v>
      </c>
      <c r="F15179" s="51">
        <f>VLOOKUP(A15179,'Componentes APUs'!$H$1:$L$25,5,0)</f>
        <v>101678.57142857142</v>
      </c>
      <c r="G15179" s="51">
        <f>ROUNDUP((E15179+F15179)*C15179/E15162,0)</f>
        <v>0</v>
      </c>
    </row>
    <row r="15180" spans="1:7" x14ac:dyDescent="0.25">
      <c r="A15180" s="50" t="s">
        <v>1116</v>
      </c>
      <c r="B15180" s="68" t="str">
        <f>VLOOKUP(A15180,'Componentes APUs'!$H$1:$L$25,2,0)</f>
        <v>Ingeniero Civil Residente de Obra</v>
      </c>
      <c r="C15180" s="93">
        <v>0</v>
      </c>
      <c r="D15180" s="50">
        <f>VLOOKUP(A15180,'Componentes APUs'!$H$1:$L$25,3,0)</f>
        <v>3</v>
      </c>
      <c r="E15180" s="51">
        <f>VLOOKUP(A15180,'Componentes APUs'!$H$1:$L$25,4,0)</f>
        <v>203357.14285714287</v>
      </c>
      <c r="F15180" s="51">
        <f>VLOOKUP(A15180,'Componentes APUs'!$H$1:$L$25,5,0)</f>
        <v>122014.28571428571</v>
      </c>
      <c r="G15180" s="51">
        <f>ROUNDUP((E15180+F15180)*C15180/E15162,0)</f>
        <v>0</v>
      </c>
    </row>
    <row r="15181" spans="1:7" x14ac:dyDescent="0.25">
      <c r="A15181" s="219" t="s">
        <v>56</v>
      </c>
      <c r="B15181" s="219"/>
      <c r="C15181" s="219"/>
      <c r="D15181" s="219"/>
      <c r="E15181" s="219"/>
      <c r="F15181" s="219"/>
      <c r="G15181" s="52">
        <f>SUM(G15173:G15180)</f>
        <v>31558</v>
      </c>
    </row>
    <row r="15182" spans="1:7" x14ac:dyDescent="0.25">
      <c r="A15182" s="56"/>
      <c r="B15182" s="57"/>
      <c r="C15182" s="57"/>
      <c r="D15182" s="57"/>
      <c r="E15182" s="57"/>
      <c r="F15182" s="57"/>
      <c r="G15182" s="58"/>
    </row>
    <row r="15183" spans="1:7" x14ac:dyDescent="0.25">
      <c r="A15183" s="219" t="s">
        <v>57</v>
      </c>
      <c r="B15183" s="219"/>
      <c r="C15183" s="219"/>
      <c r="D15183" s="219"/>
      <c r="E15183" s="219"/>
      <c r="F15183" s="219"/>
      <c r="G15183" s="219"/>
    </row>
    <row r="15184" spans="1:7" x14ac:dyDescent="0.25">
      <c r="A15184" s="49" t="s">
        <v>35</v>
      </c>
      <c r="B15184" s="219" t="s">
        <v>36</v>
      </c>
      <c r="C15184" s="219"/>
      <c r="D15184" s="49" t="s">
        <v>37</v>
      </c>
      <c r="E15184" s="49" t="s">
        <v>38</v>
      </c>
      <c r="F15184" s="49" t="s">
        <v>39</v>
      </c>
      <c r="G15184" s="49" t="s">
        <v>40</v>
      </c>
    </row>
    <row r="15185" spans="1:7" x14ac:dyDescent="0.25">
      <c r="A15185" s="50" t="s">
        <v>326</v>
      </c>
      <c r="B15185" s="220" t="str">
        <f>VLOOKUP(A15185,'Componentes APUs'!$S$1:$V$10,2,0)</f>
        <v>Juego Llaves</v>
      </c>
      <c r="C15185" s="220"/>
      <c r="D15185" s="50" t="s">
        <v>18</v>
      </c>
      <c r="E15185" s="50">
        <v>2</v>
      </c>
      <c r="F15185" s="51">
        <f>VLOOKUP(A15185,'Componentes APUs'!$S$1:$V$10,4,0)</f>
        <v>9167</v>
      </c>
      <c r="G15185" s="51">
        <f>ROUNDUP(F15185*((E15185/21)/E15162),0)</f>
        <v>25</v>
      </c>
    </row>
    <row r="15186" spans="1:7" x14ac:dyDescent="0.25">
      <c r="A15186" s="50" t="s">
        <v>58</v>
      </c>
      <c r="B15186" s="220" t="str">
        <f>VLOOKUP(A15186,'Componentes APUs'!$S$1:$V$10,2,0)</f>
        <v>Manila de servicio</v>
      </c>
      <c r="C15186" s="220"/>
      <c r="D15186" s="50" t="s">
        <v>18</v>
      </c>
      <c r="E15186" s="50">
        <v>2</v>
      </c>
      <c r="F15186" s="51">
        <f>VLOOKUP(A15186,'Componentes APUs'!$S$1:$V$10,4,0)</f>
        <v>2333</v>
      </c>
      <c r="G15186" s="51">
        <f>ROUNDUP(F15186*((E15186/21)/E15162),0)</f>
        <v>7</v>
      </c>
    </row>
    <row r="15187" spans="1:7" x14ac:dyDescent="0.25">
      <c r="A15187" s="50" t="s">
        <v>327</v>
      </c>
      <c r="B15187" s="220" t="str">
        <f>VLOOKUP(A15187,'Componentes APUs'!$S$1:$V$10,2,0)</f>
        <v>Tula portaherramientas</v>
      </c>
      <c r="C15187" s="220"/>
      <c r="D15187" s="50" t="s">
        <v>18</v>
      </c>
      <c r="E15187" s="50">
        <v>2</v>
      </c>
      <c r="F15187" s="51">
        <f>VLOOKUP(A15187,'Componentes APUs'!$S$1:$V$10,4,0)</f>
        <v>1250</v>
      </c>
      <c r="G15187" s="51">
        <f>ROUNDUP(F15187*((E15187/21)/E15162),0)</f>
        <v>4</v>
      </c>
    </row>
    <row r="15188" spans="1:7" x14ac:dyDescent="0.25">
      <c r="A15188" s="50" t="s">
        <v>60</v>
      </c>
      <c r="B15188" s="220" t="str">
        <f>VLOOKUP(A15188,'Componentes APUs'!$S$1:$V$10,2,0)</f>
        <v>Agarradoras</v>
      </c>
      <c r="C15188" s="220"/>
      <c r="D15188" s="50" t="s">
        <v>18</v>
      </c>
      <c r="E15188" s="50">
        <v>0</v>
      </c>
      <c r="F15188" s="51">
        <f>VLOOKUP(A15188,'Componentes APUs'!$S$1:$V$10,4,0)</f>
        <v>125000</v>
      </c>
      <c r="G15188" s="51">
        <f>ROUNDUP(F15188*((E15188/21)/E15162),0)</f>
        <v>0</v>
      </c>
    </row>
    <row r="15189" spans="1:7" x14ac:dyDescent="0.25">
      <c r="A15189" s="50" t="s">
        <v>62</v>
      </c>
      <c r="B15189" s="220" t="str">
        <f>VLOOKUP(A15189,'Componentes APUs'!$S$1:$V$10,2,0)</f>
        <v>Templadoras</v>
      </c>
      <c r="C15189" s="220"/>
      <c r="D15189" s="50" t="s">
        <v>18</v>
      </c>
      <c r="E15189" s="50">
        <v>0</v>
      </c>
      <c r="F15189" s="51">
        <f>VLOOKUP(A15189,'Componentes APUs'!$S$1:$V$10,4,0)</f>
        <v>250000</v>
      </c>
      <c r="G15189" s="51">
        <f>ROUNDUP(F15189*((E15189/21)/E15162),0)</f>
        <v>0</v>
      </c>
    </row>
    <row r="15190" spans="1:7" x14ac:dyDescent="0.25">
      <c r="A15190" s="50" t="s">
        <v>328</v>
      </c>
      <c r="B15190" s="220" t="str">
        <f>VLOOKUP(A15190,'Componentes APUs'!$S$1:$V$10,2,0)</f>
        <v>Herramienta Menor</v>
      </c>
      <c r="C15190" s="220"/>
      <c r="D15190" s="50" t="s">
        <v>18</v>
      </c>
      <c r="E15190" s="50">
        <v>2</v>
      </c>
      <c r="F15190" s="51">
        <f>VLOOKUP(A15190,'Componentes APUs'!$S$1:$V$10,4,0)</f>
        <v>75758</v>
      </c>
      <c r="G15190" s="51">
        <f>ROUNDUP(F15190*((E15190/21)/E15162),0)</f>
        <v>207</v>
      </c>
    </row>
    <row r="15191" spans="1:7" x14ac:dyDescent="0.25">
      <c r="A15191" s="219" t="s">
        <v>69</v>
      </c>
      <c r="B15191" s="219"/>
      <c r="C15191" s="219"/>
      <c r="D15191" s="219"/>
      <c r="E15191" s="219"/>
      <c r="F15191" s="219"/>
      <c r="G15191" s="52">
        <f>SUM(G15185:G15190)</f>
        <v>243</v>
      </c>
    </row>
    <row r="15192" spans="1:7" x14ac:dyDescent="0.25">
      <c r="A15192" s="56"/>
      <c r="B15192" s="57"/>
      <c r="C15192" s="57"/>
      <c r="D15192" s="57"/>
      <c r="E15192" s="57"/>
      <c r="F15192" s="57"/>
      <c r="G15192" s="58"/>
    </row>
    <row r="15193" spans="1:7" x14ac:dyDescent="0.25">
      <c r="A15193" s="219" t="s">
        <v>70</v>
      </c>
      <c r="B15193" s="219"/>
      <c r="C15193" s="219"/>
      <c r="D15193" s="219"/>
      <c r="E15193" s="219"/>
      <c r="F15193" s="219"/>
      <c r="G15193" s="219"/>
    </row>
    <row r="15194" spans="1:7" x14ac:dyDescent="0.25">
      <c r="A15194" s="49" t="s">
        <v>35</v>
      </c>
      <c r="B15194" s="219" t="s">
        <v>36</v>
      </c>
      <c r="C15194" s="219"/>
      <c r="D15194" s="49" t="s">
        <v>37</v>
      </c>
      <c r="E15194" s="49" t="s">
        <v>38</v>
      </c>
      <c r="F15194" s="49" t="s">
        <v>39</v>
      </c>
      <c r="G15194" s="49" t="s">
        <v>40</v>
      </c>
    </row>
    <row r="15195" spans="1:7" x14ac:dyDescent="0.25">
      <c r="A15195" s="50" t="s">
        <v>71</v>
      </c>
      <c r="B15195" s="72" t="str">
        <f>VLOOKUP(A15195,'Componentes APUs'!$A$1:$D$14,2,0)</f>
        <v>Camisa indigo sin partes metalicas</v>
      </c>
      <c r="C15195" s="73"/>
      <c r="D15195" s="50" t="str">
        <f>VLOOKUP(A15195,'Componentes APUs'!$A$1:$D$14,3,0)</f>
        <v>U</v>
      </c>
      <c r="E15195" s="50">
        <f>SUM(C15173:C15180)</f>
        <v>4.75</v>
      </c>
      <c r="F15195" s="51">
        <f>VLOOKUP(A15195,'Componentes APUs'!$A$1:$D$14,4,0)</f>
        <v>8585.8585858585866</v>
      </c>
      <c r="G15195" s="51">
        <f>ROUNDUP(F15195*(E15195/21)/E15162,0)</f>
        <v>56</v>
      </c>
    </row>
    <row r="15196" spans="1:7" x14ac:dyDescent="0.25">
      <c r="A15196" s="69" t="s">
        <v>73</v>
      </c>
      <c r="B15196" s="72" t="str">
        <f>VLOOKUP(A15196,'Componentes APUs'!$A$1:$D$14,2,0)</f>
        <v>Bota de seguridad dielectrica</v>
      </c>
      <c r="C15196" s="73"/>
      <c r="D15196" s="70" t="str">
        <f>VLOOKUP(A15196,'Componentes APUs'!$A$1:$D$14,3,0)</f>
        <v>Par</v>
      </c>
      <c r="E15196" s="50">
        <f>SUM(C15173:C15180)</f>
        <v>4.75</v>
      </c>
      <c r="F15196" s="51">
        <f>VLOOKUP(A15196,'Componentes APUs'!$A$1:$D$14,4,0)</f>
        <v>7500</v>
      </c>
      <c r="G15196" s="51">
        <f>ROUNDUP(F15196*(E15196/21)/E15162,0)</f>
        <v>49</v>
      </c>
    </row>
    <row r="15197" spans="1:7" x14ac:dyDescent="0.25">
      <c r="A15197" s="50" t="s">
        <v>76</v>
      </c>
      <c r="B15197" s="72" t="str">
        <f>VLOOKUP(A15197,'Componentes APUs'!$A$1:$D$14,2,0)</f>
        <v>Casco dielectrico Tipo 1 Clase E con barbuquejo</v>
      </c>
      <c r="C15197" s="73"/>
      <c r="D15197" s="50" t="str">
        <f>VLOOKUP(A15197,'Componentes APUs'!$A$1:$D$14,3,0)</f>
        <v>U</v>
      </c>
      <c r="E15197" s="50">
        <f>C15173+C15174+C15175+C15176+C15178+C15179+C15180+IF(A15175&lt;&gt;"MO-3",C15175,0)</f>
        <v>4.5</v>
      </c>
      <c r="F15197" s="51">
        <f>VLOOKUP(A15197,'Componentes APUs'!$A$1:$D$14,4,0)</f>
        <v>10101.010101010101</v>
      </c>
      <c r="G15197" s="51">
        <f>ROUNDUP(F15197*(E15197/21)/E15162,0)</f>
        <v>62</v>
      </c>
    </row>
    <row r="15198" spans="1:7" x14ac:dyDescent="0.25">
      <c r="A15198" s="69" t="s">
        <v>77</v>
      </c>
      <c r="B15198" s="72" t="str">
        <f>VLOOKUP(A15198,'Componentes APUs'!$A$1:$D$14,2,0)</f>
        <v>Correa plastica y antiflama</v>
      </c>
      <c r="C15198" s="73"/>
      <c r="D15198" s="50" t="str">
        <f>VLOOKUP(A15198,'Componentes APUs'!$A$1:$D$14,3,0)</f>
        <v>U</v>
      </c>
      <c r="E15198" s="50">
        <f>SUM(C15173:C15180)</f>
        <v>4.75</v>
      </c>
      <c r="F15198" s="51">
        <f>VLOOKUP(A15198,'Componentes APUs'!$A$1:$D$14,4,0)</f>
        <v>3787.878787878788</v>
      </c>
      <c r="G15198" s="51">
        <f>ROUNDUP(F15198*(E15198/21)/E15162,0)</f>
        <v>25</v>
      </c>
    </row>
    <row r="15199" spans="1:7" x14ac:dyDescent="0.25">
      <c r="A15199" s="50" t="s">
        <v>79</v>
      </c>
      <c r="B15199" s="72" t="str">
        <f>VLOOKUP(A15199,'Componentes APUs'!$A$1:$D$14,2,0)</f>
        <v>Gafas protectoras filtro UV</v>
      </c>
      <c r="C15199" s="73"/>
      <c r="D15199" s="50" t="str">
        <f>VLOOKUP(A15199,'Componentes APUs'!$A$1:$D$14,3,0)</f>
        <v>U</v>
      </c>
      <c r="E15199" s="50">
        <f>SUM(C15173:C15180)</f>
        <v>4.75</v>
      </c>
      <c r="F15199" s="51">
        <f>VLOOKUP(A15199,'Componentes APUs'!$A$1:$D$14,4,0)</f>
        <v>2777.7777777777778</v>
      </c>
      <c r="G15199" s="51">
        <f>ROUNDUP(F15199*(E15199/21)/E15162,0)</f>
        <v>18</v>
      </c>
    </row>
    <row r="15200" spans="1:7" x14ac:dyDescent="0.25">
      <c r="A15200" s="69" t="s">
        <v>402</v>
      </c>
      <c r="B15200" s="72" t="str">
        <f>VLOOKUP(A15200,'Componentes APUs'!$A$1:$D$14,2,0)</f>
        <v>Bota de seguridad PVC dielectrica</v>
      </c>
      <c r="C15200" s="73"/>
      <c r="D15200" s="50" t="str">
        <f>VLOOKUP(A15200,'Componentes APUs'!$A$1:$D$14,3,0)</f>
        <v>Par</v>
      </c>
      <c r="E15200" s="50">
        <f>SUM(C15173:C15180)</f>
        <v>4.75</v>
      </c>
      <c r="F15200" s="51">
        <f>VLOOKUP(A15200,'Componentes APUs'!$A$1:$D$14,4,0)</f>
        <v>2916.6666666666665</v>
      </c>
      <c r="G15200" s="51">
        <f>ROUNDUP(F15200*(E15200/21)/E15162,0)</f>
        <v>19</v>
      </c>
    </row>
    <row r="15201" spans="1:7" x14ac:dyDescent="0.25">
      <c r="A15201" s="50" t="s">
        <v>403</v>
      </c>
      <c r="B15201" s="72" t="str">
        <f>VLOOKUP(A15201,'Componentes APUs'!$A$1:$D$14,2,0)</f>
        <v>Capuchon</v>
      </c>
      <c r="C15201" s="73"/>
      <c r="D15201" s="50" t="str">
        <f>VLOOKUP(A15201,'Componentes APUs'!$A$1:$D$14,3,0)</f>
        <v>U</v>
      </c>
      <c r="E15201" s="50">
        <f>SUM(C15173:C15180)</f>
        <v>4.75</v>
      </c>
      <c r="F15201" s="51">
        <f>VLOOKUP(A15201,'Componentes APUs'!$A$1:$D$14,4,0)</f>
        <v>2525.2525252525252</v>
      </c>
      <c r="G15201" s="51">
        <f>ROUNDUP(F15201*(E15201/21)/E15162,0)</f>
        <v>17</v>
      </c>
    </row>
    <row r="15202" spans="1:7" x14ac:dyDescent="0.25">
      <c r="A15202" s="69" t="s">
        <v>81</v>
      </c>
      <c r="B15202" s="72" t="str">
        <f>VLOOKUP(A15202,'Componentes APUs'!$A$1:$D$14,2,0)</f>
        <v>Guantes Protectores  - ingeniero reforzados</v>
      </c>
      <c r="C15202" s="73"/>
      <c r="D15202" s="50" t="str">
        <f>VLOOKUP(A15202,'Componentes APUs'!$A$1:$D$14,3,0)</f>
        <v>Par</v>
      </c>
      <c r="E15202" s="50">
        <f>C15175+C15176+C15178</f>
        <v>4</v>
      </c>
      <c r="F15202" s="51">
        <f>VLOOKUP(A15202,'Componentes APUs'!$A$1:$D$14,4,0)</f>
        <v>2525.2525252525252</v>
      </c>
      <c r="G15202" s="51">
        <f>ROUNDUP(F15202*(E15202/21)/E15162,0)</f>
        <v>14</v>
      </c>
    </row>
    <row r="15203" spans="1:7" x14ac:dyDescent="0.25">
      <c r="A15203" s="50" t="s">
        <v>83</v>
      </c>
      <c r="B15203" s="72" t="str">
        <f>VLOOKUP(A15203,'Componentes APUs'!$A$1:$D$14,2,0)</f>
        <v>Impermeable (pantalon camisa)</v>
      </c>
      <c r="C15203" s="73"/>
      <c r="D15203" s="50" t="str">
        <f>VLOOKUP(A15203,'Componentes APUs'!$A$1:$D$14,3,0)</f>
        <v>U</v>
      </c>
      <c r="E15203" s="50">
        <f>SUM(C15173:C15180)</f>
        <v>4.75</v>
      </c>
      <c r="F15203" s="51">
        <f>VLOOKUP(A15203,'Componentes APUs'!$A$1:$D$14,4,0)</f>
        <v>3750</v>
      </c>
      <c r="G15203" s="51">
        <f>ROUNDUP(F15203*(E15203/21)/E15162,0)</f>
        <v>25</v>
      </c>
    </row>
    <row r="15204" spans="1:7" x14ac:dyDescent="0.25">
      <c r="A15204" s="69" t="s">
        <v>85</v>
      </c>
      <c r="B15204" s="72" t="str">
        <f>VLOOKUP(A15204,'Componentes APUs'!$A$1:$D$14,2,0)</f>
        <v>Jean Dielectrico</v>
      </c>
      <c r="C15204" s="73"/>
      <c r="D15204" s="50" t="str">
        <f>VLOOKUP(A15204,'Componentes APUs'!$A$1:$D$14,3,0)</f>
        <v>U</v>
      </c>
      <c r="E15204" s="50">
        <f>SUM(C15173:C15180)</f>
        <v>4.75</v>
      </c>
      <c r="F15204" s="51">
        <f>VLOOKUP(A15204,'Componentes APUs'!$A$1:$D$14,4,0)</f>
        <v>7575.757575757576</v>
      </c>
      <c r="G15204" s="51">
        <f>ROUNDUP(F15204*(E15204/21)/E15162,0)</f>
        <v>49</v>
      </c>
    </row>
    <row r="15205" spans="1:7" x14ac:dyDescent="0.25">
      <c r="A15205" s="50" t="s">
        <v>87</v>
      </c>
      <c r="B15205" s="72" t="str">
        <f>VLOOKUP(A15205,'Componentes APUs'!$A$1:$D$14,2,0)</f>
        <v>Casco dielectrico Tipo 2 Clase E con barboquejo</v>
      </c>
      <c r="C15205" s="73"/>
      <c r="D15205" s="50" t="str">
        <f>VLOOKUP(A15205,'Componentes APUs'!$A$1:$D$14,3,0)</f>
        <v>U</v>
      </c>
      <c r="E15205" s="53">
        <f>IF(A15175="MO-3",C15175,0)</f>
        <v>2</v>
      </c>
      <c r="F15205" s="51">
        <f>VLOOKUP(A15205,'Componentes APUs'!$A$1:$D$14,4,0)</f>
        <v>7500</v>
      </c>
      <c r="G15205" s="51">
        <f>ROUNDUP(F15205*(E15205/21)/E15162,0)</f>
        <v>21</v>
      </c>
    </row>
    <row r="15206" spans="1:7" x14ac:dyDescent="0.25">
      <c r="A15206" s="69" t="s">
        <v>89</v>
      </c>
      <c r="B15206" s="72" t="str">
        <f>VLOOKUP(A15206,'Componentes APUs'!$A$1:$D$14,2,0)</f>
        <v>Kit de rescate para trabajo en alturas</v>
      </c>
      <c r="C15206" s="73"/>
      <c r="D15206" s="50" t="str">
        <f>VLOOKUP(A15206,'Componentes APUs'!$A$1:$D$14,3,0)</f>
        <v>U</v>
      </c>
      <c r="E15206" s="50">
        <f>IF(AND(A15175="MO-3",C15175=2),1,0)</f>
        <v>1</v>
      </c>
      <c r="F15206" s="51">
        <f>VLOOKUP(A15206,'Componentes APUs'!$A$1:$D$14,4,0)</f>
        <v>37500</v>
      </c>
      <c r="G15206" s="51">
        <f>ROUNDUP(F15206*(E15206/21)/E15162,0)</f>
        <v>52</v>
      </c>
    </row>
    <row r="15207" spans="1:7" x14ac:dyDescent="0.25">
      <c r="A15207" s="50" t="s">
        <v>91</v>
      </c>
      <c r="B15207" s="72" t="str">
        <f>VLOOKUP(A15207,'Componentes APUs'!$A$1:$D$14,2,0)</f>
        <v>Equipo completo para trabajo en alturas con pretales (Arnes dielectrico, 1 mosqueton de seguridad, tie off dielectrico, eslinga de posicionamiento, juego de pretales)</v>
      </c>
      <c r="C15207" s="73"/>
      <c r="D15207" s="50" t="str">
        <f>VLOOKUP(A15207,'Componentes APUs'!$A$1:$D$14,3,0)</f>
        <v>U</v>
      </c>
      <c r="E15207" s="50">
        <f>IF(A15175="MO-3",C15175,0)</f>
        <v>2</v>
      </c>
      <c r="F15207" s="51">
        <f>VLOOKUP(A15207,'Componentes APUs'!$A$1:$D$14,4,0)</f>
        <v>26041.666666666668</v>
      </c>
      <c r="G15207" s="51">
        <f>ROUNDUP(F15207*(E15207/21)/E15162,0)</f>
        <v>71</v>
      </c>
    </row>
    <row r="15208" spans="1:7" x14ac:dyDescent="0.25">
      <c r="A15208" s="219" t="s">
        <v>95</v>
      </c>
      <c r="B15208" s="219"/>
      <c r="C15208" s="219"/>
      <c r="D15208" s="219"/>
      <c r="E15208" s="219"/>
      <c r="F15208" s="219"/>
      <c r="G15208" s="52">
        <f>SUM(G15195:G15207)</f>
        <v>478</v>
      </c>
    </row>
    <row r="15209" spans="1:7" x14ac:dyDescent="0.25">
      <c r="A15209" s="56"/>
      <c r="B15209" s="57"/>
      <c r="C15209" s="57"/>
      <c r="D15209" s="57"/>
      <c r="E15209" s="57"/>
      <c r="F15209" s="57"/>
      <c r="G15209" s="58"/>
    </row>
    <row r="15210" spans="1:7" x14ac:dyDescent="0.25">
      <c r="A15210" s="219" t="s">
        <v>96</v>
      </c>
      <c r="B15210" s="219"/>
      <c r="C15210" s="219"/>
      <c r="D15210" s="219"/>
      <c r="E15210" s="219"/>
      <c r="F15210" s="219"/>
      <c r="G15210" s="219"/>
    </row>
    <row r="15211" spans="1:7" x14ac:dyDescent="0.25">
      <c r="A15211" s="49" t="s">
        <v>35</v>
      </c>
      <c r="B15211" s="225" t="s">
        <v>36</v>
      </c>
      <c r="C15211" s="225"/>
      <c r="D15211" s="49" t="s">
        <v>37</v>
      </c>
      <c r="E15211" s="49" t="s">
        <v>38</v>
      </c>
      <c r="F15211" s="49" t="s">
        <v>39</v>
      </c>
      <c r="G15211" s="49" t="s">
        <v>40</v>
      </c>
    </row>
    <row r="15212" spans="1:7" x14ac:dyDescent="0.25">
      <c r="A15212" s="69" t="s">
        <v>97</v>
      </c>
      <c r="B15212" s="72" t="str">
        <f>VLOOKUP(A15212,'Componentes APUs'!$N$1:$Q$30,2,0)</f>
        <v>Camioneta</v>
      </c>
      <c r="C15212" s="73"/>
      <c r="D15212" s="70" t="str">
        <f>VLOOKUP(A15212,'Componentes APUs'!$N$1:$Q$30,3,0)</f>
        <v>U</v>
      </c>
      <c r="E15212" s="50">
        <v>1</v>
      </c>
      <c r="F15212" s="51">
        <f>VLOOKUP(A15212,'Componentes APUs'!$N$1:$Q$30,4,0)</f>
        <v>5500000</v>
      </c>
      <c r="G15212" s="51">
        <f>IFERROR(ROUNDUP(F15212*(E15212/21)/E15162,0),"-")</f>
        <v>7483</v>
      </c>
    </row>
    <row r="15213" spans="1:7" x14ac:dyDescent="0.25">
      <c r="A15213" s="50" t="s">
        <v>321</v>
      </c>
      <c r="B15213" s="72" t="str">
        <f>VLOOKUP(A15213,'Componentes APUs'!$N$1:$Q$30,2,0)</f>
        <v>Grúa Hidráulica</v>
      </c>
      <c r="C15213" s="73"/>
      <c r="D15213" s="70" t="str">
        <f>VLOOKUP(A15213,'Componentes APUs'!$N$1:$Q$30,3,0)</f>
        <v>U</v>
      </c>
      <c r="E15213" s="50">
        <v>0</v>
      </c>
      <c r="F15213" s="51">
        <f>VLOOKUP(A15213,'Componentes APUs'!$N$1:$Q$30,4,0)</f>
        <v>21000000</v>
      </c>
      <c r="G15213" s="51">
        <f>IFERROR(ROUNDUP(F15213*(E15213/21)/E15162,0),"-")</f>
        <v>0</v>
      </c>
    </row>
    <row r="15214" spans="1:7" x14ac:dyDescent="0.25">
      <c r="A15214" s="69" t="s">
        <v>322</v>
      </c>
      <c r="B15214" s="72" t="str">
        <f>VLOOKUP(A15214,'Componentes APUs'!$N$1:$Q$30,2,0)</f>
        <v>Camabaja</v>
      </c>
      <c r="C15214" s="73"/>
      <c r="D15214" s="70" t="str">
        <f>VLOOKUP(A15214,'Componentes APUs'!$N$1:$Q$30,3,0)</f>
        <v>TON/KM</v>
      </c>
      <c r="E15214" s="50">
        <v>0</v>
      </c>
      <c r="F15214" s="51">
        <f>VLOOKUP(A15214,'Componentes APUs'!$N$1:$Q$30,4,0)</f>
        <v>611</v>
      </c>
      <c r="G15214" s="51">
        <f>E15214*F15214</f>
        <v>0</v>
      </c>
    </row>
    <row r="15215" spans="1:7" x14ac:dyDescent="0.25">
      <c r="A15215" s="50" t="s">
        <v>323</v>
      </c>
      <c r="B15215" s="72" t="str">
        <f>VLOOKUP(A15215,'Componentes APUs'!$N$1:$Q$30,2,0)</f>
        <v>Volqueta</v>
      </c>
      <c r="C15215" s="73"/>
      <c r="D15215" s="70" t="str">
        <f>VLOOKUP(A15215,'Componentes APUs'!$N$1:$Q$30,3,0)</f>
        <v>U</v>
      </c>
      <c r="E15215" s="50">
        <v>0</v>
      </c>
      <c r="F15215" s="51">
        <f>VLOOKUP(A15215,'Componentes APUs'!$N$1:$Q$30,4,0)</f>
        <v>14828184</v>
      </c>
      <c r="G15215" s="51">
        <f>IFERROR(ROUNDUP(F15215*(E15215/21)/E15162,0),"-")</f>
        <v>0</v>
      </c>
    </row>
    <row r="15216" spans="1:7" x14ac:dyDescent="0.25">
      <c r="A15216" s="69" t="s">
        <v>324</v>
      </c>
      <c r="B15216" s="72" t="str">
        <f>VLOOKUP(A15216,'Componentes APUs'!$N$1:$Q$30,2,0)</f>
        <v>Retroexcavadora</v>
      </c>
      <c r="C15216" s="73"/>
      <c r="D15216" s="70" t="str">
        <f>VLOOKUP(A15216,'Componentes APUs'!$N$1:$Q$30,3,0)</f>
        <v>U</v>
      </c>
      <c r="E15216" s="50">
        <v>0</v>
      </c>
      <c r="F15216" s="51">
        <f>VLOOKUP(A15216,'Componentes APUs'!$N$1:$Q$30,4,0)</f>
        <v>46030656</v>
      </c>
      <c r="G15216" s="51">
        <f>IFERROR(ROUNDUP(F15216*(E15216/21)/E15162,0),"-")</f>
        <v>0</v>
      </c>
    </row>
    <row r="15217" spans="1:7" x14ac:dyDescent="0.25">
      <c r="A15217" s="219" t="s">
        <v>99</v>
      </c>
      <c r="B15217" s="219"/>
      <c r="C15217" s="219"/>
      <c r="D15217" s="219"/>
      <c r="E15217" s="219"/>
      <c r="F15217" s="219"/>
      <c r="G15217" s="52">
        <f>SUM(G15212:G15216)</f>
        <v>7483</v>
      </c>
    </row>
    <row r="15218" spans="1:7" x14ac:dyDescent="0.25">
      <c r="A15218" s="56"/>
      <c r="B15218" s="57"/>
      <c r="C15218" s="57"/>
      <c r="D15218" s="57"/>
      <c r="E15218" s="57"/>
      <c r="F15218" s="57"/>
      <c r="G15218" s="58"/>
    </row>
    <row r="15219" spans="1:7" x14ac:dyDescent="0.25">
      <c r="A15219" s="219" t="s">
        <v>1516</v>
      </c>
      <c r="B15219" s="219"/>
      <c r="C15219" s="219"/>
      <c r="D15219" s="219"/>
      <c r="E15219" s="219"/>
      <c r="F15219" s="219"/>
      <c r="G15219" s="52">
        <f>G15217+G15208+G15191+G15181+G15169</f>
        <v>803361</v>
      </c>
    </row>
    <row r="15220" spans="1:7" x14ac:dyDescent="0.25">
      <c r="A15220" s="59"/>
      <c r="B15220" s="60"/>
      <c r="C15220" s="60"/>
      <c r="D15220" s="60"/>
      <c r="E15220" s="57"/>
      <c r="F15220" s="57"/>
      <c r="G15220" s="58"/>
    </row>
    <row r="15221" spans="1:7" x14ac:dyDescent="0.25">
      <c r="A15221" s="64"/>
      <c r="D15221" s="55"/>
      <c r="E15221" s="49" t="s">
        <v>25</v>
      </c>
      <c r="F15221" s="54">
        <v>0.15</v>
      </c>
      <c r="G15221" s="51">
        <f>G15219*F15221</f>
        <v>120504.15</v>
      </c>
    </row>
    <row r="15222" spans="1:7" x14ac:dyDescent="0.25">
      <c r="A15222" s="64"/>
      <c r="D15222" s="55"/>
      <c r="E15222" s="49" t="s">
        <v>26</v>
      </c>
      <c r="F15222" s="54">
        <v>0.05</v>
      </c>
      <c r="G15222" s="51">
        <f>G15219*F15222</f>
        <v>40168.050000000003</v>
      </c>
    </row>
    <row r="15223" spans="1:7" x14ac:dyDescent="0.25">
      <c r="A15223" s="61"/>
      <c r="B15223" s="65"/>
      <c r="C15223" s="65"/>
      <c r="D15223" s="62"/>
      <c r="E15223" s="49" t="s">
        <v>27</v>
      </c>
      <c r="F15223" s="54">
        <v>0.05</v>
      </c>
      <c r="G15223" s="51">
        <f>G15219*F15223</f>
        <v>40168.050000000003</v>
      </c>
    </row>
    <row r="15224" spans="1:7" x14ac:dyDescent="0.25">
      <c r="A15224" s="61"/>
      <c r="B15224" s="62"/>
      <c r="C15224" s="62"/>
      <c r="D15224" s="62"/>
      <c r="E15224" s="62"/>
      <c r="F15224" s="62"/>
      <c r="G15224" s="63"/>
    </row>
    <row r="15225" spans="1:7" x14ac:dyDescent="0.25">
      <c r="A15225" s="219" t="s">
        <v>1517</v>
      </c>
      <c r="B15225" s="219"/>
      <c r="C15225" s="219"/>
      <c r="D15225" s="219"/>
      <c r="E15225" s="219"/>
      <c r="F15225" s="219"/>
      <c r="G15225" s="52">
        <f>G15219+G15221+G15222+G15223</f>
        <v>1004201.2500000001</v>
      </c>
    </row>
    <row r="15226" spans="1:7" x14ac:dyDescent="0.25">
      <c r="A15226" s="59"/>
      <c r="B15226" s="60"/>
      <c r="C15226" s="60"/>
      <c r="D15226" s="60"/>
      <c r="E15226" s="57"/>
      <c r="F15226" s="57"/>
      <c r="G15226" s="58"/>
    </row>
    <row r="15227" spans="1:7" x14ac:dyDescent="0.25">
      <c r="A15227" s="64"/>
      <c r="D15227" s="55"/>
      <c r="E15227" s="49" t="s">
        <v>102</v>
      </c>
      <c r="F15227" s="49" t="s">
        <v>103</v>
      </c>
      <c r="G15227" s="51">
        <f>G15223*19%</f>
        <v>7631.9295000000002</v>
      </c>
    </row>
    <row r="15228" spans="1:7" x14ac:dyDescent="0.25">
      <c r="A15228" s="61"/>
      <c r="B15228" s="62"/>
      <c r="C15228" s="62"/>
      <c r="D15228" s="62"/>
      <c r="E15228" s="57"/>
      <c r="F15228" s="57"/>
      <c r="G15228" s="58"/>
    </row>
    <row r="15229" spans="1:7" x14ac:dyDescent="0.25">
      <c r="A15229" s="219" t="s">
        <v>104</v>
      </c>
      <c r="B15229" s="219"/>
      <c r="C15229" s="219"/>
      <c r="D15229" s="219"/>
      <c r="E15229" s="219"/>
      <c r="F15229" s="219"/>
      <c r="G15229" s="52">
        <f>G15227+G15225</f>
        <v>1011833.1795000001</v>
      </c>
    </row>
    <row r="15231" spans="1:7" x14ac:dyDescent="0.25">
      <c r="A15231" s="74" t="s">
        <v>29</v>
      </c>
      <c r="B15231" s="226" t="s">
        <v>30</v>
      </c>
      <c r="C15231" s="226"/>
      <c r="D15231" s="74" t="s">
        <v>31</v>
      </c>
      <c r="E15231" s="74" t="s">
        <v>32</v>
      </c>
      <c r="F15231" s="74" t="s">
        <v>189</v>
      </c>
      <c r="G15231" s="74" t="s">
        <v>33</v>
      </c>
    </row>
    <row r="15232" spans="1:7" ht="42.75" customHeight="1" x14ac:dyDescent="0.25">
      <c r="A15232" s="50" t="str">
        <f>Presupuesto!B284</f>
        <v>029_N2</v>
      </c>
      <c r="B15232" s="220" t="str">
        <f>Presupuesto!C284</f>
        <v>SUMINISTRO E INSTALACIÓN DE CABLE CABLE 3X500 kcmil -  MV-105 XLPE –  15 kV – Cu – 133 % - Monopolar - Pantalla en Cinta de Cu FR-SR/PVC. INCLUYE TERMINALES PREMOLDEADOS</v>
      </c>
      <c r="C15232" s="220"/>
      <c r="D15232" s="50" t="s">
        <v>108</v>
      </c>
      <c r="E15232" s="93">
        <v>35</v>
      </c>
      <c r="F15232" s="50"/>
      <c r="G15232" s="51">
        <f>G15299</f>
        <v>1898181.1144999999</v>
      </c>
    </row>
    <row r="15233" spans="1:7" x14ac:dyDescent="0.25">
      <c r="A15233" s="219" t="s">
        <v>34</v>
      </c>
      <c r="B15233" s="219"/>
      <c r="C15233" s="219"/>
      <c r="D15233" s="219"/>
      <c r="E15233" s="219"/>
      <c r="F15233" s="219"/>
      <c r="G15233" s="219"/>
    </row>
    <row r="15234" spans="1:7" x14ac:dyDescent="0.25">
      <c r="A15234" s="49" t="s">
        <v>35</v>
      </c>
      <c r="B15234" s="219" t="s">
        <v>36</v>
      </c>
      <c r="C15234" s="219"/>
      <c r="D15234" s="49" t="s">
        <v>37</v>
      </c>
      <c r="E15234" s="49" t="s">
        <v>38</v>
      </c>
      <c r="F15234" s="49" t="s">
        <v>39</v>
      </c>
      <c r="G15234" s="49" t="s">
        <v>40</v>
      </c>
    </row>
    <row r="15235" spans="1:7" x14ac:dyDescent="0.25">
      <c r="A15235" s="17" t="str">
        <f>Material!A411</f>
        <v>MA-410</v>
      </c>
      <c r="B15235" s="72" t="str">
        <f>IFERROR(VLOOKUP(A15235,Material!$A:$H,2,0),"-")</f>
        <v>CABLE 500 KCMIL Cu XLPE 15KV</v>
      </c>
      <c r="C15235" s="73"/>
      <c r="D15235" s="50" t="str">
        <f>IFERROR(VLOOKUP(A15235,Material!$A:$H,4,0),"-")</f>
        <v>ML</v>
      </c>
      <c r="E15235" s="50">
        <v>3</v>
      </c>
      <c r="F15235" s="51">
        <f>IFERROR(VLOOKUP(A15235,Material!$A:$H,3,0),"-")</f>
        <v>484120.55999999994</v>
      </c>
      <c r="G15235" s="51">
        <f t="shared" ref="G15235:G15238" si="216">IFERROR(ROUNDUP(F15235*E15235,0),"-")</f>
        <v>1452362</v>
      </c>
    </row>
    <row r="15236" spans="1:7" ht="27" customHeight="1" x14ac:dyDescent="0.25">
      <c r="A15236" s="17" t="str">
        <f>Material!A445</f>
        <v>MA-444</v>
      </c>
      <c r="B15236" s="221" t="str">
        <f>IFERROR(VLOOKUP(A15236,Material!$A:$H,2,0),"-")</f>
        <v>TERMINALES PREMOLDEADAS PARA 15 KV-USO EXTERIOR PARA CALIBRES DE CABLE ENTRE 250-500</v>
      </c>
      <c r="C15236" s="222"/>
      <c r="D15236" s="50" t="str">
        <f>IFERROR(VLOOKUP(A15236,Material!$A:$H,4,0),"-")</f>
        <v>UN</v>
      </c>
      <c r="E15236" s="50">
        <f>3*2/100</f>
        <v>0.06</v>
      </c>
      <c r="F15236" s="51">
        <f>IFERROR(VLOOKUP(A15236,Material!$A:$H,3,0),"-")</f>
        <v>249448.33333333334</v>
      </c>
      <c r="G15236" s="51">
        <f t="shared" si="216"/>
        <v>14967</v>
      </c>
    </row>
    <row r="15237" spans="1:7" x14ac:dyDescent="0.25">
      <c r="A15237" s="17"/>
      <c r="B15237" s="72" t="str">
        <f>IFERROR(VLOOKUP(A15237,Material!$A:$H,2,0),"-")</f>
        <v>-</v>
      </c>
      <c r="C15237" s="73"/>
      <c r="D15237" s="50" t="str">
        <f>IFERROR(VLOOKUP(A15237,Material!$A:$H,4,0),"-")</f>
        <v>-</v>
      </c>
      <c r="E15237" s="50"/>
      <c r="F15237" s="51" t="str">
        <f>IFERROR(VLOOKUP(A15237,Material!$A:$H,3,0),"-")</f>
        <v>-</v>
      </c>
      <c r="G15237" s="51" t="str">
        <f t="shared" si="216"/>
        <v>-</v>
      </c>
    </row>
    <row r="15238" spans="1:7" x14ac:dyDescent="0.25">
      <c r="A15238" s="17"/>
      <c r="B15238" s="72" t="str">
        <f>IFERROR(VLOOKUP(A15238,Material!$A:$H,2,0),"-")</f>
        <v>-</v>
      </c>
      <c r="C15238" s="73"/>
      <c r="D15238" s="50" t="str">
        <f>IFERROR(VLOOKUP(A15238,Material!$A:$H,4,0),"-")</f>
        <v>-</v>
      </c>
      <c r="E15238" s="50"/>
      <c r="F15238" s="51" t="str">
        <f>IFERROR(VLOOKUP(A15238,Material!$A:$H,3,0),"-")</f>
        <v>-</v>
      </c>
      <c r="G15238" s="51" t="str">
        <f t="shared" si="216"/>
        <v>-</v>
      </c>
    </row>
    <row r="15239" spans="1:7" x14ac:dyDescent="0.25">
      <c r="A15239" s="219" t="s">
        <v>41</v>
      </c>
      <c r="B15239" s="219"/>
      <c r="C15239" s="219"/>
      <c r="D15239" s="219"/>
      <c r="E15239" s="219"/>
      <c r="F15239" s="219"/>
      <c r="G15239" s="52">
        <f>SUM(G15235:G15238)</f>
        <v>1467329</v>
      </c>
    </row>
    <row r="15240" spans="1:7" x14ac:dyDescent="0.25">
      <c r="A15240" s="56"/>
      <c r="B15240" s="57"/>
      <c r="C15240" s="57"/>
      <c r="D15240" s="57"/>
      <c r="E15240" s="57"/>
      <c r="F15240" s="57"/>
      <c r="G15240" s="58"/>
    </row>
    <row r="15241" spans="1:7" x14ac:dyDescent="0.25">
      <c r="A15241" s="219" t="s">
        <v>42</v>
      </c>
      <c r="B15241" s="219"/>
      <c r="C15241" s="219"/>
      <c r="D15241" s="219"/>
      <c r="E15241" s="219"/>
      <c r="F15241" s="219"/>
      <c r="G15241" s="219"/>
    </row>
    <row r="15242" spans="1:7" x14ac:dyDescent="0.25">
      <c r="A15242" s="49" t="s">
        <v>35</v>
      </c>
      <c r="B15242" s="49" t="s">
        <v>36</v>
      </c>
      <c r="C15242" s="49" t="s">
        <v>38</v>
      </c>
      <c r="D15242" s="49" t="s">
        <v>43</v>
      </c>
      <c r="E15242" s="49" t="s">
        <v>44</v>
      </c>
      <c r="F15242" s="49" t="s">
        <v>45</v>
      </c>
      <c r="G15242" s="49" t="s">
        <v>40</v>
      </c>
    </row>
    <row r="15243" spans="1:7" x14ac:dyDescent="0.25">
      <c r="A15243" s="50" t="s">
        <v>319</v>
      </c>
      <c r="B15243" s="68" t="str">
        <f>VLOOKUP(A15243,'Componentes APUs'!$H$1:$L$25,2,0)</f>
        <v>Ingeniero Residente de Obra</v>
      </c>
      <c r="C15243" s="93">
        <v>0.25</v>
      </c>
      <c r="D15243" s="50">
        <f>VLOOKUP(A15243,'Componentes APUs'!$H$1:$L$25,3,0)</f>
        <v>4</v>
      </c>
      <c r="E15243" s="51">
        <f>VLOOKUP(A15243,'Componentes APUs'!$H$1:$L$25,4,0)</f>
        <v>271142.85714285716</v>
      </c>
      <c r="F15243" s="51">
        <f>VLOOKUP(A15243,'Componentes APUs'!$H$1:$L$25,5,0)</f>
        <v>162685.71428571429</v>
      </c>
      <c r="G15243" s="51">
        <f>ROUNDUP((E15243+F15243)*C15243/E15232,0)</f>
        <v>3099</v>
      </c>
    </row>
    <row r="15244" spans="1:7" x14ac:dyDescent="0.25">
      <c r="A15244" s="50" t="s">
        <v>320</v>
      </c>
      <c r="B15244" s="68" t="str">
        <f>VLOOKUP(A15244,'Componentes APUs'!$H$1:$L$25,2,0)</f>
        <v>Tecnico Supervisor</v>
      </c>
      <c r="C15244" s="93">
        <v>0.25</v>
      </c>
      <c r="D15244" s="50">
        <f>VLOOKUP(A15244,'Componentes APUs'!$H$1:$L$25,3,0)</f>
        <v>2.2999999999999998</v>
      </c>
      <c r="E15244" s="51">
        <f>VLOOKUP(A15244,'Componentes APUs'!$H$1:$L$25,4,0)</f>
        <v>155907.14285714284</v>
      </c>
      <c r="F15244" s="51">
        <f>VLOOKUP(A15244,'Componentes APUs'!$H$1:$L$25,5,0)</f>
        <v>93544.285714285696</v>
      </c>
      <c r="G15244" s="51">
        <f>ROUNDUP((E15244+F15244)*C15244/E15232,0)</f>
        <v>1782</v>
      </c>
    </row>
    <row r="15245" spans="1:7" x14ac:dyDescent="0.25">
      <c r="A15245" s="50" t="s">
        <v>46</v>
      </c>
      <c r="B15245" s="68" t="str">
        <f>VLOOKUP(A15245,'Componentes APUs'!$H$1:$L$25,2,0)</f>
        <v>Tecnico Liniero</v>
      </c>
      <c r="C15245" s="93">
        <v>2</v>
      </c>
      <c r="D15245" s="50">
        <f>VLOOKUP(A15245,'Componentes APUs'!$H$1:$L$25,3,0)</f>
        <v>2</v>
      </c>
      <c r="E15245" s="51">
        <f>VLOOKUP(A15245,'Componentes APUs'!$H$1:$L$25,4,0)</f>
        <v>154619.04761904763</v>
      </c>
      <c r="F15245" s="51">
        <f>VLOOKUP(A15245,'Componentes APUs'!$H$1:$L$25,5,0)</f>
        <v>92771.42857142858</v>
      </c>
      <c r="G15245" s="51">
        <f>ROUNDUP((E15245+F15245)*C15245/E15232,0)</f>
        <v>14137</v>
      </c>
    </row>
    <row r="15246" spans="1:7" x14ac:dyDescent="0.25">
      <c r="A15246" s="50" t="s">
        <v>48</v>
      </c>
      <c r="B15246" s="68" t="str">
        <f>VLOOKUP(A15246,'Componentes APUs'!$H$1:$L$25,2,0)</f>
        <v>Ayudante Calificado</v>
      </c>
      <c r="C15246" s="93">
        <v>2</v>
      </c>
      <c r="D15246" s="50">
        <f>VLOOKUP(A15246,'Componentes APUs'!$H$1:$L$25,3,0)</f>
        <v>1.5</v>
      </c>
      <c r="E15246" s="51">
        <f>VLOOKUP(A15246,'Componentes APUs'!$H$1:$L$25,4,0)</f>
        <v>115964.28571428571</v>
      </c>
      <c r="F15246" s="51">
        <f>VLOOKUP(A15246,'Componentes APUs'!$H$1:$L$25,5,0)</f>
        <v>69578.57142857142</v>
      </c>
      <c r="G15246" s="51">
        <f>ROUNDUP((E15246+F15246)*C15246/E15232,0)</f>
        <v>10603</v>
      </c>
    </row>
    <row r="15247" spans="1:7" x14ac:dyDescent="0.25">
      <c r="A15247" s="50" t="s">
        <v>50</v>
      </c>
      <c r="B15247" s="68" t="str">
        <f>VLOOKUP(A15247,'Componentes APUs'!$H$1:$L$25,2,0)</f>
        <v>Profesional en SST</v>
      </c>
      <c r="C15247" s="93">
        <v>0.25</v>
      </c>
      <c r="D15247" s="50">
        <f>VLOOKUP(A15247,'Componentes APUs'!$H$1:$L$25,3,0)</f>
        <v>2.5</v>
      </c>
      <c r="E15247" s="51">
        <f>VLOOKUP(A15247,'Componentes APUs'!$H$1:$L$25,4,0)</f>
        <v>169464.28571428571</v>
      </c>
      <c r="F15247" s="51">
        <f>VLOOKUP(A15247,'Componentes APUs'!$H$1:$L$25,5,0)</f>
        <v>101678.57142857142</v>
      </c>
      <c r="G15247" s="51">
        <f>ROUNDUP((E15247+F15247)*C15247/E15232,0)</f>
        <v>1937</v>
      </c>
    </row>
    <row r="15248" spans="1:7" x14ac:dyDescent="0.25">
      <c r="A15248" s="50" t="s">
        <v>52</v>
      </c>
      <c r="B15248" s="68" t="str">
        <f>VLOOKUP(A15248,'Componentes APUs'!$H$1:$L$25,2,0)</f>
        <v>Ayudante No Calificado</v>
      </c>
      <c r="C15248" s="93">
        <v>0</v>
      </c>
      <c r="D15248" s="50">
        <f>VLOOKUP(A15248,'Componentes APUs'!$H$1:$L$25,3,0)</f>
        <v>1</v>
      </c>
      <c r="E15248" s="51">
        <f>VLOOKUP(A15248,'Componentes APUs'!$H$1:$L$25,4,0)</f>
        <v>77309.523809523816</v>
      </c>
      <c r="F15248" s="51">
        <f>VLOOKUP(A15248,'Componentes APUs'!$H$1:$L$25,5,0)</f>
        <v>46385.71428571429</v>
      </c>
      <c r="G15248" s="51">
        <f>ROUNDUP((E15248+F15248)*C15248/E15232,0)</f>
        <v>0</v>
      </c>
    </row>
    <row r="15249" spans="1:7" x14ac:dyDescent="0.25">
      <c r="A15249" s="50" t="s">
        <v>54</v>
      </c>
      <c r="B15249" s="68" t="str">
        <f>VLOOKUP(A15249,'Componentes APUs'!$H$1:$L$25,2,0)</f>
        <v>Maestro de obra civil</v>
      </c>
      <c r="C15249" s="93">
        <v>0</v>
      </c>
      <c r="D15249" s="50">
        <f>VLOOKUP(A15249,'Componentes APUs'!$H$1:$L$25,3,0)</f>
        <v>2.5</v>
      </c>
      <c r="E15249" s="51">
        <f>VLOOKUP(A15249,'Componentes APUs'!$H$1:$L$25,4,0)</f>
        <v>169464.28571428571</v>
      </c>
      <c r="F15249" s="51">
        <f>VLOOKUP(A15249,'Componentes APUs'!$H$1:$L$25,5,0)</f>
        <v>101678.57142857142</v>
      </c>
      <c r="G15249" s="51">
        <f>ROUNDUP((E15249+F15249)*C15249/E15232,0)</f>
        <v>0</v>
      </c>
    </row>
    <row r="15250" spans="1:7" x14ac:dyDescent="0.25">
      <c r="A15250" s="50" t="s">
        <v>1116</v>
      </c>
      <c r="B15250" s="68" t="str">
        <f>VLOOKUP(A15250,'Componentes APUs'!$H$1:$L$25,2,0)</f>
        <v>Ingeniero Civil Residente de Obra</v>
      </c>
      <c r="C15250" s="93">
        <v>0</v>
      </c>
      <c r="D15250" s="50">
        <f>VLOOKUP(A15250,'Componentes APUs'!$H$1:$L$25,3,0)</f>
        <v>3</v>
      </c>
      <c r="E15250" s="51">
        <f>VLOOKUP(A15250,'Componentes APUs'!$H$1:$L$25,4,0)</f>
        <v>203357.14285714287</v>
      </c>
      <c r="F15250" s="51">
        <f>VLOOKUP(A15250,'Componentes APUs'!$H$1:$L$25,5,0)</f>
        <v>122014.28571428571</v>
      </c>
      <c r="G15250" s="51">
        <f>ROUNDUP((E15250+F15250)*C15250/E15232,0)</f>
        <v>0</v>
      </c>
    </row>
    <row r="15251" spans="1:7" x14ac:dyDescent="0.25">
      <c r="A15251" s="219" t="s">
        <v>56</v>
      </c>
      <c r="B15251" s="219"/>
      <c r="C15251" s="219"/>
      <c r="D15251" s="219"/>
      <c r="E15251" s="219"/>
      <c r="F15251" s="219"/>
      <c r="G15251" s="52">
        <f>SUM(G15243:G15250)</f>
        <v>31558</v>
      </c>
    </row>
    <row r="15252" spans="1:7" x14ac:dyDescent="0.25">
      <c r="A15252" s="56"/>
      <c r="B15252" s="57"/>
      <c r="C15252" s="57"/>
      <c r="D15252" s="57"/>
      <c r="E15252" s="57"/>
      <c r="F15252" s="57"/>
      <c r="G15252" s="58"/>
    </row>
    <row r="15253" spans="1:7" x14ac:dyDescent="0.25">
      <c r="A15253" s="219" t="s">
        <v>57</v>
      </c>
      <c r="B15253" s="219"/>
      <c r="C15253" s="219"/>
      <c r="D15253" s="219"/>
      <c r="E15253" s="219"/>
      <c r="F15253" s="219"/>
      <c r="G15253" s="219"/>
    </row>
    <row r="15254" spans="1:7" x14ac:dyDescent="0.25">
      <c r="A15254" s="49" t="s">
        <v>35</v>
      </c>
      <c r="B15254" s="219" t="s">
        <v>36</v>
      </c>
      <c r="C15254" s="219"/>
      <c r="D15254" s="49" t="s">
        <v>37</v>
      </c>
      <c r="E15254" s="49" t="s">
        <v>38</v>
      </c>
      <c r="F15254" s="49" t="s">
        <v>39</v>
      </c>
      <c r="G15254" s="49" t="s">
        <v>40</v>
      </c>
    </row>
    <row r="15255" spans="1:7" x14ac:dyDescent="0.25">
      <c r="A15255" s="50" t="s">
        <v>326</v>
      </c>
      <c r="B15255" s="220" t="str">
        <f>VLOOKUP(A15255,'Componentes APUs'!$S$1:$V$10,2,0)</f>
        <v>Juego Llaves</v>
      </c>
      <c r="C15255" s="220"/>
      <c r="D15255" s="50" t="s">
        <v>18</v>
      </c>
      <c r="E15255" s="50">
        <v>2</v>
      </c>
      <c r="F15255" s="51">
        <f>VLOOKUP(A15255,'Componentes APUs'!$S$1:$V$10,4,0)</f>
        <v>9167</v>
      </c>
      <c r="G15255" s="51">
        <f>ROUNDUP(F15255*((E15255/21)/E15232),0)</f>
        <v>25</v>
      </c>
    </row>
    <row r="15256" spans="1:7" x14ac:dyDescent="0.25">
      <c r="A15256" s="50" t="s">
        <v>58</v>
      </c>
      <c r="B15256" s="220" t="str">
        <f>VLOOKUP(A15256,'Componentes APUs'!$S$1:$V$10,2,0)</f>
        <v>Manila de servicio</v>
      </c>
      <c r="C15256" s="220"/>
      <c r="D15256" s="50" t="s">
        <v>18</v>
      </c>
      <c r="E15256" s="50">
        <v>2</v>
      </c>
      <c r="F15256" s="51">
        <f>VLOOKUP(A15256,'Componentes APUs'!$S$1:$V$10,4,0)</f>
        <v>2333</v>
      </c>
      <c r="G15256" s="51">
        <f>ROUNDUP(F15256*((E15256/21)/E15232),0)</f>
        <v>7</v>
      </c>
    </row>
    <row r="15257" spans="1:7" x14ac:dyDescent="0.25">
      <c r="A15257" s="50" t="s">
        <v>327</v>
      </c>
      <c r="B15257" s="220" t="str">
        <f>VLOOKUP(A15257,'Componentes APUs'!$S$1:$V$10,2,0)</f>
        <v>Tula portaherramientas</v>
      </c>
      <c r="C15257" s="220"/>
      <c r="D15257" s="50" t="s">
        <v>18</v>
      </c>
      <c r="E15257" s="50">
        <v>2</v>
      </c>
      <c r="F15257" s="51">
        <f>VLOOKUP(A15257,'Componentes APUs'!$S$1:$V$10,4,0)</f>
        <v>1250</v>
      </c>
      <c r="G15257" s="51">
        <f>ROUNDUP(F15257*((E15257/21)/E15232),0)</f>
        <v>4</v>
      </c>
    </row>
    <row r="15258" spans="1:7" x14ac:dyDescent="0.25">
      <c r="A15258" s="50" t="s">
        <v>60</v>
      </c>
      <c r="B15258" s="220" t="str">
        <f>VLOOKUP(A15258,'Componentes APUs'!$S$1:$V$10,2,0)</f>
        <v>Agarradoras</v>
      </c>
      <c r="C15258" s="220"/>
      <c r="D15258" s="50" t="s">
        <v>18</v>
      </c>
      <c r="E15258" s="50">
        <v>0</v>
      </c>
      <c r="F15258" s="51">
        <f>VLOOKUP(A15258,'Componentes APUs'!$S$1:$V$10,4,0)</f>
        <v>125000</v>
      </c>
      <c r="G15258" s="51">
        <f>ROUNDUP(F15258*((E15258/21)/E15232),0)</f>
        <v>0</v>
      </c>
    </row>
    <row r="15259" spans="1:7" x14ac:dyDescent="0.25">
      <c r="A15259" s="50" t="s">
        <v>62</v>
      </c>
      <c r="B15259" s="220" t="str">
        <f>VLOOKUP(A15259,'Componentes APUs'!$S$1:$V$10,2,0)</f>
        <v>Templadoras</v>
      </c>
      <c r="C15259" s="220"/>
      <c r="D15259" s="50" t="s">
        <v>18</v>
      </c>
      <c r="E15259" s="50">
        <v>0</v>
      </c>
      <c r="F15259" s="51">
        <f>VLOOKUP(A15259,'Componentes APUs'!$S$1:$V$10,4,0)</f>
        <v>250000</v>
      </c>
      <c r="G15259" s="51">
        <f>ROUNDUP(F15259*((E15259/21)/E15232),0)</f>
        <v>0</v>
      </c>
    </row>
    <row r="15260" spans="1:7" x14ac:dyDescent="0.25">
      <c r="A15260" s="50" t="s">
        <v>328</v>
      </c>
      <c r="B15260" s="220" t="str">
        <f>VLOOKUP(A15260,'Componentes APUs'!$S$1:$V$10,2,0)</f>
        <v>Herramienta Menor</v>
      </c>
      <c r="C15260" s="220"/>
      <c r="D15260" s="50" t="s">
        <v>18</v>
      </c>
      <c r="E15260" s="50">
        <v>2</v>
      </c>
      <c r="F15260" s="51">
        <f>VLOOKUP(A15260,'Componentes APUs'!$S$1:$V$10,4,0)</f>
        <v>75758</v>
      </c>
      <c r="G15260" s="51">
        <f>ROUNDUP(F15260*((E15260/21)/E15232),0)</f>
        <v>207</v>
      </c>
    </row>
    <row r="15261" spans="1:7" x14ac:dyDescent="0.25">
      <c r="A15261" s="219" t="s">
        <v>69</v>
      </c>
      <c r="B15261" s="219"/>
      <c r="C15261" s="219"/>
      <c r="D15261" s="219"/>
      <c r="E15261" s="219"/>
      <c r="F15261" s="219"/>
      <c r="G15261" s="52">
        <f>SUM(G15255:G15260)</f>
        <v>243</v>
      </c>
    </row>
    <row r="15262" spans="1:7" x14ac:dyDescent="0.25">
      <c r="A15262" s="56"/>
      <c r="B15262" s="57"/>
      <c r="C15262" s="57"/>
      <c r="D15262" s="57"/>
      <c r="E15262" s="57"/>
      <c r="F15262" s="57"/>
      <c r="G15262" s="58"/>
    </row>
    <row r="15263" spans="1:7" x14ac:dyDescent="0.25">
      <c r="A15263" s="219" t="s">
        <v>70</v>
      </c>
      <c r="B15263" s="219"/>
      <c r="C15263" s="219"/>
      <c r="D15263" s="219"/>
      <c r="E15263" s="219"/>
      <c r="F15263" s="219"/>
      <c r="G15263" s="219"/>
    </row>
    <row r="15264" spans="1:7" x14ac:dyDescent="0.25">
      <c r="A15264" s="49" t="s">
        <v>35</v>
      </c>
      <c r="B15264" s="219" t="s">
        <v>36</v>
      </c>
      <c r="C15264" s="219"/>
      <c r="D15264" s="49" t="s">
        <v>37</v>
      </c>
      <c r="E15264" s="49" t="s">
        <v>38</v>
      </c>
      <c r="F15264" s="49" t="s">
        <v>39</v>
      </c>
      <c r="G15264" s="49" t="s">
        <v>40</v>
      </c>
    </row>
    <row r="15265" spans="1:7" x14ac:dyDescent="0.25">
      <c r="A15265" s="50" t="s">
        <v>71</v>
      </c>
      <c r="B15265" s="72" t="str">
        <f>VLOOKUP(A15265,'Componentes APUs'!$A$1:$D$14,2,0)</f>
        <v>Camisa indigo sin partes metalicas</v>
      </c>
      <c r="C15265" s="73"/>
      <c r="D15265" s="50" t="str">
        <f>VLOOKUP(A15265,'Componentes APUs'!$A$1:$D$14,3,0)</f>
        <v>U</v>
      </c>
      <c r="E15265" s="50">
        <f>SUM(C15243:C15250)</f>
        <v>4.75</v>
      </c>
      <c r="F15265" s="51">
        <f>VLOOKUP(A15265,'Componentes APUs'!$A$1:$D$14,4,0)</f>
        <v>8585.8585858585866</v>
      </c>
      <c r="G15265" s="51">
        <f>ROUNDUP(F15265*(E15265/21)/E15232,0)</f>
        <v>56</v>
      </c>
    </row>
    <row r="15266" spans="1:7" x14ac:dyDescent="0.25">
      <c r="A15266" s="69" t="s">
        <v>73</v>
      </c>
      <c r="B15266" s="72" t="str">
        <f>VLOOKUP(A15266,'Componentes APUs'!$A$1:$D$14,2,0)</f>
        <v>Bota de seguridad dielectrica</v>
      </c>
      <c r="C15266" s="73"/>
      <c r="D15266" s="70" t="str">
        <f>VLOOKUP(A15266,'Componentes APUs'!$A$1:$D$14,3,0)</f>
        <v>Par</v>
      </c>
      <c r="E15266" s="50">
        <f>SUM(C15243:C15250)</f>
        <v>4.75</v>
      </c>
      <c r="F15266" s="51">
        <f>VLOOKUP(A15266,'Componentes APUs'!$A$1:$D$14,4,0)</f>
        <v>7500</v>
      </c>
      <c r="G15266" s="51">
        <f>ROUNDUP(F15266*(E15266/21)/E15232,0)</f>
        <v>49</v>
      </c>
    </row>
    <row r="15267" spans="1:7" x14ac:dyDescent="0.25">
      <c r="A15267" s="50" t="s">
        <v>76</v>
      </c>
      <c r="B15267" s="72" t="str">
        <f>VLOOKUP(A15267,'Componentes APUs'!$A$1:$D$14,2,0)</f>
        <v>Casco dielectrico Tipo 1 Clase E con barbuquejo</v>
      </c>
      <c r="C15267" s="73"/>
      <c r="D15267" s="50" t="str">
        <f>VLOOKUP(A15267,'Componentes APUs'!$A$1:$D$14,3,0)</f>
        <v>U</v>
      </c>
      <c r="E15267" s="50">
        <f>C15243+C15244+C15245+C15246+C15248+C15249+C15250+IF(A15245&lt;&gt;"MO-3",C15245,0)</f>
        <v>4.5</v>
      </c>
      <c r="F15267" s="51">
        <f>VLOOKUP(A15267,'Componentes APUs'!$A$1:$D$14,4,0)</f>
        <v>10101.010101010101</v>
      </c>
      <c r="G15267" s="51">
        <f>ROUNDUP(F15267*(E15267/21)/E15232,0)</f>
        <v>62</v>
      </c>
    </row>
    <row r="15268" spans="1:7" x14ac:dyDescent="0.25">
      <c r="A15268" s="69" t="s">
        <v>77</v>
      </c>
      <c r="B15268" s="72" t="str">
        <f>VLOOKUP(A15268,'Componentes APUs'!$A$1:$D$14,2,0)</f>
        <v>Correa plastica y antiflama</v>
      </c>
      <c r="C15268" s="73"/>
      <c r="D15268" s="50" t="str">
        <f>VLOOKUP(A15268,'Componentes APUs'!$A$1:$D$14,3,0)</f>
        <v>U</v>
      </c>
      <c r="E15268" s="50">
        <f>SUM(C15243:C15250)</f>
        <v>4.75</v>
      </c>
      <c r="F15268" s="51">
        <f>VLOOKUP(A15268,'Componentes APUs'!$A$1:$D$14,4,0)</f>
        <v>3787.878787878788</v>
      </c>
      <c r="G15268" s="51">
        <f>ROUNDUP(F15268*(E15268/21)/E15232,0)</f>
        <v>25</v>
      </c>
    </row>
    <row r="15269" spans="1:7" x14ac:dyDescent="0.25">
      <c r="A15269" s="50" t="s">
        <v>79</v>
      </c>
      <c r="B15269" s="72" t="str">
        <f>VLOOKUP(A15269,'Componentes APUs'!$A$1:$D$14,2,0)</f>
        <v>Gafas protectoras filtro UV</v>
      </c>
      <c r="C15269" s="73"/>
      <c r="D15269" s="50" t="str">
        <f>VLOOKUP(A15269,'Componentes APUs'!$A$1:$D$14,3,0)</f>
        <v>U</v>
      </c>
      <c r="E15269" s="50">
        <f>SUM(C15243:C15250)</f>
        <v>4.75</v>
      </c>
      <c r="F15269" s="51">
        <f>VLOOKUP(A15269,'Componentes APUs'!$A$1:$D$14,4,0)</f>
        <v>2777.7777777777778</v>
      </c>
      <c r="G15269" s="51">
        <f>ROUNDUP(F15269*(E15269/21)/E15232,0)</f>
        <v>18</v>
      </c>
    </row>
    <row r="15270" spans="1:7" x14ac:dyDescent="0.25">
      <c r="A15270" s="69" t="s">
        <v>402</v>
      </c>
      <c r="B15270" s="72" t="str">
        <f>VLOOKUP(A15270,'Componentes APUs'!$A$1:$D$14,2,0)</f>
        <v>Bota de seguridad PVC dielectrica</v>
      </c>
      <c r="C15270" s="73"/>
      <c r="D15270" s="50" t="str">
        <f>VLOOKUP(A15270,'Componentes APUs'!$A$1:$D$14,3,0)</f>
        <v>Par</v>
      </c>
      <c r="E15270" s="50">
        <f>SUM(C15243:C15250)</f>
        <v>4.75</v>
      </c>
      <c r="F15270" s="51">
        <f>VLOOKUP(A15270,'Componentes APUs'!$A$1:$D$14,4,0)</f>
        <v>2916.6666666666665</v>
      </c>
      <c r="G15270" s="51">
        <f>ROUNDUP(F15270*(E15270/21)/E15232,0)</f>
        <v>19</v>
      </c>
    </row>
    <row r="15271" spans="1:7" x14ac:dyDescent="0.25">
      <c r="A15271" s="50" t="s">
        <v>403</v>
      </c>
      <c r="B15271" s="72" t="str">
        <f>VLOOKUP(A15271,'Componentes APUs'!$A$1:$D$14,2,0)</f>
        <v>Capuchon</v>
      </c>
      <c r="C15271" s="73"/>
      <c r="D15271" s="50" t="str">
        <f>VLOOKUP(A15271,'Componentes APUs'!$A$1:$D$14,3,0)</f>
        <v>U</v>
      </c>
      <c r="E15271" s="50">
        <f>SUM(C15243:C15250)</f>
        <v>4.75</v>
      </c>
      <c r="F15271" s="51">
        <f>VLOOKUP(A15271,'Componentes APUs'!$A$1:$D$14,4,0)</f>
        <v>2525.2525252525252</v>
      </c>
      <c r="G15271" s="51">
        <f>ROUNDUP(F15271*(E15271/21)/E15232,0)</f>
        <v>17</v>
      </c>
    </row>
    <row r="15272" spans="1:7" x14ac:dyDescent="0.25">
      <c r="A15272" s="69" t="s">
        <v>81</v>
      </c>
      <c r="B15272" s="72" t="str">
        <f>VLOOKUP(A15272,'Componentes APUs'!$A$1:$D$14,2,0)</f>
        <v>Guantes Protectores  - ingeniero reforzados</v>
      </c>
      <c r="C15272" s="73"/>
      <c r="D15272" s="50" t="str">
        <f>VLOOKUP(A15272,'Componentes APUs'!$A$1:$D$14,3,0)</f>
        <v>Par</v>
      </c>
      <c r="E15272" s="50">
        <f>C15245+C15246+C15248</f>
        <v>4</v>
      </c>
      <c r="F15272" s="51">
        <f>VLOOKUP(A15272,'Componentes APUs'!$A$1:$D$14,4,0)</f>
        <v>2525.2525252525252</v>
      </c>
      <c r="G15272" s="51">
        <f>ROUNDUP(F15272*(E15272/21)/E15232,0)</f>
        <v>14</v>
      </c>
    </row>
    <row r="15273" spans="1:7" x14ac:dyDescent="0.25">
      <c r="A15273" s="50" t="s">
        <v>83</v>
      </c>
      <c r="B15273" s="72" t="str">
        <f>VLOOKUP(A15273,'Componentes APUs'!$A$1:$D$14,2,0)</f>
        <v>Impermeable (pantalon camisa)</v>
      </c>
      <c r="C15273" s="73"/>
      <c r="D15273" s="50" t="str">
        <f>VLOOKUP(A15273,'Componentes APUs'!$A$1:$D$14,3,0)</f>
        <v>U</v>
      </c>
      <c r="E15273" s="50">
        <f>SUM(C15243:C15250)</f>
        <v>4.75</v>
      </c>
      <c r="F15273" s="51">
        <f>VLOOKUP(A15273,'Componentes APUs'!$A$1:$D$14,4,0)</f>
        <v>3750</v>
      </c>
      <c r="G15273" s="51">
        <f>ROUNDUP(F15273*(E15273/21)/E15232,0)</f>
        <v>25</v>
      </c>
    </row>
    <row r="15274" spans="1:7" x14ac:dyDescent="0.25">
      <c r="A15274" s="69" t="s">
        <v>85</v>
      </c>
      <c r="B15274" s="72" t="str">
        <f>VLOOKUP(A15274,'Componentes APUs'!$A$1:$D$14,2,0)</f>
        <v>Jean Dielectrico</v>
      </c>
      <c r="C15274" s="73"/>
      <c r="D15274" s="50" t="str">
        <f>VLOOKUP(A15274,'Componentes APUs'!$A$1:$D$14,3,0)</f>
        <v>U</v>
      </c>
      <c r="E15274" s="50">
        <f>SUM(C15243:C15250)</f>
        <v>4.75</v>
      </c>
      <c r="F15274" s="51">
        <f>VLOOKUP(A15274,'Componentes APUs'!$A$1:$D$14,4,0)</f>
        <v>7575.757575757576</v>
      </c>
      <c r="G15274" s="51">
        <f>ROUNDUP(F15274*(E15274/21)/E15232,0)</f>
        <v>49</v>
      </c>
    </row>
    <row r="15275" spans="1:7" x14ac:dyDescent="0.25">
      <c r="A15275" s="50" t="s">
        <v>87</v>
      </c>
      <c r="B15275" s="72" t="str">
        <f>VLOOKUP(A15275,'Componentes APUs'!$A$1:$D$14,2,0)</f>
        <v>Casco dielectrico Tipo 2 Clase E con barboquejo</v>
      </c>
      <c r="C15275" s="73"/>
      <c r="D15275" s="50" t="str">
        <f>VLOOKUP(A15275,'Componentes APUs'!$A$1:$D$14,3,0)</f>
        <v>U</v>
      </c>
      <c r="E15275" s="53">
        <f>IF(A15245="MO-3",C15245,0)</f>
        <v>2</v>
      </c>
      <c r="F15275" s="51">
        <f>VLOOKUP(A15275,'Componentes APUs'!$A$1:$D$14,4,0)</f>
        <v>7500</v>
      </c>
      <c r="G15275" s="51">
        <f>ROUNDUP(F15275*(E15275/21)/E15232,0)</f>
        <v>21</v>
      </c>
    </row>
    <row r="15276" spans="1:7" x14ac:dyDescent="0.25">
      <c r="A15276" s="69" t="s">
        <v>89</v>
      </c>
      <c r="B15276" s="72" t="str">
        <f>VLOOKUP(A15276,'Componentes APUs'!$A$1:$D$14,2,0)</f>
        <v>Kit de rescate para trabajo en alturas</v>
      </c>
      <c r="C15276" s="73"/>
      <c r="D15276" s="50" t="str">
        <f>VLOOKUP(A15276,'Componentes APUs'!$A$1:$D$14,3,0)</f>
        <v>U</v>
      </c>
      <c r="E15276" s="50">
        <f>IF(AND(A15245="MO-3",C15245=2),1,0)</f>
        <v>1</v>
      </c>
      <c r="F15276" s="51">
        <f>VLOOKUP(A15276,'Componentes APUs'!$A$1:$D$14,4,0)</f>
        <v>37500</v>
      </c>
      <c r="G15276" s="51">
        <f>ROUNDUP(F15276*(E15276/21)/E15232,0)</f>
        <v>52</v>
      </c>
    </row>
    <row r="15277" spans="1:7" x14ac:dyDescent="0.25">
      <c r="A15277" s="50" t="s">
        <v>91</v>
      </c>
      <c r="B15277" s="72" t="str">
        <f>VLOOKUP(A15277,'Componentes APUs'!$A$1:$D$14,2,0)</f>
        <v>Equipo completo para trabajo en alturas con pretales (Arnes dielectrico, 1 mosqueton de seguridad, tie off dielectrico, eslinga de posicionamiento, juego de pretales)</v>
      </c>
      <c r="C15277" s="73"/>
      <c r="D15277" s="50" t="str">
        <f>VLOOKUP(A15277,'Componentes APUs'!$A$1:$D$14,3,0)</f>
        <v>U</v>
      </c>
      <c r="E15277" s="50">
        <f>IF(A15245="MO-3",C15245,0)</f>
        <v>2</v>
      </c>
      <c r="F15277" s="51">
        <f>VLOOKUP(A15277,'Componentes APUs'!$A$1:$D$14,4,0)</f>
        <v>26041.666666666668</v>
      </c>
      <c r="G15277" s="51">
        <f>ROUNDUP(F15277*(E15277/21)/E15232,0)</f>
        <v>71</v>
      </c>
    </row>
    <row r="15278" spans="1:7" x14ac:dyDescent="0.25">
      <c r="A15278" s="219" t="s">
        <v>95</v>
      </c>
      <c r="B15278" s="219"/>
      <c r="C15278" s="219"/>
      <c r="D15278" s="219"/>
      <c r="E15278" s="219"/>
      <c r="F15278" s="219"/>
      <c r="G15278" s="52">
        <f>SUM(G15265:G15277)</f>
        <v>478</v>
      </c>
    </row>
    <row r="15279" spans="1:7" x14ac:dyDescent="0.25">
      <c r="A15279" s="56"/>
      <c r="B15279" s="57"/>
      <c r="C15279" s="57"/>
      <c r="D15279" s="57"/>
      <c r="E15279" s="57"/>
      <c r="F15279" s="57"/>
      <c r="G15279" s="58"/>
    </row>
    <row r="15280" spans="1:7" x14ac:dyDescent="0.25">
      <c r="A15280" s="219" t="s">
        <v>96</v>
      </c>
      <c r="B15280" s="219"/>
      <c r="C15280" s="219"/>
      <c r="D15280" s="219"/>
      <c r="E15280" s="219"/>
      <c r="F15280" s="219"/>
      <c r="G15280" s="219"/>
    </row>
    <row r="15281" spans="1:7" x14ac:dyDescent="0.25">
      <c r="A15281" s="49" t="s">
        <v>35</v>
      </c>
      <c r="B15281" s="225" t="s">
        <v>36</v>
      </c>
      <c r="C15281" s="225"/>
      <c r="D15281" s="49" t="s">
        <v>37</v>
      </c>
      <c r="E15281" s="49" t="s">
        <v>38</v>
      </c>
      <c r="F15281" s="49" t="s">
        <v>39</v>
      </c>
      <c r="G15281" s="49" t="s">
        <v>40</v>
      </c>
    </row>
    <row r="15282" spans="1:7" x14ac:dyDescent="0.25">
      <c r="A15282" s="69" t="s">
        <v>97</v>
      </c>
      <c r="B15282" s="72" t="str">
        <f>VLOOKUP(A15282,'Componentes APUs'!$N$1:$Q$30,2,0)</f>
        <v>Camioneta</v>
      </c>
      <c r="C15282" s="73"/>
      <c r="D15282" s="70" t="str">
        <f>VLOOKUP(A15282,'Componentes APUs'!$N$1:$Q$30,3,0)</f>
        <v>U</v>
      </c>
      <c r="E15282" s="50">
        <v>1</v>
      </c>
      <c r="F15282" s="51">
        <f>VLOOKUP(A15282,'Componentes APUs'!$N$1:$Q$30,4,0)</f>
        <v>5500000</v>
      </c>
      <c r="G15282" s="51">
        <f>IFERROR(ROUNDUP(F15282*(E15282/21)/E15232,0),"-")</f>
        <v>7483</v>
      </c>
    </row>
    <row r="15283" spans="1:7" x14ac:dyDescent="0.25">
      <c r="A15283" s="50" t="s">
        <v>321</v>
      </c>
      <c r="B15283" s="72" t="str">
        <f>VLOOKUP(A15283,'Componentes APUs'!$N$1:$Q$30,2,0)</f>
        <v>Grúa Hidráulica</v>
      </c>
      <c r="C15283" s="73"/>
      <c r="D15283" s="70" t="str">
        <f>VLOOKUP(A15283,'Componentes APUs'!$N$1:$Q$30,3,0)</f>
        <v>U</v>
      </c>
      <c r="E15283" s="50">
        <v>0</v>
      </c>
      <c r="F15283" s="51">
        <f>VLOOKUP(A15283,'Componentes APUs'!$N$1:$Q$30,4,0)</f>
        <v>21000000</v>
      </c>
      <c r="G15283" s="51">
        <f>IFERROR(ROUNDUP(F15283*(E15283/21)/E15232,0),"-")</f>
        <v>0</v>
      </c>
    </row>
    <row r="15284" spans="1:7" x14ac:dyDescent="0.25">
      <c r="A15284" s="69" t="s">
        <v>322</v>
      </c>
      <c r="B15284" s="72" t="str">
        <f>VLOOKUP(A15284,'Componentes APUs'!$N$1:$Q$30,2,0)</f>
        <v>Camabaja</v>
      </c>
      <c r="C15284" s="73"/>
      <c r="D15284" s="70" t="str">
        <f>VLOOKUP(A15284,'Componentes APUs'!$N$1:$Q$30,3,0)</f>
        <v>TON/KM</v>
      </c>
      <c r="E15284" s="50">
        <v>0</v>
      </c>
      <c r="F15284" s="51">
        <f>VLOOKUP(A15284,'Componentes APUs'!$N$1:$Q$30,4,0)</f>
        <v>611</v>
      </c>
      <c r="G15284" s="51">
        <f>E15284*F15284</f>
        <v>0</v>
      </c>
    </row>
    <row r="15285" spans="1:7" x14ac:dyDescent="0.25">
      <c r="A15285" s="50" t="s">
        <v>323</v>
      </c>
      <c r="B15285" s="72" t="str">
        <f>VLOOKUP(A15285,'Componentes APUs'!$N$1:$Q$30,2,0)</f>
        <v>Volqueta</v>
      </c>
      <c r="C15285" s="73"/>
      <c r="D15285" s="70" t="str">
        <f>VLOOKUP(A15285,'Componentes APUs'!$N$1:$Q$30,3,0)</f>
        <v>U</v>
      </c>
      <c r="E15285" s="50">
        <v>0</v>
      </c>
      <c r="F15285" s="51">
        <f>VLOOKUP(A15285,'Componentes APUs'!$N$1:$Q$30,4,0)</f>
        <v>14828184</v>
      </c>
      <c r="G15285" s="51">
        <f>IFERROR(ROUNDUP(F15285*(E15285/21)/E15232,0),"-")</f>
        <v>0</v>
      </c>
    </row>
    <row r="15286" spans="1:7" x14ac:dyDescent="0.25">
      <c r="A15286" s="69" t="s">
        <v>324</v>
      </c>
      <c r="B15286" s="72" t="str">
        <f>VLOOKUP(A15286,'Componentes APUs'!$N$1:$Q$30,2,0)</f>
        <v>Retroexcavadora</v>
      </c>
      <c r="C15286" s="73"/>
      <c r="D15286" s="70" t="str">
        <f>VLOOKUP(A15286,'Componentes APUs'!$N$1:$Q$30,3,0)</f>
        <v>U</v>
      </c>
      <c r="E15286" s="50">
        <v>0</v>
      </c>
      <c r="F15286" s="51">
        <f>VLOOKUP(A15286,'Componentes APUs'!$N$1:$Q$30,4,0)</f>
        <v>46030656</v>
      </c>
      <c r="G15286" s="51">
        <f>IFERROR(ROUNDUP(F15286*(E15286/21)/E15232,0),"-")</f>
        <v>0</v>
      </c>
    </row>
    <row r="15287" spans="1:7" x14ac:dyDescent="0.25">
      <c r="A15287" s="219" t="s">
        <v>99</v>
      </c>
      <c r="B15287" s="219"/>
      <c r="C15287" s="219"/>
      <c r="D15287" s="219"/>
      <c r="E15287" s="219"/>
      <c r="F15287" s="219"/>
      <c r="G15287" s="52">
        <f>SUM(G15282:G15286)</f>
        <v>7483</v>
      </c>
    </row>
    <row r="15288" spans="1:7" x14ac:dyDescent="0.25">
      <c r="A15288" s="56"/>
      <c r="B15288" s="57"/>
      <c r="C15288" s="57"/>
      <c r="D15288" s="57"/>
      <c r="E15288" s="57"/>
      <c r="F15288" s="57"/>
      <c r="G15288" s="58"/>
    </row>
    <row r="15289" spans="1:7" x14ac:dyDescent="0.25">
      <c r="A15289" s="219" t="s">
        <v>1516</v>
      </c>
      <c r="B15289" s="219"/>
      <c r="C15289" s="219"/>
      <c r="D15289" s="219"/>
      <c r="E15289" s="219"/>
      <c r="F15289" s="219"/>
      <c r="G15289" s="52">
        <f>G15287+G15278+G15261+G15251+G15239</f>
        <v>1507091</v>
      </c>
    </row>
    <row r="15290" spans="1:7" x14ac:dyDescent="0.25">
      <c r="A15290" s="59"/>
      <c r="B15290" s="60"/>
      <c r="C15290" s="60"/>
      <c r="D15290" s="60"/>
      <c r="E15290" s="57"/>
      <c r="F15290" s="57"/>
      <c r="G15290" s="58"/>
    </row>
    <row r="15291" spans="1:7" x14ac:dyDescent="0.25">
      <c r="A15291" s="64"/>
      <c r="D15291" s="55"/>
      <c r="E15291" s="49" t="s">
        <v>25</v>
      </c>
      <c r="F15291" s="54">
        <v>0.15</v>
      </c>
      <c r="G15291" s="51">
        <f>G15289*F15291</f>
        <v>226063.65</v>
      </c>
    </row>
    <row r="15292" spans="1:7" x14ac:dyDescent="0.25">
      <c r="A15292" s="64"/>
      <c r="D15292" s="55"/>
      <c r="E15292" s="49" t="s">
        <v>26</v>
      </c>
      <c r="F15292" s="54">
        <v>0.05</v>
      </c>
      <c r="G15292" s="51">
        <f>G15289*F15292</f>
        <v>75354.55</v>
      </c>
    </row>
    <row r="15293" spans="1:7" x14ac:dyDescent="0.25">
      <c r="A15293" s="61"/>
      <c r="B15293" s="65"/>
      <c r="C15293" s="65"/>
      <c r="D15293" s="62"/>
      <c r="E15293" s="49" t="s">
        <v>27</v>
      </c>
      <c r="F15293" s="54">
        <v>0.05</v>
      </c>
      <c r="G15293" s="51">
        <f>G15289*F15293</f>
        <v>75354.55</v>
      </c>
    </row>
    <row r="15294" spans="1:7" x14ac:dyDescent="0.25">
      <c r="A15294" s="61"/>
      <c r="B15294" s="62"/>
      <c r="C15294" s="62"/>
      <c r="D15294" s="62"/>
      <c r="E15294" s="62"/>
      <c r="F15294" s="62"/>
      <c r="G15294" s="63"/>
    </row>
    <row r="15295" spans="1:7" x14ac:dyDescent="0.25">
      <c r="A15295" s="219" t="s">
        <v>1517</v>
      </c>
      <c r="B15295" s="219"/>
      <c r="C15295" s="219"/>
      <c r="D15295" s="219"/>
      <c r="E15295" s="219"/>
      <c r="F15295" s="219"/>
      <c r="G15295" s="52">
        <f>G15289+G15291+G15292+G15293</f>
        <v>1883863.75</v>
      </c>
    </row>
    <row r="15296" spans="1:7" x14ac:dyDescent="0.25">
      <c r="A15296" s="59"/>
      <c r="B15296" s="60"/>
      <c r="C15296" s="60"/>
      <c r="D15296" s="60"/>
      <c r="E15296" s="57"/>
      <c r="F15296" s="57"/>
      <c r="G15296" s="58"/>
    </row>
    <row r="15297" spans="1:7" x14ac:dyDescent="0.25">
      <c r="A15297" s="64"/>
      <c r="D15297" s="55"/>
      <c r="E15297" s="49" t="s">
        <v>102</v>
      </c>
      <c r="F15297" s="49" t="s">
        <v>103</v>
      </c>
      <c r="G15297" s="51">
        <f>G15293*19%</f>
        <v>14317.364500000001</v>
      </c>
    </row>
    <row r="15298" spans="1:7" x14ac:dyDescent="0.25">
      <c r="A15298" s="61"/>
      <c r="B15298" s="62"/>
      <c r="C15298" s="62"/>
      <c r="D15298" s="62"/>
      <c r="E15298" s="57"/>
      <c r="F15298" s="57"/>
      <c r="G15298" s="58"/>
    </row>
    <row r="15299" spans="1:7" x14ac:dyDescent="0.25">
      <c r="A15299" s="219" t="s">
        <v>104</v>
      </c>
      <c r="B15299" s="219"/>
      <c r="C15299" s="219"/>
      <c r="D15299" s="219"/>
      <c r="E15299" s="219"/>
      <c r="F15299" s="219"/>
      <c r="G15299" s="52">
        <f>G15297+G15295</f>
        <v>1898181.1144999999</v>
      </c>
    </row>
    <row r="15301" spans="1:7" x14ac:dyDescent="0.25">
      <c r="A15301" s="74" t="s">
        <v>29</v>
      </c>
      <c r="B15301" s="237" t="s">
        <v>30</v>
      </c>
      <c r="C15301" s="238"/>
      <c r="D15301" s="74" t="s">
        <v>31</v>
      </c>
      <c r="E15301" s="74" t="s">
        <v>32</v>
      </c>
      <c r="F15301" s="74" t="s">
        <v>189</v>
      </c>
      <c r="G15301" s="74" t="s">
        <v>33</v>
      </c>
    </row>
    <row r="15302" spans="1:7" ht="34.5" customHeight="1" x14ac:dyDescent="0.25">
      <c r="A15302" s="50" t="str">
        <f>Presupuesto!B288</f>
        <v>033_N2</v>
      </c>
      <c r="B15302" s="242" t="str">
        <f>Presupuesto!C288</f>
        <v>SUMINISTRO E INSTALACIÓN DE CANALIZACIÓN  EN TUBERIA  PVC DE 4" PARA CABLES DE POTENCIA</v>
      </c>
      <c r="C15302" s="239"/>
      <c r="D15302" s="50" t="s">
        <v>108</v>
      </c>
      <c r="E15302" s="50">
        <v>134</v>
      </c>
      <c r="F15302" s="50"/>
      <c r="G15302" s="51">
        <f>G15368</f>
        <v>53819.694500000005</v>
      </c>
    </row>
    <row r="15303" spans="1:7" x14ac:dyDescent="0.25">
      <c r="A15303" s="234" t="s">
        <v>34</v>
      </c>
      <c r="B15303" s="236"/>
      <c r="C15303" s="236"/>
      <c r="D15303" s="236"/>
      <c r="E15303" s="236"/>
      <c r="F15303" s="236"/>
      <c r="G15303" s="235"/>
    </row>
    <row r="15304" spans="1:7" x14ac:dyDescent="0.25">
      <c r="A15304" s="49" t="s">
        <v>35</v>
      </c>
      <c r="B15304" s="234" t="s">
        <v>36</v>
      </c>
      <c r="C15304" s="235"/>
      <c r="D15304" s="49" t="s">
        <v>37</v>
      </c>
      <c r="E15304" s="49" t="s">
        <v>38</v>
      </c>
      <c r="F15304" s="49" t="s">
        <v>39</v>
      </c>
      <c r="G15304" s="49" t="s">
        <v>40</v>
      </c>
    </row>
    <row r="15305" spans="1:7" x14ac:dyDescent="0.25">
      <c r="A15305" s="17" t="str">
        <f>Material!A61</f>
        <v>MA-60</v>
      </c>
      <c r="B15305" s="72" t="str">
        <f>IFERROR(VLOOKUP(A15305,Material!$A:$H,2,0),"-")</f>
        <v xml:space="preserve">TUBO DUCTO PVC DB DE 4" </v>
      </c>
      <c r="C15305" s="73"/>
      <c r="D15305" s="50" t="str">
        <f>IFERROR(VLOOKUP(A15305,Material!$A:$H,4,0),"-")</f>
        <v>ML</v>
      </c>
      <c r="E15305" s="50">
        <v>1</v>
      </c>
      <c r="F15305" s="51">
        <f>IFERROR(VLOOKUP(A15305,Material!$A:$H,3,0),"-")</f>
        <v>22219.166666666668</v>
      </c>
      <c r="G15305" s="51">
        <f t="shared" ref="G15305:G15309" si="217">IFERROR(ROUNDUP(F15305*E15305,0),"-")</f>
        <v>22220</v>
      </c>
    </row>
    <row r="15306" spans="1:7" x14ac:dyDescent="0.25">
      <c r="A15306" s="17" t="str">
        <f>Material!A435</f>
        <v>MA-434</v>
      </c>
      <c r="B15306" s="72" t="str">
        <f>IFERROR(VLOOKUP(A15306,Material!$A:$H,2,0),"-")</f>
        <v>CURVA PVC 4" DB</v>
      </c>
      <c r="C15306" s="73"/>
      <c r="D15306" s="50" t="str">
        <f>IFERROR(VLOOKUP(A15306,Material!$A:$H,4,0),"-")</f>
        <v>UN</v>
      </c>
      <c r="E15306" s="50">
        <f>1/10</f>
        <v>0.1</v>
      </c>
      <c r="F15306" s="51">
        <f>IFERROR(VLOOKUP(A15306,Material!$A:$H,3,0),"-")</f>
        <v>30355</v>
      </c>
      <c r="G15306" s="51">
        <f t="shared" si="217"/>
        <v>3036</v>
      </c>
    </row>
    <row r="15307" spans="1:7" x14ac:dyDescent="0.25">
      <c r="A15307" s="17" t="str">
        <f>Material!A203</f>
        <v>MA-202</v>
      </c>
      <c r="B15307" s="72" t="str">
        <f>IFERROR(VLOOKUP(A15307,Material!$A:$H,2,0),"-")</f>
        <v>CAMPANA PVC 4"</v>
      </c>
      <c r="C15307" s="73"/>
      <c r="D15307" s="50" t="s">
        <v>108</v>
      </c>
      <c r="E15307" s="107">
        <f>1/30</f>
        <v>3.3333333333333333E-2</v>
      </c>
      <c r="F15307" s="51">
        <f>IFERROR(VLOOKUP(A15307,Material!$A:$H,3,0),"-")</f>
        <v>13195</v>
      </c>
      <c r="G15307" s="51">
        <f t="shared" si="217"/>
        <v>440</v>
      </c>
    </row>
    <row r="15308" spans="1:7" x14ac:dyDescent="0.25">
      <c r="A15308" s="17" t="str">
        <f>Material!A201</f>
        <v>MA-200</v>
      </c>
      <c r="B15308" s="72" t="str">
        <f>IFERROR(VLOOKUP(A15308,Material!$A:$H,2,0),"-")</f>
        <v>SOLDADURA PVC 1/4 GL</v>
      </c>
      <c r="C15308" s="73"/>
      <c r="D15308" s="50" t="str">
        <f>IFERROR(VLOOKUP(A15308,Material!$A:$H,4,0),"-")</f>
        <v>GALÓN</v>
      </c>
      <c r="E15308" s="50">
        <v>6.6666000000000003E-2</v>
      </c>
      <c r="F15308" s="51">
        <f>IFERROR(VLOOKUP(A15308,Material!$A:$H,3,0),"-")</f>
        <v>88270</v>
      </c>
      <c r="G15308" s="51">
        <f t="shared" si="217"/>
        <v>5885</v>
      </c>
    </row>
    <row r="15309" spans="1:7" x14ac:dyDescent="0.25">
      <c r="A15309" s="17" t="str">
        <f>Material!A253</f>
        <v>MA-252</v>
      </c>
      <c r="B15309" s="72" t="str">
        <f>IFERROR(VLOOKUP(A15309,Material!$A:$H,2,0),"-")</f>
        <v>LIMPIADOR DE TUBERÍA PVC 1/4 GL</v>
      </c>
      <c r="C15309" s="73"/>
      <c r="D15309" s="50" t="str">
        <f>IFERROR(VLOOKUP(A15309,Material!$A:$H,4,0),"-")</f>
        <v>GALÓN</v>
      </c>
      <c r="E15309" s="50">
        <v>6.6666000000000003E-2</v>
      </c>
      <c r="F15309" s="51">
        <f>IFERROR(VLOOKUP(A15309,Material!$A:$H,3,0),"-")</f>
        <v>60970</v>
      </c>
      <c r="G15309" s="51">
        <f t="shared" si="217"/>
        <v>4065</v>
      </c>
    </row>
    <row r="15310" spans="1:7" x14ac:dyDescent="0.25">
      <c r="A15310" s="234" t="s">
        <v>41</v>
      </c>
      <c r="B15310" s="236"/>
      <c r="C15310" s="236"/>
      <c r="D15310" s="236"/>
      <c r="E15310" s="236"/>
      <c r="F15310" s="235"/>
      <c r="G15310" s="52">
        <f>SUM(G15305:G15309)</f>
        <v>35646</v>
      </c>
    </row>
    <row r="15311" spans="1:7" x14ac:dyDescent="0.25">
      <c r="A15311" s="56"/>
      <c r="B15311" s="57"/>
      <c r="C15311" s="57"/>
      <c r="D15311" s="57"/>
      <c r="E15311" s="57"/>
      <c r="F15311" s="57"/>
      <c r="G15311" s="58"/>
    </row>
    <row r="15312" spans="1:7" x14ac:dyDescent="0.25">
      <c r="A15312" s="234" t="s">
        <v>42</v>
      </c>
      <c r="B15312" s="236"/>
      <c r="C15312" s="236"/>
      <c r="D15312" s="236"/>
      <c r="E15312" s="236"/>
      <c r="F15312" s="236"/>
      <c r="G15312" s="235"/>
    </row>
    <row r="15313" spans="1:7" x14ac:dyDescent="0.25">
      <c r="A15313" s="49" t="s">
        <v>35</v>
      </c>
      <c r="B15313" s="49" t="s">
        <v>36</v>
      </c>
      <c r="C15313" s="49" t="s">
        <v>38</v>
      </c>
      <c r="D15313" s="49" t="s">
        <v>43</v>
      </c>
      <c r="E15313" s="49" t="s">
        <v>44</v>
      </c>
      <c r="F15313" s="49" t="s">
        <v>45</v>
      </c>
      <c r="G15313" s="49" t="s">
        <v>40</v>
      </c>
    </row>
    <row r="15314" spans="1:7" x14ac:dyDescent="0.25">
      <c r="A15314" s="50" t="s">
        <v>319</v>
      </c>
      <c r="B15314" s="68" t="str">
        <f>VLOOKUP(A15314,'Componentes APUs'!$H$1:$L$25,2,0)</f>
        <v>Ingeniero Residente de Obra</v>
      </c>
      <c r="C15314" s="93">
        <v>0.25</v>
      </c>
      <c r="D15314" s="50">
        <f>VLOOKUP(A15314,'Componentes APUs'!$H$1:$L$25,3,0)</f>
        <v>4</v>
      </c>
      <c r="E15314" s="51">
        <f>VLOOKUP(A15314,'Componentes APUs'!$H$1:$L$25,4,0)</f>
        <v>271142.85714285716</v>
      </c>
      <c r="F15314" s="51">
        <f>VLOOKUP(A15314,'Componentes APUs'!$H$1:$L$25,5,0)</f>
        <v>162685.71428571429</v>
      </c>
      <c r="G15314" s="51">
        <f>ROUNDUP((E15314+F15314)*C15314/E15302,0)</f>
        <v>810</v>
      </c>
    </row>
    <row r="15315" spans="1:7" x14ac:dyDescent="0.25">
      <c r="A15315" s="50" t="s">
        <v>320</v>
      </c>
      <c r="B15315" s="68" t="str">
        <f>VLOOKUP(A15315,'Componentes APUs'!$H$1:$L$25,2,0)</f>
        <v>Tecnico Supervisor</v>
      </c>
      <c r="C15315" s="93">
        <v>0.25</v>
      </c>
      <c r="D15315" s="50">
        <f>VLOOKUP(A15315,'Componentes APUs'!$H$1:$L$25,3,0)</f>
        <v>2.2999999999999998</v>
      </c>
      <c r="E15315" s="51">
        <f>VLOOKUP(A15315,'Componentes APUs'!$H$1:$L$25,4,0)</f>
        <v>155907.14285714284</v>
      </c>
      <c r="F15315" s="51">
        <f>VLOOKUP(A15315,'Componentes APUs'!$H$1:$L$25,5,0)</f>
        <v>93544.285714285696</v>
      </c>
      <c r="G15315" s="51">
        <f>ROUNDUP((E15315+F15315)*C15315/E15302,0)</f>
        <v>466</v>
      </c>
    </row>
    <row r="15316" spans="1:7" x14ac:dyDescent="0.25">
      <c r="A15316" s="50" t="s">
        <v>1160</v>
      </c>
      <c r="B15316" s="68" t="str">
        <f>VLOOKUP(A15316,'Componentes APUs'!$H$1:$L$25,2,0)</f>
        <v>Oficial Eléctrico</v>
      </c>
      <c r="C15316" s="93">
        <v>1</v>
      </c>
      <c r="D15316" s="50">
        <f>VLOOKUP(A15316,'Componentes APUs'!$H$1:$L$25,3,0)</f>
        <v>2</v>
      </c>
      <c r="E15316" s="51">
        <f>VLOOKUP(A15316,'Componentes APUs'!$H$1:$L$25,4,0)</f>
        <v>154619.04761904763</v>
      </c>
      <c r="F15316" s="51">
        <f>VLOOKUP(A15316,'Componentes APUs'!$H$1:$L$25,5,0)</f>
        <v>92771.42857142858</v>
      </c>
      <c r="G15316" s="51">
        <f>ROUNDUP((E15316+F15316)*C15316/E15302,0)</f>
        <v>1847</v>
      </c>
    </row>
    <row r="15317" spans="1:7" x14ac:dyDescent="0.25">
      <c r="A15317" s="50" t="s">
        <v>48</v>
      </c>
      <c r="B15317" s="68" t="str">
        <f>VLOOKUP(A15317,'Componentes APUs'!$H$1:$L$25,2,0)</f>
        <v>Ayudante Calificado</v>
      </c>
      <c r="C15317" s="93">
        <v>1</v>
      </c>
      <c r="D15317" s="50">
        <f>VLOOKUP(A15317,'Componentes APUs'!$H$1:$L$25,3,0)</f>
        <v>1.5</v>
      </c>
      <c r="E15317" s="51">
        <f>VLOOKUP(A15317,'Componentes APUs'!$H$1:$L$25,4,0)</f>
        <v>115964.28571428571</v>
      </c>
      <c r="F15317" s="51">
        <f>VLOOKUP(A15317,'Componentes APUs'!$H$1:$L$25,5,0)</f>
        <v>69578.57142857142</v>
      </c>
      <c r="G15317" s="51">
        <f>ROUNDUP((E15317+F15317)*C15317/E15302,0)</f>
        <v>1385</v>
      </c>
    </row>
    <row r="15318" spans="1:7" x14ac:dyDescent="0.25">
      <c r="A15318" s="50" t="s">
        <v>50</v>
      </c>
      <c r="B15318" s="68" t="str">
        <f>VLOOKUP(A15318,'Componentes APUs'!$H$1:$L$25,2,0)</f>
        <v>Profesional en SST</v>
      </c>
      <c r="C15318" s="93">
        <v>0.25</v>
      </c>
      <c r="D15318" s="50">
        <f>VLOOKUP(A15318,'Componentes APUs'!$H$1:$L$25,3,0)</f>
        <v>2.5</v>
      </c>
      <c r="E15318" s="51">
        <f>VLOOKUP(A15318,'Componentes APUs'!$H$1:$L$25,4,0)</f>
        <v>169464.28571428571</v>
      </c>
      <c r="F15318" s="51">
        <f>VLOOKUP(A15318,'Componentes APUs'!$H$1:$L$25,5,0)</f>
        <v>101678.57142857142</v>
      </c>
      <c r="G15318" s="51">
        <f>ROUNDUP((E15318+F15318)*C15318/E15302,0)</f>
        <v>506</v>
      </c>
    </row>
    <row r="15319" spans="1:7" x14ac:dyDescent="0.25">
      <c r="A15319" s="50" t="s">
        <v>52</v>
      </c>
      <c r="B15319" s="68" t="str">
        <f>VLOOKUP(A15319,'Componentes APUs'!$H$1:$L$25,2,0)</f>
        <v>Ayudante No Calificado</v>
      </c>
      <c r="C15319" s="93">
        <v>0</v>
      </c>
      <c r="D15319" s="50">
        <f>VLOOKUP(A15319,'Componentes APUs'!$H$1:$L$25,3,0)</f>
        <v>1</v>
      </c>
      <c r="E15319" s="51">
        <f>VLOOKUP(A15319,'Componentes APUs'!$H$1:$L$25,4,0)</f>
        <v>77309.523809523816</v>
      </c>
      <c r="F15319" s="51">
        <f>VLOOKUP(A15319,'Componentes APUs'!$H$1:$L$25,5,0)</f>
        <v>46385.71428571429</v>
      </c>
      <c r="G15319" s="51">
        <f>ROUNDUP((E15319+F15319)*C15319/E15302,0)</f>
        <v>0</v>
      </c>
    </row>
    <row r="15320" spans="1:7" x14ac:dyDescent="0.25">
      <c r="A15320" s="234" t="s">
        <v>56</v>
      </c>
      <c r="B15320" s="236"/>
      <c r="C15320" s="236"/>
      <c r="D15320" s="236"/>
      <c r="E15320" s="236"/>
      <c r="F15320" s="235"/>
      <c r="G15320" s="52">
        <f>SUM(G15314:G15319)</f>
        <v>5014</v>
      </c>
    </row>
    <row r="15321" spans="1:7" x14ac:dyDescent="0.25">
      <c r="A15321" s="56"/>
      <c r="B15321" s="57"/>
      <c r="C15321" s="57"/>
      <c r="D15321" s="57"/>
      <c r="E15321" s="57"/>
      <c r="F15321" s="57"/>
      <c r="G15321" s="58"/>
    </row>
    <row r="15322" spans="1:7" x14ac:dyDescent="0.25">
      <c r="A15322" s="234" t="s">
        <v>57</v>
      </c>
      <c r="B15322" s="236"/>
      <c r="C15322" s="236"/>
      <c r="D15322" s="236"/>
      <c r="E15322" s="236"/>
      <c r="F15322" s="236"/>
      <c r="G15322" s="235"/>
    </row>
    <row r="15323" spans="1:7" x14ac:dyDescent="0.25">
      <c r="A15323" s="49" t="s">
        <v>35</v>
      </c>
      <c r="B15323" s="234" t="s">
        <v>36</v>
      </c>
      <c r="C15323" s="235"/>
      <c r="D15323" s="49" t="s">
        <v>37</v>
      </c>
      <c r="E15323" s="49" t="s">
        <v>38</v>
      </c>
      <c r="F15323" s="49" t="s">
        <v>39</v>
      </c>
      <c r="G15323" s="49" t="s">
        <v>40</v>
      </c>
    </row>
    <row r="15324" spans="1:7" x14ac:dyDescent="0.25">
      <c r="A15324" s="50" t="s">
        <v>326</v>
      </c>
      <c r="B15324" s="242" t="str">
        <f>VLOOKUP(A15324,'Componentes APUs'!$S$1:$V$10,2,0)</f>
        <v>Juego Llaves</v>
      </c>
      <c r="C15324" s="239"/>
      <c r="D15324" s="50" t="s">
        <v>18</v>
      </c>
      <c r="E15324" s="50">
        <v>2</v>
      </c>
      <c r="F15324" s="51">
        <f>VLOOKUP(A15324,'Componentes APUs'!$S$1:$V$10,4,0)</f>
        <v>9167</v>
      </c>
      <c r="G15324" s="51">
        <f>ROUNDUP(F15324*((E15324/21)/E15302),0)</f>
        <v>7</v>
      </c>
    </row>
    <row r="15325" spans="1:7" x14ac:dyDescent="0.25">
      <c r="A15325" s="50" t="s">
        <v>58</v>
      </c>
      <c r="B15325" s="242" t="str">
        <f>VLOOKUP(A15325,'Componentes APUs'!$S$1:$V$10,2,0)</f>
        <v>Manila de servicio</v>
      </c>
      <c r="C15325" s="239"/>
      <c r="D15325" s="50" t="s">
        <v>18</v>
      </c>
      <c r="E15325" s="50">
        <v>0</v>
      </c>
      <c r="F15325" s="51">
        <f>VLOOKUP(A15325,'Componentes APUs'!$S$1:$V$10,4,0)</f>
        <v>2333</v>
      </c>
      <c r="G15325" s="51">
        <f>ROUNDUP(F15325*((E15325/21)/E15302),0)</f>
        <v>0</v>
      </c>
    </row>
    <row r="15326" spans="1:7" x14ac:dyDescent="0.25">
      <c r="A15326" s="50" t="s">
        <v>327</v>
      </c>
      <c r="B15326" s="242" t="str">
        <f>VLOOKUP(A15326,'Componentes APUs'!$S$1:$V$10,2,0)</f>
        <v>Tula portaherramientas</v>
      </c>
      <c r="C15326" s="239"/>
      <c r="D15326" s="50" t="s">
        <v>18</v>
      </c>
      <c r="E15326" s="50">
        <v>2</v>
      </c>
      <c r="F15326" s="51">
        <f>VLOOKUP(A15326,'Componentes APUs'!$S$1:$V$10,4,0)</f>
        <v>1250</v>
      </c>
      <c r="G15326" s="51">
        <f>ROUNDUP(F15326*((E15326/21)/E15302),0)</f>
        <v>1</v>
      </c>
    </row>
    <row r="15327" spans="1:7" x14ac:dyDescent="0.25">
      <c r="A15327" s="50" t="s">
        <v>60</v>
      </c>
      <c r="B15327" s="242" t="str">
        <f>VLOOKUP(A15327,'Componentes APUs'!$S$1:$V$10,2,0)</f>
        <v>Agarradoras</v>
      </c>
      <c r="C15327" s="239"/>
      <c r="D15327" s="50" t="s">
        <v>18</v>
      </c>
      <c r="E15327" s="50">
        <v>0</v>
      </c>
      <c r="F15327" s="51">
        <f>VLOOKUP(A15327,'Componentes APUs'!$S$1:$V$10,4,0)</f>
        <v>125000</v>
      </c>
      <c r="G15327" s="51">
        <f>ROUNDUP(F15327*((E15327/21)/E15302),0)</f>
        <v>0</v>
      </c>
    </row>
    <row r="15328" spans="1:7" x14ac:dyDescent="0.25">
      <c r="A15328" s="50" t="s">
        <v>62</v>
      </c>
      <c r="B15328" s="242" t="str">
        <f>VLOOKUP(A15328,'Componentes APUs'!$S$1:$V$10,2,0)</f>
        <v>Templadoras</v>
      </c>
      <c r="C15328" s="239"/>
      <c r="D15328" s="50" t="s">
        <v>18</v>
      </c>
      <c r="E15328" s="50">
        <v>0</v>
      </c>
      <c r="F15328" s="51">
        <f>VLOOKUP(A15328,'Componentes APUs'!$S$1:$V$10,4,0)</f>
        <v>250000</v>
      </c>
      <c r="G15328" s="51">
        <f>ROUNDUP(F15328*((E15328/21)/E15302),0)</f>
        <v>0</v>
      </c>
    </row>
    <row r="15329" spans="1:7" x14ac:dyDescent="0.25">
      <c r="A15329" s="50" t="s">
        <v>328</v>
      </c>
      <c r="B15329" s="242" t="str">
        <f>VLOOKUP(A15329,'Componentes APUs'!$S$1:$V$10,2,0)</f>
        <v>Herramienta Menor</v>
      </c>
      <c r="C15329" s="239"/>
      <c r="D15329" s="50" t="s">
        <v>18</v>
      </c>
      <c r="E15329" s="50">
        <v>2</v>
      </c>
      <c r="F15329" s="51">
        <f>VLOOKUP(A15329,'Componentes APUs'!$S$1:$V$10,4,0)</f>
        <v>75758</v>
      </c>
      <c r="G15329" s="51">
        <f>ROUNDUP(F15329*((E15329/21)/E15302),0)</f>
        <v>54</v>
      </c>
    </row>
    <row r="15330" spans="1:7" x14ac:dyDescent="0.25">
      <c r="A15330" s="234" t="s">
        <v>69</v>
      </c>
      <c r="B15330" s="236"/>
      <c r="C15330" s="236"/>
      <c r="D15330" s="236"/>
      <c r="E15330" s="236"/>
      <c r="F15330" s="235"/>
      <c r="G15330" s="52">
        <f>SUM(G15324:G15329)</f>
        <v>62</v>
      </c>
    </row>
    <row r="15331" spans="1:7" x14ac:dyDescent="0.25">
      <c r="A15331" s="56"/>
      <c r="B15331" s="57"/>
      <c r="C15331" s="57"/>
      <c r="D15331" s="57"/>
      <c r="E15331" s="57"/>
      <c r="F15331" s="57"/>
      <c r="G15331" s="58"/>
    </row>
    <row r="15332" spans="1:7" x14ac:dyDescent="0.25">
      <c r="A15332" s="234" t="s">
        <v>70</v>
      </c>
      <c r="B15332" s="236"/>
      <c r="C15332" s="236"/>
      <c r="D15332" s="236"/>
      <c r="E15332" s="236"/>
      <c r="F15332" s="236"/>
      <c r="G15332" s="235"/>
    </row>
    <row r="15333" spans="1:7" x14ac:dyDescent="0.25">
      <c r="A15333" s="49" t="s">
        <v>35</v>
      </c>
      <c r="B15333" s="234" t="s">
        <v>36</v>
      </c>
      <c r="C15333" s="235"/>
      <c r="D15333" s="49" t="s">
        <v>37</v>
      </c>
      <c r="E15333" s="49" t="s">
        <v>38</v>
      </c>
      <c r="F15333" s="49" t="s">
        <v>39</v>
      </c>
      <c r="G15333" s="49" t="s">
        <v>40</v>
      </c>
    </row>
    <row r="15334" spans="1:7" x14ac:dyDescent="0.25">
      <c r="A15334" s="50" t="s">
        <v>71</v>
      </c>
      <c r="B15334" s="71" t="str">
        <f>VLOOKUP(A15334,'Componentes APUs'!$A$1:$D$14,2,0)</f>
        <v>Camisa indigo sin partes metalicas</v>
      </c>
      <c r="C15334" s="71"/>
      <c r="D15334" s="50" t="str">
        <f>VLOOKUP(A15334,'Componentes APUs'!$A$1:$D$14,3,0)</f>
        <v>U</v>
      </c>
      <c r="E15334" s="50">
        <f>SUM(C15314:C15319)</f>
        <v>2.75</v>
      </c>
      <c r="F15334" s="51">
        <f>VLOOKUP(A15334,'Componentes APUs'!$A$1:$D$14,4,0)</f>
        <v>8585.8585858585866</v>
      </c>
      <c r="G15334" s="51">
        <f>ROUNDUP(F15334*(E15334/21)/E15302,0)</f>
        <v>9</v>
      </c>
    </row>
    <row r="15335" spans="1:7" x14ac:dyDescent="0.25">
      <c r="A15335" s="69" t="s">
        <v>73</v>
      </c>
      <c r="B15335" s="72" t="str">
        <f>VLOOKUP(A15335,'Componentes APUs'!$A$1:$D$14,2,0)</f>
        <v>Bota de seguridad dielectrica</v>
      </c>
      <c r="C15335" s="73"/>
      <c r="D15335" s="70" t="str">
        <f>VLOOKUP(A15335,'Componentes APUs'!$A$1:$D$14,3,0)</f>
        <v>Par</v>
      </c>
      <c r="E15335" s="50">
        <f>SUM(C15314:C15319)</f>
        <v>2.75</v>
      </c>
      <c r="F15335" s="51">
        <f>VLOOKUP(A15335,'Componentes APUs'!$A$1:$D$14,4,0)</f>
        <v>7500</v>
      </c>
      <c r="G15335" s="51">
        <f>ROUNDUP(F15335*(E15335/21)/E15302,0)</f>
        <v>8</v>
      </c>
    </row>
    <row r="15336" spans="1:7" x14ac:dyDescent="0.25">
      <c r="A15336" s="50" t="s">
        <v>76</v>
      </c>
      <c r="B15336" s="72" t="str">
        <f>VLOOKUP(A15336,'Componentes APUs'!$A$1:$D$14,2,0)</f>
        <v>Casco dielectrico Tipo 1 Clase E con barbuquejo</v>
      </c>
      <c r="C15336" s="73"/>
      <c r="D15336" s="50" t="str">
        <f>VLOOKUP(A15336,'Componentes APUs'!$A$1:$D$14,3,0)</f>
        <v>U</v>
      </c>
      <c r="E15336" s="50">
        <f>C15314+C15317+C15318+C15315+C15319+IF(A15316&lt;&gt;"MO-3",C15316,0)</f>
        <v>2.75</v>
      </c>
      <c r="F15336" s="51">
        <f>VLOOKUP(A15336,'Componentes APUs'!$A$1:$D$14,4,0)</f>
        <v>10101.010101010101</v>
      </c>
      <c r="G15336" s="51">
        <f>ROUNDUP(F15336*(E15336/21)/E15302,0)</f>
        <v>10</v>
      </c>
    </row>
    <row r="15337" spans="1:7" x14ac:dyDescent="0.25">
      <c r="A15337" s="69" t="s">
        <v>77</v>
      </c>
      <c r="B15337" s="72" t="str">
        <f>VLOOKUP(A15337,'Componentes APUs'!$A$1:$D$14,2,0)</f>
        <v>Correa plastica y antiflama</v>
      </c>
      <c r="C15337" s="73"/>
      <c r="D15337" s="50" t="str">
        <f>VLOOKUP(A15337,'Componentes APUs'!$A$1:$D$14,3,0)</f>
        <v>U</v>
      </c>
      <c r="E15337" s="50">
        <f>SUM(C15314:C15319)</f>
        <v>2.75</v>
      </c>
      <c r="F15337" s="51">
        <f>VLOOKUP(A15337,'Componentes APUs'!$A$1:$D$14,4,0)</f>
        <v>3787.878787878788</v>
      </c>
      <c r="G15337" s="51">
        <f>ROUNDUP(F15337*(E15337/21)/E15302,0)</f>
        <v>4</v>
      </c>
    </row>
    <row r="15338" spans="1:7" x14ac:dyDescent="0.25">
      <c r="A15338" s="50" t="s">
        <v>79</v>
      </c>
      <c r="B15338" s="72" t="str">
        <f>VLOOKUP(A15338,'Componentes APUs'!$A$1:$D$14,2,0)</f>
        <v>Gafas protectoras filtro UV</v>
      </c>
      <c r="C15338" s="73"/>
      <c r="D15338" s="50" t="str">
        <f>VLOOKUP(A15338,'Componentes APUs'!$A$1:$D$14,3,0)</f>
        <v>U</v>
      </c>
      <c r="E15338" s="50">
        <f>SUM(C15314:C15319)</f>
        <v>2.75</v>
      </c>
      <c r="F15338" s="51">
        <f>VLOOKUP(A15338,'Componentes APUs'!$A$1:$D$14,4,0)</f>
        <v>2777.7777777777778</v>
      </c>
      <c r="G15338" s="51">
        <f>ROUNDUP(F15338*(E15338/21)/E15302,0)</f>
        <v>3</v>
      </c>
    </row>
    <row r="15339" spans="1:7" x14ac:dyDescent="0.25">
      <c r="A15339" s="69" t="s">
        <v>402</v>
      </c>
      <c r="B15339" s="72" t="str">
        <f>VLOOKUP(A15339,'Componentes APUs'!$A$1:$D$14,2,0)</f>
        <v>Bota de seguridad PVC dielectrica</v>
      </c>
      <c r="C15339" s="73"/>
      <c r="D15339" s="50" t="str">
        <f>VLOOKUP(A15339,'Componentes APUs'!$A$1:$D$14,3,0)</f>
        <v>Par</v>
      </c>
      <c r="E15339" s="50">
        <f>SUM(C15314:C15319)</f>
        <v>2.75</v>
      </c>
      <c r="F15339" s="51">
        <f>VLOOKUP(A15339,'Componentes APUs'!$A$1:$D$14,4,0)</f>
        <v>2916.6666666666665</v>
      </c>
      <c r="G15339" s="51">
        <f>ROUNDUP(F15339*(E15339/21)/E15302,0)</f>
        <v>3</v>
      </c>
    </row>
    <row r="15340" spans="1:7" x14ac:dyDescent="0.25">
      <c r="A15340" s="50" t="s">
        <v>403</v>
      </c>
      <c r="B15340" s="72" t="str">
        <f>VLOOKUP(A15340,'Componentes APUs'!$A$1:$D$14,2,0)</f>
        <v>Capuchon</v>
      </c>
      <c r="C15340" s="73"/>
      <c r="D15340" s="50" t="str">
        <f>VLOOKUP(A15340,'Componentes APUs'!$A$1:$D$14,3,0)</f>
        <v>U</v>
      </c>
      <c r="E15340" s="50">
        <f>SUM(C15314:C15319)</f>
        <v>2.75</v>
      </c>
      <c r="F15340" s="51">
        <f>VLOOKUP(A15340,'Componentes APUs'!$A$1:$D$14,4,0)</f>
        <v>2525.2525252525252</v>
      </c>
      <c r="G15340" s="51">
        <f>ROUNDUP(F15340*(E15340/21)/E15302,0)</f>
        <v>3</v>
      </c>
    </row>
    <row r="15341" spans="1:7" x14ac:dyDescent="0.25">
      <c r="A15341" s="69" t="s">
        <v>81</v>
      </c>
      <c r="B15341" s="72" t="str">
        <f>VLOOKUP(A15341,'Componentes APUs'!$A$1:$D$14,2,0)</f>
        <v>Guantes Protectores  - ingeniero reforzados</v>
      </c>
      <c r="C15341" s="73"/>
      <c r="D15341" s="50" t="str">
        <f>VLOOKUP(A15341,'Componentes APUs'!$A$1:$D$14,3,0)</f>
        <v>Par</v>
      </c>
      <c r="E15341" s="50">
        <f>C15316+C15317+C15319</f>
        <v>2</v>
      </c>
      <c r="F15341" s="51">
        <f>VLOOKUP(A15341,'Componentes APUs'!$A$1:$D$14,4,0)</f>
        <v>2525.2525252525252</v>
      </c>
      <c r="G15341" s="51">
        <f>ROUNDUP(F15341*(E15341/21)/E15302,0)</f>
        <v>2</v>
      </c>
    </row>
    <row r="15342" spans="1:7" x14ac:dyDescent="0.25">
      <c r="A15342" s="50" t="s">
        <v>83</v>
      </c>
      <c r="B15342" s="72" t="str">
        <f>VLOOKUP(A15342,'Componentes APUs'!$A$1:$D$14,2,0)</f>
        <v>Impermeable (pantalon camisa)</v>
      </c>
      <c r="C15342" s="73"/>
      <c r="D15342" s="50" t="str">
        <f>VLOOKUP(A15342,'Componentes APUs'!$A$1:$D$14,3,0)</f>
        <v>U</v>
      </c>
      <c r="E15342" s="50">
        <f>SUM(C15314:C15319)</f>
        <v>2.75</v>
      </c>
      <c r="F15342" s="51">
        <f>VLOOKUP(A15342,'Componentes APUs'!$A$1:$D$14,4,0)</f>
        <v>3750</v>
      </c>
      <c r="G15342" s="51">
        <f>ROUNDUP(F15342*(E15342/21)/E15302,0)</f>
        <v>4</v>
      </c>
    </row>
    <row r="15343" spans="1:7" x14ac:dyDescent="0.25">
      <c r="A15343" s="69" t="s">
        <v>85</v>
      </c>
      <c r="B15343" s="72" t="str">
        <f>VLOOKUP(A15343,'Componentes APUs'!$A$1:$D$14,2,0)</f>
        <v>Jean Dielectrico</v>
      </c>
      <c r="C15343" s="73"/>
      <c r="D15343" s="50" t="str">
        <f>VLOOKUP(A15343,'Componentes APUs'!$A$1:$D$14,3,0)</f>
        <v>U</v>
      </c>
      <c r="E15343" s="50">
        <f>SUM(C15314:C15319)</f>
        <v>2.75</v>
      </c>
      <c r="F15343" s="51">
        <f>VLOOKUP(A15343,'Componentes APUs'!$A$1:$D$14,4,0)</f>
        <v>7575.757575757576</v>
      </c>
      <c r="G15343" s="51">
        <f>ROUNDUP(F15343*(E15343/21)/E15302,0)</f>
        <v>8</v>
      </c>
    </row>
    <row r="15344" spans="1:7" x14ac:dyDescent="0.25">
      <c r="A15344" s="50" t="s">
        <v>87</v>
      </c>
      <c r="B15344" s="72" t="str">
        <f>VLOOKUP(A15344,'Componentes APUs'!$A$1:$D$14,2,0)</f>
        <v>Casco dielectrico Tipo 2 Clase E con barboquejo</v>
      </c>
      <c r="C15344" s="73"/>
      <c r="D15344" s="50" t="str">
        <f>VLOOKUP(A15344,'Componentes APUs'!$A$1:$D$14,3,0)</f>
        <v>U</v>
      </c>
      <c r="E15344" s="53">
        <f>IF(A15316="MO-3",C15316,0)</f>
        <v>0</v>
      </c>
      <c r="F15344" s="51">
        <f>VLOOKUP(A15344,'Componentes APUs'!$A$1:$D$14,4,0)</f>
        <v>7500</v>
      </c>
      <c r="G15344" s="51">
        <f>ROUNDUP(F15344*(E15344/21)/E15302,0)</f>
        <v>0</v>
      </c>
    </row>
    <row r="15345" spans="1:7" x14ac:dyDescent="0.25">
      <c r="A15345" s="69" t="s">
        <v>89</v>
      </c>
      <c r="B15345" s="72" t="str">
        <f>VLOOKUP(A15345,'Componentes APUs'!$A$1:$D$14,2,0)</f>
        <v>Kit de rescate para trabajo en alturas</v>
      </c>
      <c r="C15345" s="73"/>
      <c r="D15345" s="50" t="str">
        <f>VLOOKUP(A15345,'Componentes APUs'!$A$1:$D$14,3,0)</f>
        <v>U</v>
      </c>
      <c r="E15345" s="50">
        <f>IF(AND(A15316="MO-3",C15316=2),1,0)</f>
        <v>0</v>
      </c>
      <c r="F15345" s="51">
        <f>VLOOKUP(A15345,'Componentes APUs'!$A$1:$D$14,4,0)</f>
        <v>37500</v>
      </c>
      <c r="G15345" s="51">
        <f>ROUNDUP(F15345*(E15345/21)/E15302,0)</f>
        <v>0</v>
      </c>
    </row>
    <row r="15346" spans="1:7" x14ac:dyDescent="0.25">
      <c r="A15346" s="50" t="s">
        <v>91</v>
      </c>
      <c r="B15346" s="72" t="str">
        <f>VLOOKUP(A15346,'Componentes APUs'!$A$1:$D$14,2,0)</f>
        <v>Equipo completo para trabajo en alturas con pretales (Arnes dielectrico, 1 mosqueton de seguridad, tie off dielectrico, eslinga de posicionamiento, juego de pretales)</v>
      </c>
      <c r="C15346" s="73"/>
      <c r="D15346" s="50" t="str">
        <f>VLOOKUP(A15346,'Componentes APUs'!$A$1:$D$14,3,0)</f>
        <v>U</v>
      </c>
      <c r="E15346" s="50">
        <f>IF(A15316="MO-3",C15316,0)</f>
        <v>0</v>
      </c>
      <c r="F15346" s="51">
        <f>VLOOKUP(A15346,'Componentes APUs'!$A$1:$D$14,4,0)</f>
        <v>26041.666666666668</v>
      </c>
      <c r="G15346" s="51">
        <f>ROUNDUP(F15346*(E15346/21)/E15302,0)</f>
        <v>0</v>
      </c>
    </row>
    <row r="15347" spans="1:7" x14ac:dyDescent="0.25">
      <c r="A15347" s="234" t="s">
        <v>95</v>
      </c>
      <c r="B15347" s="236"/>
      <c r="C15347" s="236"/>
      <c r="D15347" s="236"/>
      <c r="E15347" s="236"/>
      <c r="F15347" s="235"/>
      <c r="G15347" s="52">
        <f>SUM(G15334:G15346)</f>
        <v>54</v>
      </c>
    </row>
    <row r="15348" spans="1:7" x14ac:dyDescent="0.25">
      <c r="A15348" s="56"/>
      <c r="B15348" s="57"/>
      <c r="C15348" s="57"/>
      <c r="D15348" s="57"/>
      <c r="E15348" s="57"/>
      <c r="F15348" s="57"/>
      <c r="G15348" s="58"/>
    </row>
    <row r="15349" spans="1:7" x14ac:dyDescent="0.25">
      <c r="A15349" s="234" t="s">
        <v>96</v>
      </c>
      <c r="B15349" s="236"/>
      <c r="C15349" s="236"/>
      <c r="D15349" s="236"/>
      <c r="E15349" s="236"/>
      <c r="F15349" s="236"/>
      <c r="G15349" s="235"/>
    </row>
    <row r="15350" spans="1:7" x14ac:dyDescent="0.25">
      <c r="A15350" s="49" t="s">
        <v>35</v>
      </c>
      <c r="B15350" s="234" t="s">
        <v>36</v>
      </c>
      <c r="C15350" s="235"/>
      <c r="D15350" s="49" t="s">
        <v>37</v>
      </c>
      <c r="E15350" s="49" t="s">
        <v>38</v>
      </c>
      <c r="F15350" s="49" t="s">
        <v>39</v>
      </c>
      <c r="G15350" s="49" t="s">
        <v>40</v>
      </c>
    </row>
    <row r="15351" spans="1:7" x14ac:dyDescent="0.25">
      <c r="A15351" s="69" t="s">
        <v>97</v>
      </c>
      <c r="B15351" s="72" t="str">
        <f>VLOOKUP(A15351,'Componentes APUs'!$N$1:$Q$30,2,0)</f>
        <v>Camioneta</v>
      </c>
      <c r="C15351" s="73"/>
      <c r="D15351" s="70" t="str">
        <f>VLOOKUP(A15351,'Componentes APUs'!$N$1:$Q$30,3,0)</f>
        <v>U</v>
      </c>
      <c r="E15351" s="50">
        <v>1</v>
      </c>
      <c r="F15351" s="51">
        <f>VLOOKUP(A15351,'Componentes APUs'!$N$1:$Q$30,4,0)</f>
        <v>5500000</v>
      </c>
      <c r="G15351" s="51">
        <f>IFERROR(ROUNDUP(F15351*(E15351/21)/E15302,0),"-")</f>
        <v>1955</v>
      </c>
    </row>
    <row r="15352" spans="1:7" x14ac:dyDescent="0.25">
      <c r="A15352" s="50" t="s">
        <v>321</v>
      </c>
      <c r="B15352" s="72" t="str">
        <f>VLOOKUP(A15352,'Componentes APUs'!$N$1:$Q$30,2,0)</f>
        <v>Grúa Hidráulica</v>
      </c>
      <c r="C15352" s="73"/>
      <c r="D15352" s="70" t="str">
        <f>VLOOKUP(A15352,'Componentes APUs'!$N$1:$Q$30,3,0)</f>
        <v>U</v>
      </c>
      <c r="E15352" s="50">
        <v>0</v>
      </c>
      <c r="F15352" s="51">
        <f>VLOOKUP(A15352,'Componentes APUs'!$N$1:$Q$30,4,0)</f>
        <v>21000000</v>
      </c>
      <c r="G15352" s="51">
        <f>IFERROR(ROUNDUP(F15352*(E15352/21)/E15302,0),"-")</f>
        <v>0</v>
      </c>
    </row>
    <row r="15353" spans="1:7" x14ac:dyDescent="0.25">
      <c r="A15353" s="69" t="s">
        <v>322</v>
      </c>
      <c r="B15353" s="72" t="str">
        <f>VLOOKUP(A15353,'Componentes APUs'!$N$1:$Q$30,2,0)</f>
        <v>Camabaja</v>
      </c>
      <c r="C15353" s="73"/>
      <c r="D15353" s="70" t="str">
        <f>VLOOKUP(A15353,'Componentes APUs'!$N$1:$Q$30,3,0)</f>
        <v>TON/KM</v>
      </c>
      <c r="E15353" s="50">
        <v>0</v>
      </c>
      <c r="F15353" s="51">
        <f>VLOOKUP(A15353,'Componentes APUs'!$N$1:$Q$30,4,0)</f>
        <v>611</v>
      </c>
      <c r="G15353" s="51">
        <f>IFERROR(ROUNDUP(F15353*(E15353/21)/E15302,0),"-")</f>
        <v>0</v>
      </c>
    </row>
    <row r="15354" spans="1:7" x14ac:dyDescent="0.25">
      <c r="A15354" s="50" t="s">
        <v>323</v>
      </c>
      <c r="B15354" s="72" t="str">
        <f>VLOOKUP(A15354,'Componentes APUs'!$N$1:$Q$30,2,0)</f>
        <v>Volqueta</v>
      </c>
      <c r="C15354" s="73"/>
      <c r="D15354" s="70" t="str">
        <f>VLOOKUP(A15354,'Componentes APUs'!$N$1:$Q$30,3,0)</f>
        <v>U</v>
      </c>
      <c r="E15354" s="50">
        <v>0</v>
      </c>
      <c r="F15354" s="51">
        <f>VLOOKUP(A15354,'Componentes APUs'!$N$1:$Q$30,4,0)</f>
        <v>14828184</v>
      </c>
      <c r="G15354" s="51">
        <f>IFERROR(ROUNDUP(F15354*(E15354/21)/E15302,0),"-")</f>
        <v>0</v>
      </c>
    </row>
    <row r="15355" spans="1:7" x14ac:dyDescent="0.25">
      <c r="A15355" s="69" t="s">
        <v>324</v>
      </c>
      <c r="B15355" s="72" t="str">
        <f>VLOOKUP(A15355,'Componentes APUs'!$N$1:$Q$30,2,0)</f>
        <v>Retroexcavadora</v>
      </c>
      <c r="C15355" s="73"/>
      <c r="D15355" s="70" t="str">
        <f>VLOOKUP(A15355,'Componentes APUs'!$N$1:$Q$30,3,0)</f>
        <v>U</v>
      </c>
      <c r="E15355" s="50">
        <v>0</v>
      </c>
      <c r="F15355" s="51">
        <f>VLOOKUP(A15355,'Componentes APUs'!$N$1:$Q$30,4,0)</f>
        <v>46030656</v>
      </c>
      <c r="G15355" s="51">
        <f>IFERROR(ROUNDUP(F15355*(E15355/21)/E15302,0),"-")</f>
        <v>0</v>
      </c>
    </row>
    <row r="15356" spans="1:7" x14ac:dyDescent="0.25">
      <c r="A15356" s="234" t="s">
        <v>99</v>
      </c>
      <c r="B15356" s="236"/>
      <c r="C15356" s="236"/>
      <c r="D15356" s="236"/>
      <c r="E15356" s="236"/>
      <c r="F15356" s="235"/>
      <c r="G15356" s="52">
        <f>SUM(G15351:G15355)</f>
        <v>1955</v>
      </c>
    </row>
    <row r="15357" spans="1:7" x14ac:dyDescent="0.25">
      <c r="A15357" s="56"/>
      <c r="B15357" s="57"/>
      <c r="C15357" s="57"/>
      <c r="D15357" s="57"/>
      <c r="E15357" s="57"/>
      <c r="F15357" s="57"/>
      <c r="G15357" s="58"/>
    </row>
    <row r="15358" spans="1:7" x14ac:dyDescent="0.25">
      <c r="A15358" s="234" t="s">
        <v>1516</v>
      </c>
      <c r="B15358" s="236"/>
      <c r="C15358" s="236"/>
      <c r="D15358" s="236"/>
      <c r="E15358" s="236"/>
      <c r="F15358" s="235"/>
      <c r="G15358" s="52">
        <f>G15356+G15347+G15330+G15320+G15310</f>
        <v>42731</v>
      </c>
    </row>
    <row r="15359" spans="1:7" x14ac:dyDescent="0.25">
      <c r="A15359" s="59"/>
      <c r="B15359" s="60"/>
      <c r="C15359" s="60"/>
      <c r="D15359" s="60"/>
      <c r="E15359" s="57"/>
      <c r="F15359" s="57"/>
      <c r="G15359" s="58"/>
    </row>
    <row r="15360" spans="1:7" x14ac:dyDescent="0.25">
      <c r="A15360" s="64"/>
      <c r="D15360" s="55"/>
      <c r="E15360" s="49" t="s">
        <v>25</v>
      </c>
      <c r="F15360" s="54">
        <v>0.15</v>
      </c>
      <c r="G15360" s="51">
        <f>G15358*F15360</f>
        <v>6409.65</v>
      </c>
    </row>
    <row r="15361" spans="1:7" x14ac:dyDescent="0.25">
      <c r="A15361" s="64"/>
      <c r="D15361" s="55"/>
      <c r="E15361" s="49" t="s">
        <v>26</v>
      </c>
      <c r="F15361" s="54">
        <v>0.05</v>
      </c>
      <c r="G15361" s="51">
        <f>G15358*F15361</f>
        <v>2136.5500000000002</v>
      </c>
    </row>
    <row r="15362" spans="1:7" x14ac:dyDescent="0.25">
      <c r="A15362" s="61"/>
      <c r="B15362" s="65"/>
      <c r="C15362" s="65"/>
      <c r="D15362" s="62"/>
      <c r="E15362" s="49" t="s">
        <v>27</v>
      </c>
      <c r="F15362" s="54">
        <v>0.05</v>
      </c>
      <c r="G15362" s="51">
        <f>G15358*F15362</f>
        <v>2136.5500000000002</v>
      </c>
    </row>
    <row r="15363" spans="1:7" x14ac:dyDescent="0.25">
      <c r="A15363" s="61"/>
      <c r="B15363" s="62"/>
      <c r="C15363" s="62"/>
      <c r="D15363" s="62"/>
      <c r="E15363" s="62"/>
      <c r="F15363" s="62"/>
      <c r="G15363" s="63"/>
    </row>
    <row r="15364" spans="1:7" x14ac:dyDescent="0.25">
      <c r="A15364" s="234" t="s">
        <v>1517</v>
      </c>
      <c r="B15364" s="236"/>
      <c r="C15364" s="236"/>
      <c r="D15364" s="236"/>
      <c r="E15364" s="236"/>
      <c r="F15364" s="235"/>
      <c r="G15364" s="52">
        <f>G15358+G15360+G15361+G15362</f>
        <v>53413.750000000007</v>
      </c>
    </row>
    <row r="15365" spans="1:7" x14ac:dyDescent="0.25">
      <c r="A15365" s="59"/>
      <c r="B15365" s="60"/>
      <c r="C15365" s="60"/>
      <c r="D15365" s="60"/>
      <c r="E15365" s="57"/>
      <c r="F15365" s="57"/>
      <c r="G15365" s="58"/>
    </row>
    <row r="15366" spans="1:7" x14ac:dyDescent="0.25">
      <c r="A15366" s="64"/>
      <c r="D15366" s="55"/>
      <c r="E15366" s="49" t="s">
        <v>102</v>
      </c>
      <c r="F15366" s="49" t="s">
        <v>103</v>
      </c>
      <c r="G15366" s="51">
        <f>G15362*19%</f>
        <v>405.94450000000006</v>
      </c>
    </row>
    <row r="15367" spans="1:7" x14ac:dyDescent="0.25">
      <c r="A15367" s="61"/>
      <c r="B15367" s="62"/>
      <c r="C15367" s="62"/>
      <c r="D15367" s="62"/>
      <c r="E15367" s="57"/>
      <c r="F15367" s="57"/>
      <c r="G15367" s="58"/>
    </row>
    <row r="15368" spans="1:7" x14ac:dyDescent="0.25">
      <c r="A15368" s="234" t="s">
        <v>104</v>
      </c>
      <c r="B15368" s="236"/>
      <c r="C15368" s="236"/>
      <c r="D15368" s="236"/>
      <c r="E15368" s="236"/>
      <c r="F15368" s="235"/>
      <c r="G15368" s="52">
        <f>G15366+G15364</f>
        <v>53819.694500000005</v>
      </c>
    </row>
    <row r="15370" spans="1:7" x14ac:dyDescent="0.25">
      <c r="A15370" s="74" t="s">
        <v>29</v>
      </c>
      <c r="B15370" s="226" t="s">
        <v>30</v>
      </c>
      <c r="C15370" s="226"/>
      <c r="D15370" s="74" t="s">
        <v>31</v>
      </c>
      <c r="E15370" s="74" t="s">
        <v>32</v>
      </c>
      <c r="F15370" s="74" t="s">
        <v>189</v>
      </c>
      <c r="G15370" s="74" t="s">
        <v>33</v>
      </c>
    </row>
    <row r="15371" spans="1:7" ht="24.75" customHeight="1" x14ac:dyDescent="0.25">
      <c r="A15371" s="50" t="str">
        <f>Presupuesto!B290</f>
        <v>035_N2</v>
      </c>
      <c r="B15371" s="220" t="str">
        <f>Presupuesto!C290</f>
        <v>SUMINISTRO E INSTALACIÓN DE CABLE DE CONTROL APANTALLADO 7x10 AWG Cu- TC-THHN/THWN - ER- 600 V</v>
      </c>
      <c r="C15371" s="220"/>
      <c r="D15371" s="50" t="s">
        <v>108</v>
      </c>
      <c r="E15371" s="50">
        <v>80</v>
      </c>
      <c r="F15371" s="50"/>
      <c r="G15371" s="51">
        <f>G15436</f>
        <v>80837.229000000021</v>
      </c>
    </row>
    <row r="15372" spans="1:7" x14ac:dyDescent="0.25">
      <c r="A15372" s="219" t="s">
        <v>34</v>
      </c>
      <c r="B15372" s="219"/>
      <c r="C15372" s="219"/>
      <c r="D15372" s="219"/>
      <c r="E15372" s="219"/>
      <c r="F15372" s="219"/>
      <c r="G15372" s="219"/>
    </row>
    <row r="15373" spans="1:7" x14ac:dyDescent="0.25">
      <c r="A15373" s="49" t="s">
        <v>35</v>
      </c>
      <c r="B15373" s="219" t="s">
        <v>36</v>
      </c>
      <c r="C15373" s="219"/>
      <c r="D15373" s="49" t="s">
        <v>37</v>
      </c>
      <c r="E15373" s="49" t="s">
        <v>38</v>
      </c>
      <c r="F15373" s="49" t="s">
        <v>39</v>
      </c>
      <c r="G15373" s="49" t="s">
        <v>40</v>
      </c>
    </row>
    <row r="15374" spans="1:7" x14ac:dyDescent="0.25">
      <c r="A15374" s="17" t="str">
        <f>Material!A42</f>
        <v>MA-41</v>
      </c>
      <c r="B15374" s="232" t="str">
        <f>IFERROR(VLOOKUP(A15374,Material!$A:$H,2,0),"-")</f>
        <v>CABLE DE CONTROL APANTALLADO 7x10 AWG Cu- TC-THHN/THWN - ER- 600 V</v>
      </c>
      <c r="C15374" s="233"/>
      <c r="D15374" s="50" t="str">
        <f>IFERROR(VLOOKUP(A15374,Material!$A:$H,4,0),"-")</f>
        <v>ML</v>
      </c>
      <c r="E15374" s="50">
        <v>1</v>
      </c>
      <c r="F15374" s="51">
        <f>IFERROR(VLOOKUP(A15374,Material!$A:$H,3,0),"-")</f>
        <v>52000</v>
      </c>
      <c r="G15374" s="51">
        <f t="shared" ref="G15374:G15376" si="218">IFERROR(ROUNDUP(F15374*E15374,0),"-")</f>
        <v>52000</v>
      </c>
    </row>
    <row r="15375" spans="1:7" x14ac:dyDescent="0.25">
      <c r="A15375" s="17"/>
      <c r="B15375" s="72" t="str">
        <f>IFERROR(VLOOKUP(A15375,Material!$A:$H,2,0),"-")</f>
        <v>-</v>
      </c>
      <c r="C15375" s="73"/>
      <c r="D15375" s="50" t="str">
        <f>IFERROR(VLOOKUP(A15375,Material!$A:$H,4,0),"-")</f>
        <v>-</v>
      </c>
      <c r="E15375" s="50"/>
      <c r="F15375" s="51" t="str">
        <f>IFERROR(VLOOKUP(A15375,Material!$A:$H,3,0),"-")</f>
        <v>-</v>
      </c>
      <c r="G15375" s="51" t="str">
        <f t="shared" si="218"/>
        <v>-</v>
      </c>
    </row>
    <row r="15376" spans="1:7" x14ac:dyDescent="0.25">
      <c r="A15376" s="17"/>
      <c r="B15376" s="72" t="str">
        <f>IFERROR(VLOOKUP(A15376,Material!$A:$H,2,0),"-")</f>
        <v>-</v>
      </c>
      <c r="C15376" s="73"/>
      <c r="D15376" s="50" t="str">
        <f>IFERROR(VLOOKUP(A15376,Material!$A:$H,4,0),"-")</f>
        <v>-</v>
      </c>
      <c r="E15376" s="50"/>
      <c r="F15376" s="51" t="str">
        <f>IFERROR(VLOOKUP(A15376,Material!$A:$H,3,0),"-")</f>
        <v>-</v>
      </c>
      <c r="G15376" s="51" t="str">
        <f t="shared" si="218"/>
        <v>-</v>
      </c>
    </row>
    <row r="15377" spans="1:7" x14ac:dyDescent="0.25">
      <c r="A15377" s="219" t="s">
        <v>41</v>
      </c>
      <c r="B15377" s="219"/>
      <c r="C15377" s="219"/>
      <c r="D15377" s="219"/>
      <c r="E15377" s="219"/>
      <c r="F15377" s="219"/>
      <c r="G15377" s="52">
        <f>SUM(G15374:G15376)</f>
        <v>52000</v>
      </c>
    </row>
    <row r="15378" spans="1:7" x14ac:dyDescent="0.25">
      <c r="A15378" s="56"/>
      <c r="B15378" s="57"/>
      <c r="C15378" s="57"/>
      <c r="D15378" s="57"/>
      <c r="E15378" s="57"/>
      <c r="F15378" s="57"/>
      <c r="G15378" s="58"/>
    </row>
    <row r="15379" spans="1:7" x14ac:dyDescent="0.25">
      <c r="A15379" s="219" t="s">
        <v>42</v>
      </c>
      <c r="B15379" s="219"/>
      <c r="C15379" s="219"/>
      <c r="D15379" s="219"/>
      <c r="E15379" s="219"/>
      <c r="F15379" s="219"/>
      <c r="G15379" s="219"/>
    </row>
    <row r="15380" spans="1:7" x14ac:dyDescent="0.25">
      <c r="A15380" s="49" t="s">
        <v>35</v>
      </c>
      <c r="B15380" s="49" t="s">
        <v>36</v>
      </c>
      <c r="C15380" s="49" t="s">
        <v>38</v>
      </c>
      <c r="D15380" s="49" t="s">
        <v>43</v>
      </c>
      <c r="E15380" s="49" t="s">
        <v>44</v>
      </c>
      <c r="F15380" s="49" t="s">
        <v>45</v>
      </c>
      <c r="G15380" s="49" t="s">
        <v>40</v>
      </c>
    </row>
    <row r="15381" spans="1:7" x14ac:dyDescent="0.25">
      <c r="A15381" s="50" t="s">
        <v>319</v>
      </c>
      <c r="B15381" s="68" t="str">
        <f>VLOOKUP(A15381,'Componentes APUs'!$H$1:$L$25,2,0)</f>
        <v>Ingeniero Residente de Obra</v>
      </c>
      <c r="C15381" s="93">
        <v>0.25</v>
      </c>
      <c r="D15381" s="50">
        <f>VLOOKUP(A15381,'Componentes APUs'!$H$1:$L$25,3,0)</f>
        <v>4</v>
      </c>
      <c r="E15381" s="51">
        <f>VLOOKUP(A15381,'Componentes APUs'!$H$1:$L$25,4,0)</f>
        <v>271142.85714285716</v>
      </c>
      <c r="F15381" s="51">
        <f>VLOOKUP(A15381,'Componentes APUs'!$H$1:$L$25,5,0)</f>
        <v>162685.71428571429</v>
      </c>
      <c r="G15381" s="51">
        <f>ROUNDUP((E15381+F15381)*C15381/E15371,0)</f>
        <v>1356</v>
      </c>
    </row>
    <row r="15382" spans="1:7" x14ac:dyDescent="0.25">
      <c r="A15382" s="50" t="s">
        <v>320</v>
      </c>
      <c r="B15382" s="68" t="str">
        <f>VLOOKUP(A15382,'Componentes APUs'!$H$1:$L$25,2,0)</f>
        <v>Tecnico Supervisor</v>
      </c>
      <c r="C15382" s="93">
        <v>0.25</v>
      </c>
      <c r="D15382" s="50">
        <f>VLOOKUP(A15382,'Componentes APUs'!$H$1:$L$25,3,0)</f>
        <v>2.2999999999999998</v>
      </c>
      <c r="E15382" s="51">
        <f>VLOOKUP(A15382,'Componentes APUs'!$H$1:$L$25,4,0)</f>
        <v>155907.14285714284</v>
      </c>
      <c r="F15382" s="51">
        <f>VLOOKUP(A15382,'Componentes APUs'!$H$1:$L$25,5,0)</f>
        <v>93544.285714285696</v>
      </c>
      <c r="G15382" s="51">
        <f>ROUNDUP((E15382+F15382)*C15382/E15371,0)</f>
        <v>780</v>
      </c>
    </row>
    <row r="15383" spans="1:7" x14ac:dyDescent="0.25">
      <c r="A15383" s="50" t="s">
        <v>46</v>
      </c>
      <c r="B15383" s="68" t="str">
        <f>VLOOKUP(A15383,'Componentes APUs'!$H$1:$L$25,2,0)</f>
        <v>Tecnico Liniero</v>
      </c>
      <c r="C15383" s="93">
        <v>1</v>
      </c>
      <c r="D15383" s="50">
        <f>VLOOKUP(A15383,'Componentes APUs'!$H$1:$L$25,3,0)</f>
        <v>2</v>
      </c>
      <c r="E15383" s="51">
        <f>VLOOKUP(A15383,'Componentes APUs'!$H$1:$L$25,4,0)</f>
        <v>154619.04761904763</v>
      </c>
      <c r="F15383" s="51">
        <f>VLOOKUP(A15383,'Componentes APUs'!$H$1:$L$25,5,0)</f>
        <v>92771.42857142858</v>
      </c>
      <c r="G15383" s="51">
        <f>ROUNDUP((E15383+F15383)*C15383/E15371,0)</f>
        <v>3093</v>
      </c>
    </row>
    <row r="15384" spans="1:7" x14ac:dyDescent="0.25">
      <c r="A15384" s="50" t="s">
        <v>48</v>
      </c>
      <c r="B15384" s="68" t="str">
        <f>VLOOKUP(A15384,'Componentes APUs'!$H$1:$L$25,2,0)</f>
        <v>Ayudante Calificado</v>
      </c>
      <c r="C15384" s="93">
        <v>1</v>
      </c>
      <c r="D15384" s="50">
        <f>VLOOKUP(A15384,'Componentes APUs'!$H$1:$L$25,3,0)</f>
        <v>1.5</v>
      </c>
      <c r="E15384" s="51">
        <f>VLOOKUP(A15384,'Componentes APUs'!$H$1:$L$25,4,0)</f>
        <v>115964.28571428571</v>
      </c>
      <c r="F15384" s="51">
        <f>VLOOKUP(A15384,'Componentes APUs'!$H$1:$L$25,5,0)</f>
        <v>69578.57142857142</v>
      </c>
      <c r="G15384" s="51">
        <f>ROUNDUP((E15384+F15384)*C15384/E15371,0)</f>
        <v>2320</v>
      </c>
    </row>
    <row r="15385" spans="1:7" x14ac:dyDescent="0.25">
      <c r="A15385" s="50" t="s">
        <v>50</v>
      </c>
      <c r="B15385" s="68" t="str">
        <f>VLOOKUP(A15385,'Componentes APUs'!$H$1:$L$25,2,0)</f>
        <v>Profesional en SST</v>
      </c>
      <c r="C15385" s="93">
        <v>0.25</v>
      </c>
      <c r="D15385" s="50">
        <f>VLOOKUP(A15385,'Componentes APUs'!$H$1:$L$25,3,0)</f>
        <v>2.5</v>
      </c>
      <c r="E15385" s="51">
        <f>VLOOKUP(A15385,'Componentes APUs'!$H$1:$L$25,4,0)</f>
        <v>169464.28571428571</v>
      </c>
      <c r="F15385" s="51">
        <f>VLOOKUP(A15385,'Componentes APUs'!$H$1:$L$25,5,0)</f>
        <v>101678.57142857142</v>
      </c>
      <c r="G15385" s="51">
        <f>ROUNDUP((E15385+F15385)*C15385/E15371,0)</f>
        <v>848</v>
      </c>
    </row>
    <row r="15386" spans="1:7" x14ac:dyDescent="0.25">
      <c r="A15386" s="50" t="s">
        <v>52</v>
      </c>
      <c r="B15386" s="68" t="str">
        <f>VLOOKUP(A15386,'Componentes APUs'!$H$1:$L$25,2,0)</f>
        <v>Ayudante No Calificado</v>
      </c>
      <c r="C15386" s="93">
        <v>0</v>
      </c>
      <c r="D15386" s="50">
        <f>VLOOKUP(A15386,'Componentes APUs'!$H$1:$L$25,3,0)</f>
        <v>1</v>
      </c>
      <c r="E15386" s="51">
        <f>VLOOKUP(A15386,'Componentes APUs'!$H$1:$L$25,4,0)</f>
        <v>77309.523809523816</v>
      </c>
      <c r="F15386" s="51">
        <f>VLOOKUP(A15386,'Componentes APUs'!$H$1:$L$25,5,0)</f>
        <v>46385.71428571429</v>
      </c>
      <c r="G15386" s="51">
        <f>ROUNDUP((E15386+F15386)*C15386/E15371,0)</f>
        <v>0</v>
      </c>
    </row>
    <row r="15387" spans="1:7" x14ac:dyDescent="0.25">
      <c r="A15387" s="219" t="s">
        <v>56</v>
      </c>
      <c r="B15387" s="219"/>
      <c r="C15387" s="219"/>
      <c r="D15387" s="219"/>
      <c r="E15387" s="219"/>
      <c r="F15387" s="219"/>
      <c r="G15387" s="52">
        <f>SUM(G15381:G15386)</f>
        <v>8397</v>
      </c>
    </row>
    <row r="15388" spans="1:7" x14ac:dyDescent="0.25">
      <c r="A15388" s="56"/>
      <c r="B15388" s="57"/>
      <c r="C15388" s="57"/>
      <c r="D15388" s="57"/>
      <c r="E15388" s="57"/>
      <c r="F15388" s="57"/>
      <c r="G15388" s="58"/>
    </row>
    <row r="15389" spans="1:7" x14ac:dyDescent="0.25">
      <c r="A15389" s="219" t="s">
        <v>57</v>
      </c>
      <c r="B15389" s="219"/>
      <c r="C15389" s="219"/>
      <c r="D15389" s="219"/>
      <c r="E15389" s="219"/>
      <c r="F15389" s="219"/>
      <c r="G15389" s="219"/>
    </row>
    <row r="15390" spans="1:7" x14ac:dyDescent="0.25">
      <c r="A15390" s="49" t="s">
        <v>35</v>
      </c>
      <c r="B15390" s="219" t="s">
        <v>36</v>
      </c>
      <c r="C15390" s="219"/>
      <c r="D15390" s="49" t="s">
        <v>37</v>
      </c>
      <c r="E15390" s="49" t="s">
        <v>38</v>
      </c>
      <c r="F15390" s="49" t="s">
        <v>39</v>
      </c>
      <c r="G15390" s="49" t="s">
        <v>40</v>
      </c>
    </row>
    <row r="15391" spans="1:7" x14ac:dyDescent="0.25">
      <c r="A15391" s="50" t="s">
        <v>326</v>
      </c>
      <c r="B15391" s="220" t="str">
        <f>VLOOKUP(A15391,'Componentes APUs'!$S$1:$V$10,2,0)</f>
        <v>Juego Llaves</v>
      </c>
      <c r="C15391" s="220"/>
      <c r="D15391" s="50" t="s">
        <v>18</v>
      </c>
      <c r="E15391" s="50">
        <v>2</v>
      </c>
      <c r="F15391" s="51">
        <f>VLOOKUP(A15391,'Componentes APUs'!$S$1:$V$10,4,0)</f>
        <v>9167</v>
      </c>
      <c r="G15391" s="51">
        <f>ROUNDUP(F15391*((E15391/21)/E15371),0)</f>
        <v>11</v>
      </c>
    </row>
    <row r="15392" spans="1:7" x14ac:dyDescent="0.25">
      <c r="A15392" s="50" t="s">
        <v>58</v>
      </c>
      <c r="B15392" s="220" t="str">
        <f>VLOOKUP(A15392,'Componentes APUs'!$S$1:$V$10,2,0)</f>
        <v>Manila de servicio</v>
      </c>
      <c r="C15392" s="220"/>
      <c r="D15392" s="50" t="s">
        <v>18</v>
      </c>
      <c r="E15392" s="50">
        <v>2</v>
      </c>
      <c r="F15392" s="51">
        <f>VLOOKUP(A15392,'Componentes APUs'!$S$1:$V$10,4,0)</f>
        <v>2333</v>
      </c>
      <c r="G15392" s="51">
        <f>ROUNDUP(F15392*((E15392/21)/E15371),0)</f>
        <v>3</v>
      </c>
    </row>
    <row r="15393" spans="1:7" x14ac:dyDescent="0.25">
      <c r="A15393" s="50" t="s">
        <v>327</v>
      </c>
      <c r="B15393" s="220" t="str">
        <f>VLOOKUP(A15393,'Componentes APUs'!$S$1:$V$10,2,0)</f>
        <v>Tula portaherramientas</v>
      </c>
      <c r="C15393" s="220"/>
      <c r="D15393" s="50" t="s">
        <v>18</v>
      </c>
      <c r="E15393" s="50">
        <v>2</v>
      </c>
      <c r="F15393" s="51">
        <f>VLOOKUP(A15393,'Componentes APUs'!$S$1:$V$10,4,0)</f>
        <v>1250</v>
      </c>
      <c r="G15393" s="51">
        <f>ROUNDUP(F15393*((E15393/21)/E15371),0)</f>
        <v>2</v>
      </c>
    </row>
    <row r="15394" spans="1:7" x14ac:dyDescent="0.25">
      <c r="A15394" s="50" t="s">
        <v>60</v>
      </c>
      <c r="B15394" s="220" t="str">
        <f>VLOOKUP(A15394,'Componentes APUs'!$S$1:$V$10,2,0)</f>
        <v>Agarradoras</v>
      </c>
      <c r="C15394" s="220"/>
      <c r="D15394" s="50" t="s">
        <v>18</v>
      </c>
      <c r="E15394" s="50">
        <v>2</v>
      </c>
      <c r="F15394" s="51">
        <f>VLOOKUP(A15394,'Componentes APUs'!$S$1:$V$10,4,0)</f>
        <v>125000</v>
      </c>
      <c r="G15394" s="51">
        <f>ROUNDUP(F15394*((E15394/21)/E15371),0)</f>
        <v>149</v>
      </c>
    </row>
    <row r="15395" spans="1:7" x14ac:dyDescent="0.25">
      <c r="A15395" s="50" t="s">
        <v>62</v>
      </c>
      <c r="B15395" s="220" t="str">
        <f>VLOOKUP(A15395,'Componentes APUs'!$S$1:$V$10,2,0)</f>
        <v>Templadoras</v>
      </c>
      <c r="C15395" s="220"/>
      <c r="D15395" s="50" t="s">
        <v>18</v>
      </c>
      <c r="E15395" s="50">
        <v>1</v>
      </c>
      <c r="F15395" s="51">
        <f>VLOOKUP(A15395,'Componentes APUs'!$S$1:$V$10,4,0)</f>
        <v>250000</v>
      </c>
      <c r="G15395" s="51">
        <f>ROUNDUP(F15395*((E15395/21)/E15371),0)</f>
        <v>149</v>
      </c>
    </row>
    <row r="15396" spans="1:7" x14ac:dyDescent="0.25">
      <c r="A15396" s="50" t="s">
        <v>328</v>
      </c>
      <c r="B15396" s="220" t="str">
        <f>VLOOKUP(A15396,'Componentes APUs'!$S$1:$V$10,2,0)</f>
        <v>Herramienta Menor</v>
      </c>
      <c r="C15396" s="220"/>
      <c r="D15396" s="50" t="s">
        <v>18</v>
      </c>
      <c r="E15396" s="50">
        <v>2</v>
      </c>
      <c r="F15396" s="51">
        <f>VLOOKUP(A15396,'Componentes APUs'!$S$1:$V$10,4,0)</f>
        <v>75758</v>
      </c>
      <c r="G15396" s="51">
        <f>ROUNDUP(F15396*((E15396/21)/E15371),0)</f>
        <v>91</v>
      </c>
    </row>
    <row r="15397" spans="1:7" x14ac:dyDescent="0.25">
      <c r="A15397" s="50" t="s">
        <v>64</v>
      </c>
      <c r="B15397" s="220" t="str">
        <f>VLOOKUP(A15397,'Componentes APUs'!$S$1:$V$10,2,0)</f>
        <v>Equipo para trabajo con fibra óptica</v>
      </c>
      <c r="C15397" s="220"/>
      <c r="D15397" s="50" t="s">
        <v>18</v>
      </c>
      <c r="E15397" s="50">
        <v>0</v>
      </c>
      <c r="F15397" s="51">
        <f>VLOOKUP(A15397,'Componentes APUs'!$S$1:$V$10,4,0)</f>
        <v>4814145</v>
      </c>
      <c r="G15397" s="51">
        <f>ROUNDUP(F15397*((E15397/21)/E15371),0)</f>
        <v>0</v>
      </c>
    </row>
    <row r="15398" spans="1:7" x14ac:dyDescent="0.25">
      <c r="A15398" s="219" t="s">
        <v>69</v>
      </c>
      <c r="B15398" s="219"/>
      <c r="C15398" s="219"/>
      <c r="D15398" s="219"/>
      <c r="E15398" s="219"/>
      <c r="F15398" s="219"/>
      <c r="G15398" s="52">
        <f>SUM(G15391:G15397)</f>
        <v>405</v>
      </c>
    </row>
    <row r="15399" spans="1:7" x14ac:dyDescent="0.25">
      <c r="A15399" s="56"/>
      <c r="B15399" s="57"/>
      <c r="C15399" s="57"/>
      <c r="D15399" s="57"/>
      <c r="E15399" s="57"/>
      <c r="F15399" s="57"/>
      <c r="G15399" s="58"/>
    </row>
    <row r="15400" spans="1:7" x14ac:dyDescent="0.25">
      <c r="A15400" s="219" t="s">
        <v>70</v>
      </c>
      <c r="B15400" s="219"/>
      <c r="C15400" s="219"/>
      <c r="D15400" s="219"/>
      <c r="E15400" s="219"/>
      <c r="F15400" s="219"/>
      <c r="G15400" s="219"/>
    </row>
    <row r="15401" spans="1:7" x14ac:dyDescent="0.25">
      <c r="A15401" s="49" t="s">
        <v>35</v>
      </c>
      <c r="B15401" s="219" t="s">
        <v>36</v>
      </c>
      <c r="C15401" s="219"/>
      <c r="D15401" s="49" t="s">
        <v>37</v>
      </c>
      <c r="E15401" s="49" t="s">
        <v>38</v>
      </c>
      <c r="F15401" s="49" t="s">
        <v>39</v>
      </c>
      <c r="G15401" s="49" t="s">
        <v>40</v>
      </c>
    </row>
    <row r="15402" spans="1:7" x14ac:dyDescent="0.25">
      <c r="A15402" s="50" t="s">
        <v>71</v>
      </c>
      <c r="B15402" s="71" t="str">
        <f>VLOOKUP(A15402,'Componentes APUs'!$A$1:$D$14,2,0)</f>
        <v>Camisa indigo sin partes metalicas</v>
      </c>
      <c r="C15402" s="71"/>
      <c r="D15402" s="50" t="str">
        <f>VLOOKUP(A15402,'Componentes APUs'!$A$1:$D$14,3,0)</f>
        <v>U</v>
      </c>
      <c r="E15402" s="50">
        <f>SUM(C15381:C15386)</f>
        <v>2.75</v>
      </c>
      <c r="F15402" s="51">
        <f>VLOOKUP(A15402,'Componentes APUs'!$A$1:$D$14,4,0)</f>
        <v>8585.8585858585866</v>
      </c>
      <c r="G15402" s="51">
        <f>ROUNDUP(F15402*(E15402/21)/E15371,0)</f>
        <v>15</v>
      </c>
    </row>
    <row r="15403" spans="1:7" x14ac:dyDescent="0.25">
      <c r="A15403" s="69" t="s">
        <v>73</v>
      </c>
      <c r="B15403" s="72" t="str">
        <f>VLOOKUP(A15403,'Componentes APUs'!$A$1:$D$14,2,0)</f>
        <v>Bota de seguridad dielectrica</v>
      </c>
      <c r="C15403" s="73"/>
      <c r="D15403" s="70" t="str">
        <f>VLOOKUP(A15403,'Componentes APUs'!$A$1:$D$14,3,0)</f>
        <v>Par</v>
      </c>
      <c r="E15403" s="50">
        <f>SUM(C15381:C15386)</f>
        <v>2.75</v>
      </c>
      <c r="F15403" s="51">
        <f>VLOOKUP(A15403,'Componentes APUs'!$A$1:$D$14,4,0)</f>
        <v>7500</v>
      </c>
      <c r="G15403" s="51">
        <f>ROUNDUP(F15403*(E15403/21)/E15371,0)</f>
        <v>13</v>
      </c>
    </row>
    <row r="15404" spans="1:7" x14ac:dyDescent="0.25">
      <c r="A15404" s="50" t="s">
        <v>76</v>
      </c>
      <c r="B15404" s="72" t="str">
        <f>VLOOKUP(A15404,'Componentes APUs'!$A$1:$D$14,2,0)</f>
        <v>Casco dielectrico Tipo 1 Clase E con barbuquejo</v>
      </c>
      <c r="C15404" s="73"/>
      <c r="D15404" s="50" t="str">
        <f>VLOOKUP(A15404,'Componentes APUs'!$A$1:$D$14,3,0)</f>
        <v>U</v>
      </c>
      <c r="E15404" s="50">
        <f>C15382+C15385+C15386+C15381+C15384+IF(A15383&lt;&gt;"MO-3",C15383,0)</f>
        <v>1.75</v>
      </c>
      <c r="F15404" s="51">
        <f>VLOOKUP(A15404,'Componentes APUs'!$A$1:$D$14,4,0)</f>
        <v>10101.010101010101</v>
      </c>
      <c r="G15404" s="51">
        <f>ROUNDUP(F15404*(E15404/21)/E15371,0)</f>
        <v>11</v>
      </c>
    </row>
    <row r="15405" spans="1:7" x14ac:dyDescent="0.25">
      <c r="A15405" s="69" t="s">
        <v>77</v>
      </c>
      <c r="B15405" s="72" t="str">
        <f>VLOOKUP(A15405,'Componentes APUs'!$A$1:$D$14,2,0)</f>
        <v>Correa plastica y antiflama</v>
      </c>
      <c r="C15405" s="73"/>
      <c r="D15405" s="50" t="str">
        <f>VLOOKUP(A15405,'Componentes APUs'!$A$1:$D$14,3,0)</f>
        <v>U</v>
      </c>
      <c r="E15405" s="50">
        <f>SUM(C15381:C15386)</f>
        <v>2.75</v>
      </c>
      <c r="F15405" s="51">
        <f>VLOOKUP(A15405,'Componentes APUs'!$A$1:$D$14,4,0)</f>
        <v>3787.878787878788</v>
      </c>
      <c r="G15405" s="51">
        <f>ROUNDUP(F15405*(E15405/21)/E15371,0)</f>
        <v>7</v>
      </c>
    </row>
    <row r="15406" spans="1:7" x14ac:dyDescent="0.25">
      <c r="A15406" s="50" t="s">
        <v>79</v>
      </c>
      <c r="B15406" s="72" t="str">
        <f>VLOOKUP(A15406,'Componentes APUs'!$A$1:$D$14,2,0)</f>
        <v>Gafas protectoras filtro UV</v>
      </c>
      <c r="C15406" s="73"/>
      <c r="D15406" s="50" t="str">
        <f>VLOOKUP(A15406,'Componentes APUs'!$A$1:$D$14,3,0)</f>
        <v>U</v>
      </c>
      <c r="E15406" s="50">
        <f>SUM(C15381:C15386)</f>
        <v>2.75</v>
      </c>
      <c r="F15406" s="51">
        <f>VLOOKUP(A15406,'Componentes APUs'!$A$1:$D$14,4,0)</f>
        <v>2777.7777777777778</v>
      </c>
      <c r="G15406" s="51">
        <f>ROUNDUP(F15406*(E15406/21)/E15371,0)</f>
        <v>5</v>
      </c>
    </row>
    <row r="15407" spans="1:7" x14ac:dyDescent="0.25">
      <c r="A15407" s="69" t="s">
        <v>402</v>
      </c>
      <c r="B15407" s="72" t="str">
        <f>VLOOKUP(A15407,'Componentes APUs'!$A$1:$D$14,2,0)</f>
        <v>Bota de seguridad PVC dielectrica</v>
      </c>
      <c r="C15407" s="73"/>
      <c r="D15407" s="50" t="str">
        <f>VLOOKUP(A15407,'Componentes APUs'!$A$1:$D$14,3,0)</f>
        <v>Par</v>
      </c>
      <c r="E15407" s="50">
        <f>SUM(C15381:C15386)</f>
        <v>2.75</v>
      </c>
      <c r="F15407" s="51">
        <f>VLOOKUP(A15407,'Componentes APUs'!$A$1:$D$14,4,0)</f>
        <v>2916.6666666666665</v>
      </c>
      <c r="G15407" s="51">
        <f>ROUNDUP(F15407*(E15407/21)/E15371,0)</f>
        <v>5</v>
      </c>
    </row>
    <row r="15408" spans="1:7" x14ac:dyDescent="0.25">
      <c r="A15408" s="50" t="s">
        <v>403</v>
      </c>
      <c r="B15408" s="72" t="str">
        <f>VLOOKUP(A15408,'Componentes APUs'!$A$1:$D$14,2,0)</f>
        <v>Capuchon</v>
      </c>
      <c r="C15408" s="73"/>
      <c r="D15408" s="50" t="str">
        <f>VLOOKUP(A15408,'Componentes APUs'!$A$1:$D$14,3,0)</f>
        <v>U</v>
      </c>
      <c r="E15408" s="50">
        <f>SUM(C15381:C15386)</f>
        <v>2.75</v>
      </c>
      <c r="F15408" s="51">
        <f>VLOOKUP(A15408,'Componentes APUs'!$A$1:$D$14,4,0)</f>
        <v>2525.2525252525252</v>
      </c>
      <c r="G15408" s="51">
        <f>ROUNDUP(F15408*(E15408/21)/E15371,0)</f>
        <v>5</v>
      </c>
    </row>
    <row r="15409" spans="1:7" x14ac:dyDescent="0.25">
      <c r="A15409" s="69" t="s">
        <v>81</v>
      </c>
      <c r="B15409" s="72" t="str">
        <f>VLOOKUP(A15409,'Componentes APUs'!$A$1:$D$14,2,0)</f>
        <v>Guantes Protectores  - ingeniero reforzados</v>
      </c>
      <c r="C15409" s="73"/>
      <c r="D15409" s="50" t="str">
        <f>VLOOKUP(A15409,'Componentes APUs'!$A$1:$D$14,3,0)</f>
        <v>Par</v>
      </c>
      <c r="E15409" s="50">
        <f>C15383+C15384+C15386</f>
        <v>2</v>
      </c>
      <c r="F15409" s="51">
        <f>VLOOKUP(A15409,'Componentes APUs'!$A$1:$D$14,4,0)</f>
        <v>2525.2525252525252</v>
      </c>
      <c r="G15409" s="51">
        <f>ROUNDUP(F15409*(E15409/21)/E15371,0)</f>
        <v>4</v>
      </c>
    </row>
    <row r="15410" spans="1:7" x14ac:dyDescent="0.25">
      <c r="A15410" s="50" t="s">
        <v>83</v>
      </c>
      <c r="B15410" s="72" t="str">
        <f>VLOOKUP(A15410,'Componentes APUs'!$A$1:$D$14,2,0)</f>
        <v>Impermeable (pantalon camisa)</v>
      </c>
      <c r="C15410" s="73"/>
      <c r="D15410" s="50" t="str">
        <f>VLOOKUP(A15410,'Componentes APUs'!$A$1:$D$14,3,0)</f>
        <v>U</v>
      </c>
      <c r="E15410" s="50">
        <f>SUM(C15381:C15386)</f>
        <v>2.75</v>
      </c>
      <c r="F15410" s="51">
        <f>VLOOKUP(A15410,'Componentes APUs'!$A$1:$D$14,4,0)</f>
        <v>3750</v>
      </c>
      <c r="G15410" s="51">
        <f>ROUNDUP(F15410*(E15410/21)/E15371,0)</f>
        <v>7</v>
      </c>
    </row>
    <row r="15411" spans="1:7" x14ac:dyDescent="0.25">
      <c r="A15411" s="69" t="s">
        <v>85</v>
      </c>
      <c r="B15411" s="72" t="str">
        <f>VLOOKUP(A15411,'Componentes APUs'!$A$1:$D$14,2,0)</f>
        <v>Jean Dielectrico</v>
      </c>
      <c r="C15411" s="73"/>
      <c r="D15411" s="50" t="str">
        <f>VLOOKUP(A15411,'Componentes APUs'!$A$1:$D$14,3,0)</f>
        <v>U</v>
      </c>
      <c r="E15411" s="50">
        <f>SUM(C15381:C15386)</f>
        <v>2.75</v>
      </c>
      <c r="F15411" s="51">
        <f>VLOOKUP(A15411,'Componentes APUs'!$A$1:$D$14,4,0)</f>
        <v>7575.757575757576</v>
      </c>
      <c r="G15411" s="51">
        <f>ROUNDUP(F15411*(E15411/21)/E15371,0)</f>
        <v>13</v>
      </c>
    </row>
    <row r="15412" spans="1:7" x14ac:dyDescent="0.25">
      <c r="A15412" s="50" t="s">
        <v>87</v>
      </c>
      <c r="B15412" s="72" t="str">
        <f>VLOOKUP(A15412,'Componentes APUs'!$A$1:$D$14,2,0)</f>
        <v>Casco dielectrico Tipo 2 Clase E con barboquejo</v>
      </c>
      <c r="C15412" s="73"/>
      <c r="D15412" s="50" t="str">
        <f>VLOOKUP(A15412,'Componentes APUs'!$A$1:$D$14,3,0)</f>
        <v>U</v>
      </c>
      <c r="E15412" s="53">
        <f>IF(A15383="MO-3",C15383,0)</f>
        <v>1</v>
      </c>
      <c r="F15412" s="51">
        <f>VLOOKUP(A15412,'Componentes APUs'!$A$1:$D$14,4,0)</f>
        <v>7500</v>
      </c>
      <c r="G15412" s="51">
        <f>ROUNDUP(F15412*(E15412/21)/E15371,0)</f>
        <v>5</v>
      </c>
    </row>
    <row r="15413" spans="1:7" x14ac:dyDescent="0.25">
      <c r="A15413" s="69" t="s">
        <v>89</v>
      </c>
      <c r="B15413" s="72" t="str">
        <f>VLOOKUP(A15413,'Componentes APUs'!$A$1:$D$14,2,0)</f>
        <v>Kit de rescate para trabajo en alturas</v>
      </c>
      <c r="C15413" s="73"/>
      <c r="D15413" s="50" t="str">
        <f>VLOOKUP(A15413,'Componentes APUs'!$A$1:$D$14,3,0)</f>
        <v>U</v>
      </c>
      <c r="E15413" s="50">
        <f>IF(AND(A15383="MO-3",C15383=2),1,0)</f>
        <v>0</v>
      </c>
      <c r="F15413" s="51">
        <f>VLOOKUP(A15413,'Componentes APUs'!$A$1:$D$14,4,0)</f>
        <v>37500</v>
      </c>
      <c r="G15413" s="51">
        <f>ROUNDUP(F15413*(E15413/21)/E15371,0)</f>
        <v>0</v>
      </c>
    </row>
    <row r="15414" spans="1:7" x14ac:dyDescent="0.25">
      <c r="A15414" s="50" t="s">
        <v>91</v>
      </c>
      <c r="B15414" s="72" t="str">
        <f>VLOOKUP(A15414,'Componentes APUs'!$A$1:$D$14,2,0)</f>
        <v>Equipo completo para trabajo en alturas con pretales (Arnes dielectrico, 1 mosqueton de seguridad, tie off dielectrico, eslinga de posicionamiento, juego de pretales)</v>
      </c>
      <c r="C15414" s="73"/>
      <c r="D15414" s="50" t="str">
        <f>VLOOKUP(A15414,'Componentes APUs'!$A$1:$D$14,3,0)</f>
        <v>U</v>
      </c>
      <c r="E15414" s="50">
        <f>IF(A15383="MO-3",C15383,0)</f>
        <v>1</v>
      </c>
      <c r="F15414" s="51">
        <f>VLOOKUP(A15414,'Componentes APUs'!$A$1:$D$14,4,0)</f>
        <v>26041.666666666668</v>
      </c>
      <c r="G15414" s="51">
        <f>ROUNDUP(F15414*(E15414/21)/E15371,0)</f>
        <v>16</v>
      </c>
    </row>
    <row r="15415" spans="1:7" x14ac:dyDescent="0.25">
      <c r="A15415" s="219" t="s">
        <v>95</v>
      </c>
      <c r="B15415" s="219"/>
      <c r="C15415" s="219"/>
      <c r="D15415" s="219"/>
      <c r="E15415" s="219"/>
      <c r="F15415" s="219"/>
      <c r="G15415" s="52">
        <f>SUM(G15402:G15414)</f>
        <v>106</v>
      </c>
    </row>
    <row r="15416" spans="1:7" x14ac:dyDescent="0.25">
      <c r="A15416" s="56"/>
      <c r="B15416" s="57"/>
      <c r="C15416" s="57"/>
      <c r="D15416" s="57"/>
      <c r="E15416" s="57"/>
      <c r="F15416" s="57"/>
      <c r="G15416" s="58"/>
    </row>
    <row r="15417" spans="1:7" x14ac:dyDescent="0.25">
      <c r="A15417" s="219" t="s">
        <v>96</v>
      </c>
      <c r="B15417" s="219"/>
      <c r="C15417" s="219"/>
      <c r="D15417" s="219"/>
      <c r="E15417" s="219"/>
      <c r="F15417" s="219"/>
      <c r="G15417" s="219"/>
    </row>
    <row r="15418" spans="1:7" x14ac:dyDescent="0.25">
      <c r="A15418" s="49" t="s">
        <v>35</v>
      </c>
      <c r="B15418" s="225" t="s">
        <v>36</v>
      </c>
      <c r="C15418" s="225"/>
      <c r="D15418" s="49" t="s">
        <v>37</v>
      </c>
      <c r="E15418" s="49" t="s">
        <v>38</v>
      </c>
      <c r="F15418" s="49" t="s">
        <v>39</v>
      </c>
      <c r="G15418" s="49" t="s">
        <v>40</v>
      </c>
    </row>
    <row r="15419" spans="1:7" x14ac:dyDescent="0.25">
      <c r="A15419" s="69" t="s">
        <v>97</v>
      </c>
      <c r="B15419" s="72" t="str">
        <f>VLOOKUP(A15419,'Componentes APUs'!$N$1:$Q$30,2,0)</f>
        <v>Camioneta</v>
      </c>
      <c r="C15419" s="73"/>
      <c r="D15419" s="70" t="str">
        <f>VLOOKUP(A15419,'Componentes APUs'!$N$1:$Q$30,3,0)</f>
        <v>U</v>
      </c>
      <c r="E15419" s="50">
        <v>1</v>
      </c>
      <c r="F15419" s="51">
        <f>VLOOKUP(A15419,'Componentes APUs'!$N$1:$Q$30,4,0)</f>
        <v>5500000</v>
      </c>
      <c r="G15419" s="51">
        <f>IFERROR(ROUNDUP(F15419*(E15419/21)/E15371,0),"-")</f>
        <v>3274</v>
      </c>
    </row>
    <row r="15420" spans="1:7" x14ac:dyDescent="0.25">
      <c r="A15420" s="50" t="s">
        <v>321</v>
      </c>
      <c r="B15420" s="72" t="str">
        <f>VLOOKUP(A15420,'Componentes APUs'!$N$1:$Q$30,2,0)</f>
        <v>Grúa Hidráulica</v>
      </c>
      <c r="C15420" s="73"/>
      <c r="D15420" s="70" t="str">
        <f>VLOOKUP(A15420,'Componentes APUs'!$N$1:$Q$30,3,0)</f>
        <v>U</v>
      </c>
      <c r="E15420" s="50">
        <v>0</v>
      </c>
      <c r="F15420" s="51">
        <f>VLOOKUP(A15420,'Componentes APUs'!$N$1:$Q$30,4,0)</f>
        <v>21000000</v>
      </c>
      <c r="G15420" s="51">
        <f>IFERROR(ROUNDUP(F15420*(E15420/21)/E15371,0),"-")</f>
        <v>0</v>
      </c>
    </row>
    <row r="15421" spans="1:7" x14ac:dyDescent="0.25">
      <c r="A15421" s="69" t="s">
        <v>322</v>
      </c>
      <c r="B15421" s="72" t="str">
        <f>VLOOKUP(A15421,'Componentes APUs'!$N$1:$Q$30,2,0)</f>
        <v>Camabaja</v>
      </c>
      <c r="C15421" s="73"/>
      <c r="D15421" s="70" t="str">
        <f>VLOOKUP(A15421,'Componentes APUs'!$N$1:$Q$30,3,0)</f>
        <v>TON/KM</v>
      </c>
      <c r="E15421" s="50">
        <v>0</v>
      </c>
      <c r="F15421" s="51">
        <f>VLOOKUP(A15421,'Componentes APUs'!$N$1:$Q$30,4,0)</f>
        <v>611</v>
      </c>
      <c r="G15421" s="51">
        <f>IFERROR(ROUNDUP(F15421*(E15421/21)/E15371,0),"-")</f>
        <v>0</v>
      </c>
    </row>
    <row r="15422" spans="1:7" x14ac:dyDescent="0.25">
      <c r="A15422" s="50" t="s">
        <v>323</v>
      </c>
      <c r="B15422" s="72" t="str">
        <f>VLOOKUP(A15422,'Componentes APUs'!$N$1:$Q$30,2,0)</f>
        <v>Volqueta</v>
      </c>
      <c r="C15422" s="73"/>
      <c r="D15422" s="70" t="str">
        <f>VLOOKUP(A15422,'Componentes APUs'!$N$1:$Q$30,3,0)</f>
        <v>U</v>
      </c>
      <c r="E15422" s="50">
        <v>0</v>
      </c>
      <c r="F15422" s="51">
        <f>VLOOKUP(A15422,'Componentes APUs'!$N$1:$Q$30,4,0)</f>
        <v>14828184</v>
      </c>
      <c r="G15422" s="51">
        <f>IFERROR(ROUNDUP(F15422*(E15422/21)/E15371,0),"-")</f>
        <v>0</v>
      </c>
    </row>
    <row r="15423" spans="1:7" x14ac:dyDescent="0.25">
      <c r="A15423" s="69" t="s">
        <v>324</v>
      </c>
      <c r="B15423" s="72" t="str">
        <f>VLOOKUP(A15423,'Componentes APUs'!$N$1:$Q$30,2,0)</f>
        <v>Retroexcavadora</v>
      </c>
      <c r="C15423" s="73"/>
      <c r="D15423" s="70" t="str">
        <f>VLOOKUP(A15423,'Componentes APUs'!$N$1:$Q$30,3,0)</f>
        <v>U</v>
      </c>
      <c r="E15423" s="50">
        <v>0</v>
      </c>
      <c r="F15423" s="51">
        <f>VLOOKUP(A15423,'Componentes APUs'!$N$1:$Q$30,4,0)</f>
        <v>46030656</v>
      </c>
      <c r="G15423" s="51">
        <f>IFERROR(ROUNDUP(F15423*(E15423/21)/E15371,0),"-")</f>
        <v>0</v>
      </c>
    </row>
    <row r="15424" spans="1:7" x14ac:dyDescent="0.25">
      <c r="A15424" s="219" t="s">
        <v>99</v>
      </c>
      <c r="B15424" s="219"/>
      <c r="C15424" s="219"/>
      <c r="D15424" s="219"/>
      <c r="E15424" s="219"/>
      <c r="F15424" s="219"/>
      <c r="G15424" s="52">
        <f>SUM(G15419:G15423)</f>
        <v>3274</v>
      </c>
    </row>
    <row r="15425" spans="1:7" x14ac:dyDescent="0.25">
      <c r="A15425" s="56"/>
      <c r="B15425" s="57"/>
      <c r="C15425" s="57"/>
      <c r="D15425" s="57"/>
      <c r="E15425" s="57"/>
      <c r="F15425" s="57"/>
      <c r="G15425" s="58"/>
    </row>
    <row r="15426" spans="1:7" x14ac:dyDescent="0.25">
      <c r="A15426" s="219" t="s">
        <v>1516</v>
      </c>
      <c r="B15426" s="219"/>
      <c r="C15426" s="219"/>
      <c r="D15426" s="219"/>
      <c r="E15426" s="219"/>
      <c r="F15426" s="219"/>
      <c r="G15426" s="52">
        <f>G15424+G15415+G15398+G15387+G15377</f>
        <v>64182</v>
      </c>
    </row>
    <row r="15427" spans="1:7" x14ac:dyDescent="0.25">
      <c r="A15427" s="59"/>
      <c r="B15427" s="60"/>
      <c r="C15427" s="60"/>
      <c r="D15427" s="60"/>
      <c r="E15427" s="57"/>
      <c r="F15427" s="57"/>
      <c r="G15427" s="58"/>
    </row>
    <row r="15428" spans="1:7" x14ac:dyDescent="0.25">
      <c r="A15428" s="64"/>
      <c r="D15428" s="55"/>
      <c r="E15428" s="49" t="s">
        <v>25</v>
      </c>
      <c r="F15428" s="54">
        <v>0.15</v>
      </c>
      <c r="G15428" s="51">
        <f>G15426*F15428</f>
        <v>9627.2999999999993</v>
      </c>
    </row>
    <row r="15429" spans="1:7" x14ac:dyDescent="0.25">
      <c r="A15429" s="64"/>
      <c r="D15429" s="55"/>
      <c r="E15429" s="49" t="s">
        <v>26</v>
      </c>
      <c r="F15429" s="54">
        <v>0.05</v>
      </c>
      <c r="G15429" s="51">
        <f>G15426*F15429</f>
        <v>3209.1000000000004</v>
      </c>
    </row>
    <row r="15430" spans="1:7" x14ac:dyDescent="0.25">
      <c r="A15430" s="61"/>
      <c r="B15430" s="65"/>
      <c r="C15430" s="65"/>
      <c r="D15430" s="62"/>
      <c r="E15430" s="49" t="s">
        <v>27</v>
      </c>
      <c r="F15430" s="54">
        <v>0.05</v>
      </c>
      <c r="G15430" s="51">
        <f>G15426*F15430</f>
        <v>3209.1000000000004</v>
      </c>
    </row>
    <row r="15431" spans="1:7" x14ac:dyDescent="0.25">
      <c r="A15431" s="61"/>
      <c r="B15431" s="62"/>
      <c r="C15431" s="62"/>
      <c r="D15431" s="62"/>
      <c r="E15431" s="62"/>
      <c r="F15431" s="62"/>
      <c r="G15431" s="63"/>
    </row>
    <row r="15432" spans="1:7" x14ac:dyDescent="0.25">
      <c r="A15432" s="219" t="s">
        <v>1517</v>
      </c>
      <c r="B15432" s="219"/>
      <c r="C15432" s="219"/>
      <c r="D15432" s="219"/>
      <c r="E15432" s="219"/>
      <c r="F15432" s="219"/>
      <c r="G15432" s="52">
        <f>G15426+G15428+G15429+G15430</f>
        <v>80227.500000000015</v>
      </c>
    </row>
    <row r="15433" spans="1:7" x14ac:dyDescent="0.25">
      <c r="A15433" s="59"/>
      <c r="B15433" s="60"/>
      <c r="C15433" s="60"/>
      <c r="D15433" s="60"/>
      <c r="E15433" s="57"/>
      <c r="F15433" s="57"/>
      <c r="G15433" s="58"/>
    </row>
    <row r="15434" spans="1:7" x14ac:dyDescent="0.25">
      <c r="A15434" s="64"/>
      <c r="D15434" s="55"/>
      <c r="E15434" s="49" t="s">
        <v>102</v>
      </c>
      <c r="F15434" s="49" t="s">
        <v>103</v>
      </c>
      <c r="G15434" s="51">
        <f>G15430*19%</f>
        <v>609.72900000000004</v>
      </c>
    </row>
    <row r="15435" spans="1:7" x14ac:dyDescent="0.25">
      <c r="A15435" s="61"/>
      <c r="B15435" s="62"/>
      <c r="C15435" s="62"/>
      <c r="D15435" s="62"/>
      <c r="E15435" s="57"/>
      <c r="F15435" s="57"/>
      <c r="G15435" s="58"/>
    </row>
    <row r="15436" spans="1:7" x14ac:dyDescent="0.25">
      <c r="A15436" s="219" t="s">
        <v>104</v>
      </c>
      <c r="B15436" s="219"/>
      <c r="C15436" s="219"/>
      <c r="D15436" s="219"/>
      <c r="E15436" s="219"/>
      <c r="F15436" s="219"/>
      <c r="G15436" s="52">
        <f>G15434+G15432</f>
        <v>80837.229000000021</v>
      </c>
    </row>
    <row r="15438" spans="1:7" x14ac:dyDescent="0.25">
      <c r="A15438" s="74" t="s">
        <v>29</v>
      </c>
      <c r="B15438" s="237" t="s">
        <v>30</v>
      </c>
      <c r="C15438" s="238"/>
      <c r="D15438" s="74" t="s">
        <v>31</v>
      </c>
      <c r="E15438" s="74" t="s">
        <v>32</v>
      </c>
      <c r="F15438" s="74" t="s">
        <v>189</v>
      </c>
      <c r="G15438" s="74" t="s">
        <v>33</v>
      </c>
    </row>
    <row r="15439" spans="1:7" ht="33" customHeight="1" x14ac:dyDescent="0.25">
      <c r="A15439" s="50" t="str">
        <f>Presupuesto!B304</f>
        <v>001_SC</v>
      </c>
      <c r="B15439" s="220" t="str">
        <f>Presupuesto!C304</f>
        <v>SUMINISTRO E INSTALACIÓN DE SALIDA EN TUBERÍA EMT EN 1/2" EN CABLE 2X10F+1X10N + 1X10 T AWG Cu- TC-THHN - 600 V. INCLUYE CLAVIJA TWIST LOCK Y TOMA 4 POLOS.</v>
      </c>
      <c r="C15439" s="239"/>
      <c r="D15439" s="50" t="s">
        <v>8</v>
      </c>
      <c r="E15439" s="50">
        <v>10</v>
      </c>
      <c r="F15439" s="50"/>
      <c r="G15439" s="51">
        <f>G15510</f>
        <v>510855.71899999992</v>
      </c>
    </row>
    <row r="15440" spans="1:7" x14ac:dyDescent="0.25">
      <c r="A15440" s="219" t="s">
        <v>34</v>
      </c>
      <c r="B15440" s="219"/>
      <c r="C15440" s="219"/>
      <c r="D15440" s="219"/>
      <c r="E15440" s="219"/>
      <c r="F15440" s="219"/>
      <c r="G15440" s="219"/>
    </row>
    <row r="15441" spans="1:8" x14ac:dyDescent="0.25">
      <c r="A15441" s="49" t="s">
        <v>35</v>
      </c>
      <c r="B15441" s="234" t="s">
        <v>36</v>
      </c>
      <c r="C15441" s="235"/>
      <c r="D15441" s="49" t="s">
        <v>37</v>
      </c>
      <c r="E15441" s="49" t="s">
        <v>38</v>
      </c>
      <c r="F15441" s="49" t="s">
        <v>39</v>
      </c>
      <c r="G15441" s="49" t="s">
        <v>40</v>
      </c>
    </row>
    <row r="15442" spans="1:8" x14ac:dyDescent="0.25">
      <c r="A15442" s="17" t="str">
        <f>Material!A158</f>
        <v>MA-157</v>
      </c>
      <c r="B15442" s="72" t="str">
        <f>IFERROR(VLOOKUP(A15442,Material!$A:$H,2,0),"-")</f>
        <v xml:space="preserve">TUBERIA EMT 1/2" </v>
      </c>
      <c r="C15442" s="73"/>
      <c r="D15442" s="50" t="str">
        <f>IFERROR(VLOOKUP(A15442,Material!$A:$H,4,0),"-")</f>
        <v>ML</v>
      </c>
      <c r="E15442" s="50">
        <v>3</v>
      </c>
      <c r="F15442" s="51">
        <f>IFERROR(VLOOKUP(A15442,Material!$A:$H,3,0),"-")</f>
        <v>8580</v>
      </c>
      <c r="G15442" s="51">
        <f t="shared" ref="G15442:G15451" si="219">IFERROR(ROUNDUP(F15442*E15442,0),"-")</f>
        <v>25740</v>
      </c>
    </row>
    <row r="15443" spans="1:8" x14ac:dyDescent="0.25">
      <c r="A15443" s="17" t="str">
        <f>Material!A251</f>
        <v>MA-250</v>
      </c>
      <c r="B15443" s="72" t="str">
        <f>IFERROR(VLOOKUP(A15443,Material!$A:$H,2,0),"-")</f>
        <v>TERMINAL-CONECTOR EMT DE 1/2"</v>
      </c>
      <c r="C15443" s="76"/>
      <c r="D15443" s="50" t="str">
        <f>IFERROR(VLOOKUP(A15443,Material!$A:$H,4,0),"-")</f>
        <v>UN</v>
      </c>
      <c r="E15443" s="50">
        <v>2</v>
      </c>
      <c r="F15443" s="51">
        <f>IFERROR(VLOOKUP(A15443,Material!$A:$H,3,0),"-")</f>
        <v>1300</v>
      </c>
      <c r="G15443" s="51">
        <f t="shared" si="219"/>
        <v>2600</v>
      </c>
      <c r="H15443" s="1"/>
    </row>
    <row r="15444" spans="1:8" x14ac:dyDescent="0.25">
      <c r="A15444" s="17" t="str">
        <f>Material!A400</f>
        <v>MA-399</v>
      </c>
      <c r="B15444" s="72" t="str">
        <f>IFERROR(VLOOKUP(A15444,Material!$A:$H,2,0),"-")</f>
        <v>UNION EMT DE 1/2 "</v>
      </c>
      <c r="C15444" s="76"/>
      <c r="D15444" s="50" t="str">
        <f>IFERROR(VLOOKUP(A15444,Material!$A:$H,4,0),"-")</f>
        <v>UN</v>
      </c>
      <c r="E15444" s="50">
        <v>1.67</v>
      </c>
      <c r="F15444" s="51">
        <f>IFERROR(VLOOKUP(A15444,Material!$A:$H,3,0),"-")</f>
        <v>1170</v>
      </c>
      <c r="G15444" s="51">
        <f t="shared" si="219"/>
        <v>1954</v>
      </c>
    </row>
    <row r="15445" spans="1:8" x14ac:dyDescent="0.25">
      <c r="A15445" s="17" t="str">
        <f>Material!A161</f>
        <v>MA-160</v>
      </c>
      <c r="B15445" s="72" t="str">
        <f>IFERROR(VLOOKUP(A15445,Material!$A:$H,2,0),"-")</f>
        <v>CURVA 90 GRADOS EMT DE 1/2"</v>
      </c>
      <c r="C15445" s="76"/>
      <c r="D15445" s="50" t="str">
        <f>IFERROR(VLOOKUP(A15445,Material!$A:$H,4,0),"-")</f>
        <v>UN</v>
      </c>
      <c r="E15445" s="50">
        <v>1</v>
      </c>
      <c r="F15445" s="51">
        <f>IFERROR(VLOOKUP(A15445,Material!$A:$H,3,0),"-")</f>
        <v>1430</v>
      </c>
      <c r="G15445" s="51">
        <f t="shared" si="219"/>
        <v>1430</v>
      </c>
    </row>
    <row r="15446" spans="1:8" x14ac:dyDescent="0.25">
      <c r="A15446" s="17" t="str">
        <f>Material!A401</f>
        <v>MA-400</v>
      </c>
      <c r="B15446" s="72" t="str">
        <f>IFERROR(VLOOKUP(A15446,Material!$A:$H,2,0),"-")</f>
        <v>ABRAZADERA GRAPA METALICA 1/2"</v>
      </c>
      <c r="C15446" s="76"/>
      <c r="D15446" s="50" t="str">
        <f>IFERROR(VLOOKUP(A15446,Material!$A:$H,4,0),"-")</f>
        <v>UN</v>
      </c>
      <c r="E15446" s="50">
        <v>3.33</v>
      </c>
      <c r="F15446" s="51">
        <f>IFERROR(VLOOKUP(A15446,Material!$A:$H,3,0),"-")</f>
        <v>1040</v>
      </c>
      <c r="G15446" s="51">
        <f t="shared" si="219"/>
        <v>3464</v>
      </c>
    </row>
    <row r="15447" spans="1:8" x14ac:dyDescent="0.25">
      <c r="A15447" s="17" t="str">
        <f>Material!A215</f>
        <v>MA-214</v>
      </c>
      <c r="B15447" s="72" t="str">
        <f>IFERROR(VLOOKUP(A15447,Material!$A:$H,2,0),"-")</f>
        <v>CABLE 10 AWG Cu- TC-THHN/THWN - 600 V</v>
      </c>
      <c r="C15447" s="76"/>
      <c r="D15447" s="50" t="str">
        <f>IFERROR(VLOOKUP(A15447,Material!$A:$H,4,0),"-")</f>
        <v>ML</v>
      </c>
      <c r="E15447" s="50">
        <v>20</v>
      </c>
      <c r="F15447" s="51">
        <f>IFERROR(VLOOKUP(A15447,Material!$A:$H,3,0),"-")</f>
        <v>5070</v>
      </c>
      <c r="G15447" s="51">
        <f t="shared" si="219"/>
        <v>101400</v>
      </c>
    </row>
    <row r="15448" spans="1:8" x14ac:dyDescent="0.25">
      <c r="A15448" s="17" t="str">
        <f>Material!A548</f>
        <v>MA-547</v>
      </c>
      <c r="B15448" s="72" t="str">
        <f>IFERROR(VLOOKUP(A15448,Material!$A:$H,2,0),"-")</f>
        <v>TOMA AEREA DE SEGURIDAD HEMBRA DE 4 POLOS HALUX TWIST LOCK</v>
      </c>
      <c r="C15448" s="76"/>
      <c r="D15448" s="50" t="str">
        <f>IFERROR(VLOOKUP(A15448,Material!$A:$H,4,0),"-")</f>
        <v>UN</v>
      </c>
      <c r="E15448" s="50">
        <v>1</v>
      </c>
      <c r="F15448" s="51">
        <f>IFERROR(VLOOKUP(A15448,Material!$A:$H,3,0),"-")</f>
        <v>41470</v>
      </c>
      <c r="G15448" s="51">
        <f t="shared" si="219"/>
        <v>41470</v>
      </c>
    </row>
    <row r="15449" spans="1:8" x14ac:dyDescent="0.25">
      <c r="A15449" s="17" t="str">
        <f>Material!A549</f>
        <v>MA-548</v>
      </c>
      <c r="B15449" s="72" t="str">
        <f>IFERROR(VLOOKUP(A15449,Material!$A:$H,2,0),"-")</f>
        <v>CLAVIJA AEREA DE SEGURIDAD MACHO DE 4 POLOS HALUX</v>
      </c>
      <c r="C15449" s="76"/>
      <c r="D15449" s="50" t="str">
        <f>IFERROR(VLOOKUP(A15449,Material!$A:$H,4,0),"-")</f>
        <v>UN</v>
      </c>
      <c r="E15449" s="50">
        <v>1</v>
      </c>
      <c r="F15449" s="51">
        <f>IFERROR(VLOOKUP(A15449,Material!$A:$H,3,0),"-")</f>
        <v>115570</v>
      </c>
      <c r="G15449" s="51">
        <f t="shared" ref="G15449" si="220">IFERROR(ROUNDUP(F15449*E15449,0),"-")</f>
        <v>115570</v>
      </c>
    </row>
    <row r="15450" spans="1:8" x14ac:dyDescent="0.25">
      <c r="A15450" s="17" t="str">
        <f>Material!A228</f>
        <v>MA-227</v>
      </c>
      <c r="B15450" s="72" t="str">
        <f>IFERROR(VLOOKUP(A15450,Material!$A:$H,2,0),"-")</f>
        <v>TERMINAL SOLDER AMARILLO 22-14 VCP</v>
      </c>
      <c r="C15450" s="76"/>
      <c r="D15450" s="50" t="str">
        <f>IFERROR(VLOOKUP(A15450,Material!$A:$H,4,0),"-")</f>
        <v>UN</v>
      </c>
      <c r="E15450" s="50">
        <v>3</v>
      </c>
      <c r="F15450" s="51">
        <f>IFERROR(VLOOKUP(A15450,Material!$A:$H,3,0),"-")</f>
        <v>299</v>
      </c>
      <c r="G15450" s="51">
        <f t="shared" si="219"/>
        <v>897</v>
      </c>
    </row>
    <row r="15451" spans="1:8" x14ac:dyDescent="0.25">
      <c r="A15451" s="17" t="str">
        <f>Material!A229</f>
        <v>MA-228</v>
      </c>
      <c r="B15451" s="72" t="str">
        <f>IFERROR(VLOOKUP(A15451,Material!$A:$H,2,0),"-")</f>
        <v>CINTA DE COLORES</v>
      </c>
      <c r="C15451" s="76"/>
      <c r="D15451" s="50" t="str">
        <f>IFERROR(VLOOKUP(A15451,Material!$A:$H,4,0),"-")</f>
        <v>ML</v>
      </c>
      <c r="E15451" s="50">
        <v>7.0000000000000007E-2</v>
      </c>
      <c r="F15451" s="51">
        <f>IFERROR(VLOOKUP(A15451,Material!$A:$H,3,0),"-")</f>
        <v>54.080000000000005</v>
      </c>
      <c r="G15451" s="51">
        <f t="shared" si="219"/>
        <v>4</v>
      </c>
    </row>
    <row r="15452" spans="1:8" x14ac:dyDescent="0.25">
      <c r="A15452" s="17" t="str">
        <f>Material!A451</f>
        <v>MA-450</v>
      </c>
      <c r="B15452" s="72" t="str">
        <f>IFERROR(VLOOKUP(A15452,Material!$A:$H,2,0),"-")</f>
        <v>CAJA FS 2X4  4 SALIDAS 1/2"</v>
      </c>
      <c r="C15452" s="76"/>
      <c r="D15452" s="50" t="str">
        <f>IFERROR(VLOOKUP(A15452,Material!$A:$H,4,0),"-")</f>
        <v>UN</v>
      </c>
      <c r="E15452" s="50">
        <v>1</v>
      </c>
      <c r="F15452" s="51">
        <f>IFERROR(VLOOKUP(A15452,Material!$A:$H,3,0),"-")</f>
        <v>16633.5</v>
      </c>
      <c r="G15452" s="51">
        <f>IFERROR(ROUNDUP(F15452*E15452,0),"-")</f>
        <v>16634</v>
      </c>
    </row>
    <row r="15453" spans="1:8" x14ac:dyDescent="0.25">
      <c r="A15453" s="234" t="s">
        <v>41</v>
      </c>
      <c r="B15453" s="236"/>
      <c r="C15453" s="236"/>
      <c r="D15453" s="236"/>
      <c r="E15453" s="236"/>
      <c r="F15453" s="235"/>
      <c r="G15453" s="52">
        <f>SUM(G15442:G15452)</f>
        <v>311163</v>
      </c>
    </row>
    <row r="15454" spans="1:8" x14ac:dyDescent="0.25">
      <c r="A15454" s="56"/>
      <c r="B15454" s="57"/>
      <c r="C15454" s="57"/>
      <c r="D15454" s="57"/>
      <c r="E15454" s="57"/>
      <c r="F15454" s="57"/>
      <c r="G15454" s="58"/>
    </row>
    <row r="15455" spans="1:8" x14ac:dyDescent="0.25">
      <c r="A15455" s="219" t="s">
        <v>42</v>
      </c>
      <c r="B15455" s="219"/>
      <c r="C15455" s="219"/>
      <c r="D15455" s="219"/>
      <c r="E15455" s="219"/>
      <c r="F15455" s="219"/>
      <c r="G15455" s="219"/>
    </row>
    <row r="15456" spans="1:8" x14ac:dyDescent="0.25">
      <c r="A15456" s="49" t="s">
        <v>35</v>
      </c>
      <c r="B15456" s="49" t="s">
        <v>36</v>
      </c>
      <c r="C15456" s="49" t="s">
        <v>38</v>
      </c>
      <c r="D15456" s="49" t="s">
        <v>43</v>
      </c>
      <c r="E15456" s="49" t="s">
        <v>44</v>
      </c>
      <c r="F15456" s="49" t="s">
        <v>45</v>
      </c>
      <c r="G15456" s="49" t="s">
        <v>40</v>
      </c>
    </row>
    <row r="15457" spans="1:7" x14ac:dyDescent="0.25">
      <c r="A15457" s="50" t="s">
        <v>319</v>
      </c>
      <c r="B15457" s="68" t="str">
        <f>VLOOKUP(A15457,'Componentes APUs'!$H$1:$L$25,2,0)</f>
        <v>Ingeniero Residente de Obra</v>
      </c>
      <c r="C15457" s="93">
        <v>0.25</v>
      </c>
      <c r="D15457" s="50">
        <f>VLOOKUP(A15457,'Componentes APUs'!$H$1:$L$25,3,0)</f>
        <v>4</v>
      </c>
      <c r="E15457" s="51">
        <f>VLOOKUP(A15457,'Componentes APUs'!$H$1:$L$25,4,0)</f>
        <v>271142.85714285716</v>
      </c>
      <c r="F15457" s="51">
        <f>VLOOKUP(A15457,'Componentes APUs'!$H$1:$L$25,5,0)</f>
        <v>162685.71428571429</v>
      </c>
      <c r="G15457" s="51">
        <f>ROUNDUP((E15457+F15457)*C15457/E15439,0)</f>
        <v>10846</v>
      </c>
    </row>
    <row r="15458" spans="1:7" x14ac:dyDescent="0.25">
      <c r="A15458" s="50" t="s">
        <v>320</v>
      </c>
      <c r="B15458" s="68" t="str">
        <f>VLOOKUP(A15458,'Componentes APUs'!$H$1:$L$25,2,0)</f>
        <v>Tecnico Supervisor</v>
      </c>
      <c r="C15458" s="93">
        <v>0.25</v>
      </c>
      <c r="D15458" s="50">
        <f>VLOOKUP(A15458,'Componentes APUs'!$H$1:$L$25,3,0)</f>
        <v>2.2999999999999998</v>
      </c>
      <c r="E15458" s="51">
        <f>VLOOKUP(A15458,'Componentes APUs'!$H$1:$L$25,4,0)</f>
        <v>155907.14285714284</v>
      </c>
      <c r="F15458" s="51">
        <f>VLOOKUP(A15458,'Componentes APUs'!$H$1:$L$25,5,0)</f>
        <v>93544.285714285696</v>
      </c>
      <c r="G15458" s="51">
        <f>ROUNDUP((E15458+F15458)*C15458/E15439,0)</f>
        <v>6237</v>
      </c>
    </row>
    <row r="15459" spans="1:7" x14ac:dyDescent="0.25">
      <c r="A15459" s="50" t="s">
        <v>1160</v>
      </c>
      <c r="B15459" s="68" t="str">
        <f>VLOOKUP(A15459,'Componentes APUs'!$H$1:$L$25,2,0)</f>
        <v>Oficial Eléctrico</v>
      </c>
      <c r="C15459" s="93">
        <v>1</v>
      </c>
      <c r="D15459" s="50">
        <f>VLOOKUP(A15459,'Componentes APUs'!$H$1:$L$25,3,0)</f>
        <v>2</v>
      </c>
      <c r="E15459" s="51">
        <f>VLOOKUP(A15459,'Componentes APUs'!$H$1:$L$25,4,0)</f>
        <v>154619.04761904763</v>
      </c>
      <c r="F15459" s="51">
        <f>VLOOKUP(A15459,'Componentes APUs'!$H$1:$L$25,5,0)</f>
        <v>92771.42857142858</v>
      </c>
      <c r="G15459" s="51">
        <f>ROUNDUP((E15459+F15459)*C15459/E15439,0)</f>
        <v>24740</v>
      </c>
    </row>
    <row r="15460" spans="1:7" x14ac:dyDescent="0.25">
      <c r="A15460" s="50" t="s">
        <v>48</v>
      </c>
      <c r="B15460" s="68" t="str">
        <f>VLOOKUP(A15460,'Componentes APUs'!$H$1:$L$25,2,0)</f>
        <v>Ayudante Calificado</v>
      </c>
      <c r="C15460" s="93">
        <v>1</v>
      </c>
      <c r="D15460" s="50">
        <f>VLOOKUP(A15460,'Componentes APUs'!$H$1:$L$25,3,0)</f>
        <v>1.5</v>
      </c>
      <c r="E15460" s="51">
        <f>VLOOKUP(A15460,'Componentes APUs'!$H$1:$L$25,4,0)</f>
        <v>115964.28571428571</v>
      </c>
      <c r="F15460" s="51">
        <f>VLOOKUP(A15460,'Componentes APUs'!$H$1:$L$25,5,0)</f>
        <v>69578.57142857142</v>
      </c>
      <c r="G15460" s="51">
        <f>ROUNDUP((E15460+F15460)*C15460/E15439,0)</f>
        <v>18555</v>
      </c>
    </row>
    <row r="15461" spans="1:7" x14ac:dyDescent="0.25">
      <c r="A15461" s="50" t="s">
        <v>50</v>
      </c>
      <c r="B15461" s="68" t="str">
        <f>VLOOKUP(A15461,'Componentes APUs'!$H$1:$L$25,2,0)</f>
        <v>Profesional en SST</v>
      </c>
      <c r="C15461" s="93">
        <v>0.25</v>
      </c>
      <c r="D15461" s="50">
        <f>VLOOKUP(A15461,'Componentes APUs'!$H$1:$L$25,3,0)</f>
        <v>2.5</v>
      </c>
      <c r="E15461" s="51">
        <f>VLOOKUP(A15461,'Componentes APUs'!$H$1:$L$25,4,0)</f>
        <v>169464.28571428571</v>
      </c>
      <c r="F15461" s="51">
        <f>VLOOKUP(A15461,'Componentes APUs'!$H$1:$L$25,5,0)</f>
        <v>101678.57142857142</v>
      </c>
      <c r="G15461" s="51">
        <f>ROUNDUP((E15461+F15461)*C15461/E15439,0)</f>
        <v>6779</v>
      </c>
    </row>
    <row r="15462" spans="1:7" x14ac:dyDescent="0.25">
      <c r="A15462" s="50" t="s">
        <v>52</v>
      </c>
      <c r="B15462" s="68" t="str">
        <f>VLOOKUP(A15462,'Componentes APUs'!$H$1:$L$25,2,0)</f>
        <v>Ayudante No Calificado</v>
      </c>
      <c r="C15462" s="93">
        <v>0</v>
      </c>
      <c r="D15462" s="50">
        <f>VLOOKUP(A15462,'Componentes APUs'!$H$1:$L$25,3,0)</f>
        <v>1</v>
      </c>
      <c r="E15462" s="51">
        <f>VLOOKUP(A15462,'Componentes APUs'!$H$1:$L$25,4,0)</f>
        <v>77309.523809523816</v>
      </c>
      <c r="F15462" s="51">
        <f>VLOOKUP(A15462,'Componentes APUs'!$H$1:$L$25,5,0)</f>
        <v>46385.71428571429</v>
      </c>
      <c r="G15462" s="51">
        <f>ROUNDUP((E15462+F15462)*C15462/E15439,0)</f>
        <v>0</v>
      </c>
    </row>
    <row r="15463" spans="1:7" x14ac:dyDescent="0.25">
      <c r="A15463" s="219" t="s">
        <v>56</v>
      </c>
      <c r="B15463" s="219"/>
      <c r="C15463" s="219"/>
      <c r="D15463" s="219"/>
      <c r="E15463" s="219"/>
      <c r="F15463" s="219"/>
      <c r="G15463" s="52">
        <f>SUM(G15457:G15462)</f>
        <v>67157</v>
      </c>
    </row>
    <row r="15464" spans="1:7" x14ac:dyDescent="0.25">
      <c r="A15464" s="56"/>
      <c r="B15464" s="57"/>
      <c r="C15464" s="57"/>
      <c r="D15464" s="57"/>
      <c r="E15464" s="57"/>
      <c r="F15464" s="57"/>
      <c r="G15464" s="58"/>
    </row>
    <row r="15465" spans="1:7" x14ac:dyDescent="0.25">
      <c r="A15465" s="219" t="s">
        <v>57</v>
      </c>
      <c r="B15465" s="219"/>
      <c r="C15465" s="219"/>
      <c r="D15465" s="219"/>
      <c r="E15465" s="219"/>
      <c r="F15465" s="219"/>
      <c r="G15465" s="219"/>
    </row>
    <row r="15466" spans="1:7" x14ac:dyDescent="0.25">
      <c r="A15466" s="49" t="s">
        <v>35</v>
      </c>
      <c r="B15466" s="219" t="s">
        <v>36</v>
      </c>
      <c r="C15466" s="219"/>
      <c r="D15466" s="49" t="s">
        <v>37</v>
      </c>
      <c r="E15466" s="49" t="s">
        <v>38</v>
      </c>
      <c r="F15466" s="49" t="s">
        <v>39</v>
      </c>
      <c r="G15466" s="49" t="s">
        <v>40</v>
      </c>
    </row>
    <row r="15467" spans="1:7" x14ac:dyDescent="0.25">
      <c r="A15467" s="50" t="s">
        <v>326</v>
      </c>
      <c r="B15467" s="220" t="str">
        <f>VLOOKUP(A15467,'Componentes APUs'!$S$1:$V$10,2,0)</f>
        <v>Juego Llaves</v>
      </c>
      <c r="C15467" s="220"/>
      <c r="D15467" s="50" t="s">
        <v>18</v>
      </c>
      <c r="E15467" s="50">
        <v>1</v>
      </c>
      <c r="F15467" s="51">
        <f>VLOOKUP(A15467,'Componentes APUs'!$S$1:$V$10,4,0)</f>
        <v>9167</v>
      </c>
      <c r="G15467" s="51">
        <f>ROUNDUP(F15467*((E15467/21)/E15439),0)</f>
        <v>44</v>
      </c>
    </row>
    <row r="15468" spans="1:7" x14ac:dyDescent="0.25">
      <c r="A15468" s="50" t="s">
        <v>58</v>
      </c>
      <c r="B15468" s="220" t="str">
        <f>VLOOKUP(A15468,'Componentes APUs'!$S$1:$V$10,2,0)</f>
        <v>Manila de servicio</v>
      </c>
      <c r="C15468" s="220"/>
      <c r="D15468" s="50" t="s">
        <v>18</v>
      </c>
      <c r="E15468" s="50">
        <v>0</v>
      </c>
      <c r="F15468" s="51">
        <f>VLOOKUP(A15468,'Componentes APUs'!$S$1:$V$10,4,0)</f>
        <v>2333</v>
      </c>
      <c r="G15468" s="51">
        <f>ROUNDUP(F15468*((E15468/21)/E15439),0)</f>
        <v>0</v>
      </c>
    </row>
    <row r="15469" spans="1:7" x14ac:dyDescent="0.25">
      <c r="A15469" s="50" t="s">
        <v>327</v>
      </c>
      <c r="B15469" s="220" t="str">
        <f>VLOOKUP(A15469,'Componentes APUs'!$S$1:$V$10,2,0)</f>
        <v>Tula portaherramientas</v>
      </c>
      <c r="C15469" s="220"/>
      <c r="D15469" s="50" t="s">
        <v>18</v>
      </c>
      <c r="E15469" s="50">
        <v>1</v>
      </c>
      <c r="F15469" s="51">
        <f>VLOOKUP(A15469,'Componentes APUs'!$S$1:$V$10,4,0)</f>
        <v>1250</v>
      </c>
      <c r="G15469" s="51">
        <f>ROUNDUP(F15469*((E15469/21)/E15439),0)</f>
        <v>6</v>
      </c>
    </row>
    <row r="15470" spans="1:7" x14ac:dyDescent="0.25">
      <c r="A15470" s="50" t="s">
        <v>60</v>
      </c>
      <c r="B15470" s="220" t="str">
        <f>VLOOKUP(A15470,'Componentes APUs'!$S$1:$V$10,2,0)</f>
        <v>Agarradoras</v>
      </c>
      <c r="C15470" s="220"/>
      <c r="D15470" s="50" t="s">
        <v>18</v>
      </c>
      <c r="E15470" s="50">
        <v>0</v>
      </c>
      <c r="F15470" s="51">
        <f>VLOOKUP(A15470,'Componentes APUs'!$S$1:$V$10,4,0)</f>
        <v>125000</v>
      </c>
      <c r="G15470" s="51">
        <f>ROUNDUP(F15470*((E15470/21)/E15439),0)</f>
        <v>0</v>
      </c>
    </row>
    <row r="15471" spans="1:7" x14ac:dyDescent="0.25">
      <c r="A15471" s="50" t="s">
        <v>62</v>
      </c>
      <c r="B15471" s="220" t="str">
        <f>VLOOKUP(A15471,'Componentes APUs'!$S$1:$V$10,2,0)</f>
        <v>Templadoras</v>
      </c>
      <c r="C15471" s="220"/>
      <c r="D15471" s="50" t="s">
        <v>18</v>
      </c>
      <c r="E15471" s="50">
        <v>0</v>
      </c>
      <c r="F15471" s="51">
        <f>VLOOKUP(A15471,'Componentes APUs'!$S$1:$V$10,4,0)</f>
        <v>250000</v>
      </c>
      <c r="G15471" s="51">
        <f>ROUNDUP(F15471*((E15471/21)/E15439),0)</f>
        <v>0</v>
      </c>
    </row>
    <row r="15472" spans="1:7" x14ac:dyDescent="0.25">
      <c r="A15472" s="50" t="s">
        <v>328</v>
      </c>
      <c r="B15472" s="220" t="str">
        <f>VLOOKUP(A15472,'Componentes APUs'!$S$1:$V$10,2,0)</f>
        <v>Herramienta Menor</v>
      </c>
      <c r="C15472" s="220"/>
      <c r="D15472" s="50" t="s">
        <v>18</v>
      </c>
      <c r="E15472" s="50">
        <v>1</v>
      </c>
      <c r="F15472" s="51">
        <f>VLOOKUP(A15472,'Componentes APUs'!$S$1:$V$10,4,0)</f>
        <v>75758</v>
      </c>
      <c r="G15472" s="51">
        <f>ROUNDUP(F15472*((E15472/21)/E15439),0)</f>
        <v>361</v>
      </c>
    </row>
    <row r="15473" spans="1:7" x14ac:dyDescent="0.25">
      <c r="A15473" s="219" t="s">
        <v>69</v>
      </c>
      <c r="B15473" s="219"/>
      <c r="C15473" s="219"/>
      <c r="D15473" s="219"/>
      <c r="E15473" s="219"/>
      <c r="F15473" s="219"/>
      <c r="G15473" s="52">
        <f>SUM(G15467:G15472)</f>
        <v>411</v>
      </c>
    </row>
    <row r="15474" spans="1:7" x14ac:dyDescent="0.25">
      <c r="A15474" s="56"/>
      <c r="B15474" s="57"/>
      <c r="C15474" s="57"/>
      <c r="D15474" s="57"/>
      <c r="E15474" s="57"/>
      <c r="F15474" s="57"/>
      <c r="G15474" s="58"/>
    </row>
    <row r="15475" spans="1:7" x14ac:dyDescent="0.25">
      <c r="A15475" s="219" t="s">
        <v>70</v>
      </c>
      <c r="B15475" s="219"/>
      <c r="C15475" s="219"/>
      <c r="D15475" s="219"/>
      <c r="E15475" s="219"/>
      <c r="F15475" s="219"/>
      <c r="G15475" s="219"/>
    </row>
    <row r="15476" spans="1:7" x14ac:dyDescent="0.25">
      <c r="A15476" s="49" t="s">
        <v>35</v>
      </c>
      <c r="B15476" s="219" t="s">
        <v>36</v>
      </c>
      <c r="C15476" s="219"/>
      <c r="D15476" s="49" t="s">
        <v>37</v>
      </c>
      <c r="E15476" s="49" t="s">
        <v>38</v>
      </c>
      <c r="F15476" s="49" t="s">
        <v>39</v>
      </c>
      <c r="G15476" s="49" t="s">
        <v>40</v>
      </c>
    </row>
    <row r="15477" spans="1:7" x14ac:dyDescent="0.25">
      <c r="A15477" s="50" t="s">
        <v>71</v>
      </c>
      <c r="B15477" s="71" t="str">
        <f>VLOOKUP(A15477,'Componentes APUs'!$A$1:$D$14,2,0)</f>
        <v>Camisa indigo sin partes metalicas</v>
      </c>
      <c r="C15477" s="71"/>
      <c r="D15477" s="50" t="str">
        <f>VLOOKUP(A15477,'Componentes APUs'!$A$1:$D$14,3,0)</f>
        <v>U</v>
      </c>
      <c r="E15477" s="50">
        <f>SUM(C15457:C15462)</f>
        <v>2.75</v>
      </c>
      <c r="F15477" s="51">
        <f>VLOOKUP(A15477,'Componentes APUs'!$A$1:$D$14,4,0)</f>
        <v>8585.8585858585866</v>
      </c>
      <c r="G15477" s="51">
        <f>ROUNDUP(F15477*(E15477/21)/E15439,0)</f>
        <v>113</v>
      </c>
    </row>
    <row r="15478" spans="1:7" x14ac:dyDescent="0.25">
      <c r="A15478" s="69" t="s">
        <v>73</v>
      </c>
      <c r="B15478" s="72" t="str">
        <f>VLOOKUP(A15478,'Componentes APUs'!$A$1:$D$14,2,0)</f>
        <v>Bota de seguridad dielectrica</v>
      </c>
      <c r="C15478" s="73"/>
      <c r="D15478" s="70" t="str">
        <f>VLOOKUP(A15478,'Componentes APUs'!$A$1:$D$14,3,0)</f>
        <v>Par</v>
      </c>
      <c r="E15478" s="50">
        <f>SUM(C15457:C15462)</f>
        <v>2.75</v>
      </c>
      <c r="F15478" s="51">
        <f>VLOOKUP(A15478,'Componentes APUs'!$A$1:$D$14,4,0)</f>
        <v>7500</v>
      </c>
      <c r="G15478" s="51">
        <f>ROUNDUP(F15478*(E15478/21)/E15439,0)</f>
        <v>99</v>
      </c>
    </row>
    <row r="15479" spans="1:7" x14ac:dyDescent="0.25">
      <c r="A15479" s="50" t="s">
        <v>76</v>
      </c>
      <c r="B15479" s="72" t="str">
        <f>VLOOKUP(A15479,'Componentes APUs'!$A$1:$D$14,2,0)</f>
        <v>Casco dielectrico Tipo 1 Clase E con barbuquejo</v>
      </c>
      <c r="C15479" s="73"/>
      <c r="D15479" s="50" t="str">
        <f>VLOOKUP(A15479,'Componentes APUs'!$A$1:$D$14,3,0)</f>
        <v>U</v>
      </c>
      <c r="E15479" s="50">
        <f>C15462+C15457+C15460+C15461+C15458+IF(A15459&lt;&gt;"MO-3",C15459,0)</f>
        <v>2.75</v>
      </c>
      <c r="F15479" s="51">
        <f>VLOOKUP(A15479,'Componentes APUs'!$A$1:$D$14,4,0)</f>
        <v>10101.010101010101</v>
      </c>
      <c r="G15479" s="51">
        <f>ROUNDUP(F15479*(E15479/21)/E15439,0)</f>
        <v>133</v>
      </c>
    </row>
    <row r="15480" spans="1:7" x14ac:dyDescent="0.25">
      <c r="A15480" s="69" t="s">
        <v>77</v>
      </c>
      <c r="B15480" s="72" t="str">
        <f>VLOOKUP(A15480,'Componentes APUs'!$A$1:$D$14,2,0)</f>
        <v>Correa plastica y antiflama</v>
      </c>
      <c r="C15480" s="73"/>
      <c r="D15480" s="50" t="str">
        <f>VLOOKUP(A15480,'Componentes APUs'!$A$1:$D$14,3,0)</f>
        <v>U</v>
      </c>
      <c r="E15480" s="50">
        <f>SUM(C15457:C15462)</f>
        <v>2.75</v>
      </c>
      <c r="F15480" s="51">
        <f>VLOOKUP(A15480,'Componentes APUs'!$A$1:$D$14,4,0)</f>
        <v>3787.878787878788</v>
      </c>
      <c r="G15480" s="51">
        <f>ROUNDUP(F15480*(E15480/21)/E15439,0)</f>
        <v>50</v>
      </c>
    </row>
    <row r="15481" spans="1:7" x14ac:dyDescent="0.25">
      <c r="A15481" s="50" t="s">
        <v>79</v>
      </c>
      <c r="B15481" s="72" t="str">
        <f>VLOOKUP(A15481,'Componentes APUs'!$A$1:$D$14,2,0)</f>
        <v>Gafas protectoras filtro UV</v>
      </c>
      <c r="C15481" s="73"/>
      <c r="D15481" s="50" t="str">
        <f>VLOOKUP(A15481,'Componentes APUs'!$A$1:$D$14,3,0)</f>
        <v>U</v>
      </c>
      <c r="E15481" s="50">
        <f>SUM(C15457:C15462)</f>
        <v>2.75</v>
      </c>
      <c r="F15481" s="51">
        <f>VLOOKUP(A15481,'Componentes APUs'!$A$1:$D$14,4,0)</f>
        <v>2777.7777777777778</v>
      </c>
      <c r="G15481" s="51">
        <f>ROUNDUP(F15481*(E15481/21)/E15439,0)</f>
        <v>37</v>
      </c>
    </row>
    <row r="15482" spans="1:7" x14ac:dyDescent="0.25">
      <c r="A15482" s="69" t="s">
        <v>402</v>
      </c>
      <c r="B15482" s="72" t="str">
        <f>VLOOKUP(A15482,'Componentes APUs'!$A$1:$D$14,2,0)</f>
        <v>Bota de seguridad PVC dielectrica</v>
      </c>
      <c r="C15482" s="73"/>
      <c r="D15482" s="50" t="str">
        <f>VLOOKUP(A15482,'Componentes APUs'!$A$1:$D$14,3,0)</f>
        <v>Par</v>
      </c>
      <c r="E15482" s="50">
        <f>SUM(C15457:C15462)</f>
        <v>2.75</v>
      </c>
      <c r="F15482" s="51">
        <f>VLOOKUP(A15482,'Componentes APUs'!$A$1:$D$14,4,0)</f>
        <v>2916.6666666666665</v>
      </c>
      <c r="G15482" s="51">
        <f>ROUNDUP(F15482*(E15482/21)/E15439,0)</f>
        <v>39</v>
      </c>
    </row>
    <row r="15483" spans="1:7" x14ac:dyDescent="0.25">
      <c r="A15483" s="50" t="s">
        <v>403</v>
      </c>
      <c r="B15483" s="72" t="str">
        <f>VLOOKUP(A15483,'Componentes APUs'!$A$1:$D$14,2,0)</f>
        <v>Capuchon</v>
      </c>
      <c r="C15483" s="73"/>
      <c r="D15483" s="50" t="str">
        <f>VLOOKUP(A15483,'Componentes APUs'!$A$1:$D$14,3,0)</f>
        <v>U</v>
      </c>
      <c r="E15483" s="50">
        <f>SUM(C15457:C15462)</f>
        <v>2.75</v>
      </c>
      <c r="F15483" s="51">
        <f>VLOOKUP(A15483,'Componentes APUs'!$A$1:$D$14,4,0)</f>
        <v>2525.2525252525252</v>
      </c>
      <c r="G15483" s="51">
        <f>ROUNDUP(F15483*(E15483/21)/E15439,0)</f>
        <v>34</v>
      </c>
    </row>
    <row r="15484" spans="1:7" x14ac:dyDescent="0.25">
      <c r="A15484" s="69" t="s">
        <v>81</v>
      </c>
      <c r="B15484" s="72" t="str">
        <f>VLOOKUP(A15484,'Componentes APUs'!$A$1:$D$14,2,0)</f>
        <v>Guantes Protectores  - ingeniero reforzados</v>
      </c>
      <c r="C15484" s="73"/>
      <c r="D15484" s="50" t="str">
        <f>VLOOKUP(A15484,'Componentes APUs'!$A$1:$D$14,3,0)</f>
        <v>Par</v>
      </c>
      <c r="E15484" s="50">
        <f>C15459+C15460+C15462</f>
        <v>2</v>
      </c>
      <c r="F15484" s="51">
        <f>VLOOKUP(A15484,'Componentes APUs'!$A$1:$D$14,4,0)</f>
        <v>2525.2525252525252</v>
      </c>
      <c r="G15484" s="51">
        <f>ROUNDUP(F15484*(E15484/21)/E15439,0)</f>
        <v>25</v>
      </c>
    </row>
    <row r="15485" spans="1:7" x14ac:dyDescent="0.25">
      <c r="A15485" s="50" t="s">
        <v>83</v>
      </c>
      <c r="B15485" s="72" t="str">
        <f>VLOOKUP(A15485,'Componentes APUs'!$A$1:$D$14,2,0)</f>
        <v>Impermeable (pantalon camisa)</v>
      </c>
      <c r="C15485" s="73"/>
      <c r="D15485" s="50" t="str">
        <f>VLOOKUP(A15485,'Componentes APUs'!$A$1:$D$14,3,0)</f>
        <v>U</v>
      </c>
      <c r="E15485" s="50">
        <f>SUM(C15457:C15462)</f>
        <v>2.75</v>
      </c>
      <c r="F15485" s="51">
        <f>VLOOKUP(A15485,'Componentes APUs'!$A$1:$D$14,4,0)</f>
        <v>3750</v>
      </c>
      <c r="G15485" s="51">
        <f>ROUNDUP(F15485*(E15485/21)/E15439,0)</f>
        <v>50</v>
      </c>
    </row>
    <row r="15486" spans="1:7" x14ac:dyDescent="0.25">
      <c r="A15486" s="69" t="s">
        <v>85</v>
      </c>
      <c r="B15486" s="72" t="str">
        <f>VLOOKUP(A15486,'Componentes APUs'!$A$1:$D$14,2,0)</f>
        <v>Jean Dielectrico</v>
      </c>
      <c r="C15486" s="73"/>
      <c r="D15486" s="50" t="str">
        <f>VLOOKUP(A15486,'Componentes APUs'!$A$1:$D$14,3,0)</f>
        <v>U</v>
      </c>
      <c r="E15486" s="50">
        <f>SUM(C15457:C15462)</f>
        <v>2.75</v>
      </c>
      <c r="F15486" s="51">
        <f>VLOOKUP(A15486,'Componentes APUs'!$A$1:$D$14,4,0)</f>
        <v>7575.757575757576</v>
      </c>
      <c r="G15486" s="51">
        <f>ROUNDUP(F15486*(E15486/21)/E15439,0)</f>
        <v>100</v>
      </c>
    </row>
    <row r="15487" spans="1:7" x14ac:dyDescent="0.25">
      <c r="A15487" s="50" t="s">
        <v>87</v>
      </c>
      <c r="B15487" s="72" t="str">
        <f>VLOOKUP(A15487,'Componentes APUs'!$A$1:$D$14,2,0)</f>
        <v>Casco dielectrico Tipo 2 Clase E con barboquejo</v>
      </c>
      <c r="C15487" s="73"/>
      <c r="D15487" s="50" t="str">
        <f>VLOOKUP(A15487,'Componentes APUs'!$A$1:$D$14,3,0)</f>
        <v>U</v>
      </c>
      <c r="E15487" s="53">
        <f>IF(A15459="MO-3",C15459,0)</f>
        <v>0</v>
      </c>
      <c r="F15487" s="51">
        <f>VLOOKUP(A15487,'Componentes APUs'!$A$1:$D$14,4,0)</f>
        <v>7500</v>
      </c>
      <c r="G15487" s="51">
        <f>ROUNDUP(F15487*(E15487/21)/E15439,0)</f>
        <v>0</v>
      </c>
    </row>
    <row r="15488" spans="1:7" x14ac:dyDescent="0.25">
      <c r="A15488" s="69" t="s">
        <v>89</v>
      </c>
      <c r="B15488" s="72" t="str">
        <f>VLOOKUP(A15488,'Componentes APUs'!$A$1:$D$14,2,0)</f>
        <v>Kit de rescate para trabajo en alturas</v>
      </c>
      <c r="C15488" s="73"/>
      <c r="D15488" s="50" t="str">
        <f>VLOOKUP(A15488,'Componentes APUs'!$A$1:$D$14,3,0)</f>
        <v>U</v>
      </c>
      <c r="E15488" s="50">
        <f>IF(AND(A15459="MO-3",C15459=2),1,0)</f>
        <v>0</v>
      </c>
      <c r="F15488" s="51">
        <f>VLOOKUP(A15488,'Componentes APUs'!$A$1:$D$14,4,0)</f>
        <v>37500</v>
      </c>
      <c r="G15488" s="51">
        <f>ROUNDUP(F15488*(E15488/21)/E15439,0)</f>
        <v>0</v>
      </c>
    </row>
    <row r="15489" spans="1:7" x14ac:dyDescent="0.25">
      <c r="A15489" s="50" t="s">
        <v>91</v>
      </c>
      <c r="B15489" s="72" t="str">
        <f>VLOOKUP(A15489,'Componentes APUs'!$A$1:$D$14,2,0)</f>
        <v>Equipo completo para trabajo en alturas con pretales (Arnes dielectrico, 1 mosqueton de seguridad, tie off dielectrico, eslinga de posicionamiento, juego de pretales)</v>
      </c>
      <c r="C15489" s="73"/>
      <c r="D15489" s="50" t="str">
        <f>VLOOKUP(A15489,'Componentes APUs'!$A$1:$D$14,3,0)</f>
        <v>U</v>
      </c>
      <c r="E15489" s="50">
        <f>IF(A15459="MO-3",C15459,0)</f>
        <v>0</v>
      </c>
      <c r="F15489" s="51">
        <f>VLOOKUP(A15489,'Componentes APUs'!$A$1:$D$14,4,0)</f>
        <v>26041.666666666668</v>
      </c>
      <c r="G15489" s="51">
        <f>ROUNDUP(F15489*(E15489/21)/E15439,0)</f>
        <v>0</v>
      </c>
    </row>
    <row r="15490" spans="1:7" x14ac:dyDescent="0.25">
      <c r="A15490" s="219" t="s">
        <v>95</v>
      </c>
      <c r="B15490" s="219"/>
      <c r="C15490" s="219"/>
      <c r="D15490" s="219"/>
      <c r="E15490" s="219"/>
      <c r="F15490" s="219"/>
      <c r="G15490" s="52">
        <f>SUM(G15477:G15489)</f>
        <v>680</v>
      </c>
    </row>
    <row r="15491" spans="1:7" x14ac:dyDescent="0.25">
      <c r="A15491" s="56"/>
      <c r="B15491" s="57"/>
      <c r="C15491" s="57"/>
      <c r="D15491" s="57"/>
      <c r="E15491" s="57"/>
      <c r="F15491" s="57"/>
      <c r="G15491" s="58"/>
    </row>
    <row r="15492" spans="1:7" x14ac:dyDescent="0.25">
      <c r="A15492" s="219" t="s">
        <v>96</v>
      </c>
      <c r="B15492" s="219"/>
      <c r="C15492" s="219"/>
      <c r="D15492" s="219"/>
      <c r="E15492" s="219"/>
      <c r="F15492" s="219"/>
      <c r="G15492" s="219"/>
    </row>
    <row r="15493" spans="1:7" x14ac:dyDescent="0.25">
      <c r="A15493" s="49" t="s">
        <v>35</v>
      </c>
      <c r="B15493" s="225" t="s">
        <v>36</v>
      </c>
      <c r="C15493" s="225"/>
      <c r="D15493" s="49" t="s">
        <v>37</v>
      </c>
      <c r="E15493" s="49" t="s">
        <v>38</v>
      </c>
      <c r="F15493" s="49" t="s">
        <v>39</v>
      </c>
      <c r="G15493" s="49" t="s">
        <v>40</v>
      </c>
    </row>
    <row r="15494" spans="1:7" x14ac:dyDescent="0.25">
      <c r="A15494" s="69" t="s">
        <v>97</v>
      </c>
      <c r="B15494" s="72" t="str">
        <f>VLOOKUP(A15494,'Componentes APUs'!$N$1:$Q$30,2,0)</f>
        <v>Camioneta</v>
      </c>
      <c r="C15494" s="73"/>
      <c r="D15494" s="70" t="str">
        <f>VLOOKUP(A15494,'Componentes APUs'!$N$1:$Q$30,3,0)</f>
        <v>U</v>
      </c>
      <c r="E15494" s="50">
        <v>1</v>
      </c>
      <c r="F15494" s="51">
        <f>VLOOKUP(A15494,'Componentes APUs'!$N$1:$Q$30,4,0)</f>
        <v>5500000</v>
      </c>
      <c r="G15494" s="51">
        <f>IFERROR(ROUNDUP(F15494*(E15494/21)/E15439,0),0)</f>
        <v>26191</v>
      </c>
    </row>
    <row r="15495" spans="1:7" x14ac:dyDescent="0.25">
      <c r="A15495" s="50" t="s">
        <v>321</v>
      </c>
      <c r="B15495" s="72" t="str">
        <f>VLOOKUP(A15495,'Componentes APUs'!$N$1:$Q$30,2,0)</f>
        <v>Grúa Hidráulica</v>
      </c>
      <c r="C15495" s="73"/>
      <c r="D15495" s="70" t="str">
        <f>VLOOKUP(A15495,'Componentes APUs'!$N$1:$Q$30,3,0)</f>
        <v>U</v>
      </c>
      <c r="E15495" s="50">
        <v>0</v>
      </c>
      <c r="F15495" s="51">
        <f>VLOOKUP(A15495,'Componentes APUs'!$N$1:$Q$30,4,0)</f>
        <v>21000000</v>
      </c>
      <c r="G15495" s="51">
        <f>IFERROR(ROUNDUP(F15495*(E15495/21)/E15439,0),0)</f>
        <v>0</v>
      </c>
    </row>
    <row r="15496" spans="1:7" x14ac:dyDescent="0.25">
      <c r="A15496" s="69" t="s">
        <v>322</v>
      </c>
      <c r="B15496" s="72" t="str">
        <f>VLOOKUP(A15496,'Componentes APUs'!$N$1:$Q$30,2,0)</f>
        <v>Camabaja</v>
      </c>
      <c r="C15496" s="73"/>
      <c r="D15496" s="70" t="str">
        <f>VLOOKUP(A15496,'Componentes APUs'!$N$1:$Q$30,3,0)</f>
        <v>TON/KM</v>
      </c>
      <c r="E15496" s="50">
        <v>0</v>
      </c>
      <c r="F15496" s="51">
        <f>VLOOKUP(A15496,'Componentes APUs'!$N$1:$Q$30,4,0)</f>
        <v>611</v>
      </c>
      <c r="G15496" s="51">
        <f>IFERROR(ROUNDUP(F15496*(E15496/21)/E15439,0),0)</f>
        <v>0</v>
      </c>
    </row>
    <row r="15497" spans="1:7" x14ac:dyDescent="0.25">
      <c r="A15497" s="50" t="s">
        <v>323</v>
      </c>
      <c r="B15497" s="72" t="str">
        <f>VLOOKUP(A15497,'Componentes APUs'!$N$1:$Q$30,2,0)</f>
        <v>Volqueta</v>
      </c>
      <c r="C15497" s="73"/>
      <c r="D15497" s="70" t="str">
        <f>VLOOKUP(A15497,'Componentes APUs'!$N$1:$Q$30,3,0)</f>
        <v>U</v>
      </c>
      <c r="E15497" s="50">
        <v>0</v>
      </c>
      <c r="F15497" s="51">
        <f>VLOOKUP(A15497,'Componentes APUs'!$N$1:$Q$30,4,0)</f>
        <v>14828184</v>
      </c>
      <c r="G15497" s="51">
        <f>IFERROR(ROUNDUP(F15497*(E15497/21)/E15439,0),0)</f>
        <v>0</v>
      </c>
    </row>
    <row r="15498" spans="1:7" x14ac:dyDescent="0.25">
      <c r="A15498" s="219" t="s">
        <v>99</v>
      </c>
      <c r="B15498" s="219"/>
      <c r="C15498" s="219"/>
      <c r="D15498" s="219"/>
      <c r="E15498" s="219"/>
      <c r="F15498" s="219"/>
      <c r="G15498" s="52">
        <f>SUM(G15494:G15497)</f>
        <v>26191</v>
      </c>
    </row>
    <row r="15499" spans="1:7" x14ac:dyDescent="0.25">
      <c r="A15499" s="56"/>
      <c r="B15499" s="57"/>
      <c r="C15499" s="57"/>
      <c r="D15499" s="57"/>
      <c r="E15499" s="57"/>
      <c r="F15499" s="57"/>
      <c r="G15499" s="58"/>
    </row>
    <row r="15500" spans="1:7" x14ac:dyDescent="0.25">
      <c r="A15500" s="219" t="s">
        <v>1516</v>
      </c>
      <c r="B15500" s="219"/>
      <c r="C15500" s="219"/>
      <c r="D15500" s="219"/>
      <c r="E15500" s="219"/>
      <c r="F15500" s="219"/>
      <c r="G15500" s="52">
        <f>G15498+G15490+G15473+G15463+G15453</f>
        <v>405602</v>
      </c>
    </row>
    <row r="15501" spans="1:7" x14ac:dyDescent="0.25">
      <c r="A15501" s="59"/>
      <c r="B15501" s="60"/>
      <c r="C15501" s="60"/>
      <c r="D15501" s="60"/>
      <c r="E15501" s="57"/>
      <c r="F15501" s="57"/>
      <c r="G15501" s="58"/>
    </row>
    <row r="15502" spans="1:7" x14ac:dyDescent="0.25">
      <c r="A15502" s="64"/>
      <c r="D15502" s="55"/>
      <c r="E15502" s="49" t="s">
        <v>25</v>
      </c>
      <c r="F15502" s="54">
        <v>0.15</v>
      </c>
      <c r="G15502" s="51">
        <f>G15500*F15502</f>
        <v>60840.299999999996</v>
      </c>
    </row>
    <row r="15503" spans="1:7" x14ac:dyDescent="0.25">
      <c r="A15503" s="64"/>
      <c r="D15503" s="55"/>
      <c r="E15503" s="49" t="s">
        <v>26</v>
      </c>
      <c r="F15503" s="54">
        <v>0.05</v>
      </c>
      <c r="G15503" s="51">
        <f>G15500*F15503</f>
        <v>20280.100000000002</v>
      </c>
    </row>
    <row r="15504" spans="1:7" x14ac:dyDescent="0.25">
      <c r="A15504" s="61"/>
      <c r="B15504" s="65"/>
      <c r="C15504" s="65"/>
      <c r="D15504" s="62"/>
      <c r="E15504" s="49" t="s">
        <v>27</v>
      </c>
      <c r="F15504" s="54">
        <v>0.05</v>
      </c>
      <c r="G15504" s="51">
        <f>G15500*F15504</f>
        <v>20280.100000000002</v>
      </c>
    </row>
    <row r="15505" spans="1:8" x14ac:dyDescent="0.25">
      <c r="A15505" s="61"/>
      <c r="B15505" s="62"/>
      <c r="C15505" s="62"/>
      <c r="D15505" s="62"/>
      <c r="E15505" s="62"/>
      <c r="F15505" s="62"/>
      <c r="G15505" s="63"/>
    </row>
    <row r="15506" spans="1:8" x14ac:dyDescent="0.25">
      <c r="A15506" s="219" t="s">
        <v>1517</v>
      </c>
      <c r="B15506" s="219"/>
      <c r="C15506" s="219"/>
      <c r="D15506" s="219"/>
      <c r="E15506" s="219"/>
      <c r="F15506" s="219"/>
      <c r="G15506" s="52">
        <f>G15500+G15502+G15503+G15504</f>
        <v>507002.49999999994</v>
      </c>
    </row>
    <row r="15507" spans="1:8" x14ac:dyDescent="0.25">
      <c r="A15507" s="59"/>
      <c r="B15507" s="60"/>
      <c r="C15507" s="60"/>
      <c r="D15507" s="60"/>
      <c r="E15507" s="57"/>
      <c r="F15507" s="57"/>
      <c r="G15507" s="58"/>
    </row>
    <row r="15508" spans="1:8" x14ac:dyDescent="0.25">
      <c r="A15508" s="64"/>
      <c r="D15508" s="55"/>
      <c r="E15508" s="49" t="s">
        <v>102</v>
      </c>
      <c r="F15508" s="49" t="s">
        <v>103</v>
      </c>
      <c r="G15508" s="51">
        <f>G15504*19%</f>
        <v>3853.2190000000005</v>
      </c>
    </row>
    <row r="15509" spans="1:8" x14ac:dyDescent="0.25">
      <c r="A15509" s="61"/>
      <c r="B15509" s="62"/>
      <c r="C15509" s="62"/>
      <c r="D15509" s="62"/>
      <c r="E15509" s="57"/>
      <c r="F15509" s="57"/>
      <c r="G15509" s="58"/>
    </row>
    <row r="15510" spans="1:8" x14ac:dyDescent="0.25">
      <c r="A15510" s="219" t="s">
        <v>104</v>
      </c>
      <c r="B15510" s="219"/>
      <c r="C15510" s="219"/>
      <c r="D15510" s="219"/>
      <c r="E15510" s="219"/>
      <c r="F15510" s="219"/>
      <c r="G15510" s="52">
        <f>G15508+G15506</f>
        <v>510855.71899999992</v>
      </c>
    </row>
    <row r="15512" spans="1:8" x14ac:dyDescent="0.25">
      <c r="A15512" s="74" t="s">
        <v>29</v>
      </c>
      <c r="B15512" s="226" t="s">
        <v>30</v>
      </c>
      <c r="C15512" s="226"/>
      <c r="D15512" s="74" t="s">
        <v>31</v>
      </c>
      <c r="E15512" s="74" t="s">
        <v>32</v>
      </c>
      <c r="F15512" s="74" t="s">
        <v>189</v>
      </c>
      <c r="G15512" s="74" t="s">
        <v>33</v>
      </c>
    </row>
    <row r="15513" spans="1:8" ht="51" customHeight="1" x14ac:dyDescent="0.25">
      <c r="A15513" s="50" t="str">
        <f>Presupuesto!B305</f>
        <v>002_SC</v>
      </c>
      <c r="B15513" s="220" t="str">
        <f>Presupuesto!C305</f>
        <v>SUMINISTRO E INSTALACIÓN DE RACK PARA COMUNICACIONES (+W01). IP 54. LAMINA DE ACERO GALVANIZADA CALIBRE 18 . INCLUYE UPS TIPO RACK 3000 VA, ODF DESLIZABLE TIPO RACK CON ENFRENTADORES LC EMBEBIDOS, ORGANIZADORES Y ACCESORIOS PARA CONEXIÓN DE EQUIPOS</v>
      </c>
      <c r="C15513" s="220"/>
      <c r="D15513" s="50" t="s">
        <v>8</v>
      </c>
      <c r="E15513" s="50">
        <v>0.2</v>
      </c>
      <c r="F15513" s="50"/>
      <c r="G15513" s="51">
        <f>G15581</f>
        <v>14780727.4835</v>
      </c>
    </row>
    <row r="15514" spans="1:8" x14ac:dyDescent="0.25">
      <c r="A15514" s="219" t="s">
        <v>34</v>
      </c>
      <c r="B15514" s="219"/>
      <c r="C15514" s="219"/>
      <c r="D15514" s="219"/>
      <c r="E15514" s="219"/>
      <c r="F15514" s="219"/>
      <c r="G15514" s="219"/>
    </row>
    <row r="15515" spans="1:8" x14ac:dyDescent="0.25">
      <c r="A15515" s="49" t="s">
        <v>35</v>
      </c>
      <c r="B15515" s="219" t="s">
        <v>36</v>
      </c>
      <c r="C15515" s="219"/>
      <c r="D15515" s="49" t="s">
        <v>37</v>
      </c>
      <c r="E15515" s="49" t="s">
        <v>38</v>
      </c>
      <c r="F15515" s="49" t="s">
        <v>39</v>
      </c>
      <c r="G15515" s="49" t="s">
        <v>40</v>
      </c>
    </row>
    <row r="15516" spans="1:8" ht="15" customHeight="1" x14ac:dyDescent="0.25">
      <c r="A15516" s="17" t="str">
        <f>Material!A82</f>
        <v>MA-81</v>
      </c>
      <c r="B15516" s="72" t="str">
        <f>IFERROR(VLOOKUP(A15516,Material!$A:$H,2,0),"-")</f>
        <v>GABINETE PISO PARA SERVIDOR 42RU 210 ALTO 60 ANCHO 90 PROFUNDO</v>
      </c>
      <c r="C15516" s="73"/>
      <c r="D15516" s="50" t="str">
        <f>IFERROR(VLOOKUP(A15516,Material!$A:$H,4,0),"-")</f>
        <v>UN</v>
      </c>
      <c r="E15516" s="50">
        <v>1</v>
      </c>
      <c r="F15516" s="51">
        <f>IFERROR(VLOOKUP(A15516,Material!$A:$H,3,0),"-")</f>
        <v>2275000</v>
      </c>
      <c r="G15516" s="51">
        <f t="shared" ref="G15516:G15522" si="221">IFERROR(ROUNDUP(F15516*E15516,0),"-")</f>
        <v>2275000</v>
      </c>
      <c r="H15516" s="2"/>
    </row>
    <row r="15517" spans="1:8" x14ac:dyDescent="0.25">
      <c r="A15517" s="17" t="str">
        <f>Material!A83</f>
        <v>MA-82</v>
      </c>
      <c r="B15517" s="72" t="str">
        <f>IFERROR(VLOOKUP(A15517,Material!$A:$H,2,0),"-")</f>
        <v>UPS 3000 VA</v>
      </c>
      <c r="C15517" s="73"/>
      <c r="D15517" s="50" t="str">
        <f>IFERROR(VLOOKUP(A15517,Material!$A:$H,4,0),"-")</f>
        <v>UN</v>
      </c>
      <c r="E15517" s="50">
        <v>1</v>
      </c>
      <c r="F15517" s="51">
        <f>IFERROR(VLOOKUP(A15517,Material!$A:$H,3,0),"-")</f>
        <v>2382590.6</v>
      </c>
      <c r="G15517" s="51">
        <f t="shared" si="221"/>
        <v>2382591</v>
      </c>
      <c r="H15517" s="2"/>
    </row>
    <row r="15518" spans="1:8" ht="51.75" customHeight="1" x14ac:dyDescent="0.25">
      <c r="A15518" s="17" t="str">
        <f>Material!A89</f>
        <v>MA-88</v>
      </c>
      <c r="B15518" s="221" t="str">
        <f>IFERROR(VLOOKUP(A15518,Material!$A:$H,2,0),"-")</f>
        <v>ODF DESLIZABLE TIPO RACK, CON ENFRENTADORES LC/LC EMBEBIDOS Y PIGTAILS MULTIMODO INCLUIDO CON CONECTORES LC/LC, TERMINACIÓN UPC.  ANCHO DE 19” PARA COLOCAR 24 ACOPLADORES LC DUPLEX (48 HILOS). IP20 O SUPERIOR.</v>
      </c>
      <c r="C15518" s="222"/>
      <c r="D15518" s="50" t="str">
        <f>IFERROR(VLOOKUP(A15518,Material!$A:$H,4,0),"-")</f>
        <v>UN</v>
      </c>
      <c r="E15518" s="50">
        <v>1</v>
      </c>
      <c r="F15518" s="51">
        <f>IFERROR(VLOOKUP(A15518,Material!$A:$H,3,0),"-")</f>
        <v>280800</v>
      </c>
      <c r="G15518" s="51">
        <f t="shared" si="221"/>
        <v>280800</v>
      </c>
      <c r="H15518" s="2"/>
    </row>
    <row r="15519" spans="1:8" x14ac:dyDescent="0.25">
      <c r="A15519" s="17" t="str">
        <f>Material!A208</f>
        <v>MA-207</v>
      </c>
      <c r="B15519" s="72" t="str">
        <f>IFERROR(VLOOKUP(A15519,Material!$A:$H,2,0),"-")</f>
        <v>PATCH PANEL CATEGORÍA 6 16 PUERTOS</v>
      </c>
      <c r="C15519" s="76"/>
      <c r="D15519" s="50" t="str">
        <f>IFERROR(VLOOKUP(A15519,Material!$A:$H,4,0),"-")</f>
        <v>UN</v>
      </c>
      <c r="E15519" s="50">
        <v>2</v>
      </c>
      <c r="F15519" s="51">
        <f>IFERROR(VLOOKUP(A15519,Material!$A:$H,3,0),"-")</f>
        <v>291200</v>
      </c>
      <c r="G15519" s="51">
        <f t="shared" si="221"/>
        <v>582400</v>
      </c>
      <c r="H15519" s="2"/>
    </row>
    <row r="15520" spans="1:8" x14ac:dyDescent="0.25">
      <c r="A15520" s="17" t="str">
        <f>Material!A209</f>
        <v>MA-208</v>
      </c>
      <c r="B15520" s="72" t="str">
        <f>IFERROR(VLOOKUP(A15520,Material!$A:$H,2,0),"-")</f>
        <v>MULTITOMA 6 SALIDAS 3M</v>
      </c>
      <c r="C15520" s="76"/>
      <c r="D15520" s="50" t="str">
        <f>IFERROR(VLOOKUP(A15520,Material!$A:$H,4,0),"-")</f>
        <v>UN</v>
      </c>
      <c r="E15520" s="50">
        <v>2</v>
      </c>
      <c r="F15520" s="51">
        <f>IFERROR(VLOOKUP(A15520,Material!$A:$H,3,0),"-")</f>
        <v>117000</v>
      </c>
      <c r="G15520" s="51">
        <f t="shared" si="221"/>
        <v>234000</v>
      </c>
    </row>
    <row r="15521" spans="1:7" x14ac:dyDescent="0.25">
      <c r="A15521" s="17" t="str">
        <f>Material!A211</f>
        <v>MA-210</v>
      </c>
      <c r="B15521" s="72" t="str">
        <f>IFERROR(VLOOKUP(A15521,Material!$A:$H,2,0),"-")</f>
        <v>ORGANIZADOR VERTICAL</v>
      </c>
      <c r="C15521" s="76"/>
      <c r="D15521" s="50" t="str">
        <f>IFERROR(VLOOKUP(A15521,Material!$A:$H,4,0),"-")</f>
        <v>UN</v>
      </c>
      <c r="E15521" s="50">
        <v>2</v>
      </c>
      <c r="F15521" s="51">
        <f>IFERROR(VLOOKUP(A15521,Material!$A:$H,3,0),"-")</f>
        <v>309400</v>
      </c>
      <c r="G15521" s="51">
        <f t="shared" si="221"/>
        <v>618800</v>
      </c>
    </row>
    <row r="15522" spans="1:7" x14ac:dyDescent="0.25">
      <c r="A15522" s="17" t="str">
        <f>Material!A212</f>
        <v>MA-211</v>
      </c>
      <c r="B15522" s="72" t="str">
        <f>IFERROR(VLOOKUP(A15522,Material!$A:$H,2,0),"-")</f>
        <v>ORGANIZADOR HORIZONTAL</v>
      </c>
      <c r="C15522" s="76"/>
      <c r="D15522" s="50" t="str">
        <f>IFERROR(VLOOKUP(A15522,Material!$A:$H,4,0),"-")</f>
        <v>UN</v>
      </c>
      <c r="E15522" s="50">
        <v>8</v>
      </c>
      <c r="F15522" s="51">
        <f>IFERROR(VLOOKUP(A15522,Material!$A:$H,3,0),"-")</f>
        <v>77350</v>
      </c>
      <c r="G15522" s="51">
        <f t="shared" si="221"/>
        <v>618800</v>
      </c>
    </row>
    <row r="15523" spans="1:7" x14ac:dyDescent="0.25">
      <c r="A15523" s="219" t="s">
        <v>41</v>
      </c>
      <c r="B15523" s="219"/>
      <c r="C15523" s="219"/>
      <c r="D15523" s="219"/>
      <c r="E15523" s="219"/>
      <c r="F15523" s="219"/>
      <c r="G15523" s="52">
        <f>SUM(G15516:G15522)</f>
        <v>6992391</v>
      </c>
    </row>
    <row r="15524" spans="1:7" x14ac:dyDescent="0.25">
      <c r="A15524" s="56"/>
      <c r="B15524" s="57"/>
      <c r="C15524" s="57"/>
      <c r="D15524" s="57"/>
      <c r="E15524" s="57"/>
      <c r="F15524" s="57"/>
      <c r="G15524" s="58"/>
    </row>
    <row r="15525" spans="1:7" x14ac:dyDescent="0.25">
      <c r="A15525" s="219" t="s">
        <v>42</v>
      </c>
      <c r="B15525" s="219"/>
      <c r="C15525" s="219"/>
      <c r="D15525" s="219"/>
      <c r="E15525" s="219"/>
      <c r="F15525" s="219"/>
      <c r="G15525" s="219"/>
    </row>
    <row r="15526" spans="1:7" x14ac:dyDescent="0.25">
      <c r="A15526" s="49" t="s">
        <v>35</v>
      </c>
      <c r="B15526" s="49" t="s">
        <v>36</v>
      </c>
      <c r="C15526" s="49" t="s">
        <v>38</v>
      </c>
      <c r="D15526" s="49" t="s">
        <v>43</v>
      </c>
      <c r="E15526" s="49" t="s">
        <v>44</v>
      </c>
      <c r="F15526" s="49" t="s">
        <v>45</v>
      </c>
      <c r="G15526" s="49" t="s">
        <v>40</v>
      </c>
    </row>
    <row r="15527" spans="1:7" x14ac:dyDescent="0.25">
      <c r="A15527" s="50" t="s">
        <v>319</v>
      </c>
      <c r="B15527" s="68" t="str">
        <f>VLOOKUP(A15527,'Componentes APUs'!$H$1:$L$25,2,0)</f>
        <v>Ingeniero Residente de Obra</v>
      </c>
      <c r="C15527" s="93">
        <v>0.25</v>
      </c>
      <c r="D15527" s="50">
        <f>VLOOKUP(A15527,'Componentes APUs'!$H$1:$L$25,3,0)</f>
        <v>4</v>
      </c>
      <c r="E15527" s="51">
        <f>VLOOKUP(A15527,'Componentes APUs'!$H$1:$L$25,4,0)</f>
        <v>271142.85714285716</v>
      </c>
      <c r="F15527" s="51">
        <f>VLOOKUP(A15527,'Componentes APUs'!$H$1:$L$25,5,0)</f>
        <v>162685.71428571429</v>
      </c>
      <c r="G15527" s="51">
        <f>ROUNDUP((E15527+F15527)*C15527/E15513,0)</f>
        <v>542286</v>
      </c>
    </row>
    <row r="15528" spans="1:7" x14ac:dyDescent="0.25">
      <c r="A15528" s="50" t="s">
        <v>320</v>
      </c>
      <c r="B15528" s="68" t="str">
        <f>VLOOKUP(A15528,'Componentes APUs'!$H$1:$L$25,2,0)</f>
        <v>Tecnico Supervisor</v>
      </c>
      <c r="C15528" s="93">
        <v>0.25</v>
      </c>
      <c r="D15528" s="50">
        <f>VLOOKUP(A15528,'Componentes APUs'!$H$1:$L$25,3,0)</f>
        <v>2.2999999999999998</v>
      </c>
      <c r="E15528" s="51">
        <f>VLOOKUP(A15528,'Componentes APUs'!$H$1:$L$25,4,0)</f>
        <v>155907.14285714284</v>
      </c>
      <c r="F15528" s="51">
        <f>VLOOKUP(A15528,'Componentes APUs'!$H$1:$L$25,5,0)</f>
        <v>93544.285714285696</v>
      </c>
      <c r="G15528" s="51">
        <f>ROUNDUP((E15528+F15528)*C15528/E15513,0)</f>
        <v>311815</v>
      </c>
    </row>
    <row r="15529" spans="1:7" x14ac:dyDescent="0.25">
      <c r="A15529" s="50" t="s">
        <v>1160</v>
      </c>
      <c r="B15529" s="68" t="str">
        <f>VLOOKUP(A15529,'Componentes APUs'!$H$1:$L$25,2,0)</f>
        <v>Oficial Eléctrico</v>
      </c>
      <c r="C15529" s="93">
        <v>1</v>
      </c>
      <c r="D15529" s="50">
        <f>VLOOKUP(A15529,'Componentes APUs'!$H$1:$L$25,3,0)</f>
        <v>2</v>
      </c>
      <c r="E15529" s="51">
        <f>VLOOKUP(A15529,'Componentes APUs'!$H$1:$L$25,4,0)</f>
        <v>154619.04761904763</v>
      </c>
      <c r="F15529" s="51">
        <f>VLOOKUP(A15529,'Componentes APUs'!$H$1:$L$25,5,0)</f>
        <v>92771.42857142858</v>
      </c>
      <c r="G15529" s="51">
        <f>ROUNDUP((E15529+F15529)*C15529/E15513,0)</f>
        <v>1236953</v>
      </c>
    </row>
    <row r="15530" spans="1:7" x14ac:dyDescent="0.25">
      <c r="A15530" s="50" t="s">
        <v>48</v>
      </c>
      <c r="B15530" s="68" t="str">
        <f>VLOOKUP(A15530,'Componentes APUs'!$H$1:$L$25,2,0)</f>
        <v>Ayudante Calificado</v>
      </c>
      <c r="C15530" s="93">
        <v>1</v>
      </c>
      <c r="D15530" s="50">
        <f>VLOOKUP(A15530,'Componentes APUs'!$H$1:$L$25,3,0)</f>
        <v>1.5</v>
      </c>
      <c r="E15530" s="51">
        <f>VLOOKUP(A15530,'Componentes APUs'!$H$1:$L$25,4,0)</f>
        <v>115964.28571428571</v>
      </c>
      <c r="F15530" s="51">
        <f>VLOOKUP(A15530,'Componentes APUs'!$H$1:$L$25,5,0)</f>
        <v>69578.57142857142</v>
      </c>
      <c r="G15530" s="51">
        <f>ROUNDUP((E15530+F15530)*C15530/E15513,0)</f>
        <v>927715</v>
      </c>
    </row>
    <row r="15531" spans="1:7" x14ac:dyDescent="0.25">
      <c r="A15531" s="50" t="s">
        <v>50</v>
      </c>
      <c r="B15531" s="68" t="str">
        <f>VLOOKUP(A15531,'Componentes APUs'!$H$1:$L$25,2,0)</f>
        <v>Profesional en SST</v>
      </c>
      <c r="C15531" s="93">
        <v>0.25</v>
      </c>
      <c r="D15531" s="50">
        <f>VLOOKUP(A15531,'Componentes APUs'!$H$1:$L$25,3,0)</f>
        <v>2.5</v>
      </c>
      <c r="E15531" s="51">
        <f>VLOOKUP(A15531,'Componentes APUs'!$H$1:$L$25,4,0)</f>
        <v>169464.28571428571</v>
      </c>
      <c r="F15531" s="51">
        <f>VLOOKUP(A15531,'Componentes APUs'!$H$1:$L$25,5,0)</f>
        <v>101678.57142857142</v>
      </c>
      <c r="G15531" s="51">
        <f>ROUNDUP((E15531+F15531)*C15531/E15513,0)</f>
        <v>338929</v>
      </c>
    </row>
    <row r="15532" spans="1:7" x14ac:dyDescent="0.25">
      <c r="A15532" s="50" t="s">
        <v>52</v>
      </c>
      <c r="B15532" s="68" t="str">
        <f>VLOOKUP(A15532,'Componentes APUs'!$H$1:$L$25,2,0)</f>
        <v>Ayudante No Calificado</v>
      </c>
      <c r="C15532" s="93">
        <v>0</v>
      </c>
      <c r="D15532" s="50">
        <f>VLOOKUP(A15532,'Componentes APUs'!$H$1:$L$25,3,0)</f>
        <v>1</v>
      </c>
      <c r="E15532" s="51">
        <f>VLOOKUP(A15532,'Componentes APUs'!$H$1:$L$25,4,0)</f>
        <v>77309.523809523816</v>
      </c>
      <c r="F15532" s="51">
        <f>VLOOKUP(A15532,'Componentes APUs'!$H$1:$L$25,5,0)</f>
        <v>46385.71428571429</v>
      </c>
      <c r="G15532" s="51">
        <f>ROUNDUP((E15532+F15532)*C15532/E15513,0)</f>
        <v>0</v>
      </c>
    </row>
    <row r="15533" spans="1:7" x14ac:dyDescent="0.25">
      <c r="A15533" s="219" t="s">
        <v>56</v>
      </c>
      <c r="B15533" s="219"/>
      <c r="C15533" s="219"/>
      <c r="D15533" s="219"/>
      <c r="E15533" s="219"/>
      <c r="F15533" s="219"/>
      <c r="G15533" s="52">
        <f>SUM(G15527:G15532)</f>
        <v>3357698</v>
      </c>
    </row>
    <row r="15534" spans="1:7" x14ac:dyDescent="0.25">
      <c r="A15534" s="56"/>
      <c r="B15534" s="57"/>
      <c r="C15534" s="57"/>
      <c r="D15534" s="57"/>
      <c r="E15534" s="57"/>
      <c r="F15534" s="57"/>
      <c r="G15534" s="58"/>
    </row>
    <row r="15535" spans="1:7" x14ac:dyDescent="0.25">
      <c r="A15535" s="219" t="s">
        <v>57</v>
      </c>
      <c r="B15535" s="219"/>
      <c r="C15535" s="219"/>
      <c r="D15535" s="219"/>
      <c r="E15535" s="219"/>
      <c r="F15535" s="219"/>
      <c r="G15535" s="219"/>
    </row>
    <row r="15536" spans="1:7" x14ac:dyDescent="0.25">
      <c r="A15536" s="49" t="s">
        <v>35</v>
      </c>
      <c r="B15536" s="219" t="s">
        <v>36</v>
      </c>
      <c r="C15536" s="219"/>
      <c r="D15536" s="49" t="s">
        <v>37</v>
      </c>
      <c r="E15536" s="49" t="s">
        <v>38</v>
      </c>
      <c r="F15536" s="49" t="s">
        <v>39</v>
      </c>
      <c r="G15536" s="49" t="s">
        <v>40</v>
      </c>
    </row>
    <row r="15537" spans="1:7" x14ac:dyDescent="0.25">
      <c r="A15537" s="50" t="s">
        <v>326</v>
      </c>
      <c r="B15537" s="220" t="str">
        <f>VLOOKUP(A15537,'Componentes APUs'!$S$1:$V$10,2,0)</f>
        <v>Juego Llaves</v>
      </c>
      <c r="C15537" s="220"/>
      <c r="D15537" s="50" t="s">
        <v>18</v>
      </c>
      <c r="E15537" s="50">
        <v>2</v>
      </c>
      <c r="F15537" s="51">
        <f>VLOOKUP(A15537,'Componentes APUs'!$S$1:$V$10,4,0)</f>
        <v>9167</v>
      </c>
      <c r="G15537" s="51">
        <f>ROUNDUP(F15537*((E15537/21)/E15513),0)</f>
        <v>4366</v>
      </c>
    </row>
    <row r="15538" spans="1:7" x14ac:dyDescent="0.25">
      <c r="A15538" s="50" t="s">
        <v>58</v>
      </c>
      <c r="B15538" s="220" t="str">
        <f>VLOOKUP(A15538,'Componentes APUs'!$S$1:$V$10,2,0)</f>
        <v>Manila de servicio</v>
      </c>
      <c r="C15538" s="220"/>
      <c r="D15538" s="50" t="s">
        <v>18</v>
      </c>
      <c r="E15538" s="50">
        <v>2</v>
      </c>
      <c r="F15538" s="51">
        <f>VLOOKUP(A15538,'Componentes APUs'!$S$1:$V$10,4,0)</f>
        <v>2333</v>
      </c>
      <c r="G15538" s="51">
        <f>ROUNDUP(F15538*((E15538/21)/E15513),0)</f>
        <v>1111</v>
      </c>
    </row>
    <row r="15539" spans="1:7" x14ac:dyDescent="0.25">
      <c r="A15539" s="50" t="s">
        <v>327</v>
      </c>
      <c r="B15539" s="220" t="str">
        <f>VLOOKUP(A15539,'Componentes APUs'!$S$1:$V$10,2,0)</f>
        <v>Tula portaherramientas</v>
      </c>
      <c r="C15539" s="220"/>
      <c r="D15539" s="50" t="s">
        <v>18</v>
      </c>
      <c r="E15539" s="50">
        <v>2</v>
      </c>
      <c r="F15539" s="51">
        <f>VLOOKUP(A15539,'Componentes APUs'!$S$1:$V$10,4,0)</f>
        <v>1250</v>
      </c>
      <c r="G15539" s="51">
        <f>ROUNDUP(F15539*((E15539/21)/E15513),0)</f>
        <v>596</v>
      </c>
    </row>
    <row r="15540" spans="1:7" x14ac:dyDescent="0.25">
      <c r="A15540" s="50" t="s">
        <v>60</v>
      </c>
      <c r="B15540" s="220" t="str">
        <f>VLOOKUP(A15540,'Componentes APUs'!$S$1:$V$10,2,0)</f>
        <v>Agarradoras</v>
      </c>
      <c r="C15540" s="220"/>
      <c r="D15540" s="50" t="s">
        <v>18</v>
      </c>
      <c r="E15540" s="50">
        <v>0</v>
      </c>
      <c r="F15540" s="51">
        <f>VLOOKUP(A15540,'Componentes APUs'!$S$1:$V$10,4,0)</f>
        <v>125000</v>
      </c>
      <c r="G15540" s="51">
        <f>ROUNDUP(F15540*((E15540/21)/E15513),0)</f>
        <v>0</v>
      </c>
    </row>
    <row r="15541" spans="1:7" x14ac:dyDescent="0.25">
      <c r="A15541" s="50" t="s">
        <v>62</v>
      </c>
      <c r="B15541" s="220" t="str">
        <f>VLOOKUP(A15541,'Componentes APUs'!$S$1:$V$10,2,0)</f>
        <v>Templadoras</v>
      </c>
      <c r="C15541" s="220"/>
      <c r="D15541" s="50" t="s">
        <v>18</v>
      </c>
      <c r="E15541" s="50">
        <v>0</v>
      </c>
      <c r="F15541" s="51">
        <f>VLOOKUP(A15541,'Componentes APUs'!$S$1:$V$10,4,0)</f>
        <v>250000</v>
      </c>
      <c r="G15541" s="51">
        <f>ROUNDUP(F15541*((E15541/21)/E15513),0)</f>
        <v>0</v>
      </c>
    </row>
    <row r="15542" spans="1:7" x14ac:dyDescent="0.25">
      <c r="A15542" s="50" t="s">
        <v>328</v>
      </c>
      <c r="B15542" s="220" t="str">
        <f>VLOOKUP(A15542,'Componentes APUs'!$S$1:$V$10,2,0)</f>
        <v>Herramienta Menor</v>
      </c>
      <c r="C15542" s="220"/>
      <c r="D15542" s="50" t="s">
        <v>18</v>
      </c>
      <c r="E15542" s="50">
        <v>2</v>
      </c>
      <c r="F15542" s="51">
        <f>VLOOKUP(A15542,'Componentes APUs'!$S$1:$V$10,4,0)</f>
        <v>75758</v>
      </c>
      <c r="G15542" s="51">
        <f>ROUNDUP(F15542*((E15542/21)/E15513),0)</f>
        <v>36076</v>
      </c>
    </row>
    <row r="15543" spans="1:7" x14ac:dyDescent="0.25">
      <c r="A15543" s="219" t="s">
        <v>69</v>
      </c>
      <c r="B15543" s="219"/>
      <c r="C15543" s="219"/>
      <c r="D15543" s="219"/>
      <c r="E15543" s="219"/>
      <c r="F15543" s="219"/>
      <c r="G15543" s="52">
        <f>SUM(G15537:G15542)</f>
        <v>42149</v>
      </c>
    </row>
    <row r="15544" spans="1:7" x14ac:dyDescent="0.25">
      <c r="A15544" s="56"/>
      <c r="B15544" s="57"/>
      <c r="C15544" s="57"/>
      <c r="D15544" s="57"/>
      <c r="E15544" s="57"/>
      <c r="F15544" s="57"/>
      <c r="G15544" s="58"/>
    </row>
    <row r="15545" spans="1:7" x14ac:dyDescent="0.25">
      <c r="A15545" s="219" t="s">
        <v>70</v>
      </c>
      <c r="B15545" s="219"/>
      <c r="C15545" s="219"/>
      <c r="D15545" s="219"/>
      <c r="E15545" s="219"/>
      <c r="F15545" s="219"/>
      <c r="G15545" s="219"/>
    </row>
    <row r="15546" spans="1:7" x14ac:dyDescent="0.25">
      <c r="A15546" s="49" t="s">
        <v>35</v>
      </c>
      <c r="B15546" s="219" t="s">
        <v>36</v>
      </c>
      <c r="C15546" s="219"/>
      <c r="D15546" s="49" t="s">
        <v>37</v>
      </c>
      <c r="E15546" s="49" t="s">
        <v>38</v>
      </c>
      <c r="F15546" s="49" t="s">
        <v>39</v>
      </c>
      <c r="G15546" s="49" t="s">
        <v>40</v>
      </c>
    </row>
    <row r="15547" spans="1:7" x14ac:dyDescent="0.25">
      <c r="A15547" s="50" t="s">
        <v>71</v>
      </c>
      <c r="B15547" s="71" t="str">
        <f>VLOOKUP(A15547,'Componentes APUs'!$A$1:$D$14,2,0)</f>
        <v>Camisa indigo sin partes metalicas</v>
      </c>
      <c r="C15547" s="71"/>
      <c r="D15547" s="50" t="str">
        <f>VLOOKUP(A15547,'Componentes APUs'!$A$1:$D$14,3,0)</f>
        <v>U</v>
      </c>
      <c r="E15547" s="50">
        <f>SUM(C15527:C15532)</f>
        <v>2.75</v>
      </c>
      <c r="F15547" s="51">
        <f>VLOOKUP(A15547,'Componentes APUs'!$A$1:$D$14,4,0)</f>
        <v>8585.8585858585866</v>
      </c>
      <c r="G15547" s="51">
        <f>ROUNDUP(F15547*(E15547/21)/E15513,0)</f>
        <v>5622</v>
      </c>
    </row>
    <row r="15548" spans="1:7" x14ac:dyDescent="0.25">
      <c r="A15548" s="69" t="s">
        <v>73</v>
      </c>
      <c r="B15548" s="72" t="str">
        <f>VLOOKUP(A15548,'Componentes APUs'!$A$1:$D$14,2,0)</f>
        <v>Bota de seguridad dielectrica</v>
      </c>
      <c r="C15548" s="73"/>
      <c r="D15548" s="70" t="str">
        <f>VLOOKUP(A15548,'Componentes APUs'!$A$1:$D$14,3,0)</f>
        <v>Par</v>
      </c>
      <c r="E15548" s="50">
        <f>SUM(C15527:C15532)</f>
        <v>2.75</v>
      </c>
      <c r="F15548" s="51">
        <f>VLOOKUP(A15548,'Componentes APUs'!$A$1:$D$14,4,0)</f>
        <v>7500</v>
      </c>
      <c r="G15548" s="51">
        <f>ROUNDUP(F15548*(E15548/21)/E15513,0)</f>
        <v>4911</v>
      </c>
    </row>
    <row r="15549" spans="1:7" x14ac:dyDescent="0.25">
      <c r="A15549" s="50" t="s">
        <v>76</v>
      </c>
      <c r="B15549" s="72" t="str">
        <f>VLOOKUP(A15549,'Componentes APUs'!$A$1:$D$14,2,0)</f>
        <v>Casco dielectrico Tipo 1 Clase E con barbuquejo</v>
      </c>
      <c r="C15549" s="73"/>
      <c r="D15549" s="50" t="str">
        <f>VLOOKUP(A15549,'Componentes APUs'!$A$1:$D$14,3,0)</f>
        <v>U</v>
      </c>
      <c r="E15549" s="50">
        <f>C15527+C15530+C15531+C15528+C15532+IF(A15529&lt;&gt;"MO-3",C15529,0)</f>
        <v>2.75</v>
      </c>
      <c r="F15549" s="51">
        <f>VLOOKUP(A15549,'Componentes APUs'!$A$1:$D$14,4,0)</f>
        <v>10101.010101010101</v>
      </c>
      <c r="G15549" s="51">
        <f>ROUNDUP(F15549*(E15549/21)/E15513,0)</f>
        <v>6614</v>
      </c>
    </row>
    <row r="15550" spans="1:7" x14ac:dyDescent="0.25">
      <c r="A15550" s="69" t="s">
        <v>77</v>
      </c>
      <c r="B15550" s="72" t="str">
        <f>VLOOKUP(A15550,'Componentes APUs'!$A$1:$D$14,2,0)</f>
        <v>Correa plastica y antiflama</v>
      </c>
      <c r="C15550" s="73"/>
      <c r="D15550" s="50" t="str">
        <f>VLOOKUP(A15550,'Componentes APUs'!$A$1:$D$14,3,0)</f>
        <v>U</v>
      </c>
      <c r="E15550" s="50">
        <f>SUM(C15527:C15532)</f>
        <v>2.75</v>
      </c>
      <c r="F15550" s="51">
        <f>VLOOKUP(A15550,'Componentes APUs'!$A$1:$D$14,4,0)</f>
        <v>3787.878787878788</v>
      </c>
      <c r="G15550" s="51">
        <f>ROUNDUP(F15550*(E15550/21)/E15513,0)</f>
        <v>2481</v>
      </c>
    </row>
    <row r="15551" spans="1:7" x14ac:dyDescent="0.25">
      <c r="A15551" s="50" t="s">
        <v>79</v>
      </c>
      <c r="B15551" s="72" t="str">
        <f>VLOOKUP(A15551,'Componentes APUs'!$A$1:$D$14,2,0)</f>
        <v>Gafas protectoras filtro UV</v>
      </c>
      <c r="C15551" s="73"/>
      <c r="D15551" s="50" t="str">
        <f>VLOOKUP(A15551,'Componentes APUs'!$A$1:$D$14,3,0)</f>
        <v>U</v>
      </c>
      <c r="E15551" s="50">
        <f>SUM(C15527:C15532)</f>
        <v>2.75</v>
      </c>
      <c r="F15551" s="51">
        <f>VLOOKUP(A15551,'Componentes APUs'!$A$1:$D$14,4,0)</f>
        <v>2777.7777777777778</v>
      </c>
      <c r="G15551" s="51">
        <f>ROUNDUP(F15551*(E15551/21)/E15513,0)</f>
        <v>1819</v>
      </c>
    </row>
    <row r="15552" spans="1:7" x14ac:dyDescent="0.25">
      <c r="A15552" s="69" t="s">
        <v>402</v>
      </c>
      <c r="B15552" s="72" t="str">
        <f>VLOOKUP(A15552,'Componentes APUs'!$A$1:$D$14,2,0)</f>
        <v>Bota de seguridad PVC dielectrica</v>
      </c>
      <c r="C15552" s="73"/>
      <c r="D15552" s="50" t="str">
        <f>VLOOKUP(A15552,'Componentes APUs'!$A$1:$D$14,3,0)</f>
        <v>Par</v>
      </c>
      <c r="E15552" s="50">
        <f>SUM(C15527:C15532)</f>
        <v>2.75</v>
      </c>
      <c r="F15552" s="51">
        <f>VLOOKUP(A15552,'Componentes APUs'!$A$1:$D$14,4,0)</f>
        <v>2916.6666666666665</v>
      </c>
      <c r="G15552" s="51">
        <f>ROUNDUP(F15552*(E15552/21)/E15513,0)</f>
        <v>1910</v>
      </c>
    </row>
    <row r="15553" spans="1:7" x14ac:dyDescent="0.25">
      <c r="A15553" s="50" t="s">
        <v>403</v>
      </c>
      <c r="B15553" s="72" t="str">
        <f>VLOOKUP(A15553,'Componentes APUs'!$A$1:$D$14,2,0)</f>
        <v>Capuchon</v>
      </c>
      <c r="C15553" s="73"/>
      <c r="D15553" s="50" t="str">
        <f>VLOOKUP(A15553,'Componentes APUs'!$A$1:$D$14,3,0)</f>
        <v>U</v>
      </c>
      <c r="E15553" s="50">
        <f>SUM(C15527:C15532)</f>
        <v>2.75</v>
      </c>
      <c r="F15553" s="51">
        <f>VLOOKUP(A15553,'Componentes APUs'!$A$1:$D$14,4,0)</f>
        <v>2525.2525252525252</v>
      </c>
      <c r="G15553" s="51">
        <f>ROUNDUP(F15553*(E15553/21)/E15513,0)</f>
        <v>1654</v>
      </c>
    </row>
    <row r="15554" spans="1:7" x14ac:dyDescent="0.25">
      <c r="A15554" s="69" t="s">
        <v>81</v>
      </c>
      <c r="B15554" s="72" t="str">
        <f>VLOOKUP(A15554,'Componentes APUs'!$A$1:$D$14,2,0)</f>
        <v>Guantes Protectores  - ingeniero reforzados</v>
      </c>
      <c r="C15554" s="73"/>
      <c r="D15554" s="50" t="str">
        <f>VLOOKUP(A15554,'Componentes APUs'!$A$1:$D$14,3,0)</f>
        <v>Par</v>
      </c>
      <c r="E15554" s="50">
        <f>C15529+C15530+C15532</f>
        <v>2</v>
      </c>
      <c r="F15554" s="51">
        <f>VLOOKUP(A15554,'Componentes APUs'!$A$1:$D$14,4,0)</f>
        <v>2525.2525252525252</v>
      </c>
      <c r="G15554" s="51">
        <f>ROUNDUP(F15554*(E15554/21)/E15513,0)</f>
        <v>1203</v>
      </c>
    </row>
    <row r="15555" spans="1:7" x14ac:dyDescent="0.25">
      <c r="A15555" s="50" t="s">
        <v>83</v>
      </c>
      <c r="B15555" s="72" t="str">
        <f>VLOOKUP(A15555,'Componentes APUs'!$A$1:$D$14,2,0)</f>
        <v>Impermeable (pantalon camisa)</v>
      </c>
      <c r="C15555" s="73"/>
      <c r="D15555" s="50" t="str">
        <f>VLOOKUP(A15555,'Componentes APUs'!$A$1:$D$14,3,0)</f>
        <v>U</v>
      </c>
      <c r="E15555" s="50">
        <f>SUM(C15527:C15532)</f>
        <v>2.75</v>
      </c>
      <c r="F15555" s="51">
        <f>VLOOKUP(A15555,'Componentes APUs'!$A$1:$D$14,4,0)</f>
        <v>3750</v>
      </c>
      <c r="G15555" s="51">
        <f>ROUNDUP(F15555*(E15555/21)/E15513,0)</f>
        <v>2456</v>
      </c>
    </row>
    <row r="15556" spans="1:7" x14ac:dyDescent="0.25">
      <c r="A15556" s="69" t="s">
        <v>85</v>
      </c>
      <c r="B15556" s="72" t="str">
        <f>VLOOKUP(A15556,'Componentes APUs'!$A$1:$D$14,2,0)</f>
        <v>Jean Dielectrico</v>
      </c>
      <c r="C15556" s="73"/>
      <c r="D15556" s="50" t="str">
        <f>VLOOKUP(A15556,'Componentes APUs'!$A$1:$D$14,3,0)</f>
        <v>U</v>
      </c>
      <c r="E15556" s="50">
        <f>SUM(C15527:C15532)</f>
        <v>2.75</v>
      </c>
      <c r="F15556" s="51">
        <f>VLOOKUP(A15556,'Componentes APUs'!$A$1:$D$14,4,0)</f>
        <v>7575.757575757576</v>
      </c>
      <c r="G15556" s="51">
        <f>ROUNDUP(F15556*(E15556/21)/E15513,0)</f>
        <v>4961</v>
      </c>
    </row>
    <row r="15557" spans="1:7" x14ac:dyDescent="0.25">
      <c r="A15557" s="50" t="s">
        <v>87</v>
      </c>
      <c r="B15557" s="72" t="str">
        <f>VLOOKUP(A15557,'Componentes APUs'!$A$1:$D$14,2,0)</f>
        <v>Casco dielectrico Tipo 2 Clase E con barboquejo</v>
      </c>
      <c r="C15557" s="73"/>
      <c r="D15557" s="50" t="str">
        <f>VLOOKUP(A15557,'Componentes APUs'!$A$1:$D$14,3,0)</f>
        <v>U</v>
      </c>
      <c r="E15557" s="53">
        <f>IF(A15529="MO-3",C15529,0)</f>
        <v>0</v>
      </c>
      <c r="F15557" s="51">
        <f>VLOOKUP(A15557,'Componentes APUs'!$A$1:$D$14,4,0)</f>
        <v>7500</v>
      </c>
      <c r="G15557" s="51">
        <f>ROUNDUP(F15557*(E15557/21)/E15513,0)</f>
        <v>0</v>
      </c>
    </row>
    <row r="15558" spans="1:7" x14ac:dyDescent="0.25">
      <c r="A15558" s="69" t="s">
        <v>89</v>
      </c>
      <c r="B15558" s="72" t="str">
        <f>VLOOKUP(A15558,'Componentes APUs'!$A$1:$D$14,2,0)</f>
        <v>Kit de rescate para trabajo en alturas</v>
      </c>
      <c r="C15558" s="73"/>
      <c r="D15558" s="50" t="str">
        <f>VLOOKUP(A15558,'Componentes APUs'!$A$1:$D$14,3,0)</f>
        <v>U</v>
      </c>
      <c r="E15558" s="50">
        <f>IF(AND(A15529="MO-3",C15529=2),1,0)</f>
        <v>0</v>
      </c>
      <c r="F15558" s="51">
        <f>VLOOKUP(A15558,'Componentes APUs'!$A$1:$D$14,4,0)</f>
        <v>37500</v>
      </c>
      <c r="G15558" s="51">
        <f>ROUNDUP(F15558*(E15558/21)/E15513,0)</f>
        <v>0</v>
      </c>
    </row>
    <row r="15559" spans="1:7" x14ac:dyDescent="0.25">
      <c r="A15559" s="50" t="s">
        <v>91</v>
      </c>
      <c r="B15559" s="72" t="str">
        <f>VLOOKUP(A15559,'Componentes APUs'!$A$1:$D$14,2,0)</f>
        <v>Equipo completo para trabajo en alturas con pretales (Arnes dielectrico, 1 mosqueton de seguridad, tie off dielectrico, eslinga de posicionamiento, juego de pretales)</v>
      </c>
      <c r="C15559" s="73"/>
      <c r="D15559" s="50" t="str">
        <f>VLOOKUP(A15559,'Componentes APUs'!$A$1:$D$14,3,0)</f>
        <v>U</v>
      </c>
      <c r="E15559" s="50">
        <f>IF(A15528="MO-3",C15528,0)</f>
        <v>0</v>
      </c>
      <c r="F15559" s="51">
        <f>VLOOKUP(A15559,'Componentes APUs'!$A$1:$D$14,4,0)</f>
        <v>26041.666666666668</v>
      </c>
      <c r="G15559" s="51">
        <f>ROUNDUP(F15559*(E15559/21)/E15513,0)</f>
        <v>0</v>
      </c>
    </row>
    <row r="15560" spans="1:7" x14ac:dyDescent="0.25">
      <c r="A15560" s="219" t="s">
        <v>95</v>
      </c>
      <c r="B15560" s="219"/>
      <c r="C15560" s="219"/>
      <c r="D15560" s="219"/>
      <c r="E15560" s="219"/>
      <c r="F15560" s="219"/>
      <c r="G15560" s="52">
        <f>SUM(G15547:G15559)</f>
        <v>33631</v>
      </c>
    </row>
    <row r="15561" spans="1:7" x14ac:dyDescent="0.25">
      <c r="A15561" s="56"/>
      <c r="B15561" s="57"/>
      <c r="C15561" s="57"/>
      <c r="D15561" s="57"/>
      <c r="E15561" s="57"/>
      <c r="F15561" s="57"/>
      <c r="G15561" s="58"/>
    </row>
    <row r="15562" spans="1:7" x14ac:dyDescent="0.25">
      <c r="A15562" s="219" t="s">
        <v>96</v>
      </c>
      <c r="B15562" s="219"/>
      <c r="C15562" s="219"/>
      <c r="D15562" s="219"/>
      <c r="E15562" s="219"/>
      <c r="F15562" s="219"/>
      <c r="G15562" s="219"/>
    </row>
    <row r="15563" spans="1:7" x14ac:dyDescent="0.25">
      <c r="A15563" s="49" t="s">
        <v>35</v>
      </c>
      <c r="B15563" s="225" t="s">
        <v>36</v>
      </c>
      <c r="C15563" s="225"/>
      <c r="D15563" s="49" t="s">
        <v>37</v>
      </c>
      <c r="E15563" s="49" t="s">
        <v>38</v>
      </c>
      <c r="F15563" s="49" t="s">
        <v>39</v>
      </c>
      <c r="G15563" s="49" t="s">
        <v>40</v>
      </c>
    </row>
    <row r="15564" spans="1:7" x14ac:dyDescent="0.25">
      <c r="A15564" s="69" t="s">
        <v>97</v>
      </c>
      <c r="B15564" s="72" t="str">
        <f>VLOOKUP(A15564,'Componentes APUs'!$N$1:$Q$30,2,0)</f>
        <v>Camioneta</v>
      </c>
      <c r="C15564" s="73"/>
      <c r="D15564" s="70" t="str">
        <f>VLOOKUP(A15564,'Componentes APUs'!$N$1:$Q$30,3,0)</f>
        <v>U</v>
      </c>
      <c r="E15564" s="50">
        <v>1</v>
      </c>
      <c r="F15564" s="51">
        <f>VLOOKUP(A15564,'Componentes APUs'!$N$1:$Q$30,4,0)</f>
        <v>5500000</v>
      </c>
      <c r="G15564" s="51">
        <f>IFERROR(ROUNDUP(F15564*(E15564/21)/E15513,0),0)</f>
        <v>1309524</v>
      </c>
    </row>
    <row r="15565" spans="1:7" x14ac:dyDescent="0.25">
      <c r="A15565" s="50" t="s">
        <v>321</v>
      </c>
      <c r="B15565" s="72" t="str">
        <f>VLOOKUP(A15565,'Componentes APUs'!$N$1:$Q$30,2,0)</f>
        <v>Grúa Hidráulica</v>
      </c>
      <c r="C15565" s="73"/>
      <c r="D15565" s="70" t="str">
        <f>VLOOKUP(A15565,'Componentes APUs'!$N$1:$Q$30,3,0)</f>
        <v>U</v>
      </c>
      <c r="E15565" s="50">
        <v>0</v>
      </c>
      <c r="F15565" s="51">
        <f>VLOOKUP(A15565,'Componentes APUs'!$N$1:$Q$30,4,0)</f>
        <v>21000000</v>
      </c>
      <c r="G15565" s="51">
        <f>IFERROR(ROUNDUP(F15565*(E15565/21)/E15513,0),0)</f>
        <v>0</v>
      </c>
    </row>
    <row r="15566" spans="1:7" x14ac:dyDescent="0.25">
      <c r="A15566" s="69" t="s">
        <v>322</v>
      </c>
      <c r="B15566" s="72" t="str">
        <f>VLOOKUP(A15566,'Componentes APUs'!$N$1:$Q$30,2,0)</f>
        <v>Camabaja</v>
      </c>
      <c r="C15566" s="73"/>
      <c r="D15566" s="70" t="str">
        <f>VLOOKUP(A15566,'Componentes APUs'!$N$1:$Q$30,3,0)</f>
        <v>TON/KM</v>
      </c>
      <c r="E15566" s="50">
        <v>0</v>
      </c>
      <c r="F15566" s="51">
        <f>VLOOKUP(A15566,'Componentes APUs'!$N$1:$Q$30,4,0)</f>
        <v>611</v>
      </c>
      <c r="G15566" s="51">
        <f>IFERROR(ROUNDUP(F15566*(E15566/21)/E15513,0),0)</f>
        <v>0</v>
      </c>
    </row>
    <row r="15567" spans="1:7" x14ac:dyDescent="0.25">
      <c r="A15567" s="50" t="s">
        <v>323</v>
      </c>
      <c r="B15567" s="72" t="str">
        <f>VLOOKUP(A15567,'Componentes APUs'!$N$1:$Q$30,2,0)</f>
        <v>Volqueta</v>
      </c>
      <c r="C15567" s="73"/>
      <c r="D15567" s="70" t="str">
        <f>VLOOKUP(A15567,'Componentes APUs'!$N$1:$Q$30,3,0)</f>
        <v>U</v>
      </c>
      <c r="E15567" s="50">
        <v>0</v>
      </c>
      <c r="F15567" s="51">
        <f>VLOOKUP(A15567,'Componentes APUs'!$N$1:$Q$30,4,0)</f>
        <v>14828184</v>
      </c>
      <c r="G15567" s="51">
        <f>IFERROR(ROUNDUP(F15567*(E15567/21)/E15513,0),0)</f>
        <v>0</v>
      </c>
    </row>
    <row r="15568" spans="1:7" x14ac:dyDescent="0.25">
      <c r="A15568" s="69" t="s">
        <v>324</v>
      </c>
      <c r="B15568" s="72" t="str">
        <f>VLOOKUP(A15568,'Componentes APUs'!$N$1:$Q$30,2,0)</f>
        <v>Retroexcavadora</v>
      </c>
      <c r="C15568" s="73"/>
      <c r="D15568" s="70" t="str">
        <f>VLOOKUP(A15568,'Componentes APUs'!$N$1:$Q$30,3,0)</f>
        <v>U</v>
      </c>
      <c r="E15568" s="50">
        <v>0</v>
      </c>
      <c r="F15568" s="51">
        <f>VLOOKUP(A15568,'Componentes APUs'!$N$1:$Q$30,4,0)</f>
        <v>46030656</v>
      </c>
      <c r="G15568" s="51">
        <f>IFERROR(ROUNDUP(F15568*(E15568/21)/E15513,0),0)</f>
        <v>0</v>
      </c>
    </row>
    <row r="15569" spans="1:7" x14ac:dyDescent="0.25">
      <c r="A15569" s="219" t="s">
        <v>99</v>
      </c>
      <c r="B15569" s="219"/>
      <c r="C15569" s="219"/>
      <c r="D15569" s="219"/>
      <c r="E15569" s="219"/>
      <c r="F15569" s="219"/>
      <c r="G15569" s="52">
        <f>SUM(G15564:G15568)</f>
        <v>1309524</v>
      </c>
    </row>
    <row r="15570" spans="1:7" x14ac:dyDescent="0.25">
      <c r="A15570" s="56"/>
      <c r="B15570" s="57"/>
      <c r="C15570" s="57"/>
      <c r="D15570" s="57"/>
      <c r="E15570" s="57"/>
      <c r="F15570" s="57"/>
      <c r="G15570" s="58"/>
    </row>
    <row r="15571" spans="1:7" x14ac:dyDescent="0.25">
      <c r="A15571" s="219" t="s">
        <v>1516</v>
      </c>
      <c r="B15571" s="219"/>
      <c r="C15571" s="219"/>
      <c r="D15571" s="219"/>
      <c r="E15571" s="219"/>
      <c r="F15571" s="219"/>
      <c r="G15571" s="52">
        <f>G15569+G15560+G15543+G15533+G15523</f>
        <v>11735393</v>
      </c>
    </row>
    <row r="15572" spans="1:7" x14ac:dyDescent="0.25">
      <c r="A15572" s="59"/>
      <c r="B15572" s="60"/>
      <c r="C15572" s="60"/>
      <c r="D15572" s="60"/>
      <c r="E15572" s="57"/>
      <c r="F15572" s="57"/>
      <c r="G15572" s="58"/>
    </row>
    <row r="15573" spans="1:7" x14ac:dyDescent="0.25">
      <c r="A15573" s="64"/>
      <c r="D15573" s="55"/>
      <c r="E15573" s="49" t="s">
        <v>25</v>
      </c>
      <c r="F15573" s="54">
        <v>0.15</v>
      </c>
      <c r="G15573" s="51">
        <f>G15571*F15573</f>
        <v>1760308.95</v>
      </c>
    </row>
    <row r="15574" spans="1:7" x14ac:dyDescent="0.25">
      <c r="A15574" s="64"/>
      <c r="D15574" s="55"/>
      <c r="E15574" s="49" t="s">
        <v>26</v>
      </c>
      <c r="F15574" s="54">
        <v>0.05</v>
      </c>
      <c r="G15574" s="51">
        <f>G15571*F15574</f>
        <v>586769.65</v>
      </c>
    </row>
    <row r="15575" spans="1:7" x14ac:dyDescent="0.25">
      <c r="A15575" s="61"/>
      <c r="B15575" s="65"/>
      <c r="C15575" s="65"/>
      <c r="D15575" s="62"/>
      <c r="E15575" s="49" t="s">
        <v>27</v>
      </c>
      <c r="F15575" s="54">
        <v>0.05</v>
      </c>
      <c r="G15575" s="51">
        <f>G15571*F15575</f>
        <v>586769.65</v>
      </c>
    </row>
    <row r="15576" spans="1:7" x14ac:dyDescent="0.25">
      <c r="A15576" s="61"/>
      <c r="B15576" s="62"/>
      <c r="C15576" s="62"/>
      <c r="D15576" s="62"/>
      <c r="E15576" s="62"/>
      <c r="F15576" s="62"/>
      <c r="G15576" s="63"/>
    </row>
    <row r="15577" spans="1:7" x14ac:dyDescent="0.25">
      <c r="A15577" s="219" t="s">
        <v>1517</v>
      </c>
      <c r="B15577" s="219"/>
      <c r="C15577" s="219"/>
      <c r="D15577" s="219"/>
      <c r="E15577" s="219"/>
      <c r="F15577" s="219"/>
      <c r="G15577" s="52">
        <f>G15571+G15573+G15574+G15575</f>
        <v>14669241.25</v>
      </c>
    </row>
    <row r="15578" spans="1:7" x14ac:dyDescent="0.25">
      <c r="A15578" s="59"/>
      <c r="B15578" s="60"/>
      <c r="C15578" s="60"/>
      <c r="D15578" s="60"/>
      <c r="E15578" s="57"/>
      <c r="F15578" s="57"/>
      <c r="G15578" s="58"/>
    </row>
    <row r="15579" spans="1:7" x14ac:dyDescent="0.25">
      <c r="A15579" s="64"/>
      <c r="D15579" s="55"/>
      <c r="E15579" s="49" t="s">
        <v>102</v>
      </c>
      <c r="F15579" s="49" t="s">
        <v>103</v>
      </c>
      <c r="G15579" s="51">
        <f>G15575*19%</f>
        <v>111486.2335</v>
      </c>
    </row>
    <row r="15580" spans="1:7" x14ac:dyDescent="0.25">
      <c r="A15580" s="61"/>
      <c r="B15580" s="62"/>
      <c r="C15580" s="62"/>
      <c r="D15580" s="62"/>
      <c r="E15580" s="57"/>
      <c r="F15580" s="57"/>
      <c r="G15580" s="58"/>
    </row>
    <row r="15581" spans="1:7" x14ac:dyDescent="0.25">
      <c r="A15581" s="219" t="s">
        <v>104</v>
      </c>
      <c r="B15581" s="219"/>
      <c r="C15581" s="219"/>
      <c r="D15581" s="219"/>
      <c r="E15581" s="219"/>
      <c r="F15581" s="219"/>
      <c r="G15581" s="52">
        <f>G15579+G15577</f>
        <v>14780727.4835</v>
      </c>
    </row>
    <row r="15583" spans="1:7" x14ac:dyDescent="0.25">
      <c r="A15583" s="74" t="s">
        <v>29</v>
      </c>
      <c r="B15583" s="226" t="s">
        <v>30</v>
      </c>
      <c r="C15583" s="226"/>
      <c r="D15583" s="74" t="s">
        <v>31</v>
      </c>
      <c r="E15583" s="74" t="s">
        <v>32</v>
      </c>
      <c r="F15583" s="74" t="s">
        <v>189</v>
      </c>
      <c r="G15583" s="74" t="s">
        <v>33</v>
      </c>
    </row>
    <row r="15584" spans="1:7" ht="54.75" customHeight="1" x14ac:dyDescent="0.25">
      <c r="A15584" s="50" t="str">
        <f>Presupuesto!B306</f>
        <v>003_SC</v>
      </c>
      <c r="B15584" s="220" t="str">
        <f>Presupuesto!C306</f>
        <v>SUMINISTRO E INSTALACIÓN DE CONCENTRADOR DE DATOS, GATEWAY (Con protocolos IEC 61850, Modbus TCP, DNP3, IEC 60870-5-104, PRP (Parallel Redundancy Protocol),  HSR (High-availability Seamless Redundancy),) CON CAPACIDAD HASTA PARA 20 BAHÍAS, 14 PUERTOS ETHERNET, 24-250 V DC o 100-240 V AC.</v>
      </c>
      <c r="C15584" s="220"/>
      <c r="D15584" s="50" t="s">
        <v>8</v>
      </c>
      <c r="E15584" s="50">
        <v>1</v>
      </c>
      <c r="F15584" s="50"/>
      <c r="G15584" s="51">
        <f>G15653</f>
        <v>29005332.818</v>
      </c>
    </row>
    <row r="15585" spans="1:7" x14ac:dyDescent="0.25">
      <c r="A15585" s="219" t="s">
        <v>34</v>
      </c>
      <c r="B15585" s="219"/>
      <c r="C15585" s="219"/>
      <c r="D15585" s="219"/>
      <c r="E15585" s="219"/>
      <c r="F15585" s="219"/>
      <c r="G15585" s="219"/>
    </row>
    <row r="15586" spans="1:7" x14ac:dyDescent="0.25">
      <c r="A15586" s="49" t="s">
        <v>35</v>
      </c>
      <c r="B15586" s="219" t="s">
        <v>36</v>
      </c>
      <c r="C15586" s="219"/>
      <c r="D15586" s="49" t="s">
        <v>37</v>
      </c>
      <c r="E15586" s="49" t="s">
        <v>38</v>
      </c>
      <c r="F15586" s="49" t="s">
        <v>39</v>
      </c>
      <c r="G15586" s="49" t="s">
        <v>40</v>
      </c>
    </row>
    <row r="15587" spans="1:7" x14ac:dyDescent="0.25">
      <c r="A15587" s="17" t="str">
        <f>Material!A84</f>
        <v>MA-83</v>
      </c>
      <c r="B15587" s="72" t="str">
        <f>IFERROR(VLOOKUP(A15587,Material!$A:$H,2,0),"-")</f>
        <v xml:space="preserve">CONCENTRADOR DE DATOS, GATEWAY </v>
      </c>
      <c r="C15587" s="73"/>
      <c r="D15587" s="50" t="str">
        <f>IFERROR(VLOOKUP(A15587,Material!$A:$H,4,0),"-")</f>
        <v>UN</v>
      </c>
      <c r="E15587" s="50">
        <v>1</v>
      </c>
      <c r="F15587" s="51">
        <f>IFERROR(VLOOKUP(A15587,Material!$A:$H,3,0),"-")</f>
        <v>20748000</v>
      </c>
      <c r="G15587" s="51">
        <f t="shared" ref="G15587:G15594" si="222">IFERROR(ROUNDUP(F15587*E15587,0),"-")</f>
        <v>20748000</v>
      </c>
    </row>
    <row r="15588" spans="1:7" x14ac:dyDescent="0.25">
      <c r="A15588" s="17"/>
      <c r="B15588" s="72" t="str">
        <f>IFERROR(VLOOKUP(A15588,Material!$A:$H,2,0),"-")</f>
        <v>-</v>
      </c>
      <c r="C15588" s="73"/>
      <c r="D15588" s="50" t="str">
        <f>IFERROR(VLOOKUP(A15588,Material!$A:$H,4,0),"-")</f>
        <v>-</v>
      </c>
      <c r="E15588" s="50"/>
      <c r="F15588" s="51" t="str">
        <f>IFERROR(VLOOKUP(A15588,Material!$A:$H,3,0),"-")</f>
        <v>-</v>
      </c>
      <c r="G15588" s="51" t="str">
        <f t="shared" si="222"/>
        <v>-</v>
      </c>
    </row>
    <row r="15589" spans="1:7" x14ac:dyDescent="0.25">
      <c r="A15589" s="17"/>
      <c r="B15589" s="72" t="str">
        <f>IFERROR(VLOOKUP(A15589,Material!$A:$H,2,0),"-")</f>
        <v>-</v>
      </c>
      <c r="C15589" s="73"/>
      <c r="D15589" s="50" t="str">
        <f>IFERROR(VLOOKUP(A15589,Material!$A:$H,4,0),"-")</f>
        <v>-</v>
      </c>
      <c r="E15589" s="50"/>
      <c r="F15589" s="51" t="str">
        <f>IFERROR(VLOOKUP(A15589,Material!$A:$H,3,0),"-")</f>
        <v>-</v>
      </c>
      <c r="G15589" s="51" t="str">
        <f t="shared" si="222"/>
        <v>-</v>
      </c>
    </row>
    <row r="15590" spans="1:7" x14ac:dyDescent="0.25">
      <c r="A15590" s="17"/>
      <c r="B15590" s="72" t="str">
        <f>IFERROR(VLOOKUP(A15590,Material!$A:$H,2,0),"-")</f>
        <v>-</v>
      </c>
      <c r="C15590" s="73"/>
      <c r="D15590" s="50" t="str">
        <f>IFERROR(VLOOKUP(A15590,Material!$A:$H,4,0),"-")</f>
        <v>-</v>
      </c>
      <c r="E15590" s="50"/>
      <c r="F15590" s="51" t="str">
        <f>IFERROR(VLOOKUP(A15590,Material!$A:$H,3,0),"-")</f>
        <v>-</v>
      </c>
      <c r="G15590" s="51" t="str">
        <f t="shared" si="222"/>
        <v>-</v>
      </c>
    </row>
    <row r="15591" spans="1:7" x14ac:dyDescent="0.25">
      <c r="A15591" s="17"/>
      <c r="B15591" s="75" t="str">
        <f>IFERROR(VLOOKUP(A15591,Material!$A:$H,2,0),"-")</f>
        <v>-</v>
      </c>
      <c r="C15591" s="76"/>
      <c r="D15591" s="50" t="str">
        <f>IFERROR(VLOOKUP(A15591,Material!$A:$H,4,0),"-")</f>
        <v>-</v>
      </c>
      <c r="E15591" s="50"/>
      <c r="F15591" s="51" t="str">
        <f>IFERROR(VLOOKUP(A15591,Material!$A:$H,3,0),"-")</f>
        <v>-</v>
      </c>
      <c r="G15591" s="51" t="str">
        <f t="shared" si="222"/>
        <v>-</v>
      </c>
    </row>
    <row r="15592" spans="1:7" x14ac:dyDescent="0.25">
      <c r="A15592" s="17"/>
      <c r="B15592" s="72" t="str">
        <f>IFERROR(VLOOKUP(A15592,Material!$A:$H,2,0),"-")</f>
        <v>-</v>
      </c>
      <c r="C15592" s="76"/>
      <c r="D15592" s="50" t="str">
        <f>IFERROR(VLOOKUP(A15592,Material!$A:$H,4,0),"-")</f>
        <v>-</v>
      </c>
      <c r="E15592" s="50"/>
      <c r="F15592" s="51" t="str">
        <f>IFERROR(VLOOKUP(A15592,Material!$A:$H,3,0),"-")</f>
        <v>-</v>
      </c>
      <c r="G15592" s="51" t="str">
        <f t="shared" si="222"/>
        <v>-</v>
      </c>
    </row>
    <row r="15593" spans="1:7" x14ac:dyDescent="0.25">
      <c r="A15593" s="17"/>
      <c r="B15593" s="72" t="str">
        <f>IFERROR(VLOOKUP(A15593,Material!$A:$H,2,0),"-")</f>
        <v>-</v>
      </c>
      <c r="C15593" s="76"/>
      <c r="D15593" s="50" t="str">
        <f>IFERROR(VLOOKUP(A15593,Material!$A:$H,4,0),"-")</f>
        <v>-</v>
      </c>
      <c r="E15593" s="50"/>
      <c r="F15593" s="51" t="str">
        <f>IFERROR(VLOOKUP(A15593,Material!$A:$H,3,0),"-")</f>
        <v>-</v>
      </c>
      <c r="G15593" s="51" t="str">
        <f t="shared" si="222"/>
        <v>-</v>
      </c>
    </row>
    <row r="15594" spans="1:7" x14ac:dyDescent="0.25">
      <c r="A15594" s="17"/>
      <c r="B15594" s="72" t="str">
        <f>IFERROR(VLOOKUP(A15594,Material!$A:$H,2,0),"-")</f>
        <v>-</v>
      </c>
      <c r="C15594" s="76"/>
      <c r="D15594" s="50" t="str">
        <f>IFERROR(VLOOKUP(A15594,Material!$A:$H,4,0),"-")</f>
        <v>-</v>
      </c>
      <c r="E15594" s="50"/>
      <c r="F15594" s="51" t="str">
        <f>IFERROR(VLOOKUP(A15594,Material!$A:$H,3,0),"-")</f>
        <v>-</v>
      </c>
      <c r="G15594" s="51" t="str">
        <f t="shared" si="222"/>
        <v>-</v>
      </c>
    </row>
    <row r="15595" spans="1:7" x14ac:dyDescent="0.25">
      <c r="A15595" s="219" t="s">
        <v>41</v>
      </c>
      <c r="B15595" s="219"/>
      <c r="C15595" s="219"/>
      <c r="D15595" s="219"/>
      <c r="E15595" s="219"/>
      <c r="F15595" s="219"/>
      <c r="G15595" s="52">
        <f>SUM(G15587:G15594)</f>
        <v>20748000</v>
      </c>
    </row>
    <row r="15596" spans="1:7" x14ac:dyDescent="0.25">
      <c r="A15596" s="56"/>
      <c r="B15596" s="57"/>
      <c r="C15596" s="57"/>
      <c r="D15596" s="57"/>
      <c r="E15596" s="57"/>
      <c r="F15596" s="57"/>
      <c r="G15596" s="58"/>
    </row>
    <row r="15597" spans="1:7" x14ac:dyDescent="0.25">
      <c r="A15597" s="219" t="s">
        <v>42</v>
      </c>
      <c r="B15597" s="219"/>
      <c r="C15597" s="219"/>
      <c r="D15597" s="219"/>
      <c r="E15597" s="219"/>
      <c r="F15597" s="219"/>
      <c r="G15597" s="219"/>
    </row>
    <row r="15598" spans="1:7" x14ac:dyDescent="0.25">
      <c r="A15598" s="49" t="s">
        <v>35</v>
      </c>
      <c r="B15598" s="49" t="s">
        <v>36</v>
      </c>
      <c r="C15598" s="49" t="s">
        <v>38</v>
      </c>
      <c r="D15598" s="49" t="s">
        <v>43</v>
      </c>
      <c r="E15598" s="49" t="s">
        <v>44</v>
      </c>
      <c r="F15598" s="49" t="s">
        <v>45</v>
      </c>
      <c r="G15598" s="49" t="s">
        <v>40</v>
      </c>
    </row>
    <row r="15599" spans="1:7" x14ac:dyDescent="0.25">
      <c r="A15599" s="50" t="s">
        <v>319</v>
      </c>
      <c r="B15599" s="68" t="str">
        <f>VLOOKUP(A15599,'Componentes APUs'!$H$1:$L$25,2,0)</f>
        <v>Ingeniero Residente de Obra</v>
      </c>
      <c r="C15599" s="93">
        <v>0.25</v>
      </c>
      <c r="D15599" s="50">
        <f>VLOOKUP(A15599,'Componentes APUs'!$H$1:$L$25,3,0)</f>
        <v>4</v>
      </c>
      <c r="E15599" s="51">
        <f>VLOOKUP(A15599,'Componentes APUs'!$H$1:$L$25,4,0)</f>
        <v>271142.85714285716</v>
      </c>
      <c r="F15599" s="51">
        <f>VLOOKUP(A15599,'Componentes APUs'!$H$1:$L$25,5,0)</f>
        <v>162685.71428571429</v>
      </c>
      <c r="G15599" s="51">
        <f>ROUNDUP((E15599+F15599)*C15599/E15584,0)</f>
        <v>108458</v>
      </c>
    </row>
    <row r="15600" spans="1:7" x14ac:dyDescent="0.25">
      <c r="A15600" s="50" t="s">
        <v>320</v>
      </c>
      <c r="B15600" s="68" t="str">
        <f>VLOOKUP(A15600,'Componentes APUs'!$H$1:$L$25,2,0)</f>
        <v>Tecnico Supervisor</v>
      </c>
      <c r="C15600" s="93">
        <v>0.25</v>
      </c>
      <c r="D15600" s="50">
        <f>VLOOKUP(A15600,'Componentes APUs'!$H$1:$L$25,3,0)</f>
        <v>2.2999999999999998</v>
      </c>
      <c r="E15600" s="51">
        <f>VLOOKUP(A15600,'Componentes APUs'!$H$1:$L$25,4,0)</f>
        <v>155907.14285714284</v>
      </c>
      <c r="F15600" s="51">
        <f>VLOOKUP(A15600,'Componentes APUs'!$H$1:$L$25,5,0)</f>
        <v>93544.285714285696</v>
      </c>
      <c r="G15600" s="51">
        <f>ROUNDUP((E15600+F15600)*C15600/E15584,0)</f>
        <v>62363</v>
      </c>
    </row>
    <row r="15601" spans="1:7" x14ac:dyDescent="0.25">
      <c r="A15601" s="50" t="s">
        <v>1160</v>
      </c>
      <c r="B15601" s="68" t="str">
        <f>VLOOKUP(A15601,'Componentes APUs'!$H$1:$L$25,2,0)</f>
        <v>Oficial Eléctrico</v>
      </c>
      <c r="C15601" s="93">
        <v>1</v>
      </c>
      <c r="D15601" s="50">
        <f>VLOOKUP(A15601,'Componentes APUs'!$H$1:$L$25,3,0)</f>
        <v>2</v>
      </c>
      <c r="E15601" s="51">
        <f>VLOOKUP(A15601,'Componentes APUs'!$H$1:$L$25,4,0)</f>
        <v>154619.04761904763</v>
      </c>
      <c r="F15601" s="51">
        <f>VLOOKUP(A15601,'Componentes APUs'!$H$1:$L$25,5,0)</f>
        <v>92771.42857142858</v>
      </c>
      <c r="G15601" s="51">
        <f>ROUNDUP((E15601+F15601)*C15601/E15584,0)</f>
        <v>247391</v>
      </c>
    </row>
    <row r="15602" spans="1:7" x14ac:dyDescent="0.25">
      <c r="A15602" s="50" t="s">
        <v>48</v>
      </c>
      <c r="B15602" s="68" t="str">
        <f>VLOOKUP(A15602,'Componentes APUs'!$H$1:$L$25,2,0)</f>
        <v>Ayudante Calificado</v>
      </c>
      <c r="C15602" s="93">
        <v>0</v>
      </c>
      <c r="D15602" s="50">
        <f>VLOOKUP(A15602,'Componentes APUs'!$H$1:$L$25,3,0)</f>
        <v>1.5</v>
      </c>
      <c r="E15602" s="51">
        <f>VLOOKUP(A15602,'Componentes APUs'!$H$1:$L$25,4,0)</f>
        <v>115964.28571428571</v>
      </c>
      <c r="F15602" s="51">
        <f>VLOOKUP(A15602,'Componentes APUs'!$H$1:$L$25,5,0)</f>
        <v>69578.57142857142</v>
      </c>
      <c r="G15602" s="51">
        <f>ROUNDUP((E15602+F15602)*C15602/E15584,0)</f>
        <v>0</v>
      </c>
    </row>
    <row r="15603" spans="1:7" x14ac:dyDescent="0.25">
      <c r="A15603" s="50" t="s">
        <v>50</v>
      </c>
      <c r="B15603" s="68" t="str">
        <f>VLOOKUP(A15603,'Componentes APUs'!$H$1:$L$25,2,0)</f>
        <v>Profesional en SST</v>
      </c>
      <c r="C15603" s="93">
        <v>0.25</v>
      </c>
      <c r="D15603" s="50">
        <f>VLOOKUP(A15603,'Componentes APUs'!$H$1:$L$25,3,0)</f>
        <v>2.5</v>
      </c>
      <c r="E15603" s="51">
        <f>VLOOKUP(A15603,'Componentes APUs'!$H$1:$L$25,4,0)</f>
        <v>169464.28571428571</v>
      </c>
      <c r="F15603" s="51">
        <f>VLOOKUP(A15603,'Componentes APUs'!$H$1:$L$25,5,0)</f>
        <v>101678.57142857142</v>
      </c>
      <c r="G15603" s="51">
        <f>ROUNDUP((E15603+F15603)*C15603/E15584,0)</f>
        <v>67786</v>
      </c>
    </row>
    <row r="15604" spans="1:7" x14ac:dyDescent="0.25">
      <c r="A15604" s="50" t="s">
        <v>1121</v>
      </c>
      <c r="B15604" s="68" t="str">
        <f>VLOOKUP(A15604,'Componentes APUs'!$H$1:$L$25,2,0)</f>
        <v>Ingeniero Especialista de Control y Protección Subestación</v>
      </c>
      <c r="C15604" s="93">
        <v>1</v>
      </c>
      <c r="D15604" s="50">
        <f>VLOOKUP(A15604,'Componentes APUs'!$H$1:$L$25,3,0)</f>
        <v>14</v>
      </c>
      <c r="E15604" s="51">
        <f>VLOOKUP(A15604,'Componentes APUs'!$H$1:$L$25,4,0)</f>
        <v>949000</v>
      </c>
      <c r="F15604" s="51">
        <f>VLOOKUP(A15604,'Componentes APUs'!$H$1:$L$25,5,0)</f>
        <v>569400</v>
      </c>
      <c r="G15604" s="51">
        <f>ROUNDUP((E15604+F15604)*C15604/E15584,0)</f>
        <v>1518400</v>
      </c>
    </row>
    <row r="15605" spans="1:7" x14ac:dyDescent="0.25">
      <c r="A15605" s="219" t="s">
        <v>56</v>
      </c>
      <c r="B15605" s="219"/>
      <c r="C15605" s="219"/>
      <c r="D15605" s="219"/>
      <c r="E15605" s="219"/>
      <c r="F15605" s="219"/>
      <c r="G15605" s="52">
        <f>SUM(G15599:G15604)</f>
        <v>2004398</v>
      </c>
    </row>
    <row r="15606" spans="1:7" x14ac:dyDescent="0.25">
      <c r="A15606" s="56"/>
      <c r="B15606" s="57"/>
      <c r="C15606" s="57"/>
      <c r="D15606" s="57"/>
      <c r="E15606" s="57"/>
      <c r="F15606" s="57"/>
      <c r="G15606" s="58"/>
    </row>
    <row r="15607" spans="1:7" x14ac:dyDescent="0.25">
      <c r="A15607" s="219" t="s">
        <v>57</v>
      </c>
      <c r="B15607" s="219"/>
      <c r="C15607" s="219"/>
      <c r="D15607" s="219"/>
      <c r="E15607" s="219"/>
      <c r="F15607" s="219"/>
      <c r="G15607" s="219"/>
    </row>
    <row r="15608" spans="1:7" x14ac:dyDescent="0.25">
      <c r="A15608" s="49" t="s">
        <v>35</v>
      </c>
      <c r="B15608" s="219" t="s">
        <v>36</v>
      </c>
      <c r="C15608" s="219"/>
      <c r="D15608" s="49" t="s">
        <v>37</v>
      </c>
      <c r="E15608" s="49" t="s">
        <v>38</v>
      </c>
      <c r="F15608" s="49" t="s">
        <v>39</v>
      </c>
      <c r="G15608" s="49" t="s">
        <v>40</v>
      </c>
    </row>
    <row r="15609" spans="1:7" x14ac:dyDescent="0.25">
      <c r="A15609" s="50" t="s">
        <v>326</v>
      </c>
      <c r="B15609" s="220" t="str">
        <f>VLOOKUP(A15609,'Componentes APUs'!$S$1:$V$10,2,0)</f>
        <v>Juego Llaves</v>
      </c>
      <c r="C15609" s="220"/>
      <c r="D15609" s="50" t="s">
        <v>18</v>
      </c>
      <c r="E15609" s="50">
        <v>2</v>
      </c>
      <c r="F15609" s="51">
        <f>VLOOKUP(A15609,'Componentes APUs'!$S$1:$V$10,4,0)</f>
        <v>9167</v>
      </c>
      <c r="G15609" s="51">
        <f>ROUNDUP(F15609*((E15609/21)/E15584),0)</f>
        <v>874</v>
      </c>
    </row>
    <row r="15610" spans="1:7" x14ac:dyDescent="0.25">
      <c r="A15610" s="50" t="s">
        <v>58</v>
      </c>
      <c r="B15610" s="220" t="str">
        <f>VLOOKUP(A15610,'Componentes APUs'!$S$1:$V$10,2,0)</f>
        <v>Manila de servicio</v>
      </c>
      <c r="C15610" s="220"/>
      <c r="D15610" s="50" t="s">
        <v>18</v>
      </c>
      <c r="E15610" s="50">
        <v>0</v>
      </c>
      <c r="F15610" s="51">
        <f>VLOOKUP(A15610,'Componentes APUs'!$S$1:$V$10,4,0)</f>
        <v>2333</v>
      </c>
      <c r="G15610" s="51">
        <f>ROUNDUP(F15610*((E15610/21)/E15584),0)</f>
        <v>0</v>
      </c>
    </row>
    <row r="15611" spans="1:7" x14ac:dyDescent="0.25">
      <c r="A15611" s="50" t="s">
        <v>327</v>
      </c>
      <c r="B15611" s="220" t="str">
        <f>VLOOKUP(A15611,'Componentes APUs'!$S$1:$V$10,2,0)</f>
        <v>Tula portaherramientas</v>
      </c>
      <c r="C15611" s="220"/>
      <c r="D15611" s="50" t="s">
        <v>18</v>
      </c>
      <c r="E15611" s="50">
        <v>2</v>
      </c>
      <c r="F15611" s="51">
        <f>VLOOKUP(A15611,'Componentes APUs'!$S$1:$V$10,4,0)</f>
        <v>1250</v>
      </c>
      <c r="G15611" s="51">
        <f>ROUNDUP(F15611*((E15611/21)/E15584),0)</f>
        <v>120</v>
      </c>
    </row>
    <row r="15612" spans="1:7" x14ac:dyDescent="0.25">
      <c r="A15612" s="50" t="s">
        <v>60</v>
      </c>
      <c r="B15612" s="220" t="str">
        <f>VLOOKUP(A15612,'Componentes APUs'!$S$1:$V$10,2,0)</f>
        <v>Agarradoras</v>
      </c>
      <c r="C15612" s="220"/>
      <c r="D15612" s="50" t="s">
        <v>18</v>
      </c>
      <c r="E15612" s="50">
        <v>0</v>
      </c>
      <c r="F15612" s="51">
        <f>VLOOKUP(A15612,'Componentes APUs'!$S$1:$V$10,4,0)</f>
        <v>125000</v>
      </c>
      <c r="G15612" s="51">
        <f>ROUNDUP(F15612*((E15612/21)/E15584),0)</f>
        <v>0</v>
      </c>
    </row>
    <row r="15613" spans="1:7" x14ac:dyDescent="0.25">
      <c r="A15613" s="50" t="s">
        <v>62</v>
      </c>
      <c r="B15613" s="220" t="str">
        <f>VLOOKUP(A15613,'Componentes APUs'!$S$1:$V$10,2,0)</f>
        <v>Templadoras</v>
      </c>
      <c r="C15613" s="220"/>
      <c r="D15613" s="50" t="s">
        <v>18</v>
      </c>
      <c r="E15613" s="50">
        <v>0</v>
      </c>
      <c r="F15613" s="51">
        <f>VLOOKUP(A15613,'Componentes APUs'!$S$1:$V$10,4,0)</f>
        <v>250000</v>
      </c>
      <c r="G15613" s="51">
        <f>ROUNDUP(F15613*((E15613/21)/E15584),0)</f>
        <v>0</v>
      </c>
    </row>
    <row r="15614" spans="1:7" x14ac:dyDescent="0.25">
      <c r="A15614" s="50" t="s">
        <v>328</v>
      </c>
      <c r="B15614" s="220" t="str">
        <f>VLOOKUP(A15614,'Componentes APUs'!$S$1:$V$10,2,0)</f>
        <v>Herramienta Menor</v>
      </c>
      <c r="C15614" s="220"/>
      <c r="D15614" s="50" t="s">
        <v>18</v>
      </c>
      <c r="E15614" s="50">
        <v>2</v>
      </c>
      <c r="F15614" s="51">
        <f>VLOOKUP(A15614,'Componentes APUs'!$S$1:$V$10,4,0)</f>
        <v>75758</v>
      </c>
      <c r="G15614" s="51">
        <f>ROUNDUP(F15614*((E15614/21)/E15584),0)</f>
        <v>7216</v>
      </c>
    </row>
    <row r="15615" spans="1:7" x14ac:dyDescent="0.25">
      <c r="A15615" s="219" t="s">
        <v>69</v>
      </c>
      <c r="B15615" s="219"/>
      <c r="C15615" s="219"/>
      <c r="D15615" s="219"/>
      <c r="E15615" s="219"/>
      <c r="F15615" s="219"/>
      <c r="G15615" s="52">
        <f>SUM(G15609:G15614)</f>
        <v>8210</v>
      </c>
    </row>
    <row r="15616" spans="1:7" x14ac:dyDescent="0.25">
      <c r="A15616" s="56"/>
      <c r="B15616" s="57"/>
      <c r="C15616" s="57"/>
      <c r="D15616" s="57"/>
      <c r="E15616" s="57"/>
      <c r="F15616" s="57"/>
      <c r="G15616" s="58"/>
    </row>
    <row r="15617" spans="1:7" x14ac:dyDescent="0.25">
      <c r="A15617" s="219" t="s">
        <v>70</v>
      </c>
      <c r="B15617" s="219"/>
      <c r="C15617" s="219"/>
      <c r="D15617" s="219"/>
      <c r="E15617" s="219"/>
      <c r="F15617" s="219"/>
      <c r="G15617" s="219"/>
    </row>
    <row r="15618" spans="1:7" x14ac:dyDescent="0.25">
      <c r="A15618" s="49" t="s">
        <v>35</v>
      </c>
      <c r="B15618" s="219" t="s">
        <v>36</v>
      </c>
      <c r="C15618" s="219"/>
      <c r="D15618" s="49" t="s">
        <v>37</v>
      </c>
      <c r="E15618" s="49" t="s">
        <v>38</v>
      </c>
      <c r="F15618" s="49" t="s">
        <v>39</v>
      </c>
      <c r="G15618" s="49" t="s">
        <v>40</v>
      </c>
    </row>
    <row r="15619" spans="1:7" x14ac:dyDescent="0.25">
      <c r="A15619" s="50" t="s">
        <v>71</v>
      </c>
      <c r="B15619" s="71" t="str">
        <f>VLOOKUP(A15619,'Componentes APUs'!$A$1:$D$14,2,0)</f>
        <v>Camisa indigo sin partes metalicas</v>
      </c>
      <c r="C15619" s="71"/>
      <c r="D15619" s="50" t="str">
        <f>VLOOKUP(A15619,'Componentes APUs'!$A$1:$D$14,3,0)</f>
        <v>U</v>
      </c>
      <c r="E15619" s="50">
        <f>SUM(C15599:C15604)</f>
        <v>2.75</v>
      </c>
      <c r="F15619" s="51">
        <f>VLOOKUP(A15619,'Componentes APUs'!$A$1:$D$14,4,0)</f>
        <v>8585.8585858585866</v>
      </c>
      <c r="G15619" s="51">
        <f>ROUNDUP(F15619*(E15619/21)/E15584,0)</f>
        <v>1125</v>
      </c>
    </row>
    <row r="15620" spans="1:7" x14ac:dyDescent="0.25">
      <c r="A15620" s="69" t="s">
        <v>73</v>
      </c>
      <c r="B15620" s="72" t="str">
        <f>VLOOKUP(A15620,'Componentes APUs'!$A$1:$D$14,2,0)</f>
        <v>Bota de seguridad dielectrica</v>
      </c>
      <c r="C15620" s="73"/>
      <c r="D15620" s="70" t="str">
        <f>VLOOKUP(A15620,'Componentes APUs'!$A$1:$D$14,3,0)</f>
        <v>Par</v>
      </c>
      <c r="E15620" s="50">
        <f>SUM(C15599:C15604)</f>
        <v>2.75</v>
      </c>
      <c r="F15620" s="51">
        <f>VLOOKUP(A15620,'Componentes APUs'!$A$1:$D$14,4,0)</f>
        <v>7500</v>
      </c>
      <c r="G15620" s="51">
        <f>ROUNDUP(F15620*(E15620/21)/E15584,0)</f>
        <v>983</v>
      </c>
    </row>
    <row r="15621" spans="1:7" x14ac:dyDescent="0.25">
      <c r="A15621" s="50" t="s">
        <v>76</v>
      </c>
      <c r="B15621" s="72" t="str">
        <f>VLOOKUP(A15621,'Componentes APUs'!$A$1:$D$14,2,0)</f>
        <v>Casco dielectrico Tipo 1 Clase E con barbuquejo</v>
      </c>
      <c r="C15621" s="73"/>
      <c r="D15621" s="50" t="str">
        <f>VLOOKUP(A15621,'Componentes APUs'!$A$1:$D$14,3,0)</f>
        <v>U</v>
      </c>
      <c r="E15621" s="50">
        <f>C15599+C15602+C15603+C15600+C15604+IF(A15601&lt;&gt;"MO-3",C15601,0)</f>
        <v>2.75</v>
      </c>
      <c r="F15621" s="51">
        <f>VLOOKUP(A15621,'Componentes APUs'!$A$1:$D$14,4,0)</f>
        <v>10101.010101010101</v>
      </c>
      <c r="G15621" s="51">
        <f>ROUNDUP(F15621*(E15621/21)/E15584,0)</f>
        <v>1323</v>
      </c>
    </row>
    <row r="15622" spans="1:7" x14ac:dyDescent="0.25">
      <c r="A15622" s="69" t="s">
        <v>77</v>
      </c>
      <c r="B15622" s="72" t="str">
        <f>VLOOKUP(A15622,'Componentes APUs'!$A$1:$D$14,2,0)</f>
        <v>Correa plastica y antiflama</v>
      </c>
      <c r="C15622" s="73"/>
      <c r="D15622" s="50" t="str">
        <f>VLOOKUP(A15622,'Componentes APUs'!$A$1:$D$14,3,0)</f>
        <v>U</v>
      </c>
      <c r="E15622" s="50">
        <f>SUM(C15599:C15604)</f>
        <v>2.75</v>
      </c>
      <c r="F15622" s="51">
        <f>VLOOKUP(A15622,'Componentes APUs'!$A$1:$D$14,4,0)</f>
        <v>3787.878787878788</v>
      </c>
      <c r="G15622" s="51">
        <f>ROUNDUP(F15622*(E15622/21)/E15584,0)</f>
        <v>497</v>
      </c>
    </row>
    <row r="15623" spans="1:7" x14ac:dyDescent="0.25">
      <c r="A15623" s="50" t="s">
        <v>79</v>
      </c>
      <c r="B15623" s="72" t="str">
        <f>VLOOKUP(A15623,'Componentes APUs'!$A$1:$D$14,2,0)</f>
        <v>Gafas protectoras filtro UV</v>
      </c>
      <c r="C15623" s="73"/>
      <c r="D15623" s="50" t="str">
        <f>VLOOKUP(A15623,'Componentes APUs'!$A$1:$D$14,3,0)</f>
        <v>U</v>
      </c>
      <c r="E15623" s="50">
        <f>SUM(C15599:C15604)</f>
        <v>2.75</v>
      </c>
      <c r="F15623" s="51">
        <f>VLOOKUP(A15623,'Componentes APUs'!$A$1:$D$14,4,0)</f>
        <v>2777.7777777777778</v>
      </c>
      <c r="G15623" s="51">
        <f>ROUNDUP(F15623*(E15623/21)/E15584,0)</f>
        <v>364</v>
      </c>
    </row>
    <row r="15624" spans="1:7" x14ac:dyDescent="0.25">
      <c r="A15624" s="69" t="s">
        <v>402</v>
      </c>
      <c r="B15624" s="72" t="str">
        <f>VLOOKUP(A15624,'Componentes APUs'!$A$1:$D$14,2,0)</f>
        <v>Bota de seguridad PVC dielectrica</v>
      </c>
      <c r="C15624" s="73"/>
      <c r="D15624" s="50" t="str">
        <f>VLOOKUP(A15624,'Componentes APUs'!$A$1:$D$14,3,0)</f>
        <v>Par</v>
      </c>
      <c r="E15624" s="50">
        <f>SUM(C15599:C15604)</f>
        <v>2.75</v>
      </c>
      <c r="F15624" s="51">
        <f>VLOOKUP(A15624,'Componentes APUs'!$A$1:$D$14,4,0)</f>
        <v>2916.6666666666665</v>
      </c>
      <c r="G15624" s="51">
        <f>ROUNDUP(F15624*(E15624/21)/E15584,0)</f>
        <v>382</v>
      </c>
    </row>
    <row r="15625" spans="1:7" x14ac:dyDescent="0.25">
      <c r="A15625" s="50" t="s">
        <v>403</v>
      </c>
      <c r="B15625" s="72" t="str">
        <f>VLOOKUP(A15625,'Componentes APUs'!$A$1:$D$14,2,0)</f>
        <v>Capuchon</v>
      </c>
      <c r="C15625" s="73"/>
      <c r="D15625" s="50" t="str">
        <f>VLOOKUP(A15625,'Componentes APUs'!$A$1:$D$14,3,0)</f>
        <v>U</v>
      </c>
      <c r="E15625" s="50">
        <f>SUM(C15599:C15604)</f>
        <v>2.75</v>
      </c>
      <c r="F15625" s="51">
        <f>VLOOKUP(A15625,'Componentes APUs'!$A$1:$D$14,4,0)</f>
        <v>2525.2525252525252</v>
      </c>
      <c r="G15625" s="51">
        <f>ROUNDUP(F15625*(E15625/21)/E15584,0)</f>
        <v>331</v>
      </c>
    </row>
    <row r="15626" spans="1:7" x14ac:dyDescent="0.25">
      <c r="A15626" s="69" t="s">
        <v>81</v>
      </c>
      <c r="B15626" s="72" t="str">
        <f>VLOOKUP(A15626,'Componentes APUs'!$A$1:$D$14,2,0)</f>
        <v>Guantes Protectores  - ingeniero reforzados</v>
      </c>
      <c r="C15626" s="73"/>
      <c r="D15626" s="50" t="str">
        <f>VLOOKUP(A15626,'Componentes APUs'!$A$1:$D$14,3,0)</f>
        <v>Par</v>
      </c>
      <c r="E15626" s="50">
        <f>C15601+C15602+C15604</f>
        <v>2</v>
      </c>
      <c r="F15626" s="51">
        <f>VLOOKUP(A15626,'Componentes APUs'!$A$1:$D$14,4,0)</f>
        <v>2525.2525252525252</v>
      </c>
      <c r="G15626" s="51">
        <f>ROUNDUP(F15626*(E15626/21)/E15584,0)</f>
        <v>241</v>
      </c>
    </row>
    <row r="15627" spans="1:7" x14ac:dyDescent="0.25">
      <c r="A15627" s="50" t="s">
        <v>83</v>
      </c>
      <c r="B15627" s="72" t="str">
        <f>VLOOKUP(A15627,'Componentes APUs'!$A$1:$D$14,2,0)</f>
        <v>Impermeable (pantalon camisa)</v>
      </c>
      <c r="C15627" s="73"/>
      <c r="D15627" s="50" t="str">
        <f>VLOOKUP(A15627,'Componentes APUs'!$A$1:$D$14,3,0)</f>
        <v>U</v>
      </c>
      <c r="E15627" s="50">
        <f>SUM(C15599:C15604)</f>
        <v>2.75</v>
      </c>
      <c r="F15627" s="51">
        <f>VLOOKUP(A15627,'Componentes APUs'!$A$1:$D$14,4,0)</f>
        <v>3750</v>
      </c>
      <c r="G15627" s="51">
        <f>ROUNDUP(F15627*(E15627/21)/E15584,0)</f>
        <v>492</v>
      </c>
    </row>
    <row r="15628" spans="1:7" x14ac:dyDescent="0.25">
      <c r="A15628" s="69" t="s">
        <v>85</v>
      </c>
      <c r="B15628" s="72" t="str">
        <f>VLOOKUP(A15628,'Componentes APUs'!$A$1:$D$14,2,0)</f>
        <v>Jean Dielectrico</v>
      </c>
      <c r="C15628" s="73"/>
      <c r="D15628" s="50" t="str">
        <f>VLOOKUP(A15628,'Componentes APUs'!$A$1:$D$14,3,0)</f>
        <v>U</v>
      </c>
      <c r="E15628" s="50">
        <f>SUM(C15599:C15604)</f>
        <v>2.75</v>
      </c>
      <c r="F15628" s="51">
        <f>VLOOKUP(A15628,'Componentes APUs'!$A$1:$D$14,4,0)</f>
        <v>7575.757575757576</v>
      </c>
      <c r="G15628" s="51">
        <f>ROUNDUP(F15628*(E15628/21)/E15584,0)</f>
        <v>993</v>
      </c>
    </row>
    <row r="15629" spans="1:7" x14ac:dyDescent="0.25">
      <c r="A15629" s="50" t="s">
        <v>87</v>
      </c>
      <c r="B15629" s="72" t="str">
        <f>VLOOKUP(A15629,'Componentes APUs'!$A$1:$D$14,2,0)</f>
        <v>Casco dielectrico Tipo 2 Clase E con barboquejo</v>
      </c>
      <c r="C15629" s="73"/>
      <c r="D15629" s="50" t="str">
        <f>VLOOKUP(A15629,'Componentes APUs'!$A$1:$D$14,3,0)</f>
        <v>U</v>
      </c>
      <c r="E15629" s="53">
        <f>IF(A15601="MO-3",C15601,0)</f>
        <v>0</v>
      </c>
      <c r="F15629" s="51">
        <f>VLOOKUP(A15629,'Componentes APUs'!$A$1:$D$14,4,0)</f>
        <v>7500</v>
      </c>
      <c r="G15629" s="51">
        <f>ROUNDUP(F15629*(E15629/21)/E15584,0)</f>
        <v>0</v>
      </c>
    </row>
    <row r="15630" spans="1:7" x14ac:dyDescent="0.25">
      <c r="A15630" s="69" t="s">
        <v>89</v>
      </c>
      <c r="B15630" s="72" t="str">
        <f>VLOOKUP(A15630,'Componentes APUs'!$A$1:$D$14,2,0)</f>
        <v>Kit de rescate para trabajo en alturas</v>
      </c>
      <c r="C15630" s="73"/>
      <c r="D15630" s="50" t="str">
        <f>VLOOKUP(A15630,'Componentes APUs'!$A$1:$D$14,3,0)</f>
        <v>U</v>
      </c>
      <c r="E15630" s="50">
        <f>IF(AND(A15601="MO-3",C15601=2),1,0)</f>
        <v>0</v>
      </c>
      <c r="F15630" s="51">
        <f>VLOOKUP(A15630,'Componentes APUs'!$A$1:$D$14,4,0)</f>
        <v>37500</v>
      </c>
      <c r="G15630" s="51">
        <f>ROUNDUP(F15630*(E15630/21)/E15584,0)</f>
        <v>0</v>
      </c>
    </row>
    <row r="15631" spans="1:7" x14ac:dyDescent="0.25">
      <c r="A15631" s="50" t="s">
        <v>91</v>
      </c>
      <c r="B15631" s="72" t="str">
        <f>VLOOKUP(A15631,'Componentes APUs'!$A$1:$D$14,2,0)</f>
        <v>Equipo completo para trabajo en alturas con pretales (Arnes dielectrico, 1 mosqueton de seguridad, tie off dielectrico, eslinga de posicionamiento, juego de pretales)</v>
      </c>
      <c r="C15631" s="73"/>
      <c r="D15631" s="50" t="str">
        <f>VLOOKUP(A15631,'Componentes APUs'!$A$1:$D$14,3,0)</f>
        <v>U</v>
      </c>
      <c r="E15631" s="50">
        <f>IF(A15600="MO-3",C15600,0)</f>
        <v>0</v>
      </c>
      <c r="F15631" s="51">
        <f>VLOOKUP(A15631,'Componentes APUs'!$A$1:$D$14,4,0)</f>
        <v>26041.666666666668</v>
      </c>
      <c r="G15631" s="51">
        <f>ROUNDUP(F15631*(E15631/21)/E15584,0)</f>
        <v>0</v>
      </c>
    </row>
    <row r="15632" spans="1:7" x14ac:dyDescent="0.25">
      <c r="A15632" s="219" t="s">
        <v>95</v>
      </c>
      <c r="B15632" s="219"/>
      <c r="C15632" s="219"/>
      <c r="D15632" s="219"/>
      <c r="E15632" s="219"/>
      <c r="F15632" s="219"/>
      <c r="G15632" s="52">
        <f>SUM(G15619:G15631)</f>
        <v>6731</v>
      </c>
    </row>
    <row r="15633" spans="1:7" x14ac:dyDescent="0.25">
      <c r="A15633" s="56"/>
      <c r="B15633" s="57"/>
      <c r="C15633" s="57"/>
      <c r="D15633" s="57"/>
      <c r="E15633" s="57"/>
      <c r="F15633" s="57"/>
      <c r="G15633" s="58"/>
    </row>
    <row r="15634" spans="1:7" x14ac:dyDescent="0.25">
      <c r="A15634" s="219" t="s">
        <v>96</v>
      </c>
      <c r="B15634" s="219"/>
      <c r="C15634" s="219"/>
      <c r="D15634" s="219"/>
      <c r="E15634" s="219"/>
      <c r="F15634" s="219"/>
      <c r="G15634" s="219"/>
    </row>
    <row r="15635" spans="1:7" x14ac:dyDescent="0.25">
      <c r="A15635" s="49" t="s">
        <v>35</v>
      </c>
      <c r="B15635" s="225" t="s">
        <v>36</v>
      </c>
      <c r="C15635" s="225"/>
      <c r="D15635" s="49" t="s">
        <v>37</v>
      </c>
      <c r="E15635" s="49" t="s">
        <v>38</v>
      </c>
      <c r="F15635" s="49" t="s">
        <v>39</v>
      </c>
      <c r="G15635" s="49" t="s">
        <v>40</v>
      </c>
    </row>
    <row r="15636" spans="1:7" x14ac:dyDescent="0.25">
      <c r="A15636" s="69" t="s">
        <v>97</v>
      </c>
      <c r="B15636" s="72" t="str">
        <f>VLOOKUP(A15636,'Componentes APUs'!$N$1:$Q$30,2,0)</f>
        <v>Camioneta</v>
      </c>
      <c r="C15636" s="73"/>
      <c r="D15636" s="70" t="str">
        <f>VLOOKUP(A15636,'Componentes APUs'!$N$1:$Q$30,3,0)</f>
        <v>U</v>
      </c>
      <c r="E15636" s="50">
        <v>1</v>
      </c>
      <c r="F15636" s="51">
        <f>VLOOKUP(A15636,'Componentes APUs'!$N$1:$Q$30,4,0)</f>
        <v>5500000</v>
      </c>
      <c r="G15636" s="51">
        <f>IFERROR(ROUNDUP(F15636*(E15636/21)/E15584,0),0)</f>
        <v>261905</v>
      </c>
    </row>
    <row r="15637" spans="1:7" x14ac:dyDescent="0.25">
      <c r="A15637" s="50" t="s">
        <v>321</v>
      </c>
      <c r="B15637" s="72" t="str">
        <f>VLOOKUP(A15637,'Componentes APUs'!$N$1:$Q$30,2,0)</f>
        <v>Grúa Hidráulica</v>
      </c>
      <c r="C15637" s="73"/>
      <c r="D15637" s="70" t="str">
        <f>VLOOKUP(A15637,'Componentes APUs'!$N$1:$Q$30,3,0)</f>
        <v>U</v>
      </c>
      <c r="E15637" s="50">
        <v>0</v>
      </c>
      <c r="F15637" s="51">
        <f>VLOOKUP(A15637,'Componentes APUs'!$N$1:$Q$30,4,0)</f>
        <v>21000000</v>
      </c>
      <c r="G15637" s="51">
        <f>IFERROR(ROUNDUP(F15637*(E15637/21)/E15584,0),0)</f>
        <v>0</v>
      </c>
    </row>
    <row r="15638" spans="1:7" x14ac:dyDescent="0.25">
      <c r="A15638" s="69" t="s">
        <v>322</v>
      </c>
      <c r="B15638" s="72" t="str">
        <f>VLOOKUP(A15638,'Componentes APUs'!$N$1:$Q$30,2,0)</f>
        <v>Camabaja</v>
      </c>
      <c r="C15638" s="73"/>
      <c r="D15638" s="70" t="str">
        <f>VLOOKUP(A15638,'Componentes APUs'!$N$1:$Q$30,3,0)</f>
        <v>TON/KM</v>
      </c>
      <c r="E15638" s="50">
        <v>0</v>
      </c>
      <c r="F15638" s="51">
        <f>VLOOKUP(A15638,'Componentes APUs'!$N$1:$Q$30,4,0)</f>
        <v>611</v>
      </c>
      <c r="G15638" s="51">
        <f>IFERROR(ROUNDUP(F15638*(E15638/21)/E15584,0),0)</f>
        <v>0</v>
      </c>
    </row>
    <row r="15639" spans="1:7" x14ac:dyDescent="0.25">
      <c r="A15639" s="50" t="s">
        <v>323</v>
      </c>
      <c r="B15639" s="72" t="str">
        <f>VLOOKUP(A15639,'Componentes APUs'!$N$1:$Q$30,2,0)</f>
        <v>Volqueta</v>
      </c>
      <c r="C15639" s="73"/>
      <c r="D15639" s="70" t="str">
        <f>VLOOKUP(A15639,'Componentes APUs'!$N$1:$Q$30,3,0)</f>
        <v>U</v>
      </c>
      <c r="E15639" s="50">
        <v>0</v>
      </c>
      <c r="F15639" s="51">
        <f>VLOOKUP(A15639,'Componentes APUs'!$N$1:$Q$30,4,0)</f>
        <v>14828184</v>
      </c>
      <c r="G15639" s="51">
        <f>IFERROR(ROUNDUP(F15639*(E15639/21)/E15584,0),0)</f>
        <v>0</v>
      </c>
    </row>
    <row r="15640" spans="1:7" x14ac:dyDescent="0.25">
      <c r="A15640" s="69" t="s">
        <v>324</v>
      </c>
      <c r="B15640" s="72" t="str">
        <f>VLOOKUP(A15640,'Componentes APUs'!$N$1:$Q$30,2,0)</f>
        <v>Retroexcavadora</v>
      </c>
      <c r="C15640" s="73"/>
      <c r="D15640" s="70" t="str">
        <f>VLOOKUP(A15640,'Componentes APUs'!$N$1:$Q$30,3,0)</f>
        <v>U</v>
      </c>
      <c r="E15640" s="50">
        <v>0</v>
      </c>
      <c r="F15640" s="51">
        <f>VLOOKUP(A15640,'Componentes APUs'!$N$1:$Q$30,4,0)</f>
        <v>46030656</v>
      </c>
      <c r="G15640" s="51">
        <f>IFERROR(ROUNDUP(F15640*(E15640/21)/E15584,0),0)</f>
        <v>0</v>
      </c>
    </row>
    <row r="15641" spans="1:7" x14ac:dyDescent="0.25">
      <c r="A15641" s="219" t="s">
        <v>99</v>
      </c>
      <c r="B15641" s="219"/>
      <c r="C15641" s="219"/>
      <c r="D15641" s="219"/>
      <c r="E15641" s="219"/>
      <c r="F15641" s="219"/>
      <c r="G15641" s="52">
        <f>SUM(G15636:G15640)</f>
        <v>261905</v>
      </c>
    </row>
    <row r="15642" spans="1:7" x14ac:dyDescent="0.25">
      <c r="A15642" s="56"/>
      <c r="B15642" s="57"/>
      <c r="C15642" s="57"/>
      <c r="D15642" s="57"/>
      <c r="E15642" s="57"/>
      <c r="F15642" s="57"/>
      <c r="G15642" s="58"/>
    </row>
    <row r="15643" spans="1:7" x14ac:dyDescent="0.25">
      <c r="A15643" s="219" t="s">
        <v>1516</v>
      </c>
      <c r="B15643" s="219"/>
      <c r="C15643" s="219"/>
      <c r="D15643" s="219"/>
      <c r="E15643" s="219"/>
      <c r="F15643" s="219"/>
      <c r="G15643" s="52">
        <f>G15641+G15632+G15615+G15605+G15595</f>
        <v>23029244</v>
      </c>
    </row>
    <row r="15644" spans="1:7" x14ac:dyDescent="0.25">
      <c r="A15644" s="59"/>
      <c r="B15644" s="60"/>
      <c r="C15644" s="60"/>
      <c r="D15644" s="60"/>
      <c r="E15644" s="57"/>
      <c r="F15644" s="57"/>
      <c r="G15644" s="58"/>
    </row>
    <row r="15645" spans="1:7" x14ac:dyDescent="0.25">
      <c r="A15645" s="64"/>
      <c r="D15645" s="55"/>
      <c r="E15645" s="49" t="s">
        <v>25</v>
      </c>
      <c r="F15645" s="54">
        <v>0.15</v>
      </c>
      <c r="G15645" s="51">
        <f>G15643*F15645</f>
        <v>3454386.6</v>
      </c>
    </row>
    <row r="15646" spans="1:7" x14ac:dyDescent="0.25">
      <c r="A15646" s="64"/>
      <c r="D15646" s="55"/>
      <c r="E15646" s="49" t="s">
        <v>26</v>
      </c>
      <c r="F15646" s="54">
        <v>0.05</v>
      </c>
      <c r="G15646" s="51">
        <f>G15643*F15646</f>
        <v>1151462.2</v>
      </c>
    </row>
    <row r="15647" spans="1:7" x14ac:dyDescent="0.25">
      <c r="A15647" s="61"/>
      <c r="B15647" s="65"/>
      <c r="C15647" s="65"/>
      <c r="D15647" s="62"/>
      <c r="E15647" s="49" t="s">
        <v>27</v>
      </c>
      <c r="F15647" s="54">
        <v>0.05</v>
      </c>
      <c r="G15647" s="51">
        <f>G15643*F15647</f>
        <v>1151462.2</v>
      </c>
    </row>
    <row r="15648" spans="1:7" x14ac:dyDescent="0.25">
      <c r="A15648" s="61"/>
      <c r="B15648" s="62"/>
      <c r="C15648" s="62"/>
      <c r="D15648" s="62"/>
      <c r="E15648" s="62"/>
      <c r="F15648" s="62"/>
      <c r="G15648" s="63"/>
    </row>
    <row r="15649" spans="1:7" x14ac:dyDescent="0.25">
      <c r="A15649" s="219" t="s">
        <v>1517</v>
      </c>
      <c r="B15649" s="219"/>
      <c r="C15649" s="219"/>
      <c r="D15649" s="219"/>
      <c r="E15649" s="219"/>
      <c r="F15649" s="219"/>
      <c r="G15649" s="52">
        <f>G15643+G15645+G15646+G15647</f>
        <v>28786555</v>
      </c>
    </row>
    <row r="15650" spans="1:7" x14ac:dyDescent="0.25">
      <c r="A15650" s="59"/>
      <c r="B15650" s="60"/>
      <c r="C15650" s="60"/>
      <c r="D15650" s="60"/>
      <c r="E15650" s="57"/>
      <c r="F15650" s="57"/>
      <c r="G15650" s="58"/>
    </row>
    <row r="15651" spans="1:7" x14ac:dyDescent="0.25">
      <c r="A15651" s="64"/>
      <c r="D15651" s="55"/>
      <c r="E15651" s="49" t="s">
        <v>102</v>
      </c>
      <c r="F15651" s="49" t="s">
        <v>103</v>
      </c>
      <c r="G15651" s="51">
        <f>G15647*19%</f>
        <v>218777.818</v>
      </c>
    </row>
    <row r="15652" spans="1:7" x14ac:dyDescent="0.25">
      <c r="A15652" s="61"/>
      <c r="B15652" s="62"/>
      <c r="C15652" s="62"/>
      <c r="D15652" s="62"/>
      <c r="E15652" s="57"/>
      <c r="F15652" s="57"/>
      <c r="G15652" s="58"/>
    </row>
    <row r="15653" spans="1:7" x14ac:dyDescent="0.25">
      <c r="A15653" s="219" t="s">
        <v>104</v>
      </c>
      <c r="B15653" s="219"/>
      <c r="C15653" s="219"/>
      <c r="D15653" s="219"/>
      <c r="E15653" s="219"/>
      <c r="F15653" s="219"/>
      <c r="G15653" s="52">
        <f>G15651+G15649</f>
        <v>29005332.818</v>
      </c>
    </row>
    <row r="15655" spans="1:7" x14ac:dyDescent="0.25">
      <c r="A15655" s="74" t="s">
        <v>29</v>
      </c>
      <c r="B15655" s="226" t="s">
        <v>30</v>
      </c>
      <c r="C15655" s="226"/>
      <c r="D15655" s="74" t="s">
        <v>31</v>
      </c>
      <c r="E15655" s="74" t="s">
        <v>32</v>
      </c>
      <c r="F15655" s="74" t="s">
        <v>189</v>
      </c>
      <c r="G15655" s="74" t="s">
        <v>33</v>
      </c>
    </row>
    <row r="15656" spans="1:7" ht="43.5" customHeight="1" x14ac:dyDescent="0.25">
      <c r="A15656" s="50" t="str">
        <f>Presupuesto!B307</f>
        <v>004_SC</v>
      </c>
      <c r="B15656" s="220" t="str">
        <f>Presupuesto!C307</f>
        <v>SUMINISTRO E INSTALACIÓN DE SWITCH DE RED LAN. 24 PUERTOS ETHERNET (Equipo solo de Referencia: SEL-2730M). SOPORTE PARA PRP, HSR, RSTP. COMPATIBILIDAD CON  IEC 61850-3, IEEE 1613 (RELÉS DE PROTECCIÓN)</v>
      </c>
      <c r="C15656" s="220"/>
      <c r="D15656" s="50" t="s">
        <v>8</v>
      </c>
      <c r="E15656" s="50">
        <v>1</v>
      </c>
      <c r="F15656" s="50"/>
      <c r="G15656" s="51">
        <f>G15725</f>
        <v>24977451.818</v>
      </c>
    </row>
    <row r="15657" spans="1:7" x14ac:dyDescent="0.25">
      <c r="A15657" s="219" t="s">
        <v>34</v>
      </c>
      <c r="B15657" s="219"/>
      <c r="C15657" s="219"/>
      <c r="D15657" s="219"/>
      <c r="E15657" s="219"/>
      <c r="F15657" s="219"/>
      <c r="G15657" s="219"/>
    </row>
    <row r="15658" spans="1:7" x14ac:dyDescent="0.25">
      <c r="A15658" s="49" t="s">
        <v>35</v>
      </c>
      <c r="B15658" s="219" t="s">
        <v>36</v>
      </c>
      <c r="C15658" s="219"/>
      <c r="D15658" s="49" t="s">
        <v>37</v>
      </c>
      <c r="E15658" s="49" t="s">
        <v>38</v>
      </c>
      <c r="F15658" s="49" t="s">
        <v>39</v>
      </c>
      <c r="G15658" s="49" t="s">
        <v>40</v>
      </c>
    </row>
    <row r="15659" spans="1:7" x14ac:dyDescent="0.25">
      <c r="A15659" s="17" t="str">
        <f>Material!A85</f>
        <v>MA-84</v>
      </c>
      <c r="B15659" s="72" t="str">
        <f>IFERROR(VLOOKUP(A15659,Material!$A:$H,2,0),"-")</f>
        <v>SWITCH ETHERNET ADMINISTRABLE DE 24 PUERTOS</v>
      </c>
      <c r="C15659" s="73"/>
      <c r="D15659" s="50" t="str">
        <f>IFERROR(VLOOKUP(A15659,Material!$A:$H,4,0),"-")</f>
        <v>UN</v>
      </c>
      <c r="E15659" s="50">
        <v>1</v>
      </c>
      <c r="F15659" s="51">
        <f>IFERROR(VLOOKUP(A15659,Material!$A:$H,3,0),"-")</f>
        <v>17550000</v>
      </c>
      <c r="G15659" s="51">
        <f t="shared" ref="G15659:G15666" si="223">IFERROR(ROUNDUP(F15659*E15659,0),"-")</f>
        <v>17550000</v>
      </c>
    </row>
    <row r="15660" spans="1:7" x14ac:dyDescent="0.25">
      <c r="A15660" s="17"/>
      <c r="B15660" s="72" t="str">
        <f>IFERROR(VLOOKUP(A15660,Material!$A:$H,2,0),"-")</f>
        <v>-</v>
      </c>
      <c r="C15660" s="73"/>
      <c r="D15660" s="50" t="str">
        <f>IFERROR(VLOOKUP(A15660,Material!$A:$H,4,0),"-")</f>
        <v>-</v>
      </c>
      <c r="E15660" s="50"/>
      <c r="F15660" s="51" t="str">
        <f>IFERROR(VLOOKUP(A15660,Material!$A:$H,3,0),"-")</f>
        <v>-</v>
      </c>
      <c r="G15660" s="51" t="str">
        <f t="shared" si="223"/>
        <v>-</v>
      </c>
    </row>
    <row r="15661" spans="1:7" x14ac:dyDescent="0.25">
      <c r="A15661" s="17"/>
      <c r="B15661" s="72" t="str">
        <f>IFERROR(VLOOKUP(A15661,Material!$A:$H,2,0),"-")</f>
        <v>-</v>
      </c>
      <c r="C15661" s="73"/>
      <c r="D15661" s="50" t="str">
        <f>IFERROR(VLOOKUP(A15661,Material!$A:$H,4,0),"-")</f>
        <v>-</v>
      </c>
      <c r="E15661" s="50"/>
      <c r="F15661" s="51" t="str">
        <f>IFERROR(VLOOKUP(A15661,Material!$A:$H,3,0),"-")</f>
        <v>-</v>
      </c>
      <c r="G15661" s="51" t="str">
        <f t="shared" si="223"/>
        <v>-</v>
      </c>
    </row>
    <row r="15662" spans="1:7" x14ac:dyDescent="0.25">
      <c r="A15662" s="17"/>
      <c r="B15662" s="72" t="str">
        <f>IFERROR(VLOOKUP(A15662,Material!$A:$H,2,0),"-")</f>
        <v>-</v>
      </c>
      <c r="C15662" s="73"/>
      <c r="D15662" s="50" t="str">
        <f>IFERROR(VLOOKUP(A15662,Material!$A:$H,4,0),"-")</f>
        <v>-</v>
      </c>
      <c r="E15662" s="50"/>
      <c r="F15662" s="51" t="str">
        <f>IFERROR(VLOOKUP(A15662,Material!$A:$H,3,0),"-")</f>
        <v>-</v>
      </c>
      <c r="G15662" s="51" t="str">
        <f t="shared" si="223"/>
        <v>-</v>
      </c>
    </row>
    <row r="15663" spans="1:7" x14ac:dyDescent="0.25">
      <c r="A15663" s="17"/>
      <c r="B15663" s="75" t="str">
        <f>IFERROR(VLOOKUP(A15663,Material!$A:$H,2,0),"-")</f>
        <v>-</v>
      </c>
      <c r="C15663" s="76"/>
      <c r="D15663" s="50" t="str">
        <f>IFERROR(VLOOKUP(A15663,Material!$A:$H,4,0),"-")</f>
        <v>-</v>
      </c>
      <c r="E15663" s="50"/>
      <c r="F15663" s="51" t="str">
        <f>IFERROR(VLOOKUP(A15663,Material!$A:$H,3,0),"-")</f>
        <v>-</v>
      </c>
      <c r="G15663" s="51" t="str">
        <f t="shared" si="223"/>
        <v>-</v>
      </c>
    </row>
    <row r="15664" spans="1:7" x14ac:dyDescent="0.25">
      <c r="A15664" s="17"/>
      <c r="B15664" s="72" t="str">
        <f>IFERROR(VLOOKUP(A15664,Material!$A:$H,2,0),"-")</f>
        <v>-</v>
      </c>
      <c r="C15664" s="76"/>
      <c r="D15664" s="50" t="str">
        <f>IFERROR(VLOOKUP(A15664,Material!$A:$H,4,0),"-")</f>
        <v>-</v>
      </c>
      <c r="E15664" s="50"/>
      <c r="F15664" s="51" t="str">
        <f>IFERROR(VLOOKUP(A15664,Material!$A:$H,3,0),"-")</f>
        <v>-</v>
      </c>
      <c r="G15664" s="51" t="str">
        <f t="shared" si="223"/>
        <v>-</v>
      </c>
    </row>
    <row r="15665" spans="1:7" x14ac:dyDescent="0.25">
      <c r="A15665" s="17"/>
      <c r="B15665" s="72" t="str">
        <f>IFERROR(VLOOKUP(A15665,Material!$A:$H,2,0),"-")</f>
        <v>-</v>
      </c>
      <c r="C15665" s="76"/>
      <c r="D15665" s="50" t="str">
        <f>IFERROR(VLOOKUP(A15665,Material!$A:$H,4,0),"-")</f>
        <v>-</v>
      </c>
      <c r="E15665" s="50"/>
      <c r="F15665" s="51" t="str">
        <f>IFERROR(VLOOKUP(A15665,Material!$A:$H,3,0),"-")</f>
        <v>-</v>
      </c>
      <c r="G15665" s="51" t="str">
        <f t="shared" si="223"/>
        <v>-</v>
      </c>
    </row>
    <row r="15666" spans="1:7" x14ac:dyDescent="0.25">
      <c r="A15666" s="17"/>
      <c r="B15666" s="72" t="str">
        <f>IFERROR(VLOOKUP(A15666,Material!$A:$H,2,0),"-")</f>
        <v>-</v>
      </c>
      <c r="C15666" s="76"/>
      <c r="D15666" s="50" t="str">
        <f>IFERROR(VLOOKUP(A15666,Material!$A:$H,4,0),"-")</f>
        <v>-</v>
      </c>
      <c r="E15666" s="50"/>
      <c r="F15666" s="51" t="str">
        <f>IFERROR(VLOOKUP(A15666,Material!$A:$H,3,0),"-")</f>
        <v>-</v>
      </c>
      <c r="G15666" s="51" t="str">
        <f t="shared" si="223"/>
        <v>-</v>
      </c>
    </row>
    <row r="15667" spans="1:7" x14ac:dyDescent="0.25">
      <c r="A15667" s="219" t="s">
        <v>41</v>
      </c>
      <c r="B15667" s="219"/>
      <c r="C15667" s="219"/>
      <c r="D15667" s="219"/>
      <c r="E15667" s="219"/>
      <c r="F15667" s="219"/>
      <c r="G15667" s="52">
        <f>SUM(G15659:G15666)</f>
        <v>17550000</v>
      </c>
    </row>
    <row r="15668" spans="1:7" x14ac:dyDescent="0.25">
      <c r="A15668" s="56"/>
      <c r="B15668" s="57"/>
      <c r="C15668" s="57"/>
      <c r="D15668" s="57"/>
      <c r="E15668" s="57"/>
      <c r="F15668" s="57"/>
      <c r="G15668" s="58"/>
    </row>
    <row r="15669" spans="1:7" x14ac:dyDescent="0.25">
      <c r="A15669" s="219" t="s">
        <v>42</v>
      </c>
      <c r="B15669" s="219"/>
      <c r="C15669" s="219"/>
      <c r="D15669" s="219"/>
      <c r="E15669" s="219"/>
      <c r="F15669" s="219"/>
      <c r="G15669" s="219"/>
    </row>
    <row r="15670" spans="1:7" x14ac:dyDescent="0.25">
      <c r="A15670" s="49" t="s">
        <v>35</v>
      </c>
      <c r="B15670" s="49" t="s">
        <v>36</v>
      </c>
      <c r="C15670" s="49" t="s">
        <v>38</v>
      </c>
      <c r="D15670" s="49" t="s">
        <v>43</v>
      </c>
      <c r="E15670" s="49" t="s">
        <v>44</v>
      </c>
      <c r="F15670" s="49" t="s">
        <v>45</v>
      </c>
      <c r="G15670" s="49" t="s">
        <v>40</v>
      </c>
    </row>
    <row r="15671" spans="1:7" x14ac:dyDescent="0.25">
      <c r="A15671" s="50" t="s">
        <v>319</v>
      </c>
      <c r="B15671" s="68" t="str">
        <f>VLOOKUP(A15671,'Componentes APUs'!$H$1:$L$25,2,0)</f>
        <v>Ingeniero Residente de Obra</v>
      </c>
      <c r="C15671" s="93">
        <v>0.25</v>
      </c>
      <c r="D15671" s="50">
        <f>VLOOKUP(A15671,'Componentes APUs'!$H$1:$L$25,3,0)</f>
        <v>4</v>
      </c>
      <c r="E15671" s="51">
        <f>VLOOKUP(A15671,'Componentes APUs'!$H$1:$L$25,4,0)</f>
        <v>271142.85714285716</v>
      </c>
      <c r="F15671" s="51">
        <f>VLOOKUP(A15671,'Componentes APUs'!$H$1:$L$25,5,0)</f>
        <v>162685.71428571429</v>
      </c>
      <c r="G15671" s="51">
        <f>ROUNDUP((E15671+F15671)*C15671/E15656,0)</f>
        <v>108458</v>
      </c>
    </row>
    <row r="15672" spans="1:7" x14ac:dyDescent="0.25">
      <c r="A15672" s="50" t="s">
        <v>320</v>
      </c>
      <c r="B15672" s="68" t="str">
        <f>VLOOKUP(A15672,'Componentes APUs'!$H$1:$L$25,2,0)</f>
        <v>Tecnico Supervisor</v>
      </c>
      <c r="C15672" s="93">
        <v>0.25</v>
      </c>
      <c r="D15672" s="50">
        <f>VLOOKUP(A15672,'Componentes APUs'!$H$1:$L$25,3,0)</f>
        <v>2.2999999999999998</v>
      </c>
      <c r="E15672" s="51">
        <f>VLOOKUP(A15672,'Componentes APUs'!$H$1:$L$25,4,0)</f>
        <v>155907.14285714284</v>
      </c>
      <c r="F15672" s="51">
        <f>VLOOKUP(A15672,'Componentes APUs'!$H$1:$L$25,5,0)</f>
        <v>93544.285714285696</v>
      </c>
      <c r="G15672" s="51">
        <f>ROUNDUP((E15672+F15672)*C15672/E15656,0)</f>
        <v>62363</v>
      </c>
    </row>
    <row r="15673" spans="1:7" x14ac:dyDescent="0.25">
      <c r="A15673" s="50" t="s">
        <v>1160</v>
      </c>
      <c r="B15673" s="68" t="str">
        <f>VLOOKUP(A15673,'Componentes APUs'!$H$1:$L$25,2,0)</f>
        <v>Oficial Eléctrico</v>
      </c>
      <c r="C15673" s="93">
        <v>1</v>
      </c>
      <c r="D15673" s="50">
        <f>VLOOKUP(A15673,'Componentes APUs'!$H$1:$L$25,3,0)</f>
        <v>2</v>
      </c>
      <c r="E15673" s="51">
        <f>VLOOKUP(A15673,'Componentes APUs'!$H$1:$L$25,4,0)</f>
        <v>154619.04761904763</v>
      </c>
      <c r="F15673" s="51">
        <f>VLOOKUP(A15673,'Componentes APUs'!$H$1:$L$25,5,0)</f>
        <v>92771.42857142858</v>
      </c>
      <c r="G15673" s="51">
        <f>ROUNDUP((E15673+F15673)*C15673/E15656,0)</f>
        <v>247391</v>
      </c>
    </row>
    <row r="15674" spans="1:7" x14ac:dyDescent="0.25">
      <c r="A15674" s="50" t="s">
        <v>48</v>
      </c>
      <c r="B15674" s="68" t="str">
        <f>VLOOKUP(A15674,'Componentes APUs'!$H$1:$L$25,2,0)</f>
        <v>Ayudante Calificado</v>
      </c>
      <c r="C15674" s="93">
        <v>0</v>
      </c>
      <c r="D15674" s="50">
        <f>VLOOKUP(A15674,'Componentes APUs'!$H$1:$L$25,3,0)</f>
        <v>1.5</v>
      </c>
      <c r="E15674" s="51">
        <f>VLOOKUP(A15674,'Componentes APUs'!$H$1:$L$25,4,0)</f>
        <v>115964.28571428571</v>
      </c>
      <c r="F15674" s="51">
        <f>VLOOKUP(A15674,'Componentes APUs'!$H$1:$L$25,5,0)</f>
        <v>69578.57142857142</v>
      </c>
      <c r="G15674" s="51">
        <f>ROUNDUP((E15674+F15674)*C15674/E15656,0)</f>
        <v>0</v>
      </c>
    </row>
    <row r="15675" spans="1:7" x14ac:dyDescent="0.25">
      <c r="A15675" s="50" t="s">
        <v>50</v>
      </c>
      <c r="B15675" s="68" t="str">
        <f>VLOOKUP(A15675,'Componentes APUs'!$H$1:$L$25,2,0)</f>
        <v>Profesional en SST</v>
      </c>
      <c r="C15675" s="93">
        <v>0.25</v>
      </c>
      <c r="D15675" s="50">
        <f>VLOOKUP(A15675,'Componentes APUs'!$H$1:$L$25,3,0)</f>
        <v>2.5</v>
      </c>
      <c r="E15675" s="51">
        <f>VLOOKUP(A15675,'Componentes APUs'!$H$1:$L$25,4,0)</f>
        <v>169464.28571428571</v>
      </c>
      <c r="F15675" s="51">
        <f>VLOOKUP(A15675,'Componentes APUs'!$H$1:$L$25,5,0)</f>
        <v>101678.57142857142</v>
      </c>
      <c r="G15675" s="51">
        <f>ROUNDUP((E15675+F15675)*C15675/E15656,0)</f>
        <v>67786</v>
      </c>
    </row>
    <row r="15676" spans="1:7" x14ac:dyDescent="0.25">
      <c r="A15676" s="50" t="s">
        <v>1121</v>
      </c>
      <c r="B15676" s="68" t="str">
        <f>VLOOKUP(A15676,'Componentes APUs'!$H$1:$L$25,2,0)</f>
        <v>Ingeniero Especialista de Control y Protección Subestación</v>
      </c>
      <c r="C15676" s="93">
        <v>1</v>
      </c>
      <c r="D15676" s="50">
        <f>VLOOKUP(A15676,'Componentes APUs'!$H$1:$L$25,3,0)</f>
        <v>14</v>
      </c>
      <c r="E15676" s="51">
        <f>VLOOKUP(A15676,'Componentes APUs'!$H$1:$L$25,4,0)</f>
        <v>949000</v>
      </c>
      <c r="F15676" s="51">
        <f>VLOOKUP(A15676,'Componentes APUs'!$H$1:$L$25,5,0)</f>
        <v>569400</v>
      </c>
      <c r="G15676" s="51">
        <f>ROUNDUP((E15676+F15676)*C15676/E15656,0)</f>
        <v>1518400</v>
      </c>
    </row>
    <row r="15677" spans="1:7" x14ac:dyDescent="0.25">
      <c r="A15677" s="219" t="s">
        <v>56</v>
      </c>
      <c r="B15677" s="219"/>
      <c r="C15677" s="219"/>
      <c r="D15677" s="219"/>
      <c r="E15677" s="219"/>
      <c r="F15677" s="219"/>
      <c r="G15677" s="52">
        <f>SUM(G15671:G15676)</f>
        <v>2004398</v>
      </c>
    </row>
    <row r="15678" spans="1:7" x14ac:dyDescent="0.25">
      <c r="A15678" s="56"/>
      <c r="B15678" s="57"/>
      <c r="C15678" s="57"/>
      <c r="D15678" s="57"/>
      <c r="E15678" s="57"/>
      <c r="F15678" s="57"/>
      <c r="G15678" s="58"/>
    </row>
    <row r="15679" spans="1:7" x14ac:dyDescent="0.25">
      <c r="A15679" s="219" t="s">
        <v>57</v>
      </c>
      <c r="B15679" s="219"/>
      <c r="C15679" s="219"/>
      <c r="D15679" s="219"/>
      <c r="E15679" s="219"/>
      <c r="F15679" s="219"/>
      <c r="G15679" s="219"/>
    </row>
    <row r="15680" spans="1:7" x14ac:dyDescent="0.25">
      <c r="A15680" s="49" t="s">
        <v>35</v>
      </c>
      <c r="B15680" s="219" t="s">
        <v>36</v>
      </c>
      <c r="C15680" s="219"/>
      <c r="D15680" s="49" t="s">
        <v>37</v>
      </c>
      <c r="E15680" s="49" t="s">
        <v>38</v>
      </c>
      <c r="F15680" s="49" t="s">
        <v>39</v>
      </c>
      <c r="G15680" s="49" t="s">
        <v>40</v>
      </c>
    </row>
    <row r="15681" spans="1:7" x14ac:dyDescent="0.25">
      <c r="A15681" s="50" t="s">
        <v>326</v>
      </c>
      <c r="B15681" s="220" t="str">
        <f>VLOOKUP(A15681,'Componentes APUs'!$S$1:$V$10,2,0)</f>
        <v>Juego Llaves</v>
      </c>
      <c r="C15681" s="220"/>
      <c r="D15681" s="50" t="s">
        <v>18</v>
      </c>
      <c r="E15681" s="50">
        <v>2</v>
      </c>
      <c r="F15681" s="51">
        <f>VLOOKUP(A15681,'Componentes APUs'!$S$1:$V$10,4,0)</f>
        <v>9167</v>
      </c>
      <c r="G15681" s="51">
        <f>ROUNDUP(F15681*((E15681/21)/E15656),0)</f>
        <v>874</v>
      </c>
    </row>
    <row r="15682" spans="1:7" x14ac:dyDescent="0.25">
      <c r="A15682" s="50" t="s">
        <v>58</v>
      </c>
      <c r="B15682" s="220" t="str">
        <f>VLOOKUP(A15682,'Componentes APUs'!$S$1:$V$10,2,0)</f>
        <v>Manila de servicio</v>
      </c>
      <c r="C15682" s="220"/>
      <c r="D15682" s="50" t="s">
        <v>18</v>
      </c>
      <c r="E15682" s="50">
        <v>0</v>
      </c>
      <c r="F15682" s="51">
        <f>VLOOKUP(A15682,'Componentes APUs'!$S$1:$V$10,4,0)</f>
        <v>2333</v>
      </c>
      <c r="G15682" s="51">
        <f>ROUNDUP(F15682*((E15682/21)/E15656),0)</f>
        <v>0</v>
      </c>
    </row>
    <row r="15683" spans="1:7" x14ac:dyDescent="0.25">
      <c r="A15683" s="50" t="s">
        <v>327</v>
      </c>
      <c r="B15683" s="220" t="str">
        <f>VLOOKUP(A15683,'Componentes APUs'!$S$1:$V$10,2,0)</f>
        <v>Tula portaherramientas</v>
      </c>
      <c r="C15683" s="220"/>
      <c r="D15683" s="50" t="s">
        <v>18</v>
      </c>
      <c r="E15683" s="50">
        <v>2</v>
      </c>
      <c r="F15683" s="51">
        <f>VLOOKUP(A15683,'Componentes APUs'!$S$1:$V$10,4,0)</f>
        <v>1250</v>
      </c>
      <c r="G15683" s="51">
        <f>ROUNDUP(F15683*((E15683/21)/E15656),0)</f>
        <v>120</v>
      </c>
    </row>
    <row r="15684" spans="1:7" x14ac:dyDescent="0.25">
      <c r="A15684" s="50" t="s">
        <v>60</v>
      </c>
      <c r="B15684" s="220" t="str">
        <f>VLOOKUP(A15684,'Componentes APUs'!$S$1:$V$10,2,0)</f>
        <v>Agarradoras</v>
      </c>
      <c r="C15684" s="220"/>
      <c r="D15684" s="50" t="s">
        <v>18</v>
      </c>
      <c r="E15684" s="50">
        <v>0</v>
      </c>
      <c r="F15684" s="51">
        <f>VLOOKUP(A15684,'Componentes APUs'!$S$1:$V$10,4,0)</f>
        <v>125000</v>
      </c>
      <c r="G15684" s="51">
        <f>ROUNDUP(F15684*((E15684/21)/E15656),0)</f>
        <v>0</v>
      </c>
    </row>
    <row r="15685" spans="1:7" x14ac:dyDescent="0.25">
      <c r="A15685" s="50" t="s">
        <v>62</v>
      </c>
      <c r="B15685" s="220" t="str">
        <f>VLOOKUP(A15685,'Componentes APUs'!$S$1:$V$10,2,0)</f>
        <v>Templadoras</v>
      </c>
      <c r="C15685" s="220"/>
      <c r="D15685" s="50" t="s">
        <v>18</v>
      </c>
      <c r="E15685" s="50">
        <v>0</v>
      </c>
      <c r="F15685" s="51">
        <f>VLOOKUP(A15685,'Componentes APUs'!$S$1:$V$10,4,0)</f>
        <v>250000</v>
      </c>
      <c r="G15685" s="51">
        <f>ROUNDUP(F15685*((E15685/21)/E15656),0)</f>
        <v>0</v>
      </c>
    </row>
    <row r="15686" spans="1:7" x14ac:dyDescent="0.25">
      <c r="A15686" s="50" t="s">
        <v>328</v>
      </c>
      <c r="B15686" s="220" t="str">
        <f>VLOOKUP(A15686,'Componentes APUs'!$S$1:$V$10,2,0)</f>
        <v>Herramienta Menor</v>
      </c>
      <c r="C15686" s="220"/>
      <c r="D15686" s="50" t="s">
        <v>18</v>
      </c>
      <c r="E15686" s="50">
        <v>2</v>
      </c>
      <c r="F15686" s="51">
        <f>VLOOKUP(A15686,'Componentes APUs'!$S$1:$V$10,4,0)</f>
        <v>75758</v>
      </c>
      <c r="G15686" s="51">
        <f>ROUNDUP(F15686*((E15686/21)/E15656),0)</f>
        <v>7216</v>
      </c>
    </row>
    <row r="15687" spans="1:7" x14ac:dyDescent="0.25">
      <c r="A15687" s="219" t="s">
        <v>69</v>
      </c>
      <c r="B15687" s="219"/>
      <c r="C15687" s="219"/>
      <c r="D15687" s="219"/>
      <c r="E15687" s="219"/>
      <c r="F15687" s="219"/>
      <c r="G15687" s="52">
        <f>SUM(G15681:G15686)</f>
        <v>8210</v>
      </c>
    </row>
    <row r="15688" spans="1:7" x14ac:dyDescent="0.25">
      <c r="A15688" s="56"/>
      <c r="B15688" s="57"/>
      <c r="C15688" s="57"/>
      <c r="D15688" s="57"/>
      <c r="E15688" s="57"/>
      <c r="F15688" s="57"/>
      <c r="G15688" s="58"/>
    </row>
    <row r="15689" spans="1:7" x14ac:dyDescent="0.25">
      <c r="A15689" s="219" t="s">
        <v>70</v>
      </c>
      <c r="B15689" s="219"/>
      <c r="C15689" s="219"/>
      <c r="D15689" s="219"/>
      <c r="E15689" s="219"/>
      <c r="F15689" s="219"/>
      <c r="G15689" s="219"/>
    </row>
    <row r="15690" spans="1:7" x14ac:dyDescent="0.25">
      <c r="A15690" s="49" t="s">
        <v>35</v>
      </c>
      <c r="B15690" s="219" t="s">
        <v>36</v>
      </c>
      <c r="C15690" s="219"/>
      <c r="D15690" s="49" t="s">
        <v>37</v>
      </c>
      <c r="E15690" s="49" t="s">
        <v>38</v>
      </c>
      <c r="F15690" s="49" t="s">
        <v>39</v>
      </c>
      <c r="G15690" s="49" t="s">
        <v>40</v>
      </c>
    </row>
    <row r="15691" spans="1:7" x14ac:dyDescent="0.25">
      <c r="A15691" s="50" t="s">
        <v>71</v>
      </c>
      <c r="B15691" s="71" t="str">
        <f>VLOOKUP(A15691,'Componentes APUs'!$A$1:$D$14,2,0)</f>
        <v>Camisa indigo sin partes metalicas</v>
      </c>
      <c r="C15691" s="71"/>
      <c r="D15691" s="50" t="str">
        <f>VLOOKUP(A15691,'Componentes APUs'!$A$1:$D$14,3,0)</f>
        <v>U</v>
      </c>
      <c r="E15691" s="50">
        <f>SUM(C15671:C15676)</f>
        <v>2.75</v>
      </c>
      <c r="F15691" s="51">
        <f>VLOOKUP(A15691,'Componentes APUs'!$A$1:$D$14,4,0)</f>
        <v>8585.8585858585866</v>
      </c>
      <c r="G15691" s="51">
        <f>ROUNDUP(F15691*(E15691/21)/E15656,0)</f>
        <v>1125</v>
      </c>
    </row>
    <row r="15692" spans="1:7" x14ac:dyDescent="0.25">
      <c r="A15692" s="69" t="s">
        <v>73</v>
      </c>
      <c r="B15692" s="72" t="str">
        <f>VLOOKUP(A15692,'Componentes APUs'!$A$1:$D$14,2,0)</f>
        <v>Bota de seguridad dielectrica</v>
      </c>
      <c r="C15692" s="73"/>
      <c r="D15692" s="70" t="str">
        <f>VLOOKUP(A15692,'Componentes APUs'!$A$1:$D$14,3,0)</f>
        <v>Par</v>
      </c>
      <c r="E15692" s="50">
        <f>SUM(C15671:C15676)</f>
        <v>2.75</v>
      </c>
      <c r="F15692" s="51">
        <f>VLOOKUP(A15692,'Componentes APUs'!$A$1:$D$14,4,0)</f>
        <v>7500</v>
      </c>
      <c r="G15692" s="51">
        <f>ROUNDUP(F15692*(E15692/21)/E15656,0)</f>
        <v>983</v>
      </c>
    </row>
    <row r="15693" spans="1:7" x14ac:dyDescent="0.25">
      <c r="A15693" s="50" t="s">
        <v>76</v>
      </c>
      <c r="B15693" s="72" t="str">
        <f>VLOOKUP(A15693,'Componentes APUs'!$A$1:$D$14,2,0)</f>
        <v>Casco dielectrico Tipo 1 Clase E con barbuquejo</v>
      </c>
      <c r="C15693" s="73"/>
      <c r="D15693" s="50" t="str">
        <f>VLOOKUP(A15693,'Componentes APUs'!$A$1:$D$14,3,0)</f>
        <v>U</v>
      </c>
      <c r="E15693" s="50">
        <f>C15671+C15674+C15675+C15672+C15676+IF(A15673&lt;&gt;"MO-3",C15673,0)</f>
        <v>2.75</v>
      </c>
      <c r="F15693" s="51">
        <f>VLOOKUP(A15693,'Componentes APUs'!$A$1:$D$14,4,0)</f>
        <v>10101.010101010101</v>
      </c>
      <c r="G15693" s="51">
        <f>ROUNDUP(F15693*(E15693/21)/E15656,0)</f>
        <v>1323</v>
      </c>
    </row>
    <row r="15694" spans="1:7" x14ac:dyDescent="0.25">
      <c r="A15694" s="69" t="s">
        <v>77</v>
      </c>
      <c r="B15694" s="72" t="str">
        <f>VLOOKUP(A15694,'Componentes APUs'!$A$1:$D$14,2,0)</f>
        <v>Correa plastica y antiflama</v>
      </c>
      <c r="C15694" s="73"/>
      <c r="D15694" s="50" t="str">
        <f>VLOOKUP(A15694,'Componentes APUs'!$A$1:$D$14,3,0)</f>
        <v>U</v>
      </c>
      <c r="E15694" s="50">
        <f>SUM(C15671:C15676)</f>
        <v>2.75</v>
      </c>
      <c r="F15694" s="51">
        <f>VLOOKUP(A15694,'Componentes APUs'!$A$1:$D$14,4,0)</f>
        <v>3787.878787878788</v>
      </c>
      <c r="G15694" s="51">
        <f>ROUNDUP(F15694*(E15694/21)/E15656,0)</f>
        <v>497</v>
      </c>
    </row>
    <row r="15695" spans="1:7" x14ac:dyDescent="0.25">
      <c r="A15695" s="50" t="s">
        <v>79</v>
      </c>
      <c r="B15695" s="72" t="str">
        <f>VLOOKUP(A15695,'Componentes APUs'!$A$1:$D$14,2,0)</f>
        <v>Gafas protectoras filtro UV</v>
      </c>
      <c r="C15695" s="73"/>
      <c r="D15695" s="50" t="str">
        <f>VLOOKUP(A15695,'Componentes APUs'!$A$1:$D$14,3,0)</f>
        <v>U</v>
      </c>
      <c r="E15695" s="50">
        <f>SUM(C15671:C15676)</f>
        <v>2.75</v>
      </c>
      <c r="F15695" s="51">
        <f>VLOOKUP(A15695,'Componentes APUs'!$A$1:$D$14,4,0)</f>
        <v>2777.7777777777778</v>
      </c>
      <c r="G15695" s="51">
        <f>ROUNDUP(F15695*(E15695/21)/E15656,0)</f>
        <v>364</v>
      </c>
    </row>
    <row r="15696" spans="1:7" x14ac:dyDescent="0.25">
      <c r="A15696" s="69" t="s">
        <v>402</v>
      </c>
      <c r="B15696" s="72" t="str">
        <f>VLOOKUP(A15696,'Componentes APUs'!$A$1:$D$14,2,0)</f>
        <v>Bota de seguridad PVC dielectrica</v>
      </c>
      <c r="C15696" s="73"/>
      <c r="D15696" s="50" t="str">
        <f>VLOOKUP(A15696,'Componentes APUs'!$A$1:$D$14,3,0)</f>
        <v>Par</v>
      </c>
      <c r="E15696" s="50">
        <f>SUM(C15671:C15676)</f>
        <v>2.75</v>
      </c>
      <c r="F15696" s="51">
        <f>VLOOKUP(A15696,'Componentes APUs'!$A$1:$D$14,4,0)</f>
        <v>2916.6666666666665</v>
      </c>
      <c r="G15696" s="51">
        <f>ROUNDUP(F15696*(E15696/21)/E15656,0)</f>
        <v>382</v>
      </c>
    </row>
    <row r="15697" spans="1:7" x14ac:dyDescent="0.25">
      <c r="A15697" s="50" t="s">
        <v>403</v>
      </c>
      <c r="B15697" s="72" t="str">
        <f>VLOOKUP(A15697,'Componentes APUs'!$A$1:$D$14,2,0)</f>
        <v>Capuchon</v>
      </c>
      <c r="C15697" s="73"/>
      <c r="D15697" s="50" t="str">
        <f>VLOOKUP(A15697,'Componentes APUs'!$A$1:$D$14,3,0)</f>
        <v>U</v>
      </c>
      <c r="E15697" s="50">
        <f>SUM(C15671:C15676)</f>
        <v>2.75</v>
      </c>
      <c r="F15697" s="51">
        <f>VLOOKUP(A15697,'Componentes APUs'!$A$1:$D$14,4,0)</f>
        <v>2525.2525252525252</v>
      </c>
      <c r="G15697" s="51">
        <f>ROUNDUP(F15697*(E15697/21)/E15656,0)</f>
        <v>331</v>
      </c>
    </row>
    <row r="15698" spans="1:7" x14ac:dyDescent="0.25">
      <c r="A15698" s="69" t="s">
        <v>81</v>
      </c>
      <c r="B15698" s="72" t="str">
        <f>VLOOKUP(A15698,'Componentes APUs'!$A$1:$D$14,2,0)</f>
        <v>Guantes Protectores  - ingeniero reforzados</v>
      </c>
      <c r="C15698" s="73"/>
      <c r="D15698" s="50" t="str">
        <f>VLOOKUP(A15698,'Componentes APUs'!$A$1:$D$14,3,0)</f>
        <v>Par</v>
      </c>
      <c r="E15698" s="50">
        <f>C15673+C15674+C15676</f>
        <v>2</v>
      </c>
      <c r="F15698" s="51">
        <f>VLOOKUP(A15698,'Componentes APUs'!$A$1:$D$14,4,0)</f>
        <v>2525.2525252525252</v>
      </c>
      <c r="G15698" s="51">
        <f>ROUNDUP(F15698*(E15698/21)/E15656,0)</f>
        <v>241</v>
      </c>
    </row>
    <row r="15699" spans="1:7" x14ac:dyDescent="0.25">
      <c r="A15699" s="50" t="s">
        <v>83</v>
      </c>
      <c r="B15699" s="72" t="str">
        <f>VLOOKUP(A15699,'Componentes APUs'!$A$1:$D$14,2,0)</f>
        <v>Impermeable (pantalon camisa)</v>
      </c>
      <c r="C15699" s="73"/>
      <c r="D15699" s="50" t="str">
        <f>VLOOKUP(A15699,'Componentes APUs'!$A$1:$D$14,3,0)</f>
        <v>U</v>
      </c>
      <c r="E15699" s="50">
        <f>SUM(C15671:C15676)</f>
        <v>2.75</v>
      </c>
      <c r="F15699" s="51">
        <f>VLOOKUP(A15699,'Componentes APUs'!$A$1:$D$14,4,0)</f>
        <v>3750</v>
      </c>
      <c r="G15699" s="51">
        <f>ROUNDUP(F15699*(E15699/21)/E15656,0)</f>
        <v>492</v>
      </c>
    </row>
    <row r="15700" spans="1:7" x14ac:dyDescent="0.25">
      <c r="A15700" s="69" t="s">
        <v>85</v>
      </c>
      <c r="B15700" s="72" t="str">
        <f>VLOOKUP(A15700,'Componentes APUs'!$A$1:$D$14,2,0)</f>
        <v>Jean Dielectrico</v>
      </c>
      <c r="C15700" s="73"/>
      <c r="D15700" s="50" t="str">
        <f>VLOOKUP(A15700,'Componentes APUs'!$A$1:$D$14,3,0)</f>
        <v>U</v>
      </c>
      <c r="E15700" s="50">
        <f>SUM(C15671:C15676)</f>
        <v>2.75</v>
      </c>
      <c r="F15700" s="51">
        <f>VLOOKUP(A15700,'Componentes APUs'!$A$1:$D$14,4,0)</f>
        <v>7575.757575757576</v>
      </c>
      <c r="G15700" s="51">
        <f>ROUNDUP(F15700*(E15700/21)/E15656,0)</f>
        <v>993</v>
      </c>
    </row>
    <row r="15701" spans="1:7" x14ac:dyDescent="0.25">
      <c r="A15701" s="50" t="s">
        <v>87</v>
      </c>
      <c r="B15701" s="72" t="str">
        <f>VLOOKUP(A15701,'Componentes APUs'!$A$1:$D$14,2,0)</f>
        <v>Casco dielectrico Tipo 2 Clase E con barboquejo</v>
      </c>
      <c r="C15701" s="73"/>
      <c r="D15701" s="50" t="str">
        <f>VLOOKUP(A15701,'Componentes APUs'!$A$1:$D$14,3,0)</f>
        <v>U</v>
      </c>
      <c r="E15701" s="53">
        <f>IF(A15673="MO-3",C15673,0)</f>
        <v>0</v>
      </c>
      <c r="F15701" s="51">
        <f>VLOOKUP(A15701,'Componentes APUs'!$A$1:$D$14,4,0)</f>
        <v>7500</v>
      </c>
      <c r="G15701" s="51">
        <f>ROUNDUP(F15701*(E15701/21)/E15656,0)</f>
        <v>0</v>
      </c>
    </row>
    <row r="15702" spans="1:7" x14ac:dyDescent="0.25">
      <c r="A15702" s="69" t="s">
        <v>89</v>
      </c>
      <c r="B15702" s="72" t="str">
        <f>VLOOKUP(A15702,'Componentes APUs'!$A$1:$D$14,2,0)</f>
        <v>Kit de rescate para trabajo en alturas</v>
      </c>
      <c r="C15702" s="73"/>
      <c r="D15702" s="50" t="str">
        <f>VLOOKUP(A15702,'Componentes APUs'!$A$1:$D$14,3,0)</f>
        <v>U</v>
      </c>
      <c r="E15702" s="50">
        <f>IF(AND(A15673="MO-3",C15673=2),1,0)</f>
        <v>0</v>
      </c>
      <c r="F15702" s="51">
        <f>VLOOKUP(A15702,'Componentes APUs'!$A$1:$D$14,4,0)</f>
        <v>37500</v>
      </c>
      <c r="G15702" s="51">
        <f>ROUNDUP(F15702*(E15702/21)/E15656,0)</f>
        <v>0</v>
      </c>
    </row>
    <row r="15703" spans="1:7" x14ac:dyDescent="0.25">
      <c r="A15703" s="50" t="s">
        <v>91</v>
      </c>
      <c r="B15703" s="72" t="str">
        <f>VLOOKUP(A15703,'Componentes APUs'!$A$1:$D$14,2,0)</f>
        <v>Equipo completo para trabajo en alturas con pretales (Arnes dielectrico, 1 mosqueton de seguridad, tie off dielectrico, eslinga de posicionamiento, juego de pretales)</v>
      </c>
      <c r="C15703" s="73"/>
      <c r="D15703" s="50" t="str">
        <f>VLOOKUP(A15703,'Componentes APUs'!$A$1:$D$14,3,0)</f>
        <v>U</v>
      </c>
      <c r="E15703" s="50">
        <f>IF(A15672="MO-3",C15672,0)</f>
        <v>0</v>
      </c>
      <c r="F15703" s="51">
        <f>VLOOKUP(A15703,'Componentes APUs'!$A$1:$D$14,4,0)</f>
        <v>26041.666666666668</v>
      </c>
      <c r="G15703" s="51">
        <f>ROUNDUP(F15703*(E15703/21)/E15656,0)</f>
        <v>0</v>
      </c>
    </row>
    <row r="15704" spans="1:7" x14ac:dyDescent="0.25">
      <c r="A15704" s="219" t="s">
        <v>95</v>
      </c>
      <c r="B15704" s="219"/>
      <c r="C15704" s="219"/>
      <c r="D15704" s="219"/>
      <c r="E15704" s="219"/>
      <c r="F15704" s="219"/>
      <c r="G15704" s="52">
        <f>SUM(G15691:G15703)</f>
        <v>6731</v>
      </c>
    </row>
    <row r="15705" spans="1:7" x14ac:dyDescent="0.25">
      <c r="A15705" s="56"/>
      <c r="B15705" s="57"/>
      <c r="C15705" s="57"/>
      <c r="D15705" s="57"/>
      <c r="E15705" s="57"/>
      <c r="F15705" s="57"/>
      <c r="G15705" s="58"/>
    </row>
    <row r="15706" spans="1:7" x14ac:dyDescent="0.25">
      <c r="A15706" s="219" t="s">
        <v>96</v>
      </c>
      <c r="B15706" s="219"/>
      <c r="C15706" s="219"/>
      <c r="D15706" s="219"/>
      <c r="E15706" s="219"/>
      <c r="F15706" s="219"/>
      <c r="G15706" s="219"/>
    </row>
    <row r="15707" spans="1:7" x14ac:dyDescent="0.25">
      <c r="A15707" s="49" t="s">
        <v>35</v>
      </c>
      <c r="B15707" s="225" t="s">
        <v>36</v>
      </c>
      <c r="C15707" s="225"/>
      <c r="D15707" s="49" t="s">
        <v>37</v>
      </c>
      <c r="E15707" s="49" t="s">
        <v>38</v>
      </c>
      <c r="F15707" s="49" t="s">
        <v>39</v>
      </c>
      <c r="G15707" s="49" t="s">
        <v>40</v>
      </c>
    </row>
    <row r="15708" spans="1:7" x14ac:dyDescent="0.25">
      <c r="A15708" s="69" t="s">
        <v>97</v>
      </c>
      <c r="B15708" s="72" t="str">
        <f>VLOOKUP(A15708,'Componentes APUs'!$N$1:$Q$30,2,0)</f>
        <v>Camioneta</v>
      </c>
      <c r="C15708" s="73"/>
      <c r="D15708" s="70" t="str">
        <f>VLOOKUP(A15708,'Componentes APUs'!$N$1:$Q$30,3,0)</f>
        <v>U</v>
      </c>
      <c r="E15708" s="50">
        <v>1</v>
      </c>
      <c r="F15708" s="51">
        <f>VLOOKUP(A15708,'Componentes APUs'!$N$1:$Q$30,4,0)</f>
        <v>5500000</v>
      </c>
      <c r="G15708" s="51">
        <f>IFERROR(ROUNDUP(F15708*(E15708/21)/E15656,0),0)</f>
        <v>261905</v>
      </c>
    </row>
    <row r="15709" spans="1:7" x14ac:dyDescent="0.25">
      <c r="A15709" s="50" t="s">
        <v>321</v>
      </c>
      <c r="B15709" s="72" t="str">
        <f>VLOOKUP(A15709,'Componentes APUs'!$N$1:$Q$30,2,0)</f>
        <v>Grúa Hidráulica</v>
      </c>
      <c r="C15709" s="73"/>
      <c r="D15709" s="70" t="str">
        <f>VLOOKUP(A15709,'Componentes APUs'!$N$1:$Q$30,3,0)</f>
        <v>U</v>
      </c>
      <c r="E15709" s="50">
        <v>0</v>
      </c>
      <c r="F15709" s="51">
        <f>VLOOKUP(A15709,'Componentes APUs'!$N$1:$Q$30,4,0)</f>
        <v>21000000</v>
      </c>
      <c r="G15709" s="51">
        <f>IFERROR(ROUNDUP(F15709*(E15709/21)/E15656,0),0)</f>
        <v>0</v>
      </c>
    </row>
    <row r="15710" spans="1:7" x14ac:dyDescent="0.25">
      <c r="A15710" s="69" t="s">
        <v>322</v>
      </c>
      <c r="B15710" s="72" t="str">
        <f>VLOOKUP(A15710,'Componentes APUs'!$N$1:$Q$30,2,0)</f>
        <v>Camabaja</v>
      </c>
      <c r="C15710" s="73"/>
      <c r="D15710" s="70" t="str">
        <f>VLOOKUP(A15710,'Componentes APUs'!$N$1:$Q$30,3,0)</f>
        <v>TON/KM</v>
      </c>
      <c r="E15710" s="50">
        <v>0</v>
      </c>
      <c r="F15710" s="51">
        <f>VLOOKUP(A15710,'Componentes APUs'!$N$1:$Q$30,4,0)</f>
        <v>611</v>
      </c>
      <c r="G15710" s="51">
        <f>IFERROR(ROUNDUP(F15710*(E15710/21)/E15656,0),0)</f>
        <v>0</v>
      </c>
    </row>
    <row r="15711" spans="1:7" x14ac:dyDescent="0.25">
      <c r="A15711" s="50" t="s">
        <v>323</v>
      </c>
      <c r="B15711" s="72" t="str">
        <f>VLOOKUP(A15711,'Componentes APUs'!$N$1:$Q$30,2,0)</f>
        <v>Volqueta</v>
      </c>
      <c r="C15711" s="73"/>
      <c r="D15711" s="70" t="str">
        <f>VLOOKUP(A15711,'Componentes APUs'!$N$1:$Q$30,3,0)</f>
        <v>U</v>
      </c>
      <c r="E15711" s="50">
        <v>0</v>
      </c>
      <c r="F15711" s="51">
        <f>VLOOKUP(A15711,'Componentes APUs'!$N$1:$Q$30,4,0)</f>
        <v>14828184</v>
      </c>
      <c r="G15711" s="51">
        <f>IFERROR(ROUNDUP(F15711*(E15711/21)/E15656,0),0)</f>
        <v>0</v>
      </c>
    </row>
    <row r="15712" spans="1:7" x14ac:dyDescent="0.25">
      <c r="A15712" s="69" t="s">
        <v>324</v>
      </c>
      <c r="B15712" s="72" t="str">
        <f>VLOOKUP(A15712,'Componentes APUs'!$N$1:$Q$30,2,0)</f>
        <v>Retroexcavadora</v>
      </c>
      <c r="C15712" s="73"/>
      <c r="D15712" s="70" t="str">
        <f>VLOOKUP(A15712,'Componentes APUs'!$N$1:$Q$30,3,0)</f>
        <v>U</v>
      </c>
      <c r="E15712" s="50">
        <v>0</v>
      </c>
      <c r="F15712" s="51">
        <f>VLOOKUP(A15712,'Componentes APUs'!$N$1:$Q$30,4,0)</f>
        <v>46030656</v>
      </c>
      <c r="G15712" s="51">
        <f>IFERROR(ROUNDUP(F15712*(E15712/21)/E15656,0),0)</f>
        <v>0</v>
      </c>
    </row>
    <row r="15713" spans="1:7" x14ac:dyDescent="0.25">
      <c r="A15713" s="219" t="s">
        <v>99</v>
      </c>
      <c r="B15713" s="219"/>
      <c r="C15713" s="219"/>
      <c r="D15713" s="219"/>
      <c r="E15713" s="219"/>
      <c r="F15713" s="219"/>
      <c r="G15713" s="52">
        <f>SUM(G15708:G15712)</f>
        <v>261905</v>
      </c>
    </row>
    <row r="15714" spans="1:7" x14ac:dyDescent="0.25">
      <c r="A15714" s="56"/>
      <c r="B15714" s="57"/>
      <c r="C15714" s="57"/>
      <c r="D15714" s="57"/>
      <c r="E15714" s="57"/>
      <c r="F15714" s="57"/>
      <c r="G15714" s="58"/>
    </row>
    <row r="15715" spans="1:7" x14ac:dyDescent="0.25">
      <c r="A15715" s="219" t="s">
        <v>1516</v>
      </c>
      <c r="B15715" s="219"/>
      <c r="C15715" s="219"/>
      <c r="D15715" s="219"/>
      <c r="E15715" s="219"/>
      <c r="F15715" s="219"/>
      <c r="G15715" s="52">
        <f>G15713+G15704+G15687+G15677+G15667</f>
        <v>19831244</v>
      </c>
    </row>
    <row r="15716" spans="1:7" x14ac:dyDescent="0.25">
      <c r="A15716" s="59"/>
      <c r="B15716" s="60"/>
      <c r="C15716" s="60"/>
      <c r="D15716" s="60"/>
      <c r="E15716" s="57"/>
      <c r="F15716" s="57"/>
      <c r="G15716" s="58"/>
    </row>
    <row r="15717" spans="1:7" x14ac:dyDescent="0.25">
      <c r="A15717" s="64"/>
      <c r="D15717" s="55"/>
      <c r="E15717" s="49" t="s">
        <v>25</v>
      </c>
      <c r="F15717" s="54">
        <v>0.15</v>
      </c>
      <c r="G15717" s="51">
        <f>G15715*F15717</f>
        <v>2974686.6</v>
      </c>
    </row>
    <row r="15718" spans="1:7" x14ac:dyDescent="0.25">
      <c r="A15718" s="64"/>
      <c r="D15718" s="55"/>
      <c r="E15718" s="49" t="s">
        <v>26</v>
      </c>
      <c r="F15718" s="54">
        <v>0.05</v>
      </c>
      <c r="G15718" s="51">
        <f>G15715*F15718</f>
        <v>991562.20000000007</v>
      </c>
    </row>
    <row r="15719" spans="1:7" x14ac:dyDescent="0.25">
      <c r="A15719" s="61"/>
      <c r="B15719" s="65"/>
      <c r="C15719" s="65"/>
      <c r="D15719" s="62"/>
      <c r="E15719" s="49" t="s">
        <v>27</v>
      </c>
      <c r="F15719" s="54">
        <v>0.05</v>
      </c>
      <c r="G15719" s="51">
        <f>G15715*F15719</f>
        <v>991562.20000000007</v>
      </c>
    </row>
    <row r="15720" spans="1:7" x14ac:dyDescent="0.25">
      <c r="A15720" s="61"/>
      <c r="B15720" s="62"/>
      <c r="C15720" s="62"/>
      <c r="D15720" s="62"/>
      <c r="E15720" s="62"/>
      <c r="F15720" s="62"/>
      <c r="G15720" s="63"/>
    </row>
    <row r="15721" spans="1:7" x14ac:dyDescent="0.25">
      <c r="A15721" s="219" t="s">
        <v>1517</v>
      </c>
      <c r="B15721" s="219"/>
      <c r="C15721" s="219"/>
      <c r="D15721" s="219"/>
      <c r="E15721" s="219"/>
      <c r="F15721" s="219"/>
      <c r="G15721" s="52">
        <f>G15715+G15717+G15718+G15719</f>
        <v>24789055</v>
      </c>
    </row>
    <row r="15722" spans="1:7" x14ac:dyDescent="0.25">
      <c r="A15722" s="59"/>
      <c r="B15722" s="60"/>
      <c r="C15722" s="60"/>
      <c r="D15722" s="60"/>
      <c r="E15722" s="57"/>
      <c r="F15722" s="57"/>
      <c r="G15722" s="58"/>
    </row>
    <row r="15723" spans="1:7" x14ac:dyDescent="0.25">
      <c r="A15723" s="64"/>
      <c r="D15723" s="55"/>
      <c r="E15723" s="49" t="s">
        <v>102</v>
      </c>
      <c r="F15723" s="49" t="s">
        <v>103</v>
      </c>
      <c r="G15723" s="51">
        <f>G15719*19%</f>
        <v>188396.81800000003</v>
      </c>
    </row>
    <row r="15724" spans="1:7" x14ac:dyDescent="0.25">
      <c r="A15724" s="61"/>
      <c r="B15724" s="62"/>
      <c r="C15724" s="62"/>
      <c r="D15724" s="62"/>
      <c r="E15724" s="57"/>
      <c r="F15724" s="57"/>
      <c r="G15724" s="58"/>
    </row>
    <row r="15725" spans="1:7" x14ac:dyDescent="0.25">
      <c r="A15725" s="219" t="s">
        <v>104</v>
      </c>
      <c r="B15725" s="219"/>
      <c r="C15725" s="219"/>
      <c r="D15725" s="219"/>
      <c r="E15725" s="219"/>
      <c r="F15725" s="219"/>
      <c r="G15725" s="52">
        <f>G15723+G15721</f>
        <v>24977451.818</v>
      </c>
    </row>
    <row r="15727" spans="1:7" x14ac:dyDescent="0.25">
      <c r="A15727" s="74" t="s">
        <v>29</v>
      </c>
      <c r="B15727" s="226" t="s">
        <v>30</v>
      </c>
      <c r="C15727" s="226"/>
      <c r="D15727" s="74" t="s">
        <v>31</v>
      </c>
      <c r="E15727" s="74" t="s">
        <v>32</v>
      </c>
      <c r="F15727" s="74" t="s">
        <v>189</v>
      </c>
      <c r="G15727" s="74" t="s">
        <v>33</v>
      </c>
    </row>
    <row r="15728" spans="1:7" ht="41.25" customHeight="1" x14ac:dyDescent="0.25">
      <c r="A15728" s="50" t="str">
        <f>Presupuesto!B308</f>
        <v>005_SC</v>
      </c>
      <c r="B15728" s="220" t="str">
        <f>Presupuesto!C308</f>
        <v>SUMINISTRO E INSTALACIÓN DE SWITCH DE RED LAN 24 PUERTOS ETHERNET (Equipo solo de Referencia: IE-4010-4S24P). SOPORTE PARA PRP, HSR, RSTP. COMPATIBILIDAD CON  IEC 61850-3, IEEE 1613 (MEDIDA Y CALIDAD)</v>
      </c>
      <c r="C15728" s="220"/>
      <c r="D15728" s="50" t="s">
        <v>8</v>
      </c>
      <c r="E15728" s="50">
        <v>1</v>
      </c>
      <c r="F15728" s="50"/>
      <c r="G15728" s="51">
        <f>G15793</f>
        <v>34231754.017999999</v>
      </c>
    </row>
    <row r="15729" spans="1:7" x14ac:dyDescent="0.25">
      <c r="A15729" s="219" t="s">
        <v>34</v>
      </c>
      <c r="B15729" s="219"/>
      <c r="C15729" s="219"/>
      <c r="D15729" s="219"/>
      <c r="E15729" s="219"/>
      <c r="F15729" s="219"/>
      <c r="G15729" s="219"/>
    </row>
    <row r="15730" spans="1:7" x14ac:dyDescent="0.25">
      <c r="A15730" s="49" t="s">
        <v>35</v>
      </c>
      <c r="B15730" s="219" t="s">
        <v>36</v>
      </c>
      <c r="C15730" s="219"/>
      <c r="D15730" s="49" t="s">
        <v>37</v>
      </c>
      <c r="E15730" s="49" t="s">
        <v>38</v>
      </c>
      <c r="F15730" s="49" t="s">
        <v>39</v>
      </c>
      <c r="G15730" s="49" t="s">
        <v>40</v>
      </c>
    </row>
    <row r="15731" spans="1:7" ht="25.5" customHeight="1" x14ac:dyDescent="0.25">
      <c r="A15731" s="17" t="str">
        <f>Material!A370</f>
        <v>MA-369</v>
      </c>
      <c r="B15731" s="221" t="str">
        <f>IFERROR(VLOOKUP(A15731,Material!$A:$H,2,0),"-")</f>
        <v>SUMINISTRO E INSTALACIÓN DE SWITCH DE RED LAN. 24 PUERTOS ETHERNET. SOPORTE PARA PRP, HSR, RSTP. COMPATIBILIDAD CON  IEC 61850-3, IEEE 1613</v>
      </c>
      <c r="C15731" s="222"/>
      <c r="D15731" s="50" t="str">
        <f>IFERROR(VLOOKUP(A15731,Material!$A:$H,4,0),"-")</f>
        <v>UN</v>
      </c>
      <c r="E15731" s="50">
        <v>1</v>
      </c>
      <c r="F15731" s="51">
        <f>IFERROR(VLOOKUP(A15731,Material!$A:$H,3,0),"-")</f>
        <v>24897600</v>
      </c>
      <c r="G15731" s="51">
        <f t="shared" ref="G15731:G15734" si="224">IFERROR(ROUNDUP(F15731*E15731,0),"-")</f>
        <v>24897600</v>
      </c>
    </row>
    <row r="15732" spans="1:7" x14ac:dyDescent="0.25">
      <c r="A15732" s="17"/>
      <c r="B15732" s="72" t="str">
        <f>IFERROR(VLOOKUP(A15732,Material!$A:$H,2,0),"-")</f>
        <v>-</v>
      </c>
      <c r="C15732" s="73"/>
      <c r="D15732" s="50" t="str">
        <f>IFERROR(VLOOKUP(A15732,Material!$A:$H,4,0),"-")</f>
        <v>-</v>
      </c>
      <c r="E15732" s="50"/>
      <c r="F15732" s="51" t="str">
        <f>IFERROR(VLOOKUP(A15732,Material!$A:$H,3,0),"-")</f>
        <v>-</v>
      </c>
      <c r="G15732" s="51" t="str">
        <f t="shared" si="224"/>
        <v>-</v>
      </c>
    </row>
    <row r="15733" spans="1:7" x14ac:dyDescent="0.25">
      <c r="A15733" s="17"/>
      <c r="B15733" s="72" t="str">
        <f>IFERROR(VLOOKUP(A15733,Material!$A:$H,2,0),"-")</f>
        <v>-</v>
      </c>
      <c r="C15733" s="73"/>
      <c r="D15733" s="50" t="str">
        <f>IFERROR(VLOOKUP(A15733,Material!$A:$H,4,0),"-")</f>
        <v>-</v>
      </c>
      <c r="E15733" s="50"/>
      <c r="F15733" s="51" t="str">
        <f>IFERROR(VLOOKUP(A15733,Material!$A:$H,3,0),"-")</f>
        <v>-</v>
      </c>
      <c r="G15733" s="51" t="str">
        <f t="shared" si="224"/>
        <v>-</v>
      </c>
    </row>
    <row r="15734" spans="1:7" x14ac:dyDescent="0.25">
      <c r="A15734" s="17"/>
      <c r="B15734" s="72" t="str">
        <f>IFERROR(VLOOKUP(A15734,Material!$A:$H,2,0),"-")</f>
        <v>-</v>
      </c>
      <c r="C15734" s="73"/>
      <c r="D15734" s="50" t="str">
        <f>IFERROR(VLOOKUP(A15734,Material!$A:$H,4,0),"-")</f>
        <v>-</v>
      </c>
      <c r="E15734" s="50"/>
      <c r="F15734" s="51" t="str">
        <f>IFERROR(VLOOKUP(A15734,Material!$A:$H,3,0),"-")</f>
        <v>-</v>
      </c>
      <c r="G15734" s="51" t="str">
        <f t="shared" si="224"/>
        <v>-</v>
      </c>
    </row>
    <row r="15735" spans="1:7" x14ac:dyDescent="0.25">
      <c r="A15735" s="219" t="s">
        <v>41</v>
      </c>
      <c r="B15735" s="219"/>
      <c r="C15735" s="219"/>
      <c r="D15735" s="219"/>
      <c r="E15735" s="219"/>
      <c r="F15735" s="219"/>
      <c r="G15735" s="52">
        <f>SUM(G15731:G15734)</f>
        <v>24897600</v>
      </c>
    </row>
    <row r="15736" spans="1:7" x14ac:dyDescent="0.25">
      <c r="A15736" s="56"/>
      <c r="B15736" s="57"/>
      <c r="C15736" s="57"/>
      <c r="D15736" s="57"/>
      <c r="E15736" s="57"/>
      <c r="F15736" s="57"/>
      <c r="G15736" s="58"/>
    </row>
    <row r="15737" spans="1:7" x14ac:dyDescent="0.25">
      <c r="A15737" s="219" t="s">
        <v>42</v>
      </c>
      <c r="B15737" s="219"/>
      <c r="C15737" s="219"/>
      <c r="D15737" s="219"/>
      <c r="E15737" s="219"/>
      <c r="F15737" s="219"/>
      <c r="G15737" s="219"/>
    </row>
    <row r="15738" spans="1:7" x14ac:dyDescent="0.25">
      <c r="A15738" s="49" t="s">
        <v>35</v>
      </c>
      <c r="B15738" s="49" t="s">
        <v>36</v>
      </c>
      <c r="C15738" s="49" t="s">
        <v>38</v>
      </c>
      <c r="D15738" s="49" t="s">
        <v>43</v>
      </c>
      <c r="E15738" s="49" t="s">
        <v>44</v>
      </c>
      <c r="F15738" s="49" t="s">
        <v>45</v>
      </c>
      <c r="G15738" s="49" t="s">
        <v>40</v>
      </c>
    </row>
    <row r="15739" spans="1:7" x14ac:dyDescent="0.25">
      <c r="A15739" s="50" t="s">
        <v>319</v>
      </c>
      <c r="B15739" s="68" t="str">
        <f>VLOOKUP(A15739,'Componentes APUs'!$H$1:$L$25,2,0)</f>
        <v>Ingeniero Residente de Obra</v>
      </c>
      <c r="C15739" s="93">
        <v>0.25</v>
      </c>
      <c r="D15739" s="50">
        <f>VLOOKUP(A15739,'Componentes APUs'!$H$1:$L$25,3,0)</f>
        <v>4</v>
      </c>
      <c r="E15739" s="51">
        <f>VLOOKUP(A15739,'Componentes APUs'!$H$1:$L$25,4,0)</f>
        <v>271142.85714285716</v>
      </c>
      <c r="F15739" s="51">
        <f>VLOOKUP(A15739,'Componentes APUs'!$H$1:$L$25,5,0)</f>
        <v>162685.71428571429</v>
      </c>
      <c r="G15739" s="51">
        <f>ROUNDUP((E15739+F15739)*C15739/E15728,0)</f>
        <v>108458</v>
      </c>
    </row>
    <row r="15740" spans="1:7" x14ac:dyDescent="0.25">
      <c r="A15740" s="50" t="s">
        <v>320</v>
      </c>
      <c r="B15740" s="68" t="str">
        <f>VLOOKUP(A15740,'Componentes APUs'!$H$1:$L$25,2,0)</f>
        <v>Tecnico Supervisor</v>
      </c>
      <c r="C15740" s="93">
        <v>0.25</v>
      </c>
      <c r="D15740" s="50">
        <f>VLOOKUP(A15740,'Componentes APUs'!$H$1:$L$25,3,0)</f>
        <v>2.2999999999999998</v>
      </c>
      <c r="E15740" s="51">
        <f>VLOOKUP(A15740,'Componentes APUs'!$H$1:$L$25,4,0)</f>
        <v>155907.14285714284</v>
      </c>
      <c r="F15740" s="51">
        <f>VLOOKUP(A15740,'Componentes APUs'!$H$1:$L$25,5,0)</f>
        <v>93544.285714285696</v>
      </c>
      <c r="G15740" s="51">
        <f>ROUNDUP((E15740+F15740)*C15740/E15728,0)</f>
        <v>62363</v>
      </c>
    </row>
    <row r="15741" spans="1:7" x14ac:dyDescent="0.25">
      <c r="A15741" s="50" t="s">
        <v>1160</v>
      </c>
      <c r="B15741" s="68" t="str">
        <f>VLOOKUP(A15741,'Componentes APUs'!$H$1:$L$25,2,0)</f>
        <v>Oficial Eléctrico</v>
      </c>
      <c r="C15741" s="93">
        <v>1</v>
      </c>
      <c r="D15741" s="50">
        <f>VLOOKUP(A15741,'Componentes APUs'!$H$1:$L$25,3,0)</f>
        <v>2</v>
      </c>
      <c r="E15741" s="51">
        <f>VLOOKUP(A15741,'Componentes APUs'!$H$1:$L$25,4,0)</f>
        <v>154619.04761904763</v>
      </c>
      <c r="F15741" s="51">
        <f>VLOOKUP(A15741,'Componentes APUs'!$H$1:$L$25,5,0)</f>
        <v>92771.42857142858</v>
      </c>
      <c r="G15741" s="51">
        <f>ROUNDUP((E15741+F15741)*C15741/E15728,0)</f>
        <v>247391</v>
      </c>
    </row>
    <row r="15742" spans="1:7" x14ac:dyDescent="0.25">
      <c r="A15742" s="50" t="s">
        <v>48</v>
      </c>
      <c r="B15742" s="68" t="str">
        <f>VLOOKUP(A15742,'Componentes APUs'!$H$1:$L$25,2,0)</f>
        <v>Ayudante Calificado</v>
      </c>
      <c r="C15742" s="93">
        <v>0</v>
      </c>
      <c r="D15742" s="50">
        <f>VLOOKUP(A15742,'Componentes APUs'!$H$1:$L$25,3,0)</f>
        <v>1.5</v>
      </c>
      <c r="E15742" s="51">
        <f>VLOOKUP(A15742,'Componentes APUs'!$H$1:$L$25,4,0)</f>
        <v>115964.28571428571</v>
      </c>
      <c r="F15742" s="51">
        <f>VLOOKUP(A15742,'Componentes APUs'!$H$1:$L$25,5,0)</f>
        <v>69578.57142857142</v>
      </c>
      <c r="G15742" s="51">
        <f>ROUNDUP((E15742+F15742)*C15742/E15728,0)</f>
        <v>0</v>
      </c>
    </row>
    <row r="15743" spans="1:7" x14ac:dyDescent="0.25">
      <c r="A15743" s="50" t="s">
        <v>50</v>
      </c>
      <c r="B15743" s="68" t="str">
        <f>VLOOKUP(A15743,'Componentes APUs'!$H$1:$L$25,2,0)</f>
        <v>Profesional en SST</v>
      </c>
      <c r="C15743" s="93">
        <v>0.25</v>
      </c>
      <c r="D15743" s="50">
        <f>VLOOKUP(A15743,'Componentes APUs'!$H$1:$L$25,3,0)</f>
        <v>2.5</v>
      </c>
      <c r="E15743" s="51">
        <f>VLOOKUP(A15743,'Componentes APUs'!$H$1:$L$25,4,0)</f>
        <v>169464.28571428571</v>
      </c>
      <c r="F15743" s="51">
        <f>VLOOKUP(A15743,'Componentes APUs'!$H$1:$L$25,5,0)</f>
        <v>101678.57142857142</v>
      </c>
      <c r="G15743" s="51">
        <f>ROUNDUP((E15743+F15743)*C15743/E15728,0)</f>
        <v>67786</v>
      </c>
    </row>
    <row r="15744" spans="1:7" x14ac:dyDescent="0.25">
      <c r="A15744" s="50" t="s">
        <v>1121</v>
      </c>
      <c r="B15744" s="68" t="str">
        <f>VLOOKUP(A15744,'Componentes APUs'!$H$1:$L$25,2,0)</f>
        <v>Ingeniero Especialista de Control y Protección Subestación</v>
      </c>
      <c r="C15744" s="93">
        <v>1</v>
      </c>
      <c r="D15744" s="50">
        <f>VLOOKUP(A15744,'Componentes APUs'!$H$1:$L$25,3,0)</f>
        <v>14</v>
      </c>
      <c r="E15744" s="51">
        <f>VLOOKUP(A15744,'Componentes APUs'!$H$1:$L$25,4,0)</f>
        <v>949000</v>
      </c>
      <c r="F15744" s="51">
        <f>VLOOKUP(A15744,'Componentes APUs'!$H$1:$L$25,5,0)</f>
        <v>569400</v>
      </c>
      <c r="G15744" s="51">
        <f>ROUNDUP((E15744+F15744)*C15744/E15728,0)</f>
        <v>1518400</v>
      </c>
    </row>
    <row r="15745" spans="1:7" x14ac:dyDescent="0.25">
      <c r="A15745" s="219" t="s">
        <v>56</v>
      </c>
      <c r="B15745" s="219"/>
      <c r="C15745" s="219"/>
      <c r="D15745" s="219"/>
      <c r="E15745" s="219"/>
      <c r="F15745" s="219"/>
      <c r="G15745" s="52">
        <f>SUM(G15739:G15744)</f>
        <v>2004398</v>
      </c>
    </row>
    <row r="15746" spans="1:7" x14ac:dyDescent="0.25">
      <c r="A15746" s="56"/>
      <c r="B15746" s="57"/>
      <c r="C15746" s="57"/>
      <c r="D15746" s="57"/>
      <c r="E15746" s="57"/>
      <c r="F15746" s="57"/>
      <c r="G15746" s="58"/>
    </row>
    <row r="15747" spans="1:7" x14ac:dyDescent="0.25">
      <c r="A15747" s="219" t="s">
        <v>57</v>
      </c>
      <c r="B15747" s="219"/>
      <c r="C15747" s="219"/>
      <c r="D15747" s="219"/>
      <c r="E15747" s="219"/>
      <c r="F15747" s="219"/>
      <c r="G15747" s="219"/>
    </row>
    <row r="15748" spans="1:7" x14ac:dyDescent="0.25">
      <c r="A15748" s="49" t="s">
        <v>35</v>
      </c>
      <c r="B15748" s="219" t="s">
        <v>36</v>
      </c>
      <c r="C15748" s="219"/>
      <c r="D15748" s="49" t="s">
        <v>37</v>
      </c>
      <c r="E15748" s="49" t="s">
        <v>38</v>
      </c>
      <c r="F15748" s="49" t="s">
        <v>39</v>
      </c>
      <c r="G15748" s="49" t="s">
        <v>40</v>
      </c>
    </row>
    <row r="15749" spans="1:7" x14ac:dyDescent="0.25">
      <c r="A15749" s="50" t="s">
        <v>326</v>
      </c>
      <c r="B15749" s="220" t="str">
        <f>VLOOKUP(A15749,'Componentes APUs'!$S$1:$V$10,2,0)</f>
        <v>Juego Llaves</v>
      </c>
      <c r="C15749" s="220"/>
      <c r="D15749" s="50" t="s">
        <v>18</v>
      </c>
      <c r="E15749" s="50">
        <v>2</v>
      </c>
      <c r="F15749" s="51">
        <f>VLOOKUP(A15749,'Componentes APUs'!$S$1:$V$10,4,0)</f>
        <v>9167</v>
      </c>
      <c r="G15749" s="51">
        <f>ROUNDUP(F15749*((E15749/21)/E15728),0)</f>
        <v>874</v>
      </c>
    </row>
    <row r="15750" spans="1:7" x14ac:dyDescent="0.25">
      <c r="A15750" s="50" t="s">
        <v>58</v>
      </c>
      <c r="B15750" s="220" t="str">
        <f>VLOOKUP(A15750,'Componentes APUs'!$S$1:$V$10,2,0)</f>
        <v>Manila de servicio</v>
      </c>
      <c r="C15750" s="220"/>
      <c r="D15750" s="50" t="s">
        <v>18</v>
      </c>
      <c r="E15750" s="50">
        <v>0</v>
      </c>
      <c r="F15750" s="51">
        <f>VLOOKUP(A15750,'Componentes APUs'!$S$1:$V$10,4,0)</f>
        <v>2333</v>
      </c>
      <c r="G15750" s="51">
        <f>ROUNDUP(F15750*((E15750/21)/E15728),0)</f>
        <v>0</v>
      </c>
    </row>
    <row r="15751" spans="1:7" x14ac:dyDescent="0.25">
      <c r="A15751" s="50" t="s">
        <v>327</v>
      </c>
      <c r="B15751" s="220" t="str">
        <f>VLOOKUP(A15751,'Componentes APUs'!$S$1:$V$10,2,0)</f>
        <v>Tula portaherramientas</v>
      </c>
      <c r="C15751" s="220"/>
      <c r="D15751" s="50" t="s">
        <v>18</v>
      </c>
      <c r="E15751" s="50">
        <v>2</v>
      </c>
      <c r="F15751" s="51">
        <f>VLOOKUP(A15751,'Componentes APUs'!$S$1:$V$10,4,0)</f>
        <v>1250</v>
      </c>
      <c r="G15751" s="51">
        <f>ROUNDUP(F15751*((E15751/21)/E15728),0)</f>
        <v>120</v>
      </c>
    </row>
    <row r="15752" spans="1:7" x14ac:dyDescent="0.25">
      <c r="A15752" s="50" t="s">
        <v>60</v>
      </c>
      <c r="B15752" s="220" t="str">
        <f>VLOOKUP(A15752,'Componentes APUs'!$S$1:$V$10,2,0)</f>
        <v>Agarradoras</v>
      </c>
      <c r="C15752" s="220"/>
      <c r="D15752" s="50" t="s">
        <v>18</v>
      </c>
      <c r="E15752" s="50">
        <v>0</v>
      </c>
      <c r="F15752" s="51">
        <f>VLOOKUP(A15752,'Componentes APUs'!$S$1:$V$10,4,0)</f>
        <v>125000</v>
      </c>
      <c r="G15752" s="51">
        <f>ROUNDUP(F15752*((E15752/21)/E15728),0)</f>
        <v>0</v>
      </c>
    </row>
    <row r="15753" spans="1:7" x14ac:dyDescent="0.25">
      <c r="A15753" s="50" t="s">
        <v>62</v>
      </c>
      <c r="B15753" s="220" t="str">
        <f>VLOOKUP(A15753,'Componentes APUs'!$S$1:$V$10,2,0)</f>
        <v>Templadoras</v>
      </c>
      <c r="C15753" s="220"/>
      <c r="D15753" s="50" t="s">
        <v>18</v>
      </c>
      <c r="E15753" s="50">
        <v>0</v>
      </c>
      <c r="F15753" s="51">
        <f>VLOOKUP(A15753,'Componentes APUs'!$S$1:$V$10,4,0)</f>
        <v>250000</v>
      </c>
      <c r="G15753" s="51">
        <f>ROUNDUP(F15753*((E15753/21)/E15728),0)</f>
        <v>0</v>
      </c>
    </row>
    <row r="15754" spans="1:7" x14ac:dyDescent="0.25">
      <c r="A15754" s="50" t="s">
        <v>328</v>
      </c>
      <c r="B15754" s="220" t="str">
        <f>VLOOKUP(A15754,'Componentes APUs'!$S$1:$V$10,2,0)</f>
        <v>Herramienta Menor</v>
      </c>
      <c r="C15754" s="220"/>
      <c r="D15754" s="50" t="s">
        <v>18</v>
      </c>
      <c r="E15754" s="50">
        <v>2</v>
      </c>
      <c r="F15754" s="51">
        <f>VLOOKUP(A15754,'Componentes APUs'!$S$1:$V$10,4,0)</f>
        <v>75758</v>
      </c>
      <c r="G15754" s="51">
        <f>ROUNDUP(F15754*((E15754/21)/E15728),0)</f>
        <v>7216</v>
      </c>
    </row>
    <row r="15755" spans="1:7" x14ac:dyDescent="0.25">
      <c r="A15755" s="219" t="s">
        <v>69</v>
      </c>
      <c r="B15755" s="219"/>
      <c r="C15755" s="219"/>
      <c r="D15755" s="219"/>
      <c r="E15755" s="219"/>
      <c r="F15755" s="219"/>
      <c r="G15755" s="52">
        <f>SUM(G15749:G15754)</f>
        <v>8210</v>
      </c>
    </row>
    <row r="15756" spans="1:7" x14ac:dyDescent="0.25">
      <c r="A15756" s="56"/>
      <c r="B15756" s="57"/>
      <c r="C15756" s="57"/>
      <c r="D15756" s="57"/>
      <c r="E15756" s="57"/>
      <c r="F15756" s="57"/>
      <c r="G15756" s="58"/>
    </row>
    <row r="15757" spans="1:7" x14ac:dyDescent="0.25">
      <c r="A15757" s="219" t="s">
        <v>70</v>
      </c>
      <c r="B15757" s="219"/>
      <c r="C15757" s="219"/>
      <c r="D15757" s="219"/>
      <c r="E15757" s="219"/>
      <c r="F15757" s="219"/>
      <c r="G15757" s="219"/>
    </row>
    <row r="15758" spans="1:7" x14ac:dyDescent="0.25">
      <c r="A15758" s="49" t="s">
        <v>35</v>
      </c>
      <c r="B15758" s="219" t="s">
        <v>36</v>
      </c>
      <c r="C15758" s="219"/>
      <c r="D15758" s="49" t="s">
        <v>37</v>
      </c>
      <c r="E15758" s="49" t="s">
        <v>38</v>
      </c>
      <c r="F15758" s="49" t="s">
        <v>39</v>
      </c>
      <c r="G15758" s="49" t="s">
        <v>40</v>
      </c>
    </row>
    <row r="15759" spans="1:7" x14ac:dyDescent="0.25">
      <c r="A15759" s="50" t="s">
        <v>71</v>
      </c>
      <c r="B15759" s="71" t="str">
        <f>VLOOKUP(A15759,'Componentes APUs'!$A$1:$D$14,2,0)</f>
        <v>Camisa indigo sin partes metalicas</v>
      </c>
      <c r="C15759" s="71"/>
      <c r="D15759" s="50" t="str">
        <f>VLOOKUP(A15759,'Componentes APUs'!$A$1:$D$14,3,0)</f>
        <v>U</v>
      </c>
      <c r="E15759" s="50">
        <f>SUM(C15739:C15744)</f>
        <v>2.75</v>
      </c>
      <c r="F15759" s="51">
        <f>VLOOKUP(A15759,'Componentes APUs'!$A$1:$D$14,4,0)</f>
        <v>8585.8585858585866</v>
      </c>
      <c r="G15759" s="51">
        <f>ROUNDUP(F15759*(E15759/21)/E15728,0)</f>
        <v>1125</v>
      </c>
    </row>
    <row r="15760" spans="1:7" x14ac:dyDescent="0.25">
      <c r="A15760" s="69" t="s">
        <v>73</v>
      </c>
      <c r="B15760" s="72" t="str">
        <f>VLOOKUP(A15760,'Componentes APUs'!$A$1:$D$14,2,0)</f>
        <v>Bota de seguridad dielectrica</v>
      </c>
      <c r="C15760" s="73"/>
      <c r="D15760" s="70" t="str">
        <f>VLOOKUP(A15760,'Componentes APUs'!$A$1:$D$14,3,0)</f>
        <v>Par</v>
      </c>
      <c r="E15760" s="50">
        <f>SUM(C15739:C15744)</f>
        <v>2.75</v>
      </c>
      <c r="F15760" s="51">
        <f>VLOOKUP(A15760,'Componentes APUs'!$A$1:$D$14,4,0)</f>
        <v>7500</v>
      </c>
      <c r="G15760" s="51">
        <f>ROUNDUP(F15760*(E15760/21)/E15728,0)</f>
        <v>983</v>
      </c>
    </row>
    <row r="15761" spans="1:7" x14ac:dyDescent="0.25">
      <c r="A15761" s="50" t="s">
        <v>76</v>
      </c>
      <c r="B15761" s="72" t="str">
        <f>VLOOKUP(A15761,'Componentes APUs'!$A$1:$D$14,2,0)</f>
        <v>Casco dielectrico Tipo 1 Clase E con barbuquejo</v>
      </c>
      <c r="C15761" s="73"/>
      <c r="D15761" s="50" t="str">
        <f>VLOOKUP(A15761,'Componentes APUs'!$A$1:$D$14,3,0)</f>
        <v>U</v>
      </c>
      <c r="E15761" s="50">
        <f>C15739+C15742+C15743+C15740+C15744+IF(A15741&lt;&gt;"MO-3",C15741,0)</f>
        <v>2.75</v>
      </c>
      <c r="F15761" s="51">
        <f>VLOOKUP(A15761,'Componentes APUs'!$A$1:$D$14,4,0)</f>
        <v>10101.010101010101</v>
      </c>
      <c r="G15761" s="51">
        <f>ROUNDUP(F15761*(E15761/21)/E15728,0)</f>
        <v>1323</v>
      </c>
    </row>
    <row r="15762" spans="1:7" x14ac:dyDescent="0.25">
      <c r="A15762" s="69" t="s">
        <v>77</v>
      </c>
      <c r="B15762" s="72" t="str">
        <f>VLOOKUP(A15762,'Componentes APUs'!$A$1:$D$14,2,0)</f>
        <v>Correa plastica y antiflama</v>
      </c>
      <c r="C15762" s="73"/>
      <c r="D15762" s="50" t="str">
        <f>VLOOKUP(A15762,'Componentes APUs'!$A$1:$D$14,3,0)</f>
        <v>U</v>
      </c>
      <c r="E15762" s="50">
        <f>SUM(C15739:C15744)</f>
        <v>2.75</v>
      </c>
      <c r="F15762" s="51">
        <f>VLOOKUP(A15762,'Componentes APUs'!$A$1:$D$14,4,0)</f>
        <v>3787.878787878788</v>
      </c>
      <c r="G15762" s="51">
        <f>ROUNDUP(F15762*(E15762/21)/E15728,0)</f>
        <v>497</v>
      </c>
    </row>
    <row r="15763" spans="1:7" x14ac:dyDescent="0.25">
      <c r="A15763" s="50" t="s">
        <v>79</v>
      </c>
      <c r="B15763" s="72" t="str">
        <f>VLOOKUP(A15763,'Componentes APUs'!$A$1:$D$14,2,0)</f>
        <v>Gafas protectoras filtro UV</v>
      </c>
      <c r="C15763" s="73"/>
      <c r="D15763" s="50" t="str">
        <f>VLOOKUP(A15763,'Componentes APUs'!$A$1:$D$14,3,0)</f>
        <v>U</v>
      </c>
      <c r="E15763" s="50">
        <f>SUM(C15739:C15744)</f>
        <v>2.75</v>
      </c>
      <c r="F15763" s="51">
        <f>VLOOKUP(A15763,'Componentes APUs'!$A$1:$D$14,4,0)</f>
        <v>2777.7777777777778</v>
      </c>
      <c r="G15763" s="51">
        <f>ROUNDUP(F15763*(E15763/21)/E15728,0)</f>
        <v>364</v>
      </c>
    </row>
    <row r="15764" spans="1:7" x14ac:dyDescent="0.25">
      <c r="A15764" s="69" t="s">
        <v>402</v>
      </c>
      <c r="B15764" s="72" t="str">
        <f>VLOOKUP(A15764,'Componentes APUs'!$A$1:$D$14,2,0)</f>
        <v>Bota de seguridad PVC dielectrica</v>
      </c>
      <c r="C15764" s="73"/>
      <c r="D15764" s="50" t="str">
        <f>VLOOKUP(A15764,'Componentes APUs'!$A$1:$D$14,3,0)</f>
        <v>Par</v>
      </c>
      <c r="E15764" s="50">
        <f>SUM(C15739:C15744)</f>
        <v>2.75</v>
      </c>
      <c r="F15764" s="51">
        <f>VLOOKUP(A15764,'Componentes APUs'!$A$1:$D$14,4,0)</f>
        <v>2916.6666666666665</v>
      </c>
      <c r="G15764" s="51">
        <f>ROUNDUP(F15764*(E15764/21)/E15728,0)</f>
        <v>382</v>
      </c>
    </row>
    <row r="15765" spans="1:7" x14ac:dyDescent="0.25">
      <c r="A15765" s="50" t="s">
        <v>403</v>
      </c>
      <c r="B15765" s="72" t="str">
        <f>VLOOKUP(A15765,'Componentes APUs'!$A$1:$D$14,2,0)</f>
        <v>Capuchon</v>
      </c>
      <c r="C15765" s="73"/>
      <c r="D15765" s="50" t="str">
        <f>VLOOKUP(A15765,'Componentes APUs'!$A$1:$D$14,3,0)</f>
        <v>U</v>
      </c>
      <c r="E15765" s="50">
        <f>SUM(C15739:C15744)</f>
        <v>2.75</v>
      </c>
      <c r="F15765" s="51">
        <f>VLOOKUP(A15765,'Componentes APUs'!$A$1:$D$14,4,0)</f>
        <v>2525.2525252525252</v>
      </c>
      <c r="G15765" s="51">
        <f>ROUNDUP(F15765*(E15765/21)/E15728,0)</f>
        <v>331</v>
      </c>
    </row>
    <row r="15766" spans="1:7" x14ac:dyDescent="0.25">
      <c r="A15766" s="69" t="s">
        <v>81</v>
      </c>
      <c r="B15766" s="72" t="str">
        <f>VLOOKUP(A15766,'Componentes APUs'!$A$1:$D$14,2,0)</f>
        <v>Guantes Protectores  - ingeniero reforzados</v>
      </c>
      <c r="C15766" s="73"/>
      <c r="D15766" s="50" t="str">
        <f>VLOOKUP(A15766,'Componentes APUs'!$A$1:$D$14,3,0)</f>
        <v>Par</v>
      </c>
      <c r="E15766" s="50">
        <f>C15741+C15742+C15744</f>
        <v>2</v>
      </c>
      <c r="F15766" s="51">
        <f>VLOOKUP(A15766,'Componentes APUs'!$A$1:$D$14,4,0)</f>
        <v>2525.2525252525252</v>
      </c>
      <c r="G15766" s="51">
        <f>ROUNDUP(F15766*(E15766/21)/E15728,0)</f>
        <v>241</v>
      </c>
    </row>
    <row r="15767" spans="1:7" x14ac:dyDescent="0.25">
      <c r="A15767" s="50" t="s">
        <v>83</v>
      </c>
      <c r="B15767" s="72" t="str">
        <f>VLOOKUP(A15767,'Componentes APUs'!$A$1:$D$14,2,0)</f>
        <v>Impermeable (pantalon camisa)</v>
      </c>
      <c r="C15767" s="73"/>
      <c r="D15767" s="50" t="str">
        <f>VLOOKUP(A15767,'Componentes APUs'!$A$1:$D$14,3,0)</f>
        <v>U</v>
      </c>
      <c r="E15767" s="50">
        <f>SUM(C15739:C15744)</f>
        <v>2.75</v>
      </c>
      <c r="F15767" s="51">
        <f>VLOOKUP(A15767,'Componentes APUs'!$A$1:$D$14,4,0)</f>
        <v>3750</v>
      </c>
      <c r="G15767" s="51">
        <f>ROUNDUP(F15767*(E15767/21)/E15728,0)</f>
        <v>492</v>
      </c>
    </row>
    <row r="15768" spans="1:7" x14ac:dyDescent="0.25">
      <c r="A15768" s="69" t="s">
        <v>85</v>
      </c>
      <c r="B15768" s="72" t="str">
        <f>VLOOKUP(A15768,'Componentes APUs'!$A$1:$D$14,2,0)</f>
        <v>Jean Dielectrico</v>
      </c>
      <c r="C15768" s="73"/>
      <c r="D15768" s="50" t="str">
        <f>VLOOKUP(A15768,'Componentes APUs'!$A$1:$D$14,3,0)</f>
        <v>U</v>
      </c>
      <c r="E15768" s="50">
        <f>SUM(C15739:C15744)</f>
        <v>2.75</v>
      </c>
      <c r="F15768" s="51">
        <f>VLOOKUP(A15768,'Componentes APUs'!$A$1:$D$14,4,0)</f>
        <v>7575.757575757576</v>
      </c>
      <c r="G15768" s="51">
        <f>ROUNDUP(F15768*(E15768/21)/E15728,0)</f>
        <v>993</v>
      </c>
    </row>
    <row r="15769" spans="1:7" x14ac:dyDescent="0.25">
      <c r="A15769" s="50" t="s">
        <v>87</v>
      </c>
      <c r="B15769" s="72" t="str">
        <f>VLOOKUP(A15769,'Componentes APUs'!$A$1:$D$14,2,0)</f>
        <v>Casco dielectrico Tipo 2 Clase E con barboquejo</v>
      </c>
      <c r="C15769" s="73"/>
      <c r="D15769" s="50" t="str">
        <f>VLOOKUP(A15769,'Componentes APUs'!$A$1:$D$14,3,0)</f>
        <v>U</v>
      </c>
      <c r="E15769" s="53">
        <f>IF(A15741="MO-3",C15741,0)</f>
        <v>0</v>
      </c>
      <c r="F15769" s="51">
        <f>VLOOKUP(A15769,'Componentes APUs'!$A$1:$D$14,4,0)</f>
        <v>7500</v>
      </c>
      <c r="G15769" s="51">
        <f>ROUNDUP(F15769*(E15769/21)/E15728,0)</f>
        <v>0</v>
      </c>
    </row>
    <row r="15770" spans="1:7" x14ac:dyDescent="0.25">
      <c r="A15770" s="69" t="s">
        <v>89</v>
      </c>
      <c r="B15770" s="72" t="str">
        <f>VLOOKUP(A15770,'Componentes APUs'!$A$1:$D$14,2,0)</f>
        <v>Kit de rescate para trabajo en alturas</v>
      </c>
      <c r="C15770" s="73"/>
      <c r="D15770" s="50" t="str">
        <f>VLOOKUP(A15770,'Componentes APUs'!$A$1:$D$14,3,0)</f>
        <v>U</v>
      </c>
      <c r="E15770" s="50">
        <f>IF(AND(A15741="MO-3",C15741=2),1,0)</f>
        <v>0</v>
      </c>
      <c r="F15770" s="51">
        <f>VLOOKUP(A15770,'Componentes APUs'!$A$1:$D$14,4,0)</f>
        <v>37500</v>
      </c>
      <c r="G15770" s="51">
        <f>ROUNDUP(F15770*(E15770/21)/E15728,0)</f>
        <v>0</v>
      </c>
    </row>
    <row r="15771" spans="1:7" x14ac:dyDescent="0.25">
      <c r="A15771" s="50" t="s">
        <v>91</v>
      </c>
      <c r="B15771" s="72" t="str">
        <f>VLOOKUP(A15771,'Componentes APUs'!$A$1:$D$14,2,0)</f>
        <v>Equipo completo para trabajo en alturas con pretales (Arnes dielectrico, 1 mosqueton de seguridad, tie off dielectrico, eslinga de posicionamiento, juego de pretales)</v>
      </c>
      <c r="C15771" s="73"/>
      <c r="D15771" s="50" t="str">
        <f>VLOOKUP(A15771,'Componentes APUs'!$A$1:$D$14,3,0)</f>
        <v>U</v>
      </c>
      <c r="E15771" s="50">
        <f>IF(A15740="MO-3",C15740,0)</f>
        <v>0</v>
      </c>
      <c r="F15771" s="51">
        <f>VLOOKUP(A15771,'Componentes APUs'!$A$1:$D$14,4,0)</f>
        <v>26041.666666666668</v>
      </c>
      <c r="G15771" s="51">
        <f>ROUNDUP(F15771*(E15771/21)/E15728,0)</f>
        <v>0</v>
      </c>
    </row>
    <row r="15772" spans="1:7" x14ac:dyDescent="0.25">
      <c r="A15772" s="219" t="s">
        <v>95</v>
      </c>
      <c r="B15772" s="219"/>
      <c r="C15772" s="219"/>
      <c r="D15772" s="219"/>
      <c r="E15772" s="219"/>
      <c r="F15772" s="219"/>
      <c r="G15772" s="52">
        <f>SUM(G15759:G15771)</f>
        <v>6731</v>
      </c>
    </row>
    <row r="15773" spans="1:7" x14ac:dyDescent="0.25">
      <c r="A15773" s="56"/>
      <c r="B15773" s="57"/>
      <c r="C15773" s="57"/>
      <c r="D15773" s="57"/>
      <c r="E15773" s="57"/>
      <c r="F15773" s="57"/>
      <c r="G15773" s="58"/>
    </row>
    <row r="15774" spans="1:7" x14ac:dyDescent="0.25">
      <c r="A15774" s="219" t="s">
        <v>96</v>
      </c>
      <c r="B15774" s="219"/>
      <c r="C15774" s="219"/>
      <c r="D15774" s="219"/>
      <c r="E15774" s="219"/>
      <c r="F15774" s="219"/>
      <c r="G15774" s="219"/>
    </row>
    <row r="15775" spans="1:7" x14ac:dyDescent="0.25">
      <c r="A15775" s="49" t="s">
        <v>35</v>
      </c>
      <c r="B15775" s="225" t="s">
        <v>36</v>
      </c>
      <c r="C15775" s="225"/>
      <c r="D15775" s="49" t="s">
        <v>37</v>
      </c>
      <c r="E15775" s="49" t="s">
        <v>38</v>
      </c>
      <c r="F15775" s="49" t="s">
        <v>39</v>
      </c>
      <c r="G15775" s="49" t="s">
        <v>40</v>
      </c>
    </row>
    <row r="15776" spans="1:7" x14ac:dyDescent="0.25">
      <c r="A15776" s="69" t="s">
        <v>97</v>
      </c>
      <c r="B15776" s="72" t="str">
        <f>VLOOKUP(A15776,'Componentes APUs'!$N$1:$Q$30,2,0)</f>
        <v>Camioneta</v>
      </c>
      <c r="C15776" s="73"/>
      <c r="D15776" s="70" t="str">
        <f>VLOOKUP(A15776,'Componentes APUs'!$N$1:$Q$30,3,0)</f>
        <v>U</v>
      </c>
      <c r="E15776" s="50">
        <v>1</v>
      </c>
      <c r="F15776" s="51">
        <f>VLOOKUP(A15776,'Componentes APUs'!$N$1:$Q$30,4,0)</f>
        <v>5500000</v>
      </c>
      <c r="G15776" s="51">
        <f>IFERROR(ROUNDUP(F15776*(E15776/21)/E15728,0),0)</f>
        <v>261905</v>
      </c>
    </row>
    <row r="15777" spans="1:7" x14ac:dyDescent="0.25">
      <c r="A15777" s="50" t="s">
        <v>321</v>
      </c>
      <c r="B15777" s="72" t="str">
        <f>VLOOKUP(A15777,'Componentes APUs'!$N$1:$Q$30,2,0)</f>
        <v>Grúa Hidráulica</v>
      </c>
      <c r="C15777" s="73"/>
      <c r="D15777" s="70" t="str">
        <f>VLOOKUP(A15777,'Componentes APUs'!$N$1:$Q$30,3,0)</f>
        <v>U</v>
      </c>
      <c r="E15777" s="50">
        <v>0</v>
      </c>
      <c r="F15777" s="51">
        <f>VLOOKUP(A15777,'Componentes APUs'!$N$1:$Q$30,4,0)</f>
        <v>21000000</v>
      </c>
      <c r="G15777" s="51">
        <f>IFERROR(ROUNDUP(F15777*(E15777/21)/E15728,0),0)</f>
        <v>0</v>
      </c>
    </row>
    <row r="15778" spans="1:7" x14ac:dyDescent="0.25">
      <c r="A15778" s="69" t="s">
        <v>322</v>
      </c>
      <c r="B15778" s="72" t="str">
        <f>VLOOKUP(A15778,'Componentes APUs'!$N$1:$Q$30,2,0)</f>
        <v>Camabaja</v>
      </c>
      <c r="C15778" s="73"/>
      <c r="D15778" s="70" t="str">
        <f>VLOOKUP(A15778,'Componentes APUs'!$N$1:$Q$30,3,0)</f>
        <v>TON/KM</v>
      </c>
      <c r="E15778" s="50">
        <v>0</v>
      </c>
      <c r="F15778" s="51">
        <f>VLOOKUP(A15778,'Componentes APUs'!$N$1:$Q$30,4,0)</f>
        <v>611</v>
      </c>
      <c r="G15778" s="51">
        <f>IFERROR(ROUNDUP(F15778*(E15778/21)/E15728,0),0)</f>
        <v>0</v>
      </c>
    </row>
    <row r="15779" spans="1:7" x14ac:dyDescent="0.25">
      <c r="A15779" s="50" t="s">
        <v>323</v>
      </c>
      <c r="B15779" s="72" t="str">
        <f>VLOOKUP(A15779,'Componentes APUs'!$N$1:$Q$30,2,0)</f>
        <v>Volqueta</v>
      </c>
      <c r="C15779" s="73"/>
      <c r="D15779" s="70" t="str">
        <f>VLOOKUP(A15779,'Componentes APUs'!$N$1:$Q$30,3,0)</f>
        <v>U</v>
      </c>
      <c r="E15779" s="50">
        <v>0</v>
      </c>
      <c r="F15779" s="51">
        <f>VLOOKUP(A15779,'Componentes APUs'!$N$1:$Q$30,4,0)</f>
        <v>14828184</v>
      </c>
      <c r="G15779" s="51">
        <f>IFERROR(ROUNDUP(F15779*(E15779/21)/E15728,0),0)</f>
        <v>0</v>
      </c>
    </row>
    <row r="15780" spans="1:7" x14ac:dyDescent="0.25">
      <c r="A15780" s="69" t="s">
        <v>324</v>
      </c>
      <c r="B15780" s="72" t="str">
        <f>VLOOKUP(A15780,'Componentes APUs'!$N$1:$Q$30,2,0)</f>
        <v>Retroexcavadora</v>
      </c>
      <c r="C15780" s="73"/>
      <c r="D15780" s="70" t="str">
        <f>VLOOKUP(A15780,'Componentes APUs'!$N$1:$Q$30,3,0)</f>
        <v>U</v>
      </c>
      <c r="E15780" s="50">
        <v>0</v>
      </c>
      <c r="F15780" s="51">
        <f>VLOOKUP(A15780,'Componentes APUs'!$N$1:$Q$30,4,0)</f>
        <v>46030656</v>
      </c>
      <c r="G15780" s="51">
        <f>IFERROR(ROUNDUP(F15780*(E15780/21)/E15728,0),0)</f>
        <v>0</v>
      </c>
    </row>
    <row r="15781" spans="1:7" x14ac:dyDescent="0.25">
      <c r="A15781" s="219" t="s">
        <v>99</v>
      </c>
      <c r="B15781" s="219"/>
      <c r="C15781" s="219"/>
      <c r="D15781" s="219"/>
      <c r="E15781" s="219"/>
      <c r="F15781" s="219"/>
      <c r="G15781" s="52">
        <f>SUM(G15776:G15780)</f>
        <v>261905</v>
      </c>
    </row>
    <row r="15782" spans="1:7" x14ac:dyDescent="0.25">
      <c r="A15782" s="56"/>
      <c r="B15782" s="57"/>
      <c r="C15782" s="57"/>
      <c r="D15782" s="57"/>
      <c r="E15782" s="57"/>
      <c r="F15782" s="57"/>
      <c r="G15782" s="58"/>
    </row>
    <row r="15783" spans="1:7" x14ac:dyDescent="0.25">
      <c r="A15783" s="219" t="s">
        <v>1516</v>
      </c>
      <c r="B15783" s="219"/>
      <c r="C15783" s="219"/>
      <c r="D15783" s="219"/>
      <c r="E15783" s="219"/>
      <c r="F15783" s="219"/>
      <c r="G15783" s="52">
        <f>G15781+G15772+G15755+G15745+G15735</f>
        <v>27178844</v>
      </c>
    </row>
    <row r="15784" spans="1:7" x14ac:dyDescent="0.25">
      <c r="A15784" s="59"/>
      <c r="B15784" s="60"/>
      <c r="C15784" s="60"/>
      <c r="D15784" s="60"/>
      <c r="E15784" s="57"/>
      <c r="F15784" s="57"/>
      <c r="G15784" s="58"/>
    </row>
    <row r="15785" spans="1:7" x14ac:dyDescent="0.25">
      <c r="A15785" s="64"/>
      <c r="D15785" s="55"/>
      <c r="E15785" s="49" t="s">
        <v>25</v>
      </c>
      <c r="F15785" s="54">
        <v>0.15</v>
      </c>
      <c r="G15785" s="51">
        <f>G15783*F15785</f>
        <v>4076826.5999999996</v>
      </c>
    </row>
    <row r="15786" spans="1:7" x14ac:dyDescent="0.25">
      <c r="A15786" s="64"/>
      <c r="D15786" s="55"/>
      <c r="E15786" s="49" t="s">
        <v>26</v>
      </c>
      <c r="F15786" s="54">
        <v>0.05</v>
      </c>
      <c r="G15786" s="51">
        <f>G15783*F15786</f>
        <v>1358942.2000000002</v>
      </c>
    </row>
    <row r="15787" spans="1:7" x14ac:dyDescent="0.25">
      <c r="A15787" s="61"/>
      <c r="B15787" s="65"/>
      <c r="C15787" s="65"/>
      <c r="D15787" s="62"/>
      <c r="E15787" s="49" t="s">
        <v>27</v>
      </c>
      <c r="F15787" s="54">
        <v>0.05</v>
      </c>
      <c r="G15787" s="51">
        <f>G15783*F15787</f>
        <v>1358942.2000000002</v>
      </c>
    </row>
    <row r="15788" spans="1:7" x14ac:dyDescent="0.25">
      <c r="A15788" s="61"/>
      <c r="B15788" s="62"/>
      <c r="C15788" s="62"/>
      <c r="D15788" s="62"/>
      <c r="E15788" s="62"/>
      <c r="F15788" s="62"/>
      <c r="G15788" s="63"/>
    </row>
    <row r="15789" spans="1:7" x14ac:dyDescent="0.25">
      <c r="A15789" s="219" t="s">
        <v>1517</v>
      </c>
      <c r="B15789" s="219"/>
      <c r="C15789" s="219"/>
      <c r="D15789" s="219"/>
      <c r="E15789" s="219"/>
      <c r="F15789" s="219"/>
      <c r="G15789" s="52">
        <f>G15783+G15785+G15786+G15787</f>
        <v>33973555</v>
      </c>
    </row>
    <row r="15790" spans="1:7" x14ac:dyDescent="0.25">
      <c r="A15790" s="59"/>
      <c r="B15790" s="60"/>
      <c r="C15790" s="60"/>
      <c r="D15790" s="60"/>
      <c r="E15790" s="57"/>
      <c r="F15790" s="57"/>
      <c r="G15790" s="58"/>
    </row>
    <row r="15791" spans="1:7" x14ac:dyDescent="0.25">
      <c r="A15791" s="64"/>
      <c r="D15791" s="55"/>
      <c r="E15791" s="49" t="s">
        <v>102</v>
      </c>
      <c r="F15791" s="49" t="s">
        <v>103</v>
      </c>
      <c r="G15791" s="51">
        <f>G15787*19%</f>
        <v>258199.01800000004</v>
      </c>
    </row>
    <row r="15792" spans="1:7" x14ac:dyDescent="0.25">
      <c r="A15792" s="61"/>
      <c r="B15792" s="62"/>
      <c r="C15792" s="62"/>
      <c r="D15792" s="62"/>
      <c r="E15792" s="57"/>
      <c r="F15792" s="57"/>
      <c r="G15792" s="58"/>
    </row>
    <row r="15793" spans="1:7" x14ac:dyDescent="0.25">
      <c r="A15793" s="219" t="s">
        <v>104</v>
      </c>
      <c r="B15793" s="219"/>
      <c r="C15793" s="219"/>
      <c r="D15793" s="219"/>
      <c r="E15793" s="219"/>
      <c r="F15793" s="219"/>
      <c r="G15793" s="52">
        <f>G15791+G15789</f>
        <v>34231754.017999999</v>
      </c>
    </row>
    <row r="15795" spans="1:7" x14ac:dyDescent="0.25">
      <c r="A15795" s="74" t="s">
        <v>29</v>
      </c>
      <c r="B15795" s="226" t="s">
        <v>30</v>
      </c>
      <c r="C15795" s="226"/>
      <c r="D15795" s="74" t="s">
        <v>31</v>
      </c>
      <c r="E15795" s="74" t="s">
        <v>32</v>
      </c>
      <c r="F15795" s="74" t="s">
        <v>189</v>
      </c>
      <c r="G15795" s="74" t="s">
        <v>33</v>
      </c>
    </row>
    <row r="15796" spans="1:7" ht="50.25" customHeight="1" x14ac:dyDescent="0.25">
      <c r="A15796" s="50" t="str">
        <f>Presupuesto!B309</f>
        <v>006_SC</v>
      </c>
      <c r="B15796" s="220" t="str">
        <f>Presupuesto!C309</f>
        <v>SUMINISTRO E INSTALACIÓN DE SWITCH ROUTER DE TRES CAPAS CON FIREWALL. SOPORTE PARA IEC 61850, Modbus TCP/IP, DNP3, y VPN (IPSec, OpenVPN), WAN/LAN: Hasta 1 Gbps, 4 Puertos Ethernet</v>
      </c>
      <c r="C15796" s="220"/>
      <c r="D15796" s="50" t="s">
        <v>8</v>
      </c>
      <c r="E15796" s="50">
        <v>2</v>
      </c>
      <c r="F15796" s="50"/>
      <c r="G15796" s="51">
        <f>G15865</f>
        <v>8932408.0065000001</v>
      </c>
    </row>
    <row r="15797" spans="1:7" x14ac:dyDescent="0.25">
      <c r="A15797" s="219" t="s">
        <v>34</v>
      </c>
      <c r="B15797" s="219"/>
      <c r="C15797" s="219"/>
      <c r="D15797" s="219"/>
      <c r="E15797" s="219"/>
      <c r="F15797" s="219"/>
      <c r="G15797" s="219"/>
    </row>
    <row r="15798" spans="1:7" x14ac:dyDescent="0.25">
      <c r="A15798" s="49" t="s">
        <v>35</v>
      </c>
      <c r="B15798" s="219" t="s">
        <v>36</v>
      </c>
      <c r="C15798" s="219"/>
      <c r="D15798" s="49" t="s">
        <v>37</v>
      </c>
      <c r="E15798" s="49" t="s">
        <v>38</v>
      </c>
      <c r="F15798" s="49" t="s">
        <v>39</v>
      </c>
      <c r="G15798" s="49" t="s">
        <v>40</v>
      </c>
    </row>
    <row r="15799" spans="1:7" x14ac:dyDescent="0.25">
      <c r="A15799" s="17" t="str">
        <f>Material!A88</f>
        <v>MA-87</v>
      </c>
      <c r="B15799" s="72" t="str">
        <f>IFERROR(VLOOKUP(A15799,Material!$A:$H,2,0),"-")</f>
        <v>ROUTER. SOPORTE PARA IEC 61850</v>
      </c>
      <c r="C15799" s="73"/>
      <c r="D15799" s="50" t="str">
        <f>IFERROR(VLOOKUP(A15799,Material!$A:$H,4,0),"-")</f>
        <v>UN</v>
      </c>
      <c r="E15799" s="50">
        <v>1</v>
      </c>
      <c r="F15799" s="51">
        <f>IFERROR(VLOOKUP(A15799,Material!$A:$H,3,0),"-")</f>
        <v>5951400</v>
      </c>
      <c r="G15799" s="51">
        <f t="shared" ref="G15799:G15806" si="225">IFERROR(ROUNDUP(F15799*E15799,0),"-")</f>
        <v>5951400</v>
      </c>
    </row>
    <row r="15800" spans="1:7" x14ac:dyDescent="0.25">
      <c r="A15800" s="17"/>
      <c r="B15800" s="72" t="str">
        <f>IFERROR(VLOOKUP(A15800,Material!$A:$H,2,0),"-")</f>
        <v>-</v>
      </c>
      <c r="C15800" s="73"/>
      <c r="D15800" s="50" t="str">
        <f>IFERROR(VLOOKUP(A15800,Material!$A:$H,4,0),"-")</f>
        <v>-</v>
      </c>
      <c r="E15800" s="50"/>
      <c r="F15800" s="51" t="str">
        <f>IFERROR(VLOOKUP(A15800,Material!$A:$H,3,0),"-")</f>
        <v>-</v>
      </c>
      <c r="G15800" s="51" t="str">
        <f t="shared" si="225"/>
        <v>-</v>
      </c>
    </row>
    <row r="15801" spans="1:7" x14ac:dyDescent="0.25">
      <c r="A15801" s="17"/>
      <c r="B15801" s="72" t="str">
        <f>IFERROR(VLOOKUP(A15801,Material!$A:$H,2,0),"-")</f>
        <v>-</v>
      </c>
      <c r="C15801" s="73"/>
      <c r="D15801" s="50" t="str">
        <f>IFERROR(VLOOKUP(A15801,Material!$A:$H,4,0),"-")</f>
        <v>-</v>
      </c>
      <c r="E15801" s="50"/>
      <c r="F15801" s="51" t="str">
        <f>IFERROR(VLOOKUP(A15801,Material!$A:$H,3,0),"-")</f>
        <v>-</v>
      </c>
      <c r="G15801" s="51" t="str">
        <f t="shared" si="225"/>
        <v>-</v>
      </c>
    </row>
    <row r="15802" spans="1:7" x14ac:dyDescent="0.25">
      <c r="A15802" s="17"/>
      <c r="B15802" s="72" t="str">
        <f>IFERROR(VLOOKUP(A15802,Material!$A:$H,2,0),"-")</f>
        <v>-</v>
      </c>
      <c r="C15802" s="73"/>
      <c r="D15802" s="50" t="str">
        <f>IFERROR(VLOOKUP(A15802,Material!$A:$H,4,0),"-")</f>
        <v>-</v>
      </c>
      <c r="E15802" s="50"/>
      <c r="F15802" s="51" t="str">
        <f>IFERROR(VLOOKUP(A15802,Material!$A:$H,3,0),"-")</f>
        <v>-</v>
      </c>
      <c r="G15802" s="51" t="str">
        <f t="shared" si="225"/>
        <v>-</v>
      </c>
    </row>
    <row r="15803" spans="1:7" x14ac:dyDescent="0.25">
      <c r="A15803" s="17"/>
      <c r="B15803" s="75" t="str">
        <f>IFERROR(VLOOKUP(A15803,Material!$A:$H,2,0),"-")</f>
        <v>-</v>
      </c>
      <c r="C15803" s="76"/>
      <c r="D15803" s="50" t="str">
        <f>IFERROR(VLOOKUP(A15803,Material!$A:$H,4,0),"-")</f>
        <v>-</v>
      </c>
      <c r="E15803" s="50"/>
      <c r="F15803" s="51" t="str">
        <f>IFERROR(VLOOKUP(A15803,Material!$A:$H,3,0),"-")</f>
        <v>-</v>
      </c>
      <c r="G15803" s="51" t="str">
        <f t="shared" si="225"/>
        <v>-</v>
      </c>
    </row>
    <row r="15804" spans="1:7" x14ac:dyDescent="0.25">
      <c r="A15804" s="17"/>
      <c r="B15804" s="72" t="str">
        <f>IFERROR(VLOOKUP(A15804,Material!$A:$H,2,0),"-")</f>
        <v>-</v>
      </c>
      <c r="C15804" s="76"/>
      <c r="D15804" s="50" t="str">
        <f>IFERROR(VLOOKUP(A15804,Material!$A:$H,4,0),"-")</f>
        <v>-</v>
      </c>
      <c r="E15804" s="50"/>
      <c r="F15804" s="51" t="str">
        <f>IFERROR(VLOOKUP(A15804,Material!$A:$H,3,0),"-")</f>
        <v>-</v>
      </c>
      <c r="G15804" s="51" t="str">
        <f t="shared" si="225"/>
        <v>-</v>
      </c>
    </row>
    <row r="15805" spans="1:7" x14ac:dyDescent="0.25">
      <c r="A15805" s="17"/>
      <c r="B15805" s="72" t="str">
        <f>IFERROR(VLOOKUP(A15805,Material!$A:$H,2,0),"-")</f>
        <v>-</v>
      </c>
      <c r="C15805" s="76"/>
      <c r="D15805" s="50" t="str">
        <f>IFERROR(VLOOKUP(A15805,Material!$A:$H,4,0),"-")</f>
        <v>-</v>
      </c>
      <c r="E15805" s="50"/>
      <c r="F15805" s="51" t="str">
        <f>IFERROR(VLOOKUP(A15805,Material!$A:$H,3,0),"-")</f>
        <v>-</v>
      </c>
      <c r="G15805" s="51" t="str">
        <f t="shared" si="225"/>
        <v>-</v>
      </c>
    </row>
    <row r="15806" spans="1:7" x14ac:dyDescent="0.25">
      <c r="A15806" s="17"/>
      <c r="B15806" s="72" t="str">
        <f>IFERROR(VLOOKUP(A15806,Material!$A:$H,2,0),"-")</f>
        <v>-</v>
      </c>
      <c r="C15806" s="76"/>
      <c r="D15806" s="50" t="str">
        <f>IFERROR(VLOOKUP(A15806,Material!$A:$H,4,0),"-")</f>
        <v>-</v>
      </c>
      <c r="E15806" s="50"/>
      <c r="F15806" s="51" t="str">
        <f>IFERROR(VLOOKUP(A15806,Material!$A:$H,3,0),"-")</f>
        <v>-</v>
      </c>
      <c r="G15806" s="51" t="str">
        <f t="shared" si="225"/>
        <v>-</v>
      </c>
    </row>
    <row r="15807" spans="1:7" x14ac:dyDescent="0.25">
      <c r="A15807" s="219" t="s">
        <v>41</v>
      </c>
      <c r="B15807" s="219"/>
      <c r="C15807" s="219"/>
      <c r="D15807" s="219"/>
      <c r="E15807" s="219"/>
      <c r="F15807" s="219"/>
      <c r="G15807" s="52">
        <f>SUM(G15799:G15806)</f>
        <v>5951400</v>
      </c>
    </row>
    <row r="15808" spans="1:7" x14ac:dyDescent="0.25">
      <c r="A15808" s="56"/>
      <c r="B15808" s="57"/>
      <c r="C15808" s="57"/>
      <c r="D15808" s="57"/>
      <c r="E15808" s="57"/>
      <c r="F15808" s="57"/>
      <c r="G15808" s="58"/>
    </row>
    <row r="15809" spans="1:7" x14ac:dyDescent="0.25">
      <c r="A15809" s="219" t="s">
        <v>42</v>
      </c>
      <c r="B15809" s="219"/>
      <c r="C15809" s="219"/>
      <c r="D15809" s="219"/>
      <c r="E15809" s="219"/>
      <c r="F15809" s="219"/>
      <c r="G15809" s="219"/>
    </row>
    <row r="15810" spans="1:7" x14ac:dyDescent="0.25">
      <c r="A15810" s="49" t="s">
        <v>35</v>
      </c>
      <c r="B15810" s="49" t="s">
        <v>36</v>
      </c>
      <c r="C15810" s="49" t="s">
        <v>38</v>
      </c>
      <c r="D15810" s="49" t="s">
        <v>43</v>
      </c>
      <c r="E15810" s="49" t="s">
        <v>44</v>
      </c>
      <c r="F15810" s="49" t="s">
        <v>45</v>
      </c>
      <c r="G15810" s="49" t="s">
        <v>40</v>
      </c>
    </row>
    <row r="15811" spans="1:7" x14ac:dyDescent="0.25">
      <c r="A15811" s="50" t="s">
        <v>319</v>
      </c>
      <c r="B15811" s="68" t="str">
        <f>VLOOKUP(A15811,'Componentes APUs'!$H$1:$L$25,2,0)</f>
        <v>Ingeniero Residente de Obra</v>
      </c>
      <c r="C15811" s="93">
        <v>0.25</v>
      </c>
      <c r="D15811" s="50">
        <f>VLOOKUP(A15811,'Componentes APUs'!$H$1:$L$25,3,0)</f>
        <v>4</v>
      </c>
      <c r="E15811" s="51">
        <f>VLOOKUP(A15811,'Componentes APUs'!$H$1:$L$25,4,0)</f>
        <v>271142.85714285716</v>
      </c>
      <c r="F15811" s="51">
        <f>VLOOKUP(A15811,'Componentes APUs'!$H$1:$L$25,5,0)</f>
        <v>162685.71428571429</v>
      </c>
      <c r="G15811" s="51">
        <f>ROUNDUP((E15811+F15811)*C15811/E15796,0)</f>
        <v>54229</v>
      </c>
    </row>
    <row r="15812" spans="1:7" x14ac:dyDescent="0.25">
      <c r="A15812" s="50" t="s">
        <v>320</v>
      </c>
      <c r="B15812" s="68" t="str">
        <f>VLOOKUP(A15812,'Componentes APUs'!$H$1:$L$25,2,0)</f>
        <v>Tecnico Supervisor</v>
      </c>
      <c r="C15812" s="93">
        <v>0.25</v>
      </c>
      <c r="D15812" s="50">
        <f>VLOOKUP(A15812,'Componentes APUs'!$H$1:$L$25,3,0)</f>
        <v>2.2999999999999998</v>
      </c>
      <c r="E15812" s="51">
        <f>VLOOKUP(A15812,'Componentes APUs'!$H$1:$L$25,4,0)</f>
        <v>155907.14285714284</v>
      </c>
      <c r="F15812" s="51">
        <f>VLOOKUP(A15812,'Componentes APUs'!$H$1:$L$25,5,0)</f>
        <v>93544.285714285696</v>
      </c>
      <c r="G15812" s="51">
        <f>ROUNDUP((E15812+F15812)*C15812/E15796,0)</f>
        <v>31182</v>
      </c>
    </row>
    <row r="15813" spans="1:7" x14ac:dyDescent="0.25">
      <c r="A15813" s="50" t="s">
        <v>1160</v>
      </c>
      <c r="B15813" s="68" t="str">
        <f>VLOOKUP(A15813,'Componentes APUs'!$H$1:$L$25,2,0)</f>
        <v>Oficial Eléctrico</v>
      </c>
      <c r="C15813" s="93">
        <v>1</v>
      </c>
      <c r="D15813" s="50">
        <f>VLOOKUP(A15813,'Componentes APUs'!$H$1:$L$25,3,0)</f>
        <v>2</v>
      </c>
      <c r="E15813" s="51">
        <f>VLOOKUP(A15813,'Componentes APUs'!$H$1:$L$25,4,0)</f>
        <v>154619.04761904763</v>
      </c>
      <c r="F15813" s="51">
        <f>VLOOKUP(A15813,'Componentes APUs'!$H$1:$L$25,5,0)</f>
        <v>92771.42857142858</v>
      </c>
      <c r="G15813" s="51">
        <f>ROUNDUP((E15813+F15813)*C15813/E15796,0)</f>
        <v>123696</v>
      </c>
    </row>
    <row r="15814" spans="1:7" x14ac:dyDescent="0.25">
      <c r="A15814" s="50" t="s">
        <v>48</v>
      </c>
      <c r="B15814" s="68" t="str">
        <f>VLOOKUP(A15814,'Componentes APUs'!$H$1:$L$25,2,0)</f>
        <v>Ayudante Calificado</v>
      </c>
      <c r="C15814" s="93">
        <v>0</v>
      </c>
      <c r="D15814" s="50">
        <f>VLOOKUP(A15814,'Componentes APUs'!$H$1:$L$25,3,0)</f>
        <v>1.5</v>
      </c>
      <c r="E15814" s="51">
        <f>VLOOKUP(A15814,'Componentes APUs'!$H$1:$L$25,4,0)</f>
        <v>115964.28571428571</v>
      </c>
      <c r="F15814" s="51">
        <f>VLOOKUP(A15814,'Componentes APUs'!$H$1:$L$25,5,0)</f>
        <v>69578.57142857142</v>
      </c>
      <c r="G15814" s="51">
        <f>ROUNDUP((E15814+F15814)*C15814/E15796,0)</f>
        <v>0</v>
      </c>
    </row>
    <row r="15815" spans="1:7" x14ac:dyDescent="0.25">
      <c r="A15815" s="50" t="s">
        <v>50</v>
      </c>
      <c r="B15815" s="68" t="str">
        <f>VLOOKUP(A15815,'Componentes APUs'!$H$1:$L$25,2,0)</f>
        <v>Profesional en SST</v>
      </c>
      <c r="C15815" s="93">
        <v>0.25</v>
      </c>
      <c r="D15815" s="50">
        <f>VLOOKUP(A15815,'Componentes APUs'!$H$1:$L$25,3,0)</f>
        <v>2.5</v>
      </c>
      <c r="E15815" s="51">
        <f>VLOOKUP(A15815,'Componentes APUs'!$H$1:$L$25,4,0)</f>
        <v>169464.28571428571</v>
      </c>
      <c r="F15815" s="51">
        <f>VLOOKUP(A15815,'Componentes APUs'!$H$1:$L$25,5,0)</f>
        <v>101678.57142857142</v>
      </c>
      <c r="G15815" s="51">
        <f>ROUNDUP((E15815+F15815)*C15815/E15796,0)</f>
        <v>33893</v>
      </c>
    </row>
    <row r="15816" spans="1:7" x14ac:dyDescent="0.25">
      <c r="A15816" s="50" t="s">
        <v>1121</v>
      </c>
      <c r="B15816" s="68" t="str">
        <f>VLOOKUP(A15816,'Componentes APUs'!$H$1:$L$25,2,0)</f>
        <v>Ingeniero Especialista de Control y Protección Subestación</v>
      </c>
      <c r="C15816" s="93">
        <v>1</v>
      </c>
      <c r="D15816" s="50">
        <f>VLOOKUP(A15816,'Componentes APUs'!$H$1:$L$25,3,0)</f>
        <v>14</v>
      </c>
      <c r="E15816" s="51">
        <f>VLOOKUP(A15816,'Componentes APUs'!$H$1:$L$25,4,0)</f>
        <v>949000</v>
      </c>
      <c r="F15816" s="51">
        <f>VLOOKUP(A15816,'Componentes APUs'!$H$1:$L$25,5,0)</f>
        <v>569400</v>
      </c>
      <c r="G15816" s="51">
        <f>ROUNDUP((E15816+F15816)*C15816/E15796,0)</f>
        <v>759200</v>
      </c>
    </row>
    <row r="15817" spans="1:7" x14ac:dyDescent="0.25">
      <c r="A15817" s="219" t="s">
        <v>56</v>
      </c>
      <c r="B15817" s="219"/>
      <c r="C15817" s="219"/>
      <c r="D15817" s="219"/>
      <c r="E15817" s="219"/>
      <c r="F15817" s="219"/>
      <c r="G15817" s="52">
        <f>SUM(G15811:G15816)</f>
        <v>1002200</v>
      </c>
    </row>
    <row r="15818" spans="1:7" x14ac:dyDescent="0.25">
      <c r="A15818" s="56"/>
      <c r="B15818" s="57"/>
      <c r="C15818" s="57"/>
      <c r="D15818" s="57"/>
      <c r="E15818" s="57"/>
      <c r="F15818" s="57"/>
      <c r="G15818" s="58"/>
    </row>
    <row r="15819" spans="1:7" x14ac:dyDescent="0.25">
      <c r="A15819" s="219" t="s">
        <v>57</v>
      </c>
      <c r="B15819" s="219"/>
      <c r="C15819" s="219"/>
      <c r="D15819" s="219"/>
      <c r="E15819" s="219"/>
      <c r="F15819" s="219"/>
      <c r="G15819" s="219"/>
    </row>
    <row r="15820" spans="1:7" x14ac:dyDescent="0.25">
      <c r="A15820" s="49" t="s">
        <v>35</v>
      </c>
      <c r="B15820" s="219" t="s">
        <v>36</v>
      </c>
      <c r="C15820" s="219"/>
      <c r="D15820" s="49" t="s">
        <v>37</v>
      </c>
      <c r="E15820" s="49" t="s">
        <v>38</v>
      </c>
      <c r="F15820" s="49" t="s">
        <v>39</v>
      </c>
      <c r="G15820" s="49" t="s">
        <v>40</v>
      </c>
    </row>
    <row r="15821" spans="1:7" x14ac:dyDescent="0.25">
      <c r="A15821" s="50" t="s">
        <v>326</v>
      </c>
      <c r="B15821" s="220" t="str">
        <f>VLOOKUP(A15821,'Componentes APUs'!$S$1:$V$10,2,0)</f>
        <v>Juego Llaves</v>
      </c>
      <c r="C15821" s="220"/>
      <c r="D15821" s="50" t="s">
        <v>18</v>
      </c>
      <c r="E15821" s="50">
        <v>2</v>
      </c>
      <c r="F15821" s="51">
        <f>VLOOKUP(A15821,'Componentes APUs'!$S$1:$V$10,4,0)</f>
        <v>9167</v>
      </c>
      <c r="G15821" s="51">
        <f>ROUNDUP(F15821*((E15821/21)/E15796),0)</f>
        <v>437</v>
      </c>
    </row>
    <row r="15822" spans="1:7" x14ac:dyDescent="0.25">
      <c r="A15822" s="50" t="s">
        <v>58</v>
      </c>
      <c r="B15822" s="220" t="str">
        <f>VLOOKUP(A15822,'Componentes APUs'!$S$1:$V$10,2,0)</f>
        <v>Manila de servicio</v>
      </c>
      <c r="C15822" s="220"/>
      <c r="D15822" s="50" t="s">
        <v>18</v>
      </c>
      <c r="E15822" s="50">
        <v>0</v>
      </c>
      <c r="F15822" s="51">
        <f>VLOOKUP(A15822,'Componentes APUs'!$S$1:$V$10,4,0)</f>
        <v>2333</v>
      </c>
      <c r="G15822" s="51">
        <f>ROUNDUP(F15822*((E15822/21)/E15796),0)</f>
        <v>0</v>
      </c>
    </row>
    <row r="15823" spans="1:7" x14ac:dyDescent="0.25">
      <c r="A15823" s="50" t="s">
        <v>327</v>
      </c>
      <c r="B15823" s="220" t="str">
        <f>VLOOKUP(A15823,'Componentes APUs'!$S$1:$V$10,2,0)</f>
        <v>Tula portaherramientas</v>
      </c>
      <c r="C15823" s="220"/>
      <c r="D15823" s="50" t="s">
        <v>18</v>
      </c>
      <c r="E15823" s="50">
        <v>2</v>
      </c>
      <c r="F15823" s="51">
        <f>VLOOKUP(A15823,'Componentes APUs'!$S$1:$V$10,4,0)</f>
        <v>1250</v>
      </c>
      <c r="G15823" s="51">
        <f>ROUNDUP(F15823*((E15823/21)/E15796),0)</f>
        <v>60</v>
      </c>
    </row>
    <row r="15824" spans="1:7" x14ac:dyDescent="0.25">
      <c r="A15824" s="50" t="s">
        <v>60</v>
      </c>
      <c r="B15824" s="220" t="str">
        <f>VLOOKUP(A15824,'Componentes APUs'!$S$1:$V$10,2,0)</f>
        <v>Agarradoras</v>
      </c>
      <c r="C15824" s="220"/>
      <c r="D15824" s="50" t="s">
        <v>18</v>
      </c>
      <c r="E15824" s="50">
        <v>0</v>
      </c>
      <c r="F15824" s="51">
        <f>VLOOKUP(A15824,'Componentes APUs'!$S$1:$V$10,4,0)</f>
        <v>125000</v>
      </c>
      <c r="G15824" s="51">
        <f>ROUNDUP(F15824*((E15824/21)/E15796),0)</f>
        <v>0</v>
      </c>
    </row>
    <row r="15825" spans="1:7" x14ac:dyDescent="0.25">
      <c r="A15825" s="50" t="s">
        <v>62</v>
      </c>
      <c r="B15825" s="220" t="str">
        <f>VLOOKUP(A15825,'Componentes APUs'!$S$1:$V$10,2,0)</f>
        <v>Templadoras</v>
      </c>
      <c r="C15825" s="220"/>
      <c r="D15825" s="50" t="s">
        <v>18</v>
      </c>
      <c r="E15825" s="50">
        <v>0</v>
      </c>
      <c r="F15825" s="51">
        <f>VLOOKUP(A15825,'Componentes APUs'!$S$1:$V$10,4,0)</f>
        <v>250000</v>
      </c>
      <c r="G15825" s="51">
        <f>ROUNDUP(F15825*((E15825/21)/E15796),0)</f>
        <v>0</v>
      </c>
    </row>
    <row r="15826" spans="1:7" x14ac:dyDescent="0.25">
      <c r="A15826" s="50" t="s">
        <v>328</v>
      </c>
      <c r="B15826" s="220" t="str">
        <f>VLOOKUP(A15826,'Componentes APUs'!$S$1:$V$10,2,0)</f>
        <v>Herramienta Menor</v>
      </c>
      <c r="C15826" s="220"/>
      <c r="D15826" s="50" t="s">
        <v>18</v>
      </c>
      <c r="E15826" s="50">
        <v>2</v>
      </c>
      <c r="F15826" s="51">
        <f>VLOOKUP(A15826,'Componentes APUs'!$S$1:$V$10,4,0)</f>
        <v>75758</v>
      </c>
      <c r="G15826" s="51">
        <f>ROUNDUP(F15826*((E15826/21)/E15796),0)</f>
        <v>3608</v>
      </c>
    </row>
    <row r="15827" spans="1:7" x14ac:dyDescent="0.25">
      <c r="A15827" s="219" t="s">
        <v>69</v>
      </c>
      <c r="B15827" s="219"/>
      <c r="C15827" s="219"/>
      <c r="D15827" s="219"/>
      <c r="E15827" s="219"/>
      <c r="F15827" s="219"/>
      <c r="G15827" s="52">
        <f>SUM(G15821:G15826)</f>
        <v>4105</v>
      </c>
    </row>
    <row r="15828" spans="1:7" x14ac:dyDescent="0.25">
      <c r="A15828" s="56"/>
      <c r="B15828" s="57"/>
      <c r="C15828" s="57"/>
      <c r="D15828" s="57"/>
      <c r="E15828" s="57"/>
      <c r="F15828" s="57"/>
      <c r="G15828" s="58"/>
    </row>
    <row r="15829" spans="1:7" x14ac:dyDescent="0.25">
      <c r="A15829" s="219" t="s">
        <v>70</v>
      </c>
      <c r="B15829" s="219"/>
      <c r="C15829" s="219"/>
      <c r="D15829" s="219"/>
      <c r="E15829" s="219"/>
      <c r="F15829" s="219"/>
      <c r="G15829" s="219"/>
    </row>
    <row r="15830" spans="1:7" x14ac:dyDescent="0.25">
      <c r="A15830" s="49" t="s">
        <v>35</v>
      </c>
      <c r="B15830" s="219" t="s">
        <v>36</v>
      </c>
      <c r="C15830" s="219"/>
      <c r="D15830" s="49" t="s">
        <v>37</v>
      </c>
      <c r="E15830" s="49" t="s">
        <v>38</v>
      </c>
      <c r="F15830" s="49" t="s">
        <v>39</v>
      </c>
      <c r="G15830" s="49" t="s">
        <v>40</v>
      </c>
    </row>
    <row r="15831" spans="1:7" x14ac:dyDescent="0.25">
      <c r="A15831" s="50" t="s">
        <v>71</v>
      </c>
      <c r="B15831" s="71" t="str">
        <f>VLOOKUP(A15831,'Componentes APUs'!$A$1:$D$14,2,0)</f>
        <v>Camisa indigo sin partes metalicas</v>
      </c>
      <c r="C15831" s="71"/>
      <c r="D15831" s="50" t="str">
        <f>VLOOKUP(A15831,'Componentes APUs'!$A$1:$D$14,3,0)</f>
        <v>U</v>
      </c>
      <c r="E15831" s="50">
        <f>SUM(C15811:C15816)</f>
        <v>2.75</v>
      </c>
      <c r="F15831" s="51">
        <f>VLOOKUP(A15831,'Componentes APUs'!$A$1:$D$14,4,0)</f>
        <v>8585.8585858585866</v>
      </c>
      <c r="G15831" s="51">
        <f>ROUNDUP(F15831*(E15831/21)/E15796,0)</f>
        <v>563</v>
      </c>
    </row>
    <row r="15832" spans="1:7" x14ac:dyDescent="0.25">
      <c r="A15832" s="69" t="s">
        <v>73</v>
      </c>
      <c r="B15832" s="72" t="str">
        <f>VLOOKUP(A15832,'Componentes APUs'!$A$1:$D$14,2,0)</f>
        <v>Bota de seguridad dielectrica</v>
      </c>
      <c r="C15832" s="73"/>
      <c r="D15832" s="70" t="str">
        <f>VLOOKUP(A15832,'Componentes APUs'!$A$1:$D$14,3,0)</f>
        <v>Par</v>
      </c>
      <c r="E15832" s="50">
        <f>SUM(C15811:C15816)</f>
        <v>2.75</v>
      </c>
      <c r="F15832" s="51">
        <f>VLOOKUP(A15832,'Componentes APUs'!$A$1:$D$14,4,0)</f>
        <v>7500</v>
      </c>
      <c r="G15832" s="51">
        <f>ROUNDUP(F15832*(E15832/21)/E15796,0)</f>
        <v>492</v>
      </c>
    </row>
    <row r="15833" spans="1:7" x14ac:dyDescent="0.25">
      <c r="A15833" s="50" t="s">
        <v>76</v>
      </c>
      <c r="B15833" s="72" t="str">
        <f>VLOOKUP(A15833,'Componentes APUs'!$A$1:$D$14,2,0)</f>
        <v>Casco dielectrico Tipo 1 Clase E con barbuquejo</v>
      </c>
      <c r="C15833" s="73"/>
      <c r="D15833" s="50" t="str">
        <f>VLOOKUP(A15833,'Componentes APUs'!$A$1:$D$14,3,0)</f>
        <v>U</v>
      </c>
      <c r="E15833" s="50">
        <f>C15811+C15814+C15815+C15812+C15816+IF(A15813&lt;&gt;"MO-3",C15813,0)</f>
        <v>2.75</v>
      </c>
      <c r="F15833" s="51">
        <f>VLOOKUP(A15833,'Componentes APUs'!$A$1:$D$14,4,0)</f>
        <v>10101.010101010101</v>
      </c>
      <c r="G15833" s="51">
        <f>ROUNDUP(F15833*(E15833/21)/E15796,0)</f>
        <v>662</v>
      </c>
    </row>
    <row r="15834" spans="1:7" x14ac:dyDescent="0.25">
      <c r="A15834" s="69" t="s">
        <v>77</v>
      </c>
      <c r="B15834" s="72" t="str">
        <f>VLOOKUP(A15834,'Componentes APUs'!$A$1:$D$14,2,0)</f>
        <v>Correa plastica y antiflama</v>
      </c>
      <c r="C15834" s="73"/>
      <c r="D15834" s="50" t="str">
        <f>VLOOKUP(A15834,'Componentes APUs'!$A$1:$D$14,3,0)</f>
        <v>U</v>
      </c>
      <c r="E15834" s="50">
        <f>SUM(C15811:C15816)</f>
        <v>2.75</v>
      </c>
      <c r="F15834" s="51">
        <f>VLOOKUP(A15834,'Componentes APUs'!$A$1:$D$14,4,0)</f>
        <v>3787.878787878788</v>
      </c>
      <c r="G15834" s="51">
        <f>ROUNDUP(F15834*(E15834/21)/E15796,0)</f>
        <v>249</v>
      </c>
    </row>
    <row r="15835" spans="1:7" x14ac:dyDescent="0.25">
      <c r="A15835" s="50" t="s">
        <v>79</v>
      </c>
      <c r="B15835" s="72" t="str">
        <f>VLOOKUP(A15835,'Componentes APUs'!$A$1:$D$14,2,0)</f>
        <v>Gafas protectoras filtro UV</v>
      </c>
      <c r="C15835" s="73"/>
      <c r="D15835" s="50" t="str">
        <f>VLOOKUP(A15835,'Componentes APUs'!$A$1:$D$14,3,0)</f>
        <v>U</v>
      </c>
      <c r="E15835" s="50">
        <f>SUM(C15811:C15816)</f>
        <v>2.75</v>
      </c>
      <c r="F15835" s="51">
        <f>VLOOKUP(A15835,'Componentes APUs'!$A$1:$D$14,4,0)</f>
        <v>2777.7777777777778</v>
      </c>
      <c r="G15835" s="51">
        <f>ROUNDUP(F15835*(E15835/21)/E15796,0)</f>
        <v>182</v>
      </c>
    </row>
    <row r="15836" spans="1:7" x14ac:dyDescent="0.25">
      <c r="A15836" s="69" t="s">
        <v>402</v>
      </c>
      <c r="B15836" s="72" t="str">
        <f>VLOOKUP(A15836,'Componentes APUs'!$A$1:$D$14,2,0)</f>
        <v>Bota de seguridad PVC dielectrica</v>
      </c>
      <c r="C15836" s="73"/>
      <c r="D15836" s="50" t="str">
        <f>VLOOKUP(A15836,'Componentes APUs'!$A$1:$D$14,3,0)</f>
        <v>Par</v>
      </c>
      <c r="E15836" s="50">
        <f>SUM(C15811:C15816)</f>
        <v>2.75</v>
      </c>
      <c r="F15836" s="51">
        <f>VLOOKUP(A15836,'Componentes APUs'!$A$1:$D$14,4,0)</f>
        <v>2916.6666666666665</v>
      </c>
      <c r="G15836" s="51">
        <f>ROUNDUP(F15836*(E15836/21)/E15796,0)</f>
        <v>191</v>
      </c>
    </row>
    <row r="15837" spans="1:7" x14ac:dyDescent="0.25">
      <c r="A15837" s="50" t="s">
        <v>403</v>
      </c>
      <c r="B15837" s="72" t="str">
        <f>VLOOKUP(A15837,'Componentes APUs'!$A$1:$D$14,2,0)</f>
        <v>Capuchon</v>
      </c>
      <c r="C15837" s="73"/>
      <c r="D15837" s="50" t="str">
        <f>VLOOKUP(A15837,'Componentes APUs'!$A$1:$D$14,3,0)</f>
        <v>U</v>
      </c>
      <c r="E15837" s="50">
        <f>SUM(C15811:C15816)</f>
        <v>2.75</v>
      </c>
      <c r="F15837" s="51">
        <f>VLOOKUP(A15837,'Componentes APUs'!$A$1:$D$14,4,0)</f>
        <v>2525.2525252525252</v>
      </c>
      <c r="G15837" s="51">
        <f>ROUNDUP(F15837*(E15837/21)/E15796,0)</f>
        <v>166</v>
      </c>
    </row>
    <row r="15838" spans="1:7" x14ac:dyDescent="0.25">
      <c r="A15838" s="69" t="s">
        <v>81</v>
      </c>
      <c r="B15838" s="72" t="str">
        <f>VLOOKUP(A15838,'Componentes APUs'!$A$1:$D$14,2,0)</f>
        <v>Guantes Protectores  - ingeniero reforzados</v>
      </c>
      <c r="C15838" s="73"/>
      <c r="D15838" s="50" t="str">
        <f>VLOOKUP(A15838,'Componentes APUs'!$A$1:$D$14,3,0)</f>
        <v>Par</v>
      </c>
      <c r="E15838" s="50">
        <f>C15813+C15814+C15816</f>
        <v>2</v>
      </c>
      <c r="F15838" s="51">
        <f>VLOOKUP(A15838,'Componentes APUs'!$A$1:$D$14,4,0)</f>
        <v>2525.2525252525252</v>
      </c>
      <c r="G15838" s="51">
        <f>ROUNDUP(F15838*(E15838/21)/E15796,0)</f>
        <v>121</v>
      </c>
    </row>
    <row r="15839" spans="1:7" x14ac:dyDescent="0.25">
      <c r="A15839" s="50" t="s">
        <v>83</v>
      </c>
      <c r="B15839" s="72" t="str">
        <f>VLOOKUP(A15839,'Componentes APUs'!$A$1:$D$14,2,0)</f>
        <v>Impermeable (pantalon camisa)</v>
      </c>
      <c r="C15839" s="73"/>
      <c r="D15839" s="50" t="str">
        <f>VLOOKUP(A15839,'Componentes APUs'!$A$1:$D$14,3,0)</f>
        <v>U</v>
      </c>
      <c r="E15839" s="50">
        <f>SUM(C15811:C15816)</f>
        <v>2.75</v>
      </c>
      <c r="F15839" s="51">
        <f>VLOOKUP(A15839,'Componentes APUs'!$A$1:$D$14,4,0)</f>
        <v>3750</v>
      </c>
      <c r="G15839" s="51">
        <f>ROUNDUP(F15839*(E15839/21)/E15796,0)</f>
        <v>246</v>
      </c>
    </row>
    <row r="15840" spans="1:7" x14ac:dyDescent="0.25">
      <c r="A15840" s="69" t="s">
        <v>85</v>
      </c>
      <c r="B15840" s="72" t="str">
        <f>VLOOKUP(A15840,'Componentes APUs'!$A$1:$D$14,2,0)</f>
        <v>Jean Dielectrico</v>
      </c>
      <c r="C15840" s="73"/>
      <c r="D15840" s="50" t="str">
        <f>VLOOKUP(A15840,'Componentes APUs'!$A$1:$D$14,3,0)</f>
        <v>U</v>
      </c>
      <c r="E15840" s="50">
        <f>SUM(C15811:C15816)</f>
        <v>2.75</v>
      </c>
      <c r="F15840" s="51">
        <f>VLOOKUP(A15840,'Componentes APUs'!$A$1:$D$14,4,0)</f>
        <v>7575.757575757576</v>
      </c>
      <c r="G15840" s="51">
        <f>ROUNDUP(F15840*(E15840/21)/E15796,0)</f>
        <v>497</v>
      </c>
    </row>
    <row r="15841" spans="1:7" x14ac:dyDescent="0.25">
      <c r="A15841" s="50" t="s">
        <v>87</v>
      </c>
      <c r="B15841" s="72" t="str">
        <f>VLOOKUP(A15841,'Componentes APUs'!$A$1:$D$14,2,0)</f>
        <v>Casco dielectrico Tipo 2 Clase E con barboquejo</v>
      </c>
      <c r="C15841" s="73"/>
      <c r="D15841" s="50" t="str">
        <f>VLOOKUP(A15841,'Componentes APUs'!$A$1:$D$14,3,0)</f>
        <v>U</v>
      </c>
      <c r="E15841" s="53">
        <f>IF(A15813="MO-3",C15813,0)</f>
        <v>0</v>
      </c>
      <c r="F15841" s="51">
        <f>VLOOKUP(A15841,'Componentes APUs'!$A$1:$D$14,4,0)</f>
        <v>7500</v>
      </c>
      <c r="G15841" s="51">
        <f>ROUNDUP(F15841*(E15841/21)/E15796,0)</f>
        <v>0</v>
      </c>
    </row>
    <row r="15842" spans="1:7" x14ac:dyDescent="0.25">
      <c r="A15842" s="69" t="s">
        <v>89</v>
      </c>
      <c r="B15842" s="72" t="str">
        <f>VLOOKUP(A15842,'Componentes APUs'!$A$1:$D$14,2,0)</f>
        <v>Kit de rescate para trabajo en alturas</v>
      </c>
      <c r="C15842" s="73"/>
      <c r="D15842" s="50" t="str">
        <f>VLOOKUP(A15842,'Componentes APUs'!$A$1:$D$14,3,0)</f>
        <v>U</v>
      </c>
      <c r="E15842" s="50">
        <f>IF(AND(A15813="MO-3",C15813=2),1,0)</f>
        <v>0</v>
      </c>
      <c r="F15842" s="51">
        <f>VLOOKUP(A15842,'Componentes APUs'!$A$1:$D$14,4,0)</f>
        <v>37500</v>
      </c>
      <c r="G15842" s="51">
        <f>ROUNDUP(F15842*(E15842/21)/E15796,0)</f>
        <v>0</v>
      </c>
    </row>
    <row r="15843" spans="1:7" x14ac:dyDescent="0.25">
      <c r="A15843" s="50" t="s">
        <v>91</v>
      </c>
      <c r="B15843" s="72" t="str">
        <f>VLOOKUP(A15843,'Componentes APUs'!$A$1:$D$14,2,0)</f>
        <v>Equipo completo para trabajo en alturas con pretales (Arnes dielectrico, 1 mosqueton de seguridad, tie off dielectrico, eslinga de posicionamiento, juego de pretales)</v>
      </c>
      <c r="C15843" s="73"/>
      <c r="D15843" s="50" t="str">
        <f>VLOOKUP(A15843,'Componentes APUs'!$A$1:$D$14,3,0)</f>
        <v>U</v>
      </c>
      <c r="E15843" s="50">
        <f>IF(A15812="MO-3",C15812,0)</f>
        <v>0</v>
      </c>
      <c r="F15843" s="51">
        <f>VLOOKUP(A15843,'Componentes APUs'!$A$1:$D$14,4,0)</f>
        <v>26041.666666666668</v>
      </c>
      <c r="G15843" s="51">
        <f>ROUNDUP(F15843*(E15843/21)/E15796,0)</f>
        <v>0</v>
      </c>
    </row>
    <row r="15844" spans="1:7" x14ac:dyDescent="0.25">
      <c r="A15844" s="219" t="s">
        <v>95</v>
      </c>
      <c r="B15844" s="219"/>
      <c r="C15844" s="219"/>
      <c r="D15844" s="219"/>
      <c r="E15844" s="219"/>
      <c r="F15844" s="219"/>
      <c r="G15844" s="52">
        <f>SUM(G15831:G15843)</f>
        <v>3369</v>
      </c>
    </row>
    <row r="15845" spans="1:7" x14ac:dyDescent="0.25">
      <c r="A15845" s="56"/>
      <c r="B15845" s="57"/>
      <c r="C15845" s="57"/>
      <c r="D15845" s="57"/>
      <c r="E15845" s="57"/>
      <c r="F15845" s="57"/>
      <c r="G15845" s="58"/>
    </row>
    <row r="15846" spans="1:7" x14ac:dyDescent="0.25">
      <c r="A15846" s="219" t="s">
        <v>96</v>
      </c>
      <c r="B15846" s="219"/>
      <c r="C15846" s="219"/>
      <c r="D15846" s="219"/>
      <c r="E15846" s="219"/>
      <c r="F15846" s="219"/>
      <c r="G15846" s="219"/>
    </row>
    <row r="15847" spans="1:7" x14ac:dyDescent="0.25">
      <c r="A15847" s="49" t="s">
        <v>35</v>
      </c>
      <c r="B15847" s="225" t="s">
        <v>36</v>
      </c>
      <c r="C15847" s="225"/>
      <c r="D15847" s="49" t="s">
        <v>37</v>
      </c>
      <c r="E15847" s="49" t="s">
        <v>38</v>
      </c>
      <c r="F15847" s="49" t="s">
        <v>39</v>
      </c>
      <c r="G15847" s="49" t="s">
        <v>40</v>
      </c>
    </row>
    <row r="15848" spans="1:7" x14ac:dyDescent="0.25">
      <c r="A15848" s="69" t="s">
        <v>97</v>
      </c>
      <c r="B15848" s="72" t="str">
        <f>VLOOKUP(A15848,'Componentes APUs'!$N$1:$Q$30,2,0)</f>
        <v>Camioneta</v>
      </c>
      <c r="C15848" s="73"/>
      <c r="D15848" s="70" t="str">
        <f>VLOOKUP(A15848,'Componentes APUs'!$N$1:$Q$30,3,0)</f>
        <v>U</v>
      </c>
      <c r="E15848" s="50">
        <v>1</v>
      </c>
      <c r="F15848" s="51">
        <f>VLOOKUP(A15848,'Componentes APUs'!$N$1:$Q$30,4,0)</f>
        <v>5500000</v>
      </c>
      <c r="G15848" s="51">
        <f>IFERROR(ROUNDUP(F15848*(E15848/21)/E15796,0),0)</f>
        <v>130953</v>
      </c>
    </row>
    <row r="15849" spans="1:7" x14ac:dyDescent="0.25">
      <c r="A15849" s="50" t="s">
        <v>321</v>
      </c>
      <c r="B15849" s="72" t="str">
        <f>VLOOKUP(A15849,'Componentes APUs'!$N$1:$Q$30,2,0)</f>
        <v>Grúa Hidráulica</v>
      </c>
      <c r="C15849" s="73"/>
      <c r="D15849" s="70" t="str">
        <f>VLOOKUP(A15849,'Componentes APUs'!$N$1:$Q$30,3,0)</f>
        <v>U</v>
      </c>
      <c r="E15849" s="50">
        <v>0</v>
      </c>
      <c r="F15849" s="51">
        <f>VLOOKUP(A15849,'Componentes APUs'!$N$1:$Q$30,4,0)</f>
        <v>21000000</v>
      </c>
      <c r="G15849" s="51">
        <f>IFERROR(ROUNDUP(F15849*(E15849/21)/E15796,0),0)</f>
        <v>0</v>
      </c>
    </row>
    <row r="15850" spans="1:7" x14ac:dyDescent="0.25">
      <c r="A15850" s="69" t="s">
        <v>322</v>
      </c>
      <c r="B15850" s="72" t="str">
        <f>VLOOKUP(A15850,'Componentes APUs'!$N$1:$Q$30,2,0)</f>
        <v>Camabaja</v>
      </c>
      <c r="C15850" s="73"/>
      <c r="D15850" s="70" t="str">
        <f>VLOOKUP(A15850,'Componentes APUs'!$N$1:$Q$30,3,0)</f>
        <v>TON/KM</v>
      </c>
      <c r="E15850" s="50">
        <v>0</v>
      </c>
      <c r="F15850" s="51">
        <f>VLOOKUP(A15850,'Componentes APUs'!$N$1:$Q$30,4,0)</f>
        <v>611</v>
      </c>
      <c r="G15850" s="51">
        <f>IFERROR(ROUNDUP(F15850*(E15850/21)/E15796,0),0)</f>
        <v>0</v>
      </c>
    </row>
    <row r="15851" spans="1:7" x14ac:dyDescent="0.25">
      <c r="A15851" s="50" t="s">
        <v>323</v>
      </c>
      <c r="B15851" s="72" t="str">
        <f>VLOOKUP(A15851,'Componentes APUs'!$N$1:$Q$30,2,0)</f>
        <v>Volqueta</v>
      </c>
      <c r="C15851" s="73"/>
      <c r="D15851" s="70" t="str">
        <f>VLOOKUP(A15851,'Componentes APUs'!$N$1:$Q$30,3,0)</f>
        <v>U</v>
      </c>
      <c r="E15851" s="50">
        <v>0</v>
      </c>
      <c r="F15851" s="51">
        <f>VLOOKUP(A15851,'Componentes APUs'!$N$1:$Q$30,4,0)</f>
        <v>14828184</v>
      </c>
      <c r="G15851" s="51">
        <f>IFERROR(ROUNDUP(F15851*(E15851/21)/E15796,0),0)</f>
        <v>0</v>
      </c>
    </row>
    <row r="15852" spans="1:7" x14ac:dyDescent="0.25">
      <c r="A15852" s="69" t="s">
        <v>324</v>
      </c>
      <c r="B15852" s="72" t="str">
        <f>VLOOKUP(A15852,'Componentes APUs'!$N$1:$Q$30,2,0)</f>
        <v>Retroexcavadora</v>
      </c>
      <c r="C15852" s="73"/>
      <c r="D15852" s="70" t="str">
        <f>VLOOKUP(A15852,'Componentes APUs'!$N$1:$Q$30,3,0)</f>
        <v>U</v>
      </c>
      <c r="E15852" s="50">
        <v>0</v>
      </c>
      <c r="F15852" s="51">
        <f>VLOOKUP(A15852,'Componentes APUs'!$N$1:$Q$30,4,0)</f>
        <v>46030656</v>
      </c>
      <c r="G15852" s="51">
        <f>IFERROR(ROUNDUP(F15852*(E15852/21)/E15796,0),0)</f>
        <v>0</v>
      </c>
    </row>
    <row r="15853" spans="1:7" x14ac:dyDescent="0.25">
      <c r="A15853" s="219" t="s">
        <v>99</v>
      </c>
      <c r="B15853" s="219"/>
      <c r="C15853" s="219"/>
      <c r="D15853" s="219"/>
      <c r="E15853" s="219"/>
      <c r="F15853" s="219"/>
      <c r="G15853" s="52">
        <f>SUM(G15848:G15852)</f>
        <v>130953</v>
      </c>
    </row>
    <row r="15854" spans="1:7" x14ac:dyDescent="0.25">
      <c r="A15854" s="56"/>
      <c r="B15854" s="57"/>
      <c r="C15854" s="57"/>
      <c r="D15854" s="57"/>
      <c r="E15854" s="57"/>
      <c r="F15854" s="57"/>
      <c r="G15854" s="58"/>
    </row>
    <row r="15855" spans="1:7" x14ac:dyDescent="0.25">
      <c r="A15855" s="219" t="s">
        <v>1516</v>
      </c>
      <c r="B15855" s="219"/>
      <c r="C15855" s="219"/>
      <c r="D15855" s="219"/>
      <c r="E15855" s="219"/>
      <c r="F15855" s="219"/>
      <c r="G15855" s="52">
        <f>G15853+G15844+G15827+G15817+G15807</f>
        <v>7092027</v>
      </c>
    </row>
    <row r="15856" spans="1:7" x14ac:dyDescent="0.25">
      <c r="A15856" s="59"/>
      <c r="B15856" s="60"/>
      <c r="C15856" s="60"/>
      <c r="D15856" s="60"/>
      <c r="E15856" s="57"/>
      <c r="F15856" s="57"/>
      <c r="G15856" s="58"/>
    </row>
    <row r="15857" spans="1:7" x14ac:dyDescent="0.25">
      <c r="A15857" s="64"/>
      <c r="D15857" s="55"/>
      <c r="E15857" s="49" t="s">
        <v>25</v>
      </c>
      <c r="F15857" s="54">
        <v>0.15</v>
      </c>
      <c r="G15857" s="51">
        <f>G15855*F15857</f>
        <v>1063804.05</v>
      </c>
    </row>
    <row r="15858" spans="1:7" x14ac:dyDescent="0.25">
      <c r="A15858" s="64"/>
      <c r="D15858" s="55"/>
      <c r="E15858" s="49" t="s">
        <v>26</v>
      </c>
      <c r="F15858" s="54">
        <v>0.05</v>
      </c>
      <c r="G15858" s="51">
        <f>G15855*F15858</f>
        <v>354601.35000000003</v>
      </c>
    </row>
    <row r="15859" spans="1:7" x14ac:dyDescent="0.25">
      <c r="A15859" s="61"/>
      <c r="B15859" s="65"/>
      <c r="C15859" s="65"/>
      <c r="D15859" s="62"/>
      <c r="E15859" s="49" t="s">
        <v>27</v>
      </c>
      <c r="F15859" s="54">
        <v>0.05</v>
      </c>
      <c r="G15859" s="51">
        <f>G15855*F15859</f>
        <v>354601.35000000003</v>
      </c>
    </row>
    <row r="15860" spans="1:7" x14ac:dyDescent="0.25">
      <c r="A15860" s="61"/>
      <c r="B15860" s="62"/>
      <c r="C15860" s="62"/>
      <c r="D15860" s="62"/>
      <c r="E15860" s="62"/>
      <c r="F15860" s="62"/>
      <c r="G15860" s="63"/>
    </row>
    <row r="15861" spans="1:7" x14ac:dyDescent="0.25">
      <c r="A15861" s="219" t="s">
        <v>1517</v>
      </c>
      <c r="B15861" s="219"/>
      <c r="C15861" s="219"/>
      <c r="D15861" s="219"/>
      <c r="E15861" s="219"/>
      <c r="F15861" s="219"/>
      <c r="G15861" s="52">
        <f>G15855+G15857+G15858+G15859</f>
        <v>8865033.75</v>
      </c>
    </row>
    <row r="15862" spans="1:7" x14ac:dyDescent="0.25">
      <c r="A15862" s="59"/>
      <c r="B15862" s="60"/>
      <c r="C15862" s="60"/>
      <c r="D15862" s="60"/>
      <c r="E15862" s="57"/>
      <c r="F15862" s="57"/>
      <c r="G15862" s="58"/>
    </row>
    <row r="15863" spans="1:7" x14ac:dyDescent="0.25">
      <c r="A15863" s="64"/>
      <c r="D15863" s="55"/>
      <c r="E15863" s="49" t="s">
        <v>102</v>
      </c>
      <c r="F15863" s="49" t="s">
        <v>103</v>
      </c>
      <c r="G15863" s="51">
        <f>G15859*19%</f>
        <v>67374.256500000003</v>
      </c>
    </row>
    <row r="15864" spans="1:7" x14ac:dyDescent="0.25">
      <c r="A15864" s="61"/>
      <c r="B15864" s="62"/>
      <c r="C15864" s="62"/>
      <c r="D15864" s="62"/>
      <c r="E15864" s="57"/>
      <c r="F15864" s="57"/>
      <c r="G15864" s="58"/>
    </row>
    <row r="15865" spans="1:7" x14ac:dyDescent="0.25">
      <c r="A15865" s="219" t="s">
        <v>104</v>
      </c>
      <c r="B15865" s="219"/>
      <c r="C15865" s="219"/>
      <c r="D15865" s="219"/>
      <c r="E15865" s="219"/>
      <c r="F15865" s="219"/>
      <c r="G15865" s="52">
        <f>G15863+G15861</f>
        <v>8932408.0065000001</v>
      </c>
    </row>
    <row r="15867" spans="1:7" x14ac:dyDescent="0.25">
      <c r="A15867" s="74" t="s">
        <v>29</v>
      </c>
      <c r="B15867" s="226" t="s">
        <v>30</v>
      </c>
      <c r="C15867" s="226"/>
      <c r="D15867" s="74" t="s">
        <v>31</v>
      </c>
      <c r="E15867" s="74" t="s">
        <v>32</v>
      </c>
      <c r="F15867" s="74" t="s">
        <v>189</v>
      </c>
      <c r="G15867" s="74" t="s">
        <v>33</v>
      </c>
    </row>
    <row r="15868" spans="1:7" ht="45" customHeight="1" x14ac:dyDescent="0.25">
      <c r="A15868" s="50" t="str">
        <f>Presupuesto!B310</f>
        <v>007_SC</v>
      </c>
      <c r="B15868" s="220" t="str">
        <f>Presupuesto!C310</f>
        <v>SUMINISTRO E INSTALACIÓN DE HMI. Pantalla 32", Procesador Intel Core i9 Generación 13th o superior. RAM: Mínimo 24 GB, Almacenamiento: 1 TB, 2 Puertos Ethernet , Compatibilidad con IEC 61850, Modbus TCP/IP, DNP3, OPC UA/DA, y protocolos estándar SCADA.</v>
      </c>
      <c r="C15868" s="220"/>
      <c r="D15868" s="50" t="s">
        <v>8</v>
      </c>
      <c r="E15868" s="50">
        <v>1</v>
      </c>
      <c r="F15868" s="50"/>
      <c r="G15868" s="51">
        <f>G15932</f>
        <v>14153801.282500001</v>
      </c>
    </row>
    <row r="15869" spans="1:7" x14ac:dyDescent="0.25">
      <c r="A15869" s="219" t="s">
        <v>34</v>
      </c>
      <c r="B15869" s="219"/>
      <c r="C15869" s="219"/>
      <c r="D15869" s="219"/>
      <c r="E15869" s="219"/>
      <c r="F15869" s="219"/>
      <c r="G15869" s="219"/>
    </row>
    <row r="15870" spans="1:7" x14ac:dyDescent="0.25">
      <c r="A15870" s="49" t="s">
        <v>35</v>
      </c>
      <c r="B15870" s="219" t="s">
        <v>36</v>
      </c>
      <c r="C15870" s="219"/>
      <c r="D15870" s="49" t="s">
        <v>37</v>
      </c>
      <c r="E15870" s="49" t="s">
        <v>38</v>
      </c>
      <c r="F15870" s="49" t="s">
        <v>39</v>
      </c>
      <c r="G15870" s="49" t="s">
        <v>40</v>
      </c>
    </row>
    <row r="15871" spans="1:7" ht="54" customHeight="1" x14ac:dyDescent="0.25">
      <c r="A15871" s="17" t="str">
        <f>Material!A86</f>
        <v>MA-85</v>
      </c>
      <c r="B15871" s="232" t="str">
        <f>IFERROR(VLOOKUP(A15871,Material!$A:$H,2,0),"-")</f>
        <v>COMPUTADOR DE ESCRITORIO. PANTALLA 32 PULGADAS, PROCESADOR QUAD-CORE A 1.6 GHZ O SUPERIOR, RAM: MÍNIMO 4 GB, ALMACENAMIENTO: 1 TB, 2 PUERTOS ETHERNET , COMPATIBILIDAD CON IEC 61850, MODBUS TCP/IP, DNP3, OPC UA/DA, Y PROTOCOLOS ESTÁNDAR SCADA.</v>
      </c>
      <c r="C15871" s="233"/>
      <c r="D15871" s="50" t="str">
        <f>IFERROR(VLOOKUP(A15871,Material!$A:$H,4,0),"-")</f>
        <v>UN</v>
      </c>
      <c r="E15871" s="50">
        <v>1</v>
      </c>
      <c r="F15871" s="51">
        <f>IFERROR(VLOOKUP(A15871,Material!$A:$H,3,0),"-")</f>
        <v>10400000</v>
      </c>
      <c r="G15871" s="51">
        <f t="shared" ref="G15871:G15873" si="226">IFERROR(ROUNDUP(F15871*E15871,0),"-")</f>
        <v>10400000</v>
      </c>
    </row>
    <row r="15872" spans="1:7" x14ac:dyDescent="0.25">
      <c r="A15872" s="17"/>
      <c r="B15872" s="72" t="str">
        <f>IFERROR(VLOOKUP(A15872,Material!$A:$H,2,0),"-")</f>
        <v>-</v>
      </c>
      <c r="C15872" s="73"/>
      <c r="D15872" s="50" t="str">
        <f>IFERROR(VLOOKUP(A15872,Material!$A:$H,4,0),"-")</f>
        <v>-</v>
      </c>
      <c r="E15872" s="50"/>
      <c r="F15872" s="51" t="str">
        <f>IFERROR(VLOOKUP(A15872,Material!$A:$H,3,0),"-")</f>
        <v>-</v>
      </c>
      <c r="G15872" s="51" t="str">
        <f t="shared" si="226"/>
        <v>-</v>
      </c>
    </row>
    <row r="15873" spans="1:7" x14ac:dyDescent="0.25">
      <c r="A15873" s="17"/>
      <c r="B15873" s="72" t="str">
        <f>IFERROR(VLOOKUP(A15873,Material!$A:$H,2,0),"-")</f>
        <v>-</v>
      </c>
      <c r="C15873" s="73"/>
      <c r="D15873" s="50" t="str">
        <f>IFERROR(VLOOKUP(A15873,Material!$A:$H,4,0),"-")</f>
        <v>-</v>
      </c>
      <c r="E15873" s="50"/>
      <c r="F15873" s="51" t="str">
        <f>IFERROR(VLOOKUP(A15873,Material!$A:$H,3,0),"-")</f>
        <v>-</v>
      </c>
      <c r="G15873" s="51" t="str">
        <f t="shared" si="226"/>
        <v>-</v>
      </c>
    </row>
    <row r="15874" spans="1:7" x14ac:dyDescent="0.25">
      <c r="A15874" s="219" t="s">
        <v>41</v>
      </c>
      <c r="B15874" s="219"/>
      <c r="C15874" s="219"/>
      <c r="D15874" s="219"/>
      <c r="E15874" s="219"/>
      <c r="F15874" s="219"/>
      <c r="G15874" s="52">
        <f>SUM(G15871:G15873)</f>
        <v>10400000</v>
      </c>
    </row>
    <row r="15875" spans="1:7" x14ac:dyDescent="0.25">
      <c r="A15875" s="56"/>
      <c r="B15875" s="57"/>
      <c r="C15875" s="57"/>
      <c r="D15875" s="57"/>
      <c r="E15875" s="57"/>
      <c r="F15875" s="57"/>
      <c r="G15875" s="58"/>
    </row>
    <row r="15876" spans="1:7" x14ac:dyDescent="0.25">
      <c r="A15876" s="219" t="s">
        <v>42</v>
      </c>
      <c r="B15876" s="219"/>
      <c r="C15876" s="219"/>
      <c r="D15876" s="219"/>
      <c r="E15876" s="219"/>
      <c r="F15876" s="219"/>
      <c r="G15876" s="219"/>
    </row>
    <row r="15877" spans="1:7" x14ac:dyDescent="0.25">
      <c r="A15877" s="49" t="s">
        <v>35</v>
      </c>
      <c r="B15877" s="49" t="s">
        <v>36</v>
      </c>
      <c r="C15877" s="49" t="s">
        <v>38</v>
      </c>
      <c r="D15877" s="49" t="s">
        <v>43</v>
      </c>
      <c r="E15877" s="49" t="s">
        <v>44</v>
      </c>
      <c r="F15877" s="49" t="s">
        <v>45</v>
      </c>
      <c r="G15877" s="49" t="s">
        <v>40</v>
      </c>
    </row>
    <row r="15878" spans="1:7" x14ac:dyDescent="0.25">
      <c r="A15878" s="50" t="s">
        <v>319</v>
      </c>
      <c r="B15878" s="68" t="str">
        <f>VLOOKUP(A15878,'Componentes APUs'!$H$1:$L$25,2,0)</f>
        <v>Ingeniero Residente de Obra</v>
      </c>
      <c r="C15878" s="93">
        <v>1</v>
      </c>
      <c r="D15878" s="50">
        <f>VLOOKUP(A15878,'Componentes APUs'!$H$1:$L$25,3,0)</f>
        <v>4</v>
      </c>
      <c r="E15878" s="51">
        <f>VLOOKUP(A15878,'Componentes APUs'!$H$1:$L$25,4,0)</f>
        <v>271142.85714285716</v>
      </c>
      <c r="F15878" s="51">
        <f>VLOOKUP(A15878,'Componentes APUs'!$H$1:$L$25,5,0)</f>
        <v>162685.71428571429</v>
      </c>
      <c r="G15878" s="51">
        <f>ROUNDUP((E15878+F15878)*C15878/E15868,0)</f>
        <v>433829</v>
      </c>
    </row>
    <row r="15879" spans="1:7" x14ac:dyDescent="0.25">
      <c r="A15879" s="50" t="s">
        <v>320</v>
      </c>
      <c r="B15879" s="68" t="str">
        <f>VLOOKUP(A15879,'Componentes APUs'!$H$1:$L$25,2,0)</f>
        <v>Tecnico Supervisor</v>
      </c>
      <c r="C15879" s="93">
        <v>0.25</v>
      </c>
      <c r="D15879" s="50">
        <f>VLOOKUP(A15879,'Componentes APUs'!$H$1:$L$25,3,0)</f>
        <v>2.2999999999999998</v>
      </c>
      <c r="E15879" s="51">
        <f>VLOOKUP(A15879,'Componentes APUs'!$H$1:$L$25,4,0)</f>
        <v>155907.14285714284</v>
      </c>
      <c r="F15879" s="51">
        <f>VLOOKUP(A15879,'Componentes APUs'!$H$1:$L$25,5,0)</f>
        <v>93544.285714285696</v>
      </c>
      <c r="G15879" s="51">
        <f>ROUNDUP((E15879+F15879)*C15879/E15868,0)</f>
        <v>62363</v>
      </c>
    </row>
    <row r="15880" spans="1:7" x14ac:dyDescent="0.25">
      <c r="A15880" s="50" t="s">
        <v>46</v>
      </c>
      <c r="B15880" s="68" t="str">
        <f>VLOOKUP(A15880,'Componentes APUs'!$H$1:$L$25,2,0)</f>
        <v>Tecnico Liniero</v>
      </c>
      <c r="C15880" s="93">
        <v>0</v>
      </c>
      <c r="D15880" s="50">
        <f>VLOOKUP(A15880,'Componentes APUs'!$H$1:$L$25,3,0)</f>
        <v>2</v>
      </c>
      <c r="E15880" s="51">
        <f>VLOOKUP(A15880,'Componentes APUs'!$H$1:$L$25,4,0)</f>
        <v>154619.04761904763</v>
      </c>
      <c r="F15880" s="51">
        <f>VLOOKUP(A15880,'Componentes APUs'!$H$1:$L$25,5,0)</f>
        <v>92771.42857142858</v>
      </c>
      <c r="G15880" s="51">
        <f>ROUNDUP((E15880+F15880)*C15880/E15868,0)</f>
        <v>0</v>
      </c>
    </row>
    <row r="15881" spans="1:7" x14ac:dyDescent="0.25">
      <c r="A15881" s="50" t="s">
        <v>48</v>
      </c>
      <c r="B15881" s="68" t="str">
        <f>VLOOKUP(A15881,'Componentes APUs'!$H$1:$L$25,2,0)</f>
        <v>Ayudante Calificado</v>
      </c>
      <c r="C15881" s="93">
        <v>0</v>
      </c>
      <c r="D15881" s="50">
        <f>VLOOKUP(A15881,'Componentes APUs'!$H$1:$L$25,3,0)</f>
        <v>1.5</v>
      </c>
      <c r="E15881" s="51">
        <f>VLOOKUP(A15881,'Componentes APUs'!$H$1:$L$25,4,0)</f>
        <v>115964.28571428571</v>
      </c>
      <c r="F15881" s="51">
        <f>VLOOKUP(A15881,'Componentes APUs'!$H$1:$L$25,5,0)</f>
        <v>69578.57142857142</v>
      </c>
      <c r="G15881" s="51">
        <f>ROUNDUP((E15881+F15881)*C15881/E15868,0)</f>
        <v>0</v>
      </c>
    </row>
    <row r="15882" spans="1:7" x14ac:dyDescent="0.25">
      <c r="A15882" s="50" t="s">
        <v>50</v>
      </c>
      <c r="B15882" s="68" t="str">
        <f>VLOOKUP(A15882,'Componentes APUs'!$H$1:$L$25,2,0)</f>
        <v>Profesional en SST</v>
      </c>
      <c r="C15882" s="93">
        <v>0.25</v>
      </c>
      <c r="D15882" s="50">
        <f>VLOOKUP(A15882,'Componentes APUs'!$H$1:$L$25,3,0)</f>
        <v>2.5</v>
      </c>
      <c r="E15882" s="51">
        <f>VLOOKUP(A15882,'Componentes APUs'!$H$1:$L$25,4,0)</f>
        <v>169464.28571428571</v>
      </c>
      <c r="F15882" s="51">
        <f>VLOOKUP(A15882,'Componentes APUs'!$H$1:$L$25,5,0)</f>
        <v>101678.57142857142</v>
      </c>
      <c r="G15882" s="51">
        <f>ROUNDUP((E15882+F15882)*C15882/E15868,0)</f>
        <v>67786</v>
      </c>
    </row>
    <row r="15883" spans="1:7" x14ac:dyDescent="0.25">
      <c r="A15883" s="50" t="s">
        <v>52</v>
      </c>
      <c r="B15883" s="68" t="str">
        <f>VLOOKUP(A15883,'Componentes APUs'!$H$1:$L$25,2,0)</f>
        <v>Ayudante No Calificado</v>
      </c>
      <c r="C15883" s="93">
        <v>0</v>
      </c>
      <c r="D15883" s="50">
        <f>VLOOKUP(A15883,'Componentes APUs'!$H$1:$L$25,3,0)</f>
        <v>1</v>
      </c>
      <c r="E15883" s="51">
        <f>VLOOKUP(A15883,'Componentes APUs'!$H$1:$L$25,4,0)</f>
        <v>77309.523809523816</v>
      </c>
      <c r="F15883" s="51">
        <f>VLOOKUP(A15883,'Componentes APUs'!$H$1:$L$25,5,0)</f>
        <v>46385.71428571429</v>
      </c>
      <c r="G15883" s="51">
        <f>ROUNDUP((E15883+F15883)*C15883/E15868,0)</f>
        <v>0</v>
      </c>
    </row>
    <row r="15884" spans="1:7" x14ac:dyDescent="0.25">
      <c r="A15884" s="219" t="s">
        <v>56</v>
      </c>
      <c r="B15884" s="219"/>
      <c r="C15884" s="219"/>
      <c r="D15884" s="219"/>
      <c r="E15884" s="219"/>
      <c r="F15884" s="219"/>
      <c r="G15884" s="52">
        <f>SUM(G15878:G15883)</f>
        <v>563978</v>
      </c>
    </row>
    <row r="15885" spans="1:7" x14ac:dyDescent="0.25">
      <c r="A15885" s="56"/>
      <c r="B15885" s="57"/>
      <c r="C15885" s="57"/>
      <c r="D15885" s="57"/>
      <c r="E15885" s="57"/>
      <c r="F15885" s="57"/>
      <c r="G15885" s="58"/>
    </row>
    <row r="15886" spans="1:7" x14ac:dyDescent="0.25">
      <c r="A15886" s="219" t="s">
        <v>57</v>
      </c>
      <c r="B15886" s="219"/>
      <c r="C15886" s="219"/>
      <c r="D15886" s="219"/>
      <c r="E15886" s="219"/>
      <c r="F15886" s="219"/>
      <c r="G15886" s="219"/>
    </row>
    <row r="15887" spans="1:7" x14ac:dyDescent="0.25">
      <c r="A15887" s="49" t="s">
        <v>35</v>
      </c>
      <c r="B15887" s="219" t="s">
        <v>36</v>
      </c>
      <c r="C15887" s="219"/>
      <c r="D15887" s="49" t="s">
        <v>37</v>
      </c>
      <c r="E15887" s="49" t="s">
        <v>38</v>
      </c>
      <c r="F15887" s="49" t="s">
        <v>39</v>
      </c>
      <c r="G15887" s="49" t="s">
        <v>40</v>
      </c>
    </row>
    <row r="15888" spans="1:7" x14ac:dyDescent="0.25">
      <c r="A15888" s="50" t="s">
        <v>326</v>
      </c>
      <c r="B15888" s="220" t="str">
        <f>VLOOKUP(A15888,'Componentes APUs'!$S$1:$V$10,2,0)</f>
        <v>Juego Llaves</v>
      </c>
      <c r="C15888" s="220"/>
      <c r="D15888" s="50" t="s">
        <v>18</v>
      </c>
      <c r="E15888" s="50">
        <v>2</v>
      </c>
      <c r="F15888" s="51">
        <f>VLOOKUP(A15888,'Componentes APUs'!$S$1:$V$10,4,0)</f>
        <v>9167</v>
      </c>
      <c r="G15888" s="51">
        <f>ROUNDUP(F15888*((E15888/21)/E15868),0)</f>
        <v>874</v>
      </c>
    </row>
    <row r="15889" spans="1:7" x14ac:dyDescent="0.25">
      <c r="A15889" s="50" t="s">
        <v>58</v>
      </c>
      <c r="B15889" s="220" t="str">
        <f>VLOOKUP(A15889,'Componentes APUs'!$S$1:$V$10,2,0)</f>
        <v>Manila de servicio</v>
      </c>
      <c r="C15889" s="220"/>
      <c r="D15889" s="50" t="s">
        <v>18</v>
      </c>
      <c r="E15889" s="50">
        <v>0</v>
      </c>
      <c r="F15889" s="51">
        <f>VLOOKUP(A15889,'Componentes APUs'!$S$1:$V$10,4,0)</f>
        <v>2333</v>
      </c>
      <c r="G15889" s="51">
        <f>ROUNDUP(F15889*((E15889/21)/E15868),0)</f>
        <v>0</v>
      </c>
    </row>
    <row r="15890" spans="1:7" x14ac:dyDescent="0.25">
      <c r="A15890" s="50" t="s">
        <v>327</v>
      </c>
      <c r="B15890" s="220" t="str">
        <f>VLOOKUP(A15890,'Componentes APUs'!$S$1:$V$10,2,0)</f>
        <v>Tula portaherramientas</v>
      </c>
      <c r="C15890" s="220"/>
      <c r="D15890" s="50" t="s">
        <v>18</v>
      </c>
      <c r="E15890" s="50">
        <v>2</v>
      </c>
      <c r="F15890" s="51">
        <f>VLOOKUP(A15890,'Componentes APUs'!$S$1:$V$10,4,0)</f>
        <v>1250</v>
      </c>
      <c r="G15890" s="51">
        <f>ROUNDUP(F15890*((E15890/21)/E15868),0)</f>
        <v>120</v>
      </c>
    </row>
    <row r="15891" spans="1:7" x14ac:dyDescent="0.25">
      <c r="A15891" s="50" t="s">
        <v>60</v>
      </c>
      <c r="B15891" s="220" t="str">
        <f>VLOOKUP(A15891,'Componentes APUs'!$S$1:$V$10,2,0)</f>
        <v>Agarradoras</v>
      </c>
      <c r="C15891" s="220"/>
      <c r="D15891" s="50" t="s">
        <v>18</v>
      </c>
      <c r="E15891" s="50">
        <v>0</v>
      </c>
      <c r="F15891" s="51">
        <f>VLOOKUP(A15891,'Componentes APUs'!$S$1:$V$10,4,0)</f>
        <v>125000</v>
      </c>
      <c r="G15891" s="51">
        <f>ROUNDUP(F15891*((E15891/21)/E15868),0)</f>
        <v>0</v>
      </c>
    </row>
    <row r="15892" spans="1:7" x14ac:dyDescent="0.25">
      <c r="A15892" s="50" t="s">
        <v>62</v>
      </c>
      <c r="B15892" s="220" t="str">
        <f>VLOOKUP(A15892,'Componentes APUs'!$S$1:$V$10,2,0)</f>
        <v>Templadoras</v>
      </c>
      <c r="C15892" s="220"/>
      <c r="D15892" s="50" t="s">
        <v>18</v>
      </c>
      <c r="E15892" s="50">
        <v>0</v>
      </c>
      <c r="F15892" s="51">
        <f>VLOOKUP(A15892,'Componentes APUs'!$S$1:$V$10,4,0)</f>
        <v>250000</v>
      </c>
      <c r="G15892" s="51">
        <f>ROUNDUP(F15892*((E15892/21)/E15868),0)</f>
        <v>0</v>
      </c>
    </row>
    <row r="15893" spans="1:7" x14ac:dyDescent="0.25">
      <c r="A15893" s="50" t="s">
        <v>328</v>
      </c>
      <c r="B15893" s="220" t="str">
        <f>VLOOKUP(A15893,'Componentes APUs'!$S$1:$V$10,2,0)</f>
        <v>Herramienta Menor</v>
      </c>
      <c r="C15893" s="220"/>
      <c r="D15893" s="50" t="s">
        <v>18</v>
      </c>
      <c r="E15893" s="50">
        <v>2</v>
      </c>
      <c r="F15893" s="51">
        <f>VLOOKUP(A15893,'Componentes APUs'!$S$1:$V$10,4,0)</f>
        <v>75758</v>
      </c>
      <c r="G15893" s="51">
        <f>ROUNDUP(F15893*((E15893/21)/E15868),0)</f>
        <v>7216</v>
      </c>
    </row>
    <row r="15894" spans="1:7" x14ac:dyDescent="0.25">
      <c r="A15894" s="219" t="s">
        <v>69</v>
      </c>
      <c r="B15894" s="219"/>
      <c r="C15894" s="219"/>
      <c r="D15894" s="219"/>
      <c r="E15894" s="219"/>
      <c r="F15894" s="219"/>
      <c r="G15894" s="52">
        <f>SUM(G15888:G15893)</f>
        <v>8210</v>
      </c>
    </row>
    <row r="15895" spans="1:7" x14ac:dyDescent="0.25">
      <c r="A15895" s="56"/>
      <c r="B15895" s="57"/>
      <c r="C15895" s="57"/>
      <c r="D15895" s="57"/>
      <c r="E15895" s="57"/>
      <c r="F15895" s="57"/>
      <c r="G15895" s="58"/>
    </row>
    <row r="15896" spans="1:7" x14ac:dyDescent="0.25">
      <c r="A15896" s="219" t="s">
        <v>70</v>
      </c>
      <c r="B15896" s="219"/>
      <c r="C15896" s="219"/>
      <c r="D15896" s="219"/>
      <c r="E15896" s="219"/>
      <c r="F15896" s="219"/>
      <c r="G15896" s="219"/>
    </row>
    <row r="15897" spans="1:7" x14ac:dyDescent="0.25">
      <c r="A15897" s="49" t="s">
        <v>35</v>
      </c>
      <c r="B15897" s="219" t="s">
        <v>36</v>
      </c>
      <c r="C15897" s="219"/>
      <c r="D15897" s="49" t="s">
        <v>37</v>
      </c>
      <c r="E15897" s="49" t="s">
        <v>38</v>
      </c>
      <c r="F15897" s="49" t="s">
        <v>39</v>
      </c>
      <c r="G15897" s="49" t="s">
        <v>40</v>
      </c>
    </row>
    <row r="15898" spans="1:7" x14ac:dyDescent="0.25">
      <c r="A15898" s="50" t="s">
        <v>71</v>
      </c>
      <c r="B15898" s="71" t="str">
        <f>VLOOKUP(A15898,'Componentes APUs'!$A$1:$D$14,2,0)</f>
        <v>Camisa indigo sin partes metalicas</v>
      </c>
      <c r="C15898" s="71"/>
      <c r="D15898" s="50" t="str">
        <f>VLOOKUP(A15898,'Componentes APUs'!$A$1:$D$14,3,0)</f>
        <v>U</v>
      </c>
      <c r="E15898" s="50">
        <f>SUM(C15878:C15883)</f>
        <v>1.5</v>
      </c>
      <c r="F15898" s="51">
        <f>VLOOKUP(A15898,'Componentes APUs'!$A$1:$D$14,4,0)</f>
        <v>8585.8585858585866</v>
      </c>
      <c r="G15898" s="51">
        <f>ROUNDUP(F15898*(E15898/21)/E15868,0)</f>
        <v>614</v>
      </c>
    </row>
    <row r="15899" spans="1:7" x14ac:dyDescent="0.25">
      <c r="A15899" s="69" t="s">
        <v>73</v>
      </c>
      <c r="B15899" s="72" t="str">
        <f>VLOOKUP(A15899,'Componentes APUs'!$A$1:$D$14,2,0)</f>
        <v>Bota de seguridad dielectrica</v>
      </c>
      <c r="C15899" s="73"/>
      <c r="D15899" s="70" t="str">
        <f>VLOOKUP(A15899,'Componentes APUs'!$A$1:$D$14,3,0)</f>
        <v>Par</v>
      </c>
      <c r="E15899" s="50">
        <f>SUM(C15878:C15883)</f>
        <v>1.5</v>
      </c>
      <c r="F15899" s="51">
        <f>VLOOKUP(A15899,'Componentes APUs'!$A$1:$D$14,4,0)</f>
        <v>7500</v>
      </c>
      <c r="G15899" s="51">
        <f>ROUNDUP(F15899*(E15899/21)/E15868,0)</f>
        <v>536</v>
      </c>
    </row>
    <row r="15900" spans="1:7" x14ac:dyDescent="0.25">
      <c r="A15900" s="50" t="s">
        <v>76</v>
      </c>
      <c r="B15900" s="72" t="str">
        <f>VLOOKUP(A15900,'Componentes APUs'!$A$1:$D$14,2,0)</f>
        <v>Casco dielectrico Tipo 1 Clase E con barbuquejo</v>
      </c>
      <c r="C15900" s="73"/>
      <c r="D15900" s="50" t="str">
        <f>VLOOKUP(A15900,'Componentes APUs'!$A$1:$D$14,3,0)</f>
        <v>U</v>
      </c>
      <c r="E15900" s="50">
        <f>C15878+C15881+C15882+C15879+C15883+IF(A15880&lt;&gt;"MO-3",C15880,0)</f>
        <v>1.5</v>
      </c>
      <c r="F15900" s="51">
        <f>VLOOKUP(A15900,'Componentes APUs'!$A$1:$D$14,4,0)</f>
        <v>10101.010101010101</v>
      </c>
      <c r="G15900" s="51">
        <f>ROUNDUP(F15900*(E15900/21)/E15868,0)</f>
        <v>722</v>
      </c>
    </row>
    <row r="15901" spans="1:7" x14ac:dyDescent="0.25">
      <c r="A15901" s="69" t="s">
        <v>77</v>
      </c>
      <c r="B15901" s="72" t="str">
        <f>VLOOKUP(A15901,'Componentes APUs'!$A$1:$D$14,2,0)</f>
        <v>Correa plastica y antiflama</v>
      </c>
      <c r="C15901" s="73"/>
      <c r="D15901" s="50" t="str">
        <f>VLOOKUP(A15901,'Componentes APUs'!$A$1:$D$14,3,0)</f>
        <v>U</v>
      </c>
      <c r="E15901" s="50">
        <f>SUM(C15878:C15883)</f>
        <v>1.5</v>
      </c>
      <c r="F15901" s="51">
        <f>VLOOKUP(A15901,'Componentes APUs'!$A$1:$D$14,4,0)</f>
        <v>3787.878787878788</v>
      </c>
      <c r="G15901" s="51">
        <f>ROUNDUP(F15901*(E15901/21)/E15868,0)</f>
        <v>271</v>
      </c>
    </row>
    <row r="15902" spans="1:7" x14ac:dyDescent="0.25">
      <c r="A15902" s="50" t="s">
        <v>79</v>
      </c>
      <c r="B15902" s="72" t="str">
        <f>VLOOKUP(A15902,'Componentes APUs'!$A$1:$D$14,2,0)</f>
        <v>Gafas protectoras filtro UV</v>
      </c>
      <c r="C15902" s="73"/>
      <c r="D15902" s="50" t="str">
        <f>VLOOKUP(A15902,'Componentes APUs'!$A$1:$D$14,3,0)</f>
        <v>U</v>
      </c>
      <c r="E15902" s="50">
        <f>SUM(C15878:C15883)</f>
        <v>1.5</v>
      </c>
      <c r="F15902" s="51">
        <f>VLOOKUP(A15902,'Componentes APUs'!$A$1:$D$14,4,0)</f>
        <v>2777.7777777777778</v>
      </c>
      <c r="G15902" s="51">
        <f>ROUNDUP(F15902*(E15902/21)/E15868,0)</f>
        <v>199</v>
      </c>
    </row>
    <row r="15903" spans="1:7" x14ac:dyDescent="0.25">
      <c r="A15903" s="69" t="s">
        <v>402</v>
      </c>
      <c r="B15903" s="72" t="str">
        <f>VLOOKUP(A15903,'Componentes APUs'!$A$1:$D$14,2,0)</f>
        <v>Bota de seguridad PVC dielectrica</v>
      </c>
      <c r="C15903" s="73"/>
      <c r="D15903" s="50" t="str">
        <f>VLOOKUP(A15903,'Componentes APUs'!$A$1:$D$14,3,0)</f>
        <v>Par</v>
      </c>
      <c r="E15903" s="50">
        <f>SUM(C15878:C15883)</f>
        <v>1.5</v>
      </c>
      <c r="F15903" s="51">
        <f>VLOOKUP(A15903,'Componentes APUs'!$A$1:$D$14,4,0)</f>
        <v>2916.6666666666665</v>
      </c>
      <c r="G15903" s="51">
        <f>ROUNDUP(F15903*(E15903/21)/E15868,0)</f>
        <v>209</v>
      </c>
    </row>
    <row r="15904" spans="1:7" x14ac:dyDescent="0.25">
      <c r="A15904" s="50" t="s">
        <v>403</v>
      </c>
      <c r="B15904" s="72" t="str">
        <f>VLOOKUP(A15904,'Componentes APUs'!$A$1:$D$14,2,0)</f>
        <v>Capuchon</v>
      </c>
      <c r="C15904" s="73"/>
      <c r="D15904" s="50" t="str">
        <f>VLOOKUP(A15904,'Componentes APUs'!$A$1:$D$14,3,0)</f>
        <v>U</v>
      </c>
      <c r="E15904" s="50">
        <f>SUM(C15878:C15883)</f>
        <v>1.5</v>
      </c>
      <c r="F15904" s="51">
        <f>VLOOKUP(A15904,'Componentes APUs'!$A$1:$D$14,4,0)</f>
        <v>2525.2525252525252</v>
      </c>
      <c r="G15904" s="51">
        <f>ROUNDUP(F15904*(E15904/21)/E15868,0)</f>
        <v>181</v>
      </c>
    </row>
    <row r="15905" spans="1:7" x14ac:dyDescent="0.25">
      <c r="A15905" s="69" t="s">
        <v>81</v>
      </c>
      <c r="B15905" s="72" t="str">
        <f>VLOOKUP(A15905,'Componentes APUs'!$A$1:$D$14,2,0)</f>
        <v>Guantes Protectores  - ingeniero reforzados</v>
      </c>
      <c r="C15905" s="73"/>
      <c r="D15905" s="50" t="str">
        <f>VLOOKUP(A15905,'Componentes APUs'!$A$1:$D$14,3,0)</f>
        <v>Par</v>
      </c>
      <c r="E15905" s="50">
        <f>C15880+C15881+C15883</f>
        <v>0</v>
      </c>
      <c r="F15905" s="51">
        <f>VLOOKUP(A15905,'Componentes APUs'!$A$1:$D$14,4,0)</f>
        <v>2525.2525252525252</v>
      </c>
      <c r="G15905" s="51">
        <f>ROUNDUP(F15905*(E15905/21)/E15868,0)</f>
        <v>0</v>
      </c>
    </row>
    <row r="15906" spans="1:7" x14ac:dyDescent="0.25">
      <c r="A15906" s="50" t="s">
        <v>83</v>
      </c>
      <c r="B15906" s="72" t="str">
        <f>VLOOKUP(A15906,'Componentes APUs'!$A$1:$D$14,2,0)</f>
        <v>Impermeable (pantalon camisa)</v>
      </c>
      <c r="C15906" s="73"/>
      <c r="D15906" s="50" t="str">
        <f>VLOOKUP(A15906,'Componentes APUs'!$A$1:$D$14,3,0)</f>
        <v>U</v>
      </c>
      <c r="E15906" s="50">
        <f>SUM(C15878:C15883)</f>
        <v>1.5</v>
      </c>
      <c r="F15906" s="51">
        <f>VLOOKUP(A15906,'Componentes APUs'!$A$1:$D$14,4,0)</f>
        <v>3750</v>
      </c>
      <c r="G15906" s="51">
        <f>ROUNDUP(F15906*(E15906/21)/E15868,0)</f>
        <v>268</v>
      </c>
    </row>
    <row r="15907" spans="1:7" x14ac:dyDescent="0.25">
      <c r="A15907" s="69" t="s">
        <v>85</v>
      </c>
      <c r="B15907" s="72" t="str">
        <f>VLOOKUP(A15907,'Componentes APUs'!$A$1:$D$14,2,0)</f>
        <v>Jean Dielectrico</v>
      </c>
      <c r="C15907" s="73"/>
      <c r="D15907" s="50" t="str">
        <f>VLOOKUP(A15907,'Componentes APUs'!$A$1:$D$14,3,0)</f>
        <v>U</v>
      </c>
      <c r="E15907" s="50">
        <f>SUM(C15878:C15883)</f>
        <v>1.5</v>
      </c>
      <c r="F15907" s="51">
        <f>VLOOKUP(A15907,'Componentes APUs'!$A$1:$D$14,4,0)</f>
        <v>7575.757575757576</v>
      </c>
      <c r="G15907" s="51">
        <f>ROUNDUP(F15907*(E15907/21)/E15868,0)</f>
        <v>542</v>
      </c>
    </row>
    <row r="15908" spans="1:7" x14ac:dyDescent="0.25">
      <c r="A15908" s="50" t="s">
        <v>87</v>
      </c>
      <c r="B15908" s="72" t="str">
        <f>VLOOKUP(A15908,'Componentes APUs'!$A$1:$D$14,2,0)</f>
        <v>Casco dielectrico Tipo 2 Clase E con barboquejo</v>
      </c>
      <c r="C15908" s="73"/>
      <c r="D15908" s="50" t="str">
        <f>VLOOKUP(A15908,'Componentes APUs'!$A$1:$D$14,3,0)</f>
        <v>U</v>
      </c>
      <c r="E15908" s="53">
        <f>IF(A15880="MO-3",C15880,0)</f>
        <v>0</v>
      </c>
      <c r="F15908" s="51">
        <f>VLOOKUP(A15908,'Componentes APUs'!$A$1:$D$14,4,0)</f>
        <v>7500</v>
      </c>
      <c r="G15908" s="51">
        <f>ROUNDUP(F15908*(E15908/21)/E15868,0)</f>
        <v>0</v>
      </c>
    </row>
    <row r="15909" spans="1:7" x14ac:dyDescent="0.25">
      <c r="A15909" s="69" t="s">
        <v>89</v>
      </c>
      <c r="B15909" s="72" t="str">
        <f>VLOOKUP(A15909,'Componentes APUs'!$A$1:$D$14,2,0)</f>
        <v>Kit de rescate para trabajo en alturas</v>
      </c>
      <c r="C15909" s="73"/>
      <c r="D15909" s="50" t="str">
        <f>VLOOKUP(A15909,'Componentes APUs'!$A$1:$D$14,3,0)</f>
        <v>U</v>
      </c>
      <c r="E15909" s="50">
        <f>IF(AND(A15880="MO-3",C15880=2),1,0)</f>
        <v>0</v>
      </c>
      <c r="F15909" s="51">
        <f>VLOOKUP(A15909,'Componentes APUs'!$A$1:$D$14,4,0)</f>
        <v>37500</v>
      </c>
      <c r="G15909" s="51">
        <f>ROUNDUP(F15909*(E15909/21)/E15868,0)</f>
        <v>0</v>
      </c>
    </row>
    <row r="15910" spans="1:7" x14ac:dyDescent="0.25">
      <c r="A15910" s="50" t="s">
        <v>91</v>
      </c>
      <c r="B15910" s="72" t="str">
        <f>VLOOKUP(A15910,'Componentes APUs'!$A$1:$D$14,2,0)</f>
        <v>Equipo completo para trabajo en alturas con pretales (Arnes dielectrico, 1 mosqueton de seguridad, tie off dielectrico, eslinga de posicionamiento, juego de pretales)</v>
      </c>
      <c r="C15910" s="73"/>
      <c r="D15910" s="50" t="str">
        <f>VLOOKUP(A15910,'Componentes APUs'!$A$1:$D$14,3,0)</f>
        <v>U</v>
      </c>
      <c r="E15910" s="50">
        <f>IF(A15879="MO-3",C15879,0)</f>
        <v>0</v>
      </c>
      <c r="F15910" s="51">
        <f>VLOOKUP(A15910,'Componentes APUs'!$A$1:$D$14,4,0)</f>
        <v>26041.666666666668</v>
      </c>
      <c r="G15910" s="51">
        <f>ROUNDUP(F15910*(E15910/21)/E15868,0)</f>
        <v>0</v>
      </c>
    </row>
    <row r="15911" spans="1:7" x14ac:dyDescent="0.25">
      <c r="A15911" s="219" t="s">
        <v>95</v>
      </c>
      <c r="B15911" s="219"/>
      <c r="C15911" s="219"/>
      <c r="D15911" s="219"/>
      <c r="E15911" s="219"/>
      <c r="F15911" s="219"/>
      <c r="G15911" s="52">
        <f>SUM(G15898:G15910)</f>
        <v>3542</v>
      </c>
    </row>
    <row r="15912" spans="1:7" x14ac:dyDescent="0.25">
      <c r="A15912" s="56"/>
      <c r="B15912" s="57"/>
      <c r="C15912" s="57"/>
      <c r="D15912" s="57"/>
      <c r="E15912" s="57"/>
      <c r="F15912" s="57"/>
      <c r="G15912" s="58"/>
    </row>
    <row r="15913" spans="1:7" x14ac:dyDescent="0.25">
      <c r="A15913" s="219" t="s">
        <v>96</v>
      </c>
      <c r="B15913" s="219"/>
      <c r="C15913" s="219"/>
      <c r="D15913" s="219"/>
      <c r="E15913" s="219"/>
      <c r="F15913" s="219"/>
      <c r="G15913" s="219"/>
    </row>
    <row r="15914" spans="1:7" x14ac:dyDescent="0.25">
      <c r="A15914" s="49" t="s">
        <v>35</v>
      </c>
      <c r="B15914" s="225" t="s">
        <v>36</v>
      </c>
      <c r="C15914" s="225"/>
      <c r="D15914" s="49" t="s">
        <v>37</v>
      </c>
      <c r="E15914" s="49" t="s">
        <v>38</v>
      </c>
      <c r="F15914" s="49" t="s">
        <v>39</v>
      </c>
      <c r="G15914" s="49" t="s">
        <v>40</v>
      </c>
    </row>
    <row r="15915" spans="1:7" x14ac:dyDescent="0.25">
      <c r="A15915" s="69" t="s">
        <v>97</v>
      </c>
      <c r="B15915" s="72" t="str">
        <f>VLOOKUP(A15915,'Componentes APUs'!$N$1:$Q$30,2,0)</f>
        <v>Camioneta</v>
      </c>
      <c r="C15915" s="73"/>
      <c r="D15915" s="70" t="str">
        <f>VLOOKUP(A15915,'Componentes APUs'!$N$1:$Q$30,3,0)</f>
        <v>U</v>
      </c>
      <c r="E15915" s="50">
        <v>1</v>
      </c>
      <c r="F15915" s="51">
        <f>VLOOKUP(A15915,'Componentes APUs'!$N$1:$Q$30,4,0)</f>
        <v>5500000</v>
      </c>
      <c r="G15915" s="51">
        <f>IFERROR(ROUNDUP(F15915*(E15915/21)/E15868,0),0)</f>
        <v>261905</v>
      </c>
    </row>
    <row r="15916" spans="1:7" x14ac:dyDescent="0.25">
      <c r="A15916" s="50" t="s">
        <v>321</v>
      </c>
      <c r="B15916" s="72" t="str">
        <f>VLOOKUP(A15916,'Componentes APUs'!$N$1:$Q$30,2,0)</f>
        <v>Grúa Hidráulica</v>
      </c>
      <c r="C15916" s="73"/>
      <c r="D15916" s="70" t="str">
        <f>VLOOKUP(A15916,'Componentes APUs'!$N$1:$Q$30,3,0)</f>
        <v>U</v>
      </c>
      <c r="E15916" s="50">
        <v>0</v>
      </c>
      <c r="F15916" s="51">
        <f>VLOOKUP(A15916,'Componentes APUs'!$N$1:$Q$30,4,0)</f>
        <v>21000000</v>
      </c>
      <c r="G15916" s="51">
        <f>IFERROR(ROUNDUP(F15916*(E15916/21)/E15868,0),0)</f>
        <v>0</v>
      </c>
    </row>
    <row r="15917" spans="1:7" x14ac:dyDescent="0.25">
      <c r="A15917" s="69" t="s">
        <v>322</v>
      </c>
      <c r="B15917" s="72" t="str">
        <f>VLOOKUP(A15917,'Componentes APUs'!$N$1:$Q$30,2,0)</f>
        <v>Camabaja</v>
      </c>
      <c r="C15917" s="73"/>
      <c r="D15917" s="70" t="str">
        <f>VLOOKUP(A15917,'Componentes APUs'!$N$1:$Q$30,3,0)</f>
        <v>TON/KM</v>
      </c>
      <c r="E15917" s="50">
        <v>0</v>
      </c>
      <c r="F15917" s="51">
        <f>VLOOKUP(A15917,'Componentes APUs'!$N$1:$Q$30,4,0)</f>
        <v>611</v>
      </c>
      <c r="G15917" s="51">
        <f>IFERROR(ROUNDUP(F15917*(E15917/21)/E15868,0),0)</f>
        <v>0</v>
      </c>
    </row>
    <row r="15918" spans="1:7" x14ac:dyDescent="0.25">
      <c r="A15918" s="50" t="s">
        <v>323</v>
      </c>
      <c r="B15918" s="72" t="str">
        <f>VLOOKUP(A15918,'Componentes APUs'!$N$1:$Q$30,2,0)</f>
        <v>Volqueta</v>
      </c>
      <c r="C15918" s="73"/>
      <c r="D15918" s="70" t="str">
        <f>VLOOKUP(A15918,'Componentes APUs'!$N$1:$Q$30,3,0)</f>
        <v>U</v>
      </c>
      <c r="E15918" s="50">
        <v>0</v>
      </c>
      <c r="F15918" s="51">
        <f>VLOOKUP(A15918,'Componentes APUs'!$N$1:$Q$30,4,0)</f>
        <v>14828184</v>
      </c>
      <c r="G15918" s="51">
        <f>IFERROR(ROUNDUP(F15918*(E15918/21)/E15868,0),0)</f>
        <v>0</v>
      </c>
    </row>
    <row r="15919" spans="1:7" x14ac:dyDescent="0.25">
      <c r="A15919" s="69" t="s">
        <v>324</v>
      </c>
      <c r="B15919" s="72" t="str">
        <f>VLOOKUP(A15919,'Componentes APUs'!$N$1:$Q$30,2,0)</f>
        <v>Retroexcavadora</v>
      </c>
      <c r="C15919" s="73"/>
      <c r="D15919" s="70" t="str">
        <f>VLOOKUP(A15919,'Componentes APUs'!$N$1:$Q$30,3,0)</f>
        <v>U</v>
      </c>
      <c r="E15919" s="50">
        <v>0</v>
      </c>
      <c r="F15919" s="51">
        <f>VLOOKUP(A15919,'Componentes APUs'!$N$1:$Q$30,4,0)</f>
        <v>46030656</v>
      </c>
      <c r="G15919" s="51">
        <f>IFERROR(ROUNDUP(F15919*(E15919/21)/E15868,0),0)</f>
        <v>0</v>
      </c>
    </row>
    <row r="15920" spans="1:7" x14ac:dyDescent="0.25">
      <c r="A15920" s="219" t="s">
        <v>99</v>
      </c>
      <c r="B15920" s="219"/>
      <c r="C15920" s="219"/>
      <c r="D15920" s="219"/>
      <c r="E15920" s="219"/>
      <c r="F15920" s="219"/>
      <c r="G15920" s="52">
        <f>SUM(G15915:G15919)</f>
        <v>261905</v>
      </c>
    </row>
    <row r="15921" spans="1:7" x14ac:dyDescent="0.25">
      <c r="A15921" s="56"/>
      <c r="B15921" s="57"/>
      <c r="C15921" s="57"/>
      <c r="D15921" s="57"/>
      <c r="E15921" s="57"/>
      <c r="F15921" s="57"/>
      <c r="G15921" s="58"/>
    </row>
    <row r="15922" spans="1:7" x14ac:dyDescent="0.25">
      <c r="A15922" s="219" t="s">
        <v>1516</v>
      </c>
      <c r="B15922" s="219"/>
      <c r="C15922" s="219"/>
      <c r="D15922" s="219"/>
      <c r="E15922" s="219"/>
      <c r="F15922" s="219"/>
      <c r="G15922" s="52">
        <f>G15920+G15911+G15894+G15884+G15874</f>
        <v>11237635</v>
      </c>
    </row>
    <row r="15923" spans="1:7" x14ac:dyDescent="0.25">
      <c r="A15923" s="59"/>
      <c r="B15923" s="60"/>
      <c r="C15923" s="60"/>
      <c r="D15923" s="60"/>
      <c r="E15923" s="57"/>
      <c r="F15923" s="57"/>
      <c r="G15923" s="58"/>
    </row>
    <row r="15924" spans="1:7" x14ac:dyDescent="0.25">
      <c r="A15924" s="64"/>
      <c r="D15924" s="55"/>
      <c r="E15924" s="49" t="s">
        <v>25</v>
      </c>
      <c r="F15924" s="54">
        <v>0.15</v>
      </c>
      <c r="G15924" s="51">
        <f>G15922*F15924</f>
        <v>1685645.25</v>
      </c>
    </row>
    <row r="15925" spans="1:7" x14ac:dyDescent="0.25">
      <c r="A15925" s="64"/>
      <c r="D15925" s="55"/>
      <c r="E15925" s="49" t="s">
        <v>26</v>
      </c>
      <c r="F15925" s="54">
        <v>0.05</v>
      </c>
      <c r="G15925" s="51">
        <f>G15922*F15925</f>
        <v>561881.75</v>
      </c>
    </row>
    <row r="15926" spans="1:7" x14ac:dyDescent="0.25">
      <c r="A15926" s="61"/>
      <c r="B15926" s="65"/>
      <c r="C15926" s="65"/>
      <c r="D15926" s="62"/>
      <c r="E15926" s="49" t="s">
        <v>27</v>
      </c>
      <c r="F15926" s="54">
        <v>0.05</v>
      </c>
      <c r="G15926" s="51">
        <f>G15922*F15926</f>
        <v>561881.75</v>
      </c>
    </row>
    <row r="15927" spans="1:7" x14ac:dyDescent="0.25">
      <c r="A15927" s="61"/>
      <c r="B15927" s="62"/>
      <c r="C15927" s="62"/>
      <c r="D15927" s="62"/>
      <c r="E15927" s="62"/>
      <c r="F15927" s="62"/>
      <c r="G15927" s="63"/>
    </row>
    <row r="15928" spans="1:7" x14ac:dyDescent="0.25">
      <c r="A15928" s="219" t="s">
        <v>1517</v>
      </c>
      <c r="B15928" s="219"/>
      <c r="C15928" s="219"/>
      <c r="D15928" s="219"/>
      <c r="E15928" s="219"/>
      <c r="F15928" s="219"/>
      <c r="G15928" s="52">
        <f>G15922+G15924+G15925+G15926</f>
        <v>14047043.75</v>
      </c>
    </row>
    <row r="15929" spans="1:7" x14ac:dyDescent="0.25">
      <c r="A15929" s="59"/>
      <c r="B15929" s="60"/>
      <c r="C15929" s="60"/>
      <c r="D15929" s="60"/>
      <c r="E15929" s="57"/>
      <c r="F15929" s="57"/>
      <c r="G15929" s="58"/>
    </row>
    <row r="15930" spans="1:7" x14ac:dyDescent="0.25">
      <c r="A15930" s="64"/>
      <c r="D15930" s="55"/>
      <c r="E15930" s="49" t="s">
        <v>102</v>
      </c>
      <c r="F15930" s="49" t="s">
        <v>103</v>
      </c>
      <c r="G15930" s="51">
        <f>G15926*19%</f>
        <v>106757.5325</v>
      </c>
    </row>
    <row r="15931" spans="1:7" x14ac:dyDescent="0.25">
      <c r="A15931" s="61"/>
      <c r="B15931" s="62"/>
      <c r="C15931" s="62"/>
      <c r="D15931" s="62"/>
      <c r="E15931" s="57"/>
      <c r="F15931" s="57"/>
      <c r="G15931" s="58"/>
    </row>
    <row r="15932" spans="1:7" x14ac:dyDescent="0.25">
      <c r="A15932" s="219" t="s">
        <v>104</v>
      </c>
      <c r="B15932" s="219"/>
      <c r="C15932" s="219"/>
      <c r="D15932" s="219"/>
      <c r="E15932" s="219"/>
      <c r="F15932" s="219"/>
      <c r="G15932" s="52">
        <f>G15930+G15928</f>
        <v>14153801.282500001</v>
      </c>
    </row>
    <row r="15934" spans="1:7" x14ac:dyDescent="0.25">
      <c r="A15934" s="74" t="s">
        <v>29</v>
      </c>
      <c r="B15934" s="226" t="s">
        <v>30</v>
      </c>
      <c r="C15934" s="226"/>
      <c r="D15934" s="74" t="s">
        <v>31</v>
      </c>
      <c r="E15934" s="74" t="s">
        <v>32</v>
      </c>
      <c r="F15934" s="74" t="s">
        <v>189</v>
      </c>
      <c r="G15934" s="74" t="s">
        <v>33</v>
      </c>
    </row>
    <row r="15935" spans="1:7" ht="43.5" customHeight="1" x14ac:dyDescent="0.25">
      <c r="A15935" s="50" t="str">
        <f>Presupuesto!B311</f>
        <v>008_SC</v>
      </c>
      <c r="B15935" s="220" t="str">
        <f>Presupuesto!C311</f>
        <v>SUMINISTRO E INSTALACIÓN DE RELOJ MAESTRO SATELITAL. SERVIDOR NTP (Soporte para IEEE 1588v2 (PTP) y NTP), precisión de sincronización &lt; 1 microsegundo. Soporte  IEC 61850-3. GNSS (GPS/GLONASS/Beidou), IRIG-B, 1PPS.</v>
      </c>
      <c r="C15935" s="220"/>
      <c r="D15935" s="50" t="s">
        <v>8</v>
      </c>
      <c r="E15935" s="50">
        <v>1</v>
      </c>
      <c r="F15935" s="50"/>
      <c r="G15935" s="51">
        <f>G16004</f>
        <v>25773203.918000001</v>
      </c>
    </row>
    <row r="15936" spans="1:7" x14ac:dyDescent="0.25">
      <c r="A15936" s="219" t="s">
        <v>34</v>
      </c>
      <c r="B15936" s="219"/>
      <c r="C15936" s="219"/>
      <c r="D15936" s="219"/>
      <c r="E15936" s="219"/>
      <c r="F15936" s="219"/>
      <c r="G15936" s="219"/>
    </row>
    <row r="15937" spans="1:7" x14ac:dyDescent="0.25">
      <c r="A15937" s="49" t="s">
        <v>35</v>
      </c>
      <c r="B15937" s="219" t="s">
        <v>36</v>
      </c>
      <c r="C15937" s="219"/>
      <c r="D15937" s="49" t="s">
        <v>37</v>
      </c>
      <c r="E15937" s="49" t="s">
        <v>38</v>
      </c>
      <c r="F15937" s="49" t="s">
        <v>39</v>
      </c>
      <c r="G15937" s="49" t="s">
        <v>40</v>
      </c>
    </row>
    <row r="15938" spans="1:7" x14ac:dyDescent="0.25">
      <c r="A15938" s="17" t="str">
        <f>Material!A87</f>
        <v>MA-86</v>
      </c>
      <c r="B15938" s="72" t="str">
        <f>IFERROR(VLOOKUP(A15938,Material!$A:$H,2,0),"-")</f>
        <v>RELOJ DE RED SINCRONIZADO VÍA SATÉLITE</v>
      </c>
      <c r="C15938" s="73"/>
      <c r="D15938" s="50" t="str">
        <f>IFERROR(VLOOKUP(A15938,Material!$A:$H,4,0),"-")</f>
        <v>UN</v>
      </c>
      <c r="E15938" s="50">
        <v>1</v>
      </c>
      <c r="F15938" s="51">
        <f>IFERROR(VLOOKUP(A15938,Material!$A:$H,3,0),"-")</f>
        <v>18181800</v>
      </c>
      <c r="G15938" s="51">
        <f t="shared" ref="G15938:G15945" si="227">IFERROR(ROUNDUP(F15938*E15938,0),"-")</f>
        <v>18181800</v>
      </c>
    </row>
    <row r="15939" spans="1:7" x14ac:dyDescent="0.25">
      <c r="A15939" s="17"/>
      <c r="B15939" s="72" t="str">
        <f>IFERROR(VLOOKUP(A15939,Material!$A:$H,2,0),"-")</f>
        <v>-</v>
      </c>
      <c r="C15939" s="73"/>
      <c r="D15939" s="50" t="str">
        <f>IFERROR(VLOOKUP(A15939,Material!$A:$H,4,0),"-")</f>
        <v>-</v>
      </c>
      <c r="E15939" s="50"/>
      <c r="F15939" s="51" t="str">
        <f>IFERROR(VLOOKUP(A15939,Material!$A:$H,3,0),"-")</f>
        <v>-</v>
      </c>
      <c r="G15939" s="51" t="str">
        <f t="shared" si="227"/>
        <v>-</v>
      </c>
    </row>
    <row r="15940" spans="1:7" x14ac:dyDescent="0.25">
      <c r="A15940" s="17"/>
      <c r="B15940" s="72" t="str">
        <f>IFERROR(VLOOKUP(A15940,Material!$A:$H,2,0),"-")</f>
        <v>-</v>
      </c>
      <c r="C15940" s="73"/>
      <c r="D15940" s="50" t="str">
        <f>IFERROR(VLOOKUP(A15940,Material!$A:$H,4,0),"-")</f>
        <v>-</v>
      </c>
      <c r="E15940" s="50"/>
      <c r="F15940" s="51" t="str">
        <f>IFERROR(VLOOKUP(A15940,Material!$A:$H,3,0),"-")</f>
        <v>-</v>
      </c>
      <c r="G15940" s="51" t="str">
        <f t="shared" si="227"/>
        <v>-</v>
      </c>
    </row>
    <row r="15941" spans="1:7" x14ac:dyDescent="0.25">
      <c r="A15941" s="17"/>
      <c r="B15941" s="72" t="str">
        <f>IFERROR(VLOOKUP(A15941,Material!$A:$H,2,0),"-")</f>
        <v>-</v>
      </c>
      <c r="C15941" s="73"/>
      <c r="D15941" s="50" t="str">
        <f>IFERROR(VLOOKUP(A15941,Material!$A:$H,4,0),"-")</f>
        <v>-</v>
      </c>
      <c r="E15941" s="50"/>
      <c r="F15941" s="51" t="str">
        <f>IFERROR(VLOOKUP(A15941,Material!$A:$H,3,0),"-")</f>
        <v>-</v>
      </c>
      <c r="G15941" s="51" t="str">
        <f t="shared" si="227"/>
        <v>-</v>
      </c>
    </row>
    <row r="15942" spans="1:7" x14ac:dyDescent="0.25">
      <c r="A15942" s="17"/>
      <c r="B15942" s="75" t="str">
        <f>IFERROR(VLOOKUP(A15942,Material!$A:$H,2,0),"-")</f>
        <v>-</v>
      </c>
      <c r="C15942" s="76"/>
      <c r="D15942" s="50" t="str">
        <f>IFERROR(VLOOKUP(A15942,Material!$A:$H,4,0),"-")</f>
        <v>-</v>
      </c>
      <c r="E15942" s="50"/>
      <c r="F15942" s="51" t="str">
        <f>IFERROR(VLOOKUP(A15942,Material!$A:$H,3,0),"-")</f>
        <v>-</v>
      </c>
      <c r="G15942" s="51" t="str">
        <f t="shared" si="227"/>
        <v>-</v>
      </c>
    </row>
    <row r="15943" spans="1:7" x14ac:dyDescent="0.25">
      <c r="A15943" s="17"/>
      <c r="B15943" s="72" t="str">
        <f>IFERROR(VLOOKUP(A15943,Material!$A:$H,2,0),"-")</f>
        <v>-</v>
      </c>
      <c r="C15943" s="76"/>
      <c r="D15943" s="50" t="str">
        <f>IFERROR(VLOOKUP(A15943,Material!$A:$H,4,0),"-")</f>
        <v>-</v>
      </c>
      <c r="E15943" s="50"/>
      <c r="F15943" s="51" t="str">
        <f>IFERROR(VLOOKUP(A15943,Material!$A:$H,3,0),"-")</f>
        <v>-</v>
      </c>
      <c r="G15943" s="51" t="str">
        <f t="shared" si="227"/>
        <v>-</v>
      </c>
    </row>
    <row r="15944" spans="1:7" x14ac:dyDescent="0.25">
      <c r="A15944" s="17"/>
      <c r="B15944" s="72" t="str">
        <f>IFERROR(VLOOKUP(A15944,Material!$A:$H,2,0),"-")</f>
        <v>-</v>
      </c>
      <c r="C15944" s="76"/>
      <c r="D15944" s="50" t="str">
        <f>IFERROR(VLOOKUP(A15944,Material!$A:$H,4,0),"-")</f>
        <v>-</v>
      </c>
      <c r="E15944" s="50"/>
      <c r="F15944" s="51" t="str">
        <f>IFERROR(VLOOKUP(A15944,Material!$A:$H,3,0),"-")</f>
        <v>-</v>
      </c>
      <c r="G15944" s="51" t="str">
        <f t="shared" si="227"/>
        <v>-</v>
      </c>
    </row>
    <row r="15945" spans="1:7" x14ac:dyDescent="0.25">
      <c r="A15945" s="17"/>
      <c r="B15945" s="72" t="str">
        <f>IFERROR(VLOOKUP(A15945,Material!$A:$H,2,0),"-")</f>
        <v>-</v>
      </c>
      <c r="C15945" s="76"/>
      <c r="D15945" s="50" t="str">
        <f>IFERROR(VLOOKUP(A15945,Material!$A:$H,4,0),"-")</f>
        <v>-</v>
      </c>
      <c r="E15945" s="50"/>
      <c r="F15945" s="51" t="str">
        <f>IFERROR(VLOOKUP(A15945,Material!$A:$H,3,0),"-")</f>
        <v>-</v>
      </c>
      <c r="G15945" s="51" t="str">
        <f t="shared" si="227"/>
        <v>-</v>
      </c>
    </row>
    <row r="15946" spans="1:7" x14ac:dyDescent="0.25">
      <c r="A15946" s="219" t="s">
        <v>41</v>
      </c>
      <c r="B15946" s="219"/>
      <c r="C15946" s="219"/>
      <c r="D15946" s="219"/>
      <c r="E15946" s="219"/>
      <c r="F15946" s="219"/>
      <c r="G15946" s="52">
        <f>SUM(G15938:G15945)</f>
        <v>18181800</v>
      </c>
    </row>
    <row r="15947" spans="1:7" x14ac:dyDescent="0.25">
      <c r="A15947" s="56"/>
      <c r="B15947" s="57"/>
      <c r="C15947" s="57"/>
      <c r="D15947" s="57"/>
      <c r="E15947" s="57"/>
      <c r="F15947" s="57"/>
      <c r="G15947" s="58"/>
    </row>
    <row r="15948" spans="1:7" x14ac:dyDescent="0.25">
      <c r="A15948" s="219" t="s">
        <v>42</v>
      </c>
      <c r="B15948" s="219"/>
      <c r="C15948" s="219"/>
      <c r="D15948" s="219"/>
      <c r="E15948" s="219"/>
      <c r="F15948" s="219"/>
      <c r="G15948" s="219"/>
    </row>
    <row r="15949" spans="1:7" x14ac:dyDescent="0.25">
      <c r="A15949" s="49" t="s">
        <v>35</v>
      </c>
      <c r="B15949" s="49" t="s">
        <v>36</v>
      </c>
      <c r="C15949" s="49" t="s">
        <v>38</v>
      </c>
      <c r="D15949" s="49" t="s">
        <v>43</v>
      </c>
      <c r="E15949" s="49" t="s">
        <v>44</v>
      </c>
      <c r="F15949" s="49" t="s">
        <v>45</v>
      </c>
      <c r="G15949" s="49" t="s">
        <v>40</v>
      </c>
    </row>
    <row r="15950" spans="1:7" x14ac:dyDescent="0.25">
      <c r="A15950" s="50" t="s">
        <v>319</v>
      </c>
      <c r="B15950" s="68" t="str">
        <f>VLOOKUP(A15950,'Componentes APUs'!$H$1:$L$25,2,0)</f>
        <v>Ingeniero Residente de Obra</v>
      </c>
      <c r="C15950" s="93">
        <v>0.25</v>
      </c>
      <c r="D15950" s="50">
        <f>VLOOKUP(A15950,'Componentes APUs'!$H$1:$L$25,3,0)</f>
        <v>4</v>
      </c>
      <c r="E15950" s="51">
        <f>VLOOKUP(A15950,'Componentes APUs'!$H$1:$L$25,4,0)</f>
        <v>271142.85714285716</v>
      </c>
      <c r="F15950" s="51">
        <f>VLOOKUP(A15950,'Componentes APUs'!$H$1:$L$25,5,0)</f>
        <v>162685.71428571429</v>
      </c>
      <c r="G15950" s="51">
        <f>ROUNDUP((E15950+F15950)*C15950/E15935,0)</f>
        <v>108458</v>
      </c>
    </row>
    <row r="15951" spans="1:7" x14ac:dyDescent="0.25">
      <c r="A15951" s="50" t="s">
        <v>320</v>
      </c>
      <c r="B15951" s="68" t="str">
        <f>VLOOKUP(A15951,'Componentes APUs'!$H$1:$L$25,2,0)</f>
        <v>Tecnico Supervisor</v>
      </c>
      <c r="C15951" s="93">
        <v>0.25</v>
      </c>
      <c r="D15951" s="50">
        <f>VLOOKUP(A15951,'Componentes APUs'!$H$1:$L$25,3,0)</f>
        <v>2.2999999999999998</v>
      </c>
      <c r="E15951" s="51">
        <f>VLOOKUP(A15951,'Componentes APUs'!$H$1:$L$25,4,0)</f>
        <v>155907.14285714284</v>
      </c>
      <c r="F15951" s="51">
        <f>VLOOKUP(A15951,'Componentes APUs'!$H$1:$L$25,5,0)</f>
        <v>93544.285714285696</v>
      </c>
      <c r="G15951" s="51">
        <f>ROUNDUP((E15951+F15951)*C15951/E15935,0)</f>
        <v>62363</v>
      </c>
    </row>
    <row r="15952" spans="1:7" x14ac:dyDescent="0.25">
      <c r="A15952" s="50" t="s">
        <v>1160</v>
      </c>
      <c r="B15952" s="68" t="str">
        <f>VLOOKUP(A15952,'Componentes APUs'!$H$1:$L$25,2,0)</f>
        <v>Oficial Eléctrico</v>
      </c>
      <c r="C15952" s="93">
        <v>1</v>
      </c>
      <c r="D15952" s="50">
        <f>VLOOKUP(A15952,'Componentes APUs'!$H$1:$L$25,3,0)</f>
        <v>2</v>
      </c>
      <c r="E15952" s="51">
        <f>VLOOKUP(A15952,'Componentes APUs'!$H$1:$L$25,4,0)</f>
        <v>154619.04761904763</v>
      </c>
      <c r="F15952" s="51">
        <f>VLOOKUP(A15952,'Componentes APUs'!$H$1:$L$25,5,0)</f>
        <v>92771.42857142858</v>
      </c>
      <c r="G15952" s="51">
        <f>ROUNDUP((E15952+F15952)*C15952/E15935,0)</f>
        <v>247391</v>
      </c>
    </row>
    <row r="15953" spans="1:7" x14ac:dyDescent="0.25">
      <c r="A15953" s="50" t="s">
        <v>48</v>
      </c>
      <c r="B15953" s="68" t="str">
        <f>VLOOKUP(A15953,'Componentes APUs'!$H$1:$L$25,2,0)</f>
        <v>Ayudante Calificado</v>
      </c>
      <c r="C15953" s="93">
        <v>0</v>
      </c>
      <c r="D15953" s="50">
        <f>VLOOKUP(A15953,'Componentes APUs'!$H$1:$L$25,3,0)</f>
        <v>1.5</v>
      </c>
      <c r="E15953" s="51">
        <f>VLOOKUP(A15953,'Componentes APUs'!$H$1:$L$25,4,0)</f>
        <v>115964.28571428571</v>
      </c>
      <c r="F15953" s="51">
        <f>VLOOKUP(A15953,'Componentes APUs'!$H$1:$L$25,5,0)</f>
        <v>69578.57142857142</v>
      </c>
      <c r="G15953" s="51">
        <f>ROUNDUP((E15953+F15953)*C15953/E15935,0)</f>
        <v>0</v>
      </c>
    </row>
    <row r="15954" spans="1:7" x14ac:dyDescent="0.25">
      <c r="A15954" s="50" t="s">
        <v>50</v>
      </c>
      <c r="B15954" s="68" t="str">
        <f>VLOOKUP(A15954,'Componentes APUs'!$H$1:$L$25,2,0)</f>
        <v>Profesional en SST</v>
      </c>
      <c r="C15954" s="93">
        <v>0.25</v>
      </c>
      <c r="D15954" s="50">
        <f>VLOOKUP(A15954,'Componentes APUs'!$H$1:$L$25,3,0)</f>
        <v>2.5</v>
      </c>
      <c r="E15954" s="51">
        <f>VLOOKUP(A15954,'Componentes APUs'!$H$1:$L$25,4,0)</f>
        <v>169464.28571428571</v>
      </c>
      <c r="F15954" s="51">
        <f>VLOOKUP(A15954,'Componentes APUs'!$H$1:$L$25,5,0)</f>
        <v>101678.57142857142</v>
      </c>
      <c r="G15954" s="51">
        <f>ROUNDUP((E15954+F15954)*C15954/E15935,0)</f>
        <v>67786</v>
      </c>
    </row>
    <row r="15955" spans="1:7" x14ac:dyDescent="0.25">
      <c r="A15955" s="50" t="s">
        <v>1121</v>
      </c>
      <c r="B15955" s="68" t="str">
        <f>VLOOKUP(A15955,'Componentes APUs'!$H$1:$L$25,2,0)</f>
        <v>Ingeniero Especialista de Control y Protección Subestación</v>
      </c>
      <c r="C15955" s="93">
        <v>1</v>
      </c>
      <c r="D15955" s="50">
        <f>VLOOKUP(A15955,'Componentes APUs'!$H$1:$L$25,3,0)</f>
        <v>14</v>
      </c>
      <c r="E15955" s="51">
        <f>VLOOKUP(A15955,'Componentes APUs'!$H$1:$L$25,4,0)</f>
        <v>949000</v>
      </c>
      <c r="F15955" s="51">
        <f>VLOOKUP(A15955,'Componentes APUs'!$H$1:$L$25,5,0)</f>
        <v>569400</v>
      </c>
      <c r="G15955" s="51">
        <f>ROUNDUP((E15955+F15955)*C15955/E15935,0)</f>
        <v>1518400</v>
      </c>
    </row>
    <row r="15956" spans="1:7" x14ac:dyDescent="0.25">
      <c r="A15956" s="219" t="s">
        <v>56</v>
      </c>
      <c r="B15956" s="219"/>
      <c r="C15956" s="219"/>
      <c r="D15956" s="219"/>
      <c r="E15956" s="219"/>
      <c r="F15956" s="219"/>
      <c r="G15956" s="52">
        <f>SUM(G15950:G15955)</f>
        <v>2004398</v>
      </c>
    </row>
    <row r="15957" spans="1:7" x14ac:dyDescent="0.25">
      <c r="A15957" s="56"/>
      <c r="B15957" s="57"/>
      <c r="C15957" s="57"/>
      <c r="D15957" s="57"/>
      <c r="E15957" s="57"/>
      <c r="F15957" s="57"/>
      <c r="G15957" s="58"/>
    </row>
    <row r="15958" spans="1:7" x14ac:dyDescent="0.25">
      <c r="A15958" s="219" t="s">
        <v>57</v>
      </c>
      <c r="B15958" s="219"/>
      <c r="C15958" s="219"/>
      <c r="D15958" s="219"/>
      <c r="E15958" s="219"/>
      <c r="F15958" s="219"/>
      <c r="G15958" s="219"/>
    </row>
    <row r="15959" spans="1:7" x14ac:dyDescent="0.25">
      <c r="A15959" s="49" t="s">
        <v>35</v>
      </c>
      <c r="B15959" s="219" t="s">
        <v>36</v>
      </c>
      <c r="C15959" s="219"/>
      <c r="D15959" s="49" t="s">
        <v>37</v>
      </c>
      <c r="E15959" s="49" t="s">
        <v>38</v>
      </c>
      <c r="F15959" s="49" t="s">
        <v>39</v>
      </c>
      <c r="G15959" s="49" t="s">
        <v>40</v>
      </c>
    </row>
    <row r="15960" spans="1:7" x14ac:dyDescent="0.25">
      <c r="A15960" s="50" t="s">
        <v>326</v>
      </c>
      <c r="B15960" s="220" t="str">
        <f>VLOOKUP(A15960,'Componentes APUs'!$S$1:$V$10,2,0)</f>
        <v>Juego Llaves</v>
      </c>
      <c r="C15960" s="220"/>
      <c r="D15960" s="50" t="s">
        <v>18</v>
      </c>
      <c r="E15960" s="50">
        <v>2</v>
      </c>
      <c r="F15960" s="51">
        <f>VLOOKUP(A15960,'Componentes APUs'!$S$1:$V$10,4,0)</f>
        <v>9167</v>
      </c>
      <c r="G15960" s="51">
        <f>ROUNDUP(F15960*((E15960/21)/E15935),0)</f>
        <v>874</v>
      </c>
    </row>
    <row r="15961" spans="1:7" x14ac:dyDescent="0.25">
      <c r="A15961" s="50" t="s">
        <v>58</v>
      </c>
      <c r="B15961" s="220" t="str">
        <f>VLOOKUP(A15961,'Componentes APUs'!$S$1:$V$10,2,0)</f>
        <v>Manila de servicio</v>
      </c>
      <c r="C15961" s="220"/>
      <c r="D15961" s="50" t="s">
        <v>18</v>
      </c>
      <c r="E15961" s="50">
        <v>0</v>
      </c>
      <c r="F15961" s="51">
        <f>VLOOKUP(A15961,'Componentes APUs'!$S$1:$V$10,4,0)</f>
        <v>2333</v>
      </c>
      <c r="G15961" s="51">
        <f>ROUNDUP(F15961*((E15961/21)/E15935),0)</f>
        <v>0</v>
      </c>
    </row>
    <row r="15962" spans="1:7" x14ac:dyDescent="0.25">
      <c r="A15962" s="50" t="s">
        <v>327</v>
      </c>
      <c r="B15962" s="220" t="str">
        <f>VLOOKUP(A15962,'Componentes APUs'!$S$1:$V$10,2,0)</f>
        <v>Tula portaherramientas</v>
      </c>
      <c r="C15962" s="220"/>
      <c r="D15962" s="50" t="s">
        <v>18</v>
      </c>
      <c r="E15962" s="50">
        <v>2</v>
      </c>
      <c r="F15962" s="51">
        <f>VLOOKUP(A15962,'Componentes APUs'!$S$1:$V$10,4,0)</f>
        <v>1250</v>
      </c>
      <c r="G15962" s="51">
        <f>ROUNDUP(F15962*((E15962/21)/E15935),0)</f>
        <v>120</v>
      </c>
    </row>
    <row r="15963" spans="1:7" x14ac:dyDescent="0.25">
      <c r="A15963" s="50" t="s">
        <v>60</v>
      </c>
      <c r="B15963" s="220" t="str">
        <f>VLOOKUP(A15963,'Componentes APUs'!$S$1:$V$10,2,0)</f>
        <v>Agarradoras</v>
      </c>
      <c r="C15963" s="220"/>
      <c r="D15963" s="50" t="s">
        <v>18</v>
      </c>
      <c r="E15963" s="50">
        <v>0</v>
      </c>
      <c r="F15963" s="51">
        <f>VLOOKUP(A15963,'Componentes APUs'!$S$1:$V$10,4,0)</f>
        <v>125000</v>
      </c>
      <c r="G15963" s="51">
        <f>ROUNDUP(F15963*((E15963/21)/E15935),0)</f>
        <v>0</v>
      </c>
    </row>
    <row r="15964" spans="1:7" x14ac:dyDescent="0.25">
      <c r="A15964" s="50" t="s">
        <v>62</v>
      </c>
      <c r="B15964" s="220" t="str">
        <f>VLOOKUP(A15964,'Componentes APUs'!$S$1:$V$10,2,0)</f>
        <v>Templadoras</v>
      </c>
      <c r="C15964" s="220"/>
      <c r="D15964" s="50" t="s">
        <v>18</v>
      </c>
      <c r="E15964" s="50">
        <v>0</v>
      </c>
      <c r="F15964" s="51">
        <f>VLOOKUP(A15964,'Componentes APUs'!$S$1:$V$10,4,0)</f>
        <v>250000</v>
      </c>
      <c r="G15964" s="51">
        <f>ROUNDUP(F15964*((E15964/21)/E15935),0)</f>
        <v>0</v>
      </c>
    </row>
    <row r="15965" spans="1:7" x14ac:dyDescent="0.25">
      <c r="A15965" s="50" t="s">
        <v>328</v>
      </c>
      <c r="B15965" s="220" t="str">
        <f>VLOOKUP(A15965,'Componentes APUs'!$S$1:$V$10,2,0)</f>
        <v>Herramienta Menor</v>
      </c>
      <c r="C15965" s="220"/>
      <c r="D15965" s="50" t="s">
        <v>18</v>
      </c>
      <c r="E15965" s="50">
        <v>2</v>
      </c>
      <c r="F15965" s="51">
        <f>VLOOKUP(A15965,'Componentes APUs'!$S$1:$V$10,4,0)</f>
        <v>75758</v>
      </c>
      <c r="G15965" s="51">
        <f>ROUNDUP(F15965*((E15965/21)/E15935),0)</f>
        <v>7216</v>
      </c>
    </row>
    <row r="15966" spans="1:7" x14ac:dyDescent="0.25">
      <c r="A15966" s="219" t="s">
        <v>69</v>
      </c>
      <c r="B15966" s="219"/>
      <c r="C15966" s="219"/>
      <c r="D15966" s="219"/>
      <c r="E15966" s="219"/>
      <c r="F15966" s="219"/>
      <c r="G15966" s="52">
        <f>SUM(G15960:G15965)</f>
        <v>8210</v>
      </c>
    </row>
    <row r="15967" spans="1:7" x14ac:dyDescent="0.25">
      <c r="A15967" s="56"/>
      <c r="B15967" s="57"/>
      <c r="C15967" s="57"/>
      <c r="D15967" s="57"/>
      <c r="E15967" s="57"/>
      <c r="F15967" s="57"/>
      <c r="G15967" s="58"/>
    </row>
    <row r="15968" spans="1:7" x14ac:dyDescent="0.25">
      <c r="A15968" s="219" t="s">
        <v>70</v>
      </c>
      <c r="B15968" s="219"/>
      <c r="C15968" s="219"/>
      <c r="D15968" s="219"/>
      <c r="E15968" s="219"/>
      <c r="F15968" s="219"/>
      <c r="G15968" s="219"/>
    </row>
    <row r="15969" spans="1:7" x14ac:dyDescent="0.25">
      <c r="A15969" s="49" t="s">
        <v>35</v>
      </c>
      <c r="B15969" s="219" t="s">
        <v>36</v>
      </c>
      <c r="C15969" s="219"/>
      <c r="D15969" s="49" t="s">
        <v>37</v>
      </c>
      <c r="E15969" s="49" t="s">
        <v>38</v>
      </c>
      <c r="F15969" s="49" t="s">
        <v>39</v>
      </c>
      <c r="G15969" s="49" t="s">
        <v>40</v>
      </c>
    </row>
    <row r="15970" spans="1:7" x14ac:dyDescent="0.25">
      <c r="A15970" s="50" t="s">
        <v>71</v>
      </c>
      <c r="B15970" s="71" t="str">
        <f>VLOOKUP(A15970,'Componentes APUs'!$A$1:$D$14,2,0)</f>
        <v>Camisa indigo sin partes metalicas</v>
      </c>
      <c r="C15970" s="71"/>
      <c r="D15970" s="50" t="str">
        <f>VLOOKUP(A15970,'Componentes APUs'!$A$1:$D$14,3,0)</f>
        <v>U</v>
      </c>
      <c r="E15970" s="50">
        <f>SUM(C15950:C15955)</f>
        <v>2.75</v>
      </c>
      <c r="F15970" s="51">
        <f>VLOOKUP(A15970,'Componentes APUs'!$A$1:$D$14,4,0)</f>
        <v>8585.8585858585866</v>
      </c>
      <c r="G15970" s="51">
        <f>ROUNDUP(F15970*(E15970/21)/E15935,0)</f>
        <v>1125</v>
      </c>
    </row>
    <row r="15971" spans="1:7" x14ac:dyDescent="0.25">
      <c r="A15971" s="69" t="s">
        <v>73</v>
      </c>
      <c r="B15971" s="72" t="str">
        <f>VLOOKUP(A15971,'Componentes APUs'!$A$1:$D$14,2,0)</f>
        <v>Bota de seguridad dielectrica</v>
      </c>
      <c r="C15971" s="73"/>
      <c r="D15971" s="70" t="str">
        <f>VLOOKUP(A15971,'Componentes APUs'!$A$1:$D$14,3,0)</f>
        <v>Par</v>
      </c>
      <c r="E15971" s="50">
        <f>SUM(C15950:C15955)</f>
        <v>2.75</v>
      </c>
      <c r="F15971" s="51">
        <f>VLOOKUP(A15971,'Componentes APUs'!$A$1:$D$14,4,0)</f>
        <v>7500</v>
      </c>
      <c r="G15971" s="51">
        <f>ROUNDUP(F15971*(E15971/21)/E15935,0)</f>
        <v>983</v>
      </c>
    </row>
    <row r="15972" spans="1:7" x14ac:dyDescent="0.25">
      <c r="A15972" s="50" t="s">
        <v>76</v>
      </c>
      <c r="B15972" s="72" t="str">
        <f>VLOOKUP(A15972,'Componentes APUs'!$A$1:$D$14,2,0)</f>
        <v>Casco dielectrico Tipo 1 Clase E con barbuquejo</v>
      </c>
      <c r="C15972" s="73"/>
      <c r="D15972" s="50" t="str">
        <f>VLOOKUP(A15972,'Componentes APUs'!$A$1:$D$14,3,0)</f>
        <v>U</v>
      </c>
      <c r="E15972" s="50">
        <f>C15950+C15953+C15954+C15951+C15955+IF(A15952&lt;&gt;"MO-3",C15952,0)</f>
        <v>2.75</v>
      </c>
      <c r="F15972" s="51">
        <f>VLOOKUP(A15972,'Componentes APUs'!$A$1:$D$14,4,0)</f>
        <v>10101.010101010101</v>
      </c>
      <c r="G15972" s="51">
        <f>ROUNDUP(F15972*(E15972/21)/E15935,0)</f>
        <v>1323</v>
      </c>
    </row>
    <row r="15973" spans="1:7" x14ac:dyDescent="0.25">
      <c r="A15973" s="69" t="s">
        <v>77</v>
      </c>
      <c r="B15973" s="72" t="str">
        <f>VLOOKUP(A15973,'Componentes APUs'!$A$1:$D$14,2,0)</f>
        <v>Correa plastica y antiflama</v>
      </c>
      <c r="C15973" s="73"/>
      <c r="D15973" s="50" t="str">
        <f>VLOOKUP(A15973,'Componentes APUs'!$A$1:$D$14,3,0)</f>
        <v>U</v>
      </c>
      <c r="E15973" s="50">
        <f>SUM(C15950:C15955)</f>
        <v>2.75</v>
      </c>
      <c r="F15973" s="51">
        <f>VLOOKUP(A15973,'Componentes APUs'!$A$1:$D$14,4,0)</f>
        <v>3787.878787878788</v>
      </c>
      <c r="G15973" s="51">
        <f>ROUNDUP(F15973*(E15973/21)/E15935,0)</f>
        <v>497</v>
      </c>
    </row>
    <row r="15974" spans="1:7" x14ac:dyDescent="0.25">
      <c r="A15974" s="50" t="s">
        <v>79</v>
      </c>
      <c r="B15974" s="72" t="str">
        <f>VLOOKUP(A15974,'Componentes APUs'!$A$1:$D$14,2,0)</f>
        <v>Gafas protectoras filtro UV</v>
      </c>
      <c r="C15974" s="73"/>
      <c r="D15974" s="50" t="str">
        <f>VLOOKUP(A15974,'Componentes APUs'!$A$1:$D$14,3,0)</f>
        <v>U</v>
      </c>
      <c r="E15974" s="50">
        <f>SUM(C15950:C15955)</f>
        <v>2.75</v>
      </c>
      <c r="F15974" s="51">
        <f>VLOOKUP(A15974,'Componentes APUs'!$A$1:$D$14,4,0)</f>
        <v>2777.7777777777778</v>
      </c>
      <c r="G15974" s="51">
        <f>ROUNDUP(F15974*(E15974/21)/E15935,0)</f>
        <v>364</v>
      </c>
    </row>
    <row r="15975" spans="1:7" x14ac:dyDescent="0.25">
      <c r="A15975" s="69" t="s">
        <v>402</v>
      </c>
      <c r="B15975" s="72" t="str">
        <f>VLOOKUP(A15975,'Componentes APUs'!$A$1:$D$14,2,0)</f>
        <v>Bota de seguridad PVC dielectrica</v>
      </c>
      <c r="C15975" s="73"/>
      <c r="D15975" s="50" t="str">
        <f>VLOOKUP(A15975,'Componentes APUs'!$A$1:$D$14,3,0)</f>
        <v>Par</v>
      </c>
      <c r="E15975" s="50">
        <f>SUM(C15950:C15955)</f>
        <v>2.75</v>
      </c>
      <c r="F15975" s="51">
        <f>VLOOKUP(A15975,'Componentes APUs'!$A$1:$D$14,4,0)</f>
        <v>2916.6666666666665</v>
      </c>
      <c r="G15975" s="51">
        <f>ROUNDUP(F15975*(E15975/21)/E15935,0)</f>
        <v>382</v>
      </c>
    </row>
    <row r="15976" spans="1:7" x14ac:dyDescent="0.25">
      <c r="A15976" s="50" t="s">
        <v>403</v>
      </c>
      <c r="B15976" s="72" t="str">
        <f>VLOOKUP(A15976,'Componentes APUs'!$A$1:$D$14,2,0)</f>
        <v>Capuchon</v>
      </c>
      <c r="C15976" s="73"/>
      <c r="D15976" s="50" t="str">
        <f>VLOOKUP(A15976,'Componentes APUs'!$A$1:$D$14,3,0)</f>
        <v>U</v>
      </c>
      <c r="E15976" s="50">
        <f>SUM(C15950:C15955)</f>
        <v>2.75</v>
      </c>
      <c r="F15976" s="51">
        <f>VLOOKUP(A15976,'Componentes APUs'!$A$1:$D$14,4,0)</f>
        <v>2525.2525252525252</v>
      </c>
      <c r="G15976" s="51">
        <f>ROUNDUP(F15976*(E15976/21)/E15935,0)</f>
        <v>331</v>
      </c>
    </row>
    <row r="15977" spans="1:7" x14ac:dyDescent="0.25">
      <c r="A15977" s="69" t="s">
        <v>81</v>
      </c>
      <c r="B15977" s="72" t="str">
        <f>VLOOKUP(A15977,'Componentes APUs'!$A$1:$D$14,2,0)</f>
        <v>Guantes Protectores  - ingeniero reforzados</v>
      </c>
      <c r="C15977" s="73"/>
      <c r="D15977" s="50" t="str">
        <f>VLOOKUP(A15977,'Componentes APUs'!$A$1:$D$14,3,0)</f>
        <v>Par</v>
      </c>
      <c r="E15977" s="50">
        <f>C15952+C15953+C15955</f>
        <v>2</v>
      </c>
      <c r="F15977" s="51">
        <f>VLOOKUP(A15977,'Componentes APUs'!$A$1:$D$14,4,0)</f>
        <v>2525.2525252525252</v>
      </c>
      <c r="G15977" s="51">
        <f>ROUNDUP(F15977*(E15977/21)/E15935,0)</f>
        <v>241</v>
      </c>
    </row>
    <row r="15978" spans="1:7" x14ac:dyDescent="0.25">
      <c r="A15978" s="50" t="s">
        <v>83</v>
      </c>
      <c r="B15978" s="72" t="str">
        <f>VLOOKUP(A15978,'Componentes APUs'!$A$1:$D$14,2,0)</f>
        <v>Impermeable (pantalon camisa)</v>
      </c>
      <c r="C15978" s="73"/>
      <c r="D15978" s="50" t="str">
        <f>VLOOKUP(A15978,'Componentes APUs'!$A$1:$D$14,3,0)</f>
        <v>U</v>
      </c>
      <c r="E15978" s="50">
        <f>SUM(C15950:C15955)</f>
        <v>2.75</v>
      </c>
      <c r="F15978" s="51">
        <f>VLOOKUP(A15978,'Componentes APUs'!$A$1:$D$14,4,0)</f>
        <v>3750</v>
      </c>
      <c r="G15978" s="51">
        <f>ROUNDUP(F15978*(E15978/21)/E15935,0)</f>
        <v>492</v>
      </c>
    </row>
    <row r="15979" spans="1:7" x14ac:dyDescent="0.25">
      <c r="A15979" s="69" t="s">
        <v>85</v>
      </c>
      <c r="B15979" s="72" t="str">
        <f>VLOOKUP(A15979,'Componentes APUs'!$A$1:$D$14,2,0)</f>
        <v>Jean Dielectrico</v>
      </c>
      <c r="C15979" s="73"/>
      <c r="D15979" s="50" t="str">
        <f>VLOOKUP(A15979,'Componentes APUs'!$A$1:$D$14,3,0)</f>
        <v>U</v>
      </c>
      <c r="E15979" s="50">
        <f>SUM(C15950:C15955)</f>
        <v>2.75</v>
      </c>
      <c r="F15979" s="51">
        <f>VLOOKUP(A15979,'Componentes APUs'!$A$1:$D$14,4,0)</f>
        <v>7575.757575757576</v>
      </c>
      <c r="G15979" s="51">
        <f>ROUNDUP(F15979*(E15979/21)/E15935,0)</f>
        <v>993</v>
      </c>
    </row>
    <row r="15980" spans="1:7" x14ac:dyDescent="0.25">
      <c r="A15980" s="50" t="s">
        <v>87</v>
      </c>
      <c r="B15980" s="72" t="str">
        <f>VLOOKUP(A15980,'Componentes APUs'!$A$1:$D$14,2,0)</f>
        <v>Casco dielectrico Tipo 2 Clase E con barboquejo</v>
      </c>
      <c r="C15980" s="73"/>
      <c r="D15980" s="50" t="str">
        <f>VLOOKUP(A15980,'Componentes APUs'!$A$1:$D$14,3,0)</f>
        <v>U</v>
      </c>
      <c r="E15980" s="53">
        <f>IF(A15952="MO-3",C15952,0)</f>
        <v>0</v>
      </c>
      <c r="F15980" s="51">
        <f>VLOOKUP(A15980,'Componentes APUs'!$A$1:$D$14,4,0)</f>
        <v>7500</v>
      </c>
      <c r="G15980" s="51">
        <f>ROUNDUP(F15980*(E15980/21)/E15935,0)</f>
        <v>0</v>
      </c>
    </row>
    <row r="15981" spans="1:7" x14ac:dyDescent="0.25">
      <c r="A15981" s="69" t="s">
        <v>89</v>
      </c>
      <c r="B15981" s="72" t="str">
        <f>VLOOKUP(A15981,'Componentes APUs'!$A$1:$D$14,2,0)</f>
        <v>Kit de rescate para trabajo en alturas</v>
      </c>
      <c r="C15981" s="73"/>
      <c r="D15981" s="50" t="str">
        <f>VLOOKUP(A15981,'Componentes APUs'!$A$1:$D$14,3,0)</f>
        <v>U</v>
      </c>
      <c r="E15981" s="50">
        <f>IF(AND(A15952="MO-3",C15952=2),1,0)</f>
        <v>0</v>
      </c>
      <c r="F15981" s="51">
        <f>VLOOKUP(A15981,'Componentes APUs'!$A$1:$D$14,4,0)</f>
        <v>37500</v>
      </c>
      <c r="G15981" s="51">
        <f>ROUNDUP(F15981*(E15981/21)/E15935,0)</f>
        <v>0</v>
      </c>
    </row>
    <row r="15982" spans="1:7" x14ac:dyDescent="0.25">
      <c r="A15982" s="50" t="s">
        <v>91</v>
      </c>
      <c r="B15982" s="72" t="str">
        <f>VLOOKUP(A15982,'Componentes APUs'!$A$1:$D$14,2,0)</f>
        <v>Equipo completo para trabajo en alturas con pretales (Arnes dielectrico, 1 mosqueton de seguridad, tie off dielectrico, eslinga de posicionamiento, juego de pretales)</v>
      </c>
      <c r="C15982" s="73"/>
      <c r="D15982" s="50" t="str">
        <f>VLOOKUP(A15982,'Componentes APUs'!$A$1:$D$14,3,0)</f>
        <v>U</v>
      </c>
      <c r="E15982" s="50">
        <f>IF(A15951="MO-3",C15951,0)</f>
        <v>0</v>
      </c>
      <c r="F15982" s="51">
        <f>VLOOKUP(A15982,'Componentes APUs'!$A$1:$D$14,4,0)</f>
        <v>26041.666666666668</v>
      </c>
      <c r="G15982" s="51">
        <f>ROUNDUP(F15982*(E15982/21)/E15935,0)</f>
        <v>0</v>
      </c>
    </row>
    <row r="15983" spans="1:7" x14ac:dyDescent="0.25">
      <c r="A15983" s="219" t="s">
        <v>95</v>
      </c>
      <c r="B15983" s="219"/>
      <c r="C15983" s="219"/>
      <c r="D15983" s="219"/>
      <c r="E15983" s="219"/>
      <c r="F15983" s="219"/>
      <c r="G15983" s="52">
        <f>SUM(G15970:G15982)</f>
        <v>6731</v>
      </c>
    </row>
    <row r="15984" spans="1:7" x14ac:dyDescent="0.25">
      <c r="A15984" s="56"/>
      <c r="B15984" s="57"/>
      <c r="C15984" s="57"/>
      <c r="D15984" s="57"/>
      <c r="E15984" s="57"/>
      <c r="F15984" s="57"/>
      <c r="G15984" s="58"/>
    </row>
    <row r="15985" spans="1:7" x14ac:dyDescent="0.25">
      <c r="A15985" s="219" t="s">
        <v>96</v>
      </c>
      <c r="B15985" s="219"/>
      <c r="C15985" s="219"/>
      <c r="D15985" s="219"/>
      <c r="E15985" s="219"/>
      <c r="F15985" s="219"/>
      <c r="G15985" s="219"/>
    </row>
    <row r="15986" spans="1:7" x14ac:dyDescent="0.25">
      <c r="A15986" s="49" t="s">
        <v>35</v>
      </c>
      <c r="B15986" s="225" t="s">
        <v>36</v>
      </c>
      <c r="C15986" s="225"/>
      <c r="D15986" s="49" t="s">
        <v>37</v>
      </c>
      <c r="E15986" s="49" t="s">
        <v>38</v>
      </c>
      <c r="F15986" s="49" t="s">
        <v>39</v>
      </c>
      <c r="G15986" s="49" t="s">
        <v>40</v>
      </c>
    </row>
    <row r="15987" spans="1:7" x14ac:dyDescent="0.25">
      <c r="A15987" s="69" t="s">
        <v>97</v>
      </c>
      <c r="B15987" s="72" t="str">
        <f>VLOOKUP(A15987,'Componentes APUs'!$N$1:$Q$30,2,0)</f>
        <v>Camioneta</v>
      </c>
      <c r="C15987" s="73"/>
      <c r="D15987" s="70" t="str">
        <f>VLOOKUP(A15987,'Componentes APUs'!$N$1:$Q$30,3,0)</f>
        <v>U</v>
      </c>
      <c r="E15987" s="50">
        <v>1</v>
      </c>
      <c r="F15987" s="51">
        <f>VLOOKUP(A15987,'Componentes APUs'!$N$1:$Q$30,4,0)</f>
        <v>5500000</v>
      </c>
      <c r="G15987" s="51">
        <f>IFERROR(ROUNDUP(F15987*(E15987/21)/E15935,0),0)</f>
        <v>261905</v>
      </c>
    </row>
    <row r="15988" spans="1:7" x14ac:dyDescent="0.25">
      <c r="A15988" s="50" t="s">
        <v>321</v>
      </c>
      <c r="B15988" s="72" t="str">
        <f>VLOOKUP(A15988,'Componentes APUs'!$N$1:$Q$30,2,0)</f>
        <v>Grúa Hidráulica</v>
      </c>
      <c r="C15988" s="73"/>
      <c r="D15988" s="70" t="str">
        <f>VLOOKUP(A15988,'Componentes APUs'!$N$1:$Q$30,3,0)</f>
        <v>U</v>
      </c>
      <c r="E15988" s="50">
        <v>0</v>
      </c>
      <c r="F15988" s="51">
        <f>VLOOKUP(A15988,'Componentes APUs'!$N$1:$Q$30,4,0)</f>
        <v>21000000</v>
      </c>
      <c r="G15988" s="51">
        <f>IFERROR(ROUNDUP(F15988*(E15988/21)/E15935,0),0)</f>
        <v>0</v>
      </c>
    </row>
    <row r="15989" spans="1:7" x14ac:dyDescent="0.25">
      <c r="A15989" s="69" t="s">
        <v>322</v>
      </c>
      <c r="B15989" s="72" t="str">
        <f>VLOOKUP(A15989,'Componentes APUs'!$N$1:$Q$30,2,0)</f>
        <v>Camabaja</v>
      </c>
      <c r="C15989" s="73"/>
      <c r="D15989" s="70" t="str">
        <f>VLOOKUP(A15989,'Componentes APUs'!$N$1:$Q$30,3,0)</f>
        <v>TON/KM</v>
      </c>
      <c r="E15989" s="50">
        <v>0</v>
      </c>
      <c r="F15989" s="51">
        <f>VLOOKUP(A15989,'Componentes APUs'!$N$1:$Q$30,4,0)</f>
        <v>611</v>
      </c>
      <c r="G15989" s="51">
        <f>IFERROR(ROUNDUP(F15989*(E15989/21)/E15935,0),0)</f>
        <v>0</v>
      </c>
    </row>
    <row r="15990" spans="1:7" x14ac:dyDescent="0.25">
      <c r="A15990" s="50" t="s">
        <v>323</v>
      </c>
      <c r="B15990" s="72" t="str">
        <f>VLOOKUP(A15990,'Componentes APUs'!$N$1:$Q$30,2,0)</f>
        <v>Volqueta</v>
      </c>
      <c r="C15990" s="73"/>
      <c r="D15990" s="70" t="str">
        <f>VLOOKUP(A15990,'Componentes APUs'!$N$1:$Q$30,3,0)</f>
        <v>U</v>
      </c>
      <c r="E15990" s="50">
        <v>0</v>
      </c>
      <c r="F15990" s="51">
        <f>VLOOKUP(A15990,'Componentes APUs'!$N$1:$Q$30,4,0)</f>
        <v>14828184</v>
      </c>
      <c r="G15990" s="51">
        <f>IFERROR(ROUNDUP(F15990*(E15990/21)/E15935,0),0)</f>
        <v>0</v>
      </c>
    </row>
    <row r="15991" spans="1:7" x14ac:dyDescent="0.25">
      <c r="A15991" s="69" t="s">
        <v>324</v>
      </c>
      <c r="B15991" s="72" t="str">
        <f>VLOOKUP(A15991,'Componentes APUs'!$N$1:$Q$30,2,0)</f>
        <v>Retroexcavadora</v>
      </c>
      <c r="C15991" s="73"/>
      <c r="D15991" s="70" t="str">
        <f>VLOOKUP(A15991,'Componentes APUs'!$N$1:$Q$30,3,0)</f>
        <v>U</v>
      </c>
      <c r="E15991" s="50">
        <v>0</v>
      </c>
      <c r="F15991" s="51">
        <f>VLOOKUP(A15991,'Componentes APUs'!$N$1:$Q$30,4,0)</f>
        <v>46030656</v>
      </c>
      <c r="G15991" s="51">
        <f>IFERROR(ROUNDUP(F15991*(E15991/21)/E15935,0),0)</f>
        <v>0</v>
      </c>
    </row>
    <row r="15992" spans="1:7" x14ac:dyDescent="0.25">
      <c r="A15992" s="219" t="s">
        <v>99</v>
      </c>
      <c r="B15992" s="219"/>
      <c r="C15992" s="219"/>
      <c r="D15992" s="219"/>
      <c r="E15992" s="219"/>
      <c r="F15992" s="219"/>
      <c r="G15992" s="52">
        <f>SUM(G15987:G15991)</f>
        <v>261905</v>
      </c>
    </row>
    <row r="15993" spans="1:7" x14ac:dyDescent="0.25">
      <c r="A15993" s="56"/>
      <c r="B15993" s="57"/>
      <c r="C15993" s="57"/>
      <c r="D15993" s="57"/>
      <c r="E15993" s="57"/>
      <c r="F15993" s="57"/>
      <c r="G15993" s="58"/>
    </row>
    <row r="15994" spans="1:7" x14ac:dyDescent="0.25">
      <c r="A15994" s="219" t="s">
        <v>1516</v>
      </c>
      <c r="B15994" s="219"/>
      <c r="C15994" s="219"/>
      <c r="D15994" s="219"/>
      <c r="E15994" s="219"/>
      <c r="F15994" s="219"/>
      <c r="G15994" s="52">
        <f>G15992+G15983+G15966+G15956+G15946</f>
        <v>20463044</v>
      </c>
    </row>
    <row r="15995" spans="1:7" x14ac:dyDescent="0.25">
      <c r="A15995" s="59"/>
      <c r="B15995" s="60"/>
      <c r="C15995" s="60"/>
      <c r="D15995" s="60"/>
      <c r="E15995" s="57"/>
      <c r="F15995" s="57"/>
      <c r="G15995" s="58"/>
    </row>
    <row r="15996" spans="1:7" x14ac:dyDescent="0.25">
      <c r="A15996" s="64"/>
      <c r="D15996" s="55"/>
      <c r="E15996" s="49" t="s">
        <v>25</v>
      </c>
      <c r="F15996" s="54">
        <v>0.15</v>
      </c>
      <c r="G15996" s="51">
        <f>G15994*F15996</f>
        <v>3069456.6</v>
      </c>
    </row>
    <row r="15997" spans="1:7" x14ac:dyDescent="0.25">
      <c r="A15997" s="64"/>
      <c r="D15997" s="55"/>
      <c r="E15997" s="49" t="s">
        <v>26</v>
      </c>
      <c r="F15997" s="54">
        <v>0.05</v>
      </c>
      <c r="G15997" s="51">
        <f>G15994*F15997</f>
        <v>1023152.2000000001</v>
      </c>
    </row>
    <row r="15998" spans="1:7" x14ac:dyDescent="0.25">
      <c r="A15998" s="61"/>
      <c r="B15998" s="65"/>
      <c r="C15998" s="65"/>
      <c r="D15998" s="62"/>
      <c r="E15998" s="49" t="s">
        <v>27</v>
      </c>
      <c r="F15998" s="54">
        <v>0.05</v>
      </c>
      <c r="G15998" s="51">
        <f>G15994*F15998</f>
        <v>1023152.2000000001</v>
      </c>
    </row>
    <row r="15999" spans="1:7" x14ac:dyDescent="0.25">
      <c r="A15999" s="61"/>
      <c r="B15999" s="62"/>
      <c r="C15999" s="62"/>
      <c r="D15999" s="62"/>
      <c r="E15999" s="62"/>
      <c r="F15999" s="62"/>
      <c r="G15999" s="63"/>
    </row>
    <row r="16000" spans="1:7" x14ac:dyDescent="0.25">
      <c r="A16000" s="219" t="s">
        <v>1517</v>
      </c>
      <c r="B16000" s="219"/>
      <c r="C16000" s="219"/>
      <c r="D16000" s="219"/>
      <c r="E16000" s="219"/>
      <c r="F16000" s="219"/>
      <c r="G16000" s="52">
        <f>G15994+G15996+G15997+G15998</f>
        <v>25578805</v>
      </c>
    </row>
    <row r="16001" spans="1:7" x14ac:dyDescent="0.25">
      <c r="A16001" s="59"/>
      <c r="B16001" s="60"/>
      <c r="C16001" s="60"/>
      <c r="D16001" s="60"/>
      <c r="E16001" s="57"/>
      <c r="F16001" s="57"/>
      <c r="G16001" s="58"/>
    </row>
    <row r="16002" spans="1:7" x14ac:dyDescent="0.25">
      <c r="A16002" s="64"/>
      <c r="D16002" s="55"/>
      <c r="E16002" s="49" t="s">
        <v>102</v>
      </c>
      <c r="F16002" s="49" t="s">
        <v>103</v>
      </c>
      <c r="G16002" s="51">
        <f>G15998*19%</f>
        <v>194398.91800000001</v>
      </c>
    </row>
    <row r="16003" spans="1:7" x14ac:dyDescent="0.25">
      <c r="A16003" s="61"/>
      <c r="B16003" s="62"/>
      <c r="C16003" s="62"/>
      <c r="D16003" s="62"/>
      <c r="E16003" s="57"/>
      <c r="F16003" s="57"/>
      <c r="G16003" s="58"/>
    </row>
    <row r="16004" spans="1:7" x14ac:dyDescent="0.25">
      <c r="A16004" s="219" t="s">
        <v>104</v>
      </c>
      <c r="B16004" s="219"/>
      <c r="C16004" s="219"/>
      <c r="D16004" s="219"/>
      <c r="E16004" s="219"/>
      <c r="F16004" s="219"/>
      <c r="G16004" s="52">
        <f>G16002+G16000</f>
        <v>25773203.918000001</v>
      </c>
    </row>
    <row r="16006" spans="1:7" x14ac:dyDescent="0.25">
      <c r="A16006" s="74" t="s">
        <v>29</v>
      </c>
      <c r="B16006" s="226" t="s">
        <v>30</v>
      </c>
      <c r="C16006" s="226"/>
      <c r="D16006" s="74" t="s">
        <v>31</v>
      </c>
      <c r="E16006" s="74" t="s">
        <v>32</v>
      </c>
      <c r="F16006" s="74" t="s">
        <v>189</v>
      </c>
      <c r="G16006" s="74" t="s">
        <v>33</v>
      </c>
    </row>
    <row r="16007" spans="1:7" ht="35.25" customHeight="1" x14ac:dyDescent="0.25">
      <c r="A16007" s="50" t="str">
        <f>Presupuesto!B312</f>
        <v>009_SC</v>
      </c>
      <c r="B16007" s="220" t="str">
        <f>Presupuesto!C312</f>
        <v>SERVICIO DE CANAL SATELITAL 128 KBPS UP/DOWN BANDA KU. 12 MESES DE SERVICIO, INSTALACIÓN Y ALQUILER DE EQUIPOS</v>
      </c>
      <c r="C16007" s="220"/>
      <c r="D16007" s="50" t="s">
        <v>8</v>
      </c>
      <c r="E16007" s="50">
        <v>1</v>
      </c>
      <c r="F16007" s="50"/>
      <c r="G16007" s="51">
        <f>G16072</f>
        <v>14756148.341</v>
      </c>
    </row>
    <row r="16008" spans="1:7" x14ac:dyDescent="0.25">
      <c r="A16008" s="219" t="s">
        <v>34</v>
      </c>
      <c r="B16008" s="219"/>
      <c r="C16008" s="219"/>
      <c r="D16008" s="219"/>
      <c r="E16008" s="219"/>
      <c r="F16008" s="219"/>
      <c r="G16008" s="219"/>
    </row>
    <row r="16009" spans="1:7" x14ac:dyDescent="0.25">
      <c r="A16009" s="49" t="s">
        <v>35</v>
      </c>
      <c r="B16009" s="219" t="s">
        <v>36</v>
      </c>
      <c r="C16009" s="219"/>
      <c r="D16009" s="49" t="s">
        <v>37</v>
      </c>
      <c r="E16009" s="49" t="s">
        <v>38</v>
      </c>
      <c r="F16009" s="49" t="s">
        <v>39</v>
      </c>
      <c r="G16009" s="49" t="s">
        <v>40</v>
      </c>
    </row>
    <row r="16010" spans="1:7" ht="28.5" customHeight="1" x14ac:dyDescent="0.25">
      <c r="A16010" s="17" t="str">
        <f>Material!A90</f>
        <v>MA-89</v>
      </c>
      <c r="B16010" s="221" t="str">
        <f>IFERROR(VLOOKUP(A16010,Material!$A:$H,2,0),"-")</f>
        <v>SERVICIO DE CANAL SATELITAL 128 KBPS UP/DOWN BANDA KU. 12 MESES DE SERVICIO</v>
      </c>
      <c r="C16010" s="222"/>
      <c r="D16010" s="50" t="str">
        <f>IFERROR(VLOOKUP(A16010,Material!$A:$H,4,0),"-")</f>
        <v>UN</v>
      </c>
      <c r="E16010" s="50">
        <v>1</v>
      </c>
      <c r="F16010" s="51">
        <f>IFERROR(VLOOKUP(A16010,Material!$A:$H,3,0),"-")</f>
        <v>11009570.021702593</v>
      </c>
      <c r="G16010" s="51">
        <f t="shared" ref="G16010:G16013" si="228">IFERROR(ROUNDUP(F16010*E16010,0),"-")</f>
        <v>11009571</v>
      </c>
    </row>
    <row r="16011" spans="1:7" x14ac:dyDescent="0.25">
      <c r="A16011" s="17"/>
      <c r="B16011" s="72" t="str">
        <f>IFERROR(VLOOKUP(A16011,Material!$A:$H,2,0),"-")</f>
        <v>-</v>
      </c>
      <c r="C16011" s="73"/>
      <c r="D16011" s="50" t="str">
        <f>IFERROR(VLOOKUP(A16011,Material!$A:$H,4,0),"-")</f>
        <v>-</v>
      </c>
      <c r="E16011" s="50"/>
      <c r="F16011" s="51" t="str">
        <f>IFERROR(VLOOKUP(A16011,Material!$A:$H,3,0),"-")</f>
        <v>-</v>
      </c>
      <c r="G16011" s="51" t="str">
        <f t="shared" si="228"/>
        <v>-</v>
      </c>
    </row>
    <row r="16012" spans="1:7" x14ac:dyDescent="0.25">
      <c r="A16012" s="17"/>
      <c r="B16012" s="72" t="str">
        <f>IFERROR(VLOOKUP(A16012,Material!$A:$H,2,0),"-")</f>
        <v>-</v>
      </c>
      <c r="C16012" s="73"/>
      <c r="D16012" s="50" t="str">
        <f>IFERROR(VLOOKUP(A16012,Material!$A:$H,4,0),"-")</f>
        <v>-</v>
      </c>
      <c r="E16012" s="50"/>
      <c r="F16012" s="51" t="str">
        <f>IFERROR(VLOOKUP(A16012,Material!$A:$H,3,0),"-")</f>
        <v>-</v>
      </c>
      <c r="G16012" s="51" t="str">
        <f t="shared" si="228"/>
        <v>-</v>
      </c>
    </row>
    <row r="16013" spans="1:7" x14ac:dyDescent="0.25">
      <c r="A16013" s="17"/>
      <c r="B16013" s="72" t="str">
        <f>IFERROR(VLOOKUP(A16013,Material!$A:$H,2,0),"-")</f>
        <v>-</v>
      </c>
      <c r="C16013" s="73"/>
      <c r="D16013" s="50" t="str">
        <f>IFERROR(VLOOKUP(A16013,Material!$A:$H,4,0),"-")</f>
        <v>-</v>
      </c>
      <c r="E16013" s="50"/>
      <c r="F16013" s="51" t="str">
        <f>IFERROR(VLOOKUP(A16013,Material!$A:$H,3,0),"-")</f>
        <v>-</v>
      </c>
      <c r="G16013" s="51" t="str">
        <f t="shared" si="228"/>
        <v>-</v>
      </c>
    </row>
    <row r="16014" spans="1:7" x14ac:dyDescent="0.25">
      <c r="A16014" s="219" t="s">
        <v>41</v>
      </c>
      <c r="B16014" s="219"/>
      <c r="C16014" s="219"/>
      <c r="D16014" s="219"/>
      <c r="E16014" s="219"/>
      <c r="F16014" s="219"/>
      <c r="G16014" s="52">
        <f>SUM(G16010:G16013)</f>
        <v>11009571</v>
      </c>
    </row>
    <row r="16015" spans="1:7" x14ac:dyDescent="0.25">
      <c r="A16015" s="56"/>
      <c r="B16015" s="57"/>
      <c r="C16015" s="57"/>
      <c r="D16015" s="57"/>
      <c r="E16015" s="57"/>
      <c r="F16015" s="57"/>
      <c r="G16015" s="58"/>
    </row>
    <row r="16016" spans="1:7" x14ac:dyDescent="0.25">
      <c r="A16016" s="219" t="s">
        <v>42</v>
      </c>
      <c r="B16016" s="219"/>
      <c r="C16016" s="219"/>
      <c r="D16016" s="219"/>
      <c r="E16016" s="219"/>
      <c r="F16016" s="219"/>
      <c r="G16016" s="219"/>
    </row>
    <row r="16017" spans="1:7" x14ac:dyDescent="0.25">
      <c r="A16017" s="49" t="s">
        <v>35</v>
      </c>
      <c r="B16017" s="49" t="s">
        <v>36</v>
      </c>
      <c r="C16017" s="49" t="s">
        <v>38</v>
      </c>
      <c r="D16017" s="49" t="s">
        <v>43</v>
      </c>
      <c r="E16017" s="49" t="s">
        <v>44</v>
      </c>
      <c r="F16017" s="49" t="s">
        <v>45</v>
      </c>
      <c r="G16017" s="49" t="s">
        <v>40</v>
      </c>
    </row>
    <row r="16018" spans="1:7" x14ac:dyDescent="0.25">
      <c r="A16018" s="50" t="s">
        <v>319</v>
      </c>
      <c r="B16018" s="68" t="str">
        <f>VLOOKUP(A16018,'Componentes APUs'!$H$1:$L$25,2,0)</f>
        <v>Ingeniero Residente de Obra</v>
      </c>
      <c r="C16018" s="93">
        <v>1</v>
      </c>
      <c r="D16018" s="50">
        <f>VLOOKUP(A16018,'Componentes APUs'!$H$1:$L$25,3,0)</f>
        <v>4</v>
      </c>
      <c r="E16018" s="51">
        <f>VLOOKUP(A16018,'Componentes APUs'!$H$1:$L$25,4,0)</f>
        <v>271142.85714285716</v>
      </c>
      <c r="F16018" s="51">
        <f>VLOOKUP(A16018,'Componentes APUs'!$H$1:$L$25,5,0)</f>
        <v>162685.71428571429</v>
      </c>
      <c r="G16018" s="51">
        <f>ROUNDUP((E16018+F16018)*C16018/E16007,0)</f>
        <v>433829</v>
      </c>
    </row>
    <row r="16019" spans="1:7" x14ac:dyDescent="0.25">
      <c r="A16019" s="50" t="s">
        <v>320</v>
      </c>
      <c r="B16019" s="68" t="str">
        <f>VLOOKUP(A16019,'Componentes APUs'!$H$1:$L$25,2,0)</f>
        <v>Tecnico Supervisor</v>
      </c>
      <c r="C16019" s="93">
        <v>0</v>
      </c>
      <c r="D16019" s="50">
        <f>VLOOKUP(A16019,'Componentes APUs'!$H$1:$L$25,3,0)</f>
        <v>2.2999999999999998</v>
      </c>
      <c r="E16019" s="51">
        <f>VLOOKUP(A16019,'Componentes APUs'!$H$1:$L$25,4,0)</f>
        <v>155907.14285714284</v>
      </c>
      <c r="F16019" s="51">
        <f>VLOOKUP(A16019,'Componentes APUs'!$H$1:$L$25,5,0)</f>
        <v>93544.285714285696</v>
      </c>
      <c r="G16019" s="51">
        <f>ROUNDUP((E16019+F16019)*C16019/E16007,0)</f>
        <v>0</v>
      </c>
    </row>
    <row r="16020" spans="1:7" x14ac:dyDescent="0.25">
      <c r="A16020" s="50" t="s">
        <v>46</v>
      </c>
      <c r="B16020" s="68" t="str">
        <f>VLOOKUP(A16020,'Componentes APUs'!$H$1:$L$25,2,0)</f>
        <v>Tecnico Liniero</v>
      </c>
      <c r="C16020" s="93">
        <v>0</v>
      </c>
      <c r="D16020" s="50">
        <f>VLOOKUP(A16020,'Componentes APUs'!$H$1:$L$25,3,0)</f>
        <v>2</v>
      </c>
      <c r="E16020" s="51">
        <f>VLOOKUP(A16020,'Componentes APUs'!$H$1:$L$25,4,0)</f>
        <v>154619.04761904763</v>
      </c>
      <c r="F16020" s="51">
        <f>VLOOKUP(A16020,'Componentes APUs'!$H$1:$L$25,5,0)</f>
        <v>92771.42857142858</v>
      </c>
      <c r="G16020" s="51">
        <f>ROUNDUP((E16020+F16020)*C16020/E16007,0)</f>
        <v>0</v>
      </c>
    </row>
    <row r="16021" spans="1:7" x14ac:dyDescent="0.25">
      <c r="A16021" s="50" t="s">
        <v>48</v>
      </c>
      <c r="B16021" s="68" t="str">
        <f>VLOOKUP(A16021,'Componentes APUs'!$H$1:$L$25,2,0)</f>
        <v>Ayudante Calificado</v>
      </c>
      <c r="C16021" s="93">
        <v>0</v>
      </c>
      <c r="D16021" s="50">
        <f>VLOOKUP(A16021,'Componentes APUs'!$H$1:$L$25,3,0)</f>
        <v>1.5</v>
      </c>
      <c r="E16021" s="51">
        <f>VLOOKUP(A16021,'Componentes APUs'!$H$1:$L$25,4,0)</f>
        <v>115964.28571428571</v>
      </c>
      <c r="F16021" s="51">
        <f>VLOOKUP(A16021,'Componentes APUs'!$H$1:$L$25,5,0)</f>
        <v>69578.57142857142</v>
      </c>
      <c r="G16021" s="51">
        <f>ROUNDUP((E16021+F16021)*C16021/E16007,0)</f>
        <v>0</v>
      </c>
    </row>
    <row r="16022" spans="1:7" x14ac:dyDescent="0.25">
      <c r="A16022" s="50" t="s">
        <v>50</v>
      </c>
      <c r="B16022" s="68" t="str">
        <f>VLOOKUP(A16022,'Componentes APUs'!$H$1:$L$25,2,0)</f>
        <v>Profesional en SST</v>
      </c>
      <c r="C16022" s="93">
        <v>0</v>
      </c>
      <c r="D16022" s="50">
        <f>VLOOKUP(A16022,'Componentes APUs'!$H$1:$L$25,3,0)</f>
        <v>2.5</v>
      </c>
      <c r="E16022" s="51">
        <f>VLOOKUP(A16022,'Componentes APUs'!$H$1:$L$25,4,0)</f>
        <v>169464.28571428571</v>
      </c>
      <c r="F16022" s="51">
        <f>VLOOKUP(A16022,'Componentes APUs'!$H$1:$L$25,5,0)</f>
        <v>101678.57142857142</v>
      </c>
      <c r="G16022" s="51">
        <f>ROUNDUP((E16022+F16022)*C16022/E16007,0)</f>
        <v>0</v>
      </c>
    </row>
    <row r="16023" spans="1:7" x14ac:dyDescent="0.25">
      <c r="A16023" s="50" t="s">
        <v>52</v>
      </c>
      <c r="B16023" s="68" t="str">
        <f>VLOOKUP(A16023,'Componentes APUs'!$H$1:$L$25,2,0)</f>
        <v>Ayudante No Calificado</v>
      </c>
      <c r="C16023" s="93">
        <v>0</v>
      </c>
      <c r="D16023" s="50">
        <f>VLOOKUP(A16023,'Componentes APUs'!$H$1:$L$25,3,0)</f>
        <v>1</v>
      </c>
      <c r="E16023" s="51">
        <f>VLOOKUP(A16023,'Componentes APUs'!$H$1:$L$25,4,0)</f>
        <v>77309.523809523816</v>
      </c>
      <c r="F16023" s="51">
        <f>VLOOKUP(A16023,'Componentes APUs'!$H$1:$L$25,5,0)</f>
        <v>46385.71428571429</v>
      </c>
      <c r="G16023" s="51">
        <f>ROUNDUP((E16023+F16023)*C16023/E16007,0)</f>
        <v>0</v>
      </c>
    </row>
    <row r="16024" spans="1:7" x14ac:dyDescent="0.25">
      <c r="A16024" s="219" t="s">
        <v>56</v>
      </c>
      <c r="B16024" s="219"/>
      <c r="C16024" s="219"/>
      <c r="D16024" s="219"/>
      <c r="E16024" s="219"/>
      <c r="F16024" s="219"/>
      <c r="G16024" s="52">
        <f>SUM(G16018:G16023)</f>
        <v>433829</v>
      </c>
    </row>
    <row r="16025" spans="1:7" x14ac:dyDescent="0.25">
      <c r="A16025" s="56"/>
      <c r="B16025" s="57"/>
      <c r="C16025" s="57"/>
      <c r="D16025" s="57"/>
      <c r="E16025" s="57"/>
      <c r="F16025" s="57"/>
      <c r="G16025" s="58"/>
    </row>
    <row r="16026" spans="1:7" x14ac:dyDescent="0.25">
      <c r="A16026" s="219" t="s">
        <v>57</v>
      </c>
      <c r="B16026" s="219"/>
      <c r="C16026" s="219"/>
      <c r="D16026" s="219"/>
      <c r="E16026" s="219"/>
      <c r="F16026" s="219"/>
      <c r="G16026" s="219"/>
    </row>
    <row r="16027" spans="1:7" x14ac:dyDescent="0.25">
      <c r="A16027" s="49" t="s">
        <v>35</v>
      </c>
      <c r="B16027" s="219" t="s">
        <v>36</v>
      </c>
      <c r="C16027" s="219"/>
      <c r="D16027" s="49" t="s">
        <v>37</v>
      </c>
      <c r="E16027" s="49" t="s">
        <v>38</v>
      </c>
      <c r="F16027" s="49" t="s">
        <v>39</v>
      </c>
      <c r="G16027" s="49" t="s">
        <v>40</v>
      </c>
    </row>
    <row r="16028" spans="1:7" x14ac:dyDescent="0.25">
      <c r="A16028" s="50" t="s">
        <v>326</v>
      </c>
      <c r="B16028" s="220" t="str">
        <f>VLOOKUP(A16028,'Componentes APUs'!$S$1:$V$10,2,0)</f>
        <v>Juego Llaves</v>
      </c>
      <c r="C16028" s="220"/>
      <c r="D16028" s="50" t="s">
        <v>18</v>
      </c>
      <c r="E16028" s="50">
        <v>2</v>
      </c>
      <c r="F16028" s="51">
        <f>VLOOKUP(A16028,'Componentes APUs'!$S$1:$V$10,4,0)</f>
        <v>9167</v>
      </c>
      <c r="G16028" s="51">
        <f>ROUNDUP(F16028*((E16028/21)/E16007),0)</f>
        <v>874</v>
      </c>
    </row>
    <row r="16029" spans="1:7" x14ac:dyDescent="0.25">
      <c r="A16029" s="50" t="s">
        <v>58</v>
      </c>
      <c r="B16029" s="220" t="str">
        <f>VLOOKUP(A16029,'Componentes APUs'!$S$1:$V$10,2,0)</f>
        <v>Manila de servicio</v>
      </c>
      <c r="C16029" s="220"/>
      <c r="D16029" s="50" t="s">
        <v>18</v>
      </c>
      <c r="E16029" s="50">
        <v>0</v>
      </c>
      <c r="F16029" s="51">
        <f>VLOOKUP(A16029,'Componentes APUs'!$S$1:$V$10,4,0)</f>
        <v>2333</v>
      </c>
      <c r="G16029" s="51">
        <f>ROUNDUP(F16029*((E16029/21)/E16007),0)</f>
        <v>0</v>
      </c>
    </row>
    <row r="16030" spans="1:7" x14ac:dyDescent="0.25">
      <c r="A16030" s="50" t="s">
        <v>327</v>
      </c>
      <c r="B16030" s="220" t="str">
        <f>VLOOKUP(A16030,'Componentes APUs'!$S$1:$V$10,2,0)</f>
        <v>Tula portaherramientas</v>
      </c>
      <c r="C16030" s="220"/>
      <c r="D16030" s="50" t="s">
        <v>18</v>
      </c>
      <c r="E16030" s="50">
        <v>2</v>
      </c>
      <c r="F16030" s="51">
        <f>VLOOKUP(A16030,'Componentes APUs'!$S$1:$V$10,4,0)</f>
        <v>1250</v>
      </c>
      <c r="G16030" s="51">
        <f>ROUNDUP(F16030*((E16030/21)/E16007),0)</f>
        <v>120</v>
      </c>
    </row>
    <row r="16031" spans="1:7" x14ac:dyDescent="0.25">
      <c r="A16031" s="50" t="s">
        <v>60</v>
      </c>
      <c r="B16031" s="220" t="str">
        <f>VLOOKUP(A16031,'Componentes APUs'!$S$1:$V$10,2,0)</f>
        <v>Agarradoras</v>
      </c>
      <c r="C16031" s="220"/>
      <c r="D16031" s="50" t="s">
        <v>18</v>
      </c>
      <c r="E16031" s="50">
        <v>0</v>
      </c>
      <c r="F16031" s="51">
        <f>VLOOKUP(A16031,'Componentes APUs'!$S$1:$V$10,4,0)</f>
        <v>125000</v>
      </c>
      <c r="G16031" s="51">
        <f>ROUNDUP(F16031*((E16031/21)/E16007),0)</f>
        <v>0</v>
      </c>
    </row>
    <row r="16032" spans="1:7" x14ac:dyDescent="0.25">
      <c r="A16032" s="50" t="s">
        <v>62</v>
      </c>
      <c r="B16032" s="220" t="str">
        <f>VLOOKUP(A16032,'Componentes APUs'!$S$1:$V$10,2,0)</f>
        <v>Templadoras</v>
      </c>
      <c r="C16032" s="220"/>
      <c r="D16032" s="50" t="s">
        <v>18</v>
      </c>
      <c r="E16032" s="50">
        <v>0</v>
      </c>
      <c r="F16032" s="51">
        <f>VLOOKUP(A16032,'Componentes APUs'!$S$1:$V$10,4,0)</f>
        <v>250000</v>
      </c>
      <c r="G16032" s="51">
        <f>ROUNDUP(F16032*((E16032/21)/E16007),0)</f>
        <v>0</v>
      </c>
    </row>
    <row r="16033" spans="1:7" x14ac:dyDescent="0.25">
      <c r="A16033" s="50" t="s">
        <v>328</v>
      </c>
      <c r="B16033" s="220" t="str">
        <f>VLOOKUP(A16033,'Componentes APUs'!$S$1:$V$10,2,0)</f>
        <v>Herramienta Menor</v>
      </c>
      <c r="C16033" s="220"/>
      <c r="D16033" s="50" t="s">
        <v>18</v>
      </c>
      <c r="E16033" s="50">
        <v>2</v>
      </c>
      <c r="F16033" s="51">
        <f>VLOOKUP(A16033,'Componentes APUs'!$S$1:$V$10,4,0)</f>
        <v>75758</v>
      </c>
      <c r="G16033" s="51">
        <f>ROUNDUP(F16033*((E16033/21)/E16007),0)</f>
        <v>7216</v>
      </c>
    </row>
    <row r="16034" spans="1:7" x14ac:dyDescent="0.25">
      <c r="A16034" s="219" t="s">
        <v>69</v>
      </c>
      <c r="B16034" s="219"/>
      <c r="C16034" s="219"/>
      <c r="D16034" s="219"/>
      <c r="E16034" s="219"/>
      <c r="F16034" s="219"/>
      <c r="G16034" s="52">
        <f>SUM(G16028:G16033)</f>
        <v>8210</v>
      </c>
    </row>
    <row r="16035" spans="1:7" x14ac:dyDescent="0.25">
      <c r="A16035" s="56"/>
      <c r="B16035" s="57"/>
      <c r="C16035" s="57"/>
      <c r="D16035" s="57"/>
      <c r="E16035" s="57"/>
      <c r="F16035" s="57"/>
      <c r="G16035" s="58"/>
    </row>
    <row r="16036" spans="1:7" x14ac:dyDescent="0.25">
      <c r="A16036" s="219" t="s">
        <v>70</v>
      </c>
      <c r="B16036" s="219"/>
      <c r="C16036" s="219"/>
      <c r="D16036" s="219"/>
      <c r="E16036" s="219"/>
      <c r="F16036" s="219"/>
      <c r="G16036" s="219"/>
    </row>
    <row r="16037" spans="1:7" x14ac:dyDescent="0.25">
      <c r="A16037" s="49" t="s">
        <v>35</v>
      </c>
      <c r="B16037" s="219" t="s">
        <v>36</v>
      </c>
      <c r="C16037" s="219"/>
      <c r="D16037" s="49" t="s">
        <v>37</v>
      </c>
      <c r="E16037" s="49" t="s">
        <v>38</v>
      </c>
      <c r="F16037" s="49" t="s">
        <v>39</v>
      </c>
      <c r="G16037" s="49" t="s">
        <v>40</v>
      </c>
    </row>
    <row r="16038" spans="1:7" x14ac:dyDescent="0.25">
      <c r="A16038" s="50" t="s">
        <v>71</v>
      </c>
      <c r="B16038" s="71" t="str">
        <f>VLOOKUP(A16038,'Componentes APUs'!$A$1:$D$14,2,0)</f>
        <v>Camisa indigo sin partes metalicas</v>
      </c>
      <c r="C16038" s="71"/>
      <c r="D16038" s="50" t="str">
        <f>VLOOKUP(A16038,'Componentes APUs'!$A$1:$D$14,3,0)</f>
        <v>U</v>
      </c>
      <c r="E16038" s="50">
        <f>SUM(C16018:C16023)</f>
        <v>1</v>
      </c>
      <c r="F16038" s="51">
        <f>VLOOKUP(A16038,'Componentes APUs'!$A$1:$D$14,4,0)</f>
        <v>8585.8585858585866</v>
      </c>
      <c r="G16038" s="51">
        <f>ROUNDUP(F16038*(E16038/21)/E16007,0)</f>
        <v>409</v>
      </c>
    </row>
    <row r="16039" spans="1:7" x14ac:dyDescent="0.25">
      <c r="A16039" s="69" t="s">
        <v>73</v>
      </c>
      <c r="B16039" s="72" t="str">
        <f>VLOOKUP(A16039,'Componentes APUs'!$A$1:$D$14,2,0)</f>
        <v>Bota de seguridad dielectrica</v>
      </c>
      <c r="C16039" s="73"/>
      <c r="D16039" s="70" t="str">
        <f>VLOOKUP(A16039,'Componentes APUs'!$A$1:$D$14,3,0)</f>
        <v>Par</v>
      </c>
      <c r="E16039" s="50">
        <f>SUM(C16018:C16023)</f>
        <v>1</v>
      </c>
      <c r="F16039" s="51">
        <f>VLOOKUP(A16039,'Componentes APUs'!$A$1:$D$14,4,0)</f>
        <v>7500</v>
      </c>
      <c r="G16039" s="51">
        <f>ROUNDUP(F16039*(E16039/21)/E16007,0)</f>
        <v>358</v>
      </c>
    </row>
    <row r="16040" spans="1:7" x14ac:dyDescent="0.25">
      <c r="A16040" s="50" t="s">
        <v>76</v>
      </c>
      <c r="B16040" s="72" t="str">
        <f>VLOOKUP(A16040,'Componentes APUs'!$A$1:$D$14,2,0)</f>
        <v>Casco dielectrico Tipo 1 Clase E con barbuquejo</v>
      </c>
      <c r="C16040" s="73"/>
      <c r="D16040" s="50" t="str">
        <f>VLOOKUP(A16040,'Componentes APUs'!$A$1:$D$14,3,0)</f>
        <v>U</v>
      </c>
      <c r="E16040" s="50">
        <f>C16018+C16021+C16022+C16019+C16023+IF(A16020&lt;&gt;"MO-3",C16020,0)</f>
        <v>1</v>
      </c>
      <c r="F16040" s="51">
        <f>VLOOKUP(A16040,'Componentes APUs'!$A$1:$D$14,4,0)</f>
        <v>10101.010101010101</v>
      </c>
      <c r="G16040" s="51">
        <f>ROUNDUP(F16040*(E16040/21)/E16007,0)</f>
        <v>482</v>
      </c>
    </row>
    <row r="16041" spans="1:7" x14ac:dyDescent="0.25">
      <c r="A16041" s="69" t="s">
        <v>77</v>
      </c>
      <c r="B16041" s="72" t="str">
        <f>VLOOKUP(A16041,'Componentes APUs'!$A$1:$D$14,2,0)</f>
        <v>Correa plastica y antiflama</v>
      </c>
      <c r="C16041" s="73"/>
      <c r="D16041" s="50" t="str">
        <f>VLOOKUP(A16041,'Componentes APUs'!$A$1:$D$14,3,0)</f>
        <v>U</v>
      </c>
      <c r="E16041" s="50">
        <f>SUM(C16018:C16023)</f>
        <v>1</v>
      </c>
      <c r="F16041" s="51">
        <f>VLOOKUP(A16041,'Componentes APUs'!$A$1:$D$14,4,0)</f>
        <v>3787.878787878788</v>
      </c>
      <c r="G16041" s="51">
        <f>ROUNDUP(F16041*(E16041/21)/E16007,0)</f>
        <v>181</v>
      </c>
    </row>
    <row r="16042" spans="1:7" x14ac:dyDescent="0.25">
      <c r="A16042" s="50" t="s">
        <v>79</v>
      </c>
      <c r="B16042" s="72" t="str">
        <f>VLOOKUP(A16042,'Componentes APUs'!$A$1:$D$14,2,0)</f>
        <v>Gafas protectoras filtro UV</v>
      </c>
      <c r="C16042" s="73"/>
      <c r="D16042" s="50" t="str">
        <f>VLOOKUP(A16042,'Componentes APUs'!$A$1:$D$14,3,0)</f>
        <v>U</v>
      </c>
      <c r="E16042" s="50">
        <f>SUM(C16018:C16023)</f>
        <v>1</v>
      </c>
      <c r="F16042" s="51">
        <f>VLOOKUP(A16042,'Componentes APUs'!$A$1:$D$14,4,0)</f>
        <v>2777.7777777777778</v>
      </c>
      <c r="G16042" s="51">
        <f>ROUNDUP(F16042*(E16042/21)/E16007,0)</f>
        <v>133</v>
      </c>
    </row>
    <row r="16043" spans="1:7" x14ac:dyDescent="0.25">
      <c r="A16043" s="69" t="s">
        <v>402</v>
      </c>
      <c r="B16043" s="72" t="str">
        <f>VLOOKUP(A16043,'Componentes APUs'!$A$1:$D$14,2,0)</f>
        <v>Bota de seguridad PVC dielectrica</v>
      </c>
      <c r="C16043" s="73"/>
      <c r="D16043" s="50" t="str">
        <f>VLOOKUP(A16043,'Componentes APUs'!$A$1:$D$14,3,0)</f>
        <v>Par</v>
      </c>
      <c r="E16043" s="50">
        <f>SUM(C16018:C16023)</f>
        <v>1</v>
      </c>
      <c r="F16043" s="51">
        <f>VLOOKUP(A16043,'Componentes APUs'!$A$1:$D$14,4,0)</f>
        <v>2916.6666666666665</v>
      </c>
      <c r="G16043" s="51">
        <f>ROUNDUP(F16043*(E16043/21)/E16007,0)</f>
        <v>139</v>
      </c>
    </row>
    <row r="16044" spans="1:7" x14ac:dyDescent="0.25">
      <c r="A16044" s="50" t="s">
        <v>403</v>
      </c>
      <c r="B16044" s="72" t="str">
        <f>VLOOKUP(A16044,'Componentes APUs'!$A$1:$D$14,2,0)</f>
        <v>Capuchon</v>
      </c>
      <c r="C16044" s="73"/>
      <c r="D16044" s="50" t="str">
        <f>VLOOKUP(A16044,'Componentes APUs'!$A$1:$D$14,3,0)</f>
        <v>U</v>
      </c>
      <c r="E16044" s="50">
        <f>SUM(C16018:C16023)</f>
        <v>1</v>
      </c>
      <c r="F16044" s="51">
        <f>VLOOKUP(A16044,'Componentes APUs'!$A$1:$D$14,4,0)</f>
        <v>2525.2525252525252</v>
      </c>
      <c r="G16044" s="51">
        <f>ROUNDUP(F16044*(E16044/21)/E16007,0)</f>
        <v>121</v>
      </c>
    </row>
    <row r="16045" spans="1:7" x14ac:dyDescent="0.25">
      <c r="A16045" s="69" t="s">
        <v>81</v>
      </c>
      <c r="B16045" s="72" t="str">
        <f>VLOOKUP(A16045,'Componentes APUs'!$A$1:$D$14,2,0)</f>
        <v>Guantes Protectores  - ingeniero reforzados</v>
      </c>
      <c r="C16045" s="73"/>
      <c r="D16045" s="50" t="str">
        <f>VLOOKUP(A16045,'Componentes APUs'!$A$1:$D$14,3,0)</f>
        <v>Par</v>
      </c>
      <c r="E16045" s="50">
        <f>C16020+C16021+C16023</f>
        <v>0</v>
      </c>
      <c r="F16045" s="51">
        <f>VLOOKUP(A16045,'Componentes APUs'!$A$1:$D$14,4,0)</f>
        <v>2525.2525252525252</v>
      </c>
      <c r="G16045" s="51">
        <f>ROUNDUP(F16045*(E16045/21)/E16007,0)</f>
        <v>0</v>
      </c>
    </row>
    <row r="16046" spans="1:7" x14ac:dyDescent="0.25">
      <c r="A16046" s="50" t="s">
        <v>83</v>
      </c>
      <c r="B16046" s="72" t="str">
        <f>VLOOKUP(A16046,'Componentes APUs'!$A$1:$D$14,2,0)</f>
        <v>Impermeable (pantalon camisa)</v>
      </c>
      <c r="C16046" s="73"/>
      <c r="D16046" s="50" t="str">
        <f>VLOOKUP(A16046,'Componentes APUs'!$A$1:$D$14,3,0)</f>
        <v>U</v>
      </c>
      <c r="E16046" s="50">
        <f>SUM(C16018:C16023)</f>
        <v>1</v>
      </c>
      <c r="F16046" s="51">
        <f>VLOOKUP(A16046,'Componentes APUs'!$A$1:$D$14,4,0)</f>
        <v>3750</v>
      </c>
      <c r="G16046" s="51">
        <f>ROUNDUP(F16046*(E16046/21)/E16007,0)</f>
        <v>179</v>
      </c>
    </row>
    <row r="16047" spans="1:7" x14ac:dyDescent="0.25">
      <c r="A16047" s="69" t="s">
        <v>85</v>
      </c>
      <c r="B16047" s="72" t="str">
        <f>VLOOKUP(A16047,'Componentes APUs'!$A$1:$D$14,2,0)</f>
        <v>Jean Dielectrico</v>
      </c>
      <c r="C16047" s="73"/>
      <c r="D16047" s="50" t="str">
        <f>VLOOKUP(A16047,'Componentes APUs'!$A$1:$D$14,3,0)</f>
        <v>U</v>
      </c>
      <c r="E16047" s="50">
        <f>SUM(C16018:C16023)</f>
        <v>1</v>
      </c>
      <c r="F16047" s="51">
        <f>VLOOKUP(A16047,'Componentes APUs'!$A$1:$D$14,4,0)</f>
        <v>7575.757575757576</v>
      </c>
      <c r="G16047" s="51">
        <f>ROUNDUP(F16047*(E16047/21)/E16007,0)</f>
        <v>361</v>
      </c>
    </row>
    <row r="16048" spans="1:7" x14ac:dyDescent="0.25">
      <c r="A16048" s="50" t="s">
        <v>87</v>
      </c>
      <c r="B16048" s="72" t="str">
        <f>VLOOKUP(A16048,'Componentes APUs'!$A$1:$D$14,2,0)</f>
        <v>Casco dielectrico Tipo 2 Clase E con barboquejo</v>
      </c>
      <c r="C16048" s="73"/>
      <c r="D16048" s="50" t="str">
        <f>VLOOKUP(A16048,'Componentes APUs'!$A$1:$D$14,3,0)</f>
        <v>U</v>
      </c>
      <c r="E16048" s="53">
        <f>IF(A16020="MO-3",C16020,0)</f>
        <v>0</v>
      </c>
      <c r="F16048" s="51">
        <f>VLOOKUP(A16048,'Componentes APUs'!$A$1:$D$14,4,0)</f>
        <v>7500</v>
      </c>
      <c r="G16048" s="51">
        <f>ROUNDUP(F16048*(E16048/21)/E16007,0)</f>
        <v>0</v>
      </c>
    </row>
    <row r="16049" spans="1:7" x14ac:dyDescent="0.25">
      <c r="A16049" s="69" t="s">
        <v>89</v>
      </c>
      <c r="B16049" s="72" t="str">
        <f>VLOOKUP(A16049,'Componentes APUs'!$A$1:$D$14,2,0)</f>
        <v>Kit de rescate para trabajo en alturas</v>
      </c>
      <c r="C16049" s="73"/>
      <c r="D16049" s="50" t="str">
        <f>VLOOKUP(A16049,'Componentes APUs'!$A$1:$D$14,3,0)</f>
        <v>U</v>
      </c>
      <c r="E16049" s="50">
        <f>IF(AND(A16020="MO-3",C16020=2),1,0)</f>
        <v>0</v>
      </c>
      <c r="F16049" s="51">
        <f>VLOOKUP(A16049,'Componentes APUs'!$A$1:$D$14,4,0)</f>
        <v>37500</v>
      </c>
      <c r="G16049" s="51">
        <f>ROUNDUP(F16049*(E16049/21)/E16007,0)</f>
        <v>0</v>
      </c>
    </row>
    <row r="16050" spans="1:7" x14ac:dyDescent="0.25">
      <c r="A16050" s="50" t="s">
        <v>91</v>
      </c>
      <c r="B16050" s="72" t="str">
        <f>VLOOKUP(A16050,'Componentes APUs'!$A$1:$D$14,2,0)</f>
        <v>Equipo completo para trabajo en alturas con pretales (Arnes dielectrico, 1 mosqueton de seguridad, tie off dielectrico, eslinga de posicionamiento, juego de pretales)</v>
      </c>
      <c r="C16050" s="73"/>
      <c r="D16050" s="50" t="str">
        <f>VLOOKUP(A16050,'Componentes APUs'!$A$1:$D$14,3,0)</f>
        <v>U</v>
      </c>
      <c r="E16050" s="50">
        <f>IF(A16019="MO-3",C16019,0)</f>
        <v>0</v>
      </c>
      <c r="F16050" s="51">
        <f>VLOOKUP(A16050,'Componentes APUs'!$A$1:$D$14,4,0)</f>
        <v>26041.666666666668</v>
      </c>
      <c r="G16050" s="51">
        <f>ROUNDUP(F16050*(E16050/21)/E16007,0)</f>
        <v>0</v>
      </c>
    </row>
    <row r="16051" spans="1:7" x14ac:dyDescent="0.25">
      <c r="A16051" s="219" t="s">
        <v>95</v>
      </c>
      <c r="B16051" s="219"/>
      <c r="C16051" s="219"/>
      <c r="D16051" s="219"/>
      <c r="E16051" s="219"/>
      <c r="F16051" s="219"/>
      <c r="G16051" s="52">
        <f>SUM(G16038:G16050)</f>
        <v>2363</v>
      </c>
    </row>
    <row r="16052" spans="1:7" x14ac:dyDescent="0.25">
      <c r="A16052" s="56"/>
      <c r="B16052" s="57"/>
      <c r="C16052" s="57"/>
      <c r="D16052" s="57"/>
      <c r="E16052" s="57"/>
      <c r="F16052" s="57"/>
      <c r="G16052" s="58"/>
    </row>
    <row r="16053" spans="1:7" x14ac:dyDescent="0.25">
      <c r="A16053" s="219" t="s">
        <v>96</v>
      </c>
      <c r="B16053" s="219"/>
      <c r="C16053" s="219"/>
      <c r="D16053" s="219"/>
      <c r="E16053" s="219"/>
      <c r="F16053" s="219"/>
      <c r="G16053" s="219"/>
    </row>
    <row r="16054" spans="1:7" x14ac:dyDescent="0.25">
      <c r="A16054" s="49" t="s">
        <v>35</v>
      </c>
      <c r="B16054" s="225" t="s">
        <v>36</v>
      </c>
      <c r="C16054" s="225"/>
      <c r="D16054" s="49" t="s">
        <v>37</v>
      </c>
      <c r="E16054" s="49" t="s">
        <v>38</v>
      </c>
      <c r="F16054" s="49" t="s">
        <v>39</v>
      </c>
      <c r="G16054" s="49" t="s">
        <v>40</v>
      </c>
    </row>
    <row r="16055" spans="1:7" x14ac:dyDescent="0.25">
      <c r="A16055" s="69" t="s">
        <v>97</v>
      </c>
      <c r="B16055" s="72" t="str">
        <f>VLOOKUP(A16055,'Componentes APUs'!$N$1:$Q$30,2,0)</f>
        <v>Camioneta</v>
      </c>
      <c r="C16055" s="73"/>
      <c r="D16055" s="70" t="str">
        <f>VLOOKUP(A16055,'Componentes APUs'!$N$1:$Q$30,3,0)</f>
        <v>U</v>
      </c>
      <c r="E16055" s="50">
        <v>1</v>
      </c>
      <c r="F16055" s="51">
        <f>VLOOKUP(A16055,'Componentes APUs'!$N$1:$Q$30,4,0)</f>
        <v>5500000</v>
      </c>
      <c r="G16055" s="51">
        <f>IFERROR(ROUNDUP(F16055*(E16055/21)/E16007,0),0)</f>
        <v>261905</v>
      </c>
    </row>
    <row r="16056" spans="1:7" x14ac:dyDescent="0.25">
      <c r="A16056" s="50" t="s">
        <v>321</v>
      </c>
      <c r="B16056" s="72" t="str">
        <f>VLOOKUP(A16056,'Componentes APUs'!$N$1:$Q$30,2,0)</f>
        <v>Grúa Hidráulica</v>
      </c>
      <c r="C16056" s="73"/>
      <c r="D16056" s="70" t="str">
        <f>VLOOKUP(A16056,'Componentes APUs'!$N$1:$Q$30,3,0)</f>
        <v>U</v>
      </c>
      <c r="E16056" s="50">
        <v>0</v>
      </c>
      <c r="F16056" s="51">
        <f>VLOOKUP(A16056,'Componentes APUs'!$N$1:$Q$30,4,0)</f>
        <v>21000000</v>
      </c>
      <c r="G16056" s="51">
        <f>IFERROR(ROUNDUP(F16056*(E16056/21)/E16007,0),0)</f>
        <v>0</v>
      </c>
    </row>
    <row r="16057" spans="1:7" x14ac:dyDescent="0.25">
      <c r="A16057" s="69" t="s">
        <v>322</v>
      </c>
      <c r="B16057" s="72" t="str">
        <f>VLOOKUP(A16057,'Componentes APUs'!$N$1:$Q$30,2,0)</f>
        <v>Camabaja</v>
      </c>
      <c r="C16057" s="73"/>
      <c r="D16057" s="70" t="str">
        <f>VLOOKUP(A16057,'Componentes APUs'!$N$1:$Q$30,3,0)</f>
        <v>TON/KM</v>
      </c>
      <c r="E16057" s="50">
        <v>0</v>
      </c>
      <c r="F16057" s="51">
        <f>VLOOKUP(A16057,'Componentes APUs'!$N$1:$Q$30,4,0)</f>
        <v>611</v>
      </c>
      <c r="G16057" s="51">
        <f>IFERROR(ROUNDUP(F16057*(E16057/21)/E16007,0),0)</f>
        <v>0</v>
      </c>
    </row>
    <row r="16058" spans="1:7" x14ac:dyDescent="0.25">
      <c r="A16058" s="50" t="s">
        <v>323</v>
      </c>
      <c r="B16058" s="72" t="str">
        <f>VLOOKUP(A16058,'Componentes APUs'!$N$1:$Q$30,2,0)</f>
        <v>Volqueta</v>
      </c>
      <c r="C16058" s="73"/>
      <c r="D16058" s="70" t="str">
        <f>VLOOKUP(A16058,'Componentes APUs'!$N$1:$Q$30,3,0)</f>
        <v>U</v>
      </c>
      <c r="E16058" s="50">
        <v>0</v>
      </c>
      <c r="F16058" s="51">
        <f>VLOOKUP(A16058,'Componentes APUs'!$N$1:$Q$30,4,0)</f>
        <v>14828184</v>
      </c>
      <c r="G16058" s="51">
        <f>IFERROR(ROUNDUP(F16058*(E16058/21)/E16007,0),0)</f>
        <v>0</v>
      </c>
    </row>
    <row r="16059" spans="1:7" x14ac:dyDescent="0.25">
      <c r="A16059" s="69" t="s">
        <v>324</v>
      </c>
      <c r="B16059" s="72" t="str">
        <f>VLOOKUP(A16059,'Componentes APUs'!$N$1:$Q$30,2,0)</f>
        <v>Retroexcavadora</v>
      </c>
      <c r="C16059" s="73"/>
      <c r="D16059" s="70" t="str">
        <f>VLOOKUP(A16059,'Componentes APUs'!$N$1:$Q$30,3,0)</f>
        <v>U</v>
      </c>
      <c r="E16059" s="50">
        <v>0</v>
      </c>
      <c r="F16059" s="51">
        <f>VLOOKUP(A16059,'Componentes APUs'!$N$1:$Q$30,4,0)</f>
        <v>46030656</v>
      </c>
      <c r="G16059" s="51">
        <f>IFERROR(ROUNDUP(F16059*(E16059/21)/E16007,0),0)</f>
        <v>0</v>
      </c>
    </row>
    <row r="16060" spans="1:7" x14ac:dyDescent="0.25">
      <c r="A16060" s="219" t="s">
        <v>99</v>
      </c>
      <c r="B16060" s="219"/>
      <c r="C16060" s="219"/>
      <c r="D16060" s="219"/>
      <c r="E16060" s="219"/>
      <c r="F16060" s="219"/>
      <c r="G16060" s="52">
        <f>SUM(G16055:G16059)</f>
        <v>261905</v>
      </c>
    </row>
    <row r="16061" spans="1:7" x14ac:dyDescent="0.25">
      <c r="A16061" s="56"/>
      <c r="B16061" s="57"/>
      <c r="C16061" s="57"/>
      <c r="D16061" s="57"/>
      <c r="E16061" s="57"/>
      <c r="F16061" s="57"/>
      <c r="G16061" s="58"/>
    </row>
    <row r="16062" spans="1:7" x14ac:dyDescent="0.25">
      <c r="A16062" s="219" t="s">
        <v>1516</v>
      </c>
      <c r="B16062" s="219"/>
      <c r="C16062" s="219"/>
      <c r="D16062" s="219"/>
      <c r="E16062" s="219"/>
      <c r="F16062" s="219"/>
      <c r="G16062" s="52">
        <f>G16060+G16051+G16034+G16024+G16014</f>
        <v>11715878</v>
      </c>
    </row>
    <row r="16063" spans="1:7" x14ac:dyDescent="0.25">
      <c r="A16063" s="59"/>
      <c r="B16063" s="60"/>
      <c r="C16063" s="60"/>
      <c r="D16063" s="60"/>
      <c r="E16063" s="57"/>
      <c r="F16063" s="57"/>
      <c r="G16063" s="58"/>
    </row>
    <row r="16064" spans="1:7" x14ac:dyDescent="0.25">
      <c r="A16064" s="64"/>
      <c r="D16064" s="55"/>
      <c r="E16064" s="49" t="s">
        <v>25</v>
      </c>
      <c r="F16064" s="54">
        <v>0.15</v>
      </c>
      <c r="G16064" s="51">
        <f>G16062*F16064</f>
        <v>1757381.7</v>
      </c>
    </row>
    <row r="16065" spans="1:7" x14ac:dyDescent="0.25">
      <c r="A16065" s="64"/>
      <c r="D16065" s="55"/>
      <c r="E16065" s="49" t="s">
        <v>26</v>
      </c>
      <c r="F16065" s="54">
        <v>0.05</v>
      </c>
      <c r="G16065" s="51">
        <f>G16062*F16065</f>
        <v>585793.9</v>
      </c>
    </row>
    <row r="16066" spans="1:7" x14ac:dyDescent="0.25">
      <c r="A16066" s="61"/>
      <c r="B16066" s="65"/>
      <c r="C16066" s="65"/>
      <c r="D16066" s="62"/>
      <c r="E16066" s="49" t="s">
        <v>27</v>
      </c>
      <c r="F16066" s="54">
        <v>0.05</v>
      </c>
      <c r="G16066" s="51">
        <f>G16062*F16066</f>
        <v>585793.9</v>
      </c>
    </row>
    <row r="16067" spans="1:7" x14ac:dyDescent="0.25">
      <c r="A16067" s="61"/>
      <c r="B16067" s="62"/>
      <c r="C16067" s="62"/>
      <c r="D16067" s="62"/>
      <c r="E16067" s="62"/>
      <c r="F16067" s="62"/>
      <c r="G16067" s="63"/>
    </row>
    <row r="16068" spans="1:7" x14ac:dyDescent="0.25">
      <c r="A16068" s="219" t="s">
        <v>1517</v>
      </c>
      <c r="B16068" s="219"/>
      <c r="C16068" s="219"/>
      <c r="D16068" s="219"/>
      <c r="E16068" s="219"/>
      <c r="F16068" s="219"/>
      <c r="G16068" s="52">
        <f>G16062+G16064+G16065+G16066</f>
        <v>14644847.5</v>
      </c>
    </row>
    <row r="16069" spans="1:7" x14ac:dyDescent="0.25">
      <c r="A16069" s="59"/>
      <c r="B16069" s="60"/>
      <c r="C16069" s="60"/>
      <c r="D16069" s="60"/>
      <c r="E16069" s="57"/>
      <c r="F16069" s="57"/>
      <c r="G16069" s="58"/>
    </row>
    <row r="16070" spans="1:7" x14ac:dyDescent="0.25">
      <c r="A16070" s="64"/>
      <c r="D16070" s="55"/>
      <c r="E16070" s="49" t="s">
        <v>102</v>
      </c>
      <c r="F16070" s="49" t="s">
        <v>103</v>
      </c>
      <c r="G16070" s="51">
        <f>G16066*19%</f>
        <v>111300.841</v>
      </c>
    </row>
    <row r="16071" spans="1:7" x14ac:dyDescent="0.25">
      <c r="A16071" s="61"/>
      <c r="B16071" s="62"/>
      <c r="C16071" s="62"/>
      <c r="D16071" s="62"/>
      <c r="E16071" s="57"/>
      <c r="F16071" s="57"/>
      <c r="G16071" s="58"/>
    </row>
    <row r="16072" spans="1:7" x14ac:dyDescent="0.25">
      <c r="A16072" s="219" t="s">
        <v>104</v>
      </c>
      <c r="B16072" s="219"/>
      <c r="C16072" s="219"/>
      <c r="D16072" s="219"/>
      <c r="E16072" s="219"/>
      <c r="F16072" s="219"/>
      <c r="G16072" s="52">
        <f>G16070+G16068</f>
        <v>14756148.341</v>
      </c>
    </row>
    <row r="16074" spans="1:7" x14ac:dyDescent="0.25">
      <c r="A16074" s="74" t="s">
        <v>29</v>
      </c>
      <c r="B16074" s="226" t="s">
        <v>30</v>
      </c>
      <c r="C16074" s="226"/>
      <c r="D16074" s="74" t="s">
        <v>31</v>
      </c>
      <c r="E16074" s="74" t="s">
        <v>32</v>
      </c>
      <c r="F16074" s="74" t="s">
        <v>189</v>
      </c>
      <c r="G16074" s="74" t="s">
        <v>33</v>
      </c>
    </row>
    <row r="16075" spans="1:7" ht="123" customHeight="1" x14ac:dyDescent="0.25">
      <c r="A16075" s="50" t="str">
        <f>Presupuesto!B313</f>
        <v>010_SC</v>
      </c>
      <c r="B16075" s="220" t="str">
        <f>Presupuesto!C313</f>
        <v>INTEGRACIÓN EQUIPOS DE MANIOBRA Y CORTE MEDIANTE EL SISTEMA SCADA AL CENTRO DE CONTROL DE ELECTROHUILA, INCLUYE EL DESARROLLO DEL DIAGRAMA UNIFILAR PARA  VISUALIZACIÓN EN PANTALLA IHM, MONITOREO DE VARIABLES ELÉCTRICAS Y OPERACIÓN EN TIEMPO REAL, INTEGRACIÓN AL OMS REGISTROS DE APERTURAS Y CIERRES CON ESTAMPA DE TIEMPO REAL. SE INTEGRARÁN LOS RECONECTADORES, SECCIONADORES, MEDIDAS ELÉCTRICAS Y PROTECCIONES .  INCLUYE LAS  PRUEBAS DEL SISTEMA EN TERRENO Y DESDE CENTRO DE CONTROL Y OMS, LOS AJUSTES Y PUESTA EN SERVICIO. DEBE INCLUIR TODO EL LICENCIAMIENTO DE PROTOCOLOS Y PUNTOS A INTEGRAR AL SCADA.</v>
      </c>
      <c r="C16075" s="220"/>
      <c r="D16075" s="50" t="s">
        <v>8</v>
      </c>
      <c r="E16075" s="96">
        <f>1/10</f>
        <v>0.1</v>
      </c>
      <c r="F16075" s="50"/>
      <c r="G16075" s="51">
        <f>G16138</f>
        <v>35220601.322499998</v>
      </c>
    </row>
    <row r="16076" spans="1:7" x14ac:dyDescent="0.25">
      <c r="A16076" s="219" t="s">
        <v>34</v>
      </c>
      <c r="B16076" s="219"/>
      <c r="C16076" s="219"/>
      <c r="D16076" s="219"/>
      <c r="E16076" s="219"/>
      <c r="F16076" s="219"/>
      <c r="G16076" s="219"/>
    </row>
    <row r="16077" spans="1:7" x14ac:dyDescent="0.25">
      <c r="A16077" s="49" t="s">
        <v>35</v>
      </c>
      <c r="B16077" s="219" t="s">
        <v>36</v>
      </c>
      <c r="C16077" s="219"/>
      <c r="D16077" s="49" t="s">
        <v>37</v>
      </c>
      <c r="E16077" s="49" t="s">
        <v>38</v>
      </c>
      <c r="F16077" s="49" t="s">
        <v>39</v>
      </c>
      <c r="G16077" s="49" t="s">
        <v>40</v>
      </c>
    </row>
    <row r="16078" spans="1:7" x14ac:dyDescent="0.25">
      <c r="A16078" s="17"/>
      <c r="B16078" s="72" t="str">
        <f>IFERROR(VLOOKUP(A16078,Material!$A:$H,2,0),"-")</f>
        <v>-</v>
      </c>
      <c r="C16078" s="73"/>
      <c r="D16078" s="50" t="str">
        <f>IFERROR(VLOOKUP(A16078,Material!$A:$H,4,0),"-")</f>
        <v>-</v>
      </c>
      <c r="E16078" s="50"/>
      <c r="F16078" s="51" t="str">
        <f>IFERROR(VLOOKUP(A16078,Material!$A:$H,3,0),"-")</f>
        <v>-</v>
      </c>
      <c r="G16078" s="51" t="str">
        <f>IFERROR(ROUNDUP(F16078*E16078,0),"-")</f>
        <v>-</v>
      </c>
    </row>
    <row r="16079" spans="1:7" x14ac:dyDescent="0.25">
      <c r="A16079" s="17"/>
      <c r="B16079" s="72"/>
      <c r="C16079" s="73"/>
      <c r="D16079" s="50"/>
      <c r="E16079" s="50"/>
      <c r="F16079" s="51"/>
      <c r="G16079" s="51"/>
    </row>
    <row r="16080" spans="1:7" x14ac:dyDescent="0.25">
      <c r="A16080" s="219" t="s">
        <v>41</v>
      </c>
      <c r="B16080" s="219"/>
      <c r="C16080" s="219"/>
      <c r="D16080" s="219"/>
      <c r="E16080" s="219"/>
      <c r="F16080" s="219"/>
      <c r="G16080" s="52">
        <f>SUM(G16078:G16079)</f>
        <v>0</v>
      </c>
    </row>
    <row r="16081" spans="1:7" x14ac:dyDescent="0.25">
      <c r="A16081" s="56"/>
      <c r="B16081" s="57"/>
      <c r="C16081" s="57"/>
      <c r="D16081" s="57"/>
      <c r="E16081" s="57"/>
      <c r="F16081" s="57"/>
      <c r="G16081" s="58"/>
    </row>
    <row r="16082" spans="1:7" x14ac:dyDescent="0.25">
      <c r="A16082" s="219" t="s">
        <v>42</v>
      </c>
      <c r="B16082" s="219"/>
      <c r="C16082" s="219"/>
      <c r="D16082" s="219"/>
      <c r="E16082" s="219"/>
      <c r="F16082" s="219"/>
      <c r="G16082" s="219"/>
    </row>
    <row r="16083" spans="1:7" x14ac:dyDescent="0.25">
      <c r="A16083" s="49" t="s">
        <v>35</v>
      </c>
      <c r="B16083" s="49" t="s">
        <v>36</v>
      </c>
      <c r="C16083" s="49" t="s">
        <v>38</v>
      </c>
      <c r="D16083" s="49" t="s">
        <v>43</v>
      </c>
      <c r="E16083" s="49" t="s">
        <v>44</v>
      </c>
      <c r="F16083" s="49" t="s">
        <v>45</v>
      </c>
      <c r="G16083" s="49" t="s">
        <v>40</v>
      </c>
    </row>
    <row r="16084" spans="1:7" x14ac:dyDescent="0.25">
      <c r="A16084" s="50" t="s">
        <v>319</v>
      </c>
      <c r="B16084" s="68" t="str">
        <f>VLOOKUP(A16084,'Componentes APUs'!$H$1:$L$25,2,0)</f>
        <v>Ingeniero Residente de Obra</v>
      </c>
      <c r="C16084" s="93">
        <v>1</v>
      </c>
      <c r="D16084" s="50">
        <f>VLOOKUP(A16084,'Componentes APUs'!$H$1:$L$25,3,0)</f>
        <v>4</v>
      </c>
      <c r="E16084" s="51">
        <f>VLOOKUP(A16084,'Componentes APUs'!$H$1:$L$25,4,0)</f>
        <v>271142.85714285716</v>
      </c>
      <c r="F16084" s="51">
        <f>VLOOKUP(A16084,'Componentes APUs'!$H$1:$L$25,5,0)</f>
        <v>162685.71428571429</v>
      </c>
      <c r="G16084" s="51">
        <f>ROUNDUP((E16084+F16084)*C16084/E16075,0)</f>
        <v>4338286</v>
      </c>
    </row>
    <row r="16085" spans="1:7" x14ac:dyDescent="0.25">
      <c r="A16085" s="50" t="s">
        <v>320</v>
      </c>
      <c r="B16085" s="68" t="str">
        <f>VLOOKUP(A16085,'Componentes APUs'!$H$1:$L$25,2,0)</f>
        <v>Tecnico Supervisor</v>
      </c>
      <c r="C16085" s="93">
        <v>0.25</v>
      </c>
      <c r="D16085" s="50">
        <f>VLOOKUP(A16085,'Componentes APUs'!$H$1:$L$25,3,0)</f>
        <v>2.2999999999999998</v>
      </c>
      <c r="E16085" s="51">
        <f>VLOOKUP(A16085,'Componentes APUs'!$H$1:$L$25,4,0)</f>
        <v>155907.14285714284</v>
      </c>
      <c r="F16085" s="51">
        <f>VLOOKUP(A16085,'Componentes APUs'!$H$1:$L$25,5,0)</f>
        <v>93544.285714285696</v>
      </c>
      <c r="G16085" s="51">
        <f>ROUNDUP((E16085+F16085)*C16085/E16075,0)</f>
        <v>623629</v>
      </c>
    </row>
    <row r="16086" spans="1:7" x14ac:dyDescent="0.25">
      <c r="A16086" s="50" t="s">
        <v>1160</v>
      </c>
      <c r="B16086" s="68" t="str">
        <f>VLOOKUP(A16086,'Componentes APUs'!$H$1:$L$25,2,0)</f>
        <v>Oficial Eléctrico</v>
      </c>
      <c r="C16086" s="93">
        <v>1</v>
      </c>
      <c r="D16086" s="50">
        <f>VLOOKUP(A16086,'Componentes APUs'!$H$1:$L$25,3,0)</f>
        <v>2</v>
      </c>
      <c r="E16086" s="51">
        <f>VLOOKUP(A16086,'Componentes APUs'!$H$1:$L$25,4,0)</f>
        <v>154619.04761904763</v>
      </c>
      <c r="F16086" s="51">
        <f>VLOOKUP(A16086,'Componentes APUs'!$H$1:$L$25,5,0)</f>
        <v>92771.42857142858</v>
      </c>
      <c r="G16086" s="51">
        <f>ROUNDUP((E16086+F16086)*C16086/E16075,0)</f>
        <v>2473905</v>
      </c>
    </row>
    <row r="16087" spans="1:7" x14ac:dyDescent="0.25">
      <c r="A16087" s="50" t="s">
        <v>48</v>
      </c>
      <c r="B16087" s="68" t="str">
        <f>VLOOKUP(A16087,'Componentes APUs'!$H$1:$L$25,2,0)</f>
        <v>Ayudante Calificado</v>
      </c>
      <c r="C16087" s="93">
        <v>1</v>
      </c>
      <c r="D16087" s="50">
        <f>VLOOKUP(A16087,'Componentes APUs'!$H$1:$L$25,3,0)</f>
        <v>1.5</v>
      </c>
      <c r="E16087" s="51">
        <f>VLOOKUP(A16087,'Componentes APUs'!$H$1:$L$25,4,0)</f>
        <v>115964.28571428571</v>
      </c>
      <c r="F16087" s="51">
        <f>VLOOKUP(A16087,'Componentes APUs'!$H$1:$L$25,5,0)</f>
        <v>69578.57142857142</v>
      </c>
      <c r="G16087" s="51">
        <f>ROUNDUP((E16087+F16087)*C16087/E16075,0)</f>
        <v>1855429</v>
      </c>
    </row>
    <row r="16088" spans="1:7" x14ac:dyDescent="0.25">
      <c r="A16088" s="50" t="s">
        <v>50</v>
      </c>
      <c r="B16088" s="68" t="str">
        <f>VLOOKUP(A16088,'Componentes APUs'!$H$1:$L$25,2,0)</f>
        <v>Profesional en SST</v>
      </c>
      <c r="C16088" s="93">
        <v>0.25</v>
      </c>
      <c r="D16088" s="50">
        <f>VLOOKUP(A16088,'Componentes APUs'!$H$1:$L$25,3,0)</f>
        <v>2.5</v>
      </c>
      <c r="E16088" s="51">
        <f>VLOOKUP(A16088,'Componentes APUs'!$H$1:$L$25,4,0)</f>
        <v>169464.28571428571</v>
      </c>
      <c r="F16088" s="51">
        <f>VLOOKUP(A16088,'Componentes APUs'!$H$1:$L$25,5,0)</f>
        <v>101678.57142857142</v>
      </c>
      <c r="G16088" s="51">
        <f>ROUNDUP((E16088+F16088)*C16088/E16075,0)</f>
        <v>677858</v>
      </c>
    </row>
    <row r="16089" spans="1:7" x14ac:dyDescent="0.25">
      <c r="A16089" s="50" t="s">
        <v>1121</v>
      </c>
      <c r="B16089" s="68" t="str">
        <f>VLOOKUP(A16089,'Componentes APUs'!$H$1:$L$25,2,0)</f>
        <v>Ingeniero Especialista de Control y Protección Subestación</v>
      </c>
      <c r="C16089" s="93">
        <v>1</v>
      </c>
      <c r="D16089" s="50">
        <f>VLOOKUP(A16089,'Componentes APUs'!$H$1:$L$25,3,0)</f>
        <v>14</v>
      </c>
      <c r="E16089" s="51">
        <f>VLOOKUP(A16089,'Componentes APUs'!$H$1:$L$25,4,0)</f>
        <v>949000</v>
      </c>
      <c r="F16089" s="51">
        <f>VLOOKUP(A16089,'Componentes APUs'!$H$1:$L$25,5,0)</f>
        <v>569400</v>
      </c>
      <c r="G16089" s="51">
        <f>ROUNDUP((E16089+F16089)*C16089/E16075,0)</f>
        <v>15184000</v>
      </c>
    </row>
    <row r="16090" spans="1:7" x14ac:dyDescent="0.25">
      <c r="A16090" s="219" t="s">
        <v>56</v>
      </c>
      <c r="B16090" s="219"/>
      <c r="C16090" s="219"/>
      <c r="D16090" s="219"/>
      <c r="E16090" s="219"/>
      <c r="F16090" s="219"/>
      <c r="G16090" s="52">
        <f>SUM(G16084:G16089)</f>
        <v>25153107</v>
      </c>
    </row>
    <row r="16091" spans="1:7" x14ac:dyDescent="0.25">
      <c r="A16091" s="56"/>
      <c r="B16091" s="57"/>
      <c r="C16091" s="57"/>
      <c r="D16091" s="57"/>
      <c r="E16091" s="57"/>
      <c r="F16091" s="57"/>
      <c r="G16091" s="58"/>
    </row>
    <row r="16092" spans="1:7" x14ac:dyDescent="0.25">
      <c r="A16092" s="219" t="s">
        <v>57</v>
      </c>
      <c r="B16092" s="219"/>
      <c r="C16092" s="219"/>
      <c r="D16092" s="219"/>
      <c r="E16092" s="219"/>
      <c r="F16092" s="219"/>
      <c r="G16092" s="219"/>
    </row>
    <row r="16093" spans="1:7" x14ac:dyDescent="0.25">
      <c r="A16093" s="49" t="s">
        <v>35</v>
      </c>
      <c r="B16093" s="219" t="s">
        <v>36</v>
      </c>
      <c r="C16093" s="219"/>
      <c r="D16093" s="49" t="s">
        <v>37</v>
      </c>
      <c r="E16093" s="49" t="s">
        <v>38</v>
      </c>
      <c r="F16093" s="49" t="s">
        <v>39</v>
      </c>
      <c r="G16093" s="49" t="s">
        <v>40</v>
      </c>
    </row>
    <row r="16094" spans="1:7" x14ac:dyDescent="0.25">
      <c r="A16094" s="50" t="s">
        <v>326</v>
      </c>
      <c r="B16094" s="220" t="str">
        <f>VLOOKUP(A16094,'Componentes APUs'!$S$1:$V$10,2,0)</f>
        <v>Juego Llaves</v>
      </c>
      <c r="C16094" s="220"/>
      <c r="D16094" s="50" t="s">
        <v>18</v>
      </c>
      <c r="E16094" s="50">
        <v>2</v>
      </c>
      <c r="F16094" s="51">
        <f>VLOOKUP(A16094,'Componentes APUs'!$S$1:$V$10,4,0)</f>
        <v>9167</v>
      </c>
      <c r="G16094" s="51">
        <f>ROUNDUP(F16094*((E16094/21)/E16075),0)</f>
        <v>8731</v>
      </c>
    </row>
    <row r="16095" spans="1:7" x14ac:dyDescent="0.25">
      <c r="A16095" s="50" t="s">
        <v>58</v>
      </c>
      <c r="B16095" s="220" t="str">
        <f>VLOOKUP(A16095,'Componentes APUs'!$S$1:$V$10,2,0)</f>
        <v>Manila de servicio</v>
      </c>
      <c r="C16095" s="220"/>
      <c r="D16095" s="50" t="s">
        <v>18</v>
      </c>
      <c r="E16095" s="50">
        <v>0</v>
      </c>
      <c r="F16095" s="51">
        <f>VLOOKUP(A16095,'Componentes APUs'!$S$1:$V$10,4,0)</f>
        <v>2333</v>
      </c>
      <c r="G16095" s="51">
        <f>ROUNDUP(F16095*((E16095/21)/E16075),0)</f>
        <v>0</v>
      </c>
    </row>
    <row r="16096" spans="1:7" x14ac:dyDescent="0.25">
      <c r="A16096" s="50" t="s">
        <v>327</v>
      </c>
      <c r="B16096" s="220" t="str">
        <f>VLOOKUP(A16096,'Componentes APUs'!$S$1:$V$10,2,0)</f>
        <v>Tula portaherramientas</v>
      </c>
      <c r="C16096" s="220"/>
      <c r="D16096" s="50" t="s">
        <v>18</v>
      </c>
      <c r="E16096" s="50">
        <v>2</v>
      </c>
      <c r="F16096" s="51">
        <f>VLOOKUP(A16096,'Componentes APUs'!$S$1:$V$10,4,0)</f>
        <v>1250</v>
      </c>
      <c r="G16096" s="51">
        <f>ROUNDUP(F16096*((E16096/21)/E16075),0)</f>
        <v>1191</v>
      </c>
    </row>
    <row r="16097" spans="1:7" x14ac:dyDescent="0.25">
      <c r="A16097" s="50" t="s">
        <v>60</v>
      </c>
      <c r="B16097" s="220" t="str">
        <f>VLOOKUP(A16097,'Componentes APUs'!$S$1:$V$10,2,0)</f>
        <v>Agarradoras</v>
      </c>
      <c r="C16097" s="220"/>
      <c r="D16097" s="50" t="s">
        <v>18</v>
      </c>
      <c r="E16097" s="50">
        <v>0</v>
      </c>
      <c r="F16097" s="51">
        <f>VLOOKUP(A16097,'Componentes APUs'!$S$1:$V$10,4,0)</f>
        <v>125000</v>
      </c>
      <c r="G16097" s="51">
        <f>ROUNDUP(F16097*((E16097/21)/E16075),0)</f>
        <v>0</v>
      </c>
    </row>
    <row r="16098" spans="1:7" x14ac:dyDescent="0.25">
      <c r="A16098" s="50" t="s">
        <v>62</v>
      </c>
      <c r="B16098" s="220" t="str">
        <f>VLOOKUP(A16098,'Componentes APUs'!$S$1:$V$10,2,0)</f>
        <v>Templadoras</v>
      </c>
      <c r="C16098" s="220"/>
      <c r="D16098" s="50" t="s">
        <v>18</v>
      </c>
      <c r="E16098" s="50">
        <v>0</v>
      </c>
      <c r="F16098" s="51">
        <f>VLOOKUP(A16098,'Componentes APUs'!$S$1:$V$10,4,0)</f>
        <v>250000</v>
      </c>
      <c r="G16098" s="51">
        <f>ROUNDUP(F16098*((E16098/21)/E16075),0)</f>
        <v>0</v>
      </c>
    </row>
    <row r="16099" spans="1:7" x14ac:dyDescent="0.25">
      <c r="A16099" s="50" t="s">
        <v>328</v>
      </c>
      <c r="B16099" s="220" t="str">
        <f>VLOOKUP(A16099,'Componentes APUs'!$S$1:$V$10,2,0)</f>
        <v>Herramienta Menor</v>
      </c>
      <c r="C16099" s="220"/>
      <c r="D16099" s="50" t="s">
        <v>18</v>
      </c>
      <c r="E16099" s="50">
        <v>2</v>
      </c>
      <c r="F16099" s="51">
        <f>VLOOKUP(A16099,'Componentes APUs'!$S$1:$V$10,4,0)</f>
        <v>75758</v>
      </c>
      <c r="G16099" s="51">
        <f>ROUNDUP(F16099*((E16099/21)/E16075),0)</f>
        <v>72151</v>
      </c>
    </row>
    <row r="16100" spans="1:7" x14ac:dyDescent="0.25">
      <c r="A16100" s="219" t="s">
        <v>69</v>
      </c>
      <c r="B16100" s="219"/>
      <c r="C16100" s="219"/>
      <c r="D16100" s="219"/>
      <c r="E16100" s="219"/>
      <c r="F16100" s="219"/>
      <c r="G16100" s="52">
        <f>SUM(G16094:G16099)</f>
        <v>82073</v>
      </c>
    </row>
    <row r="16101" spans="1:7" x14ac:dyDescent="0.25">
      <c r="A16101" s="56"/>
      <c r="B16101" s="57"/>
      <c r="C16101" s="57"/>
      <c r="D16101" s="57"/>
      <c r="E16101" s="57"/>
      <c r="F16101" s="57"/>
      <c r="G16101" s="58"/>
    </row>
    <row r="16102" spans="1:7" x14ac:dyDescent="0.25">
      <c r="A16102" s="219" t="s">
        <v>70</v>
      </c>
      <c r="B16102" s="219"/>
      <c r="C16102" s="219"/>
      <c r="D16102" s="219"/>
      <c r="E16102" s="219"/>
      <c r="F16102" s="219"/>
      <c r="G16102" s="219"/>
    </row>
    <row r="16103" spans="1:7" x14ac:dyDescent="0.25">
      <c r="A16103" s="49" t="s">
        <v>35</v>
      </c>
      <c r="B16103" s="219" t="s">
        <v>36</v>
      </c>
      <c r="C16103" s="219"/>
      <c r="D16103" s="49" t="s">
        <v>37</v>
      </c>
      <c r="E16103" s="49" t="s">
        <v>38</v>
      </c>
      <c r="F16103" s="49" t="s">
        <v>39</v>
      </c>
      <c r="G16103" s="49" t="s">
        <v>40</v>
      </c>
    </row>
    <row r="16104" spans="1:7" x14ac:dyDescent="0.25">
      <c r="A16104" s="50" t="s">
        <v>71</v>
      </c>
      <c r="B16104" s="71" t="str">
        <f>VLOOKUP(A16104,'Componentes APUs'!$A$1:$D$14,2,0)</f>
        <v>Camisa indigo sin partes metalicas</v>
      </c>
      <c r="C16104" s="71"/>
      <c r="D16104" s="50" t="str">
        <f>VLOOKUP(A16104,'Componentes APUs'!$A$1:$D$14,3,0)</f>
        <v>U</v>
      </c>
      <c r="E16104" s="50">
        <f>SUM(C16084:C16089)</f>
        <v>4.5</v>
      </c>
      <c r="F16104" s="51">
        <f>VLOOKUP(A16104,'Componentes APUs'!$A$1:$D$14,4,0)</f>
        <v>8585.8585858585866</v>
      </c>
      <c r="G16104" s="51">
        <f>ROUNDUP(F16104*(E16104/21)/E16075,0)</f>
        <v>18399</v>
      </c>
    </row>
    <row r="16105" spans="1:7" x14ac:dyDescent="0.25">
      <c r="A16105" s="69" t="s">
        <v>73</v>
      </c>
      <c r="B16105" s="72" t="str">
        <f>VLOOKUP(A16105,'Componentes APUs'!$A$1:$D$14,2,0)</f>
        <v>Bota de seguridad dielectrica</v>
      </c>
      <c r="C16105" s="73"/>
      <c r="D16105" s="70" t="str">
        <f>VLOOKUP(A16105,'Componentes APUs'!$A$1:$D$14,3,0)</f>
        <v>Par</v>
      </c>
      <c r="E16105" s="50">
        <f>SUM(C16084:C16089)</f>
        <v>4.5</v>
      </c>
      <c r="F16105" s="51">
        <f>VLOOKUP(A16105,'Componentes APUs'!$A$1:$D$14,4,0)</f>
        <v>7500</v>
      </c>
      <c r="G16105" s="51">
        <f>ROUNDUP(F16105*(E16105/21)/E16075,0)</f>
        <v>16072</v>
      </c>
    </row>
    <row r="16106" spans="1:7" x14ac:dyDescent="0.25">
      <c r="A16106" s="50" t="s">
        <v>76</v>
      </c>
      <c r="B16106" s="72" t="str">
        <f>VLOOKUP(A16106,'Componentes APUs'!$A$1:$D$14,2,0)</f>
        <v>Casco dielectrico Tipo 1 Clase E con barbuquejo</v>
      </c>
      <c r="C16106" s="73"/>
      <c r="D16106" s="50" t="str">
        <f>VLOOKUP(A16106,'Componentes APUs'!$A$1:$D$14,3,0)</f>
        <v>U</v>
      </c>
      <c r="E16106" s="50">
        <f>C16084+C16087+C16088+C16085+C16089+IF(A16086&lt;&gt;"MO-3",C16086,0)</f>
        <v>4.5</v>
      </c>
      <c r="F16106" s="51">
        <f>VLOOKUP(A16106,'Componentes APUs'!$A$1:$D$14,4,0)</f>
        <v>10101.010101010101</v>
      </c>
      <c r="G16106" s="51">
        <f>ROUNDUP(F16106*(E16106/21)/E16075,0)</f>
        <v>21646</v>
      </c>
    </row>
    <row r="16107" spans="1:7" x14ac:dyDescent="0.25">
      <c r="A16107" s="69" t="s">
        <v>77</v>
      </c>
      <c r="B16107" s="72" t="str">
        <f>VLOOKUP(A16107,'Componentes APUs'!$A$1:$D$14,2,0)</f>
        <v>Correa plastica y antiflama</v>
      </c>
      <c r="C16107" s="73"/>
      <c r="D16107" s="50" t="str">
        <f>VLOOKUP(A16107,'Componentes APUs'!$A$1:$D$14,3,0)</f>
        <v>U</v>
      </c>
      <c r="E16107" s="50">
        <f>SUM(C16084:C16089)</f>
        <v>4.5</v>
      </c>
      <c r="F16107" s="51">
        <f>VLOOKUP(A16107,'Componentes APUs'!$A$1:$D$14,4,0)</f>
        <v>3787.878787878788</v>
      </c>
      <c r="G16107" s="51">
        <f>ROUNDUP(F16107*(E16107/21)/E16075,0)</f>
        <v>8117</v>
      </c>
    </row>
    <row r="16108" spans="1:7" x14ac:dyDescent="0.25">
      <c r="A16108" s="50" t="s">
        <v>79</v>
      </c>
      <c r="B16108" s="72" t="str">
        <f>VLOOKUP(A16108,'Componentes APUs'!$A$1:$D$14,2,0)</f>
        <v>Gafas protectoras filtro UV</v>
      </c>
      <c r="C16108" s="73"/>
      <c r="D16108" s="50" t="str">
        <f>VLOOKUP(A16108,'Componentes APUs'!$A$1:$D$14,3,0)</f>
        <v>U</v>
      </c>
      <c r="E16108" s="50">
        <f>SUM(C16084:C16089)</f>
        <v>4.5</v>
      </c>
      <c r="F16108" s="51">
        <f>VLOOKUP(A16108,'Componentes APUs'!$A$1:$D$14,4,0)</f>
        <v>2777.7777777777778</v>
      </c>
      <c r="G16108" s="51">
        <f>ROUNDUP(F16108*(E16108/21)/E16075,0)</f>
        <v>5953</v>
      </c>
    </row>
    <row r="16109" spans="1:7" x14ac:dyDescent="0.25">
      <c r="A16109" s="69" t="s">
        <v>402</v>
      </c>
      <c r="B16109" s="72" t="str">
        <f>VLOOKUP(A16109,'Componentes APUs'!$A$1:$D$14,2,0)</f>
        <v>Bota de seguridad PVC dielectrica</v>
      </c>
      <c r="C16109" s="73"/>
      <c r="D16109" s="50" t="str">
        <f>VLOOKUP(A16109,'Componentes APUs'!$A$1:$D$14,3,0)</f>
        <v>Par</v>
      </c>
      <c r="E16109" s="50">
        <f>SUM(C16084:C16089)</f>
        <v>4.5</v>
      </c>
      <c r="F16109" s="51">
        <f>VLOOKUP(A16109,'Componentes APUs'!$A$1:$D$14,4,0)</f>
        <v>2916.6666666666665</v>
      </c>
      <c r="G16109" s="51">
        <f>ROUNDUP(F16109*(E16109/21)/E16075,0)</f>
        <v>6250</v>
      </c>
    </row>
    <row r="16110" spans="1:7" x14ac:dyDescent="0.25">
      <c r="A16110" s="50" t="s">
        <v>403</v>
      </c>
      <c r="B16110" s="72" t="str">
        <f>VLOOKUP(A16110,'Componentes APUs'!$A$1:$D$14,2,0)</f>
        <v>Capuchon</v>
      </c>
      <c r="C16110" s="73"/>
      <c r="D16110" s="50" t="str">
        <f>VLOOKUP(A16110,'Componentes APUs'!$A$1:$D$14,3,0)</f>
        <v>U</v>
      </c>
      <c r="E16110" s="50">
        <f>SUM(C16084:C16089)</f>
        <v>4.5</v>
      </c>
      <c r="F16110" s="51">
        <f>VLOOKUP(A16110,'Componentes APUs'!$A$1:$D$14,4,0)</f>
        <v>2525.2525252525252</v>
      </c>
      <c r="G16110" s="51">
        <f>ROUNDUP(F16110*(E16110/21)/E16075,0)</f>
        <v>5412</v>
      </c>
    </row>
    <row r="16111" spans="1:7" x14ac:dyDescent="0.25">
      <c r="A16111" s="69" t="s">
        <v>81</v>
      </c>
      <c r="B16111" s="72" t="str">
        <f>VLOOKUP(A16111,'Componentes APUs'!$A$1:$D$14,2,0)</f>
        <v>Guantes Protectores  - ingeniero reforzados</v>
      </c>
      <c r="C16111" s="73"/>
      <c r="D16111" s="50" t="str">
        <f>VLOOKUP(A16111,'Componentes APUs'!$A$1:$D$14,3,0)</f>
        <v>Par</v>
      </c>
      <c r="E16111" s="50">
        <f>C16086+C16087+C16089</f>
        <v>3</v>
      </c>
      <c r="F16111" s="51">
        <f>VLOOKUP(A16111,'Componentes APUs'!$A$1:$D$14,4,0)</f>
        <v>2525.2525252525252</v>
      </c>
      <c r="G16111" s="51">
        <f>ROUNDUP(F16111*(E16111/21)/E16075,0)</f>
        <v>3608</v>
      </c>
    </row>
    <row r="16112" spans="1:7" x14ac:dyDescent="0.25">
      <c r="A16112" s="50" t="s">
        <v>83</v>
      </c>
      <c r="B16112" s="72" t="str">
        <f>VLOOKUP(A16112,'Componentes APUs'!$A$1:$D$14,2,0)</f>
        <v>Impermeable (pantalon camisa)</v>
      </c>
      <c r="C16112" s="73"/>
      <c r="D16112" s="50" t="str">
        <f>VLOOKUP(A16112,'Componentes APUs'!$A$1:$D$14,3,0)</f>
        <v>U</v>
      </c>
      <c r="E16112" s="50">
        <f>SUM(C16084:C16089)</f>
        <v>4.5</v>
      </c>
      <c r="F16112" s="51">
        <f>VLOOKUP(A16112,'Componentes APUs'!$A$1:$D$14,4,0)</f>
        <v>3750</v>
      </c>
      <c r="G16112" s="51">
        <f>ROUNDUP(F16112*(E16112/21)/E16075,0)</f>
        <v>8036</v>
      </c>
    </row>
    <row r="16113" spans="1:7" x14ac:dyDescent="0.25">
      <c r="A16113" s="69" t="s">
        <v>85</v>
      </c>
      <c r="B16113" s="72" t="str">
        <f>VLOOKUP(A16113,'Componentes APUs'!$A$1:$D$14,2,0)</f>
        <v>Jean Dielectrico</v>
      </c>
      <c r="C16113" s="73"/>
      <c r="D16113" s="50" t="str">
        <f>VLOOKUP(A16113,'Componentes APUs'!$A$1:$D$14,3,0)</f>
        <v>U</v>
      </c>
      <c r="E16113" s="50">
        <f>SUM(C16084:C16089)</f>
        <v>4.5</v>
      </c>
      <c r="F16113" s="51">
        <f>VLOOKUP(A16113,'Componentes APUs'!$A$1:$D$14,4,0)</f>
        <v>7575.757575757576</v>
      </c>
      <c r="G16113" s="51">
        <f>ROUNDUP(F16113*(E16113/21)/E16075,0)</f>
        <v>16234</v>
      </c>
    </row>
    <row r="16114" spans="1:7" x14ac:dyDescent="0.25">
      <c r="A16114" s="50" t="s">
        <v>87</v>
      </c>
      <c r="B16114" s="72" t="str">
        <f>VLOOKUP(A16114,'Componentes APUs'!$A$1:$D$14,2,0)</f>
        <v>Casco dielectrico Tipo 2 Clase E con barboquejo</v>
      </c>
      <c r="C16114" s="73"/>
      <c r="D16114" s="50" t="str">
        <f>VLOOKUP(A16114,'Componentes APUs'!$A$1:$D$14,3,0)</f>
        <v>U</v>
      </c>
      <c r="E16114" s="53">
        <f>IF(A16086="MO-3",C16086,0)</f>
        <v>0</v>
      </c>
      <c r="F16114" s="51">
        <f>VLOOKUP(A16114,'Componentes APUs'!$A$1:$D$14,4,0)</f>
        <v>7500</v>
      </c>
      <c r="G16114" s="51">
        <f>ROUNDUP(F16114*(E16114/21)/E16075,0)</f>
        <v>0</v>
      </c>
    </row>
    <row r="16115" spans="1:7" x14ac:dyDescent="0.25">
      <c r="A16115" s="69" t="s">
        <v>89</v>
      </c>
      <c r="B16115" s="72" t="str">
        <f>VLOOKUP(A16115,'Componentes APUs'!$A$1:$D$14,2,0)</f>
        <v>Kit de rescate para trabajo en alturas</v>
      </c>
      <c r="C16115" s="73"/>
      <c r="D16115" s="50" t="str">
        <f>VLOOKUP(A16115,'Componentes APUs'!$A$1:$D$14,3,0)</f>
        <v>U</v>
      </c>
      <c r="E16115" s="50">
        <f>IF(AND(A16086="MO-3",C16086=2),1,0)</f>
        <v>0</v>
      </c>
      <c r="F16115" s="51">
        <f>VLOOKUP(A16115,'Componentes APUs'!$A$1:$D$14,4,0)</f>
        <v>37500</v>
      </c>
      <c r="G16115" s="51">
        <f>ROUNDUP(F16115*(E16115/21)/E16075,0)</f>
        <v>0</v>
      </c>
    </row>
    <row r="16116" spans="1:7" x14ac:dyDescent="0.25">
      <c r="A16116" s="50" t="s">
        <v>91</v>
      </c>
      <c r="B16116" s="72" t="str">
        <f>VLOOKUP(A16116,'Componentes APUs'!$A$1:$D$14,2,0)</f>
        <v>Equipo completo para trabajo en alturas con pretales (Arnes dielectrico, 1 mosqueton de seguridad, tie off dielectrico, eslinga de posicionamiento, juego de pretales)</v>
      </c>
      <c r="C16116" s="73"/>
      <c r="D16116" s="50" t="str">
        <f>VLOOKUP(A16116,'Componentes APUs'!$A$1:$D$14,3,0)</f>
        <v>U</v>
      </c>
      <c r="E16116" s="50">
        <f>IF(A16085="MO-3",C16085,0)</f>
        <v>0</v>
      </c>
      <c r="F16116" s="51">
        <f>VLOOKUP(A16116,'Componentes APUs'!$A$1:$D$14,4,0)</f>
        <v>26041.666666666668</v>
      </c>
      <c r="G16116" s="51">
        <f>ROUNDUP(F16116*(E16116/21)/E16075,0)</f>
        <v>0</v>
      </c>
    </row>
    <row r="16117" spans="1:7" x14ac:dyDescent="0.25">
      <c r="A16117" s="219" t="s">
        <v>95</v>
      </c>
      <c r="B16117" s="219"/>
      <c r="C16117" s="219"/>
      <c r="D16117" s="219"/>
      <c r="E16117" s="219"/>
      <c r="F16117" s="219"/>
      <c r="G16117" s="52">
        <f>SUM(G16104:G16116)</f>
        <v>109727</v>
      </c>
    </row>
    <row r="16118" spans="1:7" x14ac:dyDescent="0.25">
      <c r="A16118" s="56"/>
      <c r="B16118" s="57"/>
      <c r="C16118" s="57"/>
      <c r="D16118" s="57"/>
      <c r="E16118" s="57"/>
      <c r="F16118" s="57"/>
      <c r="G16118" s="58"/>
    </row>
    <row r="16119" spans="1:7" x14ac:dyDescent="0.25">
      <c r="A16119" s="219" t="s">
        <v>96</v>
      </c>
      <c r="B16119" s="219"/>
      <c r="C16119" s="219"/>
      <c r="D16119" s="219"/>
      <c r="E16119" s="219"/>
      <c r="F16119" s="219"/>
      <c r="G16119" s="219"/>
    </row>
    <row r="16120" spans="1:7" x14ac:dyDescent="0.25">
      <c r="A16120" s="49" t="s">
        <v>35</v>
      </c>
      <c r="B16120" s="225" t="s">
        <v>36</v>
      </c>
      <c r="C16120" s="225"/>
      <c r="D16120" s="49" t="s">
        <v>37</v>
      </c>
      <c r="E16120" s="49" t="s">
        <v>38</v>
      </c>
      <c r="F16120" s="49" t="s">
        <v>39</v>
      </c>
      <c r="G16120" s="49" t="s">
        <v>40</v>
      </c>
    </row>
    <row r="16121" spans="1:7" x14ac:dyDescent="0.25">
      <c r="A16121" s="69" t="s">
        <v>97</v>
      </c>
      <c r="B16121" s="72" t="str">
        <f>VLOOKUP(A16121,'Componentes APUs'!$N$1:$Q$30,2,0)</f>
        <v>Camioneta</v>
      </c>
      <c r="C16121" s="73"/>
      <c r="D16121" s="70" t="str">
        <f>VLOOKUP(A16121,'Componentes APUs'!$N$1:$Q$30,3,0)</f>
        <v>U</v>
      </c>
      <c r="E16121" s="50">
        <v>1</v>
      </c>
      <c r="F16121" s="51">
        <f>VLOOKUP(A16121,'Componentes APUs'!$N$1:$Q$30,4,0)</f>
        <v>5500000</v>
      </c>
      <c r="G16121" s="51">
        <f>IFERROR(ROUNDUP(F16121*(E16121/21)/E16075,0),0)</f>
        <v>2619048</v>
      </c>
    </row>
    <row r="16122" spans="1:7" x14ac:dyDescent="0.25">
      <c r="A16122" s="50" t="s">
        <v>321</v>
      </c>
      <c r="B16122" s="72" t="str">
        <f>VLOOKUP(A16122,'Componentes APUs'!$N$1:$Q$30,2,0)</f>
        <v>Grúa Hidráulica</v>
      </c>
      <c r="C16122" s="73"/>
      <c r="D16122" s="70" t="str">
        <f>VLOOKUP(A16122,'Componentes APUs'!$N$1:$Q$30,3,0)</f>
        <v>U</v>
      </c>
      <c r="E16122" s="50">
        <v>0</v>
      </c>
      <c r="F16122" s="51">
        <f>VLOOKUP(A16122,'Componentes APUs'!$N$1:$Q$30,4,0)</f>
        <v>21000000</v>
      </c>
      <c r="G16122" s="51">
        <f>IFERROR(ROUNDUP(F16122*(E16122/21)/E16075,0),0)</f>
        <v>0</v>
      </c>
    </row>
    <row r="16123" spans="1:7" x14ac:dyDescent="0.25">
      <c r="A16123" s="69" t="s">
        <v>322</v>
      </c>
      <c r="B16123" s="72" t="str">
        <f>VLOOKUP(A16123,'Componentes APUs'!$N$1:$Q$30,2,0)</f>
        <v>Camabaja</v>
      </c>
      <c r="C16123" s="73"/>
      <c r="D16123" s="70" t="str">
        <f>VLOOKUP(A16123,'Componentes APUs'!$N$1:$Q$30,3,0)</f>
        <v>TON/KM</v>
      </c>
      <c r="E16123" s="50">
        <v>0</v>
      </c>
      <c r="F16123" s="51">
        <f>VLOOKUP(A16123,'Componentes APUs'!$N$1:$Q$30,4,0)</f>
        <v>611</v>
      </c>
      <c r="G16123" s="51">
        <f>IFERROR(ROUNDUP(F16123*(E16123/21)/E16075,0),0)</f>
        <v>0</v>
      </c>
    </row>
    <row r="16124" spans="1:7" x14ac:dyDescent="0.25">
      <c r="A16124" s="50" t="s">
        <v>323</v>
      </c>
      <c r="B16124" s="72" t="str">
        <f>VLOOKUP(A16124,'Componentes APUs'!$N$1:$Q$30,2,0)</f>
        <v>Volqueta</v>
      </c>
      <c r="C16124" s="73"/>
      <c r="D16124" s="70" t="str">
        <f>VLOOKUP(A16124,'Componentes APUs'!$N$1:$Q$30,3,0)</f>
        <v>U</v>
      </c>
      <c r="E16124" s="50">
        <v>0</v>
      </c>
      <c r="F16124" s="51">
        <f>VLOOKUP(A16124,'Componentes APUs'!$N$1:$Q$30,4,0)</f>
        <v>14828184</v>
      </c>
      <c r="G16124" s="51">
        <f>IFERROR(ROUNDUP(F16124*(E16124/21)/E16075,0),0)</f>
        <v>0</v>
      </c>
    </row>
    <row r="16125" spans="1:7" x14ac:dyDescent="0.25">
      <c r="A16125" s="69" t="s">
        <v>324</v>
      </c>
      <c r="B16125" s="72" t="str">
        <f>VLOOKUP(A16125,'Componentes APUs'!$N$1:$Q$30,2,0)</f>
        <v>Retroexcavadora</v>
      </c>
      <c r="C16125" s="73"/>
      <c r="D16125" s="70" t="str">
        <f>VLOOKUP(A16125,'Componentes APUs'!$N$1:$Q$30,3,0)</f>
        <v>U</v>
      </c>
      <c r="E16125" s="50">
        <v>0</v>
      </c>
      <c r="F16125" s="51">
        <f>VLOOKUP(A16125,'Componentes APUs'!$N$1:$Q$30,4,0)</f>
        <v>46030656</v>
      </c>
      <c r="G16125" s="51">
        <f>IFERROR(ROUNDUP(F16125*(E16125/21)/E16075,0),0)</f>
        <v>0</v>
      </c>
    </row>
    <row r="16126" spans="1:7" x14ac:dyDescent="0.25">
      <c r="A16126" s="219" t="s">
        <v>99</v>
      </c>
      <c r="B16126" s="219"/>
      <c r="C16126" s="219"/>
      <c r="D16126" s="219"/>
      <c r="E16126" s="219"/>
      <c r="F16126" s="219"/>
      <c r="G16126" s="52">
        <f>SUM(G16121:G16125)</f>
        <v>2619048</v>
      </c>
    </row>
    <row r="16127" spans="1:7" x14ac:dyDescent="0.25">
      <c r="A16127" s="56"/>
      <c r="B16127" s="57"/>
      <c r="C16127" s="57"/>
      <c r="D16127" s="57"/>
      <c r="E16127" s="57"/>
      <c r="F16127" s="57"/>
      <c r="G16127" s="58"/>
    </row>
    <row r="16128" spans="1:7" x14ac:dyDescent="0.25">
      <c r="A16128" s="219" t="s">
        <v>1516</v>
      </c>
      <c r="B16128" s="219"/>
      <c r="C16128" s="219"/>
      <c r="D16128" s="219"/>
      <c r="E16128" s="219"/>
      <c r="F16128" s="219"/>
      <c r="G16128" s="52">
        <f>G16126+G16117+G16100+G16090+G16080</f>
        <v>27963955</v>
      </c>
    </row>
    <row r="16129" spans="1:7" x14ac:dyDescent="0.25">
      <c r="A16129" s="59"/>
      <c r="B16129" s="60"/>
      <c r="C16129" s="60"/>
      <c r="D16129" s="60"/>
      <c r="E16129" s="57"/>
      <c r="F16129" s="57"/>
      <c r="G16129" s="58"/>
    </row>
    <row r="16130" spans="1:7" x14ac:dyDescent="0.25">
      <c r="A16130" s="64"/>
      <c r="D16130" s="55"/>
      <c r="E16130" s="49" t="s">
        <v>25</v>
      </c>
      <c r="F16130" s="54">
        <v>0.15</v>
      </c>
      <c r="G16130" s="51">
        <f>G16128*F16130</f>
        <v>4194593.25</v>
      </c>
    </row>
    <row r="16131" spans="1:7" x14ac:dyDescent="0.25">
      <c r="A16131" s="64"/>
      <c r="D16131" s="55"/>
      <c r="E16131" s="49" t="s">
        <v>26</v>
      </c>
      <c r="F16131" s="54">
        <v>0.05</v>
      </c>
      <c r="G16131" s="51">
        <f>G16128*F16131</f>
        <v>1398197.75</v>
      </c>
    </row>
    <row r="16132" spans="1:7" x14ac:dyDescent="0.25">
      <c r="A16132" s="61"/>
      <c r="B16132" s="65"/>
      <c r="C16132" s="65"/>
      <c r="D16132" s="62"/>
      <c r="E16132" s="49" t="s">
        <v>27</v>
      </c>
      <c r="F16132" s="54">
        <v>0.05</v>
      </c>
      <c r="G16132" s="51">
        <f>G16128*F16132</f>
        <v>1398197.75</v>
      </c>
    </row>
    <row r="16133" spans="1:7" x14ac:dyDescent="0.25">
      <c r="A16133" s="61"/>
      <c r="B16133" s="62"/>
      <c r="C16133" s="62"/>
      <c r="D16133" s="62"/>
      <c r="E16133" s="62"/>
      <c r="F16133" s="62"/>
      <c r="G16133" s="63"/>
    </row>
    <row r="16134" spans="1:7" x14ac:dyDescent="0.25">
      <c r="A16134" s="219" t="s">
        <v>1517</v>
      </c>
      <c r="B16134" s="219"/>
      <c r="C16134" s="219"/>
      <c r="D16134" s="219"/>
      <c r="E16134" s="219"/>
      <c r="F16134" s="219"/>
      <c r="G16134" s="52">
        <f>G16128+G16130+G16131+G16132</f>
        <v>34954943.75</v>
      </c>
    </row>
    <row r="16135" spans="1:7" x14ac:dyDescent="0.25">
      <c r="A16135" s="59"/>
      <c r="B16135" s="60"/>
      <c r="C16135" s="60"/>
      <c r="D16135" s="60"/>
      <c r="E16135" s="57"/>
      <c r="F16135" s="57"/>
      <c r="G16135" s="58"/>
    </row>
    <row r="16136" spans="1:7" x14ac:dyDescent="0.25">
      <c r="A16136" s="64"/>
      <c r="D16136" s="55"/>
      <c r="E16136" s="49" t="s">
        <v>102</v>
      </c>
      <c r="F16136" s="49" t="s">
        <v>103</v>
      </c>
      <c r="G16136" s="51">
        <f>G16132*19%</f>
        <v>265657.57250000001</v>
      </c>
    </row>
    <row r="16137" spans="1:7" x14ac:dyDescent="0.25">
      <c r="A16137" s="61"/>
      <c r="B16137" s="62"/>
      <c r="C16137" s="62"/>
      <c r="D16137" s="62"/>
      <c r="E16137" s="57"/>
      <c r="F16137" s="57"/>
      <c r="G16137" s="58"/>
    </row>
    <row r="16138" spans="1:7" x14ac:dyDescent="0.25">
      <c r="A16138" s="219" t="s">
        <v>104</v>
      </c>
      <c r="B16138" s="219"/>
      <c r="C16138" s="219"/>
      <c r="D16138" s="219"/>
      <c r="E16138" s="219"/>
      <c r="F16138" s="219"/>
      <c r="G16138" s="52">
        <f>G16136+G16134</f>
        <v>35220601.322499998</v>
      </c>
    </row>
    <row r="16140" spans="1:7" x14ac:dyDescent="0.25">
      <c r="A16140" s="74" t="s">
        <v>29</v>
      </c>
      <c r="B16140" s="226" t="s">
        <v>30</v>
      </c>
      <c r="C16140" s="226"/>
      <c r="D16140" s="74" t="s">
        <v>31</v>
      </c>
      <c r="E16140" s="74" t="s">
        <v>32</v>
      </c>
      <c r="F16140" s="74" t="s">
        <v>189</v>
      </c>
      <c r="G16140" s="74" t="s">
        <v>33</v>
      </c>
    </row>
    <row r="16141" spans="1:7" x14ac:dyDescent="0.25">
      <c r="A16141" s="50" t="str">
        <f>Presupuesto!B314</f>
        <v>011_SC</v>
      </c>
      <c r="B16141" s="220" t="str">
        <f>Presupuesto!C314</f>
        <v>CERTIFICACION RITEL</v>
      </c>
      <c r="C16141" s="220"/>
      <c r="D16141" s="50" t="s">
        <v>8</v>
      </c>
      <c r="E16141" s="96">
        <v>0.2</v>
      </c>
      <c r="F16141" s="50"/>
      <c r="G16141" s="51">
        <f>G16204</f>
        <v>12740842.542999998</v>
      </c>
    </row>
    <row r="16142" spans="1:7" x14ac:dyDescent="0.25">
      <c r="A16142" s="219" t="s">
        <v>34</v>
      </c>
      <c r="B16142" s="219"/>
      <c r="C16142" s="219"/>
      <c r="D16142" s="219"/>
      <c r="E16142" s="219"/>
      <c r="F16142" s="219"/>
      <c r="G16142" s="219"/>
    </row>
    <row r="16143" spans="1:7" x14ac:dyDescent="0.25">
      <c r="A16143" s="49" t="s">
        <v>35</v>
      </c>
      <c r="B16143" s="219" t="s">
        <v>36</v>
      </c>
      <c r="C16143" s="219"/>
      <c r="D16143" s="49" t="s">
        <v>37</v>
      </c>
      <c r="E16143" s="49" t="s">
        <v>38</v>
      </c>
      <c r="F16143" s="49" t="s">
        <v>39</v>
      </c>
      <c r="G16143" s="49" t="s">
        <v>40</v>
      </c>
    </row>
    <row r="16144" spans="1:7" x14ac:dyDescent="0.25">
      <c r="A16144" s="17"/>
      <c r="B16144" s="72" t="str">
        <f>IFERROR(VLOOKUP(A16144,Material!$A:$H,2,0),"-")</f>
        <v>-</v>
      </c>
      <c r="C16144" s="73"/>
      <c r="D16144" s="50" t="str">
        <f>IFERROR(VLOOKUP(A16144,Material!$A:$H,4,0),"-")</f>
        <v>-</v>
      </c>
      <c r="E16144" s="50"/>
      <c r="F16144" s="51" t="str">
        <f>IFERROR(VLOOKUP(A16144,Material!$A:$H,3,0),"-")</f>
        <v>-</v>
      </c>
      <c r="G16144" s="51" t="str">
        <f>IFERROR(ROUNDUP(F16144*E16144,0),"-")</f>
        <v>-</v>
      </c>
    </row>
    <row r="16145" spans="1:7" x14ac:dyDescent="0.25">
      <c r="A16145" s="17"/>
      <c r="B16145" s="72"/>
      <c r="C16145" s="73"/>
      <c r="D16145" s="50"/>
      <c r="E16145" s="50"/>
      <c r="F16145" s="51"/>
      <c r="G16145" s="51"/>
    </row>
    <row r="16146" spans="1:7" x14ac:dyDescent="0.25">
      <c r="A16146" s="219" t="s">
        <v>41</v>
      </c>
      <c r="B16146" s="219"/>
      <c r="C16146" s="219"/>
      <c r="D16146" s="219"/>
      <c r="E16146" s="219"/>
      <c r="F16146" s="219"/>
      <c r="G16146" s="52">
        <f>SUM(G16144:G16145)</f>
        <v>0</v>
      </c>
    </row>
    <row r="16147" spans="1:7" x14ac:dyDescent="0.25">
      <c r="A16147" s="56"/>
      <c r="B16147" s="57"/>
      <c r="C16147" s="57"/>
      <c r="D16147" s="57"/>
      <c r="E16147" s="57"/>
      <c r="F16147" s="57"/>
      <c r="G16147" s="58"/>
    </row>
    <row r="16148" spans="1:7" x14ac:dyDescent="0.25">
      <c r="A16148" s="219" t="s">
        <v>42</v>
      </c>
      <c r="B16148" s="219"/>
      <c r="C16148" s="219"/>
      <c r="D16148" s="219"/>
      <c r="E16148" s="219"/>
      <c r="F16148" s="219"/>
      <c r="G16148" s="219"/>
    </row>
    <row r="16149" spans="1:7" x14ac:dyDescent="0.25">
      <c r="A16149" s="49" t="s">
        <v>35</v>
      </c>
      <c r="B16149" s="49" t="s">
        <v>36</v>
      </c>
      <c r="C16149" s="49" t="s">
        <v>38</v>
      </c>
      <c r="D16149" s="49" t="s">
        <v>43</v>
      </c>
      <c r="E16149" s="49" t="s">
        <v>44</v>
      </c>
      <c r="F16149" s="49" t="s">
        <v>45</v>
      </c>
      <c r="G16149" s="49" t="s">
        <v>40</v>
      </c>
    </row>
    <row r="16150" spans="1:7" x14ac:dyDescent="0.25">
      <c r="A16150" s="50" t="s">
        <v>319</v>
      </c>
      <c r="B16150" s="68" t="str">
        <f>VLOOKUP(A16150,'Componentes APUs'!$H$1:$L$25,2,0)</f>
        <v>Ingeniero Residente de Obra</v>
      </c>
      <c r="C16150" s="93">
        <v>0.25</v>
      </c>
      <c r="D16150" s="50">
        <f>VLOOKUP(A16150,'Componentes APUs'!$H$1:$L$25,3,0)</f>
        <v>4</v>
      </c>
      <c r="E16150" s="51">
        <f>VLOOKUP(A16150,'Componentes APUs'!$H$1:$L$25,4,0)</f>
        <v>271142.85714285716</v>
      </c>
      <c r="F16150" s="51">
        <f>VLOOKUP(A16150,'Componentes APUs'!$H$1:$L$25,5,0)</f>
        <v>162685.71428571429</v>
      </c>
      <c r="G16150" s="51">
        <f>ROUNDUP((E16150+F16150)*C16150/E16141,0)</f>
        <v>542286</v>
      </c>
    </row>
    <row r="16151" spans="1:7" x14ac:dyDescent="0.25">
      <c r="A16151" s="50" t="s">
        <v>320</v>
      </c>
      <c r="B16151" s="68" t="str">
        <f>VLOOKUP(A16151,'Componentes APUs'!$H$1:$L$25,2,0)</f>
        <v>Tecnico Supervisor</v>
      </c>
      <c r="C16151" s="93">
        <v>0.25</v>
      </c>
      <c r="D16151" s="50">
        <f>VLOOKUP(A16151,'Componentes APUs'!$H$1:$L$25,3,0)</f>
        <v>2.2999999999999998</v>
      </c>
      <c r="E16151" s="51">
        <f>VLOOKUP(A16151,'Componentes APUs'!$H$1:$L$25,4,0)</f>
        <v>155907.14285714284</v>
      </c>
      <c r="F16151" s="51">
        <f>VLOOKUP(A16151,'Componentes APUs'!$H$1:$L$25,5,0)</f>
        <v>93544.285714285696</v>
      </c>
      <c r="G16151" s="51">
        <f>ROUNDUP((E16151+F16151)*C16151/E16141,0)</f>
        <v>311815</v>
      </c>
    </row>
    <row r="16152" spans="1:7" x14ac:dyDescent="0.25">
      <c r="A16152" s="50" t="s">
        <v>1160</v>
      </c>
      <c r="B16152" s="68" t="str">
        <f>VLOOKUP(A16152,'Componentes APUs'!$H$1:$L$25,2,0)</f>
        <v>Oficial Eléctrico</v>
      </c>
      <c r="C16152" s="93">
        <v>0</v>
      </c>
      <c r="D16152" s="50">
        <f>VLOOKUP(A16152,'Componentes APUs'!$H$1:$L$25,3,0)</f>
        <v>2</v>
      </c>
      <c r="E16152" s="51">
        <f>VLOOKUP(A16152,'Componentes APUs'!$H$1:$L$25,4,0)</f>
        <v>154619.04761904763</v>
      </c>
      <c r="F16152" s="51">
        <f>VLOOKUP(A16152,'Componentes APUs'!$H$1:$L$25,5,0)</f>
        <v>92771.42857142858</v>
      </c>
      <c r="G16152" s="51">
        <f>ROUNDUP((E16152+F16152)*C16152/E16141,0)</f>
        <v>0</v>
      </c>
    </row>
    <row r="16153" spans="1:7" x14ac:dyDescent="0.25">
      <c r="A16153" s="50" t="s">
        <v>48</v>
      </c>
      <c r="B16153" s="68" t="str">
        <f>VLOOKUP(A16153,'Componentes APUs'!$H$1:$L$25,2,0)</f>
        <v>Ayudante Calificado</v>
      </c>
      <c r="C16153" s="93">
        <v>0</v>
      </c>
      <c r="D16153" s="50">
        <f>VLOOKUP(A16153,'Componentes APUs'!$H$1:$L$25,3,0)</f>
        <v>1.5</v>
      </c>
      <c r="E16153" s="51">
        <f>VLOOKUP(A16153,'Componentes APUs'!$H$1:$L$25,4,0)</f>
        <v>115964.28571428571</v>
      </c>
      <c r="F16153" s="51">
        <f>VLOOKUP(A16153,'Componentes APUs'!$H$1:$L$25,5,0)</f>
        <v>69578.57142857142</v>
      </c>
      <c r="G16153" s="51">
        <f>ROUNDUP((E16153+F16153)*C16153/E16141,0)</f>
        <v>0</v>
      </c>
    </row>
    <row r="16154" spans="1:7" x14ac:dyDescent="0.25">
      <c r="A16154" s="50" t="s">
        <v>50</v>
      </c>
      <c r="B16154" s="68" t="str">
        <f>VLOOKUP(A16154,'Componentes APUs'!$H$1:$L$25,2,0)</f>
        <v>Profesional en SST</v>
      </c>
      <c r="C16154" s="93">
        <v>0.25</v>
      </c>
      <c r="D16154" s="50">
        <f>VLOOKUP(A16154,'Componentes APUs'!$H$1:$L$25,3,0)</f>
        <v>2.5</v>
      </c>
      <c r="E16154" s="51">
        <f>VLOOKUP(A16154,'Componentes APUs'!$H$1:$L$25,4,0)</f>
        <v>169464.28571428571</v>
      </c>
      <c r="F16154" s="51">
        <f>VLOOKUP(A16154,'Componentes APUs'!$H$1:$L$25,5,0)</f>
        <v>101678.57142857142</v>
      </c>
      <c r="G16154" s="51">
        <f>ROUNDUP((E16154+F16154)*C16154/E16141,0)</f>
        <v>338929</v>
      </c>
    </row>
    <row r="16155" spans="1:7" x14ac:dyDescent="0.25">
      <c r="A16155" s="50" t="s">
        <v>1121</v>
      </c>
      <c r="B16155" s="68" t="str">
        <f>VLOOKUP(A16155,'Componentes APUs'!$H$1:$L$25,2,0)</f>
        <v>Ingeniero Especialista de Control y Protección Subestación</v>
      </c>
      <c r="C16155" s="93">
        <v>1</v>
      </c>
      <c r="D16155" s="50">
        <f>VLOOKUP(A16155,'Componentes APUs'!$H$1:$L$25,3,0)</f>
        <v>14</v>
      </c>
      <c r="E16155" s="51">
        <f>VLOOKUP(A16155,'Componentes APUs'!$H$1:$L$25,4,0)</f>
        <v>949000</v>
      </c>
      <c r="F16155" s="51">
        <f>VLOOKUP(A16155,'Componentes APUs'!$H$1:$L$25,5,0)</f>
        <v>569400</v>
      </c>
      <c r="G16155" s="51">
        <f>ROUNDUP((E16155+F16155)*C16155/E16141,0)</f>
        <v>7592000</v>
      </c>
    </row>
    <row r="16156" spans="1:7" x14ac:dyDescent="0.25">
      <c r="A16156" s="219" t="s">
        <v>56</v>
      </c>
      <c r="B16156" s="219"/>
      <c r="C16156" s="219"/>
      <c r="D16156" s="219"/>
      <c r="E16156" s="219"/>
      <c r="F16156" s="219"/>
      <c r="G16156" s="52">
        <f>SUM(G16150:G16155)</f>
        <v>8785030</v>
      </c>
    </row>
    <row r="16157" spans="1:7" x14ac:dyDescent="0.25">
      <c r="A16157" s="56"/>
      <c r="B16157" s="57"/>
      <c r="C16157" s="57"/>
      <c r="D16157" s="57"/>
      <c r="E16157" s="57"/>
      <c r="F16157" s="57"/>
      <c r="G16157" s="58"/>
    </row>
    <row r="16158" spans="1:7" x14ac:dyDescent="0.25">
      <c r="A16158" s="219" t="s">
        <v>57</v>
      </c>
      <c r="B16158" s="219"/>
      <c r="C16158" s="219"/>
      <c r="D16158" s="219"/>
      <c r="E16158" s="219"/>
      <c r="F16158" s="219"/>
      <c r="G16158" s="219"/>
    </row>
    <row r="16159" spans="1:7" x14ac:dyDescent="0.25">
      <c r="A16159" s="49" t="s">
        <v>35</v>
      </c>
      <c r="B16159" s="219" t="s">
        <v>36</v>
      </c>
      <c r="C16159" s="219"/>
      <c r="D16159" s="49" t="s">
        <v>37</v>
      </c>
      <c r="E16159" s="49" t="s">
        <v>38</v>
      </c>
      <c r="F16159" s="49" t="s">
        <v>39</v>
      </c>
      <c r="G16159" s="49" t="s">
        <v>40</v>
      </c>
    </row>
    <row r="16160" spans="1:7" x14ac:dyDescent="0.25">
      <c r="A16160" s="50" t="s">
        <v>326</v>
      </c>
      <c r="B16160" s="220" t="str">
        <f>VLOOKUP(A16160,'Componentes APUs'!$S$1:$V$10,2,0)</f>
        <v>Juego Llaves</v>
      </c>
      <c r="C16160" s="220"/>
      <c r="D16160" s="50" t="s">
        <v>18</v>
      </c>
      <c r="E16160" s="50">
        <v>0</v>
      </c>
      <c r="F16160" s="51">
        <f>VLOOKUP(A16160,'Componentes APUs'!$S$1:$V$10,4,0)</f>
        <v>9167</v>
      </c>
      <c r="G16160" s="51">
        <f>ROUNDUP(F16160*((E16160/21)/E16141),0)</f>
        <v>0</v>
      </c>
    </row>
    <row r="16161" spans="1:7" x14ac:dyDescent="0.25">
      <c r="A16161" s="50" t="s">
        <v>58</v>
      </c>
      <c r="B16161" s="220" t="str">
        <f>VLOOKUP(A16161,'Componentes APUs'!$S$1:$V$10,2,0)</f>
        <v>Manila de servicio</v>
      </c>
      <c r="C16161" s="220"/>
      <c r="D16161" s="50" t="s">
        <v>18</v>
      </c>
      <c r="E16161" s="50">
        <v>0</v>
      </c>
      <c r="F16161" s="51">
        <f>VLOOKUP(A16161,'Componentes APUs'!$S$1:$V$10,4,0)</f>
        <v>2333</v>
      </c>
      <c r="G16161" s="51">
        <f>ROUNDUP(F16161*((E16161/21)/E16141),0)</f>
        <v>0</v>
      </c>
    </row>
    <row r="16162" spans="1:7" x14ac:dyDescent="0.25">
      <c r="A16162" s="50" t="s">
        <v>327</v>
      </c>
      <c r="B16162" s="220" t="str">
        <f>VLOOKUP(A16162,'Componentes APUs'!$S$1:$V$10,2,0)</f>
        <v>Tula portaherramientas</v>
      </c>
      <c r="C16162" s="220"/>
      <c r="D16162" s="50" t="s">
        <v>18</v>
      </c>
      <c r="E16162" s="50">
        <v>0</v>
      </c>
      <c r="F16162" s="51">
        <f>VLOOKUP(A16162,'Componentes APUs'!$S$1:$V$10,4,0)</f>
        <v>1250</v>
      </c>
      <c r="G16162" s="51">
        <f>ROUNDUP(F16162*((E16162/21)/E16141),0)</f>
        <v>0</v>
      </c>
    </row>
    <row r="16163" spans="1:7" x14ac:dyDescent="0.25">
      <c r="A16163" s="50" t="s">
        <v>60</v>
      </c>
      <c r="B16163" s="220" t="str">
        <f>VLOOKUP(A16163,'Componentes APUs'!$S$1:$V$10,2,0)</f>
        <v>Agarradoras</v>
      </c>
      <c r="C16163" s="220"/>
      <c r="D16163" s="50" t="s">
        <v>18</v>
      </c>
      <c r="E16163" s="50">
        <v>0</v>
      </c>
      <c r="F16163" s="51">
        <f>VLOOKUP(A16163,'Componentes APUs'!$S$1:$V$10,4,0)</f>
        <v>125000</v>
      </c>
      <c r="G16163" s="51">
        <f>ROUNDUP(F16163*((E16163/21)/E16141),0)</f>
        <v>0</v>
      </c>
    </row>
    <row r="16164" spans="1:7" x14ac:dyDescent="0.25">
      <c r="A16164" s="50" t="s">
        <v>62</v>
      </c>
      <c r="B16164" s="220" t="str">
        <f>VLOOKUP(A16164,'Componentes APUs'!$S$1:$V$10,2,0)</f>
        <v>Templadoras</v>
      </c>
      <c r="C16164" s="220"/>
      <c r="D16164" s="50" t="s">
        <v>18</v>
      </c>
      <c r="E16164" s="50">
        <v>0</v>
      </c>
      <c r="F16164" s="51">
        <f>VLOOKUP(A16164,'Componentes APUs'!$S$1:$V$10,4,0)</f>
        <v>250000</v>
      </c>
      <c r="G16164" s="51">
        <f>ROUNDUP(F16164*((E16164/21)/E16141),0)</f>
        <v>0</v>
      </c>
    </row>
    <row r="16165" spans="1:7" x14ac:dyDescent="0.25">
      <c r="A16165" s="50" t="s">
        <v>328</v>
      </c>
      <c r="B16165" s="220" t="str">
        <f>VLOOKUP(A16165,'Componentes APUs'!$S$1:$V$10,2,0)</f>
        <v>Herramienta Menor</v>
      </c>
      <c r="C16165" s="220"/>
      <c r="D16165" s="50" t="s">
        <v>18</v>
      </c>
      <c r="E16165" s="50">
        <v>0</v>
      </c>
      <c r="F16165" s="51">
        <f>VLOOKUP(A16165,'Componentes APUs'!$S$1:$V$10,4,0)</f>
        <v>75758</v>
      </c>
      <c r="G16165" s="51">
        <f>ROUNDUP(F16165*((E16165/21)/E16141),0)</f>
        <v>0</v>
      </c>
    </row>
    <row r="16166" spans="1:7" x14ac:dyDescent="0.25">
      <c r="A16166" s="219" t="s">
        <v>69</v>
      </c>
      <c r="B16166" s="219"/>
      <c r="C16166" s="219"/>
      <c r="D16166" s="219"/>
      <c r="E16166" s="219"/>
      <c r="F16166" s="219"/>
      <c r="G16166" s="52">
        <f>SUM(G16160:G16165)</f>
        <v>0</v>
      </c>
    </row>
    <row r="16167" spans="1:7" x14ac:dyDescent="0.25">
      <c r="A16167" s="56"/>
      <c r="B16167" s="57"/>
      <c r="C16167" s="57"/>
      <c r="D16167" s="57"/>
      <c r="E16167" s="57"/>
      <c r="F16167" s="57"/>
      <c r="G16167" s="58"/>
    </row>
    <row r="16168" spans="1:7" x14ac:dyDescent="0.25">
      <c r="A16168" s="219" t="s">
        <v>70</v>
      </c>
      <c r="B16168" s="219"/>
      <c r="C16168" s="219"/>
      <c r="D16168" s="219"/>
      <c r="E16168" s="219"/>
      <c r="F16168" s="219"/>
      <c r="G16168" s="219"/>
    </row>
    <row r="16169" spans="1:7" x14ac:dyDescent="0.25">
      <c r="A16169" s="49" t="s">
        <v>35</v>
      </c>
      <c r="B16169" s="219" t="s">
        <v>36</v>
      </c>
      <c r="C16169" s="219"/>
      <c r="D16169" s="49" t="s">
        <v>37</v>
      </c>
      <c r="E16169" s="49" t="s">
        <v>38</v>
      </c>
      <c r="F16169" s="49" t="s">
        <v>39</v>
      </c>
      <c r="G16169" s="49" t="s">
        <v>40</v>
      </c>
    </row>
    <row r="16170" spans="1:7" x14ac:dyDescent="0.25">
      <c r="A16170" s="50" t="s">
        <v>71</v>
      </c>
      <c r="B16170" s="71" t="str">
        <f>VLOOKUP(A16170,'Componentes APUs'!$A$1:$D$14,2,0)</f>
        <v>Camisa indigo sin partes metalicas</v>
      </c>
      <c r="C16170" s="71"/>
      <c r="D16170" s="50" t="str">
        <f>VLOOKUP(A16170,'Componentes APUs'!$A$1:$D$14,3,0)</f>
        <v>U</v>
      </c>
      <c r="E16170" s="50">
        <f>SUM(C16150:C16155)</f>
        <v>1.75</v>
      </c>
      <c r="F16170" s="51">
        <f>VLOOKUP(A16170,'Componentes APUs'!$A$1:$D$14,4,0)</f>
        <v>8585.8585858585866</v>
      </c>
      <c r="G16170" s="51">
        <f>ROUNDUP(F16170*(E16170/21)/E16141,0)</f>
        <v>3578</v>
      </c>
    </row>
    <row r="16171" spans="1:7" x14ac:dyDescent="0.25">
      <c r="A16171" s="69" t="s">
        <v>73</v>
      </c>
      <c r="B16171" s="72" t="str">
        <f>VLOOKUP(A16171,'Componentes APUs'!$A$1:$D$14,2,0)</f>
        <v>Bota de seguridad dielectrica</v>
      </c>
      <c r="C16171" s="73"/>
      <c r="D16171" s="70" t="str">
        <f>VLOOKUP(A16171,'Componentes APUs'!$A$1:$D$14,3,0)</f>
        <v>Par</v>
      </c>
      <c r="E16171" s="50">
        <f>SUM(C16150:C16155)</f>
        <v>1.75</v>
      </c>
      <c r="F16171" s="51">
        <f>VLOOKUP(A16171,'Componentes APUs'!$A$1:$D$14,4,0)</f>
        <v>7500</v>
      </c>
      <c r="G16171" s="51">
        <f>ROUNDUP(F16171*(E16171/21)/E16141,0)</f>
        <v>3125</v>
      </c>
    </row>
    <row r="16172" spans="1:7" x14ac:dyDescent="0.25">
      <c r="A16172" s="50" t="s">
        <v>76</v>
      </c>
      <c r="B16172" s="72" t="str">
        <f>VLOOKUP(A16172,'Componentes APUs'!$A$1:$D$14,2,0)</f>
        <v>Casco dielectrico Tipo 1 Clase E con barbuquejo</v>
      </c>
      <c r="C16172" s="73"/>
      <c r="D16172" s="50" t="str">
        <f>VLOOKUP(A16172,'Componentes APUs'!$A$1:$D$14,3,0)</f>
        <v>U</v>
      </c>
      <c r="E16172" s="50">
        <f>C16150+C16153+C16154+C16151+C16155+IF(A16152&lt;&gt;"MO-3",C16152,0)</f>
        <v>1.75</v>
      </c>
      <c r="F16172" s="51">
        <f>VLOOKUP(A16172,'Componentes APUs'!$A$1:$D$14,4,0)</f>
        <v>10101.010101010101</v>
      </c>
      <c r="G16172" s="51">
        <f>ROUNDUP(F16172*(E16172/21)/E16141,0)</f>
        <v>4209</v>
      </c>
    </row>
    <row r="16173" spans="1:7" x14ac:dyDescent="0.25">
      <c r="A16173" s="69" t="s">
        <v>77</v>
      </c>
      <c r="B16173" s="72" t="str">
        <f>VLOOKUP(A16173,'Componentes APUs'!$A$1:$D$14,2,0)</f>
        <v>Correa plastica y antiflama</v>
      </c>
      <c r="C16173" s="73"/>
      <c r="D16173" s="50" t="str">
        <f>VLOOKUP(A16173,'Componentes APUs'!$A$1:$D$14,3,0)</f>
        <v>U</v>
      </c>
      <c r="E16173" s="50">
        <f>SUM(C16150:C16155)</f>
        <v>1.75</v>
      </c>
      <c r="F16173" s="51">
        <f>VLOOKUP(A16173,'Componentes APUs'!$A$1:$D$14,4,0)</f>
        <v>3787.878787878788</v>
      </c>
      <c r="G16173" s="51">
        <f>ROUNDUP(F16173*(E16173/21)/E16141,0)</f>
        <v>1579</v>
      </c>
    </row>
    <row r="16174" spans="1:7" x14ac:dyDescent="0.25">
      <c r="A16174" s="50" t="s">
        <v>79</v>
      </c>
      <c r="B16174" s="72" t="str">
        <f>VLOOKUP(A16174,'Componentes APUs'!$A$1:$D$14,2,0)</f>
        <v>Gafas protectoras filtro UV</v>
      </c>
      <c r="C16174" s="73"/>
      <c r="D16174" s="50" t="str">
        <f>VLOOKUP(A16174,'Componentes APUs'!$A$1:$D$14,3,0)</f>
        <v>U</v>
      </c>
      <c r="E16174" s="50">
        <f>SUM(C16150:C16155)</f>
        <v>1.75</v>
      </c>
      <c r="F16174" s="51">
        <f>VLOOKUP(A16174,'Componentes APUs'!$A$1:$D$14,4,0)</f>
        <v>2777.7777777777778</v>
      </c>
      <c r="G16174" s="51">
        <f>ROUNDUP(F16174*(E16174/21)/E16141,0)</f>
        <v>1158</v>
      </c>
    </row>
    <row r="16175" spans="1:7" x14ac:dyDescent="0.25">
      <c r="A16175" s="69" t="s">
        <v>402</v>
      </c>
      <c r="B16175" s="72" t="str">
        <f>VLOOKUP(A16175,'Componentes APUs'!$A$1:$D$14,2,0)</f>
        <v>Bota de seguridad PVC dielectrica</v>
      </c>
      <c r="C16175" s="73"/>
      <c r="D16175" s="50" t="str">
        <f>VLOOKUP(A16175,'Componentes APUs'!$A$1:$D$14,3,0)</f>
        <v>Par</v>
      </c>
      <c r="E16175" s="50">
        <f>SUM(C16150:C16155)</f>
        <v>1.75</v>
      </c>
      <c r="F16175" s="51">
        <f>VLOOKUP(A16175,'Componentes APUs'!$A$1:$D$14,4,0)</f>
        <v>2916.6666666666665</v>
      </c>
      <c r="G16175" s="51">
        <f>ROUNDUP(F16175*(E16175/21)/E16141,0)</f>
        <v>1216</v>
      </c>
    </row>
    <row r="16176" spans="1:7" x14ac:dyDescent="0.25">
      <c r="A16176" s="50" t="s">
        <v>403</v>
      </c>
      <c r="B16176" s="72" t="str">
        <f>VLOOKUP(A16176,'Componentes APUs'!$A$1:$D$14,2,0)</f>
        <v>Capuchon</v>
      </c>
      <c r="C16176" s="73"/>
      <c r="D16176" s="50" t="str">
        <f>VLOOKUP(A16176,'Componentes APUs'!$A$1:$D$14,3,0)</f>
        <v>U</v>
      </c>
      <c r="E16176" s="50">
        <f>SUM(C16150:C16155)</f>
        <v>1.75</v>
      </c>
      <c r="F16176" s="51">
        <f>VLOOKUP(A16176,'Componentes APUs'!$A$1:$D$14,4,0)</f>
        <v>2525.2525252525252</v>
      </c>
      <c r="G16176" s="51">
        <f>ROUNDUP(F16176*(E16176/21)/E16141,0)</f>
        <v>1053</v>
      </c>
    </row>
    <row r="16177" spans="1:7" x14ac:dyDescent="0.25">
      <c r="A16177" s="69" t="s">
        <v>81</v>
      </c>
      <c r="B16177" s="72" t="str">
        <f>VLOOKUP(A16177,'Componentes APUs'!$A$1:$D$14,2,0)</f>
        <v>Guantes Protectores  - ingeniero reforzados</v>
      </c>
      <c r="C16177" s="73"/>
      <c r="D16177" s="50" t="str">
        <f>VLOOKUP(A16177,'Componentes APUs'!$A$1:$D$14,3,0)</f>
        <v>Par</v>
      </c>
      <c r="E16177" s="50">
        <f>C16152+C16153+C16155</f>
        <v>1</v>
      </c>
      <c r="F16177" s="51">
        <f>VLOOKUP(A16177,'Componentes APUs'!$A$1:$D$14,4,0)</f>
        <v>2525.2525252525252</v>
      </c>
      <c r="G16177" s="51">
        <f>ROUNDUP(F16177*(E16177/21)/E16141,0)</f>
        <v>602</v>
      </c>
    </row>
    <row r="16178" spans="1:7" x14ac:dyDescent="0.25">
      <c r="A16178" s="50" t="s">
        <v>83</v>
      </c>
      <c r="B16178" s="72" t="str">
        <f>VLOOKUP(A16178,'Componentes APUs'!$A$1:$D$14,2,0)</f>
        <v>Impermeable (pantalon camisa)</v>
      </c>
      <c r="C16178" s="73"/>
      <c r="D16178" s="50" t="str">
        <f>VLOOKUP(A16178,'Componentes APUs'!$A$1:$D$14,3,0)</f>
        <v>U</v>
      </c>
      <c r="E16178" s="50">
        <f>SUM(C16150:C16155)</f>
        <v>1.75</v>
      </c>
      <c r="F16178" s="51">
        <f>VLOOKUP(A16178,'Componentes APUs'!$A$1:$D$14,4,0)</f>
        <v>3750</v>
      </c>
      <c r="G16178" s="51">
        <f>ROUNDUP(F16178*(E16178/21)/E16141,0)</f>
        <v>1563</v>
      </c>
    </row>
    <row r="16179" spans="1:7" x14ac:dyDescent="0.25">
      <c r="A16179" s="69" t="s">
        <v>85</v>
      </c>
      <c r="B16179" s="72" t="str">
        <f>VLOOKUP(A16179,'Componentes APUs'!$A$1:$D$14,2,0)</f>
        <v>Jean Dielectrico</v>
      </c>
      <c r="C16179" s="73"/>
      <c r="D16179" s="50" t="str">
        <f>VLOOKUP(A16179,'Componentes APUs'!$A$1:$D$14,3,0)</f>
        <v>U</v>
      </c>
      <c r="E16179" s="50">
        <f>SUM(C16150:C16155)</f>
        <v>1.75</v>
      </c>
      <c r="F16179" s="51">
        <f>VLOOKUP(A16179,'Componentes APUs'!$A$1:$D$14,4,0)</f>
        <v>7575.757575757576</v>
      </c>
      <c r="G16179" s="51">
        <f>ROUNDUP(F16179*(E16179/21)/E16141,0)</f>
        <v>3157</v>
      </c>
    </row>
    <row r="16180" spans="1:7" x14ac:dyDescent="0.25">
      <c r="A16180" s="50" t="s">
        <v>87</v>
      </c>
      <c r="B16180" s="72" t="str">
        <f>VLOOKUP(A16180,'Componentes APUs'!$A$1:$D$14,2,0)</f>
        <v>Casco dielectrico Tipo 2 Clase E con barboquejo</v>
      </c>
      <c r="C16180" s="73"/>
      <c r="D16180" s="50" t="str">
        <f>VLOOKUP(A16180,'Componentes APUs'!$A$1:$D$14,3,0)</f>
        <v>U</v>
      </c>
      <c r="E16180" s="53">
        <f>IF(A16152="MO-3",C16152,0)</f>
        <v>0</v>
      </c>
      <c r="F16180" s="51">
        <f>VLOOKUP(A16180,'Componentes APUs'!$A$1:$D$14,4,0)</f>
        <v>7500</v>
      </c>
      <c r="G16180" s="51">
        <f>ROUNDUP(F16180*(E16180/21)/E16141,0)</f>
        <v>0</v>
      </c>
    </row>
    <row r="16181" spans="1:7" x14ac:dyDescent="0.25">
      <c r="A16181" s="69" t="s">
        <v>89</v>
      </c>
      <c r="B16181" s="72" t="str">
        <f>VLOOKUP(A16181,'Componentes APUs'!$A$1:$D$14,2,0)</f>
        <v>Kit de rescate para trabajo en alturas</v>
      </c>
      <c r="C16181" s="73"/>
      <c r="D16181" s="50" t="str">
        <f>VLOOKUP(A16181,'Componentes APUs'!$A$1:$D$14,3,0)</f>
        <v>U</v>
      </c>
      <c r="E16181" s="50">
        <f>IF(AND(A16152="MO-3",C16152=2),1,0)</f>
        <v>0</v>
      </c>
      <c r="F16181" s="51">
        <f>VLOOKUP(A16181,'Componentes APUs'!$A$1:$D$14,4,0)</f>
        <v>37500</v>
      </c>
      <c r="G16181" s="51">
        <f>ROUNDUP(F16181*(E16181/21)/E16141,0)</f>
        <v>0</v>
      </c>
    </row>
    <row r="16182" spans="1:7" x14ac:dyDescent="0.25">
      <c r="A16182" s="50" t="s">
        <v>91</v>
      </c>
      <c r="B16182" s="72" t="str">
        <f>VLOOKUP(A16182,'Componentes APUs'!$A$1:$D$14,2,0)</f>
        <v>Equipo completo para trabajo en alturas con pretales (Arnes dielectrico, 1 mosqueton de seguridad, tie off dielectrico, eslinga de posicionamiento, juego de pretales)</v>
      </c>
      <c r="C16182" s="73"/>
      <c r="D16182" s="50" t="str">
        <f>VLOOKUP(A16182,'Componentes APUs'!$A$1:$D$14,3,0)</f>
        <v>U</v>
      </c>
      <c r="E16182" s="50">
        <f>IF(A16151="MO-3",C16151,0)</f>
        <v>0</v>
      </c>
      <c r="F16182" s="51">
        <f>VLOOKUP(A16182,'Componentes APUs'!$A$1:$D$14,4,0)</f>
        <v>26041.666666666668</v>
      </c>
      <c r="G16182" s="51">
        <f>ROUNDUP(F16182*(E16182/21)/E16141,0)</f>
        <v>0</v>
      </c>
    </row>
    <row r="16183" spans="1:7" x14ac:dyDescent="0.25">
      <c r="A16183" s="219" t="s">
        <v>95</v>
      </c>
      <c r="B16183" s="219"/>
      <c r="C16183" s="219"/>
      <c r="D16183" s="219"/>
      <c r="E16183" s="219"/>
      <c r="F16183" s="219"/>
      <c r="G16183" s="52">
        <f>SUM(G16170:G16182)</f>
        <v>21240</v>
      </c>
    </row>
    <row r="16184" spans="1:7" x14ac:dyDescent="0.25">
      <c r="A16184" s="56"/>
      <c r="B16184" s="57"/>
      <c r="C16184" s="57"/>
      <c r="D16184" s="57"/>
      <c r="E16184" s="57"/>
      <c r="F16184" s="57"/>
      <c r="G16184" s="58"/>
    </row>
    <row r="16185" spans="1:7" x14ac:dyDescent="0.25">
      <c r="A16185" s="219" t="s">
        <v>96</v>
      </c>
      <c r="B16185" s="219"/>
      <c r="C16185" s="219"/>
      <c r="D16185" s="219"/>
      <c r="E16185" s="219"/>
      <c r="F16185" s="219"/>
      <c r="G16185" s="219"/>
    </row>
    <row r="16186" spans="1:7" x14ac:dyDescent="0.25">
      <c r="A16186" s="49" t="s">
        <v>35</v>
      </c>
      <c r="B16186" s="225" t="s">
        <v>36</v>
      </c>
      <c r="C16186" s="225"/>
      <c r="D16186" s="49" t="s">
        <v>37</v>
      </c>
      <c r="E16186" s="49" t="s">
        <v>38</v>
      </c>
      <c r="F16186" s="49" t="s">
        <v>39</v>
      </c>
      <c r="G16186" s="49" t="s">
        <v>40</v>
      </c>
    </row>
    <row r="16187" spans="1:7" x14ac:dyDescent="0.25">
      <c r="A16187" s="69" t="s">
        <v>97</v>
      </c>
      <c r="B16187" s="72" t="str">
        <f>VLOOKUP(A16187,'Componentes APUs'!$N$1:$Q$30,2,0)</f>
        <v>Camioneta</v>
      </c>
      <c r="C16187" s="73"/>
      <c r="D16187" s="70" t="str">
        <f>VLOOKUP(A16187,'Componentes APUs'!$N$1:$Q$30,3,0)</f>
        <v>U</v>
      </c>
      <c r="E16187" s="50">
        <v>1</v>
      </c>
      <c r="F16187" s="51">
        <f>VLOOKUP(A16187,'Componentes APUs'!$N$1:$Q$30,4,0)</f>
        <v>5500000</v>
      </c>
      <c r="G16187" s="51">
        <f>IFERROR(ROUNDUP(F16187*(E16187/21)/E16141,0),0)</f>
        <v>1309524</v>
      </c>
    </row>
    <row r="16188" spans="1:7" x14ac:dyDescent="0.25">
      <c r="A16188" s="50" t="s">
        <v>321</v>
      </c>
      <c r="B16188" s="72" t="str">
        <f>VLOOKUP(A16188,'Componentes APUs'!$N$1:$Q$30,2,0)</f>
        <v>Grúa Hidráulica</v>
      </c>
      <c r="C16188" s="73"/>
      <c r="D16188" s="70" t="str">
        <f>VLOOKUP(A16188,'Componentes APUs'!$N$1:$Q$30,3,0)</f>
        <v>U</v>
      </c>
      <c r="E16188" s="50">
        <v>0</v>
      </c>
      <c r="F16188" s="51">
        <f>VLOOKUP(A16188,'Componentes APUs'!$N$1:$Q$30,4,0)</f>
        <v>21000000</v>
      </c>
      <c r="G16188" s="51">
        <f>IFERROR(ROUNDUP(F16188*(E16188/21)/E16141,0),0)</f>
        <v>0</v>
      </c>
    </row>
    <row r="16189" spans="1:7" x14ac:dyDescent="0.25">
      <c r="A16189" s="69" t="s">
        <v>322</v>
      </c>
      <c r="B16189" s="72" t="str">
        <f>VLOOKUP(A16189,'Componentes APUs'!$N$1:$Q$30,2,0)</f>
        <v>Camabaja</v>
      </c>
      <c r="C16189" s="73"/>
      <c r="D16189" s="70" t="str">
        <f>VLOOKUP(A16189,'Componentes APUs'!$N$1:$Q$30,3,0)</f>
        <v>TON/KM</v>
      </c>
      <c r="E16189" s="50">
        <v>0</v>
      </c>
      <c r="F16189" s="51">
        <f>VLOOKUP(A16189,'Componentes APUs'!$N$1:$Q$30,4,0)</f>
        <v>611</v>
      </c>
      <c r="G16189" s="51">
        <f>IFERROR(ROUNDUP(F16189*(E16189/21)/E16141,0),0)</f>
        <v>0</v>
      </c>
    </row>
    <row r="16190" spans="1:7" x14ac:dyDescent="0.25">
      <c r="A16190" s="50" t="s">
        <v>323</v>
      </c>
      <c r="B16190" s="72" t="str">
        <f>VLOOKUP(A16190,'Componentes APUs'!$N$1:$Q$30,2,0)</f>
        <v>Volqueta</v>
      </c>
      <c r="C16190" s="73"/>
      <c r="D16190" s="70" t="str">
        <f>VLOOKUP(A16190,'Componentes APUs'!$N$1:$Q$30,3,0)</f>
        <v>U</v>
      </c>
      <c r="E16190" s="50">
        <v>0</v>
      </c>
      <c r="F16190" s="51">
        <f>VLOOKUP(A16190,'Componentes APUs'!$N$1:$Q$30,4,0)</f>
        <v>14828184</v>
      </c>
      <c r="G16190" s="51">
        <f>IFERROR(ROUNDUP(F16190*(E16190/21)/E16141,0),0)</f>
        <v>0</v>
      </c>
    </row>
    <row r="16191" spans="1:7" x14ac:dyDescent="0.25">
      <c r="A16191" s="69" t="s">
        <v>324</v>
      </c>
      <c r="B16191" s="72" t="str">
        <f>VLOOKUP(A16191,'Componentes APUs'!$N$1:$Q$30,2,0)</f>
        <v>Retroexcavadora</v>
      </c>
      <c r="C16191" s="73"/>
      <c r="D16191" s="70" t="str">
        <f>VLOOKUP(A16191,'Componentes APUs'!$N$1:$Q$30,3,0)</f>
        <v>U</v>
      </c>
      <c r="E16191" s="50">
        <v>0</v>
      </c>
      <c r="F16191" s="51">
        <f>VLOOKUP(A16191,'Componentes APUs'!$N$1:$Q$30,4,0)</f>
        <v>46030656</v>
      </c>
      <c r="G16191" s="51">
        <f>IFERROR(ROUNDUP(F16191*(E16191/21)/E16141,0),0)</f>
        <v>0</v>
      </c>
    </row>
    <row r="16192" spans="1:7" x14ac:dyDescent="0.25">
      <c r="A16192" s="219" t="s">
        <v>99</v>
      </c>
      <c r="B16192" s="219"/>
      <c r="C16192" s="219"/>
      <c r="D16192" s="219"/>
      <c r="E16192" s="219"/>
      <c r="F16192" s="219"/>
      <c r="G16192" s="52">
        <f>SUM(G16187:G16191)</f>
        <v>1309524</v>
      </c>
    </row>
    <row r="16193" spans="1:7" x14ac:dyDescent="0.25">
      <c r="A16193" s="56"/>
      <c r="B16193" s="57"/>
      <c r="C16193" s="57"/>
      <c r="D16193" s="57"/>
      <c r="E16193" s="57"/>
      <c r="F16193" s="57"/>
      <c r="G16193" s="58"/>
    </row>
    <row r="16194" spans="1:7" x14ac:dyDescent="0.25">
      <c r="A16194" s="219" t="s">
        <v>1516</v>
      </c>
      <c r="B16194" s="219"/>
      <c r="C16194" s="219"/>
      <c r="D16194" s="219"/>
      <c r="E16194" s="219"/>
      <c r="F16194" s="219"/>
      <c r="G16194" s="52">
        <f>G16192+G16183+G16166+G16156+G16146</f>
        <v>10115794</v>
      </c>
    </row>
    <row r="16195" spans="1:7" x14ac:dyDescent="0.25">
      <c r="A16195" s="59"/>
      <c r="B16195" s="60"/>
      <c r="C16195" s="60"/>
      <c r="D16195" s="60"/>
      <c r="E16195" s="57"/>
      <c r="F16195" s="57"/>
      <c r="G16195" s="58"/>
    </row>
    <row r="16196" spans="1:7" x14ac:dyDescent="0.25">
      <c r="A16196" s="64"/>
      <c r="D16196" s="55"/>
      <c r="E16196" s="49" t="s">
        <v>25</v>
      </c>
      <c r="F16196" s="54">
        <v>0.15</v>
      </c>
      <c r="G16196" s="51">
        <f>G16194*F16196</f>
        <v>1517369.0999999999</v>
      </c>
    </row>
    <row r="16197" spans="1:7" x14ac:dyDescent="0.25">
      <c r="A16197" s="64"/>
      <c r="D16197" s="55"/>
      <c r="E16197" s="49" t="s">
        <v>26</v>
      </c>
      <c r="F16197" s="54">
        <v>0.05</v>
      </c>
      <c r="G16197" s="51">
        <f>G16194*F16197</f>
        <v>505789.7</v>
      </c>
    </row>
    <row r="16198" spans="1:7" x14ac:dyDescent="0.25">
      <c r="A16198" s="61"/>
      <c r="B16198" s="65"/>
      <c r="C16198" s="65"/>
      <c r="D16198" s="62"/>
      <c r="E16198" s="49" t="s">
        <v>27</v>
      </c>
      <c r="F16198" s="54">
        <v>0.05</v>
      </c>
      <c r="G16198" s="51">
        <f>G16194*F16198</f>
        <v>505789.7</v>
      </c>
    </row>
    <row r="16199" spans="1:7" x14ac:dyDescent="0.25">
      <c r="A16199" s="61"/>
      <c r="B16199" s="62"/>
      <c r="C16199" s="62"/>
      <c r="D16199" s="62"/>
      <c r="E16199" s="62"/>
      <c r="F16199" s="62"/>
      <c r="G16199" s="63"/>
    </row>
    <row r="16200" spans="1:7" x14ac:dyDescent="0.25">
      <c r="A16200" s="219" t="s">
        <v>1517</v>
      </c>
      <c r="B16200" s="219"/>
      <c r="C16200" s="219"/>
      <c r="D16200" s="219"/>
      <c r="E16200" s="219"/>
      <c r="F16200" s="219"/>
      <c r="G16200" s="52">
        <f>G16194+G16196+G16197+G16198</f>
        <v>12644742.499999998</v>
      </c>
    </row>
    <row r="16201" spans="1:7" x14ac:dyDescent="0.25">
      <c r="A16201" s="59"/>
      <c r="B16201" s="60"/>
      <c r="C16201" s="60"/>
      <c r="D16201" s="60"/>
      <c r="E16201" s="57"/>
      <c r="F16201" s="57"/>
      <c r="G16201" s="58"/>
    </row>
    <row r="16202" spans="1:7" x14ac:dyDescent="0.25">
      <c r="A16202" s="64"/>
      <c r="D16202" s="55"/>
      <c r="E16202" s="49" t="s">
        <v>102</v>
      </c>
      <c r="F16202" s="49" t="s">
        <v>103</v>
      </c>
      <c r="G16202" s="51">
        <f>G16198*19%</f>
        <v>96100.043000000005</v>
      </c>
    </row>
    <row r="16203" spans="1:7" x14ac:dyDescent="0.25">
      <c r="A16203" s="61"/>
      <c r="B16203" s="62"/>
      <c r="C16203" s="62"/>
      <c r="D16203" s="62"/>
      <c r="E16203" s="57"/>
      <c r="F16203" s="57"/>
      <c r="G16203" s="58"/>
    </row>
    <row r="16204" spans="1:7" x14ac:dyDescent="0.25">
      <c r="A16204" s="219" t="s">
        <v>104</v>
      </c>
      <c r="B16204" s="219"/>
      <c r="C16204" s="219"/>
      <c r="D16204" s="219"/>
      <c r="E16204" s="219"/>
      <c r="F16204" s="219"/>
      <c r="G16204" s="52">
        <f>G16202+G16200</f>
        <v>12740842.542999998</v>
      </c>
    </row>
    <row r="16206" spans="1:7" x14ac:dyDescent="0.25">
      <c r="A16206" s="74" t="s">
        <v>29</v>
      </c>
      <c r="B16206" s="226" t="s">
        <v>30</v>
      </c>
      <c r="C16206" s="226"/>
      <c r="D16206" s="74" t="s">
        <v>31</v>
      </c>
      <c r="E16206" s="74" t="s">
        <v>32</v>
      </c>
      <c r="F16206" s="74" t="s">
        <v>189</v>
      </c>
      <c r="G16206" s="74" t="s">
        <v>33</v>
      </c>
    </row>
    <row r="16207" spans="1:7" ht="21" customHeight="1" x14ac:dyDescent="0.25">
      <c r="A16207" s="50" t="str">
        <f>Presupuesto!B316</f>
        <v>012_SC</v>
      </c>
      <c r="B16207" s="220" t="str">
        <f>Presupuesto!C316</f>
        <v>SUMINISTRO E INSTALACIÓN DE CABLE FUTP CATEGORIA 6 APANTALLADO PARA SWITCH DE GABINETES DE MEDIDA, CALIDAD.</v>
      </c>
      <c r="C16207" s="220"/>
      <c r="D16207" s="50" t="s">
        <v>8</v>
      </c>
      <c r="E16207" s="50">
        <v>35</v>
      </c>
      <c r="F16207" s="50"/>
      <c r="G16207" s="51">
        <f>G16276</f>
        <v>37219.484500000006</v>
      </c>
    </row>
    <row r="16208" spans="1:7" x14ac:dyDescent="0.25">
      <c r="A16208" s="219" t="s">
        <v>34</v>
      </c>
      <c r="B16208" s="219"/>
      <c r="C16208" s="219"/>
      <c r="D16208" s="219"/>
      <c r="E16208" s="219"/>
      <c r="F16208" s="219"/>
      <c r="G16208" s="219"/>
    </row>
    <row r="16209" spans="1:7" x14ac:dyDescent="0.25">
      <c r="A16209" s="49" t="s">
        <v>35</v>
      </c>
      <c r="B16209" s="219" t="s">
        <v>36</v>
      </c>
      <c r="C16209" s="219"/>
      <c r="D16209" s="49" t="s">
        <v>37</v>
      </c>
      <c r="E16209" s="49" t="s">
        <v>38</v>
      </c>
      <c r="F16209" s="49" t="s">
        <v>39</v>
      </c>
      <c r="G16209" s="49" t="s">
        <v>40</v>
      </c>
    </row>
    <row r="16210" spans="1:7" x14ac:dyDescent="0.25">
      <c r="A16210" s="17" t="str">
        <f>Material!A207</f>
        <v>MA-206</v>
      </c>
      <c r="B16210" s="72" t="str">
        <f>IFERROR(VLOOKUP(A16210,Material!$A:$H,2,0),"-")</f>
        <v>CABLE FUTP CON CATEGORIA 6 APANTALLADO</v>
      </c>
      <c r="C16210" s="73"/>
      <c r="D16210" s="50" t="str">
        <f>IFERROR(VLOOKUP(A16210,Material!$A:$H,4,0),"-")</f>
        <v>ML</v>
      </c>
      <c r="E16210" s="50">
        <v>1</v>
      </c>
      <c r="F16210" s="51">
        <f>IFERROR(VLOOKUP(A16210,Material!$A:$H,3,0),"-")</f>
        <v>5590</v>
      </c>
      <c r="G16210" s="51">
        <f t="shared" ref="G16210:G16217" si="229">IFERROR(ROUNDUP(F16210*E16210,0),"-")</f>
        <v>5590</v>
      </c>
    </row>
    <row r="16211" spans="1:7" x14ac:dyDescent="0.25">
      <c r="A16211" s="17"/>
      <c r="B16211" s="72" t="str">
        <f>IFERROR(VLOOKUP(A16211,Material!$A:$H,2,0),"-")</f>
        <v>-</v>
      </c>
      <c r="C16211" s="73"/>
      <c r="D16211" s="50" t="str">
        <f>IFERROR(VLOOKUP(A16211,Material!$A:$H,4,0),"-")</f>
        <v>-</v>
      </c>
      <c r="E16211" s="50"/>
      <c r="F16211" s="51" t="str">
        <f>IFERROR(VLOOKUP(A16211,Material!$A:$H,3,0),"-")</f>
        <v>-</v>
      </c>
      <c r="G16211" s="51" t="str">
        <f t="shared" si="229"/>
        <v>-</v>
      </c>
    </row>
    <row r="16212" spans="1:7" x14ac:dyDescent="0.25">
      <c r="A16212" s="17"/>
      <c r="B16212" s="72" t="str">
        <f>IFERROR(VLOOKUP(A16212,Material!$A:$H,2,0),"-")</f>
        <v>-</v>
      </c>
      <c r="C16212" s="73"/>
      <c r="D16212" s="50" t="str">
        <f>IFERROR(VLOOKUP(A16212,Material!$A:$H,4,0),"-")</f>
        <v>-</v>
      </c>
      <c r="E16212" s="50"/>
      <c r="F16212" s="51" t="str">
        <f>IFERROR(VLOOKUP(A16212,Material!$A:$H,3,0),"-")</f>
        <v>-</v>
      </c>
      <c r="G16212" s="51" t="str">
        <f t="shared" si="229"/>
        <v>-</v>
      </c>
    </row>
    <row r="16213" spans="1:7" x14ac:dyDescent="0.25">
      <c r="A16213" s="17"/>
      <c r="B16213" s="72" t="str">
        <f>IFERROR(VLOOKUP(A16213,Material!$A:$H,2,0),"-")</f>
        <v>-</v>
      </c>
      <c r="C16213" s="73"/>
      <c r="D16213" s="50" t="str">
        <f>IFERROR(VLOOKUP(A16213,Material!$A:$H,4,0),"-")</f>
        <v>-</v>
      </c>
      <c r="E16213" s="50"/>
      <c r="F16213" s="51" t="str">
        <f>IFERROR(VLOOKUP(A16213,Material!$A:$H,3,0),"-")</f>
        <v>-</v>
      </c>
      <c r="G16213" s="51" t="str">
        <f t="shared" si="229"/>
        <v>-</v>
      </c>
    </row>
    <row r="16214" spans="1:7" x14ac:dyDescent="0.25">
      <c r="A16214" s="17"/>
      <c r="B16214" s="75" t="str">
        <f>IFERROR(VLOOKUP(A16214,Material!$A:$H,2,0),"-")</f>
        <v>-</v>
      </c>
      <c r="C16214" s="76"/>
      <c r="D16214" s="50" t="str">
        <f>IFERROR(VLOOKUP(A16214,Material!$A:$H,4,0),"-")</f>
        <v>-</v>
      </c>
      <c r="E16214" s="50"/>
      <c r="F16214" s="51" t="str">
        <f>IFERROR(VLOOKUP(A16214,Material!$A:$H,3,0),"-")</f>
        <v>-</v>
      </c>
      <c r="G16214" s="51" t="str">
        <f t="shared" si="229"/>
        <v>-</v>
      </c>
    </row>
    <row r="16215" spans="1:7" x14ac:dyDescent="0.25">
      <c r="A16215" s="17"/>
      <c r="B16215" s="72" t="str">
        <f>IFERROR(VLOOKUP(A16215,Material!$A:$H,2,0),"-")</f>
        <v>-</v>
      </c>
      <c r="C16215" s="76"/>
      <c r="D16215" s="50" t="str">
        <f>IFERROR(VLOOKUP(A16215,Material!$A:$H,4,0),"-")</f>
        <v>-</v>
      </c>
      <c r="E16215" s="50"/>
      <c r="F16215" s="51" t="str">
        <f>IFERROR(VLOOKUP(A16215,Material!$A:$H,3,0),"-")</f>
        <v>-</v>
      </c>
      <c r="G16215" s="51" t="str">
        <f t="shared" si="229"/>
        <v>-</v>
      </c>
    </row>
    <row r="16216" spans="1:7" x14ac:dyDescent="0.25">
      <c r="A16216" s="17"/>
      <c r="B16216" s="72" t="str">
        <f>IFERROR(VLOOKUP(A16216,Material!$A:$H,2,0),"-")</f>
        <v>-</v>
      </c>
      <c r="C16216" s="76"/>
      <c r="D16216" s="50" t="str">
        <f>IFERROR(VLOOKUP(A16216,Material!$A:$H,4,0),"-")</f>
        <v>-</v>
      </c>
      <c r="E16216" s="50"/>
      <c r="F16216" s="51" t="str">
        <f>IFERROR(VLOOKUP(A16216,Material!$A:$H,3,0),"-")</f>
        <v>-</v>
      </c>
      <c r="G16216" s="51" t="str">
        <f t="shared" si="229"/>
        <v>-</v>
      </c>
    </row>
    <row r="16217" spans="1:7" x14ac:dyDescent="0.25">
      <c r="A16217" s="17"/>
      <c r="B16217" s="72" t="str">
        <f>IFERROR(VLOOKUP(A16217,Material!$A:$H,2,0),"-")</f>
        <v>-</v>
      </c>
      <c r="C16217" s="76"/>
      <c r="D16217" s="50" t="str">
        <f>IFERROR(VLOOKUP(A16217,Material!$A:$H,4,0),"-")</f>
        <v>-</v>
      </c>
      <c r="E16217" s="50"/>
      <c r="F16217" s="51" t="str">
        <f>IFERROR(VLOOKUP(A16217,Material!$A:$H,3,0),"-")</f>
        <v>-</v>
      </c>
      <c r="G16217" s="51" t="str">
        <f t="shared" si="229"/>
        <v>-</v>
      </c>
    </row>
    <row r="16218" spans="1:7" x14ac:dyDescent="0.25">
      <c r="A16218" s="219" t="s">
        <v>41</v>
      </c>
      <c r="B16218" s="219"/>
      <c r="C16218" s="219"/>
      <c r="D16218" s="219"/>
      <c r="E16218" s="219"/>
      <c r="F16218" s="219"/>
      <c r="G16218" s="52">
        <f>SUM(G16210:G16217)</f>
        <v>5590</v>
      </c>
    </row>
    <row r="16219" spans="1:7" x14ac:dyDescent="0.25">
      <c r="A16219" s="56"/>
      <c r="B16219" s="57"/>
      <c r="C16219" s="57"/>
      <c r="D16219" s="57"/>
      <c r="E16219" s="57"/>
      <c r="F16219" s="57"/>
      <c r="G16219" s="58"/>
    </row>
    <row r="16220" spans="1:7" x14ac:dyDescent="0.25">
      <c r="A16220" s="219" t="s">
        <v>42</v>
      </c>
      <c r="B16220" s="219"/>
      <c r="C16220" s="219"/>
      <c r="D16220" s="219"/>
      <c r="E16220" s="219"/>
      <c r="F16220" s="219"/>
      <c r="G16220" s="219"/>
    </row>
    <row r="16221" spans="1:7" x14ac:dyDescent="0.25">
      <c r="A16221" s="49" t="s">
        <v>35</v>
      </c>
      <c r="B16221" s="49" t="s">
        <v>36</v>
      </c>
      <c r="C16221" s="49" t="s">
        <v>38</v>
      </c>
      <c r="D16221" s="49" t="s">
        <v>43</v>
      </c>
      <c r="E16221" s="49" t="s">
        <v>44</v>
      </c>
      <c r="F16221" s="49" t="s">
        <v>45</v>
      </c>
      <c r="G16221" s="49" t="s">
        <v>40</v>
      </c>
    </row>
    <row r="16222" spans="1:7" x14ac:dyDescent="0.25">
      <c r="A16222" s="50" t="s">
        <v>319</v>
      </c>
      <c r="B16222" s="68" t="str">
        <f>VLOOKUP(A16222,'Componentes APUs'!$H$1:$L$25,2,0)</f>
        <v>Ingeniero Residente de Obra</v>
      </c>
      <c r="C16222" s="93">
        <v>0.25</v>
      </c>
      <c r="D16222" s="50">
        <f>VLOOKUP(A16222,'Componentes APUs'!$H$1:$L$25,3,0)</f>
        <v>4</v>
      </c>
      <c r="E16222" s="51">
        <f>VLOOKUP(A16222,'Componentes APUs'!$H$1:$L$25,4,0)</f>
        <v>271142.85714285716</v>
      </c>
      <c r="F16222" s="51">
        <f>VLOOKUP(A16222,'Componentes APUs'!$H$1:$L$25,5,0)</f>
        <v>162685.71428571429</v>
      </c>
      <c r="G16222" s="51">
        <f>ROUNDUP((E16222+F16222)*C16222/E16207,0)</f>
        <v>3099</v>
      </c>
    </row>
    <row r="16223" spans="1:7" x14ac:dyDescent="0.25">
      <c r="A16223" s="50" t="s">
        <v>320</v>
      </c>
      <c r="B16223" s="68" t="str">
        <f>VLOOKUP(A16223,'Componentes APUs'!$H$1:$L$25,2,0)</f>
        <v>Tecnico Supervisor</v>
      </c>
      <c r="C16223" s="93">
        <v>0.25</v>
      </c>
      <c r="D16223" s="50">
        <f>VLOOKUP(A16223,'Componentes APUs'!$H$1:$L$25,3,0)</f>
        <v>2.2999999999999998</v>
      </c>
      <c r="E16223" s="51">
        <f>VLOOKUP(A16223,'Componentes APUs'!$H$1:$L$25,4,0)</f>
        <v>155907.14285714284</v>
      </c>
      <c r="F16223" s="51">
        <f>VLOOKUP(A16223,'Componentes APUs'!$H$1:$L$25,5,0)</f>
        <v>93544.285714285696</v>
      </c>
      <c r="G16223" s="51">
        <f>ROUNDUP((E16223+F16223)*C16223/E16207,0)</f>
        <v>1782</v>
      </c>
    </row>
    <row r="16224" spans="1:7" x14ac:dyDescent="0.25">
      <c r="A16224" s="50" t="s">
        <v>1160</v>
      </c>
      <c r="B16224" s="68" t="str">
        <f>VLOOKUP(A16224,'Componentes APUs'!$H$1:$L$25,2,0)</f>
        <v>Oficial Eléctrico</v>
      </c>
      <c r="C16224" s="93">
        <v>0</v>
      </c>
      <c r="D16224" s="50">
        <f>VLOOKUP(A16224,'Componentes APUs'!$H$1:$L$25,3,0)</f>
        <v>2</v>
      </c>
      <c r="E16224" s="51">
        <f>VLOOKUP(A16224,'Componentes APUs'!$H$1:$L$25,4,0)</f>
        <v>154619.04761904763</v>
      </c>
      <c r="F16224" s="51">
        <f>VLOOKUP(A16224,'Componentes APUs'!$H$1:$L$25,5,0)</f>
        <v>92771.42857142858</v>
      </c>
      <c r="G16224" s="51">
        <f>ROUNDUP((E16224+F16224)*C16224/E16207,0)</f>
        <v>0</v>
      </c>
    </row>
    <row r="16225" spans="1:7" x14ac:dyDescent="0.25">
      <c r="A16225" s="50" t="s">
        <v>48</v>
      </c>
      <c r="B16225" s="68" t="str">
        <f>VLOOKUP(A16225,'Componentes APUs'!$H$1:$L$25,2,0)</f>
        <v>Ayudante Calificado</v>
      </c>
      <c r="C16225" s="93">
        <v>0</v>
      </c>
      <c r="D16225" s="50">
        <f>VLOOKUP(A16225,'Componentes APUs'!$H$1:$L$25,3,0)</f>
        <v>1.5</v>
      </c>
      <c r="E16225" s="51">
        <f>VLOOKUP(A16225,'Componentes APUs'!$H$1:$L$25,4,0)</f>
        <v>115964.28571428571</v>
      </c>
      <c r="F16225" s="51">
        <f>VLOOKUP(A16225,'Componentes APUs'!$H$1:$L$25,5,0)</f>
        <v>69578.57142857142</v>
      </c>
      <c r="G16225" s="51">
        <f>ROUNDUP((E16225+F16225)*C16225/E16207,0)</f>
        <v>0</v>
      </c>
    </row>
    <row r="16226" spans="1:7" x14ac:dyDescent="0.25">
      <c r="A16226" s="50" t="s">
        <v>50</v>
      </c>
      <c r="B16226" s="68" t="str">
        <f>VLOOKUP(A16226,'Componentes APUs'!$H$1:$L$25,2,0)</f>
        <v>Profesional en SST</v>
      </c>
      <c r="C16226" s="93">
        <v>0.25</v>
      </c>
      <c r="D16226" s="50">
        <f>VLOOKUP(A16226,'Componentes APUs'!$H$1:$L$25,3,0)</f>
        <v>2.5</v>
      </c>
      <c r="E16226" s="51">
        <f>VLOOKUP(A16226,'Componentes APUs'!$H$1:$L$25,4,0)</f>
        <v>169464.28571428571</v>
      </c>
      <c r="F16226" s="51">
        <f>VLOOKUP(A16226,'Componentes APUs'!$H$1:$L$25,5,0)</f>
        <v>101678.57142857142</v>
      </c>
      <c r="G16226" s="51">
        <f>ROUNDUP((E16226+F16226)*C16226/E16207,0)</f>
        <v>1937</v>
      </c>
    </row>
    <row r="16227" spans="1:7" x14ac:dyDescent="0.25">
      <c r="A16227" s="50" t="s">
        <v>1122</v>
      </c>
      <c r="B16227" s="68" t="str">
        <f>VLOOKUP(A16227,'Componentes APUs'!$H$1:$L$25,2,0)</f>
        <v>Técnico calificado para Comunicaciones</v>
      </c>
      <c r="C16227" s="93">
        <v>1</v>
      </c>
      <c r="D16227" s="50">
        <f>VLOOKUP(A16227,'Componentes APUs'!$H$1:$L$25,3,0)</f>
        <v>3</v>
      </c>
      <c r="E16227" s="51">
        <f>VLOOKUP(A16227,'Componentes APUs'!$H$1:$L$25,4,0)</f>
        <v>203357.14285714287</v>
      </c>
      <c r="F16227" s="51">
        <f>VLOOKUP(A16227,'Componentes APUs'!$H$1:$L$25,5,0)</f>
        <v>122014.28571428571</v>
      </c>
      <c r="G16227" s="51">
        <f>ROUNDUP((E16227+F16227)*C16227/E16207,0)</f>
        <v>9297</v>
      </c>
    </row>
    <row r="16228" spans="1:7" x14ac:dyDescent="0.25">
      <c r="A16228" s="219" t="s">
        <v>56</v>
      </c>
      <c r="B16228" s="219"/>
      <c r="C16228" s="219"/>
      <c r="D16228" s="219"/>
      <c r="E16228" s="219"/>
      <c r="F16228" s="219"/>
      <c r="G16228" s="52">
        <f>SUM(G16222:G16227)</f>
        <v>16115</v>
      </c>
    </row>
    <row r="16229" spans="1:7" x14ac:dyDescent="0.25">
      <c r="A16229" s="56"/>
      <c r="B16229" s="57"/>
      <c r="C16229" s="57"/>
      <c r="D16229" s="57"/>
      <c r="E16229" s="57"/>
      <c r="F16229" s="57"/>
      <c r="G16229" s="58"/>
    </row>
    <row r="16230" spans="1:7" x14ac:dyDescent="0.25">
      <c r="A16230" s="219" t="s">
        <v>57</v>
      </c>
      <c r="B16230" s="219"/>
      <c r="C16230" s="219"/>
      <c r="D16230" s="219"/>
      <c r="E16230" s="219"/>
      <c r="F16230" s="219"/>
      <c r="G16230" s="219"/>
    </row>
    <row r="16231" spans="1:7" x14ac:dyDescent="0.25">
      <c r="A16231" s="49" t="s">
        <v>35</v>
      </c>
      <c r="B16231" s="219" t="s">
        <v>36</v>
      </c>
      <c r="C16231" s="219"/>
      <c r="D16231" s="49" t="s">
        <v>37</v>
      </c>
      <c r="E16231" s="49" t="s">
        <v>38</v>
      </c>
      <c r="F16231" s="49" t="s">
        <v>39</v>
      </c>
      <c r="G16231" s="49" t="s">
        <v>40</v>
      </c>
    </row>
    <row r="16232" spans="1:7" x14ac:dyDescent="0.25">
      <c r="A16232" s="50" t="s">
        <v>326</v>
      </c>
      <c r="B16232" s="220" t="str">
        <f>VLOOKUP(A16232,'Componentes APUs'!$S$1:$V$10,2,0)</f>
        <v>Juego Llaves</v>
      </c>
      <c r="C16232" s="220"/>
      <c r="D16232" s="50" t="s">
        <v>18</v>
      </c>
      <c r="E16232" s="50">
        <v>2</v>
      </c>
      <c r="F16232" s="51">
        <f>VLOOKUP(A16232,'Componentes APUs'!$S$1:$V$10,4,0)</f>
        <v>9167</v>
      </c>
      <c r="G16232" s="51">
        <f>ROUNDUP(F16232*((E16232/21)/E16207),0)</f>
        <v>25</v>
      </c>
    </row>
    <row r="16233" spans="1:7" x14ac:dyDescent="0.25">
      <c r="A16233" s="50" t="s">
        <v>58</v>
      </c>
      <c r="B16233" s="220" t="str">
        <f>VLOOKUP(A16233,'Componentes APUs'!$S$1:$V$10,2,0)</f>
        <v>Manila de servicio</v>
      </c>
      <c r="C16233" s="220"/>
      <c r="D16233" s="50" t="s">
        <v>18</v>
      </c>
      <c r="E16233" s="50">
        <v>0</v>
      </c>
      <c r="F16233" s="51">
        <f>VLOOKUP(A16233,'Componentes APUs'!$S$1:$V$10,4,0)</f>
        <v>2333</v>
      </c>
      <c r="G16233" s="51">
        <f>ROUNDUP(F16233*((E16233/21)/E16207),0)</f>
        <v>0</v>
      </c>
    </row>
    <row r="16234" spans="1:7" x14ac:dyDescent="0.25">
      <c r="A16234" s="50" t="s">
        <v>327</v>
      </c>
      <c r="B16234" s="220" t="str">
        <f>VLOOKUP(A16234,'Componentes APUs'!$S$1:$V$10,2,0)</f>
        <v>Tula portaherramientas</v>
      </c>
      <c r="C16234" s="220"/>
      <c r="D16234" s="50" t="s">
        <v>18</v>
      </c>
      <c r="E16234" s="50">
        <v>2</v>
      </c>
      <c r="F16234" s="51">
        <f>VLOOKUP(A16234,'Componentes APUs'!$S$1:$V$10,4,0)</f>
        <v>1250</v>
      </c>
      <c r="G16234" s="51">
        <f>ROUNDUP(F16234*((E16234/21)/E16207),0)</f>
        <v>4</v>
      </c>
    </row>
    <row r="16235" spans="1:7" x14ac:dyDescent="0.25">
      <c r="A16235" s="50" t="s">
        <v>60</v>
      </c>
      <c r="B16235" s="220" t="str">
        <f>VLOOKUP(A16235,'Componentes APUs'!$S$1:$V$10,2,0)</f>
        <v>Agarradoras</v>
      </c>
      <c r="C16235" s="220"/>
      <c r="D16235" s="50" t="s">
        <v>18</v>
      </c>
      <c r="E16235" s="50">
        <v>0</v>
      </c>
      <c r="F16235" s="51">
        <f>VLOOKUP(A16235,'Componentes APUs'!$S$1:$V$10,4,0)</f>
        <v>125000</v>
      </c>
      <c r="G16235" s="51">
        <f>ROUNDUP(F16235*((E16235/21)/E16207),0)</f>
        <v>0</v>
      </c>
    </row>
    <row r="16236" spans="1:7" x14ac:dyDescent="0.25">
      <c r="A16236" s="50" t="s">
        <v>62</v>
      </c>
      <c r="B16236" s="220" t="str">
        <f>VLOOKUP(A16236,'Componentes APUs'!$S$1:$V$10,2,0)</f>
        <v>Templadoras</v>
      </c>
      <c r="C16236" s="220"/>
      <c r="D16236" s="50" t="s">
        <v>18</v>
      </c>
      <c r="E16236" s="50">
        <v>0</v>
      </c>
      <c r="F16236" s="51">
        <f>VLOOKUP(A16236,'Componentes APUs'!$S$1:$V$10,4,0)</f>
        <v>250000</v>
      </c>
      <c r="G16236" s="51">
        <f>ROUNDUP(F16236*((E16236/21)/E16207),0)</f>
        <v>0</v>
      </c>
    </row>
    <row r="16237" spans="1:7" x14ac:dyDescent="0.25">
      <c r="A16237" s="50" t="s">
        <v>328</v>
      </c>
      <c r="B16237" s="220" t="str">
        <f>VLOOKUP(A16237,'Componentes APUs'!$S$1:$V$10,2,0)</f>
        <v>Herramienta Menor</v>
      </c>
      <c r="C16237" s="220"/>
      <c r="D16237" s="50" t="s">
        <v>18</v>
      </c>
      <c r="E16237" s="50">
        <v>2</v>
      </c>
      <c r="F16237" s="51">
        <f>VLOOKUP(A16237,'Componentes APUs'!$S$1:$V$10,4,0)</f>
        <v>75758</v>
      </c>
      <c r="G16237" s="51">
        <f>ROUNDUP(F16237*((E16237/21)/E16207),0)</f>
        <v>207</v>
      </c>
    </row>
    <row r="16238" spans="1:7" x14ac:dyDescent="0.25">
      <c r="A16238" s="219" t="s">
        <v>69</v>
      </c>
      <c r="B16238" s="219"/>
      <c r="C16238" s="219"/>
      <c r="D16238" s="219"/>
      <c r="E16238" s="219"/>
      <c r="F16238" s="219"/>
      <c r="G16238" s="52">
        <f>SUM(G16232:G16237)</f>
        <v>236</v>
      </c>
    </row>
    <row r="16239" spans="1:7" x14ac:dyDescent="0.25">
      <c r="A16239" s="56"/>
      <c r="B16239" s="57"/>
      <c r="C16239" s="57"/>
      <c r="D16239" s="57"/>
      <c r="E16239" s="57"/>
      <c r="F16239" s="57"/>
      <c r="G16239" s="58"/>
    </row>
    <row r="16240" spans="1:7" x14ac:dyDescent="0.25">
      <c r="A16240" s="219" t="s">
        <v>70</v>
      </c>
      <c r="B16240" s="219"/>
      <c r="C16240" s="219"/>
      <c r="D16240" s="219"/>
      <c r="E16240" s="219"/>
      <c r="F16240" s="219"/>
      <c r="G16240" s="219"/>
    </row>
    <row r="16241" spans="1:7" x14ac:dyDescent="0.25">
      <c r="A16241" s="49" t="s">
        <v>35</v>
      </c>
      <c r="B16241" s="219" t="s">
        <v>36</v>
      </c>
      <c r="C16241" s="219"/>
      <c r="D16241" s="49" t="s">
        <v>37</v>
      </c>
      <c r="E16241" s="49" t="s">
        <v>38</v>
      </c>
      <c r="F16241" s="49" t="s">
        <v>39</v>
      </c>
      <c r="G16241" s="49" t="s">
        <v>40</v>
      </c>
    </row>
    <row r="16242" spans="1:7" x14ac:dyDescent="0.25">
      <c r="A16242" s="50" t="s">
        <v>71</v>
      </c>
      <c r="B16242" s="71" t="str">
        <f>VLOOKUP(A16242,'Componentes APUs'!$A$1:$D$14,2,0)</f>
        <v>Camisa indigo sin partes metalicas</v>
      </c>
      <c r="C16242" s="71"/>
      <c r="D16242" s="50" t="str">
        <f>VLOOKUP(A16242,'Componentes APUs'!$A$1:$D$14,3,0)</f>
        <v>U</v>
      </c>
      <c r="E16242" s="50">
        <f>SUM(C16222:C16227)</f>
        <v>1.75</v>
      </c>
      <c r="F16242" s="51">
        <f>VLOOKUP(A16242,'Componentes APUs'!$A$1:$D$14,4,0)</f>
        <v>8585.8585858585866</v>
      </c>
      <c r="G16242" s="51">
        <f>ROUNDUP(F16242*(E16242/21)/E16207,0)</f>
        <v>21</v>
      </c>
    </row>
    <row r="16243" spans="1:7" x14ac:dyDescent="0.25">
      <c r="A16243" s="69" t="s">
        <v>73</v>
      </c>
      <c r="B16243" s="72" t="str">
        <f>VLOOKUP(A16243,'Componentes APUs'!$A$1:$D$14,2,0)</f>
        <v>Bota de seguridad dielectrica</v>
      </c>
      <c r="C16243" s="73"/>
      <c r="D16243" s="70" t="str">
        <f>VLOOKUP(A16243,'Componentes APUs'!$A$1:$D$14,3,0)</f>
        <v>Par</v>
      </c>
      <c r="E16243" s="50">
        <f>SUM(C16222:C16227)</f>
        <v>1.75</v>
      </c>
      <c r="F16243" s="51">
        <f>VLOOKUP(A16243,'Componentes APUs'!$A$1:$D$14,4,0)</f>
        <v>7500</v>
      </c>
      <c r="G16243" s="51">
        <f>ROUNDUP(F16243*(E16243/21)/E16207,0)</f>
        <v>18</v>
      </c>
    </row>
    <row r="16244" spans="1:7" x14ac:dyDescent="0.25">
      <c r="A16244" s="50" t="s">
        <v>76</v>
      </c>
      <c r="B16244" s="72" t="str">
        <f>VLOOKUP(A16244,'Componentes APUs'!$A$1:$D$14,2,0)</f>
        <v>Casco dielectrico Tipo 1 Clase E con barbuquejo</v>
      </c>
      <c r="C16244" s="73"/>
      <c r="D16244" s="50" t="str">
        <f>VLOOKUP(A16244,'Componentes APUs'!$A$1:$D$14,3,0)</f>
        <v>U</v>
      </c>
      <c r="E16244" s="50">
        <f>C16222+C16225+C16226+C16223+C16227+IF(A16224&lt;&gt;"MO-3",C16224,0)</f>
        <v>1.75</v>
      </c>
      <c r="F16244" s="51">
        <f>VLOOKUP(A16244,'Componentes APUs'!$A$1:$D$14,4,0)</f>
        <v>10101.010101010101</v>
      </c>
      <c r="G16244" s="51">
        <f>ROUNDUP(F16244*(E16244/21)/E16207,0)</f>
        <v>25</v>
      </c>
    </row>
    <row r="16245" spans="1:7" x14ac:dyDescent="0.25">
      <c r="A16245" s="69" t="s">
        <v>77</v>
      </c>
      <c r="B16245" s="72" t="str">
        <f>VLOOKUP(A16245,'Componentes APUs'!$A$1:$D$14,2,0)</f>
        <v>Correa plastica y antiflama</v>
      </c>
      <c r="C16245" s="73"/>
      <c r="D16245" s="50" t="str">
        <f>VLOOKUP(A16245,'Componentes APUs'!$A$1:$D$14,3,0)</f>
        <v>U</v>
      </c>
      <c r="E16245" s="50">
        <f>SUM(C16222:C16227)</f>
        <v>1.75</v>
      </c>
      <c r="F16245" s="51">
        <f>VLOOKUP(A16245,'Componentes APUs'!$A$1:$D$14,4,0)</f>
        <v>3787.878787878788</v>
      </c>
      <c r="G16245" s="51">
        <f>ROUNDUP(F16245*(E16245/21)/E16207,0)</f>
        <v>10</v>
      </c>
    </row>
    <row r="16246" spans="1:7" x14ac:dyDescent="0.25">
      <c r="A16246" s="50" t="s">
        <v>79</v>
      </c>
      <c r="B16246" s="72" t="str">
        <f>VLOOKUP(A16246,'Componentes APUs'!$A$1:$D$14,2,0)</f>
        <v>Gafas protectoras filtro UV</v>
      </c>
      <c r="C16246" s="73"/>
      <c r="D16246" s="50" t="str">
        <f>VLOOKUP(A16246,'Componentes APUs'!$A$1:$D$14,3,0)</f>
        <v>U</v>
      </c>
      <c r="E16246" s="50">
        <f>SUM(C16222:C16227)</f>
        <v>1.75</v>
      </c>
      <c r="F16246" s="51">
        <f>VLOOKUP(A16246,'Componentes APUs'!$A$1:$D$14,4,0)</f>
        <v>2777.7777777777778</v>
      </c>
      <c r="G16246" s="51">
        <f>ROUNDUP(F16246*(E16246/21)/E16207,0)</f>
        <v>7</v>
      </c>
    </row>
    <row r="16247" spans="1:7" x14ac:dyDescent="0.25">
      <c r="A16247" s="69" t="s">
        <v>402</v>
      </c>
      <c r="B16247" s="72" t="str">
        <f>VLOOKUP(A16247,'Componentes APUs'!$A$1:$D$14,2,0)</f>
        <v>Bota de seguridad PVC dielectrica</v>
      </c>
      <c r="C16247" s="73"/>
      <c r="D16247" s="50" t="str">
        <f>VLOOKUP(A16247,'Componentes APUs'!$A$1:$D$14,3,0)</f>
        <v>Par</v>
      </c>
      <c r="E16247" s="50">
        <f>SUM(C16222:C16227)</f>
        <v>1.75</v>
      </c>
      <c r="F16247" s="51">
        <f>VLOOKUP(A16247,'Componentes APUs'!$A$1:$D$14,4,0)</f>
        <v>2916.6666666666665</v>
      </c>
      <c r="G16247" s="51">
        <f>ROUNDUP(F16247*(E16247/21)/E16207,0)</f>
        <v>7</v>
      </c>
    </row>
    <row r="16248" spans="1:7" x14ac:dyDescent="0.25">
      <c r="A16248" s="50" t="s">
        <v>403</v>
      </c>
      <c r="B16248" s="72" t="str">
        <f>VLOOKUP(A16248,'Componentes APUs'!$A$1:$D$14,2,0)</f>
        <v>Capuchon</v>
      </c>
      <c r="C16248" s="73"/>
      <c r="D16248" s="50" t="str">
        <f>VLOOKUP(A16248,'Componentes APUs'!$A$1:$D$14,3,0)</f>
        <v>U</v>
      </c>
      <c r="E16248" s="50">
        <f>SUM(C16222:C16227)</f>
        <v>1.75</v>
      </c>
      <c r="F16248" s="51">
        <f>VLOOKUP(A16248,'Componentes APUs'!$A$1:$D$14,4,0)</f>
        <v>2525.2525252525252</v>
      </c>
      <c r="G16248" s="51">
        <f>ROUNDUP(F16248*(E16248/21)/E16207,0)</f>
        <v>7</v>
      </c>
    </row>
    <row r="16249" spans="1:7" x14ac:dyDescent="0.25">
      <c r="A16249" s="69" t="s">
        <v>81</v>
      </c>
      <c r="B16249" s="72" t="str">
        <f>VLOOKUP(A16249,'Componentes APUs'!$A$1:$D$14,2,0)</f>
        <v>Guantes Protectores  - ingeniero reforzados</v>
      </c>
      <c r="C16249" s="73"/>
      <c r="D16249" s="50" t="str">
        <f>VLOOKUP(A16249,'Componentes APUs'!$A$1:$D$14,3,0)</f>
        <v>Par</v>
      </c>
      <c r="E16249" s="50">
        <f>C16224+C16225+C16227</f>
        <v>1</v>
      </c>
      <c r="F16249" s="51">
        <f>VLOOKUP(A16249,'Componentes APUs'!$A$1:$D$14,4,0)</f>
        <v>2525.2525252525252</v>
      </c>
      <c r="G16249" s="51">
        <f>ROUNDUP(F16249*(E16249/21)/E16207,0)</f>
        <v>4</v>
      </c>
    </row>
    <row r="16250" spans="1:7" x14ac:dyDescent="0.25">
      <c r="A16250" s="50" t="s">
        <v>83</v>
      </c>
      <c r="B16250" s="72" t="str">
        <f>VLOOKUP(A16250,'Componentes APUs'!$A$1:$D$14,2,0)</f>
        <v>Impermeable (pantalon camisa)</v>
      </c>
      <c r="C16250" s="73"/>
      <c r="D16250" s="50" t="str">
        <f>VLOOKUP(A16250,'Componentes APUs'!$A$1:$D$14,3,0)</f>
        <v>U</v>
      </c>
      <c r="E16250" s="50">
        <f>SUM(C16222:C16227)</f>
        <v>1.75</v>
      </c>
      <c r="F16250" s="51">
        <f>VLOOKUP(A16250,'Componentes APUs'!$A$1:$D$14,4,0)</f>
        <v>3750</v>
      </c>
      <c r="G16250" s="51">
        <f>ROUNDUP(F16250*(E16250/21)/E16207,0)</f>
        <v>9</v>
      </c>
    </row>
    <row r="16251" spans="1:7" x14ac:dyDescent="0.25">
      <c r="A16251" s="69" t="s">
        <v>85</v>
      </c>
      <c r="B16251" s="72" t="str">
        <f>VLOOKUP(A16251,'Componentes APUs'!$A$1:$D$14,2,0)</f>
        <v>Jean Dielectrico</v>
      </c>
      <c r="C16251" s="73"/>
      <c r="D16251" s="50" t="str">
        <f>VLOOKUP(A16251,'Componentes APUs'!$A$1:$D$14,3,0)</f>
        <v>U</v>
      </c>
      <c r="E16251" s="50">
        <f>SUM(C16222:C16227)</f>
        <v>1.75</v>
      </c>
      <c r="F16251" s="51">
        <f>VLOOKUP(A16251,'Componentes APUs'!$A$1:$D$14,4,0)</f>
        <v>7575.757575757576</v>
      </c>
      <c r="G16251" s="51">
        <f>ROUNDUP(F16251*(E16251/21)/E16207,0)</f>
        <v>19</v>
      </c>
    </row>
    <row r="16252" spans="1:7" x14ac:dyDescent="0.25">
      <c r="A16252" s="50" t="s">
        <v>87</v>
      </c>
      <c r="B16252" s="72" t="str">
        <f>VLOOKUP(A16252,'Componentes APUs'!$A$1:$D$14,2,0)</f>
        <v>Casco dielectrico Tipo 2 Clase E con barboquejo</v>
      </c>
      <c r="C16252" s="73"/>
      <c r="D16252" s="50" t="str">
        <f>VLOOKUP(A16252,'Componentes APUs'!$A$1:$D$14,3,0)</f>
        <v>U</v>
      </c>
      <c r="E16252" s="53">
        <f>IF(A16224="MO-3",C16224,0)</f>
        <v>0</v>
      </c>
      <c r="F16252" s="51">
        <f>VLOOKUP(A16252,'Componentes APUs'!$A$1:$D$14,4,0)</f>
        <v>7500</v>
      </c>
      <c r="G16252" s="51">
        <f>ROUNDUP(F16252*(E16252/21)/E16207,0)</f>
        <v>0</v>
      </c>
    </row>
    <row r="16253" spans="1:7" x14ac:dyDescent="0.25">
      <c r="A16253" s="69" t="s">
        <v>89</v>
      </c>
      <c r="B16253" s="72" t="str">
        <f>VLOOKUP(A16253,'Componentes APUs'!$A$1:$D$14,2,0)</f>
        <v>Kit de rescate para trabajo en alturas</v>
      </c>
      <c r="C16253" s="73"/>
      <c r="D16253" s="50" t="str">
        <f>VLOOKUP(A16253,'Componentes APUs'!$A$1:$D$14,3,0)</f>
        <v>U</v>
      </c>
      <c r="E16253" s="50">
        <f>IF(AND(A16224="MO-3",C16224=2),1,0)</f>
        <v>0</v>
      </c>
      <c r="F16253" s="51">
        <f>VLOOKUP(A16253,'Componentes APUs'!$A$1:$D$14,4,0)</f>
        <v>37500</v>
      </c>
      <c r="G16253" s="51">
        <f>ROUNDUP(F16253*(E16253/21)/E16207,0)</f>
        <v>0</v>
      </c>
    </row>
    <row r="16254" spans="1:7" x14ac:dyDescent="0.25">
      <c r="A16254" s="50" t="s">
        <v>91</v>
      </c>
      <c r="B16254" s="72" t="str">
        <f>VLOOKUP(A16254,'Componentes APUs'!$A$1:$D$14,2,0)</f>
        <v>Equipo completo para trabajo en alturas con pretales (Arnes dielectrico, 1 mosqueton de seguridad, tie off dielectrico, eslinga de posicionamiento, juego de pretales)</v>
      </c>
      <c r="C16254" s="73"/>
      <c r="D16254" s="50" t="str">
        <f>VLOOKUP(A16254,'Componentes APUs'!$A$1:$D$14,3,0)</f>
        <v>U</v>
      </c>
      <c r="E16254" s="50">
        <f>IF(A16223="MO-3",C16223,0)</f>
        <v>0</v>
      </c>
      <c r="F16254" s="51">
        <f>VLOOKUP(A16254,'Componentes APUs'!$A$1:$D$14,4,0)</f>
        <v>26041.666666666668</v>
      </c>
      <c r="G16254" s="51">
        <f>ROUNDUP(F16254*(E16254/21)/E16207,0)</f>
        <v>0</v>
      </c>
    </row>
    <row r="16255" spans="1:7" x14ac:dyDescent="0.25">
      <c r="A16255" s="219" t="s">
        <v>95</v>
      </c>
      <c r="B16255" s="219"/>
      <c r="C16255" s="219"/>
      <c r="D16255" s="219"/>
      <c r="E16255" s="219"/>
      <c r="F16255" s="219"/>
      <c r="G16255" s="52">
        <f>SUM(G16242:G16254)</f>
        <v>127</v>
      </c>
    </row>
    <row r="16256" spans="1:7" x14ac:dyDescent="0.25">
      <c r="A16256" s="56"/>
      <c r="B16256" s="57"/>
      <c r="C16256" s="57"/>
      <c r="D16256" s="57"/>
      <c r="E16256" s="57"/>
      <c r="F16256" s="57"/>
      <c r="G16256" s="58"/>
    </row>
    <row r="16257" spans="1:7" x14ac:dyDescent="0.25">
      <c r="A16257" s="219" t="s">
        <v>96</v>
      </c>
      <c r="B16257" s="219"/>
      <c r="C16257" s="219"/>
      <c r="D16257" s="219"/>
      <c r="E16257" s="219"/>
      <c r="F16257" s="219"/>
      <c r="G16257" s="219"/>
    </row>
    <row r="16258" spans="1:7" x14ac:dyDescent="0.25">
      <c r="A16258" s="49" t="s">
        <v>35</v>
      </c>
      <c r="B16258" s="225" t="s">
        <v>36</v>
      </c>
      <c r="C16258" s="225"/>
      <c r="D16258" s="49" t="s">
        <v>37</v>
      </c>
      <c r="E16258" s="49" t="s">
        <v>38</v>
      </c>
      <c r="F16258" s="49" t="s">
        <v>39</v>
      </c>
      <c r="G16258" s="49" t="s">
        <v>40</v>
      </c>
    </row>
    <row r="16259" spans="1:7" x14ac:dyDescent="0.25">
      <c r="A16259" s="69" t="s">
        <v>97</v>
      </c>
      <c r="B16259" s="72" t="str">
        <f>VLOOKUP(A16259,'Componentes APUs'!$N$1:$Q$30,2,0)</f>
        <v>Camioneta</v>
      </c>
      <c r="C16259" s="73"/>
      <c r="D16259" s="70" t="str">
        <f>VLOOKUP(A16259,'Componentes APUs'!$N$1:$Q$30,3,0)</f>
        <v>U</v>
      </c>
      <c r="E16259" s="50">
        <v>1</v>
      </c>
      <c r="F16259" s="51">
        <f>VLOOKUP(A16259,'Componentes APUs'!$N$1:$Q$30,4,0)</f>
        <v>5500000</v>
      </c>
      <c r="G16259" s="51">
        <f>IFERROR(ROUNDUP(F16259*(E16259/21)/E16207,0),0)</f>
        <v>7483</v>
      </c>
    </row>
    <row r="16260" spans="1:7" x14ac:dyDescent="0.25">
      <c r="A16260" s="50" t="s">
        <v>321</v>
      </c>
      <c r="B16260" s="72" t="str">
        <f>VLOOKUP(A16260,'Componentes APUs'!$N$1:$Q$30,2,0)</f>
        <v>Grúa Hidráulica</v>
      </c>
      <c r="C16260" s="73"/>
      <c r="D16260" s="70" t="str">
        <f>VLOOKUP(A16260,'Componentes APUs'!$N$1:$Q$30,3,0)</f>
        <v>U</v>
      </c>
      <c r="E16260" s="50">
        <v>0</v>
      </c>
      <c r="F16260" s="51">
        <f>VLOOKUP(A16260,'Componentes APUs'!$N$1:$Q$30,4,0)</f>
        <v>21000000</v>
      </c>
      <c r="G16260" s="51">
        <f>IFERROR(ROUNDUP(F16260*(E16260/21)/E16207,0),0)</f>
        <v>0</v>
      </c>
    </row>
    <row r="16261" spans="1:7" x14ac:dyDescent="0.25">
      <c r="A16261" s="69" t="s">
        <v>322</v>
      </c>
      <c r="B16261" s="72" t="str">
        <f>VLOOKUP(A16261,'Componentes APUs'!$N$1:$Q$30,2,0)</f>
        <v>Camabaja</v>
      </c>
      <c r="C16261" s="73"/>
      <c r="D16261" s="70" t="str">
        <f>VLOOKUP(A16261,'Componentes APUs'!$N$1:$Q$30,3,0)</f>
        <v>TON/KM</v>
      </c>
      <c r="E16261" s="50">
        <v>0</v>
      </c>
      <c r="F16261" s="51">
        <f>VLOOKUP(A16261,'Componentes APUs'!$N$1:$Q$30,4,0)</f>
        <v>611</v>
      </c>
      <c r="G16261" s="51">
        <f>IFERROR(ROUNDUP(F16261*(E16261/21)/E16207,0),0)</f>
        <v>0</v>
      </c>
    </row>
    <row r="16262" spans="1:7" x14ac:dyDescent="0.25">
      <c r="A16262" s="50" t="s">
        <v>323</v>
      </c>
      <c r="B16262" s="72" t="str">
        <f>VLOOKUP(A16262,'Componentes APUs'!$N$1:$Q$30,2,0)</f>
        <v>Volqueta</v>
      </c>
      <c r="C16262" s="73"/>
      <c r="D16262" s="70" t="str">
        <f>VLOOKUP(A16262,'Componentes APUs'!$N$1:$Q$30,3,0)</f>
        <v>U</v>
      </c>
      <c r="E16262" s="50">
        <v>0</v>
      </c>
      <c r="F16262" s="51">
        <f>VLOOKUP(A16262,'Componentes APUs'!$N$1:$Q$30,4,0)</f>
        <v>14828184</v>
      </c>
      <c r="G16262" s="51">
        <f>IFERROR(ROUNDUP(F16262*(E16262/21)/E16207,0),0)</f>
        <v>0</v>
      </c>
    </row>
    <row r="16263" spans="1:7" x14ac:dyDescent="0.25">
      <c r="A16263" s="69" t="s">
        <v>324</v>
      </c>
      <c r="B16263" s="72" t="str">
        <f>VLOOKUP(A16263,'Componentes APUs'!$N$1:$Q$30,2,0)</f>
        <v>Retroexcavadora</v>
      </c>
      <c r="C16263" s="73"/>
      <c r="D16263" s="70" t="str">
        <f>VLOOKUP(A16263,'Componentes APUs'!$N$1:$Q$30,3,0)</f>
        <v>U</v>
      </c>
      <c r="E16263" s="50">
        <v>0</v>
      </c>
      <c r="F16263" s="51">
        <f>VLOOKUP(A16263,'Componentes APUs'!$N$1:$Q$30,4,0)</f>
        <v>46030656</v>
      </c>
      <c r="G16263" s="51">
        <f>IFERROR(ROUNDUP(F16263*(E16263/21)/E16207,0),0)</f>
        <v>0</v>
      </c>
    </row>
    <row r="16264" spans="1:7" x14ac:dyDescent="0.25">
      <c r="A16264" s="219" t="s">
        <v>99</v>
      </c>
      <c r="B16264" s="219"/>
      <c r="C16264" s="219"/>
      <c r="D16264" s="219"/>
      <c r="E16264" s="219"/>
      <c r="F16264" s="219"/>
      <c r="G16264" s="52">
        <f>SUM(G16259:G16263)</f>
        <v>7483</v>
      </c>
    </row>
    <row r="16265" spans="1:7" x14ac:dyDescent="0.25">
      <c r="A16265" s="56"/>
      <c r="B16265" s="57"/>
      <c r="C16265" s="57"/>
      <c r="D16265" s="57"/>
      <c r="E16265" s="57"/>
      <c r="F16265" s="57"/>
      <c r="G16265" s="58"/>
    </row>
    <row r="16266" spans="1:7" x14ac:dyDescent="0.25">
      <c r="A16266" s="219" t="s">
        <v>1516</v>
      </c>
      <c r="B16266" s="219"/>
      <c r="C16266" s="219"/>
      <c r="D16266" s="219"/>
      <c r="E16266" s="219"/>
      <c r="F16266" s="219"/>
      <c r="G16266" s="52">
        <f>G16264+G16255+G16238+G16228+G16218</f>
        <v>29551</v>
      </c>
    </row>
    <row r="16267" spans="1:7" x14ac:dyDescent="0.25">
      <c r="A16267" s="59"/>
      <c r="B16267" s="60"/>
      <c r="C16267" s="60"/>
      <c r="D16267" s="60"/>
      <c r="E16267" s="57"/>
      <c r="F16267" s="57"/>
      <c r="G16267" s="58"/>
    </row>
    <row r="16268" spans="1:7" x14ac:dyDescent="0.25">
      <c r="A16268" s="64"/>
      <c r="D16268" s="55"/>
      <c r="E16268" s="49" t="s">
        <v>25</v>
      </c>
      <c r="F16268" s="54">
        <v>0.15</v>
      </c>
      <c r="G16268" s="51">
        <f>G16266*F16268</f>
        <v>4432.6499999999996</v>
      </c>
    </row>
    <row r="16269" spans="1:7" x14ac:dyDescent="0.25">
      <c r="A16269" s="64"/>
      <c r="D16269" s="55"/>
      <c r="E16269" s="49" t="s">
        <v>26</v>
      </c>
      <c r="F16269" s="54">
        <v>0.05</v>
      </c>
      <c r="G16269" s="51">
        <f>G16266*F16269</f>
        <v>1477.5500000000002</v>
      </c>
    </row>
    <row r="16270" spans="1:7" x14ac:dyDescent="0.25">
      <c r="A16270" s="61"/>
      <c r="B16270" s="65"/>
      <c r="C16270" s="65"/>
      <c r="D16270" s="62"/>
      <c r="E16270" s="49" t="s">
        <v>27</v>
      </c>
      <c r="F16270" s="54">
        <v>0.05</v>
      </c>
      <c r="G16270" s="51">
        <f>G16266*F16270</f>
        <v>1477.5500000000002</v>
      </c>
    </row>
    <row r="16271" spans="1:7" x14ac:dyDescent="0.25">
      <c r="A16271" s="61"/>
      <c r="B16271" s="62"/>
      <c r="C16271" s="62"/>
      <c r="D16271" s="62"/>
      <c r="E16271" s="62"/>
      <c r="F16271" s="62"/>
      <c r="G16271" s="63"/>
    </row>
    <row r="16272" spans="1:7" x14ac:dyDescent="0.25">
      <c r="A16272" s="219" t="s">
        <v>1517</v>
      </c>
      <c r="B16272" s="219"/>
      <c r="C16272" s="219"/>
      <c r="D16272" s="219"/>
      <c r="E16272" s="219"/>
      <c r="F16272" s="219"/>
      <c r="G16272" s="52">
        <f>G16266+G16268+G16269+G16270</f>
        <v>36938.750000000007</v>
      </c>
    </row>
    <row r="16273" spans="1:7" x14ac:dyDescent="0.25">
      <c r="A16273" s="59"/>
      <c r="B16273" s="60"/>
      <c r="C16273" s="60"/>
      <c r="D16273" s="60"/>
      <c r="E16273" s="57"/>
      <c r="F16273" s="57"/>
      <c r="G16273" s="58"/>
    </row>
    <row r="16274" spans="1:7" x14ac:dyDescent="0.25">
      <c r="A16274" s="64"/>
      <c r="D16274" s="55"/>
      <c r="E16274" s="49" t="s">
        <v>102</v>
      </c>
      <c r="F16274" s="49" t="s">
        <v>103</v>
      </c>
      <c r="G16274" s="51">
        <f>G16270*19%</f>
        <v>280.73450000000003</v>
      </c>
    </row>
    <row r="16275" spans="1:7" x14ac:dyDescent="0.25">
      <c r="A16275" s="61"/>
      <c r="B16275" s="62"/>
      <c r="C16275" s="62"/>
      <c r="D16275" s="62"/>
      <c r="E16275" s="57"/>
      <c r="F16275" s="57"/>
      <c r="G16275" s="58"/>
    </row>
    <row r="16276" spans="1:7" x14ac:dyDescent="0.25">
      <c r="A16276" s="219" t="s">
        <v>104</v>
      </c>
      <c r="B16276" s="219"/>
      <c r="C16276" s="219"/>
      <c r="D16276" s="219"/>
      <c r="E16276" s="219"/>
      <c r="F16276" s="219"/>
      <c r="G16276" s="52">
        <f>G16274+G16272</f>
        <v>37219.484500000006</v>
      </c>
    </row>
    <row r="16278" spans="1:7" x14ac:dyDescent="0.25">
      <c r="A16278" s="74" t="s">
        <v>29</v>
      </c>
      <c r="B16278" s="226" t="s">
        <v>30</v>
      </c>
      <c r="C16278" s="226"/>
      <c r="D16278" s="74" t="s">
        <v>31</v>
      </c>
      <c r="E16278" s="74" t="s">
        <v>32</v>
      </c>
      <c r="F16278" s="74" t="s">
        <v>189</v>
      </c>
      <c r="G16278" s="74" t="s">
        <v>33</v>
      </c>
    </row>
    <row r="16279" spans="1:7" ht="30" customHeight="1" x14ac:dyDescent="0.25">
      <c r="A16279" s="50" t="str">
        <f>Presupuesto!B317</f>
        <v>013_SC</v>
      </c>
      <c r="B16279" s="220" t="str">
        <f>Presupuesto!C317</f>
        <v>CAJAS PARA RED DE ALUMBRADO PÚBLICO 50x50 (NORMA EPM RS3-001)</v>
      </c>
      <c r="C16279" s="220"/>
      <c r="D16279" s="50" t="s">
        <v>8</v>
      </c>
      <c r="E16279" s="50">
        <v>3.5</v>
      </c>
      <c r="F16279" s="50"/>
      <c r="G16279" s="51">
        <f>G16346</f>
        <v>848138.48349999997</v>
      </c>
    </row>
    <row r="16280" spans="1:7" x14ac:dyDescent="0.25">
      <c r="A16280" s="219" t="s">
        <v>34</v>
      </c>
      <c r="B16280" s="219"/>
      <c r="C16280" s="219"/>
      <c r="D16280" s="219"/>
      <c r="E16280" s="219"/>
      <c r="F16280" s="219"/>
      <c r="G16280" s="219"/>
    </row>
    <row r="16281" spans="1:7" x14ac:dyDescent="0.25">
      <c r="A16281" s="49" t="s">
        <v>35</v>
      </c>
      <c r="B16281" s="219" t="s">
        <v>36</v>
      </c>
      <c r="C16281" s="219"/>
      <c r="D16281" s="49" t="s">
        <v>37</v>
      </c>
      <c r="E16281" s="49" t="s">
        <v>38</v>
      </c>
      <c r="F16281" s="49" t="s">
        <v>39</v>
      </c>
      <c r="G16281" s="49" t="s">
        <v>40</v>
      </c>
    </row>
    <row r="16282" spans="1:7" x14ac:dyDescent="0.25">
      <c r="A16282" s="17" t="str">
        <f>Material!A135</f>
        <v>MA-134</v>
      </c>
      <c r="B16282" s="72" t="str">
        <f>IFERROR(VLOOKUP(A16282,Material!$A:$H,2,0),"-")</f>
        <v>MARCO Y TAPA METÁLICOS EN ANGULO Y PLATINA DE 1 1/2 x 1/8 (0,40x0,40)</v>
      </c>
      <c r="C16282" s="73"/>
      <c r="D16282" s="50" t="str">
        <f>IFERROR(VLOOKUP(A16282,Material!$A:$H,4,0),"-")</f>
        <v>UN</v>
      </c>
      <c r="E16282" s="50">
        <v>1</v>
      </c>
      <c r="F16282" s="51">
        <f>IFERROR(VLOOKUP(A16282,Material!$A:$H,3,0),"-")</f>
        <v>260000</v>
      </c>
      <c r="G16282" s="51">
        <f>IFERROR(ROUNDUP(F16282*E16282,0),"-")</f>
        <v>260000</v>
      </c>
    </row>
    <row r="16283" spans="1:7" x14ac:dyDescent="0.25">
      <c r="A16283" s="17" t="str">
        <f>Material!A15</f>
        <v>MA-14</v>
      </c>
      <c r="B16283" s="72" t="str">
        <f>IFERROR(VLOOKUP(A16283,Material!$A:$H,2,0),"-")</f>
        <v>CONCRETO DE 3000 PSI</v>
      </c>
      <c r="C16283" s="76"/>
      <c r="D16283" s="50" t="str">
        <f>IFERROR(VLOOKUP(A16283,Material!$A:$H,4,0),"-")</f>
        <v>M3</v>
      </c>
      <c r="E16283" s="50">
        <f>0.5*0.5*0.1*6</f>
        <v>0.15000000000000002</v>
      </c>
      <c r="F16283" s="51">
        <f>IFERROR(VLOOKUP(A16283,Material!$A:$H,3,0),"-")</f>
        <v>620227.23330691375</v>
      </c>
      <c r="G16283" s="51">
        <f>IFERROR(ROUNDUP(F16283*E16283,0),"-")</f>
        <v>93035</v>
      </c>
    </row>
    <row r="16284" spans="1:7" x14ac:dyDescent="0.25">
      <c r="A16284" s="17" t="str">
        <f>Material!A218</f>
        <v>MA-217</v>
      </c>
      <c r="B16284" s="72" t="str">
        <f>IFERROR(VLOOKUP(A16284,Material!$A:$H,2,0),"-")</f>
        <v>FORMALETA EN MADERA CON TABLA DE 1"</v>
      </c>
      <c r="C16284" s="76"/>
      <c r="D16284" s="50" t="str">
        <f>IFERROR(VLOOKUP(A16284,Material!$A:$H,4,0),"-")</f>
        <v>M2</v>
      </c>
      <c r="E16284" s="50">
        <v>1.1200000000000001</v>
      </c>
      <c r="F16284" s="51">
        <f>IFERROR(VLOOKUP(A16284,Material!$A:$H,3,0),"-")</f>
        <v>24691.116165303549</v>
      </c>
      <c r="G16284" s="51">
        <f>IFERROR(ROUNDUP(F16284*E16284,0),"-")</f>
        <v>27655</v>
      </c>
    </row>
    <row r="16285" spans="1:7" x14ac:dyDescent="0.25">
      <c r="A16285" s="17" t="str">
        <f>Material!A18</f>
        <v>MA-17</v>
      </c>
      <c r="B16285" s="72" t="str">
        <f>IFERROR(VLOOKUP(A16285,Material!$A:$H,2,0),"-")</f>
        <v>EXCAVACIÓN EN MATERIAL COMÚN BAJO AGUA DE 0 - 2 M MANUAL</v>
      </c>
      <c r="C16285" s="76"/>
      <c r="D16285" s="50" t="str">
        <f>IFERROR(VLOOKUP(A16285,Material!$A:$H,4,0),"-")</f>
        <v>M3</v>
      </c>
      <c r="E16285" s="50">
        <f>0.6*0.6*0.6</f>
        <v>0.216</v>
      </c>
      <c r="F16285" s="51">
        <f>IFERROR(VLOOKUP(A16285,Material!$A:$H,3,0),"-")</f>
        <v>45663.8</v>
      </c>
      <c r="G16285" s="51">
        <f>IFERROR(ROUNDUP(F16285*E16285,0),"-")</f>
        <v>9864</v>
      </c>
    </row>
    <row r="16286" spans="1:7" x14ac:dyDescent="0.25">
      <c r="A16286" s="17" t="str">
        <f>Material!A14</f>
        <v>MA-13</v>
      </c>
      <c r="B16286" s="72" t="str">
        <f>IFERROR(VLOOKUP(A16286,Material!$A:$H,2,0),"-")</f>
        <v>MALLA ELECTROSOLDADA 4 mm</v>
      </c>
      <c r="C16286" s="76"/>
      <c r="D16286" s="50" t="str">
        <f>IFERROR(VLOOKUP(A16286,Material!$A:$H,4,0),"-")</f>
        <v>M2</v>
      </c>
      <c r="E16286" s="50">
        <f>E16284</f>
        <v>1.1200000000000001</v>
      </c>
      <c r="F16286" s="51">
        <f>IFERROR(VLOOKUP(A16286,Material!$A:$H,3,0),"-")</f>
        <v>8577</v>
      </c>
      <c r="G16286" s="51">
        <f>IFERROR(ROUNDUP(F16286*E16286,0),"-")</f>
        <v>9607</v>
      </c>
    </row>
    <row r="16287" spans="1:7" x14ac:dyDescent="0.25">
      <c r="A16287" s="219" t="s">
        <v>41</v>
      </c>
      <c r="B16287" s="219"/>
      <c r="C16287" s="219"/>
      <c r="D16287" s="219"/>
      <c r="E16287" s="219"/>
      <c r="F16287" s="219"/>
      <c r="G16287" s="52">
        <f>SUM(G16282:G16286)</f>
        <v>400161</v>
      </c>
    </row>
    <row r="16288" spans="1:7" x14ac:dyDescent="0.25">
      <c r="A16288" s="56"/>
      <c r="B16288" s="57"/>
      <c r="C16288" s="57"/>
      <c r="D16288" s="57"/>
      <c r="E16288" s="57"/>
      <c r="F16288" s="57"/>
      <c r="G16288" s="58"/>
    </row>
    <row r="16289" spans="1:7" x14ac:dyDescent="0.25">
      <c r="A16289" s="219" t="s">
        <v>42</v>
      </c>
      <c r="B16289" s="219"/>
      <c r="C16289" s="219"/>
      <c r="D16289" s="219"/>
      <c r="E16289" s="219"/>
      <c r="F16289" s="219"/>
      <c r="G16289" s="219"/>
    </row>
    <row r="16290" spans="1:7" x14ac:dyDescent="0.25">
      <c r="A16290" s="49" t="s">
        <v>35</v>
      </c>
      <c r="B16290" s="49" t="s">
        <v>36</v>
      </c>
      <c r="C16290" s="49" t="s">
        <v>38</v>
      </c>
      <c r="D16290" s="49" t="s">
        <v>43</v>
      </c>
      <c r="E16290" s="49" t="s">
        <v>44</v>
      </c>
      <c r="F16290" s="49" t="s">
        <v>45</v>
      </c>
      <c r="G16290" s="49" t="s">
        <v>40</v>
      </c>
    </row>
    <row r="16291" spans="1:7" x14ac:dyDescent="0.25">
      <c r="A16291" s="50" t="s">
        <v>319</v>
      </c>
      <c r="B16291" s="68" t="str">
        <f>VLOOKUP(A16291,'Componentes APUs'!$H$1:$L$25,2,0)</f>
        <v>Ingeniero Residente de Obra</v>
      </c>
      <c r="C16291" s="93">
        <v>0.25</v>
      </c>
      <c r="D16291" s="50">
        <f>VLOOKUP(A16291,'Componentes APUs'!$H$1:$L$25,3,0)</f>
        <v>4</v>
      </c>
      <c r="E16291" s="51">
        <f>VLOOKUP(A16291,'Componentes APUs'!$H$1:$L$25,4,0)</f>
        <v>271142.85714285716</v>
      </c>
      <c r="F16291" s="51">
        <f>VLOOKUP(A16291,'Componentes APUs'!$H$1:$L$25,5,0)</f>
        <v>162685.71428571429</v>
      </c>
      <c r="G16291" s="51">
        <f>ROUNDUP((E16291+F16291)*C16291/E16279,0)</f>
        <v>30988</v>
      </c>
    </row>
    <row r="16292" spans="1:7" x14ac:dyDescent="0.25">
      <c r="A16292" s="50" t="s">
        <v>54</v>
      </c>
      <c r="B16292" s="68" t="str">
        <f>VLOOKUP(A16292,'Componentes APUs'!$H$1:$L$25,2,0)</f>
        <v>Maestro de obra civil</v>
      </c>
      <c r="C16292" s="93">
        <v>0.25</v>
      </c>
      <c r="D16292" s="50">
        <f>VLOOKUP(A16292,'Componentes APUs'!$H$1:$L$25,3,0)</f>
        <v>2.5</v>
      </c>
      <c r="E16292" s="51">
        <f>VLOOKUP(A16292,'Componentes APUs'!$H$1:$L$25,4,0)</f>
        <v>169464.28571428571</v>
      </c>
      <c r="F16292" s="51">
        <f>VLOOKUP(A16292,'Componentes APUs'!$H$1:$L$25,5,0)</f>
        <v>101678.57142857142</v>
      </c>
      <c r="G16292" s="51">
        <f>ROUNDUP((E16292+F16292)*C16292/E16279,0)</f>
        <v>19368</v>
      </c>
    </row>
    <row r="16293" spans="1:7" x14ac:dyDescent="0.25">
      <c r="A16293" s="50" t="s">
        <v>46</v>
      </c>
      <c r="B16293" s="68" t="str">
        <f>VLOOKUP(A16293,'Componentes APUs'!$H$1:$L$25,2,0)</f>
        <v>Tecnico Liniero</v>
      </c>
      <c r="C16293" s="93">
        <v>0</v>
      </c>
      <c r="D16293" s="50">
        <f>VLOOKUP(A16293,'Componentes APUs'!$H$1:$L$25,3,0)</f>
        <v>2</v>
      </c>
      <c r="E16293" s="51">
        <f>VLOOKUP(A16293,'Componentes APUs'!$H$1:$L$25,4,0)</f>
        <v>154619.04761904763</v>
      </c>
      <c r="F16293" s="51">
        <f>VLOOKUP(A16293,'Componentes APUs'!$H$1:$L$25,5,0)</f>
        <v>92771.42857142858</v>
      </c>
      <c r="G16293" s="51">
        <f>ROUNDUP((E16293+F16293)*C16293/E16279,0)</f>
        <v>0</v>
      </c>
    </row>
    <row r="16294" spans="1:7" x14ac:dyDescent="0.25">
      <c r="A16294" s="50" t="s">
        <v>48</v>
      </c>
      <c r="B16294" s="68" t="str">
        <f>VLOOKUP(A16294,'Componentes APUs'!$H$1:$L$25,2,0)</f>
        <v>Ayudante Calificado</v>
      </c>
      <c r="C16294" s="93">
        <v>0</v>
      </c>
      <c r="D16294" s="50">
        <f>VLOOKUP(A16294,'Componentes APUs'!$H$1:$L$25,3,0)</f>
        <v>1.5</v>
      </c>
      <c r="E16294" s="51">
        <f>VLOOKUP(A16294,'Componentes APUs'!$H$1:$L$25,4,0)</f>
        <v>115964.28571428571</v>
      </c>
      <c r="F16294" s="51">
        <f>VLOOKUP(A16294,'Componentes APUs'!$H$1:$L$25,5,0)</f>
        <v>69578.57142857142</v>
      </c>
      <c r="G16294" s="51">
        <f>ROUNDUP((E16294+F16294)*C16294/E16279,0)</f>
        <v>0</v>
      </c>
    </row>
    <row r="16295" spans="1:7" x14ac:dyDescent="0.25">
      <c r="A16295" s="50" t="s">
        <v>50</v>
      </c>
      <c r="B16295" s="68" t="str">
        <f>VLOOKUP(A16295,'Componentes APUs'!$H$1:$L$25,2,0)</f>
        <v>Profesional en SST</v>
      </c>
      <c r="C16295" s="93">
        <v>0.25</v>
      </c>
      <c r="D16295" s="50">
        <f>VLOOKUP(A16295,'Componentes APUs'!$H$1:$L$25,3,0)</f>
        <v>2.5</v>
      </c>
      <c r="E16295" s="51">
        <f>VLOOKUP(A16295,'Componentes APUs'!$H$1:$L$25,4,0)</f>
        <v>169464.28571428571</v>
      </c>
      <c r="F16295" s="51">
        <f>VLOOKUP(A16295,'Componentes APUs'!$H$1:$L$25,5,0)</f>
        <v>101678.57142857142</v>
      </c>
      <c r="G16295" s="51">
        <f>ROUNDUP((E16295+F16295)*C16295/E16279,0)</f>
        <v>19368</v>
      </c>
    </row>
    <row r="16296" spans="1:7" x14ac:dyDescent="0.25">
      <c r="A16296" s="50" t="s">
        <v>1109</v>
      </c>
      <c r="B16296" s="68" t="str">
        <f>VLOOKUP(A16296,'Componentes APUs'!$H$1:$L$25,2,0)</f>
        <v>Ayudante de Obra Civil</v>
      </c>
      <c r="C16296" s="93">
        <v>2</v>
      </c>
      <c r="D16296" s="50">
        <f>VLOOKUP(A16296,'Componentes APUs'!$H$1:$L$25,3,0)</f>
        <v>1</v>
      </c>
      <c r="E16296" s="51">
        <f>VLOOKUP(A16296,'Componentes APUs'!$H$1:$L$25,4,0)</f>
        <v>77309.523809523816</v>
      </c>
      <c r="F16296" s="51">
        <f>VLOOKUP(A16296,'Componentes APUs'!$H$1:$L$25,5,0)</f>
        <v>46385.71428571429</v>
      </c>
      <c r="G16296" s="51">
        <f>ROUNDUP((E16296+F16296)*C16296/E16279,0)</f>
        <v>70683</v>
      </c>
    </row>
    <row r="16297" spans="1:7" x14ac:dyDescent="0.25">
      <c r="A16297" s="50" t="s">
        <v>1110</v>
      </c>
      <c r="B16297" s="68" t="str">
        <f>VLOOKUP(A16297,'Componentes APUs'!$H$1:$L$25,2,0)</f>
        <v>Oficial de Obra Civil</v>
      </c>
      <c r="C16297" s="93">
        <v>1</v>
      </c>
      <c r="D16297" s="50">
        <f>VLOOKUP(A16297,'Componentes APUs'!$H$1:$L$25,3,0)</f>
        <v>1.5</v>
      </c>
      <c r="E16297" s="51">
        <f>VLOOKUP(A16297,'Componentes APUs'!$H$1:$L$25,4,0)</f>
        <v>115964.28571428571</v>
      </c>
      <c r="F16297" s="51">
        <f>VLOOKUP(A16297,'Componentes APUs'!$H$1:$L$25,5,0)</f>
        <v>69578.57142857142</v>
      </c>
      <c r="G16297" s="51">
        <f>ROUNDUP((E16297+F16297)*C16297/E16279,0)</f>
        <v>53013</v>
      </c>
    </row>
    <row r="16298" spans="1:7" x14ac:dyDescent="0.25">
      <c r="A16298" s="219" t="s">
        <v>56</v>
      </c>
      <c r="B16298" s="219"/>
      <c r="C16298" s="219"/>
      <c r="D16298" s="219"/>
      <c r="E16298" s="219"/>
      <c r="F16298" s="219"/>
      <c r="G16298" s="52">
        <f>SUM(G16291:G16297)</f>
        <v>193420</v>
      </c>
    </row>
    <row r="16299" spans="1:7" x14ac:dyDescent="0.25">
      <c r="A16299" s="56"/>
      <c r="B16299" s="57"/>
      <c r="C16299" s="57"/>
      <c r="D16299" s="57"/>
      <c r="E16299" s="57"/>
      <c r="F16299" s="57"/>
      <c r="G16299" s="58"/>
    </row>
    <row r="16300" spans="1:7" x14ac:dyDescent="0.25">
      <c r="A16300" s="219" t="s">
        <v>57</v>
      </c>
      <c r="B16300" s="219"/>
      <c r="C16300" s="219"/>
      <c r="D16300" s="219"/>
      <c r="E16300" s="219"/>
      <c r="F16300" s="219"/>
      <c r="G16300" s="219"/>
    </row>
    <row r="16301" spans="1:7" x14ac:dyDescent="0.25">
      <c r="A16301" s="49" t="s">
        <v>35</v>
      </c>
      <c r="B16301" s="219" t="s">
        <v>36</v>
      </c>
      <c r="C16301" s="219"/>
      <c r="D16301" s="49" t="s">
        <v>37</v>
      </c>
      <c r="E16301" s="49" t="s">
        <v>38</v>
      </c>
      <c r="F16301" s="49" t="s">
        <v>39</v>
      </c>
      <c r="G16301" s="49" t="s">
        <v>40</v>
      </c>
    </row>
    <row r="16302" spans="1:7" x14ac:dyDescent="0.25">
      <c r="A16302" s="50" t="s">
        <v>326</v>
      </c>
      <c r="B16302" s="220" t="str">
        <f>VLOOKUP(A16302,'Componentes APUs'!$S$1:$V$10,2,0)</f>
        <v>Juego Llaves</v>
      </c>
      <c r="C16302" s="220"/>
      <c r="D16302" s="50" t="s">
        <v>18</v>
      </c>
      <c r="E16302" s="50">
        <v>2</v>
      </c>
      <c r="F16302" s="51">
        <f>VLOOKUP(A16302,'Componentes APUs'!$S$1:$V$10,4,0)</f>
        <v>9167</v>
      </c>
      <c r="G16302" s="51">
        <f>ROUNDUP(F16302*((E16302/21)/E16279),0)</f>
        <v>250</v>
      </c>
    </row>
    <row r="16303" spans="1:7" x14ac:dyDescent="0.25">
      <c r="A16303" s="50" t="s">
        <v>58</v>
      </c>
      <c r="B16303" s="220" t="str">
        <f>VLOOKUP(A16303,'Componentes APUs'!$S$1:$V$10,2,0)</f>
        <v>Manila de servicio</v>
      </c>
      <c r="C16303" s="220"/>
      <c r="D16303" s="50" t="s">
        <v>18</v>
      </c>
      <c r="E16303" s="50">
        <v>0</v>
      </c>
      <c r="F16303" s="51">
        <f>VLOOKUP(A16303,'Componentes APUs'!$S$1:$V$10,4,0)</f>
        <v>2333</v>
      </c>
      <c r="G16303" s="51">
        <f>ROUNDUP(F16303*((E16303/21)/E16279),0)</f>
        <v>0</v>
      </c>
    </row>
    <row r="16304" spans="1:7" x14ac:dyDescent="0.25">
      <c r="A16304" s="50" t="s">
        <v>327</v>
      </c>
      <c r="B16304" s="220" t="str">
        <f>VLOOKUP(A16304,'Componentes APUs'!$S$1:$V$10,2,0)</f>
        <v>Tula portaherramientas</v>
      </c>
      <c r="C16304" s="220"/>
      <c r="D16304" s="50" t="s">
        <v>18</v>
      </c>
      <c r="E16304" s="50">
        <v>2</v>
      </c>
      <c r="F16304" s="51">
        <f>VLOOKUP(A16304,'Componentes APUs'!$S$1:$V$10,4,0)</f>
        <v>1250</v>
      </c>
      <c r="G16304" s="51">
        <f>ROUNDUP(F16304*((E16304/21)/E16279),0)</f>
        <v>35</v>
      </c>
    </row>
    <row r="16305" spans="1:7" x14ac:dyDescent="0.25">
      <c r="A16305" s="50" t="s">
        <v>60</v>
      </c>
      <c r="B16305" s="220" t="str">
        <f>VLOOKUP(A16305,'Componentes APUs'!$S$1:$V$10,2,0)</f>
        <v>Agarradoras</v>
      </c>
      <c r="C16305" s="220"/>
      <c r="D16305" s="50" t="s">
        <v>18</v>
      </c>
      <c r="E16305" s="50">
        <v>0</v>
      </c>
      <c r="F16305" s="51">
        <f>VLOOKUP(A16305,'Componentes APUs'!$S$1:$V$10,4,0)</f>
        <v>125000</v>
      </c>
      <c r="G16305" s="51">
        <f>ROUNDUP(F16305*((E16305/21)/E16279),0)</f>
        <v>0</v>
      </c>
    </row>
    <row r="16306" spans="1:7" x14ac:dyDescent="0.25">
      <c r="A16306" s="50" t="s">
        <v>62</v>
      </c>
      <c r="B16306" s="220" t="str">
        <f>VLOOKUP(A16306,'Componentes APUs'!$S$1:$V$10,2,0)</f>
        <v>Templadoras</v>
      </c>
      <c r="C16306" s="220"/>
      <c r="D16306" s="50" t="s">
        <v>18</v>
      </c>
      <c r="E16306" s="50">
        <v>0</v>
      </c>
      <c r="F16306" s="51">
        <f>VLOOKUP(A16306,'Componentes APUs'!$S$1:$V$10,4,0)</f>
        <v>250000</v>
      </c>
      <c r="G16306" s="51">
        <f>ROUNDUP(F16306*((E16306/21)/E16279),0)</f>
        <v>0</v>
      </c>
    </row>
    <row r="16307" spans="1:7" x14ac:dyDescent="0.25">
      <c r="A16307" s="50" t="s">
        <v>328</v>
      </c>
      <c r="B16307" s="220" t="str">
        <f>VLOOKUP(A16307,'Componentes APUs'!$S$1:$V$10,2,0)</f>
        <v>Herramienta Menor</v>
      </c>
      <c r="C16307" s="220"/>
      <c r="D16307" s="50" t="s">
        <v>18</v>
      </c>
      <c r="E16307" s="50">
        <v>2</v>
      </c>
      <c r="F16307" s="51">
        <f>VLOOKUP(A16307,'Componentes APUs'!$S$1:$V$10,4,0)</f>
        <v>75758</v>
      </c>
      <c r="G16307" s="51">
        <f>ROUNDUP(F16307*((E16307/21)/E16279),0)</f>
        <v>2062</v>
      </c>
    </row>
    <row r="16308" spans="1:7" x14ac:dyDescent="0.25">
      <c r="A16308" s="219" t="s">
        <v>69</v>
      </c>
      <c r="B16308" s="219"/>
      <c r="C16308" s="219"/>
      <c r="D16308" s="219"/>
      <c r="E16308" s="219"/>
      <c r="F16308" s="219"/>
      <c r="G16308" s="52">
        <f>SUM(G16302:G16307)</f>
        <v>2347</v>
      </c>
    </row>
    <row r="16309" spans="1:7" x14ac:dyDescent="0.25">
      <c r="A16309" s="56"/>
      <c r="B16309" s="57"/>
      <c r="C16309" s="57"/>
      <c r="D16309" s="57"/>
      <c r="E16309" s="57"/>
      <c r="F16309" s="57"/>
      <c r="G16309" s="58"/>
    </row>
    <row r="16310" spans="1:7" x14ac:dyDescent="0.25">
      <c r="A16310" s="219" t="s">
        <v>70</v>
      </c>
      <c r="B16310" s="219"/>
      <c r="C16310" s="219"/>
      <c r="D16310" s="219"/>
      <c r="E16310" s="219"/>
      <c r="F16310" s="219"/>
      <c r="G16310" s="219"/>
    </row>
    <row r="16311" spans="1:7" x14ac:dyDescent="0.25">
      <c r="A16311" s="49" t="s">
        <v>35</v>
      </c>
      <c r="B16311" s="219" t="s">
        <v>36</v>
      </c>
      <c r="C16311" s="219"/>
      <c r="D16311" s="49" t="s">
        <v>37</v>
      </c>
      <c r="E16311" s="49" t="s">
        <v>38</v>
      </c>
      <c r="F16311" s="49" t="s">
        <v>39</v>
      </c>
      <c r="G16311" s="49" t="s">
        <v>40</v>
      </c>
    </row>
    <row r="16312" spans="1:7" x14ac:dyDescent="0.25">
      <c r="A16312" s="50" t="s">
        <v>71</v>
      </c>
      <c r="B16312" s="71" t="str">
        <f>VLOOKUP(A16312,'Componentes APUs'!$A$1:$D$14,2,0)</f>
        <v>Camisa indigo sin partes metalicas</v>
      </c>
      <c r="C16312" s="71"/>
      <c r="D16312" s="50" t="str">
        <f>VLOOKUP(A16312,'Componentes APUs'!$A$1:$D$14,3,0)</f>
        <v>U</v>
      </c>
      <c r="E16312" s="50">
        <f>SUM(C16291:C16297)</f>
        <v>3.75</v>
      </c>
      <c r="F16312" s="51">
        <f>VLOOKUP(A16312,'Componentes APUs'!$A$1:$D$14,4,0)</f>
        <v>8585.8585858585866</v>
      </c>
      <c r="G16312" s="51">
        <f>ROUNDUP(F16312*(E16312/21)/E16279,0)</f>
        <v>439</v>
      </c>
    </row>
    <row r="16313" spans="1:7" x14ac:dyDescent="0.25">
      <c r="A16313" s="69" t="s">
        <v>73</v>
      </c>
      <c r="B16313" s="72" t="str">
        <f>VLOOKUP(A16313,'Componentes APUs'!$A$1:$D$14,2,0)</f>
        <v>Bota de seguridad dielectrica</v>
      </c>
      <c r="C16313" s="73"/>
      <c r="D16313" s="70" t="str">
        <f>VLOOKUP(A16313,'Componentes APUs'!$A$1:$D$14,3,0)</f>
        <v>Par</v>
      </c>
      <c r="E16313" s="50">
        <f>SUM(C16291:C16297)</f>
        <v>3.75</v>
      </c>
      <c r="F16313" s="51">
        <f>VLOOKUP(A16313,'Componentes APUs'!$A$1:$D$14,4,0)</f>
        <v>7500</v>
      </c>
      <c r="G16313" s="51">
        <f>ROUNDUP(F16313*(E16313/21)/E16279,0)</f>
        <v>383</v>
      </c>
    </row>
    <row r="16314" spans="1:7" x14ac:dyDescent="0.25">
      <c r="A16314" s="50" t="s">
        <v>76</v>
      </c>
      <c r="B16314" s="72" t="str">
        <f>VLOOKUP(A16314,'Componentes APUs'!$A$1:$D$14,2,0)</f>
        <v>Casco dielectrico Tipo 1 Clase E con barbuquejo</v>
      </c>
      <c r="C16314" s="73"/>
      <c r="D16314" s="50" t="str">
        <f>VLOOKUP(A16314,'Componentes APUs'!$A$1:$D$14,3,0)</f>
        <v>U</v>
      </c>
      <c r="E16314" s="50">
        <f>C16291+C16297+C16292+C16295+C16296+C16294+IF(A16293&lt;&gt;"MO-3",C16293,0)</f>
        <v>3.75</v>
      </c>
      <c r="F16314" s="51">
        <f>VLOOKUP(A16314,'Componentes APUs'!$A$1:$D$14,4,0)</f>
        <v>10101.010101010101</v>
      </c>
      <c r="G16314" s="51">
        <f>ROUNDUP(F16314*(E16314/21)/E16279,0)</f>
        <v>516</v>
      </c>
    </row>
    <row r="16315" spans="1:7" x14ac:dyDescent="0.25">
      <c r="A16315" s="69" t="s">
        <v>77</v>
      </c>
      <c r="B16315" s="72" t="str">
        <f>VLOOKUP(A16315,'Componentes APUs'!$A$1:$D$14,2,0)</f>
        <v>Correa plastica y antiflama</v>
      </c>
      <c r="C16315" s="73"/>
      <c r="D16315" s="50" t="str">
        <f>VLOOKUP(A16315,'Componentes APUs'!$A$1:$D$14,3,0)</f>
        <v>U</v>
      </c>
      <c r="E16315" s="50">
        <f>SUM(C16291:C16297)</f>
        <v>3.75</v>
      </c>
      <c r="F16315" s="51">
        <f>VLOOKUP(A16315,'Componentes APUs'!$A$1:$D$14,4,0)</f>
        <v>3787.878787878788</v>
      </c>
      <c r="G16315" s="51">
        <f>ROUNDUP(F16315*(E16315/21)/E16279,0)</f>
        <v>194</v>
      </c>
    </row>
    <row r="16316" spans="1:7" x14ac:dyDescent="0.25">
      <c r="A16316" s="50" t="s">
        <v>79</v>
      </c>
      <c r="B16316" s="72" t="str">
        <f>VLOOKUP(A16316,'Componentes APUs'!$A$1:$D$14,2,0)</f>
        <v>Gafas protectoras filtro UV</v>
      </c>
      <c r="C16316" s="73"/>
      <c r="D16316" s="50" t="str">
        <f>VLOOKUP(A16316,'Componentes APUs'!$A$1:$D$14,3,0)</f>
        <v>U</v>
      </c>
      <c r="E16316" s="50">
        <f>SUM(C16291:C16297)</f>
        <v>3.75</v>
      </c>
      <c r="F16316" s="51">
        <f>VLOOKUP(A16316,'Componentes APUs'!$A$1:$D$14,4,0)</f>
        <v>2777.7777777777778</v>
      </c>
      <c r="G16316" s="51">
        <f>ROUNDUP(F16316*(E16316/21)/E16279,0)</f>
        <v>142</v>
      </c>
    </row>
    <row r="16317" spans="1:7" x14ac:dyDescent="0.25">
      <c r="A16317" s="69" t="s">
        <v>402</v>
      </c>
      <c r="B16317" s="72" t="str">
        <f>VLOOKUP(A16317,'Componentes APUs'!$A$1:$D$14,2,0)</f>
        <v>Bota de seguridad PVC dielectrica</v>
      </c>
      <c r="C16317" s="73"/>
      <c r="D16317" s="50" t="str">
        <f>VLOOKUP(A16317,'Componentes APUs'!$A$1:$D$14,3,0)</f>
        <v>Par</v>
      </c>
      <c r="E16317" s="50">
        <f>SUM(C16291:C16297)</f>
        <v>3.75</v>
      </c>
      <c r="F16317" s="51">
        <f>VLOOKUP(A16317,'Componentes APUs'!$A$1:$D$14,4,0)</f>
        <v>2916.6666666666665</v>
      </c>
      <c r="G16317" s="51">
        <f>ROUNDUP(F16317*(E16317/21)/E16279,0)</f>
        <v>149</v>
      </c>
    </row>
    <row r="16318" spans="1:7" x14ac:dyDescent="0.25">
      <c r="A16318" s="50" t="s">
        <v>403</v>
      </c>
      <c r="B16318" s="72" t="str">
        <f>VLOOKUP(A16318,'Componentes APUs'!$A$1:$D$14,2,0)</f>
        <v>Capuchon</v>
      </c>
      <c r="C16318" s="73"/>
      <c r="D16318" s="50" t="str">
        <f>VLOOKUP(A16318,'Componentes APUs'!$A$1:$D$14,3,0)</f>
        <v>U</v>
      </c>
      <c r="E16318" s="50">
        <f>SUM(C16291:C16297)</f>
        <v>3.75</v>
      </c>
      <c r="F16318" s="51">
        <f>VLOOKUP(A16318,'Componentes APUs'!$A$1:$D$14,4,0)</f>
        <v>2525.2525252525252</v>
      </c>
      <c r="G16318" s="51">
        <f>ROUNDUP(F16318*(E16318/21)/E16279,0)</f>
        <v>129</v>
      </c>
    </row>
    <row r="16319" spans="1:7" x14ac:dyDescent="0.25">
      <c r="A16319" s="69" t="s">
        <v>81</v>
      </c>
      <c r="B16319" s="72" t="str">
        <f>VLOOKUP(A16319,'Componentes APUs'!$A$1:$D$14,2,0)</f>
        <v>Guantes Protectores  - ingeniero reforzados</v>
      </c>
      <c r="C16319" s="73"/>
      <c r="D16319" s="50" t="str">
        <f>VLOOKUP(A16319,'Componentes APUs'!$A$1:$D$14,3,0)</f>
        <v>Par</v>
      </c>
      <c r="E16319" s="50">
        <f>C16293+C16294+C16296+C16297</f>
        <v>3</v>
      </c>
      <c r="F16319" s="51">
        <f>VLOOKUP(A16319,'Componentes APUs'!$A$1:$D$14,4,0)</f>
        <v>2525.2525252525252</v>
      </c>
      <c r="G16319" s="51">
        <f>ROUNDUP(F16319*(E16319/21)/E16279,0)</f>
        <v>104</v>
      </c>
    </row>
    <row r="16320" spans="1:7" x14ac:dyDescent="0.25">
      <c r="A16320" s="50" t="s">
        <v>83</v>
      </c>
      <c r="B16320" s="72" t="str">
        <f>VLOOKUP(A16320,'Componentes APUs'!$A$1:$D$14,2,0)</f>
        <v>Impermeable (pantalon camisa)</v>
      </c>
      <c r="C16320" s="73"/>
      <c r="D16320" s="50" t="str">
        <f>VLOOKUP(A16320,'Componentes APUs'!$A$1:$D$14,3,0)</f>
        <v>U</v>
      </c>
      <c r="E16320" s="50">
        <f>SUM(C16291:C16297)</f>
        <v>3.75</v>
      </c>
      <c r="F16320" s="51">
        <f>VLOOKUP(A16320,'Componentes APUs'!$A$1:$D$14,4,0)</f>
        <v>3750</v>
      </c>
      <c r="G16320" s="51">
        <f>ROUNDUP(F16320*(E16320/21)/E16279,0)</f>
        <v>192</v>
      </c>
    </row>
    <row r="16321" spans="1:7" x14ac:dyDescent="0.25">
      <c r="A16321" s="69" t="s">
        <v>85</v>
      </c>
      <c r="B16321" s="72" t="str">
        <f>VLOOKUP(A16321,'Componentes APUs'!$A$1:$D$14,2,0)</f>
        <v>Jean Dielectrico</v>
      </c>
      <c r="C16321" s="73"/>
      <c r="D16321" s="50" t="str">
        <f>VLOOKUP(A16321,'Componentes APUs'!$A$1:$D$14,3,0)</f>
        <v>U</v>
      </c>
      <c r="E16321" s="50">
        <f>SUM(C16291:C16297)</f>
        <v>3.75</v>
      </c>
      <c r="F16321" s="51">
        <f>VLOOKUP(A16321,'Componentes APUs'!$A$1:$D$14,4,0)</f>
        <v>7575.757575757576</v>
      </c>
      <c r="G16321" s="51">
        <f>ROUNDUP(F16321*(E16321/21)/E16279,0)</f>
        <v>387</v>
      </c>
    </row>
    <row r="16322" spans="1:7" x14ac:dyDescent="0.25">
      <c r="A16322" s="50" t="s">
        <v>87</v>
      </c>
      <c r="B16322" s="72" t="str">
        <f>VLOOKUP(A16322,'Componentes APUs'!$A$1:$D$14,2,0)</f>
        <v>Casco dielectrico Tipo 2 Clase E con barboquejo</v>
      </c>
      <c r="C16322" s="73"/>
      <c r="D16322" s="50" t="str">
        <f>VLOOKUP(A16322,'Componentes APUs'!$A$1:$D$14,3,0)</f>
        <v>U</v>
      </c>
      <c r="E16322" s="53">
        <f>IF(A16293="MO-3",C16293,0)</f>
        <v>0</v>
      </c>
      <c r="F16322" s="51">
        <f>VLOOKUP(A16322,'Componentes APUs'!$A$1:$D$14,4,0)</f>
        <v>7500</v>
      </c>
      <c r="G16322" s="51">
        <f>ROUNDUP(F16322*(E16322/21)/E16279,0)</f>
        <v>0</v>
      </c>
    </row>
    <row r="16323" spans="1:7" x14ac:dyDescent="0.25">
      <c r="A16323" s="69" t="s">
        <v>89</v>
      </c>
      <c r="B16323" s="72" t="str">
        <f>VLOOKUP(A16323,'Componentes APUs'!$A$1:$D$14,2,0)</f>
        <v>Kit de rescate para trabajo en alturas</v>
      </c>
      <c r="C16323" s="73"/>
      <c r="D16323" s="50" t="str">
        <f>VLOOKUP(A16323,'Componentes APUs'!$A$1:$D$14,3,0)</f>
        <v>U</v>
      </c>
      <c r="E16323" s="50">
        <f>IF(AND(A16293="MO-3",C16293=2),1,0)</f>
        <v>0</v>
      </c>
      <c r="F16323" s="51">
        <f>VLOOKUP(A16323,'Componentes APUs'!$A$1:$D$14,4,0)</f>
        <v>37500</v>
      </c>
      <c r="G16323" s="51">
        <f>ROUNDUP(F16323*(E16323/21)/E16279,0)</f>
        <v>0</v>
      </c>
    </row>
    <row r="16324" spans="1:7" x14ac:dyDescent="0.25">
      <c r="A16324" s="50" t="s">
        <v>91</v>
      </c>
      <c r="B16324" s="72" t="str">
        <f>VLOOKUP(A16324,'Componentes APUs'!$A$1:$D$14,2,0)</f>
        <v>Equipo completo para trabajo en alturas con pretales (Arnes dielectrico, 1 mosqueton de seguridad, tie off dielectrico, eslinga de posicionamiento, juego de pretales)</v>
      </c>
      <c r="C16324" s="73"/>
      <c r="D16324" s="50" t="str">
        <f>VLOOKUP(A16324,'Componentes APUs'!$A$1:$D$14,3,0)</f>
        <v>U</v>
      </c>
      <c r="E16324" s="50">
        <f>IF(A16293="MO-3",C16293)</f>
        <v>0</v>
      </c>
      <c r="F16324" s="51">
        <f>VLOOKUP(A16324,'Componentes APUs'!$A$1:$D$14,4,0)</f>
        <v>26041.666666666668</v>
      </c>
      <c r="G16324" s="51">
        <f>ROUNDUP(F16324*(E16324/21)/E16279,0)</f>
        <v>0</v>
      </c>
    </row>
    <row r="16325" spans="1:7" x14ac:dyDescent="0.25">
      <c r="A16325" s="219" t="s">
        <v>95</v>
      </c>
      <c r="B16325" s="219"/>
      <c r="C16325" s="219"/>
      <c r="D16325" s="219"/>
      <c r="E16325" s="219"/>
      <c r="F16325" s="219"/>
      <c r="G16325" s="52">
        <f>SUM(G16312:G16324)</f>
        <v>2635</v>
      </c>
    </row>
    <row r="16326" spans="1:7" x14ac:dyDescent="0.25">
      <c r="A16326" s="56"/>
      <c r="B16326" s="57"/>
      <c r="C16326" s="57"/>
      <c r="D16326" s="57"/>
      <c r="E16326" s="57"/>
      <c r="F16326" s="57"/>
      <c r="G16326" s="58"/>
    </row>
    <row r="16327" spans="1:7" x14ac:dyDescent="0.25">
      <c r="A16327" s="219" t="s">
        <v>96</v>
      </c>
      <c r="B16327" s="219"/>
      <c r="C16327" s="219"/>
      <c r="D16327" s="219"/>
      <c r="E16327" s="219"/>
      <c r="F16327" s="219"/>
      <c r="G16327" s="219"/>
    </row>
    <row r="16328" spans="1:7" x14ac:dyDescent="0.25">
      <c r="A16328" s="49" t="s">
        <v>35</v>
      </c>
      <c r="B16328" s="225" t="s">
        <v>36</v>
      </c>
      <c r="C16328" s="225"/>
      <c r="D16328" s="49" t="s">
        <v>37</v>
      </c>
      <c r="E16328" s="49" t="s">
        <v>38</v>
      </c>
      <c r="F16328" s="49" t="s">
        <v>39</v>
      </c>
      <c r="G16328" s="49" t="s">
        <v>40</v>
      </c>
    </row>
    <row r="16329" spans="1:7" x14ac:dyDescent="0.25">
      <c r="A16329" s="69" t="s">
        <v>97</v>
      </c>
      <c r="B16329" s="72" t="str">
        <f>VLOOKUP(A16329,'Componentes APUs'!$N$1:$Q$30,2,0)</f>
        <v>Camioneta</v>
      </c>
      <c r="C16329" s="73"/>
      <c r="D16329" s="70" t="str">
        <f>VLOOKUP(A16329,'Componentes APUs'!$N$1:$Q$30,3,0)</f>
        <v>U</v>
      </c>
      <c r="E16329" s="50">
        <v>1</v>
      </c>
      <c r="F16329" s="51">
        <f>VLOOKUP(A16329,'Componentes APUs'!$N$1:$Q$30,4,0)</f>
        <v>5500000</v>
      </c>
      <c r="G16329" s="51">
        <f>IFERROR(ROUNDUP(F16329*(E16329/21)/E16279,0),0)</f>
        <v>74830</v>
      </c>
    </row>
    <row r="16330" spans="1:7" x14ac:dyDescent="0.25">
      <c r="A16330" s="50" t="s">
        <v>321</v>
      </c>
      <c r="B16330" s="72" t="str">
        <f>VLOOKUP(A16330,'Componentes APUs'!$N$1:$Q$30,2,0)</f>
        <v>Grúa Hidráulica</v>
      </c>
      <c r="C16330" s="73"/>
      <c r="D16330" s="70" t="str">
        <f>VLOOKUP(A16330,'Componentes APUs'!$N$1:$Q$30,3,0)</f>
        <v>U</v>
      </c>
      <c r="E16330" s="50">
        <v>0</v>
      </c>
      <c r="F16330" s="51">
        <f>VLOOKUP(A16330,'Componentes APUs'!$N$1:$Q$30,4,0)</f>
        <v>21000000</v>
      </c>
      <c r="G16330" s="51">
        <f>IFERROR(ROUNDUP(F16330*(E16330/21)/E16279,0),0)</f>
        <v>0</v>
      </c>
    </row>
    <row r="16331" spans="1:7" x14ac:dyDescent="0.25">
      <c r="A16331" s="69" t="s">
        <v>322</v>
      </c>
      <c r="B16331" s="72" t="str">
        <f>VLOOKUP(A16331,'Componentes APUs'!$N$1:$Q$30,2,0)</f>
        <v>Camabaja</v>
      </c>
      <c r="C16331" s="73"/>
      <c r="D16331" s="70" t="str">
        <f>VLOOKUP(A16331,'Componentes APUs'!$N$1:$Q$30,3,0)</f>
        <v>TON/KM</v>
      </c>
      <c r="E16331" s="50">
        <v>0</v>
      </c>
      <c r="F16331" s="51">
        <f>VLOOKUP(A16331,'Componentes APUs'!$N$1:$Q$30,4,0)</f>
        <v>611</v>
      </c>
      <c r="G16331" s="51">
        <f>IFERROR(ROUNDUP(F16331*(E16331/21)/E16279,0),0)</f>
        <v>0</v>
      </c>
    </row>
    <row r="16332" spans="1:7" x14ac:dyDescent="0.25">
      <c r="A16332" s="50" t="s">
        <v>323</v>
      </c>
      <c r="B16332" s="72" t="str">
        <f>VLOOKUP(A16332,'Componentes APUs'!$N$1:$Q$30,2,0)</f>
        <v>Volqueta</v>
      </c>
      <c r="C16332" s="73"/>
      <c r="D16332" s="70" t="str">
        <f>VLOOKUP(A16332,'Componentes APUs'!$N$1:$Q$30,3,0)</f>
        <v>U</v>
      </c>
      <c r="E16332" s="50">
        <v>0</v>
      </c>
      <c r="F16332" s="51">
        <f>VLOOKUP(A16332,'Componentes APUs'!$N$1:$Q$30,4,0)</f>
        <v>14828184</v>
      </c>
      <c r="G16332" s="51">
        <f>IFERROR(ROUNDUP(F16332*(E16332/21)/E16279,0),0)</f>
        <v>0</v>
      </c>
    </row>
    <row r="16333" spans="1:7" x14ac:dyDescent="0.25">
      <c r="A16333" s="69" t="s">
        <v>324</v>
      </c>
      <c r="B16333" s="72" t="str">
        <f>VLOOKUP(A16333,'Componentes APUs'!$N$1:$Q$30,2,0)</f>
        <v>Retroexcavadora</v>
      </c>
      <c r="C16333" s="73"/>
      <c r="D16333" s="70" t="str">
        <f>VLOOKUP(A16333,'Componentes APUs'!$N$1:$Q$30,3,0)</f>
        <v>U</v>
      </c>
      <c r="E16333" s="50">
        <v>0</v>
      </c>
      <c r="F16333" s="51">
        <f>VLOOKUP(A16333,'Componentes APUs'!$N$1:$Q$30,4,0)</f>
        <v>46030656</v>
      </c>
      <c r="G16333" s="51">
        <f>IFERROR(ROUNDUP(F16333*(E16333/21)/E16279,0),0)</f>
        <v>0</v>
      </c>
    </row>
    <row r="16334" spans="1:7" x14ac:dyDescent="0.25">
      <c r="A16334" s="219" t="s">
        <v>99</v>
      </c>
      <c r="B16334" s="219"/>
      <c r="C16334" s="219"/>
      <c r="D16334" s="219"/>
      <c r="E16334" s="219"/>
      <c r="F16334" s="219"/>
      <c r="G16334" s="52">
        <f>SUM(G16329:G16333)</f>
        <v>74830</v>
      </c>
    </row>
    <row r="16335" spans="1:7" x14ac:dyDescent="0.25">
      <c r="A16335" s="56"/>
      <c r="B16335" s="57"/>
      <c r="C16335" s="57"/>
      <c r="D16335" s="57"/>
      <c r="E16335" s="57"/>
      <c r="F16335" s="57"/>
      <c r="G16335" s="58"/>
    </row>
    <row r="16336" spans="1:7" x14ac:dyDescent="0.25">
      <c r="A16336" s="219" t="s">
        <v>1516</v>
      </c>
      <c r="B16336" s="219"/>
      <c r="C16336" s="219"/>
      <c r="D16336" s="219"/>
      <c r="E16336" s="219"/>
      <c r="F16336" s="219"/>
      <c r="G16336" s="52">
        <f>G16334+G16325+G16308+G16298+G16287</f>
        <v>673393</v>
      </c>
    </row>
    <row r="16337" spans="1:7" x14ac:dyDescent="0.25">
      <c r="A16337" s="59"/>
      <c r="B16337" s="60"/>
      <c r="C16337" s="60"/>
      <c r="D16337" s="60"/>
      <c r="E16337" s="57"/>
      <c r="F16337" s="57"/>
      <c r="G16337" s="58"/>
    </row>
    <row r="16338" spans="1:7" x14ac:dyDescent="0.25">
      <c r="A16338" s="64"/>
      <c r="D16338" s="55"/>
      <c r="E16338" s="49" t="s">
        <v>25</v>
      </c>
      <c r="F16338" s="54">
        <v>0.15</v>
      </c>
      <c r="G16338" s="51">
        <f>G16336*F16338</f>
        <v>101008.95</v>
      </c>
    </row>
    <row r="16339" spans="1:7" x14ac:dyDescent="0.25">
      <c r="A16339" s="64"/>
      <c r="D16339" s="55"/>
      <c r="E16339" s="49" t="s">
        <v>26</v>
      </c>
      <c r="F16339" s="54">
        <v>0.05</v>
      </c>
      <c r="G16339" s="51">
        <f>G16336*F16339</f>
        <v>33669.65</v>
      </c>
    </row>
    <row r="16340" spans="1:7" x14ac:dyDescent="0.25">
      <c r="A16340" s="61"/>
      <c r="B16340" s="65"/>
      <c r="C16340" s="65"/>
      <c r="D16340" s="62"/>
      <c r="E16340" s="49" t="s">
        <v>27</v>
      </c>
      <c r="F16340" s="54">
        <v>0.05</v>
      </c>
      <c r="G16340" s="51">
        <f>G16336*F16340</f>
        <v>33669.65</v>
      </c>
    </row>
    <row r="16341" spans="1:7" x14ac:dyDescent="0.25">
      <c r="A16341" s="61"/>
      <c r="B16341" s="62"/>
      <c r="C16341" s="62"/>
      <c r="D16341" s="62"/>
      <c r="E16341" s="62"/>
      <c r="F16341" s="62"/>
      <c r="G16341" s="63"/>
    </row>
    <row r="16342" spans="1:7" x14ac:dyDescent="0.25">
      <c r="A16342" s="219" t="s">
        <v>1517</v>
      </c>
      <c r="B16342" s="219"/>
      <c r="C16342" s="219"/>
      <c r="D16342" s="219"/>
      <c r="E16342" s="219"/>
      <c r="F16342" s="219"/>
      <c r="G16342" s="52">
        <f>G16336+G16338+G16339+G16340</f>
        <v>841741.25</v>
      </c>
    </row>
    <row r="16343" spans="1:7" x14ac:dyDescent="0.25">
      <c r="A16343" s="59"/>
      <c r="B16343" s="60"/>
      <c r="C16343" s="60"/>
      <c r="D16343" s="60"/>
      <c r="E16343" s="57"/>
      <c r="F16343" s="57"/>
      <c r="G16343" s="58"/>
    </row>
    <row r="16344" spans="1:7" x14ac:dyDescent="0.25">
      <c r="A16344" s="64"/>
      <c r="D16344" s="55"/>
      <c r="E16344" s="49" t="s">
        <v>102</v>
      </c>
      <c r="F16344" s="49" t="s">
        <v>103</v>
      </c>
      <c r="G16344" s="51">
        <f>G16340*19%</f>
        <v>6397.2335000000003</v>
      </c>
    </row>
    <row r="16345" spans="1:7" x14ac:dyDescent="0.25">
      <c r="A16345" s="61"/>
      <c r="B16345" s="62"/>
      <c r="C16345" s="62"/>
      <c r="D16345" s="62"/>
      <c r="E16345" s="57"/>
      <c r="F16345" s="57"/>
      <c r="G16345" s="58"/>
    </row>
    <row r="16346" spans="1:7" x14ac:dyDescent="0.25">
      <c r="A16346" s="219" t="s">
        <v>104</v>
      </c>
      <c r="B16346" s="219"/>
      <c r="C16346" s="219"/>
      <c r="D16346" s="219"/>
      <c r="E16346" s="219"/>
      <c r="F16346" s="219"/>
      <c r="G16346" s="52">
        <f>G16344+G16342</f>
        <v>848138.48349999997</v>
      </c>
    </row>
    <row r="16348" spans="1:7" x14ac:dyDescent="0.25">
      <c r="A16348" s="74" t="s">
        <v>29</v>
      </c>
      <c r="B16348" s="226" t="s">
        <v>30</v>
      </c>
      <c r="C16348" s="226"/>
      <c r="D16348" s="74" t="s">
        <v>31</v>
      </c>
      <c r="E16348" s="74" t="s">
        <v>32</v>
      </c>
      <c r="F16348" s="74" t="s">
        <v>189</v>
      </c>
      <c r="G16348" s="74" t="s">
        <v>33</v>
      </c>
    </row>
    <row r="16349" spans="1:7" ht="27.75" customHeight="1" x14ac:dyDescent="0.25">
      <c r="A16349" s="50" t="str">
        <f>Presupuesto!B318</f>
        <v>014_SC</v>
      </c>
      <c r="B16349" s="220" t="str">
        <f>Presupuesto!C318</f>
        <v>SUMINISTRO E INSTALACIÓN DE PATCH CORD DE FIBRA ÓPTICA MULTIMODO OM3  LC - ST/UPC DE 2 METROS</v>
      </c>
      <c r="C16349" s="220"/>
      <c r="D16349" s="50" t="s">
        <v>8</v>
      </c>
      <c r="E16349" s="50">
        <v>35</v>
      </c>
      <c r="F16349" s="50"/>
      <c r="G16349" s="51">
        <f>G16411</f>
        <v>90109.668000000005</v>
      </c>
    </row>
    <row r="16350" spans="1:7" x14ac:dyDescent="0.25">
      <c r="A16350" s="219" t="s">
        <v>34</v>
      </c>
      <c r="B16350" s="219"/>
      <c r="C16350" s="219"/>
      <c r="D16350" s="219"/>
      <c r="E16350" s="219"/>
      <c r="F16350" s="219"/>
      <c r="G16350" s="219"/>
    </row>
    <row r="16351" spans="1:7" x14ac:dyDescent="0.25">
      <c r="A16351" s="49" t="s">
        <v>35</v>
      </c>
      <c r="B16351" s="219" t="s">
        <v>36</v>
      </c>
      <c r="C16351" s="219"/>
      <c r="D16351" s="49" t="s">
        <v>37</v>
      </c>
      <c r="E16351" s="49" t="s">
        <v>38</v>
      </c>
      <c r="F16351" s="49" t="s">
        <v>39</v>
      </c>
      <c r="G16351" s="49" t="s">
        <v>40</v>
      </c>
    </row>
    <row r="16352" spans="1:7" x14ac:dyDescent="0.25">
      <c r="A16352" s="17" t="str">
        <f>Material!A92</f>
        <v>MA-91</v>
      </c>
      <c r="B16352" s="72" t="str">
        <f>IFERROR(VLOOKUP(A16352,Material!$A:$H,2,0),"-")</f>
        <v>PATCH CORD DE FIBRA ÓPTICA MULTIMODO OM3  LC - ST/UPC DE 2 METROS</v>
      </c>
      <c r="C16352" s="73"/>
      <c r="D16352" s="50" t="str">
        <f>IFERROR(VLOOKUP(A16352,Material!$A:$H,4,0),"-")</f>
        <v>UN</v>
      </c>
      <c r="E16352" s="50">
        <v>1</v>
      </c>
      <c r="F16352" s="51">
        <f>IFERROR(VLOOKUP(A16352,Material!$A:$H,3,0),"-")</f>
        <v>47582.6</v>
      </c>
      <c r="G16352" s="51">
        <f t="shared" ref="G16352" si="230">IFERROR(ROUNDUP(F16352*E16352,0),"-")</f>
        <v>47583</v>
      </c>
    </row>
    <row r="16353" spans="1:7" x14ac:dyDescent="0.25">
      <c r="A16353" s="219" t="s">
        <v>41</v>
      </c>
      <c r="B16353" s="219"/>
      <c r="C16353" s="219"/>
      <c r="D16353" s="219"/>
      <c r="E16353" s="219"/>
      <c r="F16353" s="219"/>
      <c r="G16353" s="52">
        <f>SUM(G16352:G16352)</f>
        <v>47583</v>
      </c>
    </row>
    <row r="16354" spans="1:7" x14ac:dyDescent="0.25">
      <c r="A16354" s="56"/>
      <c r="B16354" s="57"/>
      <c r="C16354" s="57"/>
      <c r="D16354" s="57"/>
      <c r="E16354" s="57"/>
      <c r="F16354" s="57"/>
      <c r="G16354" s="58"/>
    </row>
    <row r="16355" spans="1:7" x14ac:dyDescent="0.25">
      <c r="A16355" s="219" t="s">
        <v>42</v>
      </c>
      <c r="B16355" s="219"/>
      <c r="C16355" s="219"/>
      <c r="D16355" s="219"/>
      <c r="E16355" s="219"/>
      <c r="F16355" s="219"/>
      <c r="G16355" s="219"/>
    </row>
    <row r="16356" spans="1:7" x14ac:dyDescent="0.25">
      <c r="A16356" s="49" t="s">
        <v>35</v>
      </c>
      <c r="B16356" s="49" t="s">
        <v>36</v>
      </c>
      <c r="C16356" s="49" t="s">
        <v>38</v>
      </c>
      <c r="D16356" s="49" t="s">
        <v>43</v>
      </c>
      <c r="E16356" s="49" t="s">
        <v>44</v>
      </c>
      <c r="F16356" s="49" t="s">
        <v>45</v>
      </c>
      <c r="G16356" s="49" t="s">
        <v>40</v>
      </c>
    </row>
    <row r="16357" spans="1:7" x14ac:dyDescent="0.25">
      <c r="A16357" s="50" t="s">
        <v>319</v>
      </c>
      <c r="B16357" s="68" t="str">
        <f>VLOOKUP(A16357,'Componentes APUs'!$H$1:$L$25,2,0)</f>
        <v>Ingeniero Residente de Obra</v>
      </c>
      <c r="C16357" s="93">
        <v>0.25</v>
      </c>
      <c r="D16357" s="50">
        <f>VLOOKUP(A16357,'Componentes APUs'!$H$1:$L$25,3,0)</f>
        <v>4</v>
      </c>
      <c r="E16357" s="51">
        <f>VLOOKUP(A16357,'Componentes APUs'!$H$1:$L$25,4,0)</f>
        <v>271142.85714285716</v>
      </c>
      <c r="F16357" s="51">
        <f>VLOOKUP(A16357,'Componentes APUs'!$H$1:$L$25,5,0)</f>
        <v>162685.71428571429</v>
      </c>
      <c r="G16357" s="51">
        <f>ROUNDUP((E16357+F16357)*C16357/E16349,0)</f>
        <v>3099</v>
      </c>
    </row>
    <row r="16358" spans="1:7" x14ac:dyDescent="0.25">
      <c r="A16358" s="50" t="s">
        <v>320</v>
      </c>
      <c r="B16358" s="68" t="str">
        <f>VLOOKUP(A16358,'Componentes APUs'!$H$1:$L$25,2,0)</f>
        <v>Tecnico Supervisor</v>
      </c>
      <c r="C16358" s="93">
        <v>0.25</v>
      </c>
      <c r="D16358" s="50">
        <f>VLOOKUP(A16358,'Componentes APUs'!$H$1:$L$25,3,0)</f>
        <v>2.2999999999999998</v>
      </c>
      <c r="E16358" s="51">
        <f>VLOOKUP(A16358,'Componentes APUs'!$H$1:$L$25,4,0)</f>
        <v>155907.14285714284</v>
      </c>
      <c r="F16358" s="51">
        <f>VLOOKUP(A16358,'Componentes APUs'!$H$1:$L$25,5,0)</f>
        <v>93544.285714285696</v>
      </c>
      <c r="G16358" s="51">
        <f>ROUNDUP((E16358+F16358)*C16358/E16349,0)</f>
        <v>1782</v>
      </c>
    </row>
    <row r="16359" spans="1:7" x14ac:dyDescent="0.25">
      <c r="A16359" s="50" t="s">
        <v>1160</v>
      </c>
      <c r="B16359" s="68" t="str">
        <f>VLOOKUP(A16359,'Componentes APUs'!$H$1:$L$25,2,0)</f>
        <v>Oficial Eléctrico</v>
      </c>
      <c r="C16359" s="93">
        <v>0</v>
      </c>
      <c r="D16359" s="50">
        <f>VLOOKUP(A16359,'Componentes APUs'!$H$1:$L$25,3,0)</f>
        <v>2</v>
      </c>
      <c r="E16359" s="51">
        <f>VLOOKUP(A16359,'Componentes APUs'!$H$1:$L$25,4,0)</f>
        <v>154619.04761904763</v>
      </c>
      <c r="F16359" s="51">
        <f>VLOOKUP(A16359,'Componentes APUs'!$H$1:$L$25,5,0)</f>
        <v>92771.42857142858</v>
      </c>
      <c r="G16359" s="51">
        <f>ROUNDUP((E16359+F16359)*C16359/E16349,0)</f>
        <v>0</v>
      </c>
    </row>
    <row r="16360" spans="1:7" x14ac:dyDescent="0.25">
      <c r="A16360" s="50" t="s">
        <v>48</v>
      </c>
      <c r="B16360" s="68" t="str">
        <f>VLOOKUP(A16360,'Componentes APUs'!$H$1:$L$25,2,0)</f>
        <v>Ayudante Calificado</v>
      </c>
      <c r="C16360" s="93">
        <v>0</v>
      </c>
      <c r="D16360" s="50">
        <f>VLOOKUP(A16360,'Componentes APUs'!$H$1:$L$25,3,0)</f>
        <v>1.5</v>
      </c>
      <c r="E16360" s="51">
        <f>VLOOKUP(A16360,'Componentes APUs'!$H$1:$L$25,4,0)</f>
        <v>115964.28571428571</v>
      </c>
      <c r="F16360" s="51">
        <f>VLOOKUP(A16360,'Componentes APUs'!$H$1:$L$25,5,0)</f>
        <v>69578.57142857142</v>
      </c>
      <c r="G16360" s="51">
        <f>ROUNDUP((E16360+F16360)*C16360/E16349,0)</f>
        <v>0</v>
      </c>
    </row>
    <row r="16361" spans="1:7" x14ac:dyDescent="0.25">
      <c r="A16361" s="50" t="s">
        <v>50</v>
      </c>
      <c r="B16361" s="68" t="str">
        <f>VLOOKUP(A16361,'Componentes APUs'!$H$1:$L$25,2,0)</f>
        <v>Profesional en SST</v>
      </c>
      <c r="C16361" s="93">
        <v>0.25</v>
      </c>
      <c r="D16361" s="50">
        <f>VLOOKUP(A16361,'Componentes APUs'!$H$1:$L$25,3,0)</f>
        <v>2.5</v>
      </c>
      <c r="E16361" s="51">
        <f>VLOOKUP(A16361,'Componentes APUs'!$H$1:$L$25,4,0)</f>
        <v>169464.28571428571</v>
      </c>
      <c r="F16361" s="51">
        <f>VLOOKUP(A16361,'Componentes APUs'!$H$1:$L$25,5,0)</f>
        <v>101678.57142857142</v>
      </c>
      <c r="G16361" s="51">
        <f>ROUNDUP((E16361+F16361)*C16361/E16349,0)</f>
        <v>1937</v>
      </c>
    </row>
    <row r="16362" spans="1:7" x14ac:dyDescent="0.25">
      <c r="A16362" s="50" t="s">
        <v>1122</v>
      </c>
      <c r="B16362" s="68" t="str">
        <f>VLOOKUP(A16362,'Componentes APUs'!$H$1:$L$25,2,0)</f>
        <v>Técnico calificado para Comunicaciones</v>
      </c>
      <c r="C16362" s="93">
        <v>1</v>
      </c>
      <c r="D16362" s="50">
        <f>VLOOKUP(A16362,'Componentes APUs'!$H$1:$L$25,3,0)</f>
        <v>3</v>
      </c>
      <c r="E16362" s="51">
        <f>VLOOKUP(A16362,'Componentes APUs'!$H$1:$L$25,4,0)</f>
        <v>203357.14285714287</v>
      </c>
      <c r="F16362" s="51">
        <f>VLOOKUP(A16362,'Componentes APUs'!$H$1:$L$25,5,0)</f>
        <v>122014.28571428571</v>
      </c>
      <c r="G16362" s="51">
        <f>ROUNDUP((E16362+F16362)*C16362/E16349,0)</f>
        <v>9297</v>
      </c>
    </row>
    <row r="16363" spans="1:7" x14ac:dyDescent="0.25">
      <c r="A16363" s="219" t="s">
        <v>56</v>
      </c>
      <c r="B16363" s="219"/>
      <c r="C16363" s="219"/>
      <c r="D16363" s="219"/>
      <c r="E16363" s="219"/>
      <c r="F16363" s="219"/>
      <c r="G16363" s="52">
        <f>SUM(G16357:G16362)</f>
        <v>16115</v>
      </c>
    </row>
    <row r="16364" spans="1:7" x14ac:dyDescent="0.25">
      <c r="A16364" s="56"/>
      <c r="B16364" s="57"/>
      <c r="C16364" s="57"/>
      <c r="D16364" s="57"/>
      <c r="E16364" s="57"/>
      <c r="F16364" s="57"/>
      <c r="G16364" s="58"/>
    </row>
    <row r="16365" spans="1:7" x14ac:dyDescent="0.25">
      <c r="A16365" s="219" t="s">
        <v>57</v>
      </c>
      <c r="B16365" s="219"/>
      <c r="C16365" s="219"/>
      <c r="D16365" s="219"/>
      <c r="E16365" s="219"/>
      <c r="F16365" s="219"/>
      <c r="G16365" s="219"/>
    </row>
    <row r="16366" spans="1:7" x14ac:dyDescent="0.25">
      <c r="A16366" s="49" t="s">
        <v>35</v>
      </c>
      <c r="B16366" s="219" t="s">
        <v>36</v>
      </c>
      <c r="C16366" s="219"/>
      <c r="D16366" s="49" t="s">
        <v>37</v>
      </c>
      <c r="E16366" s="49" t="s">
        <v>38</v>
      </c>
      <c r="F16366" s="49" t="s">
        <v>39</v>
      </c>
      <c r="G16366" s="49" t="s">
        <v>40</v>
      </c>
    </row>
    <row r="16367" spans="1:7" x14ac:dyDescent="0.25">
      <c r="A16367" s="50" t="s">
        <v>326</v>
      </c>
      <c r="B16367" s="220" t="str">
        <f>VLOOKUP(A16367,'Componentes APUs'!$S$1:$V$10,2,0)</f>
        <v>Juego Llaves</v>
      </c>
      <c r="C16367" s="220"/>
      <c r="D16367" s="50" t="s">
        <v>18</v>
      </c>
      <c r="E16367" s="50">
        <v>2</v>
      </c>
      <c r="F16367" s="51">
        <f>VLOOKUP(A16367,'Componentes APUs'!$S$1:$V$10,4,0)</f>
        <v>9167</v>
      </c>
      <c r="G16367" s="51">
        <f>ROUNDUP(F16367*((E16367/21)/E16349),0)</f>
        <v>25</v>
      </c>
    </row>
    <row r="16368" spans="1:7" x14ac:dyDescent="0.25">
      <c r="A16368" s="50" t="s">
        <v>58</v>
      </c>
      <c r="B16368" s="220" t="str">
        <f>VLOOKUP(A16368,'Componentes APUs'!$S$1:$V$10,2,0)</f>
        <v>Manila de servicio</v>
      </c>
      <c r="C16368" s="220"/>
      <c r="D16368" s="50" t="s">
        <v>18</v>
      </c>
      <c r="E16368" s="50">
        <v>0</v>
      </c>
      <c r="F16368" s="51">
        <f>VLOOKUP(A16368,'Componentes APUs'!$S$1:$V$10,4,0)</f>
        <v>2333</v>
      </c>
      <c r="G16368" s="51">
        <f>ROUNDUP(F16368*((E16368/21)/E16349),0)</f>
        <v>0</v>
      </c>
    </row>
    <row r="16369" spans="1:7" x14ac:dyDescent="0.25">
      <c r="A16369" s="50" t="s">
        <v>327</v>
      </c>
      <c r="B16369" s="220" t="str">
        <f>VLOOKUP(A16369,'Componentes APUs'!$S$1:$V$10,2,0)</f>
        <v>Tula portaherramientas</v>
      </c>
      <c r="C16369" s="220"/>
      <c r="D16369" s="50" t="s">
        <v>18</v>
      </c>
      <c r="E16369" s="50">
        <v>2</v>
      </c>
      <c r="F16369" s="51">
        <f>VLOOKUP(A16369,'Componentes APUs'!$S$1:$V$10,4,0)</f>
        <v>1250</v>
      </c>
      <c r="G16369" s="51">
        <f>ROUNDUP(F16369*((E16369/21)/E16349),0)</f>
        <v>4</v>
      </c>
    </row>
    <row r="16370" spans="1:7" x14ac:dyDescent="0.25">
      <c r="A16370" s="50" t="s">
        <v>60</v>
      </c>
      <c r="B16370" s="220" t="str">
        <f>VLOOKUP(A16370,'Componentes APUs'!$S$1:$V$10,2,0)</f>
        <v>Agarradoras</v>
      </c>
      <c r="C16370" s="220"/>
      <c r="D16370" s="50" t="s">
        <v>18</v>
      </c>
      <c r="E16370" s="50">
        <v>0</v>
      </c>
      <c r="F16370" s="51">
        <f>VLOOKUP(A16370,'Componentes APUs'!$S$1:$V$10,4,0)</f>
        <v>125000</v>
      </c>
      <c r="G16370" s="51">
        <f>ROUNDUP(F16370*((E16370/21)/E16349),0)</f>
        <v>0</v>
      </c>
    </row>
    <row r="16371" spans="1:7" x14ac:dyDescent="0.25">
      <c r="A16371" s="50" t="s">
        <v>62</v>
      </c>
      <c r="B16371" s="220" t="str">
        <f>VLOOKUP(A16371,'Componentes APUs'!$S$1:$V$10,2,0)</f>
        <v>Templadoras</v>
      </c>
      <c r="C16371" s="220"/>
      <c r="D16371" s="50" t="s">
        <v>18</v>
      </c>
      <c r="E16371" s="50">
        <v>0</v>
      </c>
      <c r="F16371" s="51">
        <f>VLOOKUP(A16371,'Componentes APUs'!$S$1:$V$10,4,0)</f>
        <v>250000</v>
      </c>
      <c r="G16371" s="51">
        <f>ROUNDUP(F16371*((E16371/21)/E16349),0)</f>
        <v>0</v>
      </c>
    </row>
    <row r="16372" spans="1:7" x14ac:dyDescent="0.25">
      <c r="A16372" s="50" t="s">
        <v>328</v>
      </c>
      <c r="B16372" s="220" t="str">
        <f>VLOOKUP(A16372,'Componentes APUs'!$S$1:$V$10,2,0)</f>
        <v>Herramienta Menor</v>
      </c>
      <c r="C16372" s="220"/>
      <c r="D16372" s="50" t="s">
        <v>18</v>
      </c>
      <c r="E16372" s="50">
        <v>2</v>
      </c>
      <c r="F16372" s="51">
        <f>VLOOKUP(A16372,'Componentes APUs'!$S$1:$V$10,4,0)</f>
        <v>75758</v>
      </c>
      <c r="G16372" s="51">
        <f>ROUNDUP(F16372*((E16372/21)/E16349),0)</f>
        <v>207</v>
      </c>
    </row>
    <row r="16373" spans="1:7" x14ac:dyDescent="0.25">
      <c r="A16373" s="219" t="s">
        <v>69</v>
      </c>
      <c r="B16373" s="219"/>
      <c r="C16373" s="219"/>
      <c r="D16373" s="219"/>
      <c r="E16373" s="219"/>
      <c r="F16373" s="219"/>
      <c r="G16373" s="52">
        <f>SUM(G16367:G16372)</f>
        <v>236</v>
      </c>
    </row>
    <row r="16374" spans="1:7" x14ac:dyDescent="0.25">
      <c r="A16374" s="56"/>
      <c r="B16374" s="57"/>
      <c r="C16374" s="57"/>
      <c r="D16374" s="57"/>
      <c r="E16374" s="57"/>
      <c r="F16374" s="57"/>
      <c r="G16374" s="58"/>
    </row>
    <row r="16375" spans="1:7" x14ac:dyDescent="0.25">
      <c r="A16375" s="219" t="s">
        <v>70</v>
      </c>
      <c r="B16375" s="219"/>
      <c r="C16375" s="219"/>
      <c r="D16375" s="219"/>
      <c r="E16375" s="219"/>
      <c r="F16375" s="219"/>
      <c r="G16375" s="219"/>
    </row>
    <row r="16376" spans="1:7" x14ac:dyDescent="0.25">
      <c r="A16376" s="49" t="s">
        <v>35</v>
      </c>
      <c r="B16376" s="219" t="s">
        <v>36</v>
      </c>
      <c r="C16376" s="219"/>
      <c r="D16376" s="49" t="s">
        <v>37</v>
      </c>
      <c r="E16376" s="49" t="s">
        <v>38</v>
      </c>
      <c r="F16376" s="49" t="s">
        <v>39</v>
      </c>
      <c r="G16376" s="49" t="s">
        <v>40</v>
      </c>
    </row>
    <row r="16377" spans="1:7" x14ac:dyDescent="0.25">
      <c r="A16377" s="50" t="s">
        <v>71</v>
      </c>
      <c r="B16377" s="71" t="str">
        <f>VLOOKUP(A16377,'Componentes APUs'!$A$1:$D$14,2,0)</f>
        <v>Camisa indigo sin partes metalicas</v>
      </c>
      <c r="C16377" s="71"/>
      <c r="D16377" s="50" t="str">
        <f>VLOOKUP(A16377,'Componentes APUs'!$A$1:$D$14,3,0)</f>
        <v>U</v>
      </c>
      <c r="E16377" s="50">
        <f>SUM(C16357:C16362)</f>
        <v>1.75</v>
      </c>
      <c r="F16377" s="51">
        <f>VLOOKUP(A16377,'Componentes APUs'!$A$1:$D$14,4,0)</f>
        <v>8585.8585858585866</v>
      </c>
      <c r="G16377" s="51">
        <f>ROUNDUP(F16377*(E16377/21)/E16349,0)</f>
        <v>21</v>
      </c>
    </row>
    <row r="16378" spans="1:7" x14ac:dyDescent="0.25">
      <c r="A16378" s="69" t="s">
        <v>73</v>
      </c>
      <c r="B16378" s="72" t="str">
        <f>VLOOKUP(A16378,'Componentes APUs'!$A$1:$D$14,2,0)</f>
        <v>Bota de seguridad dielectrica</v>
      </c>
      <c r="C16378" s="73"/>
      <c r="D16378" s="70" t="str">
        <f>VLOOKUP(A16378,'Componentes APUs'!$A$1:$D$14,3,0)</f>
        <v>Par</v>
      </c>
      <c r="E16378" s="50">
        <f>SUM(C16357:C16362)</f>
        <v>1.75</v>
      </c>
      <c r="F16378" s="51">
        <f>VLOOKUP(A16378,'Componentes APUs'!$A$1:$D$14,4,0)</f>
        <v>7500</v>
      </c>
      <c r="G16378" s="51">
        <f>ROUNDUP(F16378*(E16378/21)/E16349,0)</f>
        <v>18</v>
      </c>
    </row>
    <row r="16379" spans="1:7" x14ac:dyDescent="0.25">
      <c r="A16379" s="50" t="s">
        <v>76</v>
      </c>
      <c r="B16379" s="72" t="str">
        <f>VLOOKUP(A16379,'Componentes APUs'!$A$1:$D$14,2,0)</f>
        <v>Casco dielectrico Tipo 1 Clase E con barbuquejo</v>
      </c>
      <c r="C16379" s="73"/>
      <c r="D16379" s="50" t="str">
        <f>VLOOKUP(A16379,'Componentes APUs'!$A$1:$D$14,3,0)</f>
        <v>U</v>
      </c>
      <c r="E16379" s="50">
        <f>C16357+C16360+C16361+C16358+C16362+IF(A16359&lt;&gt;"MO-3",C16359,0)</f>
        <v>1.75</v>
      </c>
      <c r="F16379" s="51">
        <f>VLOOKUP(A16379,'Componentes APUs'!$A$1:$D$14,4,0)</f>
        <v>10101.010101010101</v>
      </c>
      <c r="G16379" s="51">
        <f>ROUNDUP(F16379*(E16379/21)/E16349,0)</f>
        <v>25</v>
      </c>
    </row>
    <row r="16380" spans="1:7" x14ac:dyDescent="0.25">
      <c r="A16380" s="69" t="s">
        <v>77</v>
      </c>
      <c r="B16380" s="72" t="str">
        <f>VLOOKUP(A16380,'Componentes APUs'!$A$1:$D$14,2,0)</f>
        <v>Correa plastica y antiflama</v>
      </c>
      <c r="C16380" s="73"/>
      <c r="D16380" s="50" t="str">
        <f>VLOOKUP(A16380,'Componentes APUs'!$A$1:$D$14,3,0)</f>
        <v>U</v>
      </c>
      <c r="E16380" s="50">
        <f>SUM(C16357:C16362)</f>
        <v>1.75</v>
      </c>
      <c r="F16380" s="51">
        <f>VLOOKUP(A16380,'Componentes APUs'!$A$1:$D$14,4,0)</f>
        <v>3787.878787878788</v>
      </c>
      <c r="G16380" s="51">
        <f>ROUNDUP(F16380*(E16380/21)/E16349,0)</f>
        <v>10</v>
      </c>
    </row>
    <row r="16381" spans="1:7" x14ac:dyDescent="0.25">
      <c r="A16381" s="50" t="s">
        <v>79</v>
      </c>
      <c r="B16381" s="72" t="str">
        <f>VLOOKUP(A16381,'Componentes APUs'!$A$1:$D$14,2,0)</f>
        <v>Gafas protectoras filtro UV</v>
      </c>
      <c r="C16381" s="73"/>
      <c r="D16381" s="50" t="str">
        <f>VLOOKUP(A16381,'Componentes APUs'!$A$1:$D$14,3,0)</f>
        <v>U</v>
      </c>
      <c r="E16381" s="50">
        <f>SUM(C16357:C16362)</f>
        <v>1.75</v>
      </c>
      <c r="F16381" s="51">
        <f>VLOOKUP(A16381,'Componentes APUs'!$A$1:$D$14,4,0)</f>
        <v>2777.7777777777778</v>
      </c>
      <c r="G16381" s="51">
        <f>ROUNDUP(F16381*(E16381/21)/E16349,0)</f>
        <v>7</v>
      </c>
    </row>
    <row r="16382" spans="1:7" x14ac:dyDescent="0.25">
      <c r="A16382" s="69" t="s">
        <v>402</v>
      </c>
      <c r="B16382" s="72" t="str">
        <f>VLOOKUP(A16382,'Componentes APUs'!$A$1:$D$14,2,0)</f>
        <v>Bota de seguridad PVC dielectrica</v>
      </c>
      <c r="C16382" s="73"/>
      <c r="D16382" s="50" t="str">
        <f>VLOOKUP(A16382,'Componentes APUs'!$A$1:$D$14,3,0)</f>
        <v>Par</v>
      </c>
      <c r="E16382" s="50">
        <f>SUM(C16357:C16362)</f>
        <v>1.75</v>
      </c>
      <c r="F16382" s="51">
        <f>VLOOKUP(A16382,'Componentes APUs'!$A$1:$D$14,4,0)</f>
        <v>2916.6666666666665</v>
      </c>
      <c r="G16382" s="51">
        <f>ROUNDUP(F16382*(E16382/21)/E16349,0)</f>
        <v>7</v>
      </c>
    </row>
    <row r="16383" spans="1:7" x14ac:dyDescent="0.25">
      <c r="A16383" s="50" t="s">
        <v>403</v>
      </c>
      <c r="B16383" s="72" t="str">
        <f>VLOOKUP(A16383,'Componentes APUs'!$A$1:$D$14,2,0)</f>
        <v>Capuchon</v>
      </c>
      <c r="C16383" s="73"/>
      <c r="D16383" s="50" t="str">
        <f>VLOOKUP(A16383,'Componentes APUs'!$A$1:$D$14,3,0)</f>
        <v>U</v>
      </c>
      <c r="E16383" s="50">
        <f>SUM(C16357:C16362)</f>
        <v>1.75</v>
      </c>
      <c r="F16383" s="51">
        <f>VLOOKUP(A16383,'Componentes APUs'!$A$1:$D$14,4,0)</f>
        <v>2525.2525252525252</v>
      </c>
      <c r="G16383" s="51">
        <f>ROUNDUP(F16383*(E16383/21)/E16349,0)</f>
        <v>7</v>
      </c>
    </row>
    <row r="16384" spans="1:7" x14ac:dyDescent="0.25">
      <c r="A16384" s="69" t="s">
        <v>81</v>
      </c>
      <c r="B16384" s="72" t="str">
        <f>VLOOKUP(A16384,'Componentes APUs'!$A$1:$D$14,2,0)</f>
        <v>Guantes Protectores  - ingeniero reforzados</v>
      </c>
      <c r="C16384" s="73"/>
      <c r="D16384" s="50" t="str">
        <f>VLOOKUP(A16384,'Componentes APUs'!$A$1:$D$14,3,0)</f>
        <v>Par</v>
      </c>
      <c r="E16384" s="50">
        <f>C16359+C16360+C16362</f>
        <v>1</v>
      </c>
      <c r="F16384" s="51">
        <f>VLOOKUP(A16384,'Componentes APUs'!$A$1:$D$14,4,0)</f>
        <v>2525.2525252525252</v>
      </c>
      <c r="G16384" s="51">
        <f>ROUNDUP(F16384*(E16384/21)/E16349,0)</f>
        <v>4</v>
      </c>
    </row>
    <row r="16385" spans="1:7" x14ac:dyDescent="0.25">
      <c r="A16385" s="50" t="s">
        <v>83</v>
      </c>
      <c r="B16385" s="72" t="str">
        <f>VLOOKUP(A16385,'Componentes APUs'!$A$1:$D$14,2,0)</f>
        <v>Impermeable (pantalon camisa)</v>
      </c>
      <c r="C16385" s="73"/>
      <c r="D16385" s="50" t="str">
        <f>VLOOKUP(A16385,'Componentes APUs'!$A$1:$D$14,3,0)</f>
        <v>U</v>
      </c>
      <c r="E16385" s="50">
        <f>SUM(C16357:C16362)</f>
        <v>1.75</v>
      </c>
      <c r="F16385" s="51">
        <f>VLOOKUP(A16385,'Componentes APUs'!$A$1:$D$14,4,0)</f>
        <v>3750</v>
      </c>
      <c r="G16385" s="51">
        <f>ROUNDUP(F16385*(E16385/21)/E16349,0)</f>
        <v>9</v>
      </c>
    </row>
    <row r="16386" spans="1:7" x14ac:dyDescent="0.25">
      <c r="A16386" s="69" t="s">
        <v>85</v>
      </c>
      <c r="B16386" s="72" t="str">
        <f>VLOOKUP(A16386,'Componentes APUs'!$A$1:$D$14,2,0)</f>
        <v>Jean Dielectrico</v>
      </c>
      <c r="C16386" s="73"/>
      <c r="D16386" s="50" t="str">
        <f>VLOOKUP(A16386,'Componentes APUs'!$A$1:$D$14,3,0)</f>
        <v>U</v>
      </c>
      <c r="E16386" s="50">
        <f>SUM(C16357:C16362)</f>
        <v>1.75</v>
      </c>
      <c r="F16386" s="51">
        <f>VLOOKUP(A16386,'Componentes APUs'!$A$1:$D$14,4,0)</f>
        <v>7575.757575757576</v>
      </c>
      <c r="G16386" s="51">
        <f>ROUNDUP(F16386*(E16386/21)/E16349,0)</f>
        <v>19</v>
      </c>
    </row>
    <row r="16387" spans="1:7" x14ac:dyDescent="0.25">
      <c r="A16387" s="50" t="s">
        <v>87</v>
      </c>
      <c r="B16387" s="72" t="str">
        <f>VLOOKUP(A16387,'Componentes APUs'!$A$1:$D$14,2,0)</f>
        <v>Casco dielectrico Tipo 2 Clase E con barboquejo</v>
      </c>
      <c r="C16387" s="73"/>
      <c r="D16387" s="50" t="str">
        <f>VLOOKUP(A16387,'Componentes APUs'!$A$1:$D$14,3,0)</f>
        <v>U</v>
      </c>
      <c r="E16387" s="53">
        <f>IF(A16359="MO-3",C16359,0)</f>
        <v>0</v>
      </c>
      <c r="F16387" s="51">
        <f>VLOOKUP(A16387,'Componentes APUs'!$A$1:$D$14,4,0)</f>
        <v>7500</v>
      </c>
      <c r="G16387" s="51">
        <f>ROUNDUP(F16387*(E16387/21)/E16349,0)</f>
        <v>0</v>
      </c>
    </row>
    <row r="16388" spans="1:7" x14ac:dyDescent="0.25">
      <c r="A16388" s="69" t="s">
        <v>89</v>
      </c>
      <c r="B16388" s="72" t="str">
        <f>VLOOKUP(A16388,'Componentes APUs'!$A$1:$D$14,2,0)</f>
        <v>Kit de rescate para trabajo en alturas</v>
      </c>
      <c r="C16388" s="73"/>
      <c r="D16388" s="50" t="str">
        <f>VLOOKUP(A16388,'Componentes APUs'!$A$1:$D$14,3,0)</f>
        <v>U</v>
      </c>
      <c r="E16388" s="50">
        <f>IF(AND(A16359="MO-3",C16359=2),1,0)</f>
        <v>0</v>
      </c>
      <c r="F16388" s="51">
        <f>VLOOKUP(A16388,'Componentes APUs'!$A$1:$D$14,4,0)</f>
        <v>37500</v>
      </c>
      <c r="G16388" s="51">
        <f>ROUNDUP(F16388*(E16388/21)/E16349,0)</f>
        <v>0</v>
      </c>
    </row>
    <row r="16389" spans="1:7" x14ac:dyDescent="0.25">
      <c r="A16389" s="50" t="s">
        <v>91</v>
      </c>
      <c r="B16389" s="72" t="str">
        <f>VLOOKUP(A16389,'Componentes APUs'!$A$1:$D$14,2,0)</f>
        <v>Equipo completo para trabajo en alturas con pretales (Arnes dielectrico, 1 mosqueton de seguridad, tie off dielectrico, eslinga de posicionamiento, juego de pretales)</v>
      </c>
      <c r="C16389" s="73"/>
      <c r="D16389" s="50" t="str">
        <f>VLOOKUP(A16389,'Componentes APUs'!$A$1:$D$14,3,0)</f>
        <v>U</v>
      </c>
      <c r="E16389" s="50">
        <f>IF(A16358="MO-3",C16358,0)</f>
        <v>0</v>
      </c>
      <c r="F16389" s="51">
        <f>VLOOKUP(A16389,'Componentes APUs'!$A$1:$D$14,4,0)</f>
        <v>26041.666666666668</v>
      </c>
      <c r="G16389" s="51">
        <f>ROUNDUP(F16389*(E16389/21)/E16349,0)</f>
        <v>0</v>
      </c>
    </row>
    <row r="16390" spans="1:7" x14ac:dyDescent="0.25">
      <c r="A16390" s="219" t="s">
        <v>95</v>
      </c>
      <c r="B16390" s="219"/>
      <c r="C16390" s="219"/>
      <c r="D16390" s="219"/>
      <c r="E16390" s="219"/>
      <c r="F16390" s="219"/>
      <c r="G16390" s="52">
        <f>SUM(G16377:G16389)</f>
        <v>127</v>
      </c>
    </row>
    <row r="16391" spans="1:7" x14ac:dyDescent="0.25">
      <c r="A16391" s="56"/>
      <c r="B16391" s="57"/>
      <c r="C16391" s="57"/>
      <c r="D16391" s="57"/>
      <c r="E16391" s="57"/>
      <c r="F16391" s="57"/>
      <c r="G16391" s="58"/>
    </row>
    <row r="16392" spans="1:7" x14ac:dyDescent="0.25">
      <c r="A16392" s="219" t="s">
        <v>96</v>
      </c>
      <c r="B16392" s="219"/>
      <c r="C16392" s="219"/>
      <c r="D16392" s="219"/>
      <c r="E16392" s="219"/>
      <c r="F16392" s="219"/>
      <c r="G16392" s="219"/>
    </row>
    <row r="16393" spans="1:7" x14ac:dyDescent="0.25">
      <c r="A16393" s="49" t="s">
        <v>35</v>
      </c>
      <c r="B16393" s="225" t="s">
        <v>36</v>
      </c>
      <c r="C16393" s="225"/>
      <c r="D16393" s="49" t="s">
        <v>37</v>
      </c>
      <c r="E16393" s="49" t="s">
        <v>38</v>
      </c>
      <c r="F16393" s="49" t="s">
        <v>39</v>
      </c>
      <c r="G16393" s="49" t="s">
        <v>40</v>
      </c>
    </row>
    <row r="16394" spans="1:7" x14ac:dyDescent="0.25">
      <c r="A16394" s="69" t="s">
        <v>97</v>
      </c>
      <c r="B16394" s="72" t="str">
        <f>VLOOKUP(A16394,'Componentes APUs'!$N$1:$Q$30,2,0)</f>
        <v>Camioneta</v>
      </c>
      <c r="C16394" s="73"/>
      <c r="D16394" s="70" t="str">
        <f>VLOOKUP(A16394,'Componentes APUs'!$N$1:$Q$30,3,0)</f>
        <v>U</v>
      </c>
      <c r="E16394" s="50">
        <v>1</v>
      </c>
      <c r="F16394" s="51">
        <f>VLOOKUP(A16394,'Componentes APUs'!$N$1:$Q$30,4,0)</f>
        <v>5500000</v>
      </c>
      <c r="G16394" s="51">
        <f>IFERROR(ROUNDUP(F16394*(E16394/21)/E16349,0),0)</f>
        <v>7483</v>
      </c>
    </row>
    <row r="16395" spans="1:7" x14ac:dyDescent="0.25">
      <c r="A16395" s="50" t="s">
        <v>321</v>
      </c>
      <c r="B16395" s="72" t="str">
        <f>VLOOKUP(A16395,'Componentes APUs'!$N$1:$Q$30,2,0)</f>
        <v>Grúa Hidráulica</v>
      </c>
      <c r="C16395" s="73"/>
      <c r="D16395" s="70" t="str">
        <f>VLOOKUP(A16395,'Componentes APUs'!$N$1:$Q$30,3,0)</f>
        <v>U</v>
      </c>
      <c r="E16395" s="50">
        <v>0</v>
      </c>
      <c r="F16395" s="51">
        <f>VLOOKUP(A16395,'Componentes APUs'!$N$1:$Q$30,4,0)</f>
        <v>21000000</v>
      </c>
      <c r="G16395" s="51">
        <f>IFERROR(ROUNDUP(F16395*(E16395/21)/E16349,0),0)</f>
        <v>0</v>
      </c>
    </row>
    <row r="16396" spans="1:7" x14ac:dyDescent="0.25">
      <c r="A16396" s="69" t="s">
        <v>322</v>
      </c>
      <c r="B16396" s="72" t="str">
        <f>VLOOKUP(A16396,'Componentes APUs'!$N$1:$Q$30,2,0)</f>
        <v>Camabaja</v>
      </c>
      <c r="C16396" s="73"/>
      <c r="D16396" s="70" t="str">
        <f>VLOOKUP(A16396,'Componentes APUs'!$N$1:$Q$30,3,0)</f>
        <v>TON/KM</v>
      </c>
      <c r="E16396" s="50">
        <v>0</v>
      </c>
      <c r="F16396" s="51">
        <f>VLOOKUP(A16396,'Componentes APUs'!$N$1:$Q$30,4,0)</f>
        <v>611</v>
      </c>
      <c r="G16396" s="51">
        <f>IFERROR(ROUNDUP(F16396*(E16396/21)/E16349,0),0)</f>
        <v>0</v>
      </c>
    </row>
    <row r="16397" spans="1:7" x14ac:dyDescent="0.25">
      <c r="A16397" s="50" t="s">
        <v>323</v>
      </c>
      <c r="B16397" s="72" t="str">
        <f>VLOOKUP(A16397,'Componentes APUs'!$N$1:$Q$30,2,0)</f>
        <v>Volqueta</v>
      </c>
      <c r="C16397" s="73"/>
      <c r="D16397" s="70" t="str">
        <f>VLOOKUP(A16397,'Componentes APUs'!$N$1:$Q$30,3,0)</f>
        <v>U</v>
      </c>
      <c r="E16397" s="50">
        <v>0</v>
      </c>
      <c r="F16397" s="51">
        <f>VLOOKUP(A16397,'Componentes APUs'!$N$1:$Q$30,4,0)</f>
        <v>14828184</v>
      </c>
      <c r="G16397" s="51">
        <f>IFERROR(ROUNDUP(F16397*(E16397/21)/E16349,0),0)</f>
        <v>0</v>
      </c>
    </row>
    <row r="16398" spans="1:7" x14ac:dyDescent="0.25">
      <c r="A16398" s="69" t="s">
        <v>324</v>
      </c>
      <c r="B16398" s="72" t="str">
        <f>VLOOKUP(A16398,'Componentes APUs'!$N$1:$Q$30,2,0)</f>
        <v>Retroexcavadora</v>
      </c>
      <c r="C16398" s="73"/>
      <c r="D16398" s="70" t="str">
        <f>VLOOKUP(A16398,'Componentes APUs'!$N$1:$Q$30,3,0)</f>
        <v>U</v>
      </c>
      <c r="E16398" s="50">
        <v>0</v>
      </c>
      <c r="F16398" s="51">
        <f>VLOOKUP(A16398,'Componentes APUs'!$N$1:$Q$30,4,0)</f>
        <v>46030656</v>
      </c>
      <c r="G16398" s="51">
        <f>IFERROR(ROUNDUP(F16398*(E16398/21)/E16349,0),0)</f>
        <v>0</v>
      </c>
    </row>
    <row r="16399" spans="1:7" x14ac:dyDescent="0.25">
      <c r="A16399" s="219" t="s">
        <v>99</v>
      </c>
      <c r="B16399" s="219"/>
      <c r="C16399" s="219"/>
      <c r="D16399" s="219"/>
      <c r="E16399" s="219"/>
      <c r="F16399" s="219"/>
      <c r="G16399" s="52">
        <f>SUM(G16394:G16398)</f>
        <v>7483</v>
      </c>
    </row>
    <row r="16400" spans="1:7" x14ac:dyDescent="0.25">
      <c r="A16400" s="56"/>
      <c r="B16400" s="57"/>
      <c r="C16400" s="57"/>
      <c r="D16400" s="57"/>
      <c r="E16400" s="57"/>
      <c r="F16400" s="57"/>
      <c r="G16400" s="58"/>
    </row>
    <row r="16401" spans="1:7" x14ac:dyDescent="0.25">
      <c r="A16401" s="219" t="s">
        <v>1516</v>
      </c>
      <c r="B16401" s="219"/>
      <c r="C16401" s="219"/>
      <c r="D16401" s="219"/>
      <c r="E16401" s="219"/>
      <c r="F16401" s="219"/>
      <c r="G16401" s="52">
        <f>G16399+G16390+G16373+G16363+G16353</f>
        <v>71544</v>
      </c>
    </row>
    <row r="16402" spans="1:7" x14ac:dyDescent="0.25">
      <c r="A16402" s="59"/>
      <c r="B16402" s="60"/>
      <c r="C16402" s="60"/>
      <c r="D16402" s="60"/>
      <c r="E16402" s="57"/>
      <c r="F16402" s="57"/>
      <c r="G16402" s="58"/>
    </row>
    <row r="16403" spans="1:7" x14ac:dyDescent="0.25">
      <c r="A16403" s="64"/>
      <c r="D16403" s="55"/>
      <c r="E16403" s="49" t="s">
        <v>25</v>
      </c>
      <c r="F16403" s="54">
        <v>0.15</v>
      </c>
      <c r="G16403" s="51">
        <f>G16401*F16403</f>
        <v>10731.6</v>
      </c>
    </row>
    <row r="16404" spans="1:7" x14ac:dyDescent="0.25">
      <c r="A16404" s="64"/>
      <c r="D16404" s="55"/>
      <c r="E16404" s="49" t="s">
        <v>26</v>
      </c>
      <c r="F16404" s="54">
        <v>0.05</v>
      </c>
      <c r="G16404" s="51">
        <f>G16401*F16404</f>
        <v>3577.2000000000003</v>
      </c>
    </row>
    <row r="16405" spans="1:7" x14ac:dyDescent="0.25">
      <c r="A16405" s="61"/>
      <c r="B16405" s="65"/>
      <c r="C16405" s="65"/>
      <c r="D16405" s="62"/>
      <c r="E16405" s="49" t="s">
        <v>27</v>
      </c>
      <c r="F16405" s="54">
        <v>0.05</v>
      </c>
      <c r="G16405" s="51">
        <f>G16401*F16405</f>
        <v>3577.2000000000003</v>
      </c>
    </row>
    <row r="16406" spans="1:7" x14ac:dyDescent="0.25">
      <c r="A16406" s="61"/>
      <c r="B16406" s="62"/>
      <c r="C16406" s="62"/>
      <c r="D16406" s="62"/>
      <c r="E16406" s="62"/>
      <c r="F16406" s="62"/>
      <c r="G16406" s="63"/>
    </row>
    <row r="16407" spans="1:7" x14ac:dyDescent="0.25">
      <c r="A16407" s="219" t="s">
        <v>1517</v>
      </c>
      <c r="B16407" s="219"/>
      <c r="C16407" s="219"/>
      <c r="D16407" s="219"/>
      <c r="E16407" s="219"/>
      <c r="F16407" s="219"/>
      <c r="G16407" s="52">
        <f>G16401+G16403+G16404+G16405</f>
        <v>89430</v>
      </c>
    </row>
    <row r="16408" spans="1:7" x14ac:dyDescent="0.25">
      <c r="A16408" s="59"/>
      <c r="B16408" s="60"/>
      <c r="C16408" s="60"/>
      <c r="D16408" s="60"/>
      <c r="E16408" s="57"/>
      <c r="F16408" s="57"/>
      <c r="G16408" s="58"/>
    </row>
    <row r="16409" spans="1:7" x14ac:dyDescent="0.25">
      <c r="A16409" s="64"/>
      <c r="D16409" s="55"/>
      <c r="E16409" s="49" t="s">
        <v>102</v>
      </c>
      <c r="F16409" s="49" t="s">
        <v>103</v>
      </c>
      <c r="G16409" s="51">
        <f>G16405*19%</f>
        <v>679.66800000000001</v>
      </c>
    </row>
    <row r="16410" spans="1:7" x14ac:dyDescent="0.25">
      <c r="A16410" s="61"/>
      <c r="B16410" s="62"/>
      <c r="C16410" s="62"/>
      <c r="D16410" s="62"/>
      <c r="E16410" s="57"/>
      <c r="F16410" s="57"/>
      <c r="G16410" s="58"/>
    </row>
    <row r="16411" spans="1:7" x14ac:dyDescent="0.25">
      <c r="A16411" s="219" t="s">
        <v>104</v>
      </c>
      <c r="B16411" s="219"/>
      <c r="C16411" s="219"/>
      <c r="D16411" s="219"/>
      <c r="E16411" s="219"/>
      <c r="F16411" s="219"/>
      <c r="G16411" s="52">
        <f>G16409+G16407</f>
        <v>90109.668000000005</v>
      </c>
    </row>
    <row r="16413" spans="1:7" x14ac:dyDescent="0.25">
      <c r="A16413" s="74" t="s">
        <v>29</v>
      </c>
      <c r="B16413" s="226" t="s">
        <v>30</v>
      </c>
      <c r="C16413" s="226"/>
      <c r="D16413" s="74" t="s">
        <v>31</v>
      </c>
      <c r="E16413" s="74" t="s">
        <v>32</v>
      </c>
      <c r="F16413" s="74" t="s">
        <v>189</v>
      </c>
      <c r="G16413" s="74" t="s">
        <v>33</v>
      </c>
    </row>
    <row r="16414" spans="1:7" ht="21" customHeight="1" x14ac:dyDescent="0.25">
      <c r="A16414" s="50" t="str">
        <f>Presupuesto!B321</f>
        <v>017_SC</v>
      </c>
      <c r="B16414" s="220" t="str">
        <f>Presupuesto!C321</f>
        <v>SUMINISTRO E INSTALACIÓN DE CONECTORES RJ45 PARA CABLE F/UTP CON CERTIFICACIÓN.</v>
      </c>
      <c r="C16414" s="220"/>
      <c r="D16414" s="50" t="s">
        <v>8</v>
      </c>
      <c r="E16414" s="50">
        <v>40</v>
      </c>
      <c r="F16414" s="50"/>
      <c r="G16414" s="51">
        <f>G16477</f>
        <v>59449.659500000009</v>
      </c>
    </row>
    <row r="16415" spans="1:7" x14ac:dyDescent="0.25">
      <c r="A16415" s="219" t="s">
        <v>34</v>
      </c>
      <c r="B16415" s="219"/>
      <c r="C16415" s="219"/>
      <c r="D16415" s="219"/>
      <c r="E16415" s="219"/>
      <c r="F16415" s="219"/>
      <c r="G16415" s="219"/>
    </row>
    <row r="16416" spans="1:7" x14ac:dyDescent="0.25">
      <c r="A16416" s="49" t="s">
        <v>35</v>
      </c>
      <c r="B16416" s="219" t="s">
        <v>36</v>
      </c>
      <c r="C16416" s="219"/>
      <c r="D16416" s="49" t="s">
        <v>37</v>
      </c>
      <c r="E16416" s="49" t="s">
        <v>38</v>
      </c>
      <c r="F16416" s="49" t="s">
        <v>39</v>
      </c>
      <c r="G16416" s="49" t="s">
        <v>40</v>
      </c>
    </row>
    <row r="16417" spans="1:7" x14ac:dyDescent="0.25">
      <c r="A16417" s="17" t="str">
        <f>Material!A419</f>
        <v>MA-418</v>
      </c>
      <c r="B16417" s="72" t="str">
        <f>IFERROR(VLOOKUP(A16417,Material!$A:$H,2,0),"-")</f>
        <v>CONECTOR DE RED TERMINAL RJ45 CAT 6</v>
      </c>
      <c r="C16417" s="73"/>
      <c r="D16417" s="50" t="str">
        <f>IFERROR(VLOOKUP(A16417,Material!$A:$H,4,0),"-")</f>
        <v>UN</v>
      </c>
      <c r="E16417" s="50">
        <v>1</v>
      </c>
      <c r="F16417" s="51">
        <f>IFERROR(VLOOKUP(A16417,Material!$A:$H,3,0),"-")</f>
        <v>234</v>
      </c>
      <c r="G16417" s="51">
        <f>IFERROR(ROUNDUP(F16417*E16417,0),"-")</f>
        <v>234</v>
      </c>
    </row>
    <row r="16418" spans="1:7" x14ac:dyDescent="0.25">
      <c r="A16418" s="17" t="str">
        <f>Material!A550</f>
        <v>MA-549</v>
      </c>
      <c r="B16418" s="72" t="str">
        <f>IFERROR(VLOOKUP(A16418,Material!$A:$H,2,0),"-")</f>
        <v>CERTIFICACIÓN DE CONEXIÓN DE PUNTO DE DATO</v>
      </c>
      <c r="C16418" s="73"/>
      <c r="D16418" s="50" t="str">
        <f>IFERROR(VLOOKUP(A16418,Material!$A:$H,4,0),"-")</f>
        <v>UN</v>
      </c>
      <c r="E16418" s="50">
        <v>1</v>
      </c>
      <c r="F16418" s="51">
        <f>IFERROR(VLOOKUP(A16418,Material!$A:$H,3,0),"-")</f>
        <v>26000</v>
      </c>
      <c r="G16418" s="51">
        <f t="shared" ref="G16418" si="231">IFERROR(ROUNDUP(F16418*E16418,0),"-")</f>
        <v>26000</v>
      </c>
    </row>
    <row r="16419" spans="1:7" x14ac:dyDescent="0.25">
      <c r="A16419" s="219" t="s">
        <v>41</v>
      </c>
      <c r="B16419" s="219"/>
      <c r="C16419" s="219"/>
      <c r="D16419" s="219"/>
      <c r="E16419" s="219"/>
      <c r="F16419" s="219"/>
      <c r="G16419" s="52">
        <f>SUM(G16417:G16418)</f>
        <v>26234</v>
      </c>
    </row>
    <row r="16420" spans="1:7" x14ac:dyDescent="0.25">
      <c r="A16420" s="56"/>
      <c r="B16420" s="57"/>
      <c r="C16420" s="57"/>
      <c r="D16420" s="57"/>
      <c r="E16420" s="57"/>
      <c r="F16420" s="57"/>
      <c r="G16420" s="58"/>
    </row>
    <row r="16421" spans="1:7" x14ac:dyDescent="0.25">
      <c r="A16421" s="219" t="s">
        <v>42</v>
      </c>
      <c r="B16421" s="219"/>
      <c r="C16421" s="219"/>
      <c r="D16421" s="219"/>
      <c r="E16421" s="219"/>
      <c r="F16421" s="219"/>
      <c r="G16421" s="219"/>
    </row>
    <row r="16422" spans="1:7" x14ac:dyDescent="0.25">
      <c r="A16422" s="49" t="s">
        <v>35</v>
      </c>
      <c r="B16422" s="49" t="s">
        <v>36</v>
      </c>
      <c r="C16422" s="49" t="s">
        <v>38</v>
      </c>
      <c r="D16422" s="49" t="s">
        <v>43</v>
      </c>
      <c r="E16422" s="49" t="s">
        <v>44</v>
      </c>
      <c r="F16422" s="49" t="s">
        <v>45</v>
      </c>
      <c r="G16422" s="49" t="s">
        <v>40</v>
      </c>
    </row>
    <row r="16423" spans="1:7" x14ac:dyDescent="0.25">
      <c r="A16423" s="50" t="s">
        <v>319</v>
      </c>
      <c r="B16423" s="68" t="str">
        <f>VLOOKUP(A16423,'Componentes APUs'!$H$1:$L$25,2,0)</f>
        <v>Ingeniero Residente de Obra</v>
      </c>
      <c r="C16423" s="93">
        <v>0.25</v>
      </c>
      <c r="D16423" s="50">
        <f>VLOOKUP(A16423,'Componentes APUs'!$H$1:$L$25,3,0)</f>
        <v>4</v>
      </c>
      <c r="E16423" s="51">
        <f>VLOOKUP(A16423,'Componentes APUs'!$H$1:$L$25,4,0)</f>
        <v>271142.85714285716</v>
      </c>
      <c r="F16423" s="51">
        <f>VLOOKUP(A16423,'Componentes APUs'!$H$1:$L$25,5,0)</f>
        <v>162685.71428571429</v>
      </c>
      <c r="G16423" s="51">
        <f>ROUNDUP((E16423+F16423)*C16423/E16414,0)</f>
        <v>2712</v>
      </c>
    </row>
    <row r="16424" spans="1:7" x14ac:dyDescent="0.25">
      <c r="A16424" s="50" t="s">
        <v>320</v>
      </c>
      <c r="B16424" s="68" t="str">
        <f>VLOOKUP(A16424,'Componentes APUs'!$H$1:$L$25,2,0)</f>
        <v>Tecnico Supervisor</v>
      </c>
      <c r="C16424" s="93">
        <v>0.25</v>
      </c>
      <c r="D16424" s="50">
        <f>VLOOKUP(A16424,'Componentes APUs'!$H$1:$L$25,3,0)</f>
        <v>2.2999999999999998</v>
      </c>
      <c r="E16424" s="51">
        <f>VLOOKUP(A16424,'Componentes APUs'!$H$1:$L$25,4,0)</f>
        <v>155907.14285714284</v>
      </c>
      <c r="F16424" s="51">
        <f>VLOOKUP(A16424,'Componentes APUs'!$H$1:$L$25,5,0)</f>
        <v>93544.285714285696</v>
      </c>
      <c r="G16424" s="51">
        <f>ROUNDUP((E16424+F16424)*C16424/E16414,0)</f>
        <v>1560</v>
      </c>
    </row>
    <row r="16425" spans="1:7" x14ac:dyDescent="0.25">
      <c r="A16425" s="50" t="s">
        <v>1160</v>
      </c>
      <c r="B16425" s="68" t="str">
        <f>VLOOKUP(A16425,'Componentes APUs'!$H$1:$L$25,2,0)</f>
        <v>Oficial Eléctrico</v>
      </c>
      <c r="C16425" s="93">
        <v>0</v>
      </c>
      <c r="D16425" s="50">
        <f>VLOOKUP(A16425,'Componentes APUs'!$H$1:$L$25,3,0)</f>
        <v>2</v>
      </c>
      <c r="E16425" s="51">
        <f>VLOOKUP(A16425,'Componentes APUs'!$H$1:$L$25,4,0)</f>
        <v>154619.04761904763</v>
      </c>
      <c r="F16425" s="51">
        <f>VLOOKUP(A16425,'Componentes APUs'!$H$1:$L$25,5,0)</f>
        <v>92771.42857142858</v>
      </c>
      <c r="G16425" s="51">
        <f>ROUNDUP((E16425+F16425)*C16425/E16414,0)</f>
        <v>0</v>
      </c>
    </row>
    <row r="16426" spans="1:7" x14ac:dyDescent="0.25">
      <c r="A16426" s="50" t="s">
        <v>48</v>
      </c>
      <c r="B16426" s="68" t="str">
        <f>VLOOKUP(A16426,'Componentes APUs'!$H$1:$L$25,2,0)</f>
        <v>Ayudante Calificado</v>
      </c>
      <c r="C16426" s="93">
        <v>0</v>
      </c>
      <c r="D16426" s="50">
        <f>VLOOKUP(A16426,'Componentes APUs'!$H$1:$L$25,3,0)</f>
        <v>1.5</v>
      </c>
      <c r="E16426" s="51">
        <f>VLOOKUP(A16426,'Componentes APUs'!$H$1:$L$25,4,0)</f>
        <v>115964.28571428571</v>
      </c>
      <c r="F16426" s="51">
        <f>VLOOKUP(A16426,'Componentes APUs'!$H$1:$L$25,5,0)</f>
        <v>69578.57142857142</v>
      </c>
      <c r="G16426" s="51">
        <f>ROUNDUP((E16426+F16426)*C16426/E16414,0)</f>
        <v>0</v>
      </c>
    </row>
    <row r="16427" spans="1:7" x14ac:dyDescent="0.25">
      <c r="A16427" s="50" t="s">
        <v>50</v>
      </c>
      <c r="B16427" s="68" t="str">
        <f>VLOOKUP(A16427,'Componentes APUs'!$H$1:$L$25,2,0)</f>
        <v>Profesional en SST</v>
      </c>
      <c r="C16427" s="93">
        <v>0.25</v>
      </c>
      <c r="D16427" s="50">
        <f>VLOOKUP(A16427,'Componentes APUs'!$H$1:$L$25,3,0)</f>
        <v>2.5</v>
      </c>
      <c r="E16427" s="51">
        <f>VLOOKUP(A16427,'Componentes APUs'!$H$1:$L$25,4,0)</f>
        <v>169464.28571428571</v>
      </c>
      <c r="F16427" s="51">
        <f>VLOOKUP(A16427,'Componentes APUs'!$H$1:$L$25,5,0)</f>
        <v>101678.57142857142</v>
      </c>
      <c r="G16427" s="51">
        <f>ROUNDUP((E16427+F16427)*C16427/E16414,0)</f>
        <v>1695</v>
      </c>
    </row>
    <row r="16428" spans="1:7" x14ac:dyDescent="0.25">
      <c r="A16428" s="50" t="s">
        <v>1122</v>
      </c>
      <c r="B16428" s="68" t="str">
        <f>VLOOKUP(A16428,'Componentes APUs'!$H$1:$L$25,2,0)</f>
        <v>Técnico calificado para Comunicaciones</v>
      </c>
      <c r="C16428" s="93">
        <v>1</v>
      </c>
      <c r="D16428" s="50">
        <f>VLOOKUP(A16428,'Componentes APUs'!$H$1:$L$25,3,0)</f>
        <v>3</v>
      </c>
      <c r="E16428" s="51">
        <f>VLOOKUP(A16428,'Componentes APUs'!$H$1:$L$25,4,0)</f>
        <v>203357.14285714287</v>
      </c>
      <c r="F16428" s="51">
        <f>VLOOKUP(A16428,'Componentes APUs'!$H$1:$L$25,5,0)</f>
        <v>122014.28571428571</v>
      </c>
      <c r="G16428" s="51">
        <f>ROUNDUP((E16428+F16428)*C16428/E16414,0)</f>
        <v>8135</v>
      </c>
    </row>
    <row r="16429" spans="1:7" x14ac:dyDescent="0.25">
      <c r="A16429" s="219" t="s">
        <v>56</v>
      </c>
      <c r="B16429" s="219"/>
      <c r="C16429" s="219"/>
      <c r="D16429" s="219"/>
      <c r="E16429" s="219"/>
      <c r="F16429" s="219"/>
      <c r="G16429" s="52">
        <f>SUM(G16423:G16428)</f>
        <v>14102</v>
      </c>
    </row>
    <row r="16430" spans="1:7" x14ac:dyDescent="0.25">
      <c r="A16430" s="56"/>
      <c r="B16430" s="57"/>
      <c r="C16430" s="57"/>
      <c r="D16430" s="57"/>
      <c r="E16430" s="57"/>
      <c r="F16430" s="57"/>
      <c r="G16430" s="58"/>
    </row>
    <row r="16431" spans="1:7" x14ac:dyDescent="0.25">
      <c r="A16431" s="219" t="s">
        <v>57</v>
      </c>
      <c r="B16431" s="219"/>
      <c r="C16431" s="219"/>
      <c r="D16431" s="219"/>
      <c r="E16431" s="219"/>
      <c r="F16431" s="219"/>
      <c r="G16431" s="219"/>
    </row>
    <row r="16432" spans="1:7" x14ac:dyDescent="0.25">
      <c r="A16432" s="49" t="s">
        <v>35</v>
      </c>
      <c r="B16432" s="219" t="s">
        <v>36</v>
      </c>
      <c r="C16432" s="219"/>
      <c r="D16432" s="49" t="s">
        <v>37</v>
      </c>
      <c r="E16432" s="49" t="s">
        <v>38</v>
      </c>
      <c r="F16432" s="49" t="s">
        <v>39</v>
      </c>
      <c r="G16432" s="49" t="s">
        <v>40</v>
      </c>
    </row>
    <row r="16433" spans="1:7" x14ac:dyDescent="0.25">
      <c r="A16433" s="50" t="s">
        <v>326</v>
      </c>
      <c r="B16433" s="220" t="str">
        <f>VLOOKUP(A16433,'Componentes APUs'!$S$1:$V$10,2,0)</f>
        <v>Juego Llaves</v>
      </c>
      <c r="C16433" s="220"/>
      <c r="D16433" s="50" t="s">
        <v>18</v>
      </c>
      <c r="E16433" s="50">
        <v>2</v>
      </c>
      <c r="F16433" s="51">
        <f>VLOOKUP(A16433,'Componentes APUs'!$S$1:$V$10,4,0)</f>
        <v>9167</v>
      </c>
      <c r="G16433" s="51">
        <f>ROUNDUP(F16433*((E16433/21)/E16414),0)</f>
        <v>22</v>
      </c>
    </row>
    <row r="16434" spans="1:7" x14ac:dyDescent="0.25">
      <c r="A16434" s="50" t="s">
        <v>58</v>
      </c>
      <c r="B16434" s="220" t="str">
        <f>VLOOKUP(A16434,'Componentes APUs'!$S$1:$V$10,2,0)</f>
        <v>Manila de servicio</v>
      </c>
      <c r="C16434" s="220"/>
      <c r="D16434" s="50" t="s">
        <v>18</v>
      </c>
      <c r="E16434" s="50">
        <v>0</v>
      </c>
      <c r="F16434" s="51">
        <f>VLOOKUP(A16434,'Componentes APUs'!$S$1:$V$10,4,0)</f>
        <v>2333</v>
      </c>
      <c r="G16434" s="51">
        <f>ROUNDUP(F16434*((E16434/21)/E16414),0)</f>
        <v>0</v>
      </c>
    </row>
    <row r="16435" spans="1:7" x14ac:dyDescent="0.25">
      <c r="A16435" s="50" t="s">
        <v>327</v>
      </c>
      <c r="B16435" s="220" t="str">
        <f>VLOOKUP(A16435,'Componentes APUs'!$S$1:$V$10,2,0)</f>
        <v>Tula portaherramientas</v>
      </c>
      <c r="C16435" s="220"/>
      <c r="D16435" s="50" t="s">
        <v>18</v>
      </c>
      <c r="E16435" s="50">
        <v>2</v>
      </c>
      <c r="F16435" s="51">
        <f>VLOOKUP(A16435,'Componentes APUs'!$S$1:$V$10,4,0)</f>
        <v>1250</v>
      </c>
      <c r="G16435" s="51">
        <f>ROUNDUP(F16435*((E16435/21)/E16414),0)</f>
        <v>3</v>
      </c>
    </row>
    <row r="16436" spans="1:7" x14ac:dyDescent="0.25">
      <c r="A16436" s="50" t="s">
        <v>60</v>
      </c>
      <c r="B16436" s="220" t="str">
        <f>VLOOKUP(A16436,'Componentes APUs'!$S$1:$V$10,2,0)</f>
        <v>Agarradoras</v>
      </c>
      <c r="C16436" s="220"/>
      <c r="D16436" s="50" t="s">
        <v>18</v>
      </c>
      <c r="E16436" s="50">
        <v>0</v>
      </c>
      <c r="F16436" s="51">
        <f>VLOOKUP(A16436,'Componentes APUs'!$S$1:$V$10,4,0)</f>
        <v>125000</v>
      </c>
      <c r="G16436" s="51">
        <f>ROUNDUP(F16436*((E16436/21)/E16414),0)</f>
        <v>0</v>
      </c>
    </row>
    <row r="16437" spans="1:7" x14ac:dyDescent="0.25">
      <c r="A16437" s="50" t="s">
        <v>62</v>
      </c>
      <c r="B16437" s="220" t="str">
        <f>VLOOKUP(A16437,'Componentes APUs'!$S$1:$V$10,2,0)</f>
        <v>Templadoras</v>
      </c>
      <c r="C16437" s="220"/>
      <c r="D16437" s="50" t="s">
        <v>18</v>
      </c>
      <c r="E16437" s="50">
        <v>0</v>
      </c>
      <c r="F16437" s="51">
        <f>VLOOKUP(A16437,'Componentes APUs'!$S$1:$V$10,4,0)</f>
        <v>250000</v>
      </c>
      <c r="G16437" s="51">
        <f>ROUNDUP(F16437*((E16437/21)/E16414),0)</f>
        <v>0</v>
      </c>
    </row>
    <row r="16438" spans="1:7" x14ac:dyDescent="0.25">
      <c r="A16438" s="50" t="s">
        <v>328</v>
      </c>
      <c r="B16438" s="220" t="str">
        <f>VLOOKUP(A16438,'Componentes APUs'!$S$1:$V$10,2,0)</f>
        <v>Herramienta Menor</v>
      </c>
      <c r="C16438" s="220"/>
      <c r="D16438" s="50" t="s">
        <v>18</v>
      </c>
      <c r="E16438" s="50">
        <v>2</v>
      </c>
      <c r="F16438" s="51">
        <f>VLOOKUP(A16438,'Componentes APUs'!$S$1:$V$10,4,0)</f>
        <v>75758</v>
      </c>
      <c r="G16438" s="51">
        <f>ROUNDUP(F16438*((E16438/21)/E16414),0)</f>
        <v>181</v>
      </c>
    </row>
    <row r="16439" spans="1:7" x14ac:dyDescent="0.25">
      <c r="A16439" s="219" t="s">
        <v>69</v>
      </c>
      <c r="B16439" s="219"/>
      <c r="C16439" s="219"/>
      <c r="D16439" s="219"/>
      <c r="E16439" s="219"/>
      <c r="F16439" s="219"/>
      <c r="G16439" s="52">
        <f>SUM(G16433:G16438)</f>
        <v>206</v>
      </c>
    </row>
    <row r="16440" spans="1:7" x14ac:dyDescent="0.25">
      <c r="A16440" s="56"/>
      <c r="B16440" s="57"/>
      <c r="C16440" s="57"/>
      <c r="D16440" s="57"/>
      <c r="E16440" s="57"/>
      <c r="F16440" s="57"/>
      <c r="G16440" s="58"/>
    </row>
    <row r="16441" spans="1:7" x14ac:dyDescent="0.25">
      <c r="A16441" s="219" t="s">
        <v>70</v>
      </c>
      <c r="B16441" s="219"/>
      <c r="C16441" s="219"/>
      <c r="D16441" s="219"/>
      <c r="E16441" s="219"/>
      <c r="F16441" s="219"/>
      <c r="G16441" s="219"/>
    </row>
    <row r="16442" spans="1:7" x14ac:dyDescent="0.25">
      <c r="A16442" s="49" t="s">
        <v>35</v>
      </c>
      <c r="B16442" s="219" t="s">
        <v>36</v>
      </c>
      <c r="C16442" s="219"/>
      <c r="D16442" s="49" t="s">
        <v>37</v>
      </c>
      <c r="E16442" s="49" t="s">
        <v>38</v>
      </c>
      <c r="F16442" s="49" t="s">
        <v>39</v>
      </c>
      <c r="G16442" s="49" t="s">
        <v>40</v>
      </c>
    </row>
    <row r="16443" spans="1:7" x14ac:dyDescent="0.25">
      <c r="A16443" s="50" t="s">
        <v>71</v>
      </c>
      <c r="B16443" s="71" t="str">
        <f>VLOOKUP(A16443,'Componentes APUs'!$A$1:$D$14,2,0)</f>
        <v>Camisa indigo sin partes metalicas</v>
      </c>
      <c r="C16443" s="71"/>
      <c r="D16443" s="50" t="str">
        <f>VLOOKUP(A16443,'Componentes APUs'!$A$1:$D$14,3,0)</f>
        <v>U</v>
      </c>
      <c r="E16443" s="50">
        <f>SUM(C16423:C16428)</f>
        <v>1.75</v>
      </c>
      <c r="F16443" s="51">
        <f>VLOOKUP(A16443,'Componentes APUs'!$A$1:$D$14,4,0)</f>
        <v>8585.8585858585866</v>
      </c>
      <c r="G16443" s="51">
        <f>ROUNDUP(F16443*(E16443/21)/E16414,0)</f>
        <v>18</v>
      </c>
    </row>
    <row r="16444" spans="1:7" x14ac:dyDescent="0.25">
      <c r="A16444" s="69" t="s">
        <v>73</v>
      </c>
      <c r="B16444" s="72" t="str">
        <f>VLOOKUP(A16444,'Componentes APUs'!$A$1:$D$14,2,0)</f>
        <v>Bota de seguridad dielectrica</v>
      </c>
      <c r="C16444" s="73"/>
      <c r="D16444" s="70" t="str">
        <f>VLOOKUP(A16444,'Componentes APUs'!$A$1:$D$14,3,0)</f>
        <v>Par</v>
      </c>
      <c r="E16444" s="50">
        <f>SUM(C16423:C16428)</f>
        <v>1.75</v>
      </c>
      <c r="F16444" s="51">
        <f>VLOOKUP(A16444,'Componentes APUs'!$A$1:$D$14,4,0)</f>
        <v>7500</v>
      </c>
      <c r="G16444" s="51">
        <f>ROUNDUP(F16444*(E16444/21)/E16414,0)</f>
        <v>16</v>
      </c>
    </row>
    <row r="16445" spans="1:7" x14ac:dyDescent="0.25">
      <c r="A16445" s="50" t="s">
        <v>76</v>
      </c>
      <c r="B16445" s="72" t="str">
        <f>VLOOKUP(A16445,'Componentes APUs'!$A$1:$D$14,2,0)</f>
        <v>Casco dielectrico Tipo 1 Clase E con barbuquejo</v>
      </c>
      <c r="C16445" s="73"/>
      <c r="D16445" s="50" t="str">
        <f>VLOOKUP(A16445,'Componentes APUs'!$A$1:$D$14,3,0)</f>
        <v>U</v>
      </c>
      <c r="E16445" s="50">
        <f>C16423+C16426+C16427+C16424+C16428+IF(A16425&lt;&gt;"MO-3",C16425,0)</f>
        <v>1.75</v>
      </c>
      <c r="F16445" s="51">
        <f>VLOOKUP(A16445,'Componentes APUs'!$A$1:$D$14,4,0)</f>
        <v>10101.010101010101</v>
      </c>
      <c r="G16445" s="51">
        <f>ROUNDUP(F16445*(E16445/21)/E16414,0)</f>
        <v>22</v>
      </c>
    </row>
    <row r="16446" spans="1:7" x14ac:dyDescent="0.25">
      <c r="A16446" s="69" t="s">
        <v>77</v>
      </c>
      <c r="B16446" s="72" t="str">
        <f>VLOOKUP(A16446,'Componentes APUs'!$A$1:$D$14,2,0)</f>
        <v>Correa plastica y antiflama</v>
      </c>
      <c r="C16446" s="73"/>
      <c r="D16446" s="50" t="str">
        <f>VLOOKUP(A16446,'Componentes APUs'!$A$1:$D$14,3,0)</f>
        <v>U</v>
      </c>
      <c r="E16446" s="50">
        <f>SUM(C16423:C16428)</f>
        <v>1.75</v>
      </c>
      <c r="F16446" s="51">
        <f>VLOOKUP(A16446,'Componentes APUs'!$A$1:$D$14,4,0)</f>
        <v>3787.878787878788</v>
      </c>
      <c r="G16446" s="51">
        <f>ROUNDUP(F16446*(E16446/21)/E16414,0)</f>
        <v>8</v>
      </c>
    </row>
    <row r="16447" spans="1:7" x14ac:dyDescent="0.25">
      <c r="A16447" s="50" t="s">
        <v>79</v>
      </c>
      <c r="B16447" s="72" t="str">
        <f>VLOOKUP(A16447,'Componentes APUs'!$A$1:$D$14,2,0)</f>
        <v>Gafas protectoras filtro UV</v>
      </c>
      <c r="C16447" s="73"/>
      <c r="D16447" s="50" t="str">
        <f>VLOOKUP(A16447,'Componentes APUs'!$A$1:$D$14,3,0)</f>
        <v>U</v>
      </c>
      <c r="E16447" s="50">
        <f>SUM(C16423:C16428)</f>
        <v>1.75</v>
      </c>
      <c r="F16447" s="51">
        <f>VLOOKUP(A16447,'Componentes APUs'!$A$1:$D$14,4,0)</f>
        <v>2777.7777777777778</v>
      </c>
      <c r="G16447" s="51">
        <f>ROUNDUP(F16447*(E16447/21)/E16414,0)</f>
        <v>6</v>
      </c>
    </row>
    <row r="16448" spans="1:7" x14ac:dyDescent="0.25">
      <c r="A16448" s="69" t="s">
        <v>402</v>
      </c>
      <c r="B16448" s="72" t="str">
        <f>VLOOKUP(A16448,'Componentes APUs'!$A$1:$D$14,2,0)</f>
        <v>Bota de seguridad PVC dielectrica</v>
      </c>
      <c r="C16448" s="73"/>
      <c r="D16448" s="50" t="str">
        <f>VLOOKUP(A16448,'Componentes APUs'!$A$1:$D$14,3,0)</f>
        <v>Par</v>
      </c>
      <c r="E16448" s="50">
        <f>SUM(C16423:C16428)</f>
        <v>1.75</v>
      </c>
      <c r="F16448" s="51">
        <f>VLOOKUP(A16448,'Componentes APUs'!$A$1:$D$14,4,0)</f>
        <v>2916.6666666666665</v>
      </c>
      <c r="G16448" s="51">
        <f>ROUNDUP(F16448*(E16448/21)/E16414,0)</f>
        <v>7</v>
      </c>
    </row>
    <row r="16449" spans="1:7" x14ac:dyDescent="0.25">
      <c r="A16449" s="50" t="s">
        <v>403</v>
      </c>
      <c r="B16449" s="72" t="str">
        <f>VLOOKUP(A16449,'Componentes APUs'!$A$1:$D$14,2,0)</f>
        <v>Capuchon</v>
      </c>
      <c r="C16449" s="73"/>
      <c r="D16449" s="50" t="str">
        <f>VLOOKUP(A16449,'Componentes APUs'!$A$1:$D$14,3,0)</f>
        <v>U</v>
      </c>
      <c r="E16449" s="50">
        <f>SUM(C16423:C16428)</f>
        <v>1.75</v>
      </c>
      <c r="F16449" s="51">
        <f>VLOOKUP(A16449,'Componentes APUs'!$A$1:$D$14,4,0)</f>
        <v>2525.2525252525252</v>
      </c>
      <c r="G16449" s="51">
        <f>ROUNDUP(F16449*(E16449/21)/E16414,0)</f>
        <v>6</v>
      </c>
    </row>
    <row r="16450" spans="1:7" x14ac:dyDescent="0.25">
      <c r="A16450" s="69" t="s">
        <v>81</v>
      </c>
      <c r="B16450" s="72" t="str">
        <f>VLOOKUP(A16450,'Componentes APUs'!$A$1:$D$14,2,0)</f>
        <v>Guantes Protectores  - ingeniero reforzados</v>
      </c>
      <c r="C16450" s="73"/>
      <c r="D16450" s="50" t="str">
        <f>VLOOKUP(A16450,'Componentes APUs'!$A$1:$D$14,3,0)</f>
        <v>Par</v>
      </c>
      <c r="E16450" s="50">
        <f>C16425+C16426+C16428</f>
        <v>1</v>
      </c>
      <c r="F16450" s="51">
        <f>VLOOKUP(A16450,'Componentes APUs'!$A$1:$D$14,4,0)</f>
        <v>2525.2525252525252</v>
      </c>
      <c r="G16450" s="51">
        <f>ROUNDUP(F16450*(E16450/21)/E16414,0)</f>
        <v>4</v>
      </c>
    </row>
    <row r="16451" spans="1:7" x14ac:dyDescent="0.25">
      <c r="A16451" s="50" t="s">
        <v>83</v>
      </c>
      <c r="B16451" s="72" t="str">
        <f>VLOOKUP(A16451,'Componentes APUs'!$A$1:$D$14,2,0)</f>
        <v>Impermeable (pantalon camisa)</v>
      </c>
      <c r="C16451" s="73"/>
      <c r="D16451" s="50" t="str">
        <f>VLOOKUP(A16451,'Componentes APUs'!$A$1:$D$14,3,0)</f>
        <v>U</v>
      </c>
      <c r="E16451" s="50">
        <f>SUM(C16423:C16428)</f>
        <v>1.75</v>
      </c>
      <c r="F16451" s="51">
        <f>VLOOKUP(A16451,'Componentes APUs'!$A$1:$D$14,4,0)</f>
        <v>3750</v>
      </c>
      <c r="G16451" s="51">
        <f>ROUNDUP(F16451*(E16451/21)/E16414,0)</f>
        <v>8</v>
      </c>
    </row>
    <row r="16452" spans="1:7" x14ac:dyDescent="0.25">
      <c r="A16452" s="69" t="s">
        <v>85</v>
      </c>
      <c r="B16452" s="72" t="str">
        <f>VLOOKUP(A16452,'Componentes APUs'!$A$1:$D$14,2,0)</f>
        <v>Jean Dielectrico</v>
      </c>
      <c r="C16452" s="73"/>
      <c r="D16452" s="50" t="str">
        <f>VLOOKUP(A16452,'Componentes APUs'!$A$1:$D$14,3,0)</f>
        <v>U</v>
      </c>
      <c r="E16452" s="50">
        <f>SUM(C16423:C16428)</f>
        <v>1.75</v>
      </c>
      <c r="F16452" s="51">
        <f>VLOOKUP(A16452,'Componentes APUs'!$A$1:$D$14,4,0)</f>
        <v>7575.757575757576</v>
      </c>
      <c r="G16452" s="51">
        <f>ROUNDUP(F16452*(E16452/21)/E16414,0)</f>
        <v>16</v>
      </c>
    </row>
    <row r="16453" spans="1:7" x14ac:dyDescent="0.25">
      <c r="A16453" s="50" t="s">
        <v>87</v>
      </c>
      <c r="B16453" s="72" t="str">
        <f>VLOOKUP(A16453,'Componentes APUs'!$A$1:$D$14,2,0)</f>
        <v>Casco dielectrico Tipo 2 Clase E con barboquejo</v>
      </c>
      <c r="C16453" s="73"/>
      <c r="D16453" s="50" t="str">
        <f>VLOOKUP(A16453,'Componentes APUs'!$A$1:$D$14,3,0)</f>
        <v>U</v>
      </c>
      <c r="E16453" s="53">
        <f>IF(A16425="MO-3",C16425,0)</f>
        <v>0</v>
      </c>
      <c r="F16453" s="51">
        <f>VLOOKUP(A16453,'Componentes APUs'!$A$1:$D$14,4,0)</f>
        <v>7500</v>
      </c>
      <c r="G16453" s="51">
        <f>ROUNDUP(F16453*(E16453/21)/E16414,0)</f>
        <v>0</v>
      </c>
    </row>
    <row r="16454" spans="1:7" x14ac:dyDescent="0.25">
      <c r="A16454" s="69" t="s">
        <v>89</v>
      </c>
      <c r="B16454" s="72" t="str">
        <f>VLOOKUP(A16454,'Componentes APUs'!$A$1:$D$14,2,0)</f>
        <v>Kit de rescate para trabajo en alturas</v>
      </c>
      <c r="C16454" s="73"/>
      <c r="D16454" s="50" t="str">
        <f>VLOOKUP(A16454,'Componentes APUs'!$A$1:$D$14,3,0)</f>
        <v>U</v>
      </c>
      <c r="E16454" s="50">
        <f>IF(AND(A16425="MO-3",C16425=2),1,0)</f>
        <v>0</v>
      </c>
      <c r="F16454" s="51">
        <f>VLOOKUP(A16454,'Componentes APUs'!$A$1:$D$14,4,0)</f>
        <v>37500</v>
      </c>
      <c r="G16454" s="51">
        <f>ROUNDUP(F16454*(E16454/21)/E16414,0)</f>
        <v>0</v>
      </c>
    </row>
    <row r="16455" spans="1:7" x14ac:dyDescent="0.25">
      <c r="A16455" s="50" t="s">
        <v>91</v>
      </c>
      <c r="B16455" s="72" t="str">
        <f>VLOOKUP(A16455,'Componentes APUs'!$A$1:$D$14,2,0)</f>
        <v>Equipo completo para trabajo en alturas con pretales (Arnes dielectrico, 1 mosqueton de seguridad, tie off dielectrico, eslinga de posicionamiento, juego de pretales)</v>
      </c>
      <c r="C16455" s="73"/>
      <c r="D16455" s="50" t="str">
        <f>VLOOKUP(A16455,'Componentes APUs'!$A$1:$D$14,3,0)</f>
        <v>U</v>
      </c>
      <c r="E16455" s="50">
        <f>IF(A16424="MO-3",C16424,0)</f>
        <v>0</v>
      </c>
      <c r="F16455" s="51">
        <f>VLOOKUP(A16455,'Componentes APUs'!$A$1:$D$14,4,0)</f>
        <v>26041.666666666668</v>
      </c>
      <c r="G16455" s="51">
        <f>ROUNDUP(F16455*(E16455/21)/E16414,0)</f>
        <v>0</v>
      </c>
    </row>
    <row r="16456" spans="1:7" x14ac:dyDescent="0.25">
      <c r="A16456" s="219" t="s">
        <v>95</v>
      </c>
      <c r="B16456" s="219"/>
      <c r="C16456" s="219"/>
      <c r="D16456" s="219"/>
      <c r="E16456" s="219"/>
      <c r="F16456" s="219"/>
      <c r="G16456" s="52">
        <f>SUM(G16443:G16455)</f>
        <v>111</v>
      </c>
    </row>
    <row r="16457" spans="1:7" x14ac:dyDescent="0.25">
      <c r="A16457" s="56"/>
      <c r="B16457" s="57"/>
      <c r="C16457" s="57"/>
      <c r="D16457" s="57"/>
      <c r="E16457" s="57"/>
      <c r="F16457" s="57"/>
      <c r="G16457" s="58"/>
    </row>
    <row r="16458" spans="1:7" x14ac:dyDescent="0.25">
      <c r="A16458" s="219" t="s">
        <v>96</v>
      </c>
      <c r="B16458" s="219"/>
      <c r="C16458" s="219"/>
      <c r="D16458" s="219"/>
      <c r="E16458" s="219"/>
      <c r="F16458" s="219"/>
      <c r="G16458" s="219"/>
    </row>
    <row r="16459" spans="1:7" x14ac:dyDescent="0.25">
      <c r="A16459" s="49" t="s">
        <v>35</v>
      </c>
      <c r="B16459" s="225" t="s">
        <v>36</v>
      </c>
      <c r="C16459" s="225"/>
      <c r="D16459" s="49" t="s">
        <v>37</v>
      </c>
      <c r="E16459" s="49" t="s">
        <v>38</v>
      </c>
      <c r="F16459" s="49" t="s">
        <v>39</v>
      </c>
      <c r="G16459" s="49" t="s">
        <v>40</v>
      </c>
    </row>
    <row r="16460" spans="1:7" x14ac:dyDescent="0.25">
      <c r="A16460" s="69" t="s">
        <v>97</v>
      </c>
      <c r="B16460" s="72" t="str">
        <f>VLOOKUP(A16460,'Componentes APUs'!$N$1:$Q$30,2,0)</f>
        <v>Camioneta</v>
      </c>
      <c r="C16460" s="73"/>
      <c r="D16460" s="70" t="str">
        <f>VLOOKUP(A16460,'Componentes APUs'!$N$1:$Q$30,3,0)</f>
        <v>U</v>
      </c>
      <c r="E16460" s="50">
        <v>1</v>
      </c>
      <c r="F16460" s="51">
        <f>VLOOKUP(A16460,'Componentes APUs'!$N$1:$Q$30,4,0)</f>
        <v>5500000</v>
      </c>
      <c r="G16460" s="51">
        <f>IFERROR(ROUNDUP(F16460*(E16460/21)/E16414,0),0)</f>
        <v>6548</v>
      </c>
    </row>
    <row r="16461" spans="1:7" x14ac:dyDescent="0.25">
      <c r="A16461" s="50" t="s">
        <v>321</v>
      </c>
      <c r="B16461" s="72" t="str">
        <f>VLOOKUP(A16461,'Componentes APUs'!$N$1:$Q$30,2,0)</f>
        <v>Grúa Hidráulica</v>
      </c>
      <c r="C16461" s="73"/>
      <c r="D16461" s="70" t="str">
        <f>VLOOKUP(A16461,'Componentes APUs'!$N$1:$Q$30,3,0)</f>
        <v>U</v>
      </c>
      <c r="E16461" s="50">
        <v>0</v>
      </c>
      <c r="F16461" s="51">
        <f>VLOOKUP(A16461,'Componentes APUs'!$N$1:$Q$30,4,0)</f>
        <v>21000000</v>
      </c>
      <c r="G16461" s="51">
        <f>IFERROR(ROUNDUP(F16461*(E16461/21)/E16414,0),0)</f>
        <v>0</v>
      </c>
    </row>
    <row r="16462" spans="1:7" x14ac:dyDescent="0.25">
      <c r="A16462" s="69" t="s">
        <v>322</v>
      </c>
      <c r="B16462" s="72" t="str">
        <f>VLOOKUP(A16462,'Componentes APUs'!$N$1:$Q$30,2,0)</f>
        <v>Camabaja</v>
      </c>
      <c r="C16462" s="73"/>
      <c r="D16462" s="70" t="str">
        <f>VLOOKUP(A16462,'Componentes APUs'!$N$1:$Q$30,3,0)</f>
        <v>TON/KM</v>
      </c>
      <c r="E16462" s="50">
        <v>0</v>
      </c>
      <c r="F16462" s="51">
        <f>VLOOKUP(A16462,'Componentes APUs'!$N$1:$Q$30,4,0)</f>
        <v>611</v>
      </c>
      <c r="G16462" s="51">
        <f>IFERROR(ROUNDUP(F16462*(E16462/21)/E16414,0),0)</f>
        <v>0</v>
      </c>
    </row>
    <row r="16463" spans="1:7" x14ac:dyDescent="0.25">
      <c r="A16463" s="50" t="s">
        <v>323</v>
      </c>
      <c r="B16463" s="72" t="str">
        <f>VLOOKUP(A16463,'Componentes APUs'!$N$1:$Q$30,2,0)</f>
        <v>Volqueta</v>
      </c>
      <c r="C16463" s="73"/>
      <c r="D16463" s="70" t="str">
        <f>VLOOKUP(A16463,'Componentes APUs'!$N$1:$Q$30,3,0)</f>
        <v>U</v>
      </c>
      <c r="E16463" s="50">
        <v>0</v>
      </c>
      <c r="F16463" s="51">
        <f>VLOOKUP(A16463,'Componentes APUs'!$N$1:$Q$30,4,0)</f>
        <v>14828184</v>
      </c>
      <c r="G16463" s="51">
        <f>IFERROR(ROUNDUP(F16463*(E16463/21)/E16414,0),0)</f>
        <v>0</v>
      </c>
    </row>
    <row r="16464" spans="1:7" x14ac:dyDescent="0.25">
      <c r="A16464" s="69" t="s">
        <v>324</v>
      </c>
      <c r="B16464" s="72" t="str">
        <f>VLOOKUP(A16464,'Componentes APUs'!$N$1:$Q$30,2,0)</f>
        <v>Retroexcavadora</v>
      </c>
      <c r="C16464" s="73"/>
      <c r="D16464" s="70" t="str">
        <f>VLOOKUP(A16464,'Componentes APUs'!$N$1:$Q$30,3,0)</f>
        <v>U</v>
      </c>
      <c r="E16464" s="50">
        <v>0</v>
      </c>
      <c r="F16464" s="51">
        <f>VLOOKUP(A16464,'Componentes APUs'!$N$1:$Q$30,4,0)</f>
        <v>46030656</v>
      </c>
      <c r="G16464" s="51">
        <f>IFERROR(ROUNDUP(F16464*(E16464/21)/E16414,0),0)</f>
        <v>0</v>
      </c>
    </row>
    <row r="16465" spans="1:7" x14ac:dyDescent="0.25">
      <c r="A16465" s="219" t="s">
        <v>99</v>
      </c>
      <c r="B16465" s="219"/>
      <c r="C16465" s="219"/>
      <c r="D16465" s="219"/>
      <c r="E16465" s="219"/>
      <c r="F16465" s="219"/>
      <c r="G16465" s="52">
        <f>SUM(G16460:G16464)</f>
        <v>6548</v>
      </c>
    </row>
    <row r="16466" spans="1:7" x14ac:dyDescent="0.25">
      <c r="A16466" s="56"/>
      <c r="B16466" s="57"/>
      <c r="C16466" s="57"/>
      <c r="D16466" s="57"/>
      <c r="E16466" s="57"/>
      <c r="F16466" s="57"/>
      <c r="G16466" s="58"/>
    </row>
    <row r="16467" spans="1:7" x14ac:dyDescent="0.25">
      <c r="A16467" s="219" t="s">
        <v>1516</v>
      </c>
      <c r="B16467" s="219"/>
      <c r="C16467" s="219"/>
      <c r="D16467" s="219"/>
      <c r="E16467" s="219"/>
      <c r="F16467" s="219"/>
      <c r="G16467" s="52">
        <f>G16465+G16456+G16439+G16429+G16419</f>
        <v>47201</v>
      </c>
    </row>
    <row r="16468" spans="1:7" x14ac:dyDescent="0.25">
      <c r="A16468" s="59"/>
      <c r="B16468" s="60"/>
      <c r="C16468" s="60"/>
      <c r="D16468" s="60"/>
      <c r="E16468" s="57"/>
      <c r="F16468" s="57"/>
      <c r="G16468" s="58"/>
    </row>
    <row r="16469" spans="1:7" x14ac:dyDescent="0.25">
      <c r="A16469" s="64"/>
      <c r="D16469" s="55"/>
      <c r="E16469" s="49" t="s">
        <v>25</v>
      </c>
      <c r="F16469" s="54">
        <v>0.15</v>
      </c>
      <c r="G16469" s="51">
        <f>G16467*F16469</f>
        <v>7080.15</v>
      </c>
    </row>
    <row r="16470" spans="1:7" x14ac:dyDescent="0.25">
      <c r="A16470" s="64"/>
      <c r="D16470" s="55"/>
      <c r="E16470" s="49" t="s">
        <v>26</v>
      </c>
      <c r="F16470" s="54">
        <v>0.05</v>
      </c>
      <c r="G16470" s="51">
        <f>G16467*F16470</f>
        <v>2360.0500000000002</v>
      </c>
    </row>
    <row r="16471" spans="1:7" x14ac:dyDescent="0.25">
      <c r="A16471" s="61"/>
      <c r="B16471" s="65"/>
      <c r="C16471" s="65"/>
      <c r="D16471" s="62"/>
      <c r="E16471" s="49" t="s">
        <v>27</v>
      </c>
      <c r="F16471" s="54">
        <v>0.05</v>
      </c>
      <c r="G16471" s="51">
        <f>G16467*F16471</f>
        <v>2360.0500000000002</v>
      </c>
    </row>
    <row r="16472" spans="1:7" x14ac:dyDescent="0.25">
      <c r="A16472" s="61"/>
      <c r="B16472" s="62"/>
      <c r="C16472" s="62"/>
      <c r="D16472" s="62"/>
      <c r="E16472" s="62"/>
      <c r="F16472" s="62"/>
      <c r="G16472" s="63"/>
    </row>
    <row r="16473" spans="1:7" x14ac:dyDescent="0.25">
      <c r="A16473" s="219" t="s">
        <v>1517</v>
      </c>
      <c r="B16473" s="219"/>
      <c r="C16473" s="219"/>
      <c r="D16473" s="219"/>
      <c r="E16473" s="219"/>
      <c r="F16473" s="219"/>
      <c r="G16473" s="52">
        <f>G16467+G16469+G16470+G16471</f>
        <v>59001.250000000007</v>
      </c>
    </row>
    <row r="16474" spans="1:7" x14ac:dyDescent="0.25">
      <c r="A16474" s="59"/>
      <c r="B16474" s="60"/>
      <c r="C16474" s="60"/>
      <c r="D16474" s="60"/>
      <c r="E16474" s="57"/>
      <c r="F16474" s="57"/>
      <c r="G16474" s="58"/>
    </row>
    <row r="16475" spans="1:7" x14ac:dyDescent="0.25">
      <c r="A16475" s="64"/>
      <c r="D16475" s="55"/>
      <c r="E16475" s="49" t="s">
        <v>102</v>
      </c>
      <c r="F16475" s="49" t="s">
        <v>103</v>
      </c>
      <c r="G16475" s="51">
        <f>G16471*19%</f>
        <v>448.40950000000004</v>
      </c>
    </row>
    <row r="16476" spans="1:7" x14ac:dyDescent="0.25">
      <c r="A16476" s="61"/>
      <c r="B16476" s="62"/>
      <c r="C16476" s="62"/>
      <c r="D16476" s="62"/>
      <c r="E16476" s="57"/>
      <c r="F16476" s="57"/>
      <c r="G16476" s="58"/>
    </row>
    <row r="16477" spans="1:7" x14ac:dyDescent="0.25">
      <c r="A16477" s="219" t="s">
        <v>104</v>
      </c>
      <c r="B16477" s="219"/>
      <c r="C16477" s="219"/>
      <c r="D16477" s="219"/>
      <c r="E16477" s="219"/>
      <c r="F16477" s="219"/>
      <c r="G16477" s="52">
        <f>G16475+G16473</f>
        <v>59449.659500000009</v>
      </c>
    </row>
    <row r="16479" spans="1:7" x14ac:dyDescent="0.25">
      <c r="A16479" s="74" t="s">
        <v>29</v>
      </c>
      <c r="B16479" s="226" t="s">
        <v>30</v>
      </c>
      <c r="C16479" s="226"/>
      <c r="D16479" s="74" t="s">
        <v>31</v>
      </c>
      <c r="E16479" s="74" t="s">
        <v>32</v>
      </c>
      <c r="F16479" s="74" t="s">
        <v>189</v>
      </c>
      <c r="G16479" s="74" t="s">
        <v>33</v>
      </c>
    </row>
    <row r="16480" spans="1:7" ht="63.75" customHeight="1" x14ac:dyDescent="0.25">
      <c r="A16480" s="50" t="str">
        <f>Presupuesto!B325</f>
        <v>001_AUX</v>
      </c>
      <c r="B16480" s="220" t="str">
        <f>Presupuesto!C325</f>
        <v>SUMINISTRO, TRANSPORTE E INSTALACIÓN DE TRANSFORMADOR DE POTENCIA PARA SERVICIOS AUXILIARES DE C.A.TRÍFASICO CONVENCIONAL 30 KVA, 13.8/0.208 KV, DYN5, Cu-Cu, ACEITE VEGETAL. INCLUYE PUESTA A TIERRA, DPS, CORTACIRCUITOS, TERMINALES DE COMPRESION,  ROTULADO Y HERRAJERÍA PARA INSTALACIÓN EN PÓRTICO</v>
      </c>
      <c r="C16480" s="220"/>
      <c r="D16480" s="50" t="s">
        <v>8</v>
      </c>
      <c r="E16480" s="50">
        <v>1.5</v>
      </c>
      <c r="F16480" s="50"/>
      <c r="G16480" s="51">
        <f>G16550</f>
        <v>20986115.210499998</v>
      </c>
    </row>
    <row r="16481" spans="1:7" x14ac:dyDescent="0.25">
      <c r="A16481" s="219" t="s">
        <v>34</v>
      </c>
      <c r="B16481" s="219"/>
      <c r="C16481" s="219"/>
      <c r="D16481" s="219"/>
      <c r="E16481" s="219"/>
      <c r="F16481" s="219"/>
      <c r="G16481" s="219"/>
    </row>
    <row r="16482" spans="1:7" x14ac:dyDescent="0.25">
      <c r="A16482" s="49" t="s">
        <v>35</v>
      </c>
      <c r="B16482" s="219" t="s">
        <v>36</v>
      </c>
      <c r="C16482" s="219"/>
      <c r="D16482" s="49" t="s">
        <v>37</v>
      </c>
      <c r="E16482" s="49" t="s">
        <v>38</v>
      </c>
      <c r="F16482" s="49" t="s">
        <v>39</v>
      </c>
      <c r="G16482" s="49" t="s">
        <v>40</v>
      </c>
    </row>
    <row r="16483" spans="1:7" x14ac:dyDescent="0.25">
      <c r="A16483" s="17" t="str">
        <f>Material!A97</f>
        <v>MA-96</v>
      </c>
      <c r="B16483" s="72" t="str">
        <f>IFERROR(VLOOKUP(A16483,Material!$A:$J,2,0),"-")</f>
        <v>TRANSFORMADOR TRIFASICO EN ACEITE DE 30 KVA - 13.200 V - 208</v>
      </c>
      <c r="C16483" s="73"/>
      <c r="D16483" s="50" t="str">
        <f>IFERROR(VLOOKUP(A16483,Material!$A:$J,4,0),"-")</f>
        <v>UN</v>
      </c>
      <c r="E16483" s="50">
        <v>1</v>
      </c>
      <c r="F16483" s="51">
        <f>IFERROR(VLOOKUP(A16483,Material!$A:$J,3,0),"-")</f>
        <v>12621300</v>
      </c>
      <c r="G16483" s="51">
        <f t="shared" ref="G16483:G16493" si="232">IFERROR(ROUNDUP(F16483*E16483,0),"-")</f>
        <v>12621300</v>
      </c>
    </row>
    <row r="16484" spans="1:7" ht="27" customHeight="1" x14ac:dyDescent="0.25">
      <c r="A16484" s="17" t="str">
        <f>Material!A10</f>
        <v>MA-09</v>
      </c>
      <c r="B16484" s="221" t="str">
        <f>IFERROR(VLOOKUP(A16484,Material!$A:$J,2,0),"-")</f>
        <v>ESPARRAGO DE HIERRO GALVANIZADO ROSCADO EN TODA SU LONGITUD, 4 TUERCAS. DIAMETRO 16 MM LONGITUD 458  MM</v>
      </c>
      <c r="C16484" s="222"/>
      <c r="D16484" s="50" t="str">
        <f>IFERROR(VLOOKUP(A16484,Material!$A:$J,4,0),"-")</f>
        <v>UN</v>
      </c>
      <c r="E16484" s="50">
        <f>5*2</f>
        <v>10</v>
      </c>
      <c r="F16484" s="51">
        <f>IFERROR(VLOOKUP(A16484,Material!$A:$J,3,0),"-")</f>
        <v>10920</v>
      </c>
      <c r="G16484" s="51">
        <f t="shared" si="232"/>
        <v>109200</v>
      </c>
    </row>
    <row r="16485" spans="1:7" x14ac:dyDescent="0.25">
      <c r="A16485" s="17" t="str">
        <f>Material!A101</f>
        <v>MA-100</v>
      </c>
      <c r="B16485" s="72" t="str">
        <f>IFERROR(VLOOKUP(A16485,Material!$A:$J,2,0),"-")</f>
        <v>CABLE DE COBRE DESNUDO NO. 4 AWG, 7 HILOS (REF. EH = 803)</v>
      </c>
      <c r="C16485" s="76"/>
      <c r="D16485" s="50" t="str">
        <f>IFERROR(VLOOKUP(A16485,Material!$A:$J,4,0),"-")</f>
        <v>ML</v>
      </c>
      <c r="E16485" s="50">
        <v>9</v>
      </c>
      <c r="F16485" s="51">
        <f>IFERROR(VLOOKUP(A16485,Material!$A:$J,3,0),"-")</f>
        <v>26104</v>
      </c>
      <c r="G16485" s="51">
        <f t="shared" si="232"/>
        <v>234936</v>
      </c>
    </row>
    <row r="16486" spans="1:7" x14ac:dyDescent="0.25">
      <c r="A16486" s="17" t="str">
        <f>Material!A102</f>
        <v>MA-101</v>
      </c>
      <c r="B16486" s="72" t="str">
        <f>IFERROR(VLOOKUP(A16486,Material!$A:$J,2,0),"-")</f>
        <v>CINTA DE ACERO INOXIDABLE. DIMENSIONES 15.87 MM (REF. EH = 1282)</v>
      </c>
      <c r="C16486" s="76"/>
      <c r="D16486" s="50" t="str">
        <f>IFERROR(VLOOKUP(A16486,Material!$A:$J,4,0),"-")</f>
        <v>ML</v>
      </c>
      <c r="E16486" s="50">
        <v>3</v>
      </c>
      <c r="F16486" s="51">
        <f>IFERROR(VLOOKUP(A16486,Material!$A:$J,3,0),"-")</f>
        <v>6474</v>
      </c>
      <c r="G16486" s="51">
        <f t="shared" si="232"/>
        <v>19422</v>
      </c>
    </row>
    <row r="16487" spans="1:7" ht="27" customHeight="1" x14ac:dyDescent="0.25">
      <c r="A16487" s="17" t="str">
        <f>Material!A103</f>
        <v>MA-102</v>
      </c>
      <c r="B16487" s="221" t="str">
        <f>IFERROR(VLOOKUP(A16487,Material!$A:$J,2,0),"-")</f>
        <v>CONECTOR DE RANURAS PARALELAS DE DOS PERNOS. DIMENSIONES 70*45*45 MM (REF. EH = 1031)</v>
      </c>
      <c r="C16487" s="222"/>
      <c r="D16487" s="50" t="str">
        <f>IFERROR(VLOOKUP(A16487,Material!$A:$J,4,0),"-")</f>
        <v>UN</v>
      </c>
      <c r="E16487" s="50">
        <v>2</v>
      </c>
      <c r="F16487" s="51">
        <f>IFERROR(VLOOKUP(A16487,Material!$A:$J,3,0),"-")</f>
        <v>23078.9</v>
      </c>
      <c r="G16487" s="51">
        <f t="shared" si="232"/>
        <v>46158</v>
      </c>
    </row>
    <row r="16488" spans="1:7" x14ac:dyDescent="0.25">
      <c r="A16488" s="17" t="str">
        <f>Material!A104</f>
        <v>MA-103</v>
      </c>
      <c r="B16488" s="72" t="str">
        <f>IFERROR(VLOOKUP(A16488,Material!$A:$J,2,0),"-")</f>
        <v>CORTACIRCUITOS 15 KV MONOPOLAR (REF. EH = 3402)</v>
      </c>
      <c r="C16488" s="76"/>
      <c r="D16488" s="50" t="str">
        <f>IFERROR(VLOOKUP(A16488,Material!$A:$J,4,0),"-")</f>
        <v>UN</v>
      </c>
      <c r="E16488" s="50">
        <v>3</v>
      </c>
      <c r="F16488" s="51">
        <f>IFERROR(VLOOKUP(A16488,Material!$A:$J,3,0),"-")</f>
        <v>390266.5</v>
      </c>
      <c r="G16488" s="51">
        <f t="shared" si="232"/>
        <v>1170800</v>
      </c>
    </row>
    <row r="16489" spans="1:7" x14ac:dyDescent="0.25">
      <c r="A16489" s="17" t="str">
        <f>Material!A49</f>
        <v>MA-48</v>
      </c>
      <c r="B16489" s="72" t="str">
        <f>IFERROR(VLOOKUP(A16489,Material!$A:$J,2,0),"-")</f>
        <v>DPS VNOM: 15KV. ISC 12.5 KA</v>
      </c>
      <c r="C16489" s="76"/>
      <c r="D16489" s="50" t="str">
        <f>IFERROR(VLOOKUP(A16489,Material!$A:$J,4,0),"-")</f>
        <v>UN</v>
      </c>
      <c r="E16489" s="50">
        <v>3</v>
      </c>
      <c r="F16489" s="51">
        <f>IFERROR(VLOOKUP(A16489,Material!$A:$J,3,0),"-")</f>
        <v>154960</v>
      </c>
      <c r="G16489" s="51">
        <f t="shared" si="232"/>
        <v>464880</v>
      </c>
    </row>
    <row r="16490" spans="1:7" x14ac:dyDescent="0.25">
      <c r="A16490" s="17" t="str">
        <f>Material!A106</f>
        <v>MA-105</v>
      </c>
      <c r="B16490" s="72" t="str">
        <f>IFERROR(VLOOKUP(A16490,Material!$A:$J,2,0),"-")</f>
        <v>ESTRIBOS PARA NIVEL II (REF. EH = 2902)</v>
      </c>
      <c r="C16490" s="76"/>
      <c r="D16490" s="50" t="str">
        <f>IFERROR(VLOOKUP(A16490,Material!$A:$J,4,0),"-")</f>
        <v>UN</v>
      </c>
      <c r="E16490" s="50">
        <v>3</v>
      </c>
      <c r="F16490" s="51">
        <f>IFERROR(VLOOKUP(A16490,Material!$A:$J,3,0),"-")</f>
        <v>53995.5</v>
      </c>
      <c r="G16490" s="51">
        <f t="shared" si="232"/>
        <v>161987</v>
      </c>
    </row>
    <row r="16491" spans="1:7" ht="24" customHeight="1" x14ac:dyDescent="0.25">
      <c r="A16491" s="17" t="str">
        <f>Material!A107</f>
        <v>MA-106</v>
      </c>
      <c r="B16491" s="221" t="str">
        <f>IFERROR(VLOOKUP(A16491,Material!$A:$J,2,0),"-")</f>
        <v>GRAPA OPERAR EN CALIENTE CONDUCTOR AWG-MCM 6 - 400. DIAMETRO 4 - 13.5 MM. (REF. EH = 795)</v>
      </c>
      <c r="C16491" s="222"/>
      <c r="D16491" s="50" t="str">
        <f>IFERROR(VLOOKUP(A16491,Material!$A:$J,4,0),"-")</f>
        <v>UN</v>
      </c>
      <c r="E16491" s="50">
        <v>3</v>
      </c>
      <c r="F16491" s="51">
        <f>IFERROR(VLOOKUP(A16491,Material!$A:$J,3,0),"-")</f>
        <v>52942.5</v>
      </c>
      <c r="G16491" s="51">
        <f t="shared" si="232"/>
        <v>158828</v>
      </c>
    </row>
    <row r="16492" spans="1:7" ht="22.5" customHeight="1" x14ac:dyDescent="0.25">
      <c r="A16492" s="17" t="str">
        <f>Material!A108</f>
        <v>MA-107</v>
      </c>
      <c r="B16492" s="221" t="str">
        <f>IFERROR(VLOOKUP(A16492,Material!$A:$J,2,0),"-")</f>
        <v>TUBO CONDUIT METALICO GALVANIZADO IMC DIAMETRO 1/2 PULG. (REF. EH = 43440)</v>
      </c>
      <c r="C16492" s="222"/>
      <c r="D16492" s="50" t="str">
        <f>IFERROR(VLOOKUP(A16492,Material!$A:$J,4,0),"-")</f>
        <v>ML</v>
      </c>
      <c r="E16492" s="50">
        <v>3</v>
      </c>
      <c r="F16492" s="51">
        <f>IFERROR(VLOOKUP(A16492,Material!$A:$J,3,0),"-")</f>
        <v>19760</v>
      </c>
      <c r="G16492" s="51">
        <f t="shared" si="232"/>
        <v>59280</v>
      </c>
    </row>
    <row r="16493" spans="1:7" x14ac:dyDescent="0.25">
      <c r="A16493" s="17" t="str">
        <f>Material!A69</f>
        <v>MA-68</v>
      </c>
      <c r="B16493" s="72" t="str">
        <f>IFERROR(VLOOKUP(A16493,Material!$A:$J,2,0),"-")</f>
        <v>HEBILLA DE ACERO INOXIDABLE. DIMENSIONES 15.87 MM (REF. EH = 1292)</v>
      </c>
      <c r="C16493" s="76"/>
      <c r="D16493" s="50" t="str">
        <f>IFERROR(VLOOKUP(A16493,Material!$A:$J,4,0),"-")</f>
        <v>UN</v>
      </c>
      <c r="E16493" s="50">
        <v>3</v>
      </c>
      <c r="F16493" s="51">
        <f>IFERROR(VLOOKUP(A16493,Material!$A:$J,3,0),"-")</f>
        <v>780</v>
      </c>
      <c r="G16493" s="51">
        <f t="shared" si="232"/>
        <v>2340</v>
      </c>
    </row>
    <row r="16494" spans="1:7" x14ac:dyDescent="0.25">
      <c r="A16494" s="219" t="s">
        <v>41</v>
      </c>
      <c r="B16494" s="219"/>
      <c r="C16494" s="219"/>
      <c r="D16494" s="219"/>
      <c r="E16494" s="219"/>
      <c r="F16494" s="219"/>
      <c r="G16494" s="52">
        <f>SUM(G16483:G16493)</f>
        <v>15049131</v>
      </c>
    </row>
    <row r="16495" spans="1:7" x14ac:dyDescent="0.25">
      <c r="A16495" s="56"/>
      <c r="B16495" s="57"/>
      <c r="C16495" s="57"/>
      <c r="D16495" s="57"/>
      <c r="E16495" s="57"/>
      <c r="F16495" s="57"/>
      <c r="G16495" s="58"/>
    </row>
    <row r="16496" spans="1:7" x14ac:dyDescent="0.25">
      <c r="A16496" s="219" t="s">
        <v>42</v>
      </c>
      <c r="B16496" s="219"/>
      <c r="C16496" s="219"/>
      <c r="D16496" s="219"/>
      <c r="E16496" s="219"/>
      <c r="F16496" s="219"/>
      <c r="G16496" s="219"/>
    </row>
    <row r="16497" spans="1:7" x14ac:dyDescent="0.25">
      <c r="A16497" s="49" t="s">
        <v>35</v>
      </c>
      <c r="B16497" s="49" t="s">
        <v>36</v>
      </c>
      <c r="C16497" s="49" t="s">
        <v>38</v>
      </c>
      <c r="D16497" s="49" t="s">
        <v>43</v>
      </c>
      <c r="E16497" s="49" t="s">
        <v>44</v>
      </c>
      <c r="F16497" s="49" t="s">
        <v>45</v>
      </c>
      <c r="G16497" s="49" t="s">
        <v>40</v>
      </c>
    </row>
    <row r="16498" spans="1:7" x14ac:dyDescent="0.25">
      <c r="A16498" s="50" t="s">
        <v>319</v>
      </c>
      <c r="B16498" s="68" t="str">
        <f>VLOOKUP(A16498,'[1]Componentes APUs'!$H$1:$L$25,2,0)</f>
        <v>Ingeniero Residente de Obra</v>
      </c>
      <c r="C16498" s="93">
        <v>0.25</v>
      </c>
      <c r="D16498" s="50">
        <f>VLOOKUP(A16498,'[1]Componentes APUs'!$H$1:$L$25,3,0)</f>
        <v>4</v>
      </c>
      <c r="E16498" s="51">
        <f>VLOOKUP(A16498,'[1]Componentes APUs'!$H$1:$L$25,4,0)</f>
        <v>271142.85714285716</v>
      </c>
      <c r="F16498" s="51">
        <f>VLOOKUP(A16498,'[1]Componentes APUs'!$H$1:$L$25,5,0)</f>
        <v>162685.71428571429</v>
      </c>
      <c r="G16498" s="51">
        <f>ROUNDUP((E16498+F16498)*C16498/E16480,0)</f>
        <v>72305</v>
      </c>
    </row>
    <row r="16499" spans="1:7" x14ac:dyDescent="0.25">
      <c r="A16499" s="50" t="s">
        <v>320</v>
      </c>
      <c r="B16499" s="68" t="str">
        <f>VLOOKUP(A16499,'[1]Componentes APUs'!$H$1:$L$25,2,0)</f>
        <v>Tecnico Supervisor</v>
      </c>
      <c r="C16499" s="93">
        <v>0.25</v>
      </c>
      <c r="D16499" s="50">
        <f>VLOOKUP(A16499,'[1]Componentes APUs'!$H$1:$L$25,3,0)</f>
        <v>2.2999999999999998</v>
      </c>
      <c r="E16499" s="51">
        <f>VLOOKUP(A16499,'[1]Componentes APUs'!$H$1:$L$25,4,0)</f>
        <v>155907.14285714284</v>
      </c>
      <c r="F16499" s="51">
        <f>VLOOKUP(A16499,'[1]Componentes APUs'!$H$1:$L$25,5,0)</f>
        <v>93544.285714285696</v>
      </c>
      <c r="G16499" s="51">
        <f>ROUNDUP((E16499+F16499)*C16499/E16480,0)</f>
        <v>41576</v>
      </c>
    </row>
    <row r="16500" spans="1:7" x14ac:dyDescent="0.25">
      <c r="A16500" s="50" t="s">
        <v>46</v>
      </c>
      <c r="B16500" s="68" t="str">
        <f>VLOOKUP(A16500,'[1]Componentes APUs'!$H$1:$L$25,2,0)</f>
        <v>Tecnico Liniero</v>
      </c>
      <c r="C16500" s="93">
        <v>2</v>
      </c>
      <c r="D16500" s="50">
        <f>VLOOKUP(A16500,'[1]Componentes APUs'!$H$1:$L$25,3,0)</f>
        <v>2</v>
      </c>
      <c r="E16500" s="51">
        <f>VLOOKUP(A16500,'[1]Componentes APUs'!$H$1:$L$25,4,0)</f>
        <v>154619.04761904763</v>
      </c>
      <c r="F16500" s="51">
        <f>VLOOKUP(A16500,'[1]Componentes APUs'!$H$1:$L$25,5,0)</f>
        <v>92771.42857142858</v>
      </c>
      <c r="G16500" s="51">
        <f>ROUNDUP((E16500+F16500)*C16500/E16480,0)</f>
        <v>329854</v>
      </c>
    </row>
    <row r="16501" spans="1:7" x14ac:dyDescent="0.25">
      <c r="A16501" s="50" t="s">
        <v>48</v>
      </c>
      <c r="B16501" s="68" t="str">
        <f>VLOOKUP(A16501,'[1]Componentes APUs'!$H$1:$L$25,2,0)</f>
        <v>Ayudante Calificado</v>
      </c>
      <c r="C16501" s="93">
        <v>2</v>
      </c>
      <c r="D16501" s="50">
        <f>VLOOKUP(A16501,'[1]Componentes APUs'!$H$1:$L$25,3,0)</f>
        <v>1.5</v>
      </c>
      <c r="E16501" s="51">
        <f>VLOOKUP(A16501,'[1]Componentes APUs'!$H$1:$L$25,4,0)</f>
        <v>115964.28571428571</v>
      </c>
      <c r="F16501" s="51">
        <f>VLOOKUP(A16501,'[1]Componentes APUs'!$H$1:$L$25,5,0)</f>
        <v>69578.57142857142</v>
      </c>
      <c r="G16501" s="51">
        <f>ROUNDUP((E16501+F16501)*C16501/E16480,0)</f>
        <v>247391</v>
      </c>
    </row>
    <row r="16502" spans="1:7" x14ac:dyDescent="0.25">
      <c r="A16502" s="50" t="s">
        <v>50</v>
      </c>
      <c r="B16502" s="68" t="str">
        <f>VLOOKUP(A16502,'[1]Componentes APUs'!$H$1:$L$25,2,0)</f>
        <v>Profesional en SST</v>
      </c>
      <c r="C16502" s="93">
        <v>0.25</v>
      </c>
      <c r="D16502" s="50">
        <f>VLOOKUP(A16502,'[1]Componentes APUs'!$H$1:$L$25,3,0)</f>
        <v>2.5</v>
      </c>
      <c r="E16502" s="51">
        <f>VLOOKUP(A16502,'[1]Componentes APUs'!$H$1:$L$25,4,0)</f>
        <v>169464.28571428571</v>
      </c>
      <c r="F16502" s="51">
        <f>VLOOKUP(A16502,'[1]Componentes APUs'!$H$1:$L$25,5,0)</f>
        <v>101678.57142857142</v>
      </c>
      <c r="G16502" s="51">
        <f>ROUNDUP((E16502+F16502)*C16502/E16480,0)</f>
        <v>45191</v>
      </c>
    </row>
    <row r="16503" spans="1:7" x14ac:dyDescent="0.25">
      <c r="A16503" s="50" t="s">
        <v>52</v>
      </c>
      <c r="B16503" s="68" t="str">
        <f>VLOOKUP(A16503,'[1]Componentes APUs'!$H$1:$L$25,2,0)</f>
        <v>Ayudante No Calificado</v>
      </c>
      <c r="C16503" s="93">
        <v>0</v>
      </c>
      <c r="D16503" s="50">
        <f>VLOOKUP(A16503,'[1]Componentes APUs'!$H$1:$L$25,3,0)</f>
        <v>1</v>
      </c>
      <c r="E16503" s="51">
        <f>VLOOKUP(A16503,'[1]Componentes APUs'!$H$1:$L$25,4,0)</f>
        <v>77309.523809523816</v>
      </c>
      <c r="F16503" s="51">
        <f>VLOOKUP(A16503,'[1]Componentes APUs'!$H$1:$L$25,5,0)</f>
        <v>46385.71428571429</v>
      </c>
      <c r="G16503" s="51">
        <f>ROUNDUP((E16503+F16503)*C16503/E16480,0)</f>
        <v>0</v>
      </c>
    </row>
    <row r="16504" spans="1:7" x14ac:dyDescent="0.25">
      <c r="A16504" s="219" t="s">
        <v>56</v>
      </c>
      <c r="B16504" s="219"/>
      <c r="C16504" s="219"/>
      <c r="D16504" s="219"/>
      <c r="E16504" s="219"/>
      <c r="F16504" s="219"/>
      <c r="G16504" s="52">
        <f>SUM(G16498:G16503)</f>
        <v>736317</v>
      </c>
    </row>
    <row r="16505" spans="1:7" x14ac:dyDescent="0.25">
      <c r="A16505" s="56"/>
      <c r="B16505" s="57"/>
      <c r="C16505" s="57"/>
      <c r="D16505" s="57"/>
      <c r="E16505" s="57"/>
      <c r="F16505" s="57"/>
      <c r="G16505" s="58"/>
    </row>
    <row r="16506" spans="1:7" x14ac:dyDescent="0.25">
      <c r="A16506" s="219" t="s">
        <v>57</v>
      </c>
      <c r="B16506" s="219"/>
      <c r="C16506" s="219"/>
      <c r="D16506" s="219"/>
      <c r="E16506" s="219"/>
      <c r="F16506" s="219"/>
      <c r="G16506" s="219"/>
    </row>
    <row r="16507" spans="1:7" x14ac:dyDescent="0.25">
      <c r="A16507" s="49" t="s">
        <v>35</v>
      </c>
      <c r="B16507" s="219" t="s">
        <v>36</v>
      </c>
      <c r="C16507" s="219"/>
      <c r="D16507" s="49" t="s">
        <v>37</v>
      </c>
      <c r="E16507" s="49" t="s">
        <v>38</v>
      </c>
      <c r="F16507" s="49" t="s">
        <v>39</v>
      </c>
      <c r="G16507" s="49" t="s">
        <v>40</v>
      </c>
    </row>
    <row r="16508" spans="1:7" x14ac:dyDescent="0.25">
      <c r="A16508" s="50" t="s">
        <v>326</v>
      </c>
      <c r="B16508" s="220" t="str">
        <f>VLOOKUP(A16508,'[1]Componentes APUs'!$S$1:$V$10,2,0)</f>
        <v>Juego Llaves</v>
      </c>
      <c r="C16508" s="220"/>
      <c r="D16508" s="50" t="s">
        <v>18</v>
      </c>
      <c r="E16508" s="50">
        <v>2</v>
      </c>
      <c r="F16508" s="51">
        <f>VLOOKUP(A16508,'[1]Componentes APUs'!$S$1:$V$10,4,0)</f>
        <v>9167</v>
      </c>
      <c r="G16508" s="51">
        <f>ROUNDUP(F16508*((E16508/21)/E16480),0)</f>
        <v>583</v>
      </c>
    </row>
    <row r="16509" spans="1:7" x14ac:dyDescent="0.25">
      <c r="A16509" s="50" t="s">
        <v>58</v>
      </c>
      <c r="B16509" s="220" t="str">
        <f>VLOOKUP(A16509,'[1]Componentes APUs'!$S$1:$V$10,2,0)</f>
        <v>Manila de servicio</v>
      </c>
      <c r="C16509" s="220"/>
      <c r="D16509" s="50" t="s">
        <v>18</v>
      </c>
      <c r="E16509" s="50">
        <v>2</v>
      </c>
      <c r="F16509" s="51">
        <f>VLOOKUP(A16509,'[1]Componentes APUs'!$S$1:$V$10,4,0)</f>
        <v>2333</v>
      </c>
      <c r="G16509" s="51">
        <f>ROUNDUP(F16509*((E16509/21)/E16480),0)</f>
        <v>149</v>
      </c>
    </row>
    <row r="16510" spans="1:7" x14ac:dyDescent="0.25">
      <c r="A16510" s="50" t="s">
        <v>327</v>
      </c>
      <c r="B16510" s="220" t="str">
        <f>VLOOKUP(A16510,'[1]Componentes APUs'!$S$1:$V$10,2,0)</f>
        <v>Tula portaherramientas</v>
      </c>
      <c r="C16510" s="220"/>
      <c r="D16510" s="50" t="s">
        <v>18</v>
      </c>
      <c r="E16510" s="50">
        <v>2</v>
      </c>
      <c r="F16510" s="51">
        <f>VLOOKUP(A16510,'[1]Componentes APUs'!$S$1:$V$10,4,0)</f>
        <v>1250</v>
      </c>
      <c r="G16510" s="51">
        <f>ROUNDUP(F16510*((E16510/21)/E16480),0)</f>
        <v>80</v>
      </c>
    </row>
    <row r="16511" spans="1:7" x14ac:dyDescent="0.25">
      <c r="A16511" s="50" t="s">
        <v>60</v>
      </c>
      <c r="B16511" s="220" t="str">
        <f>VLOOKUP(A16511,'[1]Componentes APUs'!$S$1:$V$10,2,0)</f>
        <v>Agarradoras</v>
      </c>
      <c r="C16511" s="220"/>
      <c r="D16511" s="50" t="s">
        <v>18</v>
      </c>
      <c r="E16511" s="50">
        <v>1</v>
      </c>
      <c r="F16511" s="51">
        <f>VLOOKUP(A16511,'[1]Componentes APUs'!$S$1:$V$10,4,0)</f>
        <v>125000</v>
      </c>
      <c r="G16511" s="51">
        <f>ROUNDUP(F16511*((E16511/21)/E16480),0)</f>
        <v>3969</v>
      </c>
    </row>
    <row r="16512" spans="1:7" x14ac:dyDescent="0.25">
      <c r="A16512" s="50" t="s">
        <v>62</v>
      </c>
      <c r="B16512" s="220" t="str">
        <f>VLOOKUP(A16512,'[1]Componentes APUs'!$S$1:$V$10,2,0)</f>
        <v>Templadoras</v>
      </c>
      <c r="C16512" s="220"/>
      <c r="D16512" s="50" t="s">
        <v>18</v>
      </c>
      <c r="E16512" s="50">
        <v>1</v>
      </c>
      <c r="F16512" s="51">
        <f>VLOOKUP(A16512,'[1]Componentes APUs'!$S$1:$V$10,4,0)</f>
        <v>250000</v>
      </c>
      <c r="G16512" s="51">
        <f>ROUNDUP(F16512*((E16512/21)/E16480),0)</f>
        <v>7937</v>
      </c>
    </row>
    <row r="16513" spans="1:7" x14ac:dyDescent="0.25">
      <c r="A16513" s="50" t="s">
        <v>328</v>
      </c>
      <c r="B16513" s="220" t="str">
        <f>VLOOKUP(A16513,'[1]Componentes APUs'!$S$1:$V$10,2,0)</f>
        <v>Herramienta Menor</v>
      </c>
      <c r="C16513" s="220"/>
      <c r="D16513" s="50" t="s">
        <v>18</v>
      </c>
      <c r="E16513" s="50">
        <v>2</v>
      </c>
      <c r="F16513" s="51">
        <f>VLOOKUP(A16513,'[1]Componentes APUs'!$S$1:$V$10,4,0)</f>
        <v>75758</v>
      </c>
      <c r="G16513" s="51">
        <f>ROUNDUP(F16513*((E16513/21)/E16480),0)</f>
        <v>4811</v>
      </c>
    </row>
    <row r="16514" spans="1:7" x14ac:dyDescent="0.25">
      <c r="A16514" s="50" t="s">
        <v>66</v>
      </c>
      <c r="B16514" s="220" t="str">
        <f>VLOOKUP(A16514,'[1]Componentes APUs'!$S$1:$V$10,2,0)</f>
        <v>Diferencial 2 Toneladas</v>
      </c>
      <c r="C16514" s="220"/>
      <c r="D16514" s="50" t="s">
        <v>18</v>
      </c>
      <c r="E16514" s="50">
        <v>1</v>
      </c>
      <c r="F16514" s="51">
        <f>VLOOKUP(A16514,'[1]Componentes APUs'!$S$1:$V$10,4,0)</f>
        <v>474905</v>
      </c>
      <c r="G16514" s="51">
        <f>ROUNDUP(F16514*((E16514/21)/E16486),0)</f>
        <v>7539</v>
      </c>
    </row>
    <row r="16515" spans="1:7" x14ac:dyDescent="0.25">
      <c r="A16515" s="219" t="s">
        <v>69</v>
      </c>
      <c r="B16515" s="219"/>
      <c r="C16515" s="219"/>
      <c r="D16515" s="219"/>
      <c r="E16515" s="219"/>
      <c r="F16515" s="219"/>
      <c r="G16515" s="52">
        <f>SUM(G16508:G16514)</f>
        <v>25068</v>
      </c>
    </row>
    <row r="16516" spans="1:7" x14ac:dyDescent="0.25">
      <c r="A16516" s="56"/>
      <c r="B16516" s="57"/>
      <c r="C16516" s="57"/>
      <c r="D16516" s="57"/>
      <c r="E16516" s="57"/>
      <c r="F16516" s="57"/>
      <c r="G16516" s="58"/>
    </row>
    <row r="16517" spans="1:7" x14ac:dyDescent="0.25">
      <c r="A16517" s="219" t="s">
        <v>70</v>
      </c>
      <c r="B16517" s="219"/>
      <c r="C16517" s="219"/>
      <c r="D16517" s="219"/>
      <c r="E16517" s="219"/>
      <c r="F16517" s="219"/>
      <c r="G16517" s="219"/>
    </row>
    <row r="16518" spans="1:7" x14ac:dyDescent="0.25">
      <c r="A16518" s="49" t="s">
        <v>35</v>
      </c>
      <c r="B16518" s="219" t="s">
        <v>36</v>
      </c>
      <c r="C16518" s="219"/>
      <c r="D16518" s="49" t="s">
        <v>37</v>
      </c>
      <c r="E16518" s="49" t="s">
        <v>38</v>
      </c>
      <c r="F16518" s="49" t="s">
        <v>39</v>
      </c>
      <c r="G16518" s="49" t="s">
        <v>40</v>
      </c>
    </row>
    <row r="16519" spans="1:7" x14ac:dyDescent="0.25">
      <c r="A16519" s="50" t="s">
        <v>71</v>
      </c>
      <c r="B16519" s="71" t="str">
        <f>VLOOKUP(A16519,'[1]Componentes APUs'!$A$1:$D$14,2,0)</f>
        <v>Camisa indigo sin partes metalicas</v>
      </c>
      <c r="C16519" s="71"/>
      <c r="D16519" s="50" t="str">
        <f>VLOOKUP(A16519,'[1]Componentes APUs'!$A$1:$D$14,3,0)</f>
        <v>U</v>
      </c>
      <c r="E16519" s="50">
        <f>SUM(C16498:C16503)</f>
        <v>4.75</v>
      </c>
      <c r="F16519" s="51">
        <f>VLOOKUP(A16519,'[1]Componentes APUs'!$A$1:$D$14,4,0)</f>
        <v>8585.8585858585866</v>
      </c>
      <c r="G16519" s="51">
        <f>ROUNDUP(F16519*(E16519/21)/E16480,0)</f>
        <v>1295</v>
      </c>
    </row>
    <row r="16520" spans="1:7" x14ac:dyDescent="0.25">
      <c r="A16520" s="69" t="s">
        <v>73</v>
      </c>
      <c r="B16520" s="72" t="str">
        <f>VLOOKUP(A16520,'[1]Componentes APUs'!$A$1:$D$14,2,0)</f>
        <v>Bota de seguridad dielectrica</v>
      </c>
      <c r="C16520" s="73"/>
      <c r="D16520" s="70" t="str">
        <f>VLOOKUP(A16520,'[1]Componentes APUs'!$A$1:$D$14,3,0)</f>
        <v>Par</v>
      </c>
      <c r="E16520" s="50">
        <f>SUM(C16498:C16503)</f>
        <v>4.75</v>
      </c>
      <c r="F16520" s="51">
        <f>VLOOKUP(A16520,'[1]Componentes APUs'!$A$1:$D$14,4,0)</f>
        <v>7500</v>
      </c>
      <c r="G16520" s="51">
        <f>ROUNDUP(F16520*(E16520/21)/E16480,0)</f>
        <v>1131</v>
      </c>
    </row>
    <row r="16521" spans="1:7" x14ac:dyDescent="0.25">
      <c r="A16521" s="50" t="s">
        <v>76</v>
      </c>
      <c r="B16521" s="72" t="str">
        <f>VLOOKUP(A16521,'[1]Componentes APUs'!$A$1:$D$14,2,0)</f>
        <v>Casco dielectrico Tipo 1 Clase E con barbuquejo</v>
      </c>
      <c r="C16521" s="73"/>
      <c r="D16521" s="50" t="str">
        <f>VLOOKUP(A16521,'[1]Componentes APUs'!$A$1:$D$14,3,0)</f>
        <v>U</v>
      </c>
      <c r="E16521" s="50">
        <f>C16498+C16499+C16502+C16503+C16501+IF(A16500&lt;&gt;"MO-3",C16500,0)</f>
        <v>2.75</v>
      </c>
      <c r="F16521" s="51">
        <f>VLOOKUP(A16521,'[1]Componentes APUs'!$A$1:$D$14,4,0)</f>
        <v>10101.010101010101</v>
      </c>
      <c r="G16521" s="51">
        <f>ROUNDUP(F16521*(E16521/21)/E16480,0)</f>
        <v>882</v>
      </c>
    </row>
    <row r="16522" spans="1:7" x14ac:dyDescent="0.25">
      <c r="A16522" s="69" t="s">
        <v>77</v>
      </c>
      <c r="B16522" s="72" t="str">
        <f>VLOOKUP(A16522,'[1]Componentes APUs'!$A$1:$D$14,2,0)</f>
        <v>Correa plastica y antiflama</v>
      </c>
      <c r="C16522" s="73"/>
      <c r="D16522" s="50" t="str">
        <f>VLOOKUP(A16522,'[1]Componentes APUs'!$A$1:$D$14,3,0)</f>
        <v>U</v>
      </c>
      <c r="E16522" s="50">
        <f>SUM(C16498:C16503)</f>
        <v>4.75</v>
      </c>
      <c r="F16522" s="51">
        <f>VLOOKUP(A16522,'[1]Componentes APUs'!$A$1:$D$14,4,0)</f>
        <v>3787.878787878788</v>
      </c>
      <c r="G16522" s="51">
        <f>ROUNDUP(F16522*(E16522/21)/E16480,0)</f>
        <v>572</v>
      </c>
    </row>
    <row r="16523" spans="1:7" x14ac:dyDescent="0.25">
      <c r="A16523" s="50" t="s">
        <v>79</v>
      </c>
      <c r="B16523" s="72" t="str">
        <f>VLOOKUP(A16523,'[1]Componentes APUs'!$A$1:$D$14,2,0)</f>
        <v>Gafas protectoras filtro UV</v>
      </c>
      <c r="C16523" s="73"/>
      <c r="D16523" s="50" t="str">
        <f>VLOOKUP(A16523,'[1]Componentes APUs'!$A$1:$D$14,3,0)</f>
        <v>U</v>
      </c>
      <c r="E16523" s="50">
        <f>SUM(C16498:C16503)</f>
        <v>4.75</v>
      </c>
      <c r="F16523" s="51">
        <f>VLOOKUP(A16523,'[1]Componentes APUs'!$A$1:$D$14,4,0)</f>
        <v>2777.7777777777778</v>
      </c>
      <c r="G16523" s="51">
        <f>ROUNDUP(F16523*(E16523/21)/E16480,0)</f>
        <v>419</v>
      </c>
    </row>
    <row r="16524" spans="1:7" x14ac:dyDescent="0.25">
      <c r="A16524" s="69" t="s">
        <v>402</v>
      </c>
      <c r="B16524" s="72" t="str">
        <f>VLOOKUP(A16524,'[1]Componentes APUs'!$A$1:$D$14,2,0)</f>
        <v>Bota de seguridad PVC dielectrica</v>
      </c>
      <c r="C16524" s="73"/>
      <c r="D16524" s="50" t="str">
        <f>VLOOKUP(A16524,'[1]Componentes APUs'!$A$1:$D$14,3,0)</f>
        <v>Par</v>
      </c>
      <c r="E16524" s="50">
        <f>SUM(C16498:C16503)</f>
        <v>4.75</v>
      </c>
      <c r="F16524" s="51">
        <f>VLOOKUP(A16524,'[1]Componentes APUs'!$A$1:$D$14,4,0)</f>
        <v>2916.6666666666665</v>
      </c>
      <c r="G16524" s="51">
        <f>ROUNDUP(F16524*(E16524/21)/E16480,0)</f>
        <v>440</v>
      </c>
    </row>
    <row r="16525" spans="1:7" x14ac:dyDescent="0.25">
      <c r="A16525" s="50" t="s">
        <v>403</v>
      </c>
      <c r="B16525" s="72" t="str">
        <f>VLOOKUP(A16525,'[1]Componentes APUs'!$A$1:$D$14,2,0)</f>
        <v>Capuchon</v>
      </c>
      <c r="C16525" s="73"/>
      <c r="D16525" s="50" t="str">
        <f>VLOOKUP(A16525,'[1]Componentes APUs'!$A$1:$D$14,3,0)</f>
        <v>U</v>
      </c>
      <c r="E16525" s="50">
        <f>SUM(C16498:C16503)</f>
        <v>4.75</v>
      </c>
      <c r="F16525" s="51">
        <f>VLOOKUP(A16525,'[1]Componentes APUs'!$A$1:$D$14,4,0)</f>
        <v>2525.2525252525252</v>
      </c>
      <c r="G16525" s="51">
        <f>ROUNDUP(F16525*(E16525/21)/E16480,0)</f>
        <v>381</v>
      </c>
    </row>
    <row r="16526" spans="1:7" x14ac:dyDescent="0.25">
      <c r="A16526" s="69" t="s">
        <v>81</v>
      </c>
      <c r="B16526" s="72" t="str">
        <f>VLOOKUP(A16526,'[1]Componentes APUs'!$A$1:$D$14,2,0)</f>
        <v>Guantes Protectores  - ingeniero reforzados</v>
      </c>
      <c r="C16526" s="73"/>
      <c r="D16526" s="50" t="str">
        <f>VLOOKUP(A16526,'[1]Componentes APUs'!$A$1:$D$14,3,0)</f>
        <v>Par</v>
      </c>
      <c r="E16526" s="50">
        <f>C16500+C16501+C16503</f>
        <v>4</v>
      </c>
      <c r="F16526" s="51">
        <f>VLOOKUP(A16526,'[1]Componentes APUs'!$A$1:$D$14,4,0)</f>
        <v>2525.2525252525252</v>
      </c>
      <c r="G16526" s="51">
        <f>ROUNDUP(F16526*(E16526/21)/E16480,0)</f>
        <v>321</v>
      </c>
    </row>
    <row r="16527" spans="1:7" x14ac:dyDescent="0.25">
      <c r="A16527" s="50" t="s">
        <v>83</v>
      </c>
      <c r="B16527" s="72" t="str">
        <f>VLOOKUP(A16527,'[1]Componentes APUs'!$A$1:$D$14,2,0)</f>
        <v>Impermeable (pantalon camisa)</v>
      </c>
      <c r="C16527" s="73"/>
      <c r="D16527" s="50" t="str">
        <f>VLOOKUP(A16527,'[1]Componentes APUs'!$A$1:$D$14,3,0)</f>
        <v>U</v>
      </c>
      <c r="E16527" s="50">
        <f>SUM(C16498:C16503)</f>
        <v>4.75</v>
      </c>
      <c r="F16527" s="51">
        <f>VLOOKUP(A16527,'[1]Componentes APUs'!$A$1:$D$14,4,0)</f>
        <v>3750</v>
      </c>
      <c r="G16527" s="51">
        <f>ROUNDUP(F16527*(E16527/21)/E16480,0)</f>
        <v>566</v>
      </c>
    </row>
    <row r="16528" spans="1:7" x14ac:dyDescent="0.25">
      <c r="A16528" s="69" t="s">
        <v>85</v>
      </c>
      <c r="B16528" s="72" t="str">
        <f>VLOOKUP(A16528,'[1]Componentes APUs'!$A$1:$D$14,2,0)</f>
        <v>Jean Dielectrico</v>
      </c>
      <c r="C16528" s="73"/>
      <c r="D16528" s="50" t="str">
        <f>VLOOKUP(A16528,'[1]Componentes APUs'!$A$1:$D$14,3,0)</f>
        <v>U</v>
      </c>
      <c r="E16528" s="50">
        <f>SUM(C16498:C16503)</f>
        <v>4.75</v>
      </c>
      <c r="F16528" s="51">
        <f>VLOOKUP(A16528,'[1]Componentes APUs'!$A$1:$D$14,4,0)</f>
        <v>7575.757575757576</v>
      </c>
      <c r="G16528" s="51">
        <f>ROUNDUP(F16528*(E16528/21)/E16480,0)</f>
        <v>1143</v>
      </c>
    </row>
    <row r="16529" spans="1:7" x14ac:dyDescent="0.25">
      <c r="A16529" s="50" t="s">
        <v>87</v>
      </c>
      <c r="B16529" s="72" t="str">
        <f>VLOOKUP(A16529,'[1]Componentes APUs'!$A$1:$D$14,2,0)</f>
        <v>Casco dielectrico Tipo 2 Clase E con barboquejo</v>
      </c>
      <c r="C16529" s="73"/>
      <c r="D16529" s="50" t="str">
        <f>VLOOKUP(A16529,'[1]Componentes APUs'!$A$1:$D$14,3,0)</f>
        <v>U</v>
      </c>
      <c r="E16529" s="53">
        <f>IF(A16500="MO-3",C16500,0)</f>
        <v>2</v>
      </c>
      <c r="F16529" s="51">
        <f>VLOOKUP(A16529,'[1]Componentes APUs'!$A$1:$D$14,4,0)</f>
        <v>7500</v>
      </c>
      <c r="G16529" s="51">
        <f>ROUNDUP(F16529*(E16529/21)/E16480,0)</f>
        <v>477</v>
      </c>
    </row>
    <row r="16530" spans="1:7" x14ac:dyDescent="0.25">
      <c r="A16530" s="69" t="s">
        <v>89</v>
      </c>
      <c r="B16530" s="72" t="str">
        <f>VLOOKUP(A16530,'[1]Componentes APUs'!$A$1:$D$14,2,0)</f>
        <v>Kit de rescate para trabajo en alturas</v>
      </c>
      <c r="C16530" s="73"/>
      <c r="D16530" s="50" t="str">
        <f>VLOOKUP(A16530,'[1]Componentes APUs'!$A$1:$D$14,3,0)</f>
        <v>U</v>
      </c>
      <c r="E16530" s="50">
        <f>IF(AND(A16500="MO-3",C16500=2),1,0)</f>
        <v>1</v>
      </c>
      <c r="F16530" s="51">
        <f>VLOOKUP(A16530,'[1]Componentes APUs'!$A$1:$D$14,4,0)</f>
        <v>37500</v>
      </c>
      <c r="G16530" s="51">
        <f>ROUNDUP(F16530*(E16530/21)/E16480,0)</f>
        <v>1191</v>
      </c>
    </row>
    <row r="16531" spans="1:7" x14ac:dyDescent="0.25">
      <c r="A16531" s="50" t="s">
        <v>91</v>
      </c>
      <c r="B16531" s="72" t="str">
        <f>VLOOKUP(A16531,'[1]Componentes APUs'!$A$1:$D$14,2,0)</f>
        <v>Equipo completo para trabajo en alturas con pretales (Arnes dielectrico, 1 mosqueton de seguridad, tie off dielectrico, eslinga de posicionamiento, juego de pretales)</v>
      </c>
      <c r="C16531" s="73"/>
      <c r="D16531" s="50" t="str">
        <f>VLOOKUP(A16531,'[1]Componentes APUs'!$A$1:$D$14,3,0)</f>
        <v>U</v>
      </c>
      <c r="E16531" s="50">
        <f>IF(A16500="MO-3",C16500,0)</f>
        <v>2</v>
      </c>
      <c r="F16531" s="51">
        <f>VLOOKUP(A16531,'[1]Componentes APUs'!$A$1:$D$14,4,0)</f>
        <v>26041.666666666668</v>
      </c>
      <c r="G16531" s="51">
        <f>ROUNDUP(F16531*(E16531/21)/E16480,0)</f>
        <v>1654</v>
      </c>
    </row>
    <row r="16532" spans="1:7" x14ac:dyDescent="0.25">
      <c r="A16532" s="219" t="s">
        <v>95</v>
      </c>
      <c r="B16532" s="219"/>
      <c r="C16532" s="219"/>
      <c r="D16532" s="219"/>
      <c r="E16532" s="219"/>
      <c r="F16532" s="219"/>
      <c r="G16532" s="52">
        <f>SUM(G16519:G16531)</f>
        <v>10472</v>
      </c>
    </row>
    <row r="16533" spans="1:7" x14ac:dyDescent="0.25">
      <c r="A16533" s="56"/>
      <c r="B16533" s="57"/>
      <c r="C16533" s="57"/>
      <c r="D16533" s="57"/>
      <c r="E16533" s="57"/>
      <c r="F16533" s="57"/>
      <c r="G16533" s="58"/>
    </row>
    <row r="16534" spans="1:7" x14ac:dyDescent="0.25">
      <c r="A16534" s="219" t="s">
        <v>96</v>
      </c>
      <c r="B16534" s="219"/>
      <c r="C16534" s="219"/>
      <c r="D16534" s="219"/>
      <c r="E16534" s="219"/>
      <c r="F16534" s="219"/>
      <c r="G16534" s="219"/>
    </row>
    <row r="16535" spans="1:7" x14ac:dyDescent="0.25">
      <c r="A16535" s="49" t="s">
        <v>35</v>
      </c>
      <c r="B16535" s="225" t="s">
        <v>36</v>
      </c>
      <c r="C16535" s="225"/>
      <c r="D16535" s="49" t="s">
        <v>37</v>
      </c>
      <c r="E16535" s="49" t="s">
        <v>38</v>
      </c>
      <c r="F16535" s="49" t="s">
        <v>39</v>
      </c>
      <c r="G16535" s="49" t="s">
        <v>40</v>
      </c>
    </row>
    <row r="16536" spans="1:7" x14ac:dyDescent="0.25">
      <c r="A16536" s="69" t="s">
        <v>97</v>
      </c>
      <c r="B16536" s="72" t="str">
        <f>VLOOKUP(A16536,'[1]Componentes APUs'!$N$1:$Q$30,2,0)</f>
        <v>Camioneta</v>
      </c>
      <c r="C16536" s="73"/>
      <c r="D16536" s="70" t="str">
        <f>VLOOKUP(A16536,'[1]Componentes APUs'!$N$1:$Q$30,3,0)</f>
        <v>U</v>
      </c>
      <c r="E16536" s="50">
        <v>1</v>
      </c>
      <c r="F16536" s="51">
        <f>VLOOKUP(A16536,'[1]Componentes APUs'!$N$1:$Q$30,4,0)</f>
        <v>5500000</v>
      </c>
      <c r="G16536" s="51">
        <f>IFERROR(ROUNDUP(F16536*(E16536/21)/E16480,0),0)</f>
        <v>174604</v>
      </c>
    </row>
    <row r="16537" spans="1:7" x14ac:dyDescent="0.25">
      <c r="A16537" s="50" t="s">
        <v>321</v>
      </c>
      <c r="B16537" s="72" t="str">
        <f>VLOOKUP(A16537,'[1]Componentes APUs'!$N$1:$Q$30,2,0)</f>
        <v>Grúa Hidráulica</v>
      </c>
      <c r="C16537" s="73"/>
      <c r="D16537" s="70" t="str">
        <f>VLOOKUP(A16537,'[1]Componentes APUs'!$N$1:$Q$30,3,0)</f>
        <v>U</v>
      </c>
      <c r="E16537" s="50">
        <v>1</v>
      </c>
      <c r="F16537" s="51">
        <f>VLOOKUP(A16537,'[1]Componentes APUs'!$N$1:$Q$30,4,0)</f>
        <v>21000000</v>
      </c>
      <c r="G16537" s="51">
        <f>IFERROR(ROUNDUP(F16537*(E16537/21)/E16480,0),0)</f>
        <v>666667</v>
      </c>
    </row>
    <row r="16538" spans="1:7" x14ac:dyDescent="0.25">
      <c r="A16538" s="219" t="s">
        <v>99</v>
      </c>
      <c r="B16538" s="219"/>
      <c r="C16538" s="219"/>
      <c r="D16538" s="219"/>
      <c r="E16538" s="219"/>
      <c r="F16538" s="219"/>
      <c r="G16538" s="52">
        <f>SUM(G16536:G16537)</f>
        <v>841271</v>
      </c>
    </row>
    <row r="16539" spans="1:7" x14ac:dyDescent="0.25">
      <c r="A16539" s="56"/>
      <c r="B16539" s="57"/>
      <c r="C16539" s="57"/>
      <c r="D16539" s="57"/>
      <c r="E16539" s="57"/>
      <c r="F16539" s="57"/>
      <c r="G16539" s="58"/>
    </row>
    <row r="16540" spans="1:7" x14ac:dyDescent="0.25">
      <c r="A16540" s="219" t="s">
        <v>1516</v>
      </c>
      <c r="B16540" s="219"/>
      <c r="C16540" s="219"/>
      <c r="D16540" s="219"/>
      <c r="E16540" s="219"/>
      <c r="F16540" s="219"/>
      <c r="G16540" s="52">
        <f>G16538+G16532+G16515+G16504+G16494</f>
        <v>16662259</v>
      </c>
    </row>
    <row r="16541" spans="1:7" x14ac:dyDescent="0.25">
      <c r="A16541" s="59"/>
      <c r="B16541" s="60"/>
      <c r="C16541" s="60"/>
      <c r="D16541" s="60"/>
      <c r="E16541" s="57"/>
      <c r="F16541" s="57"/>
      <c r="G16541" s="58"/>
    </row>
    <row r="16542" spans="1:7" x14ac:dyDescent="0.25">
      <c r="A16542" s="64"/>
      <c r="D16542" s="55"/>
      <c r="E16542" s="49" t="s">
        <v>25</v>
      </c>
      <c r="F16542" s="54">
        <v>0.15</v>
      </c>
      <c r="G16542" s="51">
        <f>G16540*F16542</f>
        <v>2499338.85</v>
      </c>
    </row>
    <row r="16543" spans="1:7" x14ac:dyDescent="0.25">
      <c r="A16543" s="64"/>
      <c r="D16543" s="55"/>
      <c r="E16543" s="49" t="s">
        <v>26</v>
      </c>
      <c r="F16543" s="54">
        <v>0.05</v>
      </c>
      <c r="G16543" s="51">
        <f>G16540*F16543</f>
        <v>833112.95000000007</v>
      </c>
    </row>
    <row r="16544" spans="1:7" x14ac:dyDescent="0.25">
      <c r="A16544" s="61"/>
      <c r="B16544" s="65"/>
      <c r="C16544" s="65"/>
      <c r="D16544" s="62"/>
      <c r="E16544" s="49" t="s">
        <v>27</v>
      </c>
      <c r="F16544" s="54">
        <v>0.05</v>
      </c>
      <c r="G16544" s="51">
        <f>G16540*F16544</f>
        <v>833112.95000000007</v>
      </c>
    </row>
    <row r="16545" spans="1:7" x14ac:dyDescent="0.25">
      <c r="A16545" s="61"/>
      <c r="B16545" s="62"/>
      <c r="C16545" s="62"/>
      <c r="D16545" s="62"/>
      <c r="E16545" s="62"/>
      <c r="F16545" s="62"/>
      <c r="G16545" s="63"/>
    </row>
    <row r="16546" spans="1:7" x14ac:dyDescent="0.25">
      <c r="A16546" s="219" t="s">
        <v>1517</v>
      </c>
      <c r="B16546" s="219"/>
      <c r="C16546" s="219"/>
      <c r="D16546" s="219"/>
      <c r="E16546" s="219"/>
      <c r="F16546" s="219"/>
      <c r="G16546" s="52">
        <f>G16540+G16542+G16543+G16544</f>
        <v>20827823.75</v>
      </c>
    </row>
    <row r="16547" spans="1:7" x14ac:dyDescent="0.25">
      <c r="A16547" s="59"/>
      <c r="B16547" s="60"/>
      <c r="C16547" s="60"/>
      <c r="D16547" s="60"/>
      <c r="E16547" s="57"/>
      <c r="F16547" s="57"/>
      <c r="G16547" s="58"/>
    </row>
    <row r="16548" spans="1:7" x14ac:dyDescent="0.25">
      <c r="A16548" s="64"/>
      <c r="D16548" s="55"/>
      <c r="E16548" s="49" t="s">
        <v>102</v>
      </c>
      <c r="F16548" s="49" t="s">
        <v>103</v>
      </c>
      <c r="G16548" s="51">
        <f>G16544*19%</f>
        <v>158291.46050000002</v>
      </c>
    </row>
    <row r="16549" spans="1:7" x14ac:dyDescent="0.25">
      <c r="A16549" s="61"/>
      <c r="B16549" s="62"/>
      <c r="C16549" s="62"/>
      <c r="D16549" s="62"/>
      <c r="E16549" s="57"/>
      <c r="F16549" s="57"/>
      <c r="G16549" s="58"/>
    </row>
    <row r="16550" spans="1:7" x14ac:dyDescent="0.25">
      <c r="A16550" s="219" t="s">
        <v>104</v>
      </c>
      <c r="B16550" s="219"/>
      <c r="C16550" s="219"/>
      <c r="D16550" s="219"/>
      <c r="E16550" s="219"/>
      <c r="F16550" s="219"/>
      <c r="G16550" s="52">
        <f>G16548+G16546</f>
        <v>20986115.210499998</v>
      </c>
    </row>
    <row r="16552" spans="1:7" x14ac:dyDescent="0.25">
      <c r="A16552" s="74" t="s">
        <v>29</v>
      </c>
      <c r="B16552" s="226" t="s">
        <v>30</v>
      </c>
      <c r="C16552" s="226"/>
      <c r="D16552" s="74" t="s">
        <v>31</v>
      </c>
      <c r="E16552" s="74" t="s">
        <v>32</v>
      </c>
      <c r="F16552" s="74" t="s">
        <v>189</v>
      </c>
      <c r="G16552" s="74" t="s">
        <v>33</v>
      </c>
    </row>
    <row r="16553" spans="1:7" ht="56.25" customHeight="1" x14ac:dyDescent="0.25">
      <c r="A16553" s="50" t="str">
        <f>Presupuesto!B326</f>
        <v>002_AUX</v>
      </c>
      <c r="B16553" s="220" t="str">
        <f>Presupuesto!C326</f>
        <v>SUMINISTRO, TRANSPORTE E INSTALACIÓN DE TRANSFORMADOR DE POTENCIA PARA SERVICIOS AUXILIARES DE C.A.TRÍFASICO CONVENCIONAL 30 KVA, 34.5/0.208 KV, DYN5, Cu-Cu, ACEITE VEGETAL. INCLUYE PUESTA A TIERRA, DPS, CORTACIRCUITOS, TERMINALES DE COMPRESION, ROTULADO Y HERRAJERÍA PARA INSTALACIÓN EN PÓRTICO</v>
      </c>
      <c r="C16553" s="220"/>
      <c r="D16553" s="50" t="s">
        <v>8</v>
      </c>
      <c r="E16553" s="50">
        <v>1.5</v>
      </c>
      <c r="F16553" s="50"/>
      <c r="G16553" s="51">
        <f>G16623</f>
        <v>26847295.442000002</v>
      </c>
    </row>
    <row r="16554" spans="1:7" x14ac:dyDescent="0.25">
      <c r="A16554" s="219"/>
      <c r="B16554" s="219"/>
      <c r="C16554" s="219"/>
      <c r="D16554" s="219"/>
      <c r="E16554" s="219"/>
      <c r="F16554" s="219"/>
      <c r="G16554" s="219"/>
    </row>
    <row r="16555" spans="1:7" x14ac:dyDescent="0.25">
      <c r="A16555" s="49" t="s">
        <v>35</v>
      </c>
      <c r="B16555" s="219" t="s">
        <v>36</v>
      </c>
      <c r="C16555" s="219"/>
      <c r="D16555" s="49" t="s">
        <v>37</v>
      </c>
      <c r="E16555" s="49" t="s">
        <v>38</v>
      </c>
      <c r="F16555" s="49" t="s">
        <v>39</v>
      </c>
      <c r="G16555" s="49" t="s">
        <v>40</v>
      </c>
    </row>
    <row r="16556" spans="1:7" x14ac:dyDescent="0.25">
      <c r="A16556" s="17" t="str">
        <f>Material!A96</f>
        <v>MA-95</v>
      </c>
      <c r="B16556" s="72" t="str">
        <f>IFERROR(VLOOKUP(A16556,Material!$A:$J,2,0),"-")</f>
        <v>TRANSFORMADOR TRIFASICO EN ACEITE DE 30 KVA - 34.500 V - 208</v>
      </c>
      <c r="C16556" s="73"/>
      <c r="D16556" s="50" t="str">
        <f>IFERROR(VLOOKUP(A16556,Material!$A:$J,4,0),"-")</f>
        <v>UN</v>
      </c>
      <c r="E16556" s="50">
        <v>1</v>
      </c>
      <c r="F16556" s="51">
        <f>IFERROR(VLOOKUP(A16556,Material!$A:$J,3,0),"-")</f>
        <v>17280000</v>
      </c>
      <c r="G16556" s="51">
        <f t="shared" ref="G16556:G16566" si="233">IFERROR(ROUNDUP(F16556*E16556,0),"-")</f>
        <v>17280000</v>
      </c>
    </row>
    <row r="16557" spans="1:7" ht="22.5" customHeight="1" x14ac:dyDescent="0.25">
      <c r="A16557" s="17" t="str">
        <f>Material!A10</f>
        <v>MA-09</v>
      </c>
      <c r="B16557" s="221" t="str">
        <f>IFERROR(VLOOKUP(A16557,Material!$A:$J,2,0),"-")</f>
        <v>ESPARRAGO DE HIERRO GALVANIZADO ROSCADO EN TODA SU LONGITUD, 4 TUERCAS. DIAMETRO 16 MM LONGITUD 458  MM</v>
      </c>
      <c r="C16557" s="222"/>
      <c r="D16557" s="50" t="str">
        <f>IFERROR(VLOOKUP(A16557,Material!$A:$J,4,0),"-")</f>
        <v>UN</v>
      </c>
      <c r="E16557" s="50">
        <f>5*2</f>
        <v>10</v>
      </c>
      <c r="F16557" s="51">
        <f>IFERROR(VLOOKUP(A16557,Material!$A:$J,3,0),"-")</f>
        <v>10920</v>
      </c>
      <c r="G16557" s="51">
        <f t="shared" si="233"/>
        <v>109200</v>
      </c>
    </row>
    <row r="16558" spans="1:7" x14ac:dyDescent="0.25">
      <c r="A16558" s="17" t="str">
        <f>Material!A101</f>
        <v>MA-100</v>
      </c>
      <c r="B16558" s="72" t="str">
        <f>IFERROR(VLOOKUP(A16558,Material!$A:$J,2,0),"-")</f>
        <v>CABLE DE COBRE DESNUDO NO. 4 AWG, 7 HILOS (REF. EH = 803)</v>
      </c>
      <c r="C16558" s="76"/>
      <c r="D16558" s="50" t="str">
        <f>IFERROR(VLOOKUP(A16558,Material!$A:$J,4,0),"-")</f>
        <v>ML</v>
      </c>
      <c r="E16558" s="50">
        <v>9</v>
      </c>
      <c r="F16558" s="51">
        <f>IFERROR(VLOOKUP(A16558,Material!$A:$J,3,0),"-")</f>
        <v>26104</v>
      </c>
      <c r="G16558" s="51">
        <f t="shared" si="233"/>
        <v>234936</v>
      </c>
    </row>
    <row r="16559" spans="1:7" x14ac:dyDescent="0.25">
      <c r="A16559" s="17" t="str">
        <f>Material!A102</f>
        <v>MA-101</v>
      </c>
      <c r="B16559" s="72" t="str">
        <f>IFERROR(VLOOKUP(A16559,Material!$A:$J,2,0),"-")</f>
        <v>CINTA DE ACERO INOXIDABLE. DIMENSIONES 15.87 MM (REF. EH = 1282)</v>
      </c>
      <c r="C16559" s="76"/>
      <c r="D16559" s="50" t="str">
        <f>IFERROR(VLOOKUP(A16559,Material!$A:$J,4,0),"-")</f>
        <v>ML</v>
      </c>
      <c r="E16559" s="50">
        <v>3</v>
      </c>
      <c r="F16559" s="51">
        <f>IFERROR(VLOOKUP(A16559,Material!$A:$J,3,0),"-")</f>
        <v>6474</v>
      </c>
      <c r="G16559" s="51">
        <f t="shared" si="233"/>
        <v>19422</v>
      </c>
    </row>
    <row r="16560" spans="1:7" ht="22.5" customHeight="1" x14ac:dyDescent="0.25">
      <c r="A16560" s="17" t="str">
        <f>Material!A103</f>
        <v>MA-102</v>
      </c>
      <c r="B16560" s="221" t="str">
        <f>IFERROR(VLOOKUP(A16560,Material!$A:$J,2,0),"-")</f>
        <v>CONECTOR DE RANURAS PARALELAS DE DOS PERNOS. DIMENSIONES 70*45*45 MM (REF. EH = 1031)</v>
      </c>
      <c r="C16560" s="222"/>
      <c r="D16560" s="50" t="str">
        <f>IFERROR(VLOOKUP(A16560,Material!$A:$J,4,0),"-")</f>
        <v>UN</v>
      </c>
      <c r="E16560" s="50">
        <v>2</v>
      </c>
      <c r="F16560" s="51">
        <f>IFERROR(VLOOKUP(A16560,Material!$A:$J,3,0),"-")</f>
        <v>23078.9</v>
      </c>
      <c r="G16560" s="51">
        <f t="shared" si="233"/>
        <v>46158</v>
      </c>
    </row>
    <row r="16561" spans="1:7" x14ac:dyDescent="0.25">
      <c r="A16561" s="17" t="str">
        <f>Material!A110</f>
        <v>MA-109</v>
      </c>
      <c r="B16561" s="72" t="str">
        <f>IFERROR(VLOOKUP(A16561,Material!$A:$J,2,0),"-")</f>
        <v>CORTACIRCUITOS 38 KV MONOPOLAR (REF. EH = 3402)</v>
      </c>
      <c r="C16561" s="76"/>
      <c r="D16561" s="50" t="str">
        <f>IFERROR(VLOOKUP(A16561,Material!$A:$J,4,0),"-")</f>
        <v>UN</v>
      </c>
      <c r="E16561" s="50">
        <v>3</v>
      </c>
      <c r="F16561" s="51">
        <f>IFERROR(VLOOKUP(A16561,Material!$A:$J,3,0),"-")</f>
        <v>382395</v>
      </c>
      <c r="G16561" s="51">
        <f t="shared" si="233"/>
        <v>1147185</v>
      </c>
    </row>
    <row r="16562" spans="1:7" x14ac:dyDescent="0.25">
      <c r="A16562" s="17" t="str">
        <f>Material!A25</f>
        <v>MA-24</v>
      </c>
      <c r="B16562" s="72" t="str">
        <f>IFERROR(VLOOKUP(A16562,Material!$A:$J,2,0),"-")</f>
        <v>DPS VNOM: 38KV. ISC 12.5 KA</v>
      </c>
      <c r="C16562" s="76"/>
      <c r="D16562" s="50" t="str">
        <f>IFERROR(VLOOKUP(A16562,Material!$A:$J,4,0),"-")</f>
        <v>UN</v>
      </c>
      <c r="E16562" s="50">
        <v>3</v>
      </c>
      <c r="F16562" s="51">
        <f>IFERROR(VLOOKUP(A16562,Material!$A:$J,3,0),"-")</f>
        <v>394810</v>
      </c>
      <c r="G16562" s="51">
        <f t="shared" si="233"/>
        <v>1184430</v>
      </c>
    </row>
    <row r="16563" spans="1:7" x14ac:dyDescent="0.25">
      <c r="A16563" s="17" t="str">
        <f>Material!A106</f>
        <v>MA-105</v>
      </c>
      <c r="B16563" s="72" t="str">
        <f>IFERROR(VLOOKUP(A16563,Material!$A:$J,2,0),"-")</f>
        <v>ESTRIBOS PARA NIVEL II (REF. EH = 2902)</v>
      </c>
      <c r="C16563" s="76"/>
      <c r="D16563" s="50" t="str">
        <f>IFERROR(VLOOKUP(A16563,Material!$A:$J,4,0),"-")</f>
        <v>UN</v>
      </c>
      <c r="E16563" s="50">
        <v>3</v>
      </c>
      <c r="F16563" s="51">
        <f>IFERROR(VLOOKUP(A16563,Material!$A:$J,3,0),"-")</f>
        <v>53995.5</v>
      </c>
      <c r="G16563" s="51">
        <f t="shared" si="233"/>
        <v>161987</v>
      </c>
    </row>
    <row r="16564" spans="1:7" ht="22.5" customHeight="1" x14ac:dyDescent="0.25">
      <c r="A16564" s="17" t="str">
        <f>Material!A107</f>
        <v>MA-106</v>
      </c>
      <c r="B16564" s="221" t="str">
        <f>IFERROR(VLOOKUP(A16564,Material!$A:$J,2,0),"-")</f>
        <v>GRAPA OPERAR EN CALIENTE CONDUCTOR AWG-MCM 6 - 400. DIAMETRO 4 - 13.5 MM. (REF. EH = 795)</v>
      </c>
      <c r="C16564" s="222"/>
      <c r="D16564" s="50" t="str">
        <f>IFERROR(VLOOKUP(A16564,Material!$A:$J,4,0),"-")</f>
        <v>UN</v>
      </c>
      <c r="E16564" s="50">
        <v>3</v>
      </c>
      <c r="F16564" s="51">
        <f>IFERROR(VLOOKUP(A16564,Material!$A:$J,3,0),"-")</f>
        <v>52942.5</v>
      </c>
      <c r="G16564" s="51">
        <f t="shared" si="233"/>
        <v>158828</v>
      </c>
    </row>
    <row r="16565" spans="1:7" ht="22.5" customHeight="1" x14ac:dyDescent="0.25">
      <c r="A16565" s="17" t="str">
        <f>Material!A108</f>
        <v>MA-107</v>
      </c>
      <c r="B16565" s="221" t="str">
        <f>IFERROR(VLOOKUP(A16565,Material!$A:$J,2,0),"-")</f>
        <v>TUBO CONDUIT METALICO GALVANIZADO IMC DIAMETRO 1/2 PULG. (REF. EH = 43440)</v>
      </c>
      <c r="C16565" s="222"/>
      <c r="D16565" s="50" t="str">
        <f>IFERROR(VLOOKUP(A16565,Material!$A:$J,4,0),"-")</f>
        <v>ML</v>
      </c>
      <c r="E16565" s="50">
        <v>3</v>
      </c>
      <c r="F16565" s="51">
        <f>IFERROR(VLOOKUP(A16565,Material!$A:$J,3,0),"-")</f>
        <v>19760</v>
      </c>
      <c r="G16565" s="51">
        <f t="shared" si="233"/>
        <v>59280</v>
      </c>
    </row>
    <row r="16566" spans="1:7" x14ac:dyDescent="0.25">
      <c r="A16566" s="17" t="str">
        <f>Material!A69</f>
        <v>MA-68</v>
      </c>
      <c r="B16566" s="72" t="str">
        <f>IFERROR(VLOOKUP(A16566,Material!$A:$J,2,0),"-")</f>
        <v>HEBILLA DE ACERO INOXIDABLE. DIMENSIONES 15.87 MM (REF. EH = 1292)</v>
      </c>
      <c r="C16566" s="76"/>
      <c r="D16566" s="50" t="str">
        <f>IFERROR(VLOOKUP(A16566,Material!$A:$J,4,0),"-")</f>
        <v>UN</v>
      </c>
      <c r="E16566" s="50">
        <v>3</v>
      </c>
      <c r="F16566" s="51">
        <f>IFERROR(VLOOKUP(A16566,Material!$A:$J,3,0),"-")</f>
        <v>780</v>
      </c>
      <c r="G16566" s="51">
        <f t="shared" si="233"/>
        <v>2340</v>
      </c>
    </row>
    <row r="16567" spans="1:7" x14ac:dyDescent="0.25">
      <c r="A16567" s="219" t="s">
        <v>41</v>
      </c>
      <c r="B16567" s="219"/>
      <c r="C16567" s="219"/>
      <c r="D16567" s="219"/>
      <c r="E16567" s="219"/>
      <c r="F16567" s="219"/>
      <c r="G16567" s="52">
        <f>SUM(G16556:G16566)</f>
        <v>20403766</v>
      </c>
    </row>
    <row r="16568" spans="1:7" x14ac:dyDescent="0.25">
      <c r="A16568" s="56"/>
      <c r="B16568" s="57"/>
      <c r="C16568" s="57"/>
      <c r="D16568" s="57"/>
      <c r="E16568" s="57"/>
      <c r="F16568" s="57"/>
      <c r="G16568" s="58"/>
    </row>
    <row r="16569" spans="1:7" x14ac:dyDescent="0.25">
      <c r="A16569" s="219" t="s">
        <v>42</v>
      </c>
      <c r="B16569" s="219"/>
      <c r="C16569" s="219"/>
      <c r="D16569" s="219"/>
      <c r="E16569" s="219"/>
      <c r="F16569" s="219"/>
      <c r="G16569" s="219"/>
    </row>
    <row r="16570" spans="1:7" x14ac:dyDescent="0.25">
      <c r="A16570" s="49" t="s">
        <v>35</v>
      </c>
      <c r="B16570" s="49" t="s">
        <v>36</v>
      </c>
      <c r="C16570" s="49" t="s">
        <v>38</v>
      </c>
      <c r="D16570" s="49" t="s">
        <v>43</v>
      </c>
      <c r="E16570" s="49" t="s">
        <v>44</v>
      </c>
      <c r="F16570" s="49" t="s">
        <v>45</v>
      </c>
      <c r="G16570" s="49" t="s">
        <v>40</v>
      </c>
    </row>
    <row r="16571" spans="1:7" x14ac:dyDescent="0.25">
      <c r="A16571" s="50" t="s">
        <v>319</v>
      </c>
      <c r="B16571" s="68" t="str">
        <f>VLOOKUP(A16571,'[1]Componentes APUs'!$H$1:$L$25,2,0)</f>
        <v>Ingeniero Residente de Obra</v>
      </c>
      <c r="C16571" s="93">
        <v>0.25</v>
      </c>
      <c r="D16571" s="50">
        <f>VLOOKUP(A16571,'[1]Componentes APUs'!$H$1:$L$25,3,0)</f>
        <v>4</v>
      </c>
      <c r="E16571" s="51">
        <f>VLOOKUP(A16571,'[1]Componentes APUs'!$H$1:$L$25,4,0)</f>
        <v>271142.85714285716</v>
      </c>
      <c r="F16571" s="51">
        <f>VLOOKUP(A16571,'[1]Componentes APUs'!$H$1:$L$25,5,0)</f>
        <v>162685.71428571429</v>
      </c>
      <c r="G16571" s="51">
        <f>ROUNDUP((E16571+F16571)*C16571/E16553,0)</f>
        <v>72305</v>
      </c>
    </row>
    <row r="16572" spans="1:7" x14ac:dyDescent="0.25">
      <c r="A16572" s="50" t="s">
        <v>320</v>
      </c>
      <c r="B16572" s="68" t="str">
        <f>VLOOKUP(A16572,'[1]Componentes APUs'!$H$1:$L$25,2,0)</f>
        <v>Tecnico Supervisor</v>
      </c>
      <c r="C16572" s="93">
        <v>0.25</v>
      </c>
      <c r="D16572" s="50">
        <f>VLOOKUP(A16572,'[1]Componentes APUs'!$H$1:$L$25,3,0)</f>
        <v>2.2999999999999998</v>
      </c>
      <c r="E16572" s="51">
        <f>VLOOKUP(A16572,'[1]Componentes APUs'!$H$1:$L$25,4,0)</f>
        <v>155907.14285714284</v>
      </c>
      <c r="F16572" s="51">
        <f>VLOOKUP(A16572,'[1]Componentes APUs'!$H$1:$L$25,5,0)</f>
        <v>93544.285714285696</v>
      </c>
      <c r="G16572" s="51">
        <f>ROUNDUP((E16572+F16572)*C16572/E16553,0)</f>
        <v>41576</v>
      </c>
    </row>
    <row r="16573" spans="1:7" x14ac:dyDescent="0.25">
      <c r="A16573" s="50" t="s">
        <v>46</v>
      </c>
      <c r="B16573" s="68" t="str">
        <f>VLOOKUP(A16573,'[1]Componentes APUs'!$H$1:$L$25,2,0)</f>
        <v>Tecnico Liniero</v>
      </c>
      <c r="C16573" s="93">
        <v>2</v>
      </c>
      <c r="D16573" s="50">
        <f>VLOOKUP(A16573,'[1]Componentes APUs'!$H$1:$L$25,3,0)</f>
        <v>2</v>
      </c>
      <c r="E16573" s="51">
        <f>VLOOKUP(A16573,'[1]Componentes APUs'!$H$1:$L$25,4,0)</f>
        <v>154619.04761904763</v>
      </c>
      <c r="F16573" s="51">
        <f>VLOOKUP(A16573,'[1]Componentes APUs'!$H$1:$L$25,5,0)</f>
        <v>92771.42857142858</v>
      </c>
      <c r="G16573" s="51">
        <f>ROUNDUP((E16573+F16573)*C16573/E16553,0)</f>
        <v>329854</v>
      </c>
    </row>
    <row r="16574" spans="1:7" x14ac:dyDescent="0.25">
      <c r="A16574" s="50" t="s">
        <v>48</v>
      </c>
      <c r="B16574" s="68" t="str">
        <f>VLOOKUP(A16574,'[1]Componentes APUs'!$H$1:$L$25,2,0)</f>
        <v>Ayudante Calificado</v>
      </c>
      <c r="C16574" s="93">
        <v>2</v>
      </c>
      <c r="D16574" s="50">
        <f>VLOOKUP(A16574,'[1]Componentes APUs'!$H$1:$L$25,3,0)</f>
        <v>1.5</v>
      </c>
      <c r="E16574" s="51">
        <f>VLOOKUP(A16574,'[1]Componentes APUs'!$H$1:$L$25,4,0)</f>
        <v>115964.28571428571</v>
      </c>
      <c r="F16574" s="51">
        <f>VLOOKUP(A16574,'[1]Componentes APUs'!$H$1:$L$25,5,0)</f>
        <v>69578.57142857142</v>
      </c>
      <c r="G16574" s="51">
        <f>ROUNDUP((E16574+F16574)*C16574/E16553,0)</f>
        <v>247391</v>
      </c>
    </row>
    <row r="16575" spans="1:7" x14ac:dyDescent="0.25">
      <c r="A16575" s="50" t="s">
        <v>50</v>
      </c>
      <c r="B16575" s="68" t="str">
        <f>VLOOKUP(A16575,'[1]Componentes APUs'!$H$1:$L$25,2,0)</f>
        <v>Profesional en SST</v>
      </c>
      <c r="C16575" s="93">
        <v>0.25</v>
      </c>
      <c r="D16575" s="50">
        <f>VLOOKUP(A16575,'[1]Componentes APUs'!$H$1:$L$25,3,0)</f>
        <v>2.5</v>
      </c>
      <c r="E16575" s="51">
        <f>VLOOKUP(A16575,'[1]Componentes APUs'!$H$1:$L$25,4,0)</f>
        <v>169464.28571428571</v>
      </c>
      <c r="F16575" s="51">
        <f>VLOOKUP(A16575,'[1]Componentes APUs'!$H$1:$L$25,5,0)</f>
        <v>101678.57142857142</v>
      </c>
      <c r="G16575" s="51">
        <f>ROUNDUP((E16575+F16575)*C16575/E16553,0)</f>
        <v>45191</v>
      </c>
    </row>
    <row r="16576" spans="1:7" x14ac:dyDescent="0.25">
      <c r="A16576" s="50" t="s">
        <v>52</v>
      </c>
      <c r="B16576" s="68" t="str">
        <f>VLOOKUP(A16576,'[1]Componentes APUs'!$H$1:$L$25,2,0)</f>
        <v>Ayudante No Calificado</v>
      </c>
      <c r="C16576" s="93">
        <v>0</v>
      </c>
      <c r="D16576" s="50">
        <f>VLOOKUP(A16576,'[1]Componentes APUs'!$H$1:$L$25,3,0)</f>
        <v>1</v>
      </c>
      <c r="E16576" s="51">
        <f>VLOOKUP(A16576,'[1]Componentes APUs'!$H$1:$L$25,4,0)</f>
        <v>77309.523809523816</v>
      </c>
      <c r="F16576" s="51">
        <f>VLOOKUP(A16576,'[1]Componentes APUs'!$H$1:$L$25,5,0)</f>
        <v>46385.71428571429</v>
      </c>
      <c r="G16576" s="51">
        <f>ROUNDUP((E16576+F16576)*C16576/E16553,0)</f>
        <v>0</v>
      </c>
    </row>
    <row r="16577" spans="1:7" x14ac:dyDescent="0.25">
      <c r="A16577" s="219" t="s">
        <v>56</v>
      </c>
      <c r="B16577" s="219"/>
      <c r="C16577" s="219"/>
      <c r="D16577" s="219"/>
      <c r="E16577" s="219"/>
      <c r="F16577" s="219"/>
      <c r="G16577" s="52">
        <f>SUM(G16571:G16576)</f>
        <v>736317</v>
      </c>
    </row>
    <row r="16578" spans="1:7" x14ac:dyDescent="0.25">
      <c r="A16578" s="56"/>
      <c r="B16578" s="57"/>
      <c r="C16578" s="57"/>
      <c r="D16578" s="57"/>
      <c r="E16578" s="57"/>
      <c r="F16578" s="57"/>
      <c r="G16578" s="58"/>
    </row>
    <row r="16579" spans="1:7" x14ac:dyDescent="0.25">
      <c r="A16579" s="219" t="s">
        <v>57</v>
      </c>
      <c r="B16579" s="219"/>
      <c r="C16579" s="219"/>
      <c r="D16579" s="219"/>
      <c r="E16579" s="219"/>
      <c r="F16579" s="219"/>
      <c r="G16579" s="219"/>
    </row>
    <row r="16580" spans="1:7" x14ac:dyDescent="0.25">
      <c r="A16580" s="49" t="s">
        <v>35</v>
      </c>
      <c r="B16580" s="219" t="s">
        <v>36</v>
      </c>
      <c r="C16580" s="219"/>
      <c r="D16580" s="49" t="s">
        <v>37</v>
      </c>
      <c r="E16580" s="49" t="s">
        <v>38</v>
      </c>
      <c r="F16580" s="49" t="s">
        <v>39</v>
      </c>
      <c r="G16580" s="49" t="s">
        <v>40</v>
      </c>
    </row>
    <row r="16581" spans="1:7" x14ac:dyDescent="0.25">
      <c r="A16581" s="50" t="s">
        <v>326</v>
      </c>
      <c r="B16581" s="220" t="str">
        <f>VLOOKUP(A16581,'[1]Componentes APUs'!$S$1:$V$10,2,0)</f>
        <v>Juego Llaves</v>
      </c>
      <c r="C16581" s="220"/>
      <c r="D16581" s="50" t="s">
        <v>18</v>
      </c>
      <c r="E16581" s="50">
        <v>2</v>
      </c>
      <c r="F16581" s="51">
        <f>VLOOKUP(A16581,'[1]Componentes APUs'!$S$1:$V$10,4,0)</f>
        <v>9167</v>
      </c>
      <c r="G16581" s="51">
        <f>ROUNDUP(F16581*((E16581/21)/E16553),0)</f>
        <v>583</v>
      </c>
    </row>
    <row r="16582" spans="1:7" x14ac:dyDescent="0.25">
      <c r="A16582" s="50" t="s">
        <v>58</v>
      </c>
      <c r="B16582" s="220" t="str">
        <f>VLOOKUP(A16582,'[1]Componentes APUs'!$S$1:$V$10,2,0)</f>
        <v>Manila de servicio</v>
      </c>
      <c r="C16582" s="220"/>
      <c r="D16582" s="50" t="s">
        <v>18</v>
      </c>
      <c r="E16582" s="50">
        <v>2</v>
      </c>
      <c r="F16582" s="51">
        <f>VLOOKUP(A16582,'[1]Componentes APUs'!$S$1:$V$10,4,0)</f>
        <v>2333</v>
      </c>
      <c r="G16582" s="51">
        <f>ROUNDUP(F16582*((E16582/21)/E16553),0)</f>
        <v>149</v>
      </c>
    </row>
    <row r="16583" spans="1:7" x14ac:dyDescent="0.25">
      <c r="A16583" s="50" t="s">
        <v>327</v>
      </c>
      <c r="B16583" s="220" t="str">
        <f>VLOOKUP(A16583,'[1]Componentes APUs'!$S$1:$V$10,2,0)</f>
        <v>Tula portaherramientas</v>
      </c>
      <c r="C16583" s="220"/>
      <c r="D16583" s="50" t="s">
        <v>18</v>
      </c>
      <c r="E16583" s="50">
        <v>2</v>
      </c>
      <c r="F16583" s="51">
        <f>VLOOKUP(A16583,'[1]Componentes APUs'!$S$1:$V$10,4,0)</f>
        <v>1250</v>
      </c>
      <c r="G16583" s="51">
        <f>ROUNDUP(F16583*((E16583/21)/E16553),0)</f>
        <v>80</v>
      </c>
    </row>
    <row r="16584" spans="1:7" x14ac:dyDescent="0.25">
      <c r="A16584" s="50" t="s">
        <v>60</v>
      </c>
      <c r="B16584" s="220" t="str">
        <f>VLOOKUP(A16584,'[1]Componentes APUs'!$S$1:$V$10,2,0)</f>
        <v>Agarradoras</v>
      </c>
      <c r="C16584" s="220"/>
      <c r="D16584" s="50" t="s">
        <v>18</v>
      </c>
      <c r="E16584" s="50">
        <v>1</v>
      </c>
      <c r="F16584" s="51">
        <f>VLOOKUP(A16584,'[1]Componentes APUs'!$S$1:$V$10,4,0)</f>
        <v>125000</v>
      </c>
      <c r="G16584" s="51">
        <f>ROUNDUP(F16584*((E16584/21)/E16553),0)</f>
        <v>3969</v>
      </c>
    </row>
    <row r="16585" spans="1:7" x14ac:dyDescent="0.25">
      <c r="A16585" s="50" t="s">
        <v>62</v>
      </c>
      <c r="B16585" s="220" t="str">
        <f>VLOOKUP(A16585,'[1]Componentes APUs'!$S$1:$V$10,2,0)</f>
        <v>Templadoras</v>
      </c>
      <c r="C16585" s="220"/>
      <c r="D16585" s="50" t="s">
        <v>18</v>
      </c>
      <c r="E16585" s="50">
        <v>1</v>
      </c>
      <c r="F16585" s="51">
        <f>VLOOKUP(A16585,'[1]Componentes APUs'!$S$1:$V$10,4,0)</f>
        <v>250000</v>
      </c>
      <c r="G16585" s="51">
        <f>ROUNDUP(F16585*((E16585/21)/E16553),0)</f>
        <v>7937</v>
      </c>
    </row>
    <row r="16586" spans="1:7" x14ac:dyDescent="0.25">
      <c r="A16586" s="50" t="s">
        <v>328</v>
      </c>
      <c r="B16586" s="220" t="str">
        <f>VLOOKUP(A16586,'[1]Componentes APUs'!$S$1:$V$10,2,0)</f>
        <v>Herramienta Menor</v>
      </c>
      <c r="C16586" s="220"/>
      <c r="D16586" s="50" t="s">
        <v>18</v>
      </c>
      <c r="E16586" s="50">
        <v>2</v>
      </c>
      <c r="F16586" s="51">
        <f>VLOOKUP(A16586,'[1]Componentes APUs'!$S$1:$V$10,4,0)</f>
        <v>75758</v>
      </c>
      <c r="G16586" s="51">
        <f>ROUNDUP(F16586*((E16586/21)/E16553),0)</f>
        <v>4811</v>
      </c>
    </row>
    <row r="16587" spans="1:7" x14ac:dyDescent="0.25">
      <c r="A16587" s="50" t="s">
        <v>66</v>
      </c>
      <c r="B16587" s="220" t="str">
        <f>VLOOKUP(A16587,'[1]Componentes APUs'!$S$1:$V$10,2,0)</f>
        <v>Diferencial 2 Toneladas</v>
      </c>
      <c r="C16587" s="220"/>
      <c r="D16587" s="50" t="s">
        <v>18</v>
      </c>
      <c r="E16587" s="50">
        <v>1</v>
      </c>
      <c r="F16587" s="51">
        <f>VLOOKUP(A16587,'[1]Componentes APUs'!$S$1:$V$10,4,0)</f>
        <v>474905</v>
      </c>
      <c r="G16587" s="51">
        <f>ROUNDUP(F16587*((E16587/21)/E16559),0)</f>
        <v>7539</v>
      </c>
    </row>
    <row r="16588" spans="1:7" x14ac:dyDescent="0.25">
      <c r="A16588" s="219" t="s">
        <v>69</v>
      </c>
      <c r="B16588" s="219"/>
      <c r="C16588" s="219"/>
      <c r="D16588" s="219"/>
      <c r="E16588" s="219"/>
      <c r="F16588" s="219"/>
      <c r="G16588" s="52">
        <f>SUM(G16581:G16587)</f>
        <v>25068</v>
      </c>
    </row>
    <row r="16589" spans="1:7" x14ac:dyDescent="0.25">
      <c r="A16589" s="56"/>
      <c r="B16589" s="57"/>
      <c r="C16589" s="57"/>
      <c r="D16589" s="57"/>
      <c r="E16589" s="57"/>
      <c r="F16589" s="57"/>
      <c r="G16589" s="58"/>
    </row>
    <row r="16590" spans="1:7" x14ac:dyDescent="0.25">
      <c r="A16590" s="219" t="s">
        <v>70</v>
      </c>
      <c r="B16590" s="219"/>
      <c r="C16590" s="219"/>
      <c r="D16590" s="219"/>
      <c r="E16590" s="219"/>
      <c r="F16590" s="219"/>
      <c r="G16590" s="219"/>
    </row>
    <row r="16591" spans="1:7" x14ac:dyDescent="0.25">
      <c r="A16591" s="49" t="s">
        <v>35</v>
      </c>
      <c r="B16591" s="219" t="s">
        <v>36</v>
      </c>
      <c r="C16591" s="219"/>
      <c r="D16591" s="49" t="s">
        <v>37</v>
      </c>
      <c r="E16591" s="49" t="s">
        <v>38</v>
      </c>
      <c r="F16591" s="49" t="s">
        <v>39</v>
      </c>
      <c r="G16591" s="49" t="s">
        <v>40</v>
      </c>
    </row>
    <row r="16592" spans="1:7" x14ac:dyDescent="0.25">
      <c r="A16592" s="50" t="s">
        <v>71</v>
      </c>
      <c r="B16592" s="71" t="str">
        <f>VLOOKUP(A16592,'[1]Componentes APUs'!$A$1:$D$14,2,0)</f>
        <v>Camisa indigo sin partes metalicas</v>
      </c>
      <c r="C16592" s="71"/>
      <c r="D16592" s="50" t="str">
        <f>VLOOKUP(A16592,'[1]Componentes APUs'!$A$1:$D$14,3,0)</f>
        <v>U</v>
      </c>
      <c r="E16592" s="50">
        <f>SUM(C16571:C16576)</f>
        <v>4.75</v>
      </c>
      <c r="F16592" s="51">
        <f>VLOOKUP(A16592,'[1]Componentes APUs'!$A$1:$D$14,4,0)</f>
        <v>8585.8585858585866</v>
      </c>
      <c r="G16592" s="51">
        <f>ROUNDUP(F16592*(E16592/21)/E16553,0)</f>
        <v>1295</v>
      </c>
    </row>
    <row r="16593" spans="1:7" x14ac:dyDescent="0.25">
      <c r="A16593" s="69" t="s">
        <v>73</v>
      </c>
      <c r="B16593" s="72" t="str">
        <f>VLOOKUP(A16593,'[1]Componentes APUs'!$A$1:$D$14,2,0)</f>
        <v>Bota de seguridad dielectrica</v>
      </c>
      <c r="C16593" s="73"/>
      <c r="D16593" s="70" t="str">
        <f>VLOOKUP(A16593,'[1]Componentes APUs'!$A$1:$D$14,3,0)</f>
        <v>Par</v>
      </c>
      <c r="E16593" s="50">
        <f>SUM(C16571:C16576)</f>
        <v>4.75</v>
      </c>
      <c r="F16593" s="51">
        <f>VLOOKUP(A16593,'[1]Componentes APUs'!$A$1:$D$14,4,0)</f>
        <v>7500</v>
      </c>
      <c r="G16593" s="51">
        <f>ROUNDUP(F16593*(E16593/21)/E16553,0)</f>
        <v>1131</v>
      </c>
    </row>
    <row r="16594" spans="1:7" x14ac:dyDescent="0.25">
      <c r="A16594" s="50" t="s">
        <v>76</v>
      </c>
      <c r="B16594" s="72" t="str">
        <f>VLOOKUP(A16594,'[1]Componentes APUs'!$A$1:$D$14,2,0)</f>
        <v>Casco dielectrico Tipo 1 Clase E con barbuquejo</v>
      </c>
      <c r="C16594" s="73"/>
      <c r="D16594" s="50" t="str">
        <f>VLOOKUP(A16594,'[1]Componentes APUs'!$A$1:$D$14,3,0)</f>
        <v>U</v>
      </c>
      <c r="E16594" s="50">
        <f>C16571+C16572+C16575+C16576+C16574+IF(A16573&lt;&gt;"MO-3",C16573,0)</f>
        <v>2.75</v>
      </c>
      <c r="F16594" s="51">
        <f>VLOOKUP(A16594,'[1]Componentes APUs'!$A$1:$D$14,4,0)</f>
        <v>10101.010101010101</v>
      </c>
      <c r="G16594" s="51">
        <f>ROUNDUP(F16594*(E16594/21)/E16553,0)</f>
        <v>882</v>
      </c>
    </row>
    <row r="16595" spans="1:7" x14ac:dyDescent="0.25">
      <c r="A16595" s="69" t="s">
        <v>77</v>
      </c>
      <c r="B16595" s="72" t="str">
        <f>VLOOKUP(A16595,'[1]Componentes APUs'!$A$1:$D$14,2,0)</f>
        <v>Correa plastica y antiflama</v>
      </c>
      <c r="C16595" s="73"/>
      <c r="D16595" s="50" t="str">
        <f>VLOOKUP(A16595,'[1]Componentes APUs'!$A$1:$D$14,3,0)</f>
        <v>U</v>
      </c>
      <c r="E16595" s="50">
        <f>SUM(C16571:C16576)</f>
        <v>4.75</v>
      </c>
      <c r="F16595" s="51">
        <f>VLOOKUP(A16595,'[1]Componentes APUs'!$A$1:$D$14,4,0)</f>
        <v>3787.878787878788</v>
      </c>
      <c r="G16595" s="51">
        <f>ROUNDUP(F16595*(E16595/21)/E16553,0)</f>
        <v>572</v>
      </c>
    </row>
    <row r="16596" spans="1:7" x14ac:dyDescent="0.25">
      <c r="A16596" s="50" t="s">
        <v>79</v>
      </c>
      <c r="B16596" s="72" t="str">
        <f>VLOOKUP(A16596,'[1]Componentes APUs'!$A$1:$D$14,2,0)</f>
        <v>Gafas protectoras filtro UV</v>
      </c>
      <c r="C16596" s="73"/>
      <c r="D16596" s="50" t="str">
        <f>VLOOKUP(A16596,'[1]Componentes APUs'!$A$1:$D$14,3,0)</f>
        <v>U</v>
      </c>
      <c r="E16596" s="50">
        <f>SUM(C16571:C16576)</f>
        <v>4.75</v>
      </c>
      <c r="F16596" s="51">
        <f>VLOOKUP(A16596,'[1]Componentes APUs'!$A$1:$D$14,4,0)</f>
        <v>2777.7777777777778</v>
      </c>
      <c r="G16596" s="51">
        <f>ROUNDUP(F16596*(E16596/21)/E16553,0)</f>
        <v>419</v>
      </c>
    </row>
    <row r="16597" spans="1:7" x14ac:dyDescent="0.25">
      <c r="A16597" s="69" t="s">
        <v>402</v>
      </c>
      <c r="B16597" s="72" t="str">
        <f>VLOOKUP(A16597,'[1]Componentes APUs'!$A$1:$D$14,2,0)</f>
        <v>Bota de seguridad PVC dielectrica</v>
      </c>
      <c r="C16597" s="73"/>
      <c r="D16597" s="50" t="str">
        <f>VLOOKUP(A16597,'[1]Componentes APUs'!$A$1:$D$14,3,0)</f>
        <v>Par</v>
      </c>
      <c r="E16597" s="50">
        <f>SUM(C16571:C16576)</f>
        <v>4.75</v>
      </c>
      <c r="F16597" s="51">
        <f>VLOOKUP(A16597,'[1]Componentes APUs'!$A$1:$D$14,4,0)</f>
        <v>2916.6666666666665</v>
      </c>
      <c r="G16597" s="51">
        <f>ROUNDUP(F16597*(E16597/21)/E16553,0)</f>
        <v>440</v>
      </c>
    </row>
    <row r="16598" spans="1:7" x14ac:dyDescent="0.25">
      <c r="A16598" s="50" t="s">
        <v>403</v>
      </c>
      <c r="B16598" s="72" t="str">
        <f>VLOOKUP(A16598,'[1]Componentes APUs'!$A$1:$D$14,2,0)</f>
        <v>Capuchon</v>
      </c>
      <c r="C16598" s="73"/>
      <c r="D16598" s="50" t="str">
        <f>VLOOKUP(A16598,'[1]Componentes APUs'!$A$1:$D$14,3,0)</f>
        <v>U</v>
      </c>
      <c r="E16598" s="50">
        <f>SUM(C16571:C16576)</f>
        <v>4.75</v>
      </c>
      <c r="F16598" s="51">
        <f>VLOOKUP(A16598,'[1]Componentes APUs'!$A$1:$D$14,4,0)</f>
        <v>2525.2525252525252</v>
      </c>
      <c r="G16598" s="51">
        <f>ROUNDUP(F16598*(E16598/21)/E16553,0)</f>
        <v>381</v>
      </c>
    </row>
    <row r="16599" spans="1:7" x14ac:dyDescent="0.25">
      <c r="A16599" s="69" t="s">
        <v>81</v>
      </c>
      <c r="B16599" s="72" t="str">
        <f>VLOOKUP(A16599,'[1]Componentes APUs'!$A$1:$D$14,2,0)</f>
        <v>Guantes Protectores  - ingeniero reforzados</v>
      </c>
      <c r="C16599" s="73"/>
      <c r="D16599" s="50" t="str">
        <f>VLOOKUP(A16599,'[1]Componentes APUs'!$A$1:$D$14,3,0)</f>
        <v>Par</v>
      </c>
      <c r="E16599" s="50">
        <f>C16573+C16574+C16576</f>
        <v>4</v>
      </c>
      <c r="F16599" s="51">
        <f>VLOOKUP(A16599,'[1]Componentes APUs'!$A$1:$D$14,4,0)</f>
        <v>2525.2525252525252</v>
      </c>
      <c r="G16599" s="51">
        <f>ROUNDUP(F16599*(E16599/21)/E16553,0)</f>
        <v>321</v>
      </c>
    </row>
    <row r="16600" spans="1:7" x14ac:dyDescent="0.25">
      <c r="A16600" s="50" t="s">
        <v>83</v>
      </c>
      <c r="B16600" s="72" t="str">
        <f>VLOOKUP(A16600,'[1]Componentes APUs'!$A$1:$D$14,2,0)</f>
        <v>Impermeable (pantalon camisa)</v>
      </c>
      <c r="C16600" s="73"/>
      <c r="D16600" s="50" t="str">
        <f>VLOOKUP(A16600,'[1]Componentes APUs'!$A$1:$D$14,3,0)</f>
        <v>U</v>
      </c>
      <c r="E16600" s="50">
        <f>SUM(C16571:C16576)</f>
        <v>4.75</v>
      </c>
      <c r="F16600" s="51">
        <f>VLOOKUP(A16600,'[1]Componentes APUs'!$A$1:$D$14,4,0)</f>
        <v>3750</v>
      </c>
      <c r="G16600" s="51">
        <f>ROUNDUP(F16600*(E16600/21)/E16553,0)</f>
        <v>566</v>
      </c>
    </row>
    <row r="16601" spans="1:7" x14ac:dyDescent="0.25">
      <c r="A16601" s="69" t="s">
        <v>85</v>
      </c>
      <c r="B16601" s="72" t="str">
        <f>VLOOKUP(A16601,'[1]Componentes APUs'!$A$1:$D$14,2,0)</f>
        <v>Jean Dielectrico</v>
      </c>
      <c r="C16601" s="73"/>
      <c r="D16601" s="50" t="str">
        <f>VLOOKUP(A16601,'[1]Componentes APUs'!$A$1:$D$14,3,0)</f>
        <v>U</v>
      </c>
      <c r="E16601" s="50">
        <f>SUM(C16571:C16576)</f>
        <v>4.75</v>
      </c>
      <c r="F16601" s="51">
        <f>VLOOKUP(A16601,'[1]Componentes APUs'!$A$1:$D$14,4,0)</f>
        <v>7575.757575757576</v>
      </c>
      <c r="G16601" s="51">
        <f>ROUNDUP(F16601*(E16601/21)/E16553,0)</f>
        <v>1143</v>
      </c>
    </row>
    <row r="16602" spans="1:7" x14ac:dyDescent="0.25">
      <c r="A16602" s="50" t="s">
        <v>87</v>
      </c>
      <c r="B16602" s="72" t="str">
        <f>VLOOKUP(A16602,'[1]Componentes APUs'!$A$1:$D$14,2,0)</f>
        <v>Casco dielectrico Tipo 2 Clase E con barboquejo</v>
      </c>
      <c r="C16602" s="73"/>
      <c r="D16602" s="50" t="str">
        <f>VLOOKUP(A16602,'[1]Componentes APUs'!$A$1:$D$14,3,0)</f>
        <v>U</v>
      </c>
      <c r="E16602" s="53">
        <f>IF(A16573="MO-3",C16573,0)</f>
        <v>2</v>
      </c>
      <c r="F16602" s="51">
        <f>VLOOKUP(A16602,'[1]Componentes APUs'!$A$1:$D$14,4,0)</f>
        <v>7500</v>
      </c>
      <c r="G16602" s="51">
        <f>ROUNDUP(F16602*(E16602/21)/E16553,0)</f>
        <v>477</v>
      </c>
    </row>
    <row r="16603" spans="1:7" x14ac:dyDescent="0.25">
      <c r="A16603" s="69" t="s">
        <v>89</v>
      </c>
      <c r="B16603" s="72" t="str">
        <f>VLOOKUP(A16603,'[1]Componentes APUs'!$A$1:$D$14,2,0)</f>
        <v>Kit de rescate para trabajo en alturas</v>
      </c>
      <c r="C16603" s="73"/>
      <c r="D16603" s="50" t="str">
        <f>VLOOKUP(A16603,'[1]Componentes APUs'!$A$1:$D$14,3,0)</f>
        <v>U</v>
      </c>
      <c r="E16603" s="50">
        <f>IF(AND(A16573="MO-3",C16573=2),1,0)</f>
        <v>1</v>
      </c>
      <c r="F16603" s="51">
        <f>VLOOKUP(A16603,'[1]Componentes APUs'!$A$1:$D$14,4,0)</f>
        <v>37500</v>
      </c>
      <c r="G16603" s="51">
        <f>ROUNDUP(F16603*(E16603/21)/E16553,0)</f>
        <v>1191</v>
      </c>
    </row>
    <row r="16604" spans="1:7" x14ac:dyDescent="0.25">
      <c r="A16604" s="50" t="s">
        <v>91</v>
      </c>
      <c r="B16604" s="72" t="str">
        <f>VLOOKUP(A16604,'[1]Componentes APUs'!$A$1:$D$14,2,0)</f>
        <v>Equipo completo para trabajo en alturas con pretales (Arnes dielectrico, 1 mosqueton de seguridad, tie off dielectrico, eslinga de posicionamiento, juego de pretales)</v>
      </c>
      <c r="C16604" s="73"/>
      <c r="D16604" s="50" t="str">
        <f>VLOOKUP(A16604,'[1]Componentes APUs'!$A$1:$D$14,3,0)</f>
        <v>U</v>
      </c>
      <c r="E16604" s="50">
        <f>IF(A16573="MO-3",C16573,0)</f>
        <v>2</v>
      </c>
      <c r="F16604" s="51">
        <f>VLOOKUP(A16604,'[1]Componentes APUs'!$A$1:$D$14,4,0)</f>
        <v>26041.666666666668</v>
      </c>
      <c r="G16604" s="51">
        <f>ROUNDUP(F16604*(E16604/21)/E16553,0)</f>
        <v>1654</v>
      </c>
    </row>
    <row r="16605" spans="1:7" x14ac:dyDescent="0.25">
      <c r="A16605" s="219" t="s">
        <v>95</v>
      </c>
      <c r="B16605" s="219"/>
      <c r="C16605" s="219"/>
      <c r="D16605" s="219"/>
      <c r="E16605" s="219"/>
      <c r="F16605" s="219"/>
      <c r="G16605" s="52">
        <f>SUM(G16592:G16604)</f>
        <v>10472</v>
      </c>
    </row>
    <row r="16606" spans="1:7" x14ac:dyDescent="0.25">
      <c r="A16606" s="56"/>
      <c r="B16606" s="57"/>
      <c r="C16606" s="57"/>
      <c r="D16606" s="57"/>
      <c r="E16606" s="57"/>
      <c r="F16606" s="57"/>
      <c r="G16606" s="58"/>
    </row>
    <row r="16607" spans="1:7" x14ac:dyDescent="0.25">
      <c r="A16607" s="219" t="s">
        <v>96</v>
      </c>
      <c r="B16607" s="219"/>
      <c r="C16607" s="219"/>
      <c r="D16607" s="219"/>
      <c r="E16607" s="219"/>
      <c r="F16607" s="219"/>
      <c r="G16607" s="219"/>
    </row>
    <row r="16608" spans="1:7" x14ac:dyDescent="0.25">
      <c r="A16608" s="49" t="s">
        <v>35</v>
      </c>
      <c r="B16608" s="225" t="s">
        <v>36</v>
      </c>
      <c r="C16608" s="225"/>
      <c r="D16608" s="49" t="s">
        <v>37</v>
      </c>
      <c r="E16608" s="49" t="s">
        <v>38</v>
      </c>
      <c r="F16608" s="49" t="s">
        <v>39</v>
      </c>
      <c r="G16608" s="49" t="s">
        <v>40</v>
      </c>
    </row>
    <row r="16609" spans="1:7" x14ac:dyDescent="0.25">
      <c r="A16609" s="69" t="s">
        <v>97</v>
      </c>
      <c r="B16609" s="72" t="str">
        <f>VLOOKUP(A16609,'[1]Componentes APUs'!$N$1:$Q$30,2,0)</f>
        <v>Camioneta</v>
      </c>
      <c r="C16609" s="73"/>
      <c r="D16609" s="70" t="str">
        <f>VLOOKUP(A16609,'[1]Componentes APUs'!$N$1:$Q$30,3,0)</f>
        <v>U</v>
      </c>
      <c r="E16609" s="50">
        <v>1</v>
      </c>
      <c r="F16609" s="51">
        <f>VLOOKUP(A16609,'[1]Componentes APUs'!$N$1:$Q$30,4,0)</f>
        <v>5500000</v>
      </c>
      <c r="G16609" s="51">
        <f>IFERROR(ROUNDUP(F16609*(E16609/21)/E16558,0),0)</f>
        <v>29101</v>
      </c>
    </row>
    <row r="16610" spans="1:7" x14ac:dyDescent="0.25">
      <c r="A16610" s="50" t="s">
        <v>321</v>
      </c>
      <c r="B16610" s="72" t="str">
        <f>VLOOKUP(A16610,'[1]Componentes APUs'!$N$1:$Q$30,2,0)</f>
        <v>Grúa Hidráulica</v>
      </c>
      <c r="C16610" s="73"/>
      <c r="D16610" s="70" t="str">
        <f>VLOOKUP(A16610,'[1]Componentes APUs'!$N$1:$Q$30,3,0)</f>
        <v>U</v>
      </c>
      <c r="E16610" s="50">
        <v>1</v>
      </c>
      <c r="F16610" s="51">
        <f>VLOOKUP(A16610,'[1]Componentes APUs'!$N$1:$Q$30,4,0)</f>
        <v>21000000</v>
      </c>
      <c r="G16610" s="51">
        <f>IFERROR(ROUNDUP(F16610*(E16610/21)/E16558,0),0)</f>
        <v>111112</v>
      </c>
    </row>
    <row r="16611" spans="1:7" x14ac:dyDescent="0.25">
      <c r="A16611" s="219" t="s">
        <v>99</v>
      </c>
      <c r="B16611" s="219"/>
      <c r="C16611" s="219"/>
      <c r="D16611" s="219"/>
      <c r="E16611" s="219"/>
      <c r="F16611" s="219"/>
      <c r="G16611" s="52">
        <f>SUM(G16609:G16610)</f>
        <v>140213</v>
      </c>
    </row>
    <row r="16612" spans="1:7" x14ac:dyDescent="0.25">
      <c r="A16612" s="56"/>
      <c r="B16612" s="57"/>
      <c r="C16612" s="57"/>
      <c r="D16612" s="57"/>
      <c r="E16612" s="57"/>
      <c r="F16612" s="57"/>
      <c r="G16612" s="58"/>
    </row>
    <row r="16613" spans="1:7" x14ac:dyDescent="0.25">
      <c r="A16613" s="219" t="s">
        <v>1516</v>
      </c>
      <c r="B16613" s="219"/>
      <c r="C16613" s="219"/>
      <c r="D16613" s="219"/>
      <c r="E16613" s="219"/>
      <c r="F16613" s="219"/>
      <c r="G16613" s="52">
        <f>G16611+G16605+G16588+G16577+G16567</f>
        <v>21315836</v>
      </c>
    </row>
    <row r="16614" spans="1:7" x14ac:dyDescent="0.25">
      <c r="A16614" s="59"/>
      <c r="B16614" s="60"/>
      <c r="C16614" s="60"/>
      <c r="D16614" s="60"/>
      <c r="E16614" s="57"/>
      <c r="F16614" s="57"/>
      <c r="G16614" s="58"/>
    </row>
    <row r="16615" spans="1:7" x14ac:dyDescent="0.25">
      <c r="A16615" s="64"/>
      <c r="D16615" s="55"/>
      <c r="E16615" s="49" t="s">
        <v>25</v>
      </c>
      <c r="F16615" s="54">
        <v>0.15</v>
      </c>
      <c r="G16615" s="51">
        <f>G16613*F16615</f>
        <v>3197375.4</v>
      </c>
    </row>
    <row r="16616" spans="1:7" x14ac:dyDescent="0.25">
      <c r="A16616" s="64"/>
      <c r="D16616" s="55"/>
      <c r="E16616" s="49" t="s">
        <v>26</v>
      </c>
      <c r="F16616" s="54">
        <v>0.05</v>
      </c>
      <c r="G16616" s="51">
        <f>G16613*F16616</f>
        <v>1065791.8</v>
      </c>
    </row>
    <row r="16617" spans="1:7" x14ac:dyDescent="0.25">
      <c r="A16617" s="61"/>
      <c r="B16617" s="65"/>
      <c r="C16617" s="65"/>
      <c r="D16617" s="62"/>
      <c r="E16617" s="49" t="s">
        <v>27</v>
      </c>
      <c r="F16617" s="54">
        <v>0.05</v>
      </c>
      <c r="G16617" s="51">
        <f>G16613*F16617</f>
        <v>1065791.8</v>
      </c>
    </row>
    <row r="16618" spans="1:7" x14ac:dyDescent="0.25">
      <c r="A16618" s="61"/>
      <c r="B16618" s="62"/>
      <c r="C16618" s="62"/>
      <c r="D16618" s="62"/>
      <c r="E16618" s="62"/>
      <c r="F16618" s="62"/>
      <c r="G16618" s="63"/>
    </row>
    <row r="16619" spans="1:7" x14ac:dyDescent="0.25">
      <c r="A16619" s="219" t="s">
        <v>1517</v>
      </c>
      <c r="B16619" s="219"/>
      <c r="C16619" s="219"/>
      <c r="D16619" s="219"/>
      <c r="E16619" s="219"/>
      <c r="F16619" s="219"/>
      <c r="G16619" s="52">
        <f>G16613+G16615+G16616+G16617</f>
        <v>26644795</v>
      </c>
    </row>
    <row r="16620" spans="1:7" x14ac:dyDescent="0.25">
      <c r="A16620" s="59"/>
      <c r="B16620" s="60"/>
      <c r="C16620" s="60"/>
      <c r="D16620" s="60"/>
      <c r="E16620" s="57"/>
      <c r="F16620" s="57"/>
      <c r="G16620" s="58"/>
    </row>
    <row r="16621" spans="1:7" x14ac:dyDescent="0.25">
      <c r="A16621" s="64"/>
      <c r="D16621" s="55"/>
      <c r="E16621" s="49" t="s">
        <v>102</v>
      </c>
      <c r="F16621" s="49" t="s">
        <v>103</v>
      </c>
      <c r="G16621" s="51">
        <f>G16617*19%</f>
        <v>202500.44200000001</v>
      </c>
    </row>
    <row r="16622" spans="1:7" x14ac:dyDescent="0.25">
      <c r="A16622" s="61"/>
      <c r="B16622" s="62"/>
      <c r="C16622" s="62"/>
      <c r="D16622" s="62"/>
      <c r="E16622" s="57"/>
      <c r="F16622" s="57"/>
      <c r="G16622" s="58"/>
    </row>
    <row r="16623" spans="1:7" x14ac:dyDescent="0.25">
      <c r="A16623" s="219" t="s">
        <v>104</v>
      </c>
      <c r="B16623" s="219"/>
      <c r="C16623" s="219"/>
      <c r="D16623" s="219"/>
      <c r="E16623" s="219"/>
      <c r="F16623" s="219"/>
      <c r="G16623" s="52">
        <f>G16621+G16619</f>
        <v>26847295.442000002</v>
      </c>
    </row>
    <row r="16625" spans="1:7" x14ac:dyDescent="0.25">
      <c r="A16625" s="74" t="s">
        <v>29</v>
      </c>
      <c r="B16625" s="237" t="s">
        <v>30</v>
      </c>
      <c r="C16625" s="238"/>
      <c r="D16625" s="74" t="s">
        <v>31</v>
      </c>
      <c r="E16625" s="74" t="s">
        <v>32</v>
      </c>
      <c r="F16625" s="74" t="s">
        <v>189</v>
      </c>
      <c r="G16625" s="74" t="s">
        <v>33</v>
      </c>
    </row>
    <row r="16626" spans="1:7" ht="28.5" customHeight="1" x14ac:dyDescent="0.25">
      <c r="A16626" s="50" t="str">
        <f>Presupuesto!B327</f>
        <v>003_AUX</v>
      </c>
      <c r="B16626" s="242" t="str">
        <f>Presupuesto!C327</f>
        <v>SUMINISTRO E INSTALACIÓN DE ACOMETIDA BT EN CABLE AAAC 3X1/0+1/0</v>
      </c>
      <c r="C16626" s="239"/>
      <c r="D16626" s="50" t="s">
        <v>108</v>
      </c>
      <c r="E16626" s="50">
        <v>50</v>
      </c>
      <c r="F16626" s="50"/>
      <c r="G16626" s="51">
        <f>G16689</f>
        <v>286182.33049999998</v>
      </c>
    </row>
    <row r="16627" spans="1:7" x14ac:dyDescent="0.25">
      <c r="A16627" s="234"/>
      <c r="B16627" s="236"/>
      <c r="C16627" s="236"/>
      <c r="D16627" s="236"/>
      <c r="E16627" s="236"/>
      <c r="F16627" s="236"/>
      <c r="G16627" s="235"/>
    </row>
    <row r="16628" spans="1:7" x14ac:dyDescent="0.25">
      <c r="A16628" s="49" t="s">
        <v>35</v>
      </c>
      <c r="B16628" s="234" t="s">
        <v>36</v>
      </c>
      <c r="C16628" s="235"/>
      <c r="D16628" s="49" t="s">
        <v>37</v>
      </c>
      <c r="E16628" s="49" t="s">
        <v>38</v>
      </c>
      <c r="F16628" s="49" t="s">
        <v>39</v>
      </c>
      <c r="G16628" s="49" t="s">
        <v>40</v>
      </c>
    </row>
    <row r="16629" spans="1:7" x14ac:dyDescent="0.25">
      <c r="A16629" s="17" t="str">
        <f>Material!A181</f>
        <v>MA-180</v>
      </c>
      <c r="B16629" s="72" t="str">
        <f>IFERROR(VLOOKUP(A16629,Material!$A:$J,2,0),"-")</f>
        <v>CABLE AISLADO NO 1/0 AWG COBRE THHN</v>
      </c>
      <c r="C16629" s="73"/>
      <c r="D16629" s="50" t="str">
        <f>IFERROR(VLOOKUP(A16629,Material!$A:$J,4,0),"-")</f>
        <v>ML</v>
      </c>
      <c r="E16629" s="50">
        <v>4</v>
      </c>
      <c r="F16629" s="51">
        <f>IFERROR(VLOOKUP(A16629,Material!$A:$J,3,0),"-")</f>
        <v>50700</v>
      </c>
      <c r="G16629" s="51">
        <f>IFERROR(ROUNDUP(F16629*E16629,0),"-")</f>
        <v>202800</v>
      </c>
    </row>
    <row r="16630" spans="1:7" x14ac:dyDescent="0.25">
      <c r="A16630" s="17"/>
      <c r="B16630" s="72" t="str">
        <f>IFERROR(VLOOKUP(A16630,Material!$A:$J,2,0),"-")</f>
        <v>-</v>
      </c>
      <c r="C16630" s="76"/>
      <c r="D16630" s="50" t="str">
        <f>IFERROR(VLOOKUP(A16630,Material!$A:$J,4,0),"-")</f>
        <v>-</v>
      </c>
      <c r="E16630" s="50"/>
      <c r="F16630" s="51" t="str">
        <f>IFERROR(VLOOKUP(A16630,Material!$A:$J,3,0),"-")</f>
        <v>-</v>
      </c>
      <c r="G16630" s="51" t="str">
        <f>IFERROR(ROUNDUP(F16630*E16630,0),"-")</f>
        <v>-</v>
      </c>
    </row>
    <row r="16631" spans="1:7" x14ac:dyDescent="0.25">
      <c r="A16631" s="234" t="s">
        <v>41</v>
      </c>
      <c r="B16631" s="236"/>
      <c r="C16631" s="236"/>
      <c r="D16631" s="236"/>
      <c r="E16631" s="236"/>
      <c r="F16631" s="235"/>
      <c r="G16631" s="52">
        <f>SUM(G16629:G16630)</f>
        <v>202800</v>
      </c>
    </row>
    <row r="16632" spans="1:7" x14ac:dyDescent="0.25">
      <c r="A16632" s="56"/>
      <c r="B16632" s="57"/>
      <c r="C16632" s="57"/>
      <c r="D16632" s="57"/>
      <c r="E16632" s="57"/>
      <c r="F16632" s="57"/>
      <c r="G16632" s="58"/>
    </row>
    <row r="16633" spans="1:7" x14ac:dyDescent="0.25">
      <c r="A16633" s="234" t="s">
        <v>42</v>
      </c>
      <c r="B16633" s="236"/>
      <c r="C16633" s="236"/>
      <c r="D16633" s="236"/>
      <c r="E16633" s="236"/>
      <c r="F16633" s="236"/>
      <c r="G16633" s="235"/>
    </row>
    <row r="16634" spans="1:7" x14ac:dyDescent="0.25">
      <c r="A16634" s="49" t="s">
        <v>35</v>
      </c>
      <c r="B16634" s="49" t="s">
        <v>36</v>
      </c>
      <c r="C16634" s="49" t="s">
        <v>38</v>
      </c>
      <c r="D16634" s="49" t="s">
        <v>43</v>
      </c>
      <c r="E16634" s="49" t="s">
        <v>44</v>
      </c>
      <c r="F16634" s="49" t="s">
        <v>45</v>
      </c>
      <c r="G16634" s="49" t="s">
        <v>40</v>
      </c>
    </row>
    <row r="16635" spans="1:7" x14ac:dyDescent="0.25">
      <c r="A16635" s="50" t="s">
        <v>319</v>
      </c>
      <c r="B16635" s="68" t="str">
        <f>VLOOKUP(A16635,'[1]Componentes APUs'!$H$1:$L$25,2,0)</f>
        <v>Ingeniero Residente de Obra</v>
      </c>
      <c r="C16635" s="93">
        <v>0.25</v>
      </c>
      <c r="D16635" s="50">
        <f>VLOOKUP(A16635,'[1]Componentes APUs'!$H$1:$L$25,3,0)</f>
        <v>4</v>
      </c>
      <c r="E16635" s="51">
        <f>VLOOKUP(A16635,'[1]Componentes APUs'!$H$1:$L$25,4,0)</f>
        <v>271142.85714285716</v>
      </c>
      <c r="F16635" s="51">
        <f>VLOOKUP(A16635,'[1]Componentes APUs'!$H$1:$L$25,5,0)</f>
        <v>162685.71428571429</v>
      </c>
      <c r="G16635" s="51">
        <f>ROUNDUP((E16635+F16635)*C16635/E16626,0)</f>
        <v>2170</v>
      </c>
    </row>
    <row r="16636" spans="1:7" x14ac:dyDescent="0.25">
      <c r="A16636" s="50" t="s">
        <v>320</v>
      </c>
      <c r="B16636" s="68" t="str">
        <f>VLOOKUP(A16636,'[1]Componentes APUs'!$H$1:$L$25,2,0)</f>
        <v>Tecnico Supervisor</v>
      </c>
      <c r="C16636" s="93">
        <v>0.25</v>
      </c>
      <c r="D16636" s="50">
        <f>VLOOKUP(A16636,'[1]Componentes APUs'!$H$1:$L$25,3,0)</f>
        <v>2.2999999999999998</v>
      </c>
      <c r="E16636" s="51">
        <f>VLOOKUP(A16636,'[1]Componentes APUs'!$H$1:$L$25,4,0)</f>
        <v>155907.14285714284</v>
      </c>
      <c r="F16636" s="51">
        <f>VLOOKUP(A16636,'[1]Componentes APUs'!$H$1:$L$25,5,0)</f>
        <v>93544.285714285696</v>
      </c>
      <c r="G16636" s="51">
        <f>ROUNDUP((E16636+F16636)*C16636/E16626,0)</f>
        <v>1248</v>
      </c>
    </row>
    <row r="16637" spans="1:7" x14ac:dyDescent="0.25">
      <c r="A16637" s="50" t="s">
        <v>46</v>
      </c>
      <c r="B16637" s="68" t="str">
        <f>VLOOKUP(A16637,'[1]Componentes APUs'!$H$1:$L$25,2,0)</f>
        <v>Tecnico Liniero</v>
      </c>
      <c r="C16637" s="93">
        <v>1</v>
      </c>
      <c r="D16637" s="50">
        <f>VLOOKUP(A16637,'[1]Componentes APUs'!$H$1:$L$25,3,0)</f>
        <v>2</v>
      </c>
      <c r="E16637" s="51">
        <f>VLOOKUP(A16637,'[1]Componentes APUs'!$H$1:$L$25,4,0)</f>
        <v>154619.04761904763</v>
      </c>
      <c r="F16637" s="51">
        <f>VLOOKUP(A16637,'[1]Componentes APUs'!$H$1:$L$25,5,0)</f>
        <v>92771.42857142858</v>
      </c>
      <c r="G16637" s="51">
        <f>ROUNDUP((E16637+F16637)*C16637/E16626,0)</f>
        <v>4948</v>
      </c>
    </row>
    <row r="16638" spans="1:7" x14ac:dyDescent="0.25">
      <c r="A16638" s="50" t="s">
        <v>48</v>
      </c>
      <c r="B16638" s="68" t="str">
        <f>VLOOKUP(A16638,'[1]Componentes APUs'!$H$1:$L$25,2,0)</f>
        <v>Ayudante Calificado</v>
      </c>
      <c r="C16638" s="93">
        <v>1</v>
      </c>
      <c r="D16638" s="50">
        <f>VLOOKUP(A16638,'[1]Componentes APUs'!$H$1:$L$25,3,0)</f>
        <v>1.5</v>
      </c>
      <c r="E16638" s="51">
        <f>VLOOKUP(A16638,'[1]Componentes APUs'!$H$1:$L$25,4,0)</f>
        <v>115964.28571428571</v>
      </c>
      <c r="F16638" s="51">
        <f>VLOOKUP(A16638,'[1]Componentes APUs'!$H$1:$L$25,5,0)</f>
        <v>69578.57142857142</v>
      </c>
      <c r="G16638" s="51">
        <f>ROUNDUP((E16638+F16638)*C16638/E16626,0)</f>
        <v>3711</v>
      </c>
    </row>
    <row r="16639" spans="1:7" x14ac:dyDescent="0.25">
      <c r="A16639" s="50" t="s">
        <v>50</v>
      </c>
      <c r="B16639" s="68" t="str">
        <f>VLOOKUP(A16639,'[1]Componentes APUs'!$H$1:$L$25,2,0)</f>
        <v>Profesional en SST</v>
      </c>
      <c r="C16639" s="93">
        <v>0.25</v>
      </c>
      <c r="D16639" s="50">
        <f>VLOOKUP(A16639,'[1]Componentes APUs'!$H$1:$L$25,3,0)</f>
        <v>2.5</v>
      </c>
      <c r="E16639" s="51">
        <f>VLOOKUP(A16639,'[1]Componentes APUs'!$H$1:$L$25,4,0)</f>
        <v>169464.28571428571</v>
      </c>
      <c r="F16639" s="51">
        <f>VLOOKUP(A16639,'[1]Componentes APUs'!$H$1:$L$25,5,0)</f>
        <v>101678.57142857142</v>
      </c>
      <c r="G16639" s="51">
        <f>ROUNDUP((E16639+F16639)*C16639/E16626,0)</f>
        <v>1356</v>
      </c>
    </row>
    <row r="16640" spans="1:7" x14ac:dyDescent="0.25">
      <c r="A16640" s="50" t="s">
        <v>52</v>
      </c>
      <c r="B16640" s="68" t="str">
        <f>VLOOKUP(A16640,'[1]Componentes APUs'!$H$1:$L$25,2,0)</f>
        <v>Ayudante No Calificado</v>
      </c>
      <c r="C16640" s="93">
        <v>2</v>
      </c>
      <c r="D16640" s="50">
        <f>VLOOKUP(A16640,'[1]Componentes APUs'!$H$1:$L$25,3,0)</f>
        <v>1</v>
      </c>
      <c r="E16640" s="51">
        <f>VLOOKUP(A16640,'[1]Componentes APUs'!$H$1:$L$25,4,0)</f>
        <v>77309.523809523816</v>
      </c>
      <c r="F16640" s="51">
        <f>VLOOKUP(A16640,'[1]Componentes APUs'!$H$1:$L$25,5,0)</f>
        <v>46385.71428571429</v>
      </c>
      <c r="G16640" s="51">
        <f>ROUNDUP((E16640+F16640)*C16640/E16626,0)</f>
        <v>4948</v>
      </c>
    </row>
    <row r="16641" spans="1:7" x14ac:dyDescent="0.25">
      <c r="A16641" s="234" t="s">
        <v>56</v>
      </c>
      <c r="B16641" s="236"/>
      <c r="C16641" s="236"/>
      <c r="D16641" s="236"/>
      <c r="E16641" s="236"/>
      <c r="F16641" s="235"/>
      <c r="G16641" s="52">
        <f>SUM(G16635:G16640)</f>
        <v>18381</v>
      </c>
    </row>
    <row r="16642" spans="1:7" x14ac:dyDescent="0.25">
      <c r="A16642" s="56"/>
      <c r="B16642" s="57"/>
      <c r="C16642" s="57"/>
      <c r="D16642" s="57"/>
      <c r="E16642" s="57"/>
      <c r="F16642" s="57"/>
      <c r="G16642" s="58"/>
    </row>
    <row r="16643" spans="1:7" x14ac:dyDescent="0.25">
      <c r="A16643" s="234" t="s">
        <v>57</v>
      </c>
      <c r="B16643" s="236"/>
      <c r="C16643" s="236"/>
      <c r="D16643" s="236"/>
      <c r="E16643" s="236"/>
      <c r="F16643" s="236"/>
      <c r="G16643" s="235"/>
    </row>
    <row r="16644" spans="1:7" x14ac:dyDescent="0.25">
      <c r="A16644" s="49" t="s">
        <v>35</v>
      </c>
      <c r="B16644" s="234" t="s">
        <v>36</v>
      </c>
      <c r="C16644" s="235"/>
      <c r="D16644" s="49" t="s">
        <v>37</v>
      </c>
      <c r="E16644" s="49" t="s">
        <v>38</v>
      </c>
      <c r="F16644" s="49" t="s">
        <v>39</v>
      </c>
      <c r="G16644" s="49" t="s">
        <v>40</v>
      </c>
    </row>
    <row r="16645" spans="1:7" x14ac:dyDescent="0.25">
      <c r="A16645" s="50" t="s">
        <v>326</v>
      </c>
      <c r="B16645" s="242" t="str">
        <f>VLOOKUP(A16645,'[1]Componentes APUs'!$S$1:$V$10,2,0)</f>
        <v>Juego Llaves</v>
      </c>
      <c r="C16645" s="239"/>
      <c r="D16645" s="50" t="s">
        <v>18</v>
      </c>
      <c r="E16645" s="50">
        <v>2</v>
      </c>
      <c r="F16645" s="51">
        <f>VLOOKUP(A16645,'[1]Componentes APUs'!$S$1:$V$10,4,0)</f>
        <v>9167</v>
      </c>
      <c r="G16645" s="51">
        <f>ROUNDUP(F16645*((E16645/21)/E16626),0)</f>
        <v>18</v>
      </c>
    </row>
    <row r="16646" spans="1:7" x14ac:dyDescent="0.25">
      <c r="A16646" s="50" t="s">
        <v>58</v>
      </c>
      <c r="B16646" s="242" t="str">
        <f>VLOOKUP(A16646,'[1]Componentes APUs'!$S$1:$V$10,2,0)</f>
        <v>Manila de servicio</v>
      </c>
      <c r="C16646" s="239"/>
      <c r="D16646" s="50" t="s">
        <v>18</v>
      </c>
      <c r="E16646" s="50">
        <v>2</v>
      </c>
      <c r="F16646" s="51">
        <f>VLOOKUP(A16646,'[1]Componentes APUs'!$S$1:$V$10,4,0)</f>
        <v>2333</v>
      </c>
      <c r="G16646" s="51">
        <f>ROUNDUP(F16646*((E16646/21)/E16626),0)</f>
        <v>5</v>
      </c>
    </row>
    <row r="16647" spans="1:7" x14ac:dyDescent="0.25">
      <c r="A16647" s="50" t="s">
        <v>327</v>
      </c>
      <c r="B16647" s="242" t="str">
        <f>VLOOKUP(A16647,'[1]Componentes APUs'!$S$1:$V$10,2,0)</f>
        <v>Tula portaherramientas</v>
      </c>
      <c r="C16647" s="239"/>
      <c r="D16647" s="50" t="s">
        <v>18</v>
      </c>
      <c r="E16647" s="50">
        <v>2</v>
      </c>
      <c r="F16647" s="51">
        <f>VLOOKUP(A16647,'[1]Componentes APUs'!$S$1:$V$10,4,0)</f>
        <v>1250</v>
      </c>
      <c r="G16647" s="51">
        <f>ROUNDUP(F16647*((E16647/21)/E16626),0)</f>
        <v>3</v>
      </c>
    </row>
    <row r="16648" spans="1:7" x14ac:dyDescent="0.25">
      <c r="A16648" s="50" t="s">
        <v>60</v>
      </c>
      <c r="B16648" s="242" t="str">
        <f>VLOOKUP(A16648,'[1]Componentes APUs'!$S$1:$V$10,2,0)</f>
        <v>Agarradoras</v>
      </c>
      <c r="C16648" s="239"/>
      <c r="D16648" s="50" t="s">
        <v>18</v>
      </c>
      <c r="E16648" s="50">
        <v>1</v>
      </c>
      <c r="F16648" s="51">
        <f>VLOOKUP(A16648,'[1]Componentes APUs'!$S$1:$V$10,4,0)</f>
        <v>125000</v>
      </c>
      <c r="G16648" s="51">
        <f>ROUNDUP(F16648*((E16648/21)/E16626),0)</f>
        <v>120</v>
      </c>
    </row>
    <row r="16649" spans="1:7" x14ac:dyDescent="0.25">
      <c r="A16649" s="50" t="s">
        <v>62</v>
      </c>
      <c r="B16649" s="242" t="str">
        <f>VLOOKUP(A16649,'[1]Componentes APUs'!$S$1:$V$10,2,0)</f>
        <v>Templadoras</v>
      </c>
      <c r="C16649" s="239"/>
      <c r="D16649" s="50" t="s">
        <v>18</v>
      </c>
      <c r="E16649" s="50">
        <v>1</v>
      </c>
      <c r="F16649" s="51">
        <f>VLOOKUP(A16649,'[1]Componentes APUs'!$S$1:$V$10,4,0)</f>
        <v>250000</v>
      </c>
      <c r="G16649" s="51">
        <f>ROUNDUP(F16649*((E16649/21)/E16626),0)</f>
        <v>239</v>
      </c>
    </row>
    <row r="16650" spans="1:7" x14ac:dyDescent="0.25">
      <c r="A16650" s="50" t="s">
        <v>328</v>
      </c>
      <c r="B16650" s="242" t="str">
        <f>VLOOKUP(A16650,'[1]Componentes APUs'!$S$1:$V$10,2,0)</f>
        <v>Herramienta Menor</v>
      </c>
      <c r="C16650" s="239"/>
      <c r="D16650" s="50" t="s">
        <v>18</v>
      </c>
      <c r="E16650" s="50">
        <v>2</v>
      </c>
      <c r="F16650" s="51">
        <f>VLOOKUP(A16650,'[1]Componentes APUs'!$S$1:$V$10,4,0)</f>
        <v>75758</v>
      </c>
      <c r="G16650" s="51">
        <f>ROUNDUP(F16650*((E16650/21)/E16626),0)</f>
        <v>145</v>
      </c>
    </row>
    <row r="16651" spans="1:7" x14ac:dyDescent="0.25">
      <c r="A16651" s="234" t="s">
        <v>69</v>
      </c>
      <c r="B16651" s="236"/>
      <c r="C16651" s="236"/>
      <c r="D16651" s="236"/>
      <c r="E16651" s="236"/>
      <c r="F16651" s="235"/>
      <c r="G16651" s="52">
        <f>SUM(G16645:G16650)</f>
        <v>530</v>
      </c>
    </row>
    <row r="16652" spans="1:7" x14ac:dyDescent="0.25">
      <c r="A16652" s="56"/>
      <c r="B16652" s="57"/>
      <c r="C16652" s="57"/>
      <c r="D16652" s="57"/>
      <c r="E16652" s="57"/>
      <c r="F16652" s="57"/>
      <c r="G16652" s="58"/>
    </row>
    <row r="16653" spans="1:7" x14ac:dyDescent="0.25">
      <c r="A16653" s="234" t="s">
        <v>70</v>
      </c>
      <c r="B16653" s="236"/>
      <c r="C16653" s="236"/>
      <c r="D16653" s="236"/>
      <c r="E16653" s="236"/>
      <c r="F16653" s="236"/>
      <c r="G16653" s="235"/>
    </row>
    <row r="16654" spans="1:7" x14ac:dyDescent="0.25">
      <c r="A16654" s="49" t="s">
        <v>35</v>
      </c>
      <c r="B16654" s="234" t="s">
        <v>36</v>
      </c>
      <c r="C16654" s="235"/>
      <c r="D16654" s="49" t="s">
        <v>37</v>
      </c>
      <c r="E16654" s="49" t="s">
        <v>38</v>
      </c>
      <c r="F16654" s="49" t="s">
        <v>39</v>
      </c>
      <c r="G16654" s="49" t="s">
        <v>40</v>
      </c>
    </row>
    <row r="16655" spans="1:7" x14ac:dyDescent="0.25">
      <c r="A16655" s="50" t="s">
        <v>71</v>
      </c>
      <c r="B16655" s="71" t="str">
        <f>VLOOKUP(A16655,'[1]Componentes APUs'!$A$1:$D$14,2,0)</f>
        <v>Camisa indigo sin partes metalicas</v>
      </c>
      <c r="C16655" s="71"/>
      <c r="D16655" s="50" t="str">
        <f>VLOOKUP(A16655,'[1]Componentes APUs'!$A$1:$D$14,3,0)</f>
        <v>U</v>
      </c>
      <c r="E16655" s="50">
        <f>SUM(C16635:C16640)</f>
        <v>4.75</v>
      </c>
      <c r="F16655" s="51">
        <f>VLOOKUP(A16655,'[1]Componentes APUs'!$A$1:$D$14,4,0)</f>
        <v>8585.8585858585866</v>
      </c>
      <c r="G16655" s="51">
        <f>ROUNDUP(F16655*(E16655/21)/E16626,0)</f>
        <v>39</v>
      </c>
    </row>
    <row r="16656" spans="1:7" x14ac:dyDescent="0.25">
      <c r="A16656" s="69" t="s">
        <v>73</v>
      </c>
      <c r="B16656" s="72" t="str">
        <f>VLOOKUP(A16656,'[1]Componentes APUs'!$A$1:$D$14,2,0)</f>
        <v>Bota de seguridad dielectrica</v>
      </c>
      <c r="C16656" s="73"/>
      <c r="D16656" s="70" t="str">
        <f>VLOOKUP(A16656,'[1]Componentes APUs'!$A$1:$D$14,3,0)</f>
        <v>Par</v>
      </c>
      <c r="E16656" s="50">
        <f>SUM(C16635:C16640)</f>
        <v>4.75</v>
      </c>
      <c r="F16656" s="51">
        <f>VLOOKUP(A16656,'[1]Componentes APUs'!$A$1:$D$14,4,0)</f>
        <v>7500</v>
      </c>
      <c r="G16656" s="51">
        <f>ROUNDUP(F16656*(E16656/21)/E16626,0)</f>
        <v>34</v>
      </c>
    </row>
    <row r="16657" spans="1:7" x14ac:dyDescent="0.25">
      <c r="A16657" s="50" t="s">
        <v>76</v>
      </c>
      <c r="B16657" s="72" t="str">
        <f>VLOOKUP(A16657,'[1]Componentes APUs'!$A$1:$D$14,2,0)</f>
        <v>Casco dielectrico Tipo 1 Clase E con barbuquejo</v>
      </c>
      <c r="C16657" s="73"/>
      <c r="D16657" s="50" t="str">
        <f>VLOOKUP(A16657,'[1]Componentes APUs'!$A$1:$D$14,3,0)</f>
        <v>U</v>
      </c>
      <c r="E16657" s="50">
        <f>C16640+C16635+C16638+C16639+C16637+IF(A16637&lt;&gt;"MO-3",C16636,0)</f>
        <v>4.5</v>
      </c>
      <c r="F16657" s="51">
        <f>VLOOKUP(A16657,'[1]Componentes APUs'!$A$1:$D$14,4,0)</f>
        <v>10101.010101010101</v>
      </c>
      <c r="G16657" s="51">
        <f>ROUNDUP(F16657*(E16657/21)/E16626,0)</f>
        <v>44</v>
      </c>
    </row>
    <row r="16658" spans="1:7" x14ac:dyDescent="0.25">
      <c r="A16658" s="69" t="s">
        <v>77</v>
      </c>
      <c r="B16658" s="72" t="str">
        <f>VLOOKUP(A16658,'[1]Componentes APUs'!$A$1:$D$14,2,0)</f>
        <v>Correa plastica y antiflama</v>
      </c>
      <c r="C16658" s="73"/>
      <c r="D16658" s="50" t="str">
        <f>VLOOKUP(A16658,'[1]Componentes APUs'!$A$1:$D$14,3,0)</f>
        <v>U</v>
      </c>
      <c r="E16658" s="50">
        <f>SUM(C16635:C16640)</f>
        <v>4.75</v>
      </c>
      <c r="F16658" s="51">
        <f>VLOOKUP(A16658,'[1]Componentes APUs'!$A$1:$D$14,4,0)</f>
        <v>3787.878787878788</v>
      </c>
      <c r="G16658" s="51">
        <f>ROUNDUP(F16658*(E16658/21)/E16626,0)</f>
        <v>18</v>
      </c>
    </row>
    <row r="16659" spans="1:7" x14ac:dyDescent="0.25">
      <c r="A16659" s="50" t="s">
        <v>79</v>
      </c>
      <c r="B16659" s="72" t="str">
        <f>VLOOKUP(A16659,'[1]Componentes APUs'!$A$1:$D$14,2,0)</f>
        <v>Gafas protectoras filtro UV</v>
      </c>
      <c r="C16659" s="73"/>
      <c r="D16659" s="50" t="str">
        <f>VLOOKUP(A16659,'[1]Componentes APUs'!$A$1:$D$14,3,0)</f>
        <v>U</v>
      </c>
      <c r="E16659" s="50">
        <f>SUM(C16635:C16640)</f>
        <v>4.75</v>
      </c>
      <c r="F16659" s="51">
        <f>VLOOKUP(A16659,'[1]Componentes APUs'!$A$1:$D$14,4,0)</f>
        <v>2777.7777777777778</v>
      </c>
      <c r="G16659" s="51">
        <f>ROUNDUP(F16659*(E16659/21)/E16626,0)</f>
        <v>13</v>
      </c>
    </row>
    <row r="16660" spans="1:7" x14ac:dyDescent="0.25">
      <c r="A16660" s="69" t="s">
        <v>402</v>
      </c>
      <c r="B16660" s="72" t="str">
        <f>VLOOKUP(A16660,'[1]Componentes APUs'!$A$1:$D$14,2,0)</f>
        <v>Bota de seguridad PVC dielectrica</v>
      </c>
      <c r="C16660" s="73"/>
      <c r="D16660" s="50" t="str">
        <f>VLOOKUP(A16660,'[1]Componentes APUs'!$A$1:$D$14,3,0)</f>
        <v>Par</v>
      </c>
      <c r="E16660" s="50">
        <f>SUM(C16635:C16640)</f>
        <v>4.75</v>
      </c>
      <c r="F16660" s="51">
        <f>VLOOKUP(A16660,'[1]Componentes APUs'!$A$1:$D$14,4,0)</f>
        <v>2916.6666666666665</v>
      </c>
      <c r="G16660" s="51">
        <f>ROUNDUP(F16660*(E16660/21)/E16626,0)</f>
        <v>14</v>
      </c>
    </row>
    <row r="16661" spans="1:7" x14ac:dyDescent="0.25">
      <c r="A16661" s="50" t="s">
        <v>403</v>
      </c>
      <c r="B16661" s="72" t="str">
        <f>VLOOKUP(A16661,'[1]Componentes APUs'!$A$1:$D$14,2,0)</f>
        <v>Capuchon</v>
      </c>
      <c r="C16661" s="73"/>
      <c r="D16661" s="50" t="str">
        <f>VLOOKUP(A16661,'[1]Componentes APUs'!$A$1:$D$14,3,0)</f>
        <v>U</v>
      </c>
      <c r="E16661" s="50">
        <f>SUM(C16635:C16640)</f>
        <v>4.75</v>
      </c>
      <c r="F16661" s="51">
        <f>VLOOKUP(A16661,'[1]Componentes APUs'!$A$1:$D$14,4,0)</f>
        <v>2525.2525252525252</v>
      </c>
      <c r="G16661" s="51">
        <f>ROUNDUP(F16661*(E16661/21)/E16626,0)</f>
        <v>12</v>
      </c>
    </row>
    <row r="16662" spans="1:7" x14ac:dyDescent="0.25">
      <c r="A16662" s="69" t="s">
        <v>81</v>
      </c>
      <c r="B16662" s="72" t="str">
        <f>VLOOKUP(A16662,'[1]Componentes APUs'!$A$1:$D$14,2,0)</f>
        <v>Guantes Protectores  - ingeniero reforzados</v>
      </c>
      <c r="C16662" s="73"/>
      <c r="D16662" s="50" t="str">
        <f>VLOOKUP(A16662,'[1]Componentes APUs'!$A$1:$D$14,3,0)</f>
        <v>Par</v>
      </c>
      <c r="E16662" s="50">
        <f>C16637+C16638+C16640</f>
        <v>4</v>
      </c>
      <c r="F16662" s="51">
        <f>VLOOKUP(A16662,'[1]Componentes APUs'!$A$1:$D$14,4,0)</f>
        <v>2525.2525252525252</v>
      </c>
      <c r="G16662" s="51">
        <f>ROUNDUP(F16662*(E16662/21)/E16626,0)</f>
        <v>10</v>
      </c>
    </row>
    <row r="16663" spans="1:7" x14ac:dyDescent="0.25">
      <c r="A16663" s="50" t="s">
        <v>83</v>
      </c>
      <c r="B16663" s="72" t="str">
        <f>VLOOKUP(A16663,'[1]Componentes APUs'!$A$1:$D$14,2,0)</f>
        <v>Impermeable (pantalon camisa)</v>
      </c>
      <c r="C16663" s="73"/>
      <c r="D16663" s="50" t="str">
        <f>VLOOKUP(A16663,'[1]Componentes APUs'!$A$1:$D$14,3,0)</f>
        <v>U</v>
      </c>
      <c r="E16663" s="50">
        <f>SUM(C16635:C16640)</f>
        <v>4.75</v>
      </c>
      <c r="F16663" s="51">
        <f>VLOOKUP(A16663,'[1]Componentes APUs'!$A$1:$D$14,4,0)</f>
        <v>3750</v>
      </c>
      <c r="G16663" s="51">
        <f>ROUNDUP(F16663*(E16663/21)/E16626,0)</f>
        <v>17</v>
      </c>
    </row>
    <row r="16664" spans="1:7" x14ac:dyDescent="0.25">
      <c r="A16664" s="69" t="s">
        <v>85</v>
      </c>
      <c r="B16664" s="72" t="str">
        <f>VLOOKUP(A16664,'[1]Componentes APUs'!$A$1:$D$14,2,0)</f>
        <v>Jean Dielectrico</v>
      </c>
      <c r="C16664" s="73"/>
      <c r="D16664" s="50" t="str">
        <f>VLOOKUP(A16664,'[1]Componentes APUs'!$A$1:$D$14,3,0)</f>
        <v>U</v>
      </c>
      <c r="E16664" s="50">
        <f>SUM(C16635:C16640)</f>
        <v>4.75</v>
      </c>
      <c r="F16664" s="51">
        <f>VLOOKUP(A16664,'[1]Componentes APUs'!$A$1:$D$14,4,0)</f>
        <v>7575.757575757576</v>
      </c>
      <c r="G16664" s="51">
        <f>ROUNDUP(F16664*(E16664/21)/E16626,0)</f>
        <v>35</v>
      </c>
    </row>
    <row r="16665" spans="1:7" x14ac:dyDescent="0.25">
      <c r="A16665" s="50" t="s">
        <v>87</v>
      </c>
      <c r="B16665" s="72" t="str">
        <f>VLOOKUP(A16665,'[1]Componentes APUs'!$A$1:$D$14,2,0)</f>
        <v>Casco dielectrico Tipo 2 Clase E con barboquejo</v>
      </c>
      <c r="C16665" s="73"/>
      <c r="D16665" s="50" t="str">
        <f>VLOOKUP(A16665,'[1]Componentes APUs'!$A$1:$D$14,3,0)</f>
        <v>U</v>
      </c>
      <c r="E16665" s="53">
        <f>IF(A16637="MO-3",C16637,0)</f>
        <v>1</v>
      </c>
      <c r="F16665" s="51">
        <f>VLOOKUP(A16665,'[1]Componentes APUs'!$A$1:$D$14,4,0)</f>
        <v>7500</v>
      </c>
      <c r="G16665" s="51">
        <f>ROUNDUP(F16665*(E16665/21)/E16626,0)</f>
        <v>8</v>
      </c>
    </row>
    <row r="16666" spans="1:7" x14ac:dyDescent="0.25">
      <c r="A16666" s="69" t="s">
        <v>89</v>
      </c>
      <c r="B16666" s="72" t="str">
        <f>VLOOKUP(A16666,'[1]Componentes APUs'!$A$1:$D$14,2,0)</f>
        <v>Kit de rescate para trabajo en alturas</v>
      </c>
      <c r="C16666" s="73"/>
      <c r="D16666" s="50" t="str">
        <f>VLOOKUP(A16666,'[1]Componentes APUs'!$A$1:$D$14,3,0)</f>
        <v>U</v>
      </c>
      <c r="E16666" s="50">
        <f>IF(AND(A16637="MO-3",C16637=2),1,0)</f>
        <v>0</v>
      </c>
      <c r="F16666" s="51">
        <f>VLOOKUP(A16666,'[1]Componentes APUs'!$A$1:$D$14,4,0)</f>
        <v>37500</v>
      </c>
      <c r="G16666" s="51">
        <f>ROUNDUP(F16666*(E16666/21)/E16626,0)</f>
        <v>0</v>
      </c>
    </row>
    <row r="16667" spans="1:7" x14ac:dyDescent="0.25">
      <c r="A16667" s="50" t="s">
        <v>91</v>
      </c>
      <c r="B16667" s="72" t="str">
        <f>VLOOKUP(A16667,'[1]Componentes APUs'!$A$1:$D$14,2,0)</f>
        <v>Equipo completo para trabajo en alturas con pretales (Arnes dielectrico, 1 mosqueton de seguridad, tie off dielectrico, eslinga de posicionamiento, juego de pretales)</v>
      </c>
      <c r="C16667" s="73"/>
      <c r="D16667" s="50" t="str">
        <f>VLOOKUP(A16667,'[1]Componentes APUs'!$A$1:$D$14,3,0)</f>
        <v>U</v>
      </c>
      <c r="E16667" s="50">
        <f>IF(A16637="MO-3",C16637,0)</f>
        <v>1</v>
      </c>
      <c r="F16667" s="51">
        <f>VLOOKUP(A16667,'[1]Componentes APUs'!$A$1:$D$14,4,0)</f>
        <v>26041.666666666668</v>
      </c>
      <c r="G16667" s="51">
        <f>ROUNDUP(F16667*(E16667/21)/E16626,0)</f>
        <v>25</v>
      </c>
    </row>
    <row r="16668" spans="1:7" x14ac:dyDescent="0.25">
      <c r="A16668" s="234" t="s">
        <v>95</v>
      </c>
      <c r="B16668" s="236"/>
      <c r="C16668" s="236"/>
      <c r="D16668" s="236"/>
      <c r="E16668" s="236"/>
      <c r="F16668" s="235"/>
      <c r="G16668" s="52">
        <f>SUM(G16655:G16667)</f>
        <v>269</v>
      </c>
    </row>
    <row r="16669" spans="1:7" x14ac:dyDescent="0.25">
      <c r="A16669" s="56"/>
      <c r="B16669" s="57"/>
      <c r="C16669" s="57"/>
      <c r="D16669" s="57"/>
      <c r="E16669" s="57"/>
      <c r="F16669" s="57"/>
      <c r="G16669" s="58"/>
    </row>
    <row r="16670" spans="1:7" x14ac:dyDescent="0.25">
      <c r="A16670" s="234" t="s">
        <v>96</v>
      </c>
      <c r="B16670" s="236"/>
      <c r="C16670" s="236"/>
      <c r="D16670" s="236"/>
      <c r="E16670" s="236"/>
      <c r="F16670" s="236"/>
      <c r="G16670" s="235"/>
    </row>
    <row r="16671" spans="1:7" x14ac:dyDescent="0.25">
      <c r="A16671" s="49" t="s">
        <v>35</v>
      </c>
      <c r="B16671" s="234" t="s">
        <v>36</v>
      </c>
      <c r="C16671" s="235"/>
      <c r="D16671" s="49" t="s">
        <v>37</v>
      </c>
      <c r="E16671" s="49" t="s">
        <v>38</v>
      </c>
      <c r="F16671" s="49" t="s">
        <v>39</v>
      </c>
      <c r="G16671" s="49" t="s">
        <v>40</v>
      </c>
    </row>
    <row r="16672" spans="1:7" x14ac:dyDescent="0.25">
      <c r="A16672" s="69" t="s">
        <v>97</v>
      </c>
      <c r="B16672" s="72" t="str">
        <f>VLOOKUP(A16672,'[1]Componentes APUs'!$N$1:$Q$30,2,0)</f>
        <v>Camioneta</v>
      </c>
      <c r="C16672" s="73"/>
      <c r="D16672" s="70" t="str">
        <f>VLOOKUP(A16672,'[1]Componentes APUs'!$N$1:$Q$30,3,0)</f>
        <v>U</v>
      </c>
      <c r="E16672" s="50">
        <v>1</v>
      </c>
      <c r="F16672" s="51">
        <f>VLOOKUP(A16672,'[1]Componentes APUs'!$N$1:$Q$30,4,0)</f>
        <v>5500000</v>
      </c>
      <c r="G16672" s="51">
        <f>IFERROR(ROUNDUP(F16672*(E16672/21)/E16626,0),0)</f>
        <v>5239</v>
      </c>
    </row>
    <row r="16673" spans="1:7" x14ac:dyDescent="0.25">
      <c r="A16673" s="50" t="s">
        <v>321</v>
      </c>
      <c r="B16673" s="72" t="str">
        <f>VLOOKUP(A16673,'[1]Componentes APUs'!$N$1:$Q$30,2,0)</f>
        <v>Grúa Hidráulica</v>
      </c>
      <c r="C16673" s="73"/>
      <c r="D16673" s="70" t="str">
        <f>VLOOKUP(A16673,'[1]Componentes APUs'!$N$1:$Q$30,3,0)</f>
        <v>U</v>
      </c>
      <c r="E16673" s="50">
        <v>0</v>
      </c>
      <c r="F16673" s="51">
        <f>VLOOKUP(A16673,'[1]Componentes APUs'!$N$1:$Q$30,4,0)</f>
        <v>21000000</v>
      </c>
      <c r="G16673" s="51">
        <f>IFERROR(ROUNDUP(F16673*(E16673/21)/E16626,0),0)</f>
        <v>0</v>
      </c>
    </row>
    <row r="16674" spans="1:7" x14ac:dyDescent="0.25">
      <c r="A16674" s="69" t="s">
        <v>322</v>
      </c>
      <c r="B16674" s="72" t="str">
        <f>VLOOKUP(A16674,'[1]Componentes APUs'!$N$1:$Q$30,2,0)</f>
        <v>Camabaja</v>
      </c>
      <c r="C16674" s="73"/>
      <c r="D16674" s="70" t="str">
        <f>VLOOKUP(A16674,'[1]Componentes APUs'!$N$1:$Q$30,3,0)</f>
        <v>TON/KM</v>
      </c>
      <c r="E16674" s="50">
        <v>0</v>
      </c>
      <c r="F16674" s="51">
        <f>VLOOKUP(A16674,'[1]Componentes APUs'!$N$1:$Q$30,4,0)</f>
        <v>611</v>
      </c>
      <c r="G16674" s="51">
        <f>IFERROR(ROUNDUP(F16674*(E16674/21)/E16626,0),0)</f>
        <v>0</v>
      </c>
    </row>
    <row r="16675" spans="1:7" x14ac:dyDescent="0.25">
      <c r="A16675" s="50" t="s">
        <v>323</v>
      </c>
      <c r="B16675" s="72" t="str">
        <f>VLOOKUP(A16675,'[1]Componentes APUs'!$N$1:$Q$30,2,0)</f>
        <v>Volqueta</v>
      </c>
      <c r="C16675" s="73"/>
      <c r="D16675" s="70" t="str">
        <f>VLOOKUP(A16675,'[1]Componentes APUs'!$N$1:$Q$30,3,0)</f>
        <v>U</v>
      </c>
      <c r="E16675" s="50">
        <v>0</v>
      </c>
      <c r="F16675" s="51">
        <f>VLOOKUP(A16675,'[1]Componentes APUs'!$N$1:$Q$30,4,0)</f>
        <v>18900000</v>
      </c>
      <c r="G16675" s="51">
        <f>IFERROR(ROUNDUP(F16675*(E16675/21)/E16626,0),0)</f>
        <v>0</v>
      </c>
    </row>
    <row r="16676" spans="1:7" x14ac:dyDescent="0.25">
      <c r="A16676" s="69" t="s">
        <v>324</v>
      </c>
      <c r="B16676" s="72" t="str">
        <f>VLOOKUP(A16676,'[1]Componentes APUs'!$N$1:$Q$30,2,0)</f>
        <v>Retroexcavadora</v>
      </c>
      <c r="C16676" s="73"/>
      <c r="D16676" s="70" t="str">
        <f>VLOOKUP(A16676,'[1]Componentes APUs'!$N$1:$Q$30,3,0)</f>
        <v>U</v>
      </c>
      <c r="E16676" s="50">
        <v>0</v>
      </c>
      <c r="F16676" s="51">
        <f>VLOOKUP(A16676,'[1]Componentes APUs'!$N$1:$Q$30,4,0)</f>
        <v>1494459.54</v>
      </c>
      <c r="G16676" s="51">
        <f>IFERROR(ROUNDUP(F16676*(E16676/21)/E16626,0),0)</f>
        <v>0</v>
      </c>
    </row>
    <row r="16677" spans="1:7" x14ac:dyDescent="0.25">
      <c r="A16677" s="234" t="s">
        <v>99</v>
      </c>
      <c r="B16677" s="236"/>
      <c r="C16677" s="236"/>
      <c r="D16677" s="236"/>
      <c r="E16677" s="236"/>
      <c r="F16677" s="235"/>
      <c r="G16677" s="52">
        <f>SUM(G16672:G16676)</f>
        <v>5239</v>
      </c>
    </row>
    <row r="16678" spans="1:7" x14ac:dyDescent="0.25">
      <c r="A16678" s="56"/>
      <c r="B16678" s="57"/>
      <c r="C16678" s="57"/>
      <c r="D16678" s="57"/>
      <c r="E16678" s="57"/>
      <c r="F16678" s="57"/>
      <c r="G16678" s="58"/>
    </row>
    <row r="16679" spans="1:7" x14ac:dyDescent="0.25">
      <c r="A16679" s="234" t="s">
        <v>1516</v>
      </c>
      <c r="B16679" s="236"/>
      <c r="C16679" s="236"/>
      <c r="D16679" s="236"/>
      <c r="E16679" s="236"/>
      <c r="F16679" s="235"/>
      <c r="G16679" s="52">
        <f>G16677+G16668+G16651+G16641+G16631</f>
        <v>227219</v>
      </c>
    </row>
    <row r="16680" spans="1:7" x14ac:dyDescent="0.25">
      <c r="A16680" s="59"/>
      <c r="B16680" s="60"/>
      <c r="C16680" s="60"/>
      <c r="D16680" s="60"/>
      <c r="E16680" s="57"/>
      <c r="F16680" s="57"/>
      <c r="G16680" s="58"/>
    </row>
    <row r="16681" spans="1:7" x14ac:dyDescent="0.25">
      <c r="A16681" s="64"/>
      <c r="D16681" s="55"/>
      <c r="E16681" s="49" t="s">
        <v>25</v>
      </c>
      <c r="F16681" s="54">
        <v>0.15</v>
      </c>
      <c r="G16681" s="51">
        <f>G16679*F16681</f>
        <v>34082.85</v>
      </c>
    </row>
    <row r="16682" spans="1:7" x14ac:dyDescent="0.25">
      <c r="A16682" s="64"/>
      <c r="D16682" s="55"/>
      <c r="E16682" s="49" t="s">
        <v>26</v>
      </c>
      <c r="F16682" s="54">
        <v>0.05</v>
      </c>
      <c r="G16682" s="51">
        <f>G16679*F16682</f>
        <v>11360.95</v>
      </c>
    </row>
    <row r="16683" spans="1:7" x14ac:dyDescent="0.25">
      <c r="A16683" s="61"/>
      <c r="B16683" s="65"/>
      <c r="C16683" s="65"/>
      <c r="D16683" s="62"/>
      <c r="E16683" s="49" t="s">
        <v>27</v>
      </c>
      <c r="F16683" s="54">
        <v>0.05</v>
      </c>
      <c r="G16683" s="51">
        <f>G16679*F16683</f>
        <v>11360.95</v>
      </c>
    </row>
    <row r="16684" spans="1:7" x14ac:dyDescent="0.25">
      <c r="A16684" s="61"/>
      <c r="B16684" s="62"/>
      <c r="C16684" s="62"/>
      <c r="D16684" s="62"/>
      <c r="E16684" s="62"/>
      <c r="F16684" s="62"/>
      <c r="G16684" s="63"/>
    </row>
    <row r="16685" spans="1:7" x14ac:dyDescent="0.25">
      <c r="A16685" s="234" t="s">
        <v>1517</v>
      </c>
      <c r="B16685" s="236"/>
      <c r="C16685" s="236"/>
      <c r="D16685" s="236"/>
      <c r="E16685" s="236"/>
      <c r="F16685" s="235"/>
      <c r="G16685" s="52">
        <f>G16679+G16681+G16682+G16683</f>
        <v>284023.75</v>
      </c>
    </row>
    <row r="16686" spans="1:7" x14ac:dyDescent="0.25">
      <c r="A16686" s="59"/>
      <c r="B16686" s="60"/>
      <c r="C16686" s="60"/>
      <c r="D16686" s="60"/>
      <c r="E16686" s="57"/>
      <c r="F16686" s="57"/>
      <c r="G16686" s="58"/>
    </row>
    <row r="16687" spans="1:7" x14ac:dyDescent="0.25">
      <c r="A16687" s="64"/>
      <c r="D16687" s="55"/>
      <c r="E16687" s="49" t="s">
        <v>102</v>
      </c>
      <c r="F16687" s="49" t="s">
        <v>103</v>
      </c>
      <c r="G16687" s="51">
        <f>G16683*19%</f>
        <v>2158.5805</v>
      </c>
    </row>
    <row r="16688" spans="1:7" x14ac:dyDescent="0.25">
      <c r="A16688" s="61"/>
      <c r="B16688" s="62"/>
      <c r="C16688" s="62"/>
      <c r="D16688" s="62"/>
      <c r="E16688" s="57"/>
      <c r="F16688" s="57"/>
      <c r="G16688" s="58"/>
    </row>
    <row r="16689" spans="1:7" x14ac:dyDescent="0.25">
      <c r="A16689" s="234" t="s">
        <v>104</v>
      </c>
      <c r="B16689" s="236"/>
      <c r="C16689" s="236"/>
      <c r="D16689" s="236"/>
      <c r="E16689" s="236"/>
      <c r="F16689" s="235"/>
      <c r="G16689" s="52">
        <f>G16687+G16685</f>
        <v>286182.33049999998</v>
      </c>
    </row>
    <row r="16691" spans="1:7" x14ac:dyDescent="0.25">
      <c r="A16691" s="74" t="s">
        <v>29</v>
      </c>
      <c r="B16691" s="226" t="s">
        <v>30</v>
      </c>
      <c r="C16691" s="226"/>
      <c r="D16691" s="74" t="s">
        <v>31</v>
      </c>
      <c r="E16691" s="74" t="s">
        <v>32</v>
      </c>
      <c r="F16691" s="74" t="s">
        <v>189</v>
      </c>
      <c r="G16691" s="74" t="s">
        <v>33</v>
      </c>
    </row>
    <row r="16692" spans="1:7" ht="18.75" customHeight="1" x14ac:dyDescent="0.25">
      <c r="A16692" s="50" t="str">
        <f>Presupuesto!B328</f>
        <v>004_AUX</v>
      </c>
      <c r="B16692" s="220" t="str">
        <f>Presupuesto!C328</f>
        <v>SUMINISTRO E INSTALACIÓN DE CANALIZACIÓN DE ACOMETIDA</v>
      </c>
      <c r="C16692" s="220"/>
      <c r="D16692" s="50" t="s">
        <v>8</v>
      </c>
      <c r="E16692" s="50">
        <v>2</v>
      </c>
      <c r="F16692" s="50"/>
      <c r="G16692" s="51">
        <f>G16763</f>
        <v>1585957.362</v>
      </c>
    </row>
    <row r="16693" spans="1:7" x14ac:dyDescent="0.25">
      <c r="A16693" s="219"/>
      <c r="B16693" s="219"/>
      <c r="C16693" s="219"/>
      <c r="D16693" s="219"/>
      <c r="E16693" s="219"/>
      <c r="F16693" s="219"/>
      <c r="G16693" s="219"/>
    </row>
    <row r="16694" spans="1:7" x14ac:dyDescent="0.25">
      <c r="A16694" s="49" t="s">
        <v>35</v>
      </c>
      <c r="B16694" s="219" t="s">
        <v>36</v>
      </c>
      <c r="C16694" s="219"/>
      <c r="D16694" s="49" t="s">
        <v>37</v>
      </c>
      <c r="E16694" s="49" t="s">
        <v>38</v>
      </c>
      <c r="F16694" s="49" t="s">
        <v>39</v>
      </c>
      <c r="G16694" s="49" t="s">
        <v>40</v>
      </c>
    </row>
    <row r="16695" spans="1:7" x14ac:dyDescent="0.25">
      <c r="A16695" s="17" t="str">
        <f>Material!A76</f>
        <v>MA-75</v>
      </c>
      <c r="B16695" s="72" t="str">
        <f>IFERROR(VLOOKUP(A16695,Material!$A:$J,2,0),"-")</f>
        <v>TUBO CONDUIT METÁLICO GALVANIZADO IMC DIAMETRO 2"</v>
      </c>
      <c r="C16695" s="73"/>
      <c r="D16695" s="50" t="str">
        <f>IFERROR(VLOOKUP(A16695,Material!$A:$J,4,0),"-")</f>
        <v>ML</v>
      </c>
      <c r="E16695" s="50">
        <v>6</v>
      </c>
      <c r="F16695" s="51">
        <f>IFERROR(VLOOKUP(A16695,Material!$A:$J,3,0),"-")</f>
        <v>69593.333333333343</v>
      </c>
      <c r="G16695" s="51">
        <f t="shared" ref="G16695:G16703" si="234">IFERROR(ROUNDUP(F16695*E16695,0),"-")</f>
        <v>417560</v>
      </c>
    </row>
    <row r="16696" spans="1:7" x14ac:dyDescent="0.25">
      <c r="A16696" s="17" t="str">
        <f>Material!A78</f>
        <v>MA-77</v>
      </c>
      <c r="B16696" s="72" t="str">
        <f>IFERROR(VLOOKUP(A16696,Material!$A:$J,2,0),"-")</f>
        <v>TUBERÍA PVC 2"</v>
      </c>
      <c r="C16696" s="76"/>
      <c r="D16696" s="50" t="str">
        <f>IFERROR(VLOOKUP(A16696,Material!$A:$J,4,0),"-")</f>
        <v>ML</v>
      </c>
      <c r="E16696" s="50">
        <v>2</v>
      </c>
      <c r="F16696" s="51">
        <f>IFERROR(VLOOKUP(A16696,Material!$A:$J,3,0),"-")</f>
        <v>6261.666666666667</v>
      </c>
      <c r="G16696" s="51">
        <f t="shared" si="234"/>
        <v>12524</v>
      </c>
    </row>
    <row r="16697" spans="1:7" x14ac:dyDescent="0.25">
      <c r="A16697" s="17" t="str">
        <f>Material!A79</f>
        <v>MA-78</v>
      </c>
      <c r="B16697" s="72" t="str">
        <f>IFERROR(VLOOKUP(A16697,Material!$A:$J,2,0),"-")</f>
        <v>CURVA PVC 2"</v>
      </c>
      <c r="C16697" s="76"/>
      <c r="D16697" s="50" t="str">
        <f>IFERROR(VLOOKUP(A16697,Material!$A:$J,4,0),"-")</f>
        <v>UN</v>
      </c>
      <c r="E16697" s="50">
        <v>1</v>
      </c>
      <c r="F16697" s="51">
        <f>IFERROR(VLOOKUP(A16697,Material!$A:$J,3,0),"-")</f>
        <v>4680</v>
      </c>
      <c r="G16697" s="51">
        <f t="shared" si="234"/>
        <v>4680</v>
      </c>
    </row>
    <row r="16698" spans="1:7" x14ac:dyDescent="0.25">
      <c r="A16698" s="17" t="str">
        <f>Material!A112</f>
        <v>MA-111</v>
      </c>
      <c r="B16698" s="72" t="str">
        <f>IFERROR(VLOOKUP(A16698,Material!$A:$J,2,0),"-")</f>
        <v>CAPACETE ROSCADO EN ALUMINIO PARA TUBERIA IMC DE 2"</v>
      </c>
      <c r="C16698" s="76"/>
      <c r="D16698" s="50" t="str">
        <f>IFERROR(VLOOKUP(A16698,Material!$A:$J,4,0),"-")</f>
        <v>UN</v>
      </c>
      <c r="E16698" s="50">
        <v>1</v>
      </c>
      <c r="F16698" s="51">
        <f>IFERROR(VLOOKUP(A16698,Material!$A:$J,3,0),"-")</f>
        <v>29315</v>
      </c>
      <c r="G16698" s="51">
        <f t="shared" si="234"/>
        <v>29315</v>
      </c>
    </row>
    <row r="16699" spans="1:7" x14ac:dyDescent="0.25">
      <c r="A16699" s="17" t="str">
        <f>Material!A102</f>
        <v>MA-101</v>
      </c>
      <c r="B16699" s="72" t="str">
        <f>IFERROR(VLOOKUP(A16699,Material!$A:$J,2,0),"-")</f>
        <v>CINTA DE ACERO INOXIDABLE. DIMENSIONES 15.87 MM (REF. EH = 1282)</v>
      </c>
      <c r="C16699" s="76"/>
      <c r="D16699" s="50" t="str">
        <f>IFERROR(VLOOKUP(A16699,Material!$A:$J,4,0),"-")</f>
        <v>ML</v>
      </c>
      <c r="E16699" s="50">
        <v>4</v>
      </c>
      <c r="F16699" s="51">
        <f>IFERROR(VLOOKUP(A16699,Material!$A:$J,3,0),"-")</f>
        <v>6474</v>
      </c>
      <c r="G16699" s="51">
        <f t="shared" si="234"/>
        <v>25896</v>
      </c>
    </row>
    <row r="16700" spans="1:7" x14ac:dyDescent="0.25">
      <c r="A16700" s="17" t="str">
        <f>Material!A69</f>
        <v>MA-68</v>
      </c>
      <c r="B16700" s="72" t="str">
        <f>IFERROR(VLOOKUP(A16700,Material!$A:$J,2,0),"-")</f>
        <v>HEBILLA DE ACERO INOXIDABLE. DIMENSIONES 15.87 MM (REF. EH = 1292)</v>
      </c>
      <c r="C16700" s="76"/>
      <c r="D16700" s="50" t="str">
        <f>IFERROR(VLOOKUP(A16700,Material!$A:$J,4,0),"-")</f>
        <v>UN</v>
      </c>
      <c r="E16700" s="50">
        <v>4</v>
      </c>
      <c r="F16700" s="51">
        <f>IFERROR(VLOOKUP(A16700,Material!$A:$J,3,0),"-")</f>
        <v>780</v>
      </c>
      <c r="G16700" s="51">
        <f t="shared" si="234"/>
        <v>3120</v>
      </c>
    </row>
    <row r="16701" spans="1:7" x14ac:dyDescent="0.25">
      <c r="A16701" s="17" t="str">
        <f>Material!A113</f>
        <v>MA-112</v>
      </c>
      <c r="B16701" s="72" t="str">
        <f>IFERROR(VLOOKUP(A16701,Material!$A:$J,2,0),"-")</f>
        <v>SIKA BOOM ESPUMA</v>
      </c>
      <c r="C16701" s="76"/>
      <c r="D16701" s="50" t="str">
        <f>IFERROR(VLOOKUP(A16701,Material!$A:$J,4,0),"-")</f>
        <v>LITRO</v>
      </c>
      <c r="E16701" s="50">
        <v>1</v>
      </c>
      <c r="F16701" s="51">
        <f>IFERROR(VLOOKUP(A16701,Material!$A:$J,3,0),"-")</f>
        <v>159900</v>
      </c>
      <c r="G16701" s="51">
        <f t="shared" si="234"/>
        <v>159900</v>
      </c>
    </row>
    <row r="16702" spans="1:7" x14ac:dyDescent="0.25">
      <c r="A16702" s="17" t="str">
        <f>Material!A201</f>
        <v>MA-200</v>
      </c>
      <c r="B16702" s="72" t="str">
        <f>IFERROR(VLOOKUP(A16702,Material!$A:$J,2,0),"-")</f>
        <v>SOLDADURA PVC 1/4 GL</v>
      </c>
      <c r="C16702" s="76"/>
      <c r="D16702" s="50" t="str">
        <f>IFERROR(VLOOKUP(A16702,Material!$A:$J,4,0),"-")</f>
        <v>GALÓN</v>
      </c>
      <c r="E16702" s="50">
        <f>2/60</f>
        <v>3.3333333333333333E-2</v>
      </c>
      <c r="F16702" s="51">
        <f>IFERROR(VLOOKUP(A16702,Material!$A:$J,3,0),"-")</f>
        <v>88270</v>
      </c>
      <c r="G16702" s="51">
        <f t="shared" si="234"/>
        <v>2943</v>
      </c>
    </row>
    <row r="16703" spans="1:7" x14ac:dyDescent="0.25">
      <c r="A16703" s="17" t="str">
        <f>Material!A253</f>
        <v>MA-252</v>
      </c>
      <c r="B16703" s="72" t="str">
        <f>IFERROR(VLOOKUP(A16703,Material!$A:$J,2,0),"-")</f>
        <v>LIMPIADOR DE TUBERÍA PVC 1/4 GL</v>
      </c>
      <c r="C16703" s="76"/>
      <c r="D16703" s="50" t="str">
        <f>IFERROR(VLOOKUP(A16703,Material!$A:$J,4,0),"-")</f>
        <v>GALÓN</v>
      </c>
      <c r="E16703" s="50">
        <f>2/60</f>
        <v>3.3333333333333333E-2</v>
      </c>
      <c r="F16703" s="51">
        <f>IFERROR(VLOOKUP(A16703,Material!$A:$J,3,0),"-")</f>
        <v>60970</v>
      </c>
      <c r="G16703" s="51">
        <f t="shared" si="234"/>
        <v>2033</v>
      </c>
    </row>
    <row r="16704" spans="1:7" x14ac:dyDescent="0.25">
      <c r="A16704" s="17"/>
      <c r="B16704" s="72"/>
      <c r="C16704" s="76"/>
      <c r="D16704" s="50"/>
      <c r="E16704" s="50"/>
      <c r="F16704" s="51"/>
      <c r="G16704" s="51"/>
    </row>
    <row r="16705" spans="1:7" x14ac:dyDescent="0.25">
      <c r="A16705" s="219" t="s">
        <v>41</v>
      </c>
      <c r="B16705" s="219"/>
      <c r="C16705" s="219"/>
      <c r="D16705" s="219"/>
      <c r="E16705" s="219"/>
      <c r="F16705" s="219"/>
      <c r="G16705" s="52">
        <f>SUM(G16695:G16704)</f>
        <v>657971</v>
      </c>
    </row>
    <row r="16706" spans="1:7" x14ac:dyDescent="0.25">
      <c r="A16706" s="56"/>
      <c r="B16706" s="57"/>
      <c r="C16706" s="57"/>
      <c r="D16706" s="57"/>
      <c r="E16706" s="57"/>
      <c r="F16706" s="57"/>
      <c r="G16706" s="58"/>
    </row>
    <row r="16707" spans="1:7" x14ac:dyDescent="0.25">
      <c r="A16707" s="219" t="s">
        <v>42</v>
      </c>
      <c r="B16707" s="219"/>
      <c r="C16707" s="219"/>
      <c r="D16707" s="219"/>
      <c r="E16707" s="219"/>
      <c r="F16707" s="219"/>
      <c r="G16707" s="219"/>
    </row>
    <row r="16708" spans="1:7" x14ac:dyDescent="0.25">
      <c r="A16708" s="49" t="s">
        <v>35</v>
      </c>
      <c r="B16708" s="49" t="s">
        <v>36</v>
      </c>
      <c r="C16708" s="49" t="s">
        <v>38</v>
      </c>
      <c r="D16708" s="49" t="s">
        <v>43</v>
      </c>
      <c r="E16708" s="49" t="s">
        <v>44</v>
      </c>
      <c r="F16708" s="49" t="s">
        <v>45</v>
      </c>
      <c r="G16708" s="49" t="s">
        <v>40</v>
      </c>
    </row>
    <row r="16709" spans="1:7" x14ac:dyDescent="0.25">
      <c r="A16709" s="50" t="s">
        <v>319</v>
      </c>
      <c r="B16709" s="68" t="str">
        <f>VLOOKUP(A16709,'[1]Componentes APUs'!$H$1:$L$25,2,0)</f>
        <v>Ingeniero Residente de Obra</v>
      </c>
      <c r="C16709" s="93">
        <v>0.25</v>
      </c>
      <c r="D16709" s="50">
        <f>VLOOKUP(A16709,'[1]Componentes APUs'!$H$1:$L$25,3,0)</f>
        <v>4</v>
      </c>
      <c r="E16709" s="51">
        <f>VLOOKUP(A16709,'[1]Componentes APUs'!$H$1:$L$25,4,0)</f>
        <v>271142.85714285716</v>
      </c>
      <c r="F16709" s="51">
        <f>VLOOKUP(A16709,'[1]Componentes APUs'!$H$1:$L$25,5,0)</f>
        <v>162685.71428571429</v>
      </c>
      <c r="G16709" s="51">
        <f>ROUNDUP((E16709+F16709)*C16709/E16692,0)</f>
        <v>54229</v>
      </c>
    </row>
    <row r="16710" spans="1:7" x14ac:dyDescent="0.25">
      <c r="A16710" s="50" t="s">
        <v>320</v>
      </c>
      <c r="B16710" s="68" t="str">
        <f>VLOOKUP(A16710,'[1]Componentes APUs'!$H$1:$L$25,2,0)</f>
        <v>Tecnico Supervisor</v>
      </c>
      <c r="C16710" s="93">
        <v>0.25</v>
      </c>
      <c r="D16710" s="50">
        <f>VLOOKUP(A16710,'[1]Componentes APUs'!$H$1:$L$25,3,0)</f>
        <v>2.2999999999999998</v>
      </c>
      <c r="E16710" s="51">
        <f>VLOOKUP(A16710,'[1]Componentes APUs'!$H$1:$L$25,4,0)</f>
        <v>155907.14285714284</v>
      </c>
      <c r="F16710" s="51">
        <f>VLOOKUP(A16710,'[1]Componentes APUs'!$H$1:$L$25,5,0)</f>
        <v>93544.285714285696</v>
      </c>
      <c r="G16710" s="51">
        <f>ROUNDUP((E16710+F16710)*C16710/E16692,0)</f>
        <v>31182</v>
      </c>
    </row>
    <row r="16711" spans="1:7" x14ac:dyDescent="0.25">
      <c r="A16711" s="50" t="s">
        <v>46</v>
      </c>
      <c r="B16711" s="68" t="str">
        <f>VLOOKUP(A16711,'[1]Componentes APUs'!$H$1:$L$25,2,0)</f>
        <v>Tecnico Liniero</v>
      </c>
      <c r="C16711" s="93">
        <v>1</v>
      </c>
      <c r="D16711" s="50">
        <f>VLOOKUP(A16711,'[1]Componentes APUs'!$H$1:$L$25,3,0)</f>
        <v>2</v>
      </c>
      <c r="E16711" s="51">
        <f>VLOOKUP(A16711,'[1]Componentes APUs'!$H$1:$L$25,4,0)</f>
        <v>154619.04761904763</v>
      </c>
      <c r="F16711" s="51">
        <f>VLOOKUP(A16711,'[1]Componentes APUs'!$H$1:$L$25,5,0)</f>
        <v>92771.42857142858</v>
      </c>
      <c r="G16711" s="51">
        <f>ROUNDUP((E16711+F16711)*C16711/E16692,0)</f>
        <v>123696</v>
      </c>
    </row>
    <row r="16712" spans="1:7" x14ac:dyDescent="0.25">
      <c r="A16712" s="50" t="s">
        <v>48</v>
      </c>
      <c r="B16712" s="68" t="str">
        <f>VLOOKUP(A16712,'[1]Componentes APUs'!$H$1:$L$25,2,0)</f>
        <v>Ayudante Calificado</v>
      </c>
      <c r="C16712" s="93">
        <v>1</v>
      </c>
      <c r="D16712" s="50">
        <f>VLOOKUP(A16712,'[1]Componentes APUs'!$H$1:$L$25,3,0)</f>
        <v>1.5</v>
      </c>
      <c r="E16712" s="51">
        <f>VLOOKUP(A16712,'[1]Componentes APUs'!$H$1:$L$25,4,0)</f>
        <v>115964.28571428571</v>
      </c>
      <c r="F16712" s="51">
        <f>VLOOKUP(A16712,'[1]Componentes APUs'!$H$1:$L$25,5,0)</f>
        <v>69578.57142857142</v>
      </c>
      <c r="G16712" s="51">
        <f>ROUNDUP((E16712+F16712)*C16712/E16692,0)</f>
        <v>92772</v>
      </c>
    </row>
    <row r="16713" spans="1:7" x14ac:dyDescent="0.25">
      <c r="A16713" s="50" t="s">
        <v>50</v>
      </c>
      <c r="B16713" s="68" t="str">
        <f>VLOOKUP(A16713,'[1]Componentes APUs'!$H$1:$L$25,2,0)</f>
        <v>Profesional en SST</v>
      </c>
      <c r="C16713" s="93">
        <v>0.25</v>
      </c>
      <c r="D16713" s="50">
        <f>VLOOKUP(A16713,'[1]Componentes APUs'!$H$1:$L$25,3,0)</f>
        <v>2.5</v>
      </c>
      <c r="E16713" s="51">
        <f>VLOOKUP(A16713,'[1]Componentes APUs'!$H$1:$L$25,4,0)</f>
        <v>169464.28571428571</v>
      </c>
      <c r="F16713" s="51">
        <f>VLOOKUP(A16713,'[1]Componentes APUs'!$H$1:$L$25,5,0)</f>
        <v>101678.57142857142</v>
      </c>
      <c r="G16713" s="51">
        <f>ROUNDUP((E16713+F16713)*C16713/E16692,0)</f>
        <v>33893</v>
      </c>
    </row>
    <row r="16714" spans="1:7" x14ac:dyDescent="0.25">
      <c r="A16714" s="50" t="s">
        <v>52</v>
      </c>
      <c r="B16714" s="68" t="str">
        <f>VLOOKUP(A16714,'[1]Componentes APUs'!$H$1:$L$25,2,0)</f>
        <v>Ayudante No Calificado</v>
      </c>
      <c r="C16714" s="93">
        <v>2</v>
      </c>
      <c r="D16714" s="50">
        <f>VLOOKUP(A16714,'[1]Componentes APUs'!$H$1:$L$25,3,0)</f>
        <v>1</v>
      </c>
      <c r="E16714" s="51">
        <f>VLOOKUP(A16714,'[1]Componentes APUs'!$H$1:$L$25,4,0)</f>
        <v>77309.523809523816</v>
      </c>
      <c r="F16714" s="51">
        <f>VLOOKUP(A16714,'[1]Componentes APUs'!$H$1:$L$25,5,0)</f>
        <v>46385.71428571429</v>
      </c>
      <c r="G16714" s="51">
        <f>ROUNDUP((E16714+F16714)*C16714/E16692,0)</f>
        <v>123696</v>
      </c>
    </row>
    <row r="16715" spans="1:7" x14ac:dyDescent="0.25">
      <c r="A16715" s="219" t="s">
        <v>56</v>
      </c>
      <c r="B16715" s="219"/>
      <c r="C16715" s="219"/>
      <c r="D16715" s="219"/>
      <c r="E16715" s="219"/>
      <c r="F16715" s="219"/>
      <c r="G16715" s="52">
        <f>SUM(G16709:G16714)</f>
        <v>459468</v>
      </c>
    </row>
    <row r="16716" spans="1:7" x14ac:dyDescent="0.25">
      <c r="A16716" s="56"/>
      <c r="B16716" s="57"/>
      <c r="C16716" s="57"/>
      <c r="D16716" s="57"/>
      <c r="E16716" s="57"/>
      <c r="F16716" s="57"/>
      <c r="G16716" s="58"/>
    </row>
    <row r="16717" spans="1:7" x14ac:dyDescent="0.25">
      <c r="A16717" s="219" t="s">
        <v>57</v>
      </c>
      <c r="B16717" s="219"/>
      <c r="C16717" s="219"/>
      <c r="D16717" s="219"/>
      <c r="E16717" s="219"/>
      <c r="F16717" s="219"/>
      <c r="G16717" s="219"/>
    </row>
    <row r="16718" spans="1:7" x14ac:dyDescent="0.25">
      <c r="A16718" s="49" t="s">
        <v>35</v>
      </c>
      <c r="B16718" s="219" t="s">
        <v>36</v>
      </c>
      <c r="C16718" s="219"/>
      <c r="D16718" s="49" t="s">
        <v>37</v>
      </c>
      <c r="E16718" s="49" t="s">
        <v>38</v>
      </c>
      <c r="F16718" s="49" t="s">
        <v>39</v>
      </c>
      <c r="G16718" s="49" t="s">
        <v>40</v>
      </c>
    </row>
    <row r="16719" spans="1:7" x14ac:dyDescent="0.25">
      <c r="A16719" s="50" t="s">
        <v>326</v>
      </c>
      <c r="B16719" s="220" t="str">
        <f>VLOOKUP(A16719,'[1]Componentes APUs'!$S$1:$V$10,2,0)</f>
        <v>Juego Llaves</v>
      </c>
      <c r="C16719" s="220"/>
      <c r="D16719" s="50" t="s">
        <v>18</v>
      </c>
      <c r="E16719" s="50">
        <v>2</v>
      </c>
      <c r="F16719" s="51">
        <f>VLOOKUP(A16719,'[1]Componentes APUs'!$S$1:$V$10,4,0)</f>
        <v>9167</v>
      </c>
      <c r="G16719" s="51">
        <f>ROUNDUP(F16719*((E16719/21)/E16692),0)</f>
        <v>437</v>
      </c>
    </row>
    <row r="16720" spans="1:7" x14ac:dyDescent="0.25">
      <c r="A16720" s="50" t="s">
        <v>58</v>
      </c>
      <c r="B16720" s="220" t="str">
        <f>VLOOKUP(A16720,'[1]Componentes APUs'!$S$1:$V$10,2,0)</f>
        <v>Manila de servicio</v>
      </c>
      <c r="C16720" s="220"/>
      <c r="D16720" s="50" t="s">
        <v>18</v>
      </c>
      <c r="E16720" s="50">
        <v>2</v>
      </c>
      <c r="F16720" s="51">
        <f>VLOOKUP(A16720,'[1]Componentes APUs'!$S$1:$V$10,4,0)</f>
        <v>2333</v>
      </c>
      <c r="G16720" s="51">
        <f>ROUNDUP(F16720*((E16720/21)/E16692),0)</f>
        <v>112</v>
      </c>
    </row>
    <row r="16721" spans="1:7" x14ac:dyDescent="0.25">
      <c r="A16721" s="50" t="s">
        <v>327</v>
      </c>
      <c r="B16721" s="220" t="str">
        <f>VLOOKUP(A16721,'[1]Componentes APUs'!$S$1:$V$10,2,0)</f>
        <v>Tula portaherramientas</v>
      </c>
      <c r="C16721" s="220"/>
      <c r="D16721" s="50" t="s">
        <v>18</v>
      </c>
      <c r="E16721" s="50">
        <v>2</v>
      </c>
      <c r="F16721" s="51">
        <f>VLOOKUP(A16721,'[1]Componentes APUs'!$S$1:$V$10,4,0)</f>
        <v>1250</v>
      </c>
      <c r="G16721" s="51">
        <f>ROUNDUP(F16721*((E16721/21)/E16692),0)</f>
        <v>60</v>
      </c>
    </row>
    <row r="16722" spans="1:7" x14ac:dyDescent="0.25">
      <c r="A16722" s="50" t="s">
        <v>60</v>
      </c>
      <c r="B16722" s="220" t="str">
        <f>VLOOKUP(A16722,'[1]Componentes APUs'!$S$1:$V$10,2,0)</f>
        <v>Agarradoras</v>
      </c>
      <c r="C16722" s="220"/>
      <c r="D16722" s="50" t="s">
        <v>18</v>
      </c>
      <c r="E16722" s="50">
        <v>0</v>
      </c>
      <c r="F16722" s="51">
        <f>VLOOKUP(A16722,'[1]Componentes APUs'!$S$1:$V$10,4,0)</f>
        <v>125000</v>
      </c>
      <c r="G16722" s="51">
        <f>ROUNDUP(F16722*((E16722/21)/E16692),0)</f>
        <v>0</v>
      </c>
    </row>
    <row r="16723" spans="1:7" x14ac:dyDescent="0.25">
      <c r="A16723" s="50" t="s">
        <v>62</v>
      </c>
      <c r="B16723" s="220" t="str">
        <f>VLOOKUP(A16723,'[1]Componentes APUs'!$S$1:$V$10,2,0)</f>
        <v>Templadoras</v>
      </c>
      <c r="C16723" s="220"/>
      <c r="D16723" s="50" t="s">
        <v>18</v>
      </c>
      <c r="E16723" s="50">
        <v>0</v>
      </c>
      <c r="F16723" s="51">
        <f>VLOOKUP(A16723,'[1]Componentes APUs'!$S$1:$V$10,4,0)</f>
        <v>250000</v>
      </c>
      <c r="G16723" s="51">
        <f>ROUNDUP(F16723*((E16723/21)/E16692),0)</f>
        <v>0</v>
      </c>
    </row>
    <row r="16724" spans="1:7" x14ac:dyDescent="0.25">
      <c r="A16724" s="50" t="s">
        <v>328</v>
      </c>
      <c r="B16724" s="220" t="str">
        <f>VLOOKUP(A16724,'[1]Componentes APUs'!$S$1:$V$10,2,0)</f>
        <v>Herramienta Menor</v>
      </c>
      <c r="C16724" s="220"/>
      <c r="D16724" s="50" t="s">
        <v>18</v>
      </c>
      <c r="E16724" s="50">
        <v>2</v>
      </c>
      <c r="F16724" s="51">
        <f>VLOOKUP(A16724,'[1]Componentes APUs'!$S$1:$V$10,4,0)</f>
        <v>75758</v>
      </c>
      <c r="G16724" s="51">
        <f>ROUNDUP(F16724*((E16724/21)/E16692),0)</f>
        <v>3608</v>
      </c>
    </row>
    <row r="16725" spans="1:7" x14ac:dyDescent="0.25">
      <c r="A16725" s="219" t="s">
        <v>69</v>
      </c>
      <c r="B16725" s="219"/>
      <c r="C16725" s="219"/>
      <c r="D16725" s="219"/>
      <c r="E16725" s="219"/>
      <c r="F16725" s="219"/>
      <c r="G16725" s="52">
        <f>SUM(G16719:G16724)</f>
        <v>4217</v>
      </c>
    </row>
    <row r="16726" spans="1:7" x14ac:dyDescent="0.25">
      <c r="A16726" s="56"/>
      <c r="B16726" s="57"/>
      <c r="C16726" s="57"/>
      <c r="D16726" s="57"/>
      <c r="E16726" s="57"/>
      <c r="F16726" s="57"/>
      <c r="G16726" s="58"/>
    </row>
    <row r="16727" spans="1:7" x14ac:dyDescent="0.25">
      <c r="A16727" s="219" t="s">
        <v>70</v>
      </c>
      <c r="B16727" s="219"/>
      <c r="C16727" s="219"/>
      <c r="D16727" s="219"/>
      <c r="E16727" s="219"/>
      <c r="F16727" s="219"/>
      <c r="G16727" s="219"/>
    </row>
    <row r="16728" spans="1:7" x14ac:dyDescent="0.25">
      <c r="A16728" s="49" t="s">
        <v>35</v>
      </c>
      <c r="B16728" s="219" t="s">
        <v>36</v>
      </c>
      <c r="C16728" s="219"/>
      <c r="D16728" s="49" t="s">
        <v>37</v>
      </c>
      <c r="E16728" s="49" t="s">
        <v>38</v>
      </c>
      <c r="F16728" s="49" t="s">
        <v>39</v>
      </c>
      <c r="G16728" s="49" t="s">
        <v>40</v>
      </c>
    </row>
    <row r="16729" spans="1:7" x14ac:dyDescent="0.25">
      <c r="A16729" s="50" t="s">
        <v>71</v>
      </c>
      <c r="B16729" s="71" t="str">
        <f>VLOOKUP(A16729,'[1]Componentes APUs'!$A$1:$D$14,2,0)</f>
        <v>Camisa indigo sin partes metalicas</v>
      </c>
      <c r="C16729" s="71"/>
      <c r="D16729" s="50" t="str">
        <f>VLOOKUP(A16729,'[1]Componentes APUs'!$A$1:$D$14,3,0)</f>
        <v>U</v>
      </c>
      <c r="E16729" s="50">
        <f>SUM(C16709:C16714)</f>
        <v>4.75</v>
      </c>
      <c r="F16729" s="51">
        <f>VLOOKUP(A16729,'[1]Componentes APUs'!$A$1:$D$14,4,0)</f>
        <v>8585.8585858585866</v>
      </c>
      <c r="G16729" s="51">
        <f>ROUNDUP(F16729*(E16729/21)/E16692,0)</f>
        <v>972</v>
      </c>
    </row>
    <row r="16730" spans="1:7" x14ac:dyDescent="0.25">
      <c r="A16730" s="69" t="s">
        <v>73</v>
      </c>
      <c r="B16730" s="72" t="str">
        <f>VLOOKUP(A16730,'[1]Componentes APUs'!$A$1:$D$14,2,0)</f>
        <v>Bota de seguridad dielectrica</v>
      </c>
      <c r="C16730" s="73"/>
      <c r="D16730" s="70" t="str">
        <f>VLOOKUP(A16730,'[1]Componentes APUs'!$A$1:$D$14,3,0)</f>
        <v>Par</v>
      </c>
      <c r="E16730" s="50">
        <f>SUM(C16709:C16714)</f>
        <v>4.75</v>
      </c>
      <c r="F16730" s="51">
        <f>VLOOKUP(A16730,'[1]Componentes APUs'!$A$1:$D$14,4,0)</f>
        <v>7500</v>
      </c>
      <c r="G16730" s="51">
        <f>ROUNDUP(F16730*(E16730/21)/E16692,0)</f>
        <v>849</v>
      </c>
    </row>
    <row r="16731" spans="1:7" x14ac:dyDescent="0.25">
      <c r="A16731" s="50" t="s">
        <v>76</v>
      </c>
      <c r="B16731" s="72" t="str">
        <f>VLOOKUP(A16731,'[1]Componentes APUs'!$A$1:$D$14,2,0)</f>
        <v>Casco dielectrico Tipo 1 Clase E con barbuquejo</v>
      </c>
      <c r="C16731" s="73"/>
      <c r="D16731" s="50" t="str">
        <f>VLOOKUP(A16731,'[1]Componentes APUs'!$A$1:$D$14,3,0)</f>
        <v>U</v>
      </c>
      <c r="E16731" s="50">
        <f>C16714+C16709+C16712+C16713+C16711+IF(A16711&lt;&gt;"MO-3",C16710,0)</f>
        <v>4.5</v>
      </c>
      <c r="F16731" s="51">
        <f>VLOOKUP(A16731,'[1]Componentes APUs'!$A$1:$D$14,4,0)</f>
        <v>10101.010101010101</v>
      </c>
      <c r="G16731" s="51">
        <f>ROUNDUP(F16731*(E16731/21)/E16692,0)</f>
        <v>1083</v>
      </c>
    </row>
    <row r="16732" spans="1:7" x14ac:dyDescent="0.25">
      <c r="A16732" s="69" t="s">
        <v>77</v>
      </c>
      <c r="B16732" s="72" t="str">
        <f>VLOOKUP(A16732,'[1]Componentes APUs'!$A$1:$D$14,2,0)</f>
        <v>Correa plastica y antiflama</v>
      </c>
      <c r="C16732" s="73"/>
      <c r="D16732" s="50" t="str">
        <f>VLOOKUP(A16732,'[1]Componentes APUs'!$A$1:$D$14,3,0)</f>
        <v>U</v>
      </c>
      <c r="E16732" s="50">
        <f>SUM(C16709:C16714)</f>
        <v>4.75</v>
      </c>
      <c r="F16732" s="51">
        <f>VLOOKUP(A16732,'[1]Componentes APUs'!$A$1:$D$14,4,0)</f>
        <v>3787.878787878788</v>
      </c>
      <c r="G16732" s="51">
        <f>ROUNDUP(F16732*(E16732/21)/E16692,0)</f>
        <v>429</v>
      </c>
    </row>
    <row r="16733" spans="1:7" x14ac:dyDescent="0.25">
      <c r="A16733" s="50" t="s">
        <v>79</v>
      </c>
      <c r="B16733" s="72" t="str">
        <f>VLOOKUP(A16733,'[1]Componentes APUs'!$A$1:$D$14,2,0)</f>
        <v>Gafas protectoras filtro UV</v>
      </c>
      <c r="C16733" s="73"/>
      <c r="D16733" s="50" t="str">
        <f>VLOOKUP(A16733,'[1]Componentes APUs'!$A$1:$D$14,3,0)</f>
        <v>U</v>
      </c>
      <c r="E16733" s="50">
        <f>SUM(C16709:C16714)</f>
        <v>4.75</v>
      </c>
      <c r="F16733" s="51">
        <f>VLOOKUP(A16733,'[1]Componentes APUs'!$A$1:$D$14,4,0)</f>
        <v>2777.7777777777778</v>
      </c>
      <c r="G16733" s="51">
        <f>ROUNDUP(F16733*(E16733/21)/E16692,0)</f>
        <v>315</v>
      </c>
    </row>
    <row r="16734" spans="1:7" x14ac:dyDescent="0.25">
      <c r="A16734" s="69" t="s">
        <v>402</v>
      </c>
      <c r="B16734" s="72" t="str">
        <f>VLOOKUP(A16734,'[1]Componentes APUs'!$A$1:$D$14,2,0)</f>
        <v>Bota de seguridad PVC dielectrica</v>
      </c>
      <c r="C16734" s="73"/>
      <c r="D16734" s="50" t="str">
        <f>VLOOKUP(A16734,'[1]Componentes APUs'!$A$1:$D$14,3,0)</f>
        <v>Par</v>
      </c>
      <c r="E16734" s="50">
        <f>SUM(C16709:C16714)</f>
        <v>4.75</v>
      </c>
      <c r="F16734" s="51">
        <f>VLOOKUP(A16734,'[1]Componentes APUs'!$A$1:$D$14,4,0)</f>
        <v>2916.6666666666665</v>
      </c>
      <c r="G16734" s="51">
        <f>ROUNDUP(F16734*(E16734/21)/E16692,0)</f>
        <v>330</v>
      </c>
    </row>
    <row r="16735" spans="1:7" x14ac:dyDescent="0.25">
      <c r="A16735" s="50" t="s">
        <v>403</v>
      </c>
      <c r="B16735" s="72" t="str">
        <f>VLOOKUP(A16735,'[1]Componentes APUs'!$A$1:$D$14,2,0)</f>
        <v>Capuchon</v>
      </c>
      <c r="C16735" s="73"/>
      <c r="D16735" s="50" t="str">
        <f>VLOOKUP(A16735,'[1]Componentes APUs'!$A$1:$D$14,3,0)</f>
        <v>U</v>
      </c>
      <c r="E16735" s="50">
        <f>SUM(C16709:C16714)</f>
        <v>4.75</v>
      </c>
      <c r="F16735" s="51">
        <f>VLOOKUP(A16735,'[1]Componentes APUs'!$A$1:$D$14,4,0)</f>
        <v>2525.2525252525252</v>
      </c>
      <c r="G16735" s="51">
        <f>ROUNDUP(F16735*(E16735/21)/E16692,0)</f>
        <v>286</v>
      </c>
    </row>
    <row r="16736" spans="1:7" x14ac:dyDescent="0.25">
      <c r="A16736" s="69" t="s">
        <v>81</v>
      </c>
      <c r="B16736" s="72" t="str">
        <f>VLOOKUP(A16736,'[1]Componentes APUs'!$A$1:$D$14,2,0)</f>
        <v>Guantes Protectores  - ingeniero reforzados</v>
      </c>
      <c r="C16736" s="73"/>
      <c r="D16736" s="50" t="str">
        <f>VLOOKUP(A16736,'[1]Componentes APUs'!$A$1:$D$14,3,0)</f>
        <v>Par</v>
      </c>
      <c r="E16736" s="50">
        <f>C16711+C16712+C16714</f>
        <v>4</v>
      </c>
      <c r="F16736" s="51">
        <f>VLOOKUP(A16736,'[1]Componentes APUs'!$A$1:$D$14,4,0)</f>
        <v>2525.2525252525252</v>
      </c>
      <c r="G16736" s="51">
        <f>ROUNDUP(F16736*(E16736/21)/E16692,0)</f>
        <v>241</v>
      </c>
    </row>
    <row r="16737" spans="1:7" x14ac:dyDescent="0.25">
      <c r="A16737" s="50" t="s">
        <v>83</v>
      </c>
      <c r="B16737" s="72" t="str">
        <f>VLOOKUP(A16737,'[1]Componentes APUs'!$A$1:$D$14,2,0)</f>
        <v>Impermeable (pantalon camisa)</v>
      </c>
      <c r="C16737" s="73"/>
      <c r="D16737" s="50" t="str">
        <f>VLOOKUP(A16737,'[1]Componentes APUs'!$A$1:$D$14,3,0)</f>
        <v>U</v>
      </c>
      <c r="E16737" s="50">
        <f>SUM(C16709:C16714)</f>
        <v>4.75</v>
      </c>
      <c r="F16737" s="51">
        <f>VLOOKUP(A16737,'[1]Componentes APUs'!$A$1:$D$14,4,0)</f>
        <v>3750</v>
      </c>
      <c r="G16737" s="51">
        <f>ROUNDUP(F16737*(E16737/21)/E16692,0)</f>
        <v>425</v>
      </c>
    </row>
    <row r="16738" spans="1:7" x14ac:dyDescent="0.25">
      <c r="A16738" s="69" t="s">
        <v>85</v>
      </c>
      <c r="B16738" s="72" t="str">
        <f>VLOOKUP(A16738,'[1]Componentes APUs'!$A$1:$D$14,2,0)</f>
        <v>Jean Dielectrico</v>
      </c>
      <c r="C16738" s="73"/>
      <c r="D16738" s="50" t="str">
        <f>VLOOKUP(A16738,'[1]Componentes APUs'!$A$1:$D$14,3,0)</f>
        <v>U</v>
      </c>
      <c r="E16738" s="50">
        <f>SUM(C16709:C16714)</f>
        <v>4.75</v>
      </c>
      <c r="F16738" s="51">
        <f>VLOOKUP(A16738,'[1]Componentes APUs'!$A$1:$D$14,4,0)</f>
        <v>7575.757575757576</v>
      </c>
      <c r="G16738" s="51">
        <f>ROUNDUP(F16738*(E16738/21)/E16692,0)</f>
        <v>857</v>
      </c>
    </row>
    <row r="16739" spans="1:7" x14ac:dyDescent="0.25">
      <c r="A16739" s="50" t="s">
        <v>87</v>
      </c>
      <c r="B16739" s="72" t="str">
        <f>VLOOKUP(A16739,'[1]Componentes APUs'!$A$1:$D$14,2,0)</f>
        <v>Casco dielectrico Tipo 2 Clase E con barboquejo</v>
      </c>
      <c r="C16739" s="73"/>
      <c r="D16739" s="50" t="str">
        <f>VLOOKUP(A16739,'[1]Componentes APUs'!$A$1:$D$14,3,0)</f>
        <v>U</v>
      </c>
      <c r="E16739" s="53">
        <f>IF(A16711="MO-3",C16711,0)</f>
        <v>1</v>
      </c>
      <c r="F16739" s="51">
        <f>VLOOKUP(A16739,'[1]Componentes APUs'!$A$1:$D$14,4,0)</f>
        <v>7500</v>
      </c>
      <c r="G16739" s="51">
        <f>ROUNDUP(F16739*(E16739/21)/E16692,0)</f>
        <v>179</v>
      </c>
    </row>
    <row r="16740" spans="1:7" x14ac:dyDescent="0.25">
      <c r="A16740" s="69" t="s">
        <v>89</v>
      </c>
      <c r="B16740" s="72" t="str">
        <f>VLOOKUP(A16740,'[1]Componentes APUs'!$A$1:$D$14,2,0)</f>
        <v>Kit de rescate para trabajo en alturas</v>
      </c>
      <c r="C16740" s="73"/>
      <c r="D16740" s="50" t="str">
        <f>VLOOKUP(A16740,'[1]Componentes APUs'!$A$1:$D$14,3,0)</f>
        <v>U</v>
      </c>
      <c r="E16740" s="50">
        <f>IF(AND(A16711="MO-3",C16711=2),1,0)</f>
        <v>0</v>
      </c>
      <c r="F16740" s="51">
        <f>VLOOKUP(A16740,'[1]Componentes APUs'!$A$1:$D$14,4,0)</f>
        <v>37500</v>
      </c>
      <c r="G16740" s="51">
        <f>ROUNDUP(F16740*(E16740/21)/E16692,0)</f>
        <v>0</v>
      </c>
    </row>
    <row r="16741" spans="1:7" x14ac:dyDescent="0.25">
      <c r="A16741" s="50" t="s">
        <v>91</v>
      </c>
      <c r="B16741" s="72" t="str">
        <f>VLOOKUP(A16741,'[1]Componentes APUs'!$A$1:$D$14,2,0)</f>
        <v>Equipo completo para trabajo en alturas con pretales (Arnes dielectrico, 1 mosqueton de seguridad, tie off dielectrico, eslinga de posicionamiento, juego de pretales)</v>
      </c>
      <c r="C16741" s="73"/>
      <c r="D16741" s="50" t="str">
        <f>VLOOKUP(A16741,'[1]Componentes APUs'!$A$1:$D$14,3,0)</f>
        <v>U</v>
      </c>
      <c r="E16741" s="50">
        <f>IF(A16711="MO-3",C16711,0)</f>
        <v>1</v>
      </c>
      <c r="F16741" s="51">
        <f>VLOOKUP(A16741,'[1]Componentes APUs'!$A$1:$D$14,4,0)</f>
        <v>26041.666666666668</v>
      </c>
      <c r="G16741" s="51">
        <f>ROUNDUP(F16741*(E16741/21)/E16692,0)</f>
        <v>621</v>
      </c>
    </row>
    <row r="16742" spans="1:7" x14ac:dyDescent="0.25">
      <c r="A16742" s="219" t="s">
        <v>95</v>
      </c>
      <c r="B16742" s="219"/>
      <c r="C16742" s="219"/>
      <c r="D16742" s="219"/>
      <c r="E16742" s="219"/>
      <c r="F16742" s="219"/>
      <c r="G16742" s="52">
        <f>SUM(G16729:G16741)</f>
        <v>6587</v>
      </c>
    </row>
    <row r="16743" spans="1:7" x14ac:dyDescent="0.25">
      <c r="A16743" s="56"/>
      <c r="B16743" s="57"/>
      <c r="C16743" s="57"/>
      <c r="D16743" s="57"/>
      <c r="E16743" s="57"/>
      <c r="F16743" s="57"/>
      <c r="G16743" s="58"/>
    </row>
    <row r="16744" spans="1:7" x14ac:dyDescent="0.25">
      <c r="A16744" s="219" t="s">
        <v>96</v>
      </c>
      <c r="B16744" s="219"/>
      <c r="C16744" s="219"/>
      <c r="D16744" s="219"/>
      <c r="E16744" s="219"/>
      <c r="F16744" s="219"/>
      <c r="G16744" s="219"/>
    </row>
    <row r="16745" spans="1:7" x14ac:dyDescent="0.25">
      <c r="A16745" s="49" t="s">
        <v>35</v>
      </c>
      <c r="B16745" s="225" t="s">
        <v>36</v>
      </c>
      <c r="C16745" s="225"/>
      <c r="D16745" s="49" t="s">
        <v>37</v>
      </c>
      <c r="E16745" s="49" t="s">
        <v>38</v>
      </c>
      <c r="F16745" s="49" t="s">
        <v>39</v>
      </c>
      <c r="G16745" s="49" t="s">
        <v>40</v>
      </c>
    </row>
    <row r="16746" spans="1:7" x14ac:dyDescent="0.25">
      <c r="A16746" s="69" t="s">
        <v>97</v>
      </c>
      <c r="B16746" s="72" t="str">
        <f>VLOOKUP(A16746,'[1]Componentes APUs'!$N$1:$Q$30,2,0)</f>
        <v>Camioneta</v>
      </c>
      <c r="C16746" s="73"/>
      <c r="D16746" s="70" t="str">
        <f>VLOOKUP(A16746,'[1]Componentes APUs'!$N$1:$Q$30,3,0)</f>
        <v>U</v>
      </c>
      <c r="E16746" s="50">
        <v>1</v>
      </c>
      <c r="F16746" s="51">
        <f>VLOOKUP(A16746,'[1]Componentes APUs'!$N$1:$Q$30,4,0)</f>
        <v>5500000</v>
      </c>
      <c r="G16746" s="51">
        <f>IFERROR(ROUNDUP(F16746*(E16746/21)/E16692,0),0)</f>
        <v>130953</v>
      </c>
    </row>
    <row r="16747" spans="1:7" x14ac:dyDescent="0.25">
      <c r="A16747" s="50" t="s">
        <v>321</v>
      </c>
      <c r="B16747" s="72" t="str">
        <f>VLOOKUP(A16747,'[1]Componentes APUs'!$N$1:$Q$30,2,0)</f>
        <v>Grúa Hidráulica</v>
      </c>
      <c r="C16747" s="73"/>
      <c r="D16747" s="70" t="str">
        <f>VLOOKUP(A16747,'[1]Componentes APUs'!$N$1:$Q$30,3,0)</f>
        <v>U</v>
      </c>
      <c r="E16747" s="50">
        <v>0</v>
      </c>
      <c r="F16747" s="51">
        <f>VLOOKUP(A16747,'[1]Componentes APUs'!$N$1:$Q$30,4,0)</f>
        <v>21000000</v>
      </c>
      <c r="G16747" s="51">
        <f>IFERROR(ROUNDUP(F16747*(E16747/21)/E16692,0),0)</f>
        <v>0</v>
      </c>
    </row>
    <row r="16748" spans="1:7" x14ac:dyDescent="0.25">
      <c r="A16748" s="69" t="s">
        <v>322</v>
      </c>
      <c r="B16748" s="72" t="str">
        <f>VLOOKUP(A16748,'[1]Componentes APUs'!$N$1:$Q$30,2,0)</f>
        <v>Camabaja</v>
      </c>
      <c r="C16748" s="73"/>
      <c r="D16748" s="70" t="str">
        <f>VLOOKUP(A16748,'[1]Componentes APUs'!$N$1:$Q$30,3,0)</f>
        <v>TON/KM</v>
      </c>
      <c r="E16748" s="50">
        <v>0</v>
      </c>
      <c r="F16748" s="51">
        <f>VLOOKUP(A16748,'[1]Componentes APUs'!$N$1:$Q$30,4,0)</f>
        <v>611</v>
      </c>
      <c r="G16748" s="51">
        <f>IFERROR(ROUNDUP(F16748*(E16748/21)/E16692,0),0)</f>
        <v>0</v>
      </c>
    </row>
    <row r="16749" spans="1:7" x14ac:dyDescent="0.25">
      <c r="A16749" s="50" t="s">
        <v>323</v>
      </c>
      <c r="B16749" s="72" t="str">
        <f>VLOOKUP(A16749,'[1]Componentes APUs'!$N$1:$Q$30,2,0)</f>
        <v>Volqueta</v>
      </c>
      <c r="C16749" s="73"/>
      <c r="D16749" s="70" t="str">
        <f>VLOOKUP(A16749,'[1]Componentes APUs'!$N$1:$Q$30,3,0)</f>
        <v>U</v>
      </c>
      <c r="E16749" s="50">
        <v>0</v>
      </c>
      <c r="F16749" s="51">
        <f>VLOOKUP(A16749,'[1]Componentes APUs'!$N$1:$Q$30,4,0)</f>
        <v>18900000</v>
      </c>
      <c r="G16749" s="51">
        <f>IFERROR(ROUNDUP(F16749*(E16749/21)/E16692,0),0)</f>
        <v>0</v>
      </c>
    </row>
    <row r="16750" spans="1:7" x14ac:dyDescent="0.25">
      <c r="A16750" s="69" t="s">
        <v>324</v>
      </c>
      <c r="B16750" s="72" t="str">
        <f>VLOOKUP(A16750,'[1]Componentes APUs'!$N$1:$Q$30,2,0)</f>
        <v>Retroexcavadora</v>
      </c>
      <c r="C16750" s="73"/>
      <c r="D16750" s="70" t="str">
        <f>VLOOKUP(A16750,'[1]Componentes APUs'!$N$1:$Q$30,3,0)</f>
        <v>U</v>
      </c>
      <c r="E16750" s="50">
        <v>0</v>
      </c>
      <c r="F16750" s="51">
        <f>VLOOKUP(A16750,'[1]Componentes APUs'!$N$1:$Q$30,4,0)</f>
        <v>1494459.54</v>
      </c>
      <c r="G16750" s="51">
        <f>IFERROR(ROUNDUP(F16750*(E16750/21)/E16692,0),0)</f>
        <v>0</v>
      </c>
    </row>
    <row r="16751" spans="1:7" x14ac:dyDescent="0.25">
      <c r="A16751" s="219" t="s">
        <v>99</v>
      </c>
      <c r="B16751" s="219"/>
      <c r="C16751" s="219"/>
      <c r="D16751" s="219"/>
      <c r="E16751" s="219"/>
      <c r="F16751" s="219"/>
      <c r="G16751" s="52">
        <f>SUM(G16746:G16750)</f>
        <v>130953</v>
      </c>
    </row>
    <row r="16752" spans="1:7" x14ac:dyDescent="0.25">
      <c r="A16752" s="56"/>
      <c r="B16752" s="57"/>
      <c r="C16752" s="57"/>
      <c r="D16752" s="57"/>
      <c r="E16752" s="57"/>
      <c r="F16752" s="57"/>
      <c r="G16752" s="58"/>
    </row>
    <row r="16753" spans="1:7" x14ac:dyDescent="0.25">
      <c r="A16753" s="219" t="s">
        <v>1516</v>
      </c>
      <c r="B16753" s="219"/>
      <c r="C16753" s="219"/>
      <c r="D16753" s="219"/>
      <c r="E16753" s="219"/>
      <c r="F16753" s="219"/>
      <c r="G16753" s="52">
        <f>G16751+G16742+G16725+G16715+G16705</f>
        <v>1259196</v>
      </c>
    </row>
    <row r="16754" spans="1:7" x14ac:dyDescent="0.25">
      <c r="A16754" s="59"/>
      <c r="B16754" s="60"/>
      <c r="C16754" s="60"/>
      <c r="D16754" s="60"/>
      <c r="E16754" s="57"/>
      <c r="F16754" s="57"/>
      <c r="G16754" s="58"/>
    </row>
    <row r="16755" spans="1:7" x14ac:dyDescent="0.25">
      <c r="A16755" s="64"/>
      <c r="D16755" s="55"/>
      <c r="E16755" s="49" t="s">
        <v>25</v>
      </c>
      <c r="F16755" s="54">
        <v>0.15</v>
      </c>
      <c r="G16755" s="51">
        <f>G16753*F16755</f>
        <v>188879.4</v>
      </c>
    </row>
    <row r="16756" spans="1:7" x14ac:dyDescent="0.25">
      <c r="A16756" s="64"/>
      <c r="D16756" s="55"/>
      <c r="E16756" s="49" t="s">
        <v>26</v>
      </c>
      <c r="F16756" s="54">
        <v>0.05</v>
      </c>
      <c r="G16756" s="51">
        <f>G16753*F16756</f>
        <v>62959.8</v>
      </c>
    </row>
    <row r="16757" spans="1:7" x14ac:dyDescent="0.25">
      <c r="A16757" s="61"/>
      <c r="B16757" s="65"/>
      <c r="C16757" s="65"/>
      <c r="D16757" s="62"/>
      <c r="E16757" s="49" t="s">
        <v>27</v>
      </c>
      <c r="F16757" s="54">
        <v>0.05</v>
      </c>
      <c r="G16757" s="51">
        <f>G16753*F16757</f>
        <v>62959.8</v>
      </c>
    </row>
    <row r="16758" spans="1:7" x14ac:dyDescent="0.25">
      <c r="A16758" s="61"/>
      <c r="B16758" s="62"/>
      <c r="C16758" s="62"/>
      <c r="D16758" s="62"/>
      <c r="E16758" s="62"/>
      <c r="F16758" s="62"/>
      <c r="G16758" s="63"/>
    </row>
    <row r="16759" spans="1:7" x14ac:dyDescent="0.25">
      <c r="A16759" s="219" t="s">
        <v>1517</v>
      </c>
      <c r="B16759" s="219"/>
      <c r="C16759" s="219"/>
      <c r="D16759" s="219"/>
      <c r="E16759" s="219"/>
      <c r="F16759" s="219"/>
      <c r="G16759" s="52">
        <f>G16753+G16755+G16756+G16757</f>
        <v>1573995</v>
      </c>
    </row>
    <row r="16760" spans="1:7" x14ac:dyDescent="0.25">
      <c r="A16760" s="59"/>
      <c r="B16760" s="60"/>
      <c r="C16760" s="60"/>
      <c r="D16760" s="60"/>
      <c r="E16760" s="57"/>
      <c r="F16760" s="57"/>
      <c r="G16760" s="58"/>
    </row>
    <row r="16761" spans="1:7" x14ac:dyDescent="0.25">
      <c r="A16761" s="64"/>
      <c r="D16761" s="55"/>
      <c r="E16761" s="49" t="s">
        <v>102</v>
      </c>
      <c r="F16761" s="49" t="s">
        <v>103</v>
      </c>
      <c r="G16761" s="51">
        <f>G16757*19%</f>
        <v>11962.362000000001</v>
      </c>
    </row>
    <row r="16762" spans="1:7" x14ac:dyDescent="0.25">
      <c r="A16762" s="61"/>
      <c r="B16762" s="62"/>
      <c r="C16762" s="62"/>
      <c r="D16762" s="62"/>
      <c r="E16762" s="57"/>
      <c r="F16762" s="57"/>
      <c r="G16762" s="58"/>
    </row>
    <row r="16763" spans="1:7" x14ac:dyDescent="0.25">
      <c r="A16763" s="219" t="s">
        <v>104</v>
      </c>
      <c r="B16763" s="219"/>
      <c r="C16763" s="219"/>
      <c r="D16763" s="219"/>
      <c r="E16763" s="219"/>
      <c r="F16763" s="219"/>
      <c r="G16763" s="52">
        <f>G16761+G16759</f>
        <v>1585957.362</v>
      </c>
    </row>
    <row r="16765" spans="1:7" x14ac:dyDescent="0.25">
      <c r="A16765" s="74" t="s">
        <v>29</v>
      </c>
      <c r="B16765" s="226" t="s">
        <v>30</v>
      </c>
      <c r="C16765" s="226"/>
      <c r="D16765" s="74" t="s">
        <v>31</v>
      </c>
      <c r="E16765" s="74" t="s">
        <v>32</v>
      </c>
      <c r="F16765" s="74" t="s">
        <v>189</v>
      </c>
      <c r="G16765" s="74" t="s">
        <v>33</v>
      </c>
    </row>
    <row r="16766" spans="1:7" ht="51" customHeight="1" x14ac:dyDescent="0.25">
      <c r="A16766" s="50" t="str">
        <f>Presupuesto!B330</f>
        <v>005_AUX</v>
      </c>
      <c r="B16766" s="220" t="str">
        <f>Presupuesto!C330</f>
        <v xml:space="preserve">SUMINISTRO, TRANSPORTE E INSTALACIÓN DE CELDA DE  SECCIONAMIENTO PARA OPERACIÓN BAJO CARGA CON FUSIBLE Y PUESTA A TIERRA. INCLUYE ACCESORIOS PARA SU CORRECTA INSTALACIÓN. </v>
      </c>
      <c r="C16766" s="220"/>
      <c r="D16766" s="50" t="s">
        <v>8</v>
      </c>
      <c r="E16766" s="50">
        <v>0.5</v>
      </c>
      <c r="F16766" s="50"/>
      <c r="G16766" s="51">
        <f>G16833</f>
        <v>68775006.316499993</v>
      </c>
    </row>
    <row r="16767" spans="1:7" x14ac:dyDescent="0.25">
      <c r="A16767" s="219" t="s">
        <v>34</v>
      </c>
      <c r="B16767" s="219"/>
      <c r="C16767" s="219"/>
      <c r="D16767" s="219"/>
      <c r="E16767" s="219"/>
      <c r="F16767" s="219"/>
      <c r="G16767" s="219"/>
    </row>
    <row r="16768" spans="1:7" x14ac:dyDescent="0.25">
      <c r="A16768" s="49" t="s">
        <v>35</v>
      </c>
      <c r="B16768" s="219" t="s">
        <v>36</v>
      </c>
      <c r="C16768" s="219"/>
      <c r="D16768" s="49" t="s">
        <v>37</v>
      </c>
      <c r="E16768" s="49" t="s">
        <v>38</v>
      </c>
      <c r="F16768" s="49" t="s">
        <v>39</v>
      </c>
      <c r="G16768" s="49" t="s">
        <v>40</v>
      </c>
    </row>
    <row r="16769" spans="1:7" x14ac:dyDescent="0.25">
      <c r="A16769" s="17" t="str">
        <f>Material!A420</f>
        <v>MA-419</v>
      </c>
      <c r="B16769" s="72" t="str">
        <f>IFERROR(VLOOKUP(A16769,Material!$A:$H,2,0),"-")</f>
        <v xml:space="preserve">SECCIONADOR DE OPERACIÓN BAJO CARGA 24kV CON FUSIBLE </v>
      </c>
      <c r="C16769" s="73"/>
      <c r="D16769" s="50" t="str">
        <f>IFERROR(VLOOKUP(A16769,Material!$A:$H,4,0),"-")</f>
        <v>UN</v>
      </c>
      <c r="E16769" s="50">
        <v>1</v>
      </c>
      <c r="F16769" s="51">
        <f>IFERROR(VLOOKUP(A16769,Material!$A:$H,3,0),"-")</f>
        <v>49743034.920634933</v>
      </c>
      <c r="G16769" s="51">
        <f t="shared" ref="G16769:G16773" si="235">IFERROR(ROUNDUP(F16769*E16769,0),"-")</f>
        <v>49743035</v>
      </c>
    </row>
    <row r="16770" spans="1:7" x14ac:dyDescent="0.25">
      <c r="A16770" s="17"/>
      <c r="B16770" s="72" t="str">
        <f>IFERROR(VLOOKUP(A16770,Material!$A:$H,2,0),"-")</f>
        <v>-</v>
      </c>
      <c r="C16770" s="73"/>
      <c r="D16770" s="50" t="str">
        <f>IFERROR(VLOOKUP(A16770,Material!$A:$H,4,0),"-")</f>
        <v>-</v>
      </c>
      <c r="E16770" s="50"/>
      <c r="F16770" s="51" t="str">
        <f>IFERROR(VLOOKUP(A16770,Material!$A:$H,3,0),"-")</f>
        <v>-</v>
      </c>
      <c r="G16770" s="51" t="str">
        <f t="shared" si="235"/>
        <v>-</v>
      </c>
    </row>
    <row r="16771" spans="1:7" x14ac:dyDescent="0.25">
      <c r="A16771" s="17"/>
      <c r="B16771" s="72" t="str">
        <f>IFERROR(VLOOKUP(A16771,Material!$A:$H,2,0),"-")</f>
        <v>-</v>
      </c>
      <c r="C16771" s="76"/>
      <c r="D16771" s="50" t="str">
        <f>IFERROR(VLOOKUP(A16771,Material!$A:$H,4,0),"-")</f>
        <v>-</v>
      </c>
      <c r="E16771" s="50"/>
      <c r="F16771" s="51" t="str">
        <f>IFERROR(VLOOKUP(A16771,Material!$A:$H,3,0),"-")</f>
        <v>-</v>
      </c>
      <c r="G16771" s="51" t="str">
        <f t="shared" si="235"/>
        <v>-</v>
      </c>
    </row>
    <row r="16772" spans="1:7" x14ac:dyDescent="0.25">
      <c r="A16772" s="17"/>
      <c r="B16772" s="72" t="str">
        <f>IFERROR(VLOOKUP(A16772,Material!$A:$H,2,0),"-")</f>
        <v>-</v>
      </c>
      <c r="C16772" s="76"/>
      <c r="D16772" s="50" t="str">
        <f>IFERROR(VLOOKUP(A16772,Material!$A:$H,4,0),"-")</f>
        <v>-</v>
      </c>
      <c r="E16772" s="50"/>
      <c r="F16772" s="51" t="str">
        <f>IFERROR(VLOOKUP(A16772,Material!$A:$H,3,0),"-")</f>
        <v>-</v>
      </c>
      <c r="G16772" s="51" t="str">
        <f t="shared" si="235"/>
        <v>-</v>
      </c>
    </row>
    <row r="16773" spans="1:7" x14ac:dyDescent="0.25">
      <c r="A16773" s="17"/>
      <c r="B16773" s="72" t="str">
        <f>IFERROR(VLOOKUP(A16773,Material!$A:$H,2,0),"-")</f>
        <v>-</v>
      </c>
      <c r="C16773" s="76"/>
      <c r="D16773" s="50" t="str">
        <f>IFERROR(VLOOKUP(A16773,Material!$A:$H,4,0),"-")</f>
        <v>-</v>
      </c>
      <c r="E16773" s="50"/>
      <c r="F16773" s="51" t="str">
        <f>IFERROR(VLOOKUP(A16773,Material!$A:$H,3,0),"-")</f>
        <v>-</v>
      </c>
      <c r="G16773" s="51" t="str">
        <f t="shared" si="235"/>
        <v>-</v>
      </c>
    </row>
    <row r="16774" spans="1:7" x14ac:dyDescent="0.25">
      <c r="A16774" s="219" t="s">
        <v>41</v>
      </c>
      <c r="B16774" s="219"/>
      <c r="C16774" s="219"/>
      <c r="D16774" s="219"/>
      <c r="E16774" s="219"/>
      <c r="F16774" s="219"/>
      <c r="G16774" s="52">
        <f>SUM(G16769:G16773)</f>
        <v>49743035</v>
      </c>
    </row>
    <row r="16775" spans="1:7" x14ac:dyDescent="0.25">
      <c r="A16775" s="56"/>
      <c r="B16775" s="57"/>
      <c r="C16775" s="57"/>
      <c r="D16775" s="57"/>
      <c r="E16775" s="57"/>
      <c r="F16775" s="57"/>
      <c r="G16775" s="58"/>
    </row>
    <row r="16776" spans="1:7" x14ac:dyDescent="0.25">
      <c r="A16776" s="219" t="s">
        <v>42</v>
      </c>
      <c r="B16776" s="219"/>
      <c r="C16776" s="219"/>
      <c r="D16776" s="219"/>
      <c r="E16776" s="219"/>
      <c r="F16776" s="219"/>
      <c r="G16776" s="219"/>
    </row>
    <row r="16777" spans="1:7" x14ac:dyDescent="0.25">
      <c r="A16777" s="49" t="s">
        <v>35</v>
      </c>
      <c r="B16777" s="49" t="s">
        <v>36</v>
      </c>
      <c r="C16777" s="49" t="s">
        <v>38</v>
      </c>
      <c r="D16777" s="49" t="s">
        <v>43</v>
      </c>
      <c r="E16777" s="49" t="s">
        <v>44</v>
      </c>
      <c r="F16777" s="49" t="s">
        <v>45</v>
      </c>
      <c r="G16777" s="49" t="s">
        <v>40</v>
      </c>
    </row>
    <row r="16778" spans="1:7" x14ac:dyDescent="0.25">
      <c r="A16778" s="50" t="s">
        <v>319</v>
      </c>
      <c r="B16778" s="68" t="str">
        <f>VLOOKUP(A16778,'Componentes APUs'!$H$1:$L$25,2,0)</f>
        <v>Ingeniero Residente de Obra</v>
      </c>
      <c r="C16778" s="93">
        <v>0.25</v>
      </c>
      <c r="D16778" s="50">
        <f>VLOOKUP(A16778,'Componentes APUs'!$H$1:$L$25,3,0)</f>
        <v>4</v>
      </c>
      <c r="E16778" s="51">
        <f>VLOOKUP(A16778,'Componentes APUs'!$H$1:$L$25,4,0)</f>
        <v>271142.85714285716</v>
      </c>
      <c r="F16778" s="51">
        <f>VLOOKUP(A16778,'Componentes APUs'!$H$1:$L$25,5,0)</f>
        <v>162685.71428571429</v>
      </c>
      <c r="G16778" s="51">
        <f>ROUNDUP((E16778+F16778)*C16778/E16766,0)</f>
        <v>216915</v>
      </c>
    </row>
    <row r="16779" spans="1:7" x14ac:dyDescent="0.25">
      <c r="A16779" s="50" t="s">
        <v>320</v>
      </c>
      <c r="B16779" s="68" t="str">
        <f>VLOOKUP(A16779,'Componentes APUs'!$H$1:$L$25,2,0)</f>
        <v>Tecnico Supervisor</v>
      </c>
      <c r="C16779" s="93">
        <v>0.25</v>
      </c>
      <c r="D16779" s="50">
        <f>VLOOKUP(A16779,'Componentes APUs'!$H$1:$L$25,3,0)</f>
        <v>2.2999999999999998</v>
      </c>
      <c r="E16779" s="51">
        <f>VLOOKUP(A16779,'Componentes APUs'!$H$1:$L$25,4,0)</f>
        <v>155907.14285714284</v>
      </c>
      <c r="F16779" s="51">
        <f>VLOOKUP(A16779,'Componentes APUs'!$H$1:$L$25,5,0)</f>
        <v>93544.285714285696</v>
      </c>
      <c r="G16779" s="51">
        <f>ROUNDUP((E16779+F16779)*C16779/E16766,0)</f>
        <v>124726</v>
      </c>
    </row>
    <row r="16780" spans="1:7" x14ac:dyDescent="0.25">
      <c r="A16780" s="50" t="s">
        <v>46</v>
      </c>
      <c r="B16780" s="68" t="str">
        <f>VLOOKUP(A16780,'Componentes APUs'!$H$1:$L$25,2,0)</f>
        <v>Tecnico Liniero</v>
      </c>
      <c r="C16780" s="93">
        <v>2</v>
      </c>
      <c r="D16780" s="50">
        <f>VLOOKUP(A16780,'Componentes APUs'!$H$1:$L$25,3,0)</f>
        <v>2</v>
      </c>
      <c r="E16780" s="51">
        <f>VLOOKUP(A16780,'Componentes APUs'!$H$1:$L$25,4,0)</f>
        <v>154619.04761904763</v>
      </c>
      <c r="F16780" s="51">
        <f>VLOOKUP(A16780,'Componentes APUs'!$H$1:$L$25,5,0)</f>
        <v>92771.42857142858</v>
      </c>
      <c r="G16780" s="51">
        <f>ROUNDUP((E16780+F16780)*C16780/E16766,0)</f>
        <v>989562</v>
      </c>
    </row>
    <row r="16781" spans="1:7" x14ac:dyDescent="0.25">
      <c r="A16781" s="50" t="s">
        <v>48</v>
      </c>
      <c r="B16781" s="68" t="str">
        <f>VLOOKUP(A16781,'Componentes APUs'!$H$1:$L$25,2,0)</f>
        <v>Ayudante Calificado</v>
      </c>
      <c r="C16781" s="93">
        <v>2</v>
      </c>
      <c r="D16781" s="50">
        <f>VLOOKUP(A16781,'Componentes APUs'!$H$1:$L$25,3,0)</f>
        <v>1.5</v>
      </c>
      <c r="E16781" s="51">
        <f>VLOOKUP(A16781,'Componentes APUs'!$H$1:$L$25,4,0)</f>
        <v>115964.28571428571</v>
      </c>
      <c r="F16781" s="51">
        <f>VLOOKUP(A16781,'Componentes APUs'!$H$1:$L$25,5,0)</f>
        <v>69578.57142857142</v>
      </c>
      <c r="G16781" s="51">
        <f>ROUNDUP((E16781+F16781)*C16781/E16766,0)</f>
        <v>742172</v>
      </c>
    </row>
    <row r="16782" spans="1:7" x14ac:dyDescent="0.25">
      <c r="A16782" s="50" t="s">
        <v>50</v>
      </c>
      <c r="B16782" s="68" t="str">
        <f>VLOOKUP(A16782,'Componentes APUs'!$H$1:$L$25,2,0)</f>
        <v>Profesional en SST</v>
      </c>
      <c r="C16782" s="93">
        <v>0.25</v>
      </c>
      <c r="D16782" s="50">
        <f>VLOOKUP(A16782,'Componentes APUs'!$H$1:$L$25,3,0)</f>
        <v>2.5</v>
      </c>
      <c r="E16782" s="51">
        <f>VLOOKUP(A16782,'Componentes APUs'!$H$1:$L$25,4,0)</f>
        <v>169464.28571428571</v>
      </c>
      <c r="F16782" s="51">
        <f>VLOOKUP(A16782,'Componentes APUs'!$H$1:$L$25,5,0)</f>
        <v>101678.57142857142</v>
      </c>
      <c r="G16782" s="51">
        <f>ROUNDUP((E16782+F16782)*C16782/E16766,0)</f>
        <v>135572</v>
      </c>
    </row>
    <row r="16783" spans="1:7" x14ac:dyDescent="0.25">
      <c r="A16783" s="50" t="s">
        <v>52</v>
      </c>
      <c r="B16783" s="68" t="str">
        <f>VLOOKUP(A16783,'Componentes APUs'!$H$1:$L$25,2,0)</f>
        <v>Ayudante No Calificado</v>
      </c>
      <c r="C16783" s="93">
        <v>0</v>
      </c>
      <c r="D16783" s="50">
        <f>VLOOKUP(A16783,'Componentes APUs'!$H$1:$L$25,3,0)</f>
        <v>1</v>
      </c>
      <c r="E16783" s="51">
        <f>VLOOKUP(A16783,'Componentes APUs'!$H$1:$L$25,4,0)</f>
        <v>77309.523809523816</v>
      </c>
      <c r="F16783" s="51">
        <f>VLOOKUP(A16783,'Componentes APUs'!$H$1:$L$25,5,0)</f>
        <v>46385.71428571429</v>
      </c>
      <c r="G16783" s="51">
        <f>ROUNDUP((E16783+F16783)*C16783/E16766,0)</f>
        <v>0</v>
      </c>
    </row>
    <row r="16784" spans="1:7" x14ac:dyDescent="0.25">
      <c r="A16784" s="219" t="s">
        <v>56</v>
      </c>
      <c r="B16784" s="219"/>
      <c r="C16784" s="219"/>
      <c r="D16784" s="219"/>
      <c r="E16784" s="219"/>
      <c r="F16784" s="219"/>
      <c r="G16784" s="52">
        <f>SUM(G16778:G16783)</f>
        <v>2208947</v>
      </c>
    </row>
    <row r="16785" spans="1:7" x14ac:dyDescent="0.25">
      <c r="A16785" s="56"/>
      <c r="B16785" s="57"/>
      <c r="C16785" s="57"/>
      <c r="D16785" s="57"/>
      <c r="E16785" s="57"/>
      <c r="F16785" s="57"/>
      <c r="G16785" s="58"/>
    </row>
    <row r="16786" spans="1:7" x14ac:dyDescent="0.25">
      <c r="A16786" s="219" t="s">
        <v>57</v>
      </c>
      <c r="B16786" s="219"/>
      <c r="C16786" s="219"/>
      <c r="D16786" s="219"/>
      <c r="E16786" s="219"/>
      <c r="F16786" s="219"/>
      <c r="G16786" s="219"/>
    </row>
    <row r="16787" spans="1:7" x14ac:dyDescent="0.25">
      <c r="A16787" s="49" t="s">
        <v>35</v>
      </c>
      <c r="B16787" s="219" t="s">
        <v>36</v>
      </c>
      <c r="C16787" s="219"/>
      <c r="D16787" s="49" t="s">
        <v>37</v>
      </c>
      <c r="E16787" s="49" t="s">
        <v>38</v>
      </c>
      <c r="F16787" s="49" t="s">
        <v>39</v>
      </c>
      <c r="G16787" s="49" t="s">
        <v>40</v>
      </c>
    </row>
    <row r="16788" spans="1:7" x14ac:dyDescent="0.25">
      <c r="A16788" s="50" t="s">
        <v>326</v>
      </c>
      <c r="B16788" s="220" t="str">
        <f>VLOOKUP(A16788,'Componentes APUs'!$S$1:$V$10,2,0)</f>
        <v>Juego Llaves</v>
      </c>
      <c r="C16788" s="220"/>
      <c r="D16788" s="50" t="s">
        <v>18</v>
      </c>
      <c r="E16788" s="50">
        <v>2</v>
      </c>
      <c r="F16788" s="51">
        <f>VLOOKUP(A16788,'Componentes APUs'!$S$1:$V$10,4,0)</f>
        <v>9167</v>
      </c>
      <c r="G16788" s="51">
        <f>ROUNDUP(F16788*((E16788/21)/E16766),0)</f>
        <v>1747</v>
      </c>
    </row>
    <row r="16789" spans="1:7" x14ac:dyDescent="0.25">
      <c r="A16789" s="50" t="s">
        <v>58</v>
      </c>
      <c r="B16789" s="220" t="str">
        <f>VLOOKUP(A16789,'Componentes APUs'!$S$1:$V$10,2,0)</f>
        <v>Manila de servicio</v>
      </c>
      <c r="C16789" s="220"/>
      <c r="D16789" s="50" t="s">
        <v>18</v>
      </c>
      <c r="E16789" s="50">
        <v>2</v>
      </c>
      <c r="F16789" s="51">
        <f>VLOOKUP(A16789,'Componentes APUs'!$S$1:$V$10,4,0)</f>
        <v>2333</v>
      </c>
      <c r="G16789" s="51">
        <f>ROUNDUP(F16789*((E16789/21)/E16766),0)</f>
        <v>445</v>
      </c>
    </row>
    <row r="16790" spans="1:7" x14ac:dyDescent="0.25">
      <c r="A16790" s="50" t="s">
        <v>327</v>
      </c>
      <c r="B16790" s="220" t="str">
        <f>VLOOKUP(A16790,'Componentes APUs'!$S$1:$V$10,2,0)</f>
        <v>Tula portaherramientas</v>
      </c>
      <c r="C16790" s="220"/>
      <c r="D16790" s="50" t="s">
        <v>18</v>
      </c>
      <c r="E16790" s="50">
        <v>2</v>
      </c>
      <c r="F16790" s="51">
        <f>VLOOKUP(A16790,'Componentes APUs'!$S$1:$V$10,4,0)</f>
        <v>1250</v>
      </c>
      <c r="G16790" s="51">
        <f>ROUNDUP(F16790*((E16790/21)/E16766),0)</f>
        <v>239</v>
      </c>
    </row>
    <row r="16791" spans="1:7" x14ac:dyDescent="0.25">
      <c r="A16791" s="50" t="s">
        <v>60</v>
      </c>
      <c r="B16791" s="220" t="str">
        <f>VLOOKUP(A16791,'Componentes APUs'!$S$1:$V$10,2,0)</f>
        <v>Agarradoras</v>
      </c>
      <c r="C16791" s="220"/>
      <c r="D16791" s="50" t="s">
        <v>18</v>
      </c>
      <c r="E16791" s="50">
        <v>1</v>
      </c>
      <c r="F16791" s="51">
        <f>VLOOKUP(A16791,'Componentes APUs'!$S$1:$V$10,4,0)</f>
        <v>125000</v>
      </c>
      <c r="G16791" s="51">
        <f>ROUNDUP(F16791*((E16791/21)/E16766),0)</f>
        <v>11905</v>
      </c>
    </row>
    <row r="16792" spans="1:7" x14ac:dyDescent="0.25">
      <c r="A16792" s="50" t="s">
        <v>62</v>
      </c>
      <c r="B16792" s="220" t="str">
        <f>VLOOKUP(A16792,'Componentes APUs'!$S$1:$V$10,2,0)</f>
        <v>Templadoras</v>
      </c>
      <c r="C16792" s="220"/>
      <c r="D16792" s="50" t="s">
        <v>18</v>
      </c>
      <c r="E16792" s="50">
        <v>1</v>
      </c>
      <c r="F16792" s="51">
        <f>VLOOKUP(A16792,'Componentes APUs'!$S$1:$V$10,4,0)</f>
        <v>250000</v>
      </c>
      <c r="G16792" s="51">
        <f>ROUNDUP(F16792*((E16792/21)/E16766),0)</f>
        <v>23810</v>
      </c>
    </row>
    <row r="16793" spans="1:7" x14ac:dyDescent="0.25">
      <c r="A16793" s="50" t="s">
        <v>328</v>
      </c>
      <c r="B16793" s="220" t="str">
        <f>VLOOKUP(A16793,'Componentes APUs'!$S$1:$V$10,2,0)</f>
        <v>Herramienta Menor</v>
      </c>
      <c r="C16793" s="220"/>
      <c r="D16793" s="50" t="s">
        <v>18</v>
      </c>
      <c r="E16793" s="50">
        <v>2</v>
      </c>
      <c r="F16793" s="51">
        <f>VLOOKUP(A16793,'Componentes APUs'!$S$1:$V$10,4,0)</f>
        <v>75758</v>
      </c>
      <c r="G16793" s="51">
        <f>ROUNDUP(F16793*((E16793/21)/E16766),0)</f>
        <v>14431</v>
      </c>
    </row>
    <row r="16794" spans="1:7" x14ac:dyDescent="0.25">
      <c r="A16794" s="50" t="s">
        <v>66</v>
      </c>
      <c r="B16794" s="220" t="str">
        <f>VLOOKUP(A16794,'Componentes APUs'!$S$1:$V$10,2,0)</f>
        <v>Diferencial 2 Toneladas</v>
      </c>
      <c r="C16794" s="220"/>
      <c r="D16794" s="50" t="s">
        <v>18</v>
      </c>
      <c r="E16794" s="50">
        <v>1</v>
      </c>
      <c r="F16794" s="51">
        <f>VLOOKUP(A16794,'Componentes APUs'!$S$1:$V$10,4,0)</f>
        <v>474905</v>
      </c>
      <c r="G16794" s="51">
        <f>ROUNDUP(F16794*((E16794/21)/E16766),0)</f>
        <v>45230</v>
      </c>
    </row>
    <row r="16795" spans="1:7" x14ac:dyDescent="0.25">
      <c r="A16795" s="219" t="s">
        <v>69</v>
      </c>
      <c r="B16795" s="219"/>
      <c r="C16795" s="219"/>
      <c r="D16795" s="219"/>
      <c r="E16795" s="219"/>
      <c r="F16795" s="219"/>
      <c r="G16795" s="52">
        <f>SUM(G16788:G16794)</f>
        <v>97807</v>
      </c>
    </row>
    <row r="16796" spans="1:7" x14ac:dyDescent="0.25">
      <c r="A16796" s="56"/>
      <c r="B16796" s="57"/>
      <c r="C16796" s="57"/>
      <c r="D16796" s="57"/>
      <c r="E16796" s="57"/>
      <c r="F16796" s="57"/>
      <c r="G16796" s="58"/>
    </row>
    <row r="16797" spans="1:7" x14ac:dyDescent="0.25">
      <c r="A16797" s="219" t="s">
        <v>70</v>
      </c>
      <c r="B16797" s="219"/>
      <c r="C16797" s="219"/>
      <c r="D16797" s="219"/>
      <c r="E16797" s="219"/>
      <c r="F16797" s="219"/>
      <c r="G16797" s="219"/>
    </row>
    <row r="16798" spans="1:7" x14ac:dyDescent="0.25">
      <c r="A16798" s="49" t="s">
        <v>35</v>
      </c>
      <c r="B16798" s="219" t="s">
        <v>36</v>
      </c>
      <c r="C16798" s="219"/>
      <c r="D16798" s="49" t="s">
        <v>37</v>
      </c>
      <c r="E16798" s="49" t="s">
        <v>38</v>
      </c>
      <c r="F16798" s="49" t="s">
        <v>39</v>
      </c>
      <c r="G16798" s="49" t="s">
        <v>40</v>
      </c>
    </row>
    <row r="16799" spans="1:7" x14ac:dyDescent="0.25">
      <c r="A16799" s="50" t="s">
        <v>71</v>
      </c>
      <c r="B16799" s="71" t="str">
        <f>VLOOKUP(A16799,'Componentes APUs'!$A$1:$D$14,2,0)</f>
        <v>Camisa indigo sin partes metalicas</v>
      </c>
      <c r="C16799" s="71"/>
      <c r="D16799" s="50" t="str">
        <f>VLOOKUP(A16799,'Componentes APUs'!$A$1:$D$14,3,0)</f>
        <v>U</v>
      </c>
      <c r="E16799" s="50">
        <f>SUM(C16778:C16783)</f>
        <v>4.75</v>
      </c>
      <c r="F16799" s="51">
        <f>VLOOKUP(A16799,'Componentes APUs'!$A$1:$D$14,4,0)</f>
        <v>8585.8585858585866</v>
      </c>
      <c r="G16799" s="51">
        <f>ROUNDUP(F16799*(E16799/21)/E16766,0)</f>
        <v>3885</v>
      </c>
    </row>
    <row r="16800" spans="1:7" x14ac:dyDescent="0.25">
      <c r="A16800" s="69" t="s">
        <v>73</v>
      </c>
      <c r="B16800" s="72" t="str">
        <f>VLOOKUP(A16800,'Componentes APUs'!$A$1:$D$14,2,0)</f>
        <v>Bota de seguridad dielectrica</v>
      </c>
      <c r="C16800" s="73"/>
      <c r="D16800" s="70" t="str">
        <f>VLOOKUP(A16800,'Componentes APUs'!$A$1:$D$14,3,0)</f>
        <v>Par</v>
      </c>
      <c r="E16800" s="50">
        <f>SUM(C16778:C16783)</f>
        <v>4.75</v>
      </c>
      <c r="F16800" s="51">
        <f>VLOOKUP(A16800,'Componentes APUs'!$A$1:$D$14,4,0)</f>
        <v>7500</v>
      </c>
      <c r="G16800" s="51">
        <f>ROUNDUP(F16800*(E16800/21)/E16766,0)</f>
        <v>3393</v>
      </c>
    </row>
    <row r="16801" spans="1:7" x14ac:dyDescent="0.25">
      <c r="A16801" s="50" t="s">
        <v>76</v>
      </c>
      <c r="B16801" s="72" t="str">
        <f>VLOOKUP(A16801,'Componentes APUs'!$A$1:$D$14,2,0)</f>
        <v>Casco dielectrico Tipo 1 Clase E con barbuquejo</v>
      </c>
      <c r="C16801" s="73"/>
      <c r="D16801" s="50" t="str">
        <f>VLOOKUP(A16801,'Componentes APUs'!$A$1:$D$14,3,0)</f>
        <v>U</v>
      </c>
      <c r="E16801" s="50">
        <f>C16778+C16779+C16782+C16783+C16781+IF(A16780&lt;&gt;"MO-3",C16780,0)</f>
        <v>2.75</v>
      </c>
      <c r="F16801" s="51">
        <f>VLOOKUP(A16801,'Componentes APUs'!$A$1:$D$14,4,0)</f>
        <v>10101.010101010101</v>
      </c>
      <c r="G16801" s="51">
        <f>ROUNDUP(F16801*(E16801/21)/E16766,0)</f>
        <v>2646</v>
      </c>
    </row>
    <row r="16802" spans="1:7" x14ac:dyDescent="0.25">
      <c r="A16802" s="69" t="s">
        <v>77</v>
      </c>
      <c r="B16802" s="72" t="str">
        <f>VLOOKUP(A16802,'Componentes APUs'!$A$1:$D$14,2,0)</f>
        <v>Correa plastica y antiflama</v>
      </c>
      <c r="C16802" s="73"/>
      <c r="D16802" s="50" t="str">
        <f>VLOOKUP(A16802,'Componentes APUs'!$A$1:$D$14,3,0)</f>
        <v>U</v>
      </c>
      <c r="E16802" s="50">
        <f>SUM(C16778:C16783)</f>
        <v>4.75</v>
      </c>
      <c r="F16802" s="51">
        <f>VLOOKUP(A16802,'Componentes APUs'!$A$1:$D$14,4,0)</f>
        <v>3787.878787878788</v>
      </c>
      <c r="G16802" s="51">
        <f>ROUNDUP(F16802*(E16802/21)/E16766,0)</f>
        <v>1714</v>
      </c>
    </row>
    <row r="16803" spans="1:7" x14ac:dyDescent="0.25">
      <c r="A16803" s="50" t="s">
        <v>79</v>
      </c>
      <c r="B16803" s="72" t="str">
        <f>VLOOKUP(A16803,'Componentes APUs'!$A$1:$D$14,2,0)</f>
        <v>Gafas protectoras filtro UV</v>
      </c>
      <c r="C16803" s="73"/>
      <c r="D16803" s="50" t="str">
        <f>VLOOKUP(A16803,'Componentes APUs'!$A$1:$D$14,3,0)</f>
        <v>U</v>
      </c>
      <c r="E16803" s="50">
        <f>SUM(C16778:C16783)</f>
        <v>4.75</v>
      </c>
      <c r="F16803" s="51">
        <f>VLOOKUP(A16803,'Componentes APUs'!$A$1:$D$14,4,0)</f>
        <v>2777.7777777777778</v>
      </c>
      <c r="G16803" s="51">
        <f>ROUNDUP(F16803*(E16803/21)/E16766,0)</f>
        <v>1257</v>
      </c>
    </row>
    <row r="16804" spans="1:7" x14ac:dyDescent="0.25">
      <c r="A16804" s="69" t="s">
        <v>402</v>
      </c>
      <c r="B16804" s="72" t="str">
        <f>VLOOKUP(A16804,'Componentes APUs'!$A$1:$D$14,2,0)</f>
        <v>Bota de seguridad PVC dielectrica</v>
      </c>
      <c r="C16804" s="73"/>
      <c r="D16804" s="50" t="str">
        <f>VLOOKUP(A16804,'Componentes APUs'!$A$1:$D$14,3,0)</f>
        <v>Par</v>
      </c>
      <c r="E16804" s="50">
        <f>SUM(C16778:C16783)</f>
        <v>4.75</v>
      </c>
      <c r="F16804" s="51">
        <f>VLOOKUP(A16804,'Componentes APUs'!$A$1:$D$14,4,0)</f>
        <v>2916.6666666666665</v>
      </c>
      <c r="G16804" s="51">
        <f>ROUNDUP(F16804*(E16804/21)/E16766,0)</f>
        <v>1320</v>
      </c>
    </row>
    <row r="16805" spans="1:7" x14ac:dyDescent="0.25">
      <c r="A16805" s="50" t="s">
        <v>403</v>
      </c>
      <c r="B16805" s="72" t="str">
        <f>VLOOKUP(A16805,'Componentes APUs'!$A$1:$D$14,2,0)</f>
        <v>Capuchon</v>
      </c>
      <c r="C16805" s="73"/>
      <c r="D16805" s="50" t="str">
        <f>VLOOKUP(A16805,'Componentes APUs'!$A$1:$D$14,3,0)</f>
        <v>U</v>
      </c>
      <c r="E16805" s="50">
        <f>SUM(C16778:C16783)</f>
        <v>4.75</v>
      </c>
      <c r="F16805" s="51">
        <f>VLOOKUP(A16805,'Componentes APUs'!$A$1:$D$14,4,0)</f>
        <v>2525.2525252525252</v>
      </c>
      <c r="G16805" s="51">
        <f>ROUNDUP(F16805*(E16805/21)/E16766,0)</f>
        <v>1143</v>
      </c>
    </row>
    <row r="16806" spans="1:7" x14ac:dyDescent="0.25">
      <c r="A16806" s="69" t="s">
        <v>81</v>
      </c>
      <c r="B16806" s="72" t="str">
        <f>VLOOKUP(A16806,'Componentes APUs'!$A$1:$D$14,2,0)</f>
        <v>Guantes Protectores  - ingeniero reforzados</v>
      </c>
      <c r="C16806" s="73"/>
      <c r="D16806" s="50" t="str">
        <f>VLOOKUP(A16806,'Componentes APUs'!$A$1:$D$14,3,0)</f>
        <v>Par</v>
      </c>
      <c r="E16806" s="50">
        <f>C16780+C16781+C16783</f>
        <v>4</v>
      </c>
      <c r="F16806" s="51">
        <f>VLOOKUP(A16806,'Componentes APUs'!$A$1:$D$14,4,0)</f>
        <v>2525.2525252525252</v>
      </c>
      <c r="G16806" s="51">
        <f>ROUNDUP(F16806*(E16806/21)/E16766,0)</f>
        <v>963</v>
      </c>
    </row>
    <row r="16807" spans="1:7" x14ac:dyDescent="0.25">
      <c r="A16807" s="50" t="s">
        <v>83</v>
      </c>
      <c r="B16807" s="72" t="str">
        <f>VLOOKUP(A16807,'Componentes APUs'!$A$1:$D$14,2,0)</f>
        <v>Impermeable (pantalon camisa)</v>
      </c>
      <c r="C16807" s="73"/>
      <c r="D16807" s="50" t="str">
        <f>VLOOKUP(A16807,'Componentes APUs'!$A$1:$D$14,3,0)</f>
        <v>U</v>
      </c>
      <c r="E16807" s="50">
        <f>SUM(C16778:C16783)</f>
        <v>4.75</v>
      </c>
      <c r="F16807" s="51">
        <f>VLOOKUP(A16807,'Componentes APUs'!$A$1:$D$14,4,0)</f>
        <v>3750</v>
      </c>
      <c r="G16807" s="51">
        <f>ROUNDUP(F16807*(E16807/21)/E16766,0)</f>
        <v>1697</v>
      </c>
    </row>
    <row r="16808" spans="1:7" x14ac:dyDescent="0.25">
      <c r="A16808" s="69" t="s">
        <v>85</v>
      </c>
      <c r="B16808" s="72" t="str">
        <f>VLOOKUP(A16808,'Componentes APUs'!$A$1:$D$14,2,0)</f>
        <v>Jean Dielectrico</v>
      </c>
      <c r="C16808" s="73"/>
      <c r="D16808" s="50" t="str">
        <f>VLOOKUP(A16808,'Componentes APUs'!$A$1:$D$14,3,0)</f>
        <v>U</v>
      </c>
      <c r="E16808" s="50">
        <f>SUM(C16778:C16783)</f>
        <v>4.75</v>
      </c>
      <c r="F16808" s="51">
        <f>VLOOKUP(A16808,'Componentes APUs'!$A$1:$D$14,4,0)</f>
        <v>7575.757575757576</v>
      </c>
      <c r="G16808" s="51">
        <f>ROUNDUP(F16808*(E16808/21)/E16766,0)</f>
        <v>3428</v>
      </c>
    </row>
    <row r="16809" spans="1:7" x14ac:dyDescent="0.25">
      <c r="A16809" s="50" t="s">
        <v>87</v>
      </c>
      <c r="B16809" s="72" t="str">
        <f>VLOOKUP(A16809,'Componentes APUs'!$A$1:$D$14,2,0)</f>
        <v>Casco dielectrico Tipo 2 Clase E con barboquejo</v>
      </c>
      <c r="C16809" s="73"/>
      <c r="D16809" s="50" t="str">
        <f>VLOOKUP(A16809,'Componentes APUs'!$A$1:$D$14,3,0)</f>
        <v>U</v>
      </c>
      <c r="E16809" s="53">
        <f>IF(A16780="MO-3",C16780,0)</f>
        <v>2</v>
      </c>
      <c r="F16809" s="51">
        <f>VLOOKUP(A16809,'Componentes APUs'!$A$1:$D$14,4,0)</f>
        <v>7500</v>
      </c>
      <c r="G16809" s="51">
        <f>ROUNDUP(F16809*(E16809/21)/E16766,0)</f>
        <v>1429</v>
      </c>
    </row>
    <row r="16810" spans="1:7" x14ac:dyDescent="0.25">
      <c r="A16810" s="69" t="s">
        <v>89</v>
      </c>
      <c r="B16810" s="72" t="str">
        <f>VLOOKUP(A16810,'Componentes APUs'!$A$1:$D$14,2,0)</f>
        <v>Kit de rescate para trabajo en alturas</v>
      </c>
      <c r="C16810" s="73"/>
      <c r="D16810" s="50" t="str">
        <f>VLOOKUP(A16810,'Componentes APUs'!$A$1:$D$14,3,0)</f>
        <v>U</v>
      </c>
      <c r="E16810" s="50">
        <f>IF(AND(A16780="MO-3",C16780=2),1,0)</f>
        <v>1</v>
      </c>
      <c r="F16810" s="51">
        <f>VLOOKUP(A16810,'Componentes APUs'!$A$1:$D$14,4,0)</f>
        <v>37500</v>
      </c>
      <c r="G16810" s="51">
        <f>ROUNDUP(F16810*(E16810/21)/E16766,0)</f>
        <v>3572</v>
      </c>
    </row>
    <row r="16811" spans="1:7" x14ac:dyDescent="0.25">
      <c r="A16811" s="50" t="s">
        <v>91</v>
      </c>
      <c r="B16811" s="72" t="str">
        <f>VLOOKUP(A16811,'Componentes APUs'!$A$1:$D$14,2,0)</f>
        <v>Equipo completo para trabajo en alturas con pretales (Arnes dielectrico, 1 mosqueton de seguridad, tie off dielectrico, eslinga de posicionamiento, juego de pretales)</v>
      </c>
      <c r="C16811" s="73"/>
      <c r="D16811" s="50" t="str">
        <f>VLOOKUP(A16811,'Componentes APUs'!$A$1:$D$14,3,0)</f>
        <v>U</v>
      </c>
      <c r="E16811" s="50">
        <f>IF(A16780="MO-3",C16780,0)</f>
        <v>2</v>
      </c>
      <c r="F16811" s="51">
        <f>VLOOKUP(A16811,'Componentes APUs'!$A$1:$D$14,4,0)</f>
        <v>26041.666666666668</v>
      </c>
      <c r="G16811" s="51">
        <f>ROUNDUP(F16811*(E16811/21)/E16766,0)</f>
        <v>4961</v>
      </c>
    </row>
    <row r="16812" spans="1:7" x14ac:dyDescent="0.25">
      <c r="A16812" s="219" t="s">
        <v>95</v>
      </c>
      <c r="B16812" s="219"/>
      <c r="C16812" s="219"/>
      <c r="D16812" s="219"/>
      <c r="E16812" s="219"/>
      <c r="F16812" s="219"/>
      <c r="G16812" s="52">
        <f>SUM(G16799:G16811)</f>
        <v>31408</v>
      </c>
    </row>
    <row r="16813" spans="1:7" x14ac:dyDescent="0.25">
      <c r="A16813" s="56"/>
      <c r="B16813" s="57"/>
      <c r="C16813" s="57"/>
      <c r="D16813" s="57"/>
      <c r="E16813" s="57"/>
      <c r="F16813" s="57"/>
      <c r="G16813" s="58"/>
    </row>
    <row r="16814" spans="1:7" x14ac:dyDescent="0.25">
      <c r="A16814" s="219" t="s">
        <v>96</v>
      </c>
      <c r="B16814" s="219"/>
      <c r="C16814" s="219"/>
      <c r="D16814" s="219"/>
      <c r="E16814" s="219"/>
      <c r="F16814" s="219"/>
      <c r="G16814" s="219"/>
    </row>
    <row r="16815" spans="1:7" x14ac:dyDescent="0.25">
      <c r="A16815" s="49" t="s">
        <v>35</v>
      </c>
      <c r="B16815" s="225" t="s">
        <v>36</v>
      </c>
      <c r="C16815" s="225"/>
      <c r="D16815" s="49" t="s">
        <v>37</v>
      </c>
      <c r="E16815" s="49" t="s">
        <v>38</v>
      </c>
      <c r="F16815" s="49" t="s">
        <v>39</v>
      </c>
      <c r="G16815" s="49" t="s">
        <v>40</v>
      </c>
    </row>
    <row r="16816" spans="1:7" x14ac:dyDescent="0.25">
      <c r="A16816" s="69" t="s">
        <v>97</v>
      </c>
      <c r="B16816" s="72" t="str">
        <f>VLOOKUP(A16816,'Componentes APUs'!$N$1:$Q$30,2,0)</f>
        <v>Camioneta</v>
      </c>
      <c r="C16816" s="73"/>
      <c r="D16816" s="70" t="str">
        <f>VLOOKUP(A16816,'Componentes APUs'!$N$1:$Q$30,3,0)</f>
        <v>U</v>
      </c>
      <c r="E16816" s="50">
        <v>1</v>
      </c>
      <c r="F16816" s="51">
        <f>VLOOKUP(A16816,'Componentes APUs'!$N$1:$Q$30,4,0)</f>
        <v>5500000</v>
      </c>
      <c r="G16816" s="51">
        <f>IFERROR(ROUNDUP(F16816*(E16816/21)/E16766,0),0)</f>
        <v>523810</v>
      </c>
    </row>
    <row r="16817" spans="1:7" x14ac:dyDescent="0.25">
      <c r="A16817" s="50" t="s">
        <v>321</v>
      </c>
      <c r="B16817" s="72" t="str">
        <f>VLOOKUP(A16817,'Componentes APUs'!$N$1:$Q$30,2,0)</f>
        <v>Grúa Hidráulica</v>
      </c>
      <c r="C16817" s="73"/>
      <c r="D16817" s="70" t="str">
        <f>VLOOKUP(A16817,'Componentes APUs'!$N$1:$Q$30,3,0)</f>
        <v>U</v>
      </c>
      <c r="E16817" s="50">
        <v>1</v>
      </c>
      <c r="F16817" s="51">
        <f>VLOOKUP(A16817,'Componentes APUs'!$N$1:$Q$30,4,0)</f>
        <v>21000000</v>
      </c>
      <c r="G16817" s="51">
        <f>IFERROR(ROUNDUP(F16817*(E16817/21)/E16766,0),0)</f>
        <v>2000000</v>
      </c>
    </row>
    <row r="16818" spans="1:7" x14ac:dyDescent="0.25">
      <c r="A16818" s="69" t="s">
        <v>322</v>
      </c>
      <c r="B16818" s="72" t="str">
        <f>VLOOKUP(A16818,'Componentes APUs'!$N$1:$Q$30,2,0)</f>
        <v>Camabaja</v>
      </c>
      <c r="C16818" s="73"/>
      <c r="D16818" s="70" t="str">
        <f>VLOOKUP(A16818,'Componentes APUs'!$N$1:$Q$30,3,0)</f>
        <v>TON/KM</v>
      </c>
      <c r="E16818" s="50">
        <v>0</v>
      </c>
      <c r="F16818" s="51">
        <f>VLOOKUP(A16818,'Componentes APUs'!$N$1:$Q$30,4,0)</f>
        <v>611</v>
      </c>
      <c r="G16818" s="51">
        <f>IFERROR(ROUNDUP(F16818*(E16818/21)/E16766,0),0)</f>
        <v>0</v>
      </c>
    </row>
    <row r="16819" spans="1:7" x14ac:dyDescent="0.25">
      <c r="A16819" s="50" t="s">
        <v>323</v>
      </c>
      <c r="B16819" s="72" t="str">
        <f>VLOOKUP(A16819,'Componentes APUs'!$N$1:$Q$30,2,0)</f>
        <v>Volqueta</v>
      </c>
      <c r="C16819" s="73"/>
      <c r="D16819" s="70" t="str">
        <f>VLOOKUP(A16819,'Componentes APUs'!$N$1:$Q$30,3,0)</f>
        <v>U</v>
      </c>
      <c r="E16819" s="50">
        <v>0</v>
      </c>
      <c r="F16819" s="51">
        <f>VLOOKUP(A16819,'Componentes APUs'!$N$1:$Q$30,4,0)</f>
        <v>14828184</v>
      </c>
      <c r="G16819" s="51">
        <f>IFERROR(ROUNDUP(F16819*(E16819/21)/E16766,0),0)</f>
        <v>0</v>
      </c>
    </row>
    <row r="16820" spans="1:7" x14ac:dyDescent="0.25">
      <c r="A16820" s="69" t="s">
        <v>324</v>
      </c>
      <c r="B16820" s="72" t="str">
        <f>VLOOKUP(A16820,'Componentes APUs'!$N$1:$Q$30,2,0)</f>
        <v>Retroexcavadora</v>
      </c>
      <c r="C16820" s="73"/>
      <c r="D16820" s="70" t="str">
        <f>VLOOKUP(A16820,'Componentes APUs'!$N$1:$Q$30,3,0)</f>
        <v>U</v>
      </c>
      <c r="E16820" s="50">
        <v>0</v>
      </c>
      <c r="F16820" s="51">
        <f>VLOOKUP(A16820,'Componentes APUs'!$N$1:$Q$30,4,0)</f>
        <v>46030656</v>
      </c>
      <c r="G16820" s="51">
        <f>IFERROR(ROUNDUP(F16820*(E16820/21)/E16766,0),0)</f>
        <v>0</v>
      </c>
    </row>
    <row r="16821" spans="1:7" x14ac:dyDescent="0.25">
      <c r="A16821" s="219" t="s">
        <v>99</v>
      </c>
      <c r="B16821" s="219"/>
      <c r="C16821" s="219"/>
      <c r="D16821" s="219"/>
      <c r="E16821" s="219"/>
      <c r="F16821" s="219"/>
      <c r="G16821" s="52">
        <f>SUM(G16816:G16820)</f>
        <v>2523810</v>
      </c>
    </row>
    <row r="16822" spans="1:7" x14ac:dyDescent="0.25">
      <c r="A16822" s="56"/>
      <c r="B16822" s="57"/>
      <c r="C16822" s="57"/>
      <c r="D16822" s="57"/>
      <c r="E16822" s="57"/>
      <c r="F16822" s="57"/>
      <c r="G16822" s="58"/>
    </row>
    <row r="16823" spans="1:7" x14ac:dyDescent="0.25">
      <c r="A16823" s="219" t="s">
        <v>1516</v>
      </c>
      <c r="B16823" s="219"/>
      <c r="C16823" s="219"/>
      <c r="D16823" s="219"/>
      <c r="E16823" s="219"/>
      <c r="F16823" s="219"/>
      <c r="G16823" s="52">
        <f>G16821+G16812+G16795+G16784+G16774</f>
        <v>54605007</v>
      </c>
    </row>
    <row r="16824" spans="1:7" x14ac:dyDescent="0.25">
      <c r="A16824" s="59"/>
      <c r="B16824" s="60"/>
      <c r="C16824" s="60"/>
      <c r="D16824" s="60"/>
      <c r="E16824" s="57"/>
      <c r="F16824" s="57"/>
      <c r="G16824" s="58"/>
    </row>
    <row r="16825" spans="1:7" x14ac:dyDescent="0.25">
      <c r="A16825" s="64"/>
      <c r="D16825" s="55"/>
      <c r="E16825" s="49" t="s">
        <v>25</v>
      </c>
      <c r="F16825" s="54">
        <v>0.15</v>
      </c>
      <c r="G16825" s="51">
        <f>G16823*F16825</f>
        <v>8190751.0499999998</v>
      </c>
    </row>
    <row r="16826" spans="1:7" x14ac:dyDescent="0.25">
      <c r="A16826" s="64"/>
      <c r="D16826" s="55"/>
      <c r="E16826" s="49" t="s">
        <v>26</v>
      </c>
      <c r="F16826" s="54">
        <v>0.05</v>
      </c>
      <c r="G16826" s="51">
        <f>G16823*F16826</f>
        <v>2730250.35</v>
      </c>
    </row>
    <row r="16827" spans="1:7" x14ac:dyDescent="0.25">
      <c r="A16827" s="61"/>
      <c r="B16827" s="65"/>
      <c r="C16827" s="65"/>
      <c r="D16827" s="62"/>
      <c r="E16827" s="49" t="s">
        <v>27</v>
      </c>
      <c r="F16827" s="54">
        <v>0.05</v>
      </c>
      <c r="G16827" s="51">
        <f>G16823*F16827</f>
        <v>2730250.35</v>
      </c>
    </row>
    <row r="16828" spans="1:7" x14ac:dyDescent="0.25">
      <c r="A16828" s="61"/>
      <c r="B16828" s="62"/>
      <c r="C16828" s="62"/>
      <c r="D16828" s="62"/>
      <c r="E16828" s="62"/>
      <c r="F16828" s="62"/>
      <c r="G16828" s="63"/>
    </row>
    <row r="16829" spans="1:7" x14ac:dyDescent="0.25">
      <c r="A16829" s="219" t="s">
        <v>1517</v>
      </c>
      <c r="B16829" s="219"/>
      <c r="C16829" s="219"/>
      <c r="D16829" s="219"/>
      <c r="E16829" s="219"/>
      <c r="F16829" s="219"/>
      <c r="G16829" s="52">
        <f>G16823+G16825+G16826+G16827</f>
        <v>68256258.75</v>
      </c>
    </row>
    <row r="16830" spans="1:7" x14ac:dyDescent="0.25">
      <c r="A16830" s="59"/>
      <c r="B16830" s="60"/>
      <c r="C16830" s="60"/>
      <c r="D16830" s="60"/>
      <c r="E16830" s="57"/>
      <c r="F16830" s="57"/>
      <c r="G16830" s="58"/>
    </row>
    <row r="16831" spans="1:7" x14ac:dyDescent="0.25">
      <c r="A16831" s="64"/>
      <c r="D16831" s="55"/>
      <c r="E16831" s="49" t="s">
        <v>102</v>
      </c>
      <c r="F16831" s="49" t="s">
        <v>103</v>
      </c>
      <c r="G16831" s="51">
        <f>G16827*19%</f>
        <v>518747.56650000002</v>
      </c>
    </row>
    <row r="16832" spans="1:7" x14ac:dyDescent="0.25">
      <c r="A16832" s="61"/>
      <c r="B16832" s="62"/>
      <c r="C16832" s="62"/>
      <c r="D16832" s="62"/>
      <c r="E16832" s="57"/>
      <c r="F16832" s="57"/>
      <c r="G16832" s="58"/>
    </row>
    <row r="16833" spans="1:7" x14ac:dyDescent="0.25">
      <c r="A16833" s="219" t="s">
        <v>104</v>
      </c>
      <c r="B16833" s="219"/>
      <c r="C16833" s="219"/>
      <c r="D16833" s="219"/>
      <c r="E16833" s="219"/>
      <c r="F16833" s="219"/>
      <c r="G16833" s="52">
        <f>G16831+G16829</f>
        <v>68775006.316499993</v>
      </c>
    </row>
    <row r="16835" spans="1:7" x14ac:dyDescent="0.25">
      <c r="A16835" s="74" t="s">
        <v>29</v>
      </c>
      <c r="B16835" s="226" t="s">
        <v>30</v>
      </c>
      <c r="C16835" s="226"/>
      <c r="D16835" s="74" t="s">
        <v>31</v>
      </c>
      <c r="E16835" s="74" t="s">
        <v>32</v>
      </c>
      <c r="F16835" s="74" t="s">
        <v>189</v>
      </c>
      <c r="G16835" s="74" t="s">
        <v>33</v>
      </c>
    </row>
    <row r="16836" spans="1:7" ht="62.25" customHeight="1" x14ac:dyDescent="0.25">
      <c r="A16836" s="50" t="str">
        <f>Presupuesto!B331</f>
        <v>006_AUX</v>
      </c>
      <c r="B16836" s="220" t="str">
        <f>Presupuesto!C331</f>
        <v>SUMINISTRO, TRANSPORTE E INSTALACIÓN DE CELDA PARA TRANSFORMADOR DE SERVICIOS AUXILIARES TRÍFASICO TIPO SECO 75 KVA, 13.8/0.208 KV, DYN5, Cu-Cu, AISLADO EN RESINA. CLASE F. INCLUYE PUESTA A TIERRA, TERMINALES DE COMPRESION,  ROTULADO Y DEMAS ACCESORIOS PARA SU CORRECTA INSTALACIÓN</v>
      </c>
      <c r="C16836" s="220"/>
      <c r="D16836" s="50" t="s">
        <v>8</v>
      </c>
      <c r="E16836" s="50">
        <v>2</v>
      </c>
      <c r="F16836" s="50"/>
      <c r="G16836" s="51">
        <f>G16905</f>
        <v>79746436.506000012</v>
      </c>
    </row>
    <row r="16837" spans="1:7" x14ac:dyDescent="0.25">
      <c r="A16837" s="219" t="s">
        <v>34</v>
      </c>
      <c r="B16837" s="219"/>
      <c r="C16837" s="219"/>
      <c r="D16837" s="219"/>
      <c r="E16837" s="219"/>
      <c r="F16837" s="219"/>
      <c r="G16837" s="219"/>
    </row>
    <row r="16838" spans="1:7" x14ac:dyDescent="0.25">
      <c r="A16838" s="49" t="s">
        <v>35</v>
      </c>
      <c r="B16838" s="219" t="s">
        <v>36</v>
      </c>
      <c r="C16838" s="219"/>
      <c r="D16838" s="49" t="s">
        <v>37</v>
      </c>
      <c r="E16838" s="49" t="s">
        <v>38</v>
      </c>
      <c r="F16838" s="49" t="s">
        <v>39</v>
      </c>
      <c r="G16838" s="49" t="s">
        <v>40</v>
      </c>
    </row>
    <row r="16839" spans="1:7" ht="24.75" customHeight="1" x14ac:dyDescent="0.25">
      <c r="A16839" s="17" t="str">
        <f>Material!A436</f>
        <v>MA-435</v>
      </c>
      <c r="B16839" s="221" t="str">
        <f>IFERROR(VLOOKUP(A16839,Material!$A:$H,2,0),"-")</f>
        <v>TRANSFORMADOR TRÍFASICO TIPO SECO 75 KVA, 13.8/0.208 KV, DYN5, Cu-Cu, AISLADO EN RESINA. CLASE F</v>
      </c>
      <c r="C16839" s="222"/>
      <c r="D16839" s="50" t="str">
        <f>IFERROR(VLOOKUP(A16839,Material!$A:$H,4,0),"-")</f>
        <v>UN</v>
      </c>
      <c r="E16839" s="50">
        <v>1</v>
      </c>
      <c r="F16839" s="51">
        <f>IFERROR(VLOOKUP(A16839,Material!$A:$H,3,0),"-")</f>
        <v>60674655.535052434</v>
      </c>
      <c r="G16839" s="51">
        <f t="shared" ref="G16839:G16845" si="236">IFERROR(ROUNDUP(F16839*E16839,0),"-")</f>
        <v>60674656</v>
      </c>
    </row>
    <row r="16840" spans="1:7" x14ac:dyDescent="0.25">
      <c r="A16840" s="17" t="str">
        <f>Material!A424</f>
        <v>MA-423</v>
      </c>
      <c r="B16840" s="72" t="str">
        <f>IFERROR(VLOOKUP(A16840,Material!$A:$H,2,0),"-")</f>
        <v xml:space="preserve">CABLE AISLADO NO 4 AWG COBRE THHN </v>
      </c>
      <c r="C16840" s="73"/>
      <c r="D16840" s="50" t="str">
        <f>IFERROR(VLOOKUP(A16840,Material!$A:$H,4,0),"-")</f>
        <v>ML</v>
      </c>
      <c r="E16840" s="50">
        <v>4</v>
      </c>
      <c r="F16840" s="51">
        <f>IFERROR(VLOOKUP(A16840,Material!$A:$H,3,0),"-")</f>
        <v>21710</v>
      </c>
      <c r="G16840" s="51">
        <f t="shared" si="236"/>
        <v>86840</v>
      </c>
    </row>
    <row r="16841" spans="1:7" x14ac:dyDescent="0.25">
      <c r="A16841" s="17" t="str">
        <f>Material!A437</f>
        <v>MA-436</v>
      </c>
      <c r="B16841" s="72" t="str">
        <f>IFERROR(VLOOKUP(A16841,Material!$A:$H,2,0),"-")</f>
        <v>DPS ALTA TENSIÓN HEAVY DUTY 15KV</v>
      </c>
      <c r="C16841" s="76"/>
      <c r="D16841" s="50" t="str">
        <f>IFERROR(VLOOKUP(A16841,Material!$A:$H,4,0),"-")</f>
        <v>UN</v>
      </c>
      <c r="E16841" s="50">
        <v>3</v>
      </c>
      <c r="F16841" s="51">
        <f>IFERROR(VLOOKUP(A16841,Material!$A:$H,3,0),"-")</f>
        <v>441959.47393973754</v>
      </c>
      <c r="G16841" s="51">
        <f t="shared" si="236"/>
        <v>1325879</v>
      </c>
    </row>
    <row r="16842" spans="1:7" x14ac:dyDescent="0.25">
      <c r="A16842" s="17" t="str">
        <f>Material!A425</f>
        <v>MA-424</v>
      </c>
      <c r="B16842" s="72" t="str">
        <f>IFERROR(VLOOKUP(A16842,Material!$A:$H,2,0),"-")</f>
        <v>CONECTOR TERMINAL CU PARA CABLE N 4</v>
      </c>
      <c r="C16842" s="76"/>
      <c r="D16842" s="50" t="str">
        <f>IFERROR(VLOOKUP(A16842,Material!$A:$H,4,0),"-")</f>
        <v>UN</v>
      </c>
      <c r="E16842" s="50">
        <v>8</v>
      </c>
      <c r="F16842" s="51">
        <f>IFERROR(VLOOKUP(A16842,Material!$A:$H,3,0),"-")</f>
        <v>1885</v>
      </c>
      <c r="G16842" s="51">
        <f t="shared" si="236"/>
        <v>15080</v>
      </c>
    </row>
    <row r="16843" spans="1:7" x14ac:dyDescent="0.25">
      <c r="A16843" s="17"/>
      <c r="B16843" s="72" t="str">
        <f>IFERROR(VLOOKUP(A16843,Material!$A:$H,2,0),"-")</f>
        <v>-</v>
      </c>
      <c r="C16843" s="76"/>
      <c r="D16843" s="50" t="str">
        <f>IFERROR(VLOOKUP(A16843,Material!$A:$H,4,0),"-")</f>
        <v>-</v>
      </c>
      <c r="E16843" s="50"/>
      <c r="F16843" s="51" t="str">
        <f>IFERROR(VLOOKUP(A16843,Material!$A:$H,3,0),"-")</f>
        <v>-</v>
      </c>
      <c r="G16843" s="51" t="str">
        <f t="shared" si="236"/>
        <v>-</v>
      </c>
    </row>
    <row r="16844" spans="1:7" x14ac:dyDescent="0.25">
      <c r="A16844" s="17"/>
      <c r="B16844" s="72" t="str">
        <f>IFERROR(VLOOKUP(A16844,Material!$A:$H,2,0),"-")</f>
        <v>-</v>
      </c>
      <c r="C16844" s="76"/>
      <c r="D16844" s="50" t="str">
        <f>IFERROR(VLOOKUP(A16844,Material!$A:$H,4,0),"-")</f>
        <v>-</v>
      </c>
      <c r="E16844" s="50"/>
      <c r="F16844" s="51" t="str">
        <f>IFERROR(VLOOKUP(A16844,Material!$A:$H,3,0),"-")</f>
        <v>-</v>
      </c>
      <c r="G16844" s="51" t="str">
        <f t="shared" si="236"/>
        <v>-</v>
      </c>
    </row>
    <row r="16845" spans="1:7" x14ac:dyDescent="0.25">
      <c r="A16845" s="17"/>
      <c r="B16845" s="72" t="str">
        <f>IFERROR(VLOOKUP(A16845,Material!$A:$H,2,0),"-")</f>
        <v>-</v>
      </c>
      <c r="C16845" s="76"/>
      <c r="D16845" s="50" t="str">
        <f>IFERROR(VLOOKUP(A16845,Material!$A:$H,4,0),"-")</f>
        <v>-</v>
      </c>
      <c r="E16845" s="50"/>
      <c r="F16845" s="51" t="str">
        <f>IFERROR(VLOOKUP(A16845,Material!$A:$H,3,0),"-")</f>
        <v>-</v>
      </c>
      <c r="G16845" s="51" t="str">
        <f t="shared" si="236"/>
        <v>-</v>
      </c>
    </row>
    <row r="16846" spans="1:7" x14ac:dyDescent="0.25">
      <c r="A16846" s="219" t="s">
        <v>41</v>
      </c>
      <c r="B16846" s="219"/>
      <c r="C16846" s="219"/>
      <c r="D16846" s="219"/>
      <c r="E16846" s="219"/>
      <c r="F16846" s="219"/>
      <c r="G16846" s="52">
        <f>SUM(G16839:G16845)</f>
        <v>62102455</v>
      </c>
    </row>
    <row r="16847" spans="1:7" x14ac:dyDescent="0.25">
      <c r="A16847" s="56"/>
      <c r="B16847" s="57"/>
      <c r="C16847" s="57"/>
      <c r="D16847" s="57"/>
      <c r="E16847" s="57"/>
      <c r="F16847" s="57"/>
      <c r="G16847" s="58"/>
    </row>
    <row r="16848" spans="1:7" x14ac:dyDescent="0.25">
      <c r="A16848" s="219" t="s">
        <v>42</v>
      </c>
      <c r="B16848" s="219"/>
      <c r="C16848" s="219"/>
      <c r="D16848" s="219"/>
      <c r="E16848" s="219"/>
      <c r="F16848" s="219"/>
      <c r="G16848" s="219"/>
    </row>
    <row r="16849" spans="1:7" x14ac:dyDescent="0.25">
      <c r="A16849" s="49" t="s">
        <v>35</v>
      </c>
      <c r="B16849" s="49" t="s">
        <v>36</v>
      </c>
      <c r="C16849" s="49" t="s">
        <v>38</v>
      </c>
      <c r="D16849" s="49" t="s">
        <v>43</v>
      </c>
      <c r="E16849" s="49" t="s">
        <v>44</v>
      </c>
      <c r="F16849" s="49" t="s">
        <v>45</v>
      </c>
      <c r="G16849" s="49" t="s">
        <v>40</v>
      </c>
    </row>
    <row r="16850" spans="1:7" x14ac:dyDescent="0.25">
      <c r="A16850" s="50" t="s">
        <v>319</v>
      </c>
      <c r="B16850" s="68" t="str">
        <f>VLOOKUP(A16850,'Componentes APUs'!$H$1:$L$25,2,0)</f>
        <v>Ingeniero Residente de Obra</v>
      </c>
      <c r="C16850" s="93">
        <v>0.25</v>
      </c>
      <c r="D16850" s="50">
        <f>VLOOKUP(A16850,'Componentes APUs'!$H$1:$L$25,3,0)</f>
        <v>4</v>
      </c>
      <c r="E16850" s="51">
        <f>VLOOKUP(A16850,'Componentes APUs'!$H$1:$L$25,4,0)</f>
        <v>271142.85714285716</v>
      </c>
      <c r="F16850" s="51">
        <f>VLOOKUP(A16850,'Componentes APUs'!$H$1:$L$25,5,0)</f>
        <v>162685.71428571429</v>
      </c>
      <c r="G16850" s="51">
        <f>ROUNDUP((E16850+F16850)*C16850/E16836,0)</f>
        <v>54229</v>
      </c>
    </row>
    <row r="16851" spans="1:7" x14ac:dyDescent="0.25">
      <c r="A16851" s="50" t="s">
        <v>320</v>
      </c>
      <c r="B16851" s="68" t="str">
        <f>VLOOKUP(A16851,'Componentes APUs'!$H$1:$L$25,2,0)</f>
        <v>Tecnico Supervisor</v>
      </c>
      <c r="C16851" s="93">
        <v>0.25</v>
      </c>
      <c r="D16851" s="50">
        <f>VLOOKUP(A16851,'Componentes APUs'!$H$1:$L$25,3,0)</f>
        <v>2.2999999999999998</v>
      </c>
      <c r="E16851" s="51">
        <f>VLOOKUP(A16851,'Componentes APUs'!$H$1:$L$25,4,0)</f>
        <v>155907.14285714284</v>
      </c>
      <c r="F16851" s="51">
        <f>VLOOKUP(A16851,'Componentes APUs'!$H$1:$L$25,5,0)</f>
        <v>93544.285714285696</v>
      </c>
      <c r="G16851" s="51">
        <f>ROUNDUP((E16851+F16851)*C16851/E16836,0)</f>
        <v>31182</v>
      </c>
    </row>
    <row r="16852" spans="1:7" x14ac:dyDescent="0.25">
      <c r="A16852" s="50" t="s">
        <v>1160</v>
      </c>
      <c r="B16852" s="68" t="str">
        <f>VLOOKUP(A16852,'Componentes APUs'!$H$1:$L$25,2,0)</f>
        <v>Oficial Eléctrico</v>
      </c>
      <c r="C16852" s="93">
        <v>2</v>
      </c>
      <c r="D16852" s="50">
        <f>VLOOKUP(A16852,'Componentes APUs'!$H$1:$L$25,3,0)</f>
        <v>2</v>
      </c>
      <c r="E16852" s="51">
        <f>VLOOKUP(A16852,'Componentes APUs'!$H$1:$L$25,4,0)</f>
        <v>154619.04761904763</v>
      </c>
      <c r="F16852" s="51">
        <f>VLOOKUP(A16852,'Componentes APUs'!$H$1:$L$25,5,0)</f>
        <v>92771.42857142858</v>
      </c>
      <c r="G16852" s="51">
        <f>ROUNDUP((E16852+F16852)*C16852/E16836,0)</f>
        <v>247391</v>
      </c>
    </row>
    <row r="16853" spans="1:7" x14ac:dyDescent="0.25">
      <c r="A16853" s="50" t="s">
        <v>48</v>
      </c>
      <c r="B16853" s="68" t="str">
        <f>VLOOKUP(A16853,'Componentes APUs'!$H$1:$L$25,2,0)</f>
        <v>Ayudante Calificado</v>
      </c>
      <c r="C16853" s="93">
        <v>2</v>
      </c>
      <c r="D16853" s="50">
        <f>VLOOKUP(A16853,'Componentes APUs'!$H$1:$L$25,3,0)</f>
        <v>1.5</v>
      </c>
      <c r="E16853" s="51">
        <f>VLOOKUP(A16853,'Componentes APUs'!$H$1:$L$25,4,0)</f>
        <v>115964.28571428571</v>
      </c>
      <c r="F16853" s="51">
        <f>VLOOKUP(A16853,'Componentes APUs'!$H$1:$L$25,5,0)</f>
        <v>69578.57142857142</v>
      </c>
      <c r="G16853" s="51">
        <f>ROUNDUP((E16853+F16853)*C16853/E16836,0)</f>
        <v>185543</v>
      </c>
    </row>
    <row r="16854" spans="1:7" x14ac:dyDescent="0.25">
      <c r="A16854" s="50" t="s">
        <v>50</v>
      </c>
      <c r="B16854" s="68" t="str">
        <f>VLOOKUP(A16854,'Componentes APUs'!$H$1:$L$25,2,0)</f>
        <v>Profesional en SST</v>
      </c>
      <c r="C16854" s="93">
        <v>0.25</v>
      </c>
      <c r="D16854" s="50">
        <f>VLOOKUP(A16854,'Componentes APUs'!$H$1:$L$25,3,0)</f>
        <v>2.5</v>
      </c>
      <c r="E16854" s="51">
        <f>VLOOKUP(A16854,'Componentes APUs'!$H$1:$L$25,4,0)</f>
        <v>169464.28571428571</v>
      </c>
      <c r="F16854" s="51">
        <f>VLOOKUP(A16854,'Componentes APUs'!$H$1:$L$25,5,0)</f>
        <v>101678.57142857142</v>
      </c>
      <c r="G16854" s="51">
        <f>ROUNDUP((E16854+F16854)*C16854/E16836,0)</f>
        <v>33893</v>
      </c>
    </row>
    <row r="16855" spans="1:7" x14ac:dyDescent="0.25">
      <c r="A16855" s="50" t="s">
        <v>52</v>
      </c>
      <c r="B16855" s="68" t="str">
        <f>VLOOKUP(A16855,'Componentes APUs'!$H$1:$L$25,2,0)</f>
        <v>Ayudante No Calificado</v>
      </c>
      <c r="C16855" s="93">
        <v>0</v>
      </c>
      <c r="D16855" s="50">
        <f>VLOOKUP(A16855,'Componentes APUs'!$H$1:$L$25,3,0)</f>
        <v>1</v>
      </c>
      <c r="E16855" s="51">
        <f>VLOOKUP(A16855,'Componentes APUs'!$H$1:$L$25,4,0)</f>
        <v>77309.523809523816</v>
      </c>
      <c r="F16855" s="51">
        <f>VLOOKUP(A16855,'Componentes APUs'!$H$1:$L$25,5,0)</f>
        <v>46385.71428571429</v>
      </c>
      <c r="G16855" s="51">
        <f>ROUNDUP((E16855+F16855)*C16855/E16836,0)</f>
        <v>0</v>
      </c>
    </row>
    <row r="16856" spans="1:7" x14ac:dyDescent="0.25">
      <c r="A16856" s="219" t="s">
        <v>56</v>
      </c>
      <c r="B16856" s="219"/>
      <c r="C16856" s="219"/>
      <c r="D16856" s="219"/>
      <c r="E16856" s="219"/>
      <c r="F16856" s="219"/>
      <c r="G16856" s="52">
        <f>SUM(G16850:G16855)</f>
        <v>552238</v>
      </c>
    </row>
    <row r="16857" spans="1:7" x14ac:dyDescent="0.25">
      <c r="A16857" s="56"/>
      <c r="B16857" s="57"/>
      <c r="C16857" s="57"/>
      <c r="D16857" s="57"/>
      <c r="E16857" s="57"/>
      <c r="F16857" s="57"/>
      <c r="G16857" s="58"/>
    </row>
    <row r="16858" spans="1:7" x14ac:dyDescent="0.25">
      <c r="A16858" s="219" t="s">
        <v>57</v>
      </c>
      <c r="B16858" s="219"/>
      <c r="C16858" s="219"/>
      <c r="D16858" s="219"/>
      <c r="E16858" s="219"/>
      <c r="F16858" s="219"/>
      <c r="G16858" s="219"/>
    </row>
    <row r="16859" spans="1:7" x14ac:dyDescent="0.25">
      <c r="A16859" s="49" t="s">
        <v>35</v>
      </c>
      <c r="B16859" s="219" t="s">
        <v>36</v>
      </c>
      <c r="C16859" s="219"/>
      <c r="D16859" s="49" t="s">
        <v>37</v>
      </c>
      <c r="E16859" s="49" t="s">
        <v>38</v>
      </c>
      <c r="F16859" s="49" t="s">
        <v>39</v>
      </c>
      <c r="G16859" s="49" t="s">
        <v>40</v>
      </c>
    </row>
    <row r="16860" spans="1:7" x14ac:dyDescent="0.25">
      <c r="A16860" s="50" t="s">
        <v>326</v>
      </c>
      <c r="B16860" s="220" t="str">
        <f>VLOOKUP(A16860,'Componentes APUs'!$S$1:$V$10,2,0)</f>
        <v>Juego Llaves</v>
      </c>
      <c r="C16860" s="220"/>
      <c r="D16860" s="50" t="s">
        <v>18</v>
      </c>
      <c r="E16860" s="50">
        <v>2</v>
      </c>
      <c r="F16860" s="51">
        <f>VLOOKUP(A16860,'Componentes APUs'!$S$1:$V$10,4,0)</f>
        <v>9167</v>
      </c>
      <c r="G16860" s="51">
        <f>ROUNDUP(F16860*((E16860/21)/E16836),0)</f>
        <v>437</v>
      </c>
    </row>
    <row r="16861" spans="1:7" x14ac:dyDescent="0.25">
      <c r="A16861" s="50" t="s">
        <v>58</v>
      </c>
      <c r="B16861" s="220" t="str">
        <f>VLOOKUP(A16861,'Componentes APUs'!$S$1:$V$10,2,0)</f>
        <v>Manila de servicio</v>
      </c>
      <c r="C16861" s="220"/>
      <c r="D16861" s="50" t="s">
        <v>18</v>
      </c>
      <c r="E16861" s="50">
        <v>2</v>
      </c>
      <c r="F16861" s="51">
        <f>VLOOKUP(A16861,'Componentes APUs'!$S$1:$V$10,4,0)</f>
        <v>2333</v>
      </c>
      <c r="G16861" s="51">
        <f>ROUNDUP(F16861*((E16861/21)/E16836),0)</f>
        <v>112</v>
      </c>
    </row>
    <row r="16862" spans="1:7" x14ac:dyDescent="0.25">
      <c r="A16862" s="50" t="s">
        <v>327</v>
      </c>
      <c r="B16862" s="220" t="str">
        <f>VLOOKUP(A16862,'Componentes APUs'!$S$1:$V$10,2,0)</f>
        <v>Tula portaherramientas</v>
      </c>
      <c r="C16862" s="220"/>
      <c r="D16862" s="50" t="s">
        <v>18</v>
      </c>
      <c r="E16862" s="50">
        <v>2</v>
      </c>
      <c r="F16862" s="51">
        <f>VLOOKUP(A16862,'Componentes APUs'!$S$1:$V$10,4,0)</f>
        <v>1250</v>
      </c>
      <c r="G16862" s="51">
        <f>ROUNDUP(F16862*((E16862/21)/E16836),0)</f>
        <v>60</v>
      </c>
    </row>
    <row r="16863" spans="1:7" x14ac:dyDescent="0.25">
      <c r="A16863" s="50" t="s">
        <v>60</v>
      </c>
      <c r="B16863" s="220" t="str">
        <f>VLOOKUP(A16863,'Componentes APUs'!$S$1:$V$10,2,0)</f>
        <v>Agarradoras</v>
      </c>
      <c r="C16863" s="220"/>
      <c r="D16863" s="50" t="s">
        <v>18</v>
      </c>
      <c r="E16863" s="50">
        <v>1</v>
      </c>
      <c r="F16863" s="51">
        <f>VLOOKUP(A16863,'Componentes APUs'!$S$1:$V$10,4,0)</f>
        <v>125000</v>
      </c>
      <c r="G16863" s="51">
        <f>ROUNDUP(F16863*((E16863/21)/E16836),0)</f>
        <v>2977</v>
      </c>
    </row>
    <row r="16864" spans="1:7" x14ac:dyDescent="0.25">
      <c r="A16864" s="50" t="s">
        <v>62</v>
      </c>
      <c r="B16864" s="220" t="str">
        <f>VLOOKUP(A16864,'Componentes APUs'!$S$1:$V$10,2,0)</f>
        <v>Templadoras</v>
      </c>
      <c r="C16864" s="220"/>
      <c r="D16864" s="50" t="s">
        <v>18</v>
      </c>
      <c r="E16864" s="50">
        <v>1</v>
      </c>
      <c r="F16864" s="51">
        <f>VLOOKUP(A16864,'Componentes APUs'!$S$1:$V$10,4,0)</f>
        <v>250000</v>
      </c>
      <c r="G16864" s="51">
        <f>ROUNDUP(F16864*((E16864/21)/E16836),0)</f>
        <v>5953</v>
      </c>
    </row>
    <row r="16865" spans="1:7" x14ac:dyDescent="0.25">
      <c r="A16865" s="50" t="s">
        <v>328</v>
      </c>
      <c r="B16865" s="220" t="str">
        <f>VLOOKUP(A16865,'Componentes APUs'!$S$1:$V$10,2,0)</f>
        <v>Herramienta Menor</v>
      </c>
      <c r="C16865" s="220"/>
      <c r="D16865" s="50" t="s">
        <v>18</v>
      </c>
      <c r="E16865" s="50">
        <v>2</v>
      </c>
      <c r="F16865" s="51">
        <f>VLOOKUP(A16865,'Componentes APUs'!$S$1:$V$10,4,0)</f>
        <v>75758</v>
      </c>
      <c r="G16865" s="51">
        <f>ROUNDUP(F16865*((E16865/21)/E16836),0)</f>
        <v>3608</v>
      </c>
    </row>
    <row r="16866" spans="1:7" x14ac:dyDescent="0.25">
      <c r="A16866" s="50" t="s">
        <v>66</v>
      </c>
      <c r="B16866" s="220" t="str">
        <f>VLOOKUP(A16866,'Componentes APUs'!$S$1:$V$10,2,0)</f>
        <v>Diferencial 2 Toneladas</v>
      </c>
      <c r="C16866" s="220"/>
      <c r="D16866" s="50" t="s">
        <v>18</v>
      </c>
      <c r="E16866" s="50">
        <v>1</v>
      </c>
      <c r="F16866" s="51">
        <f>VLOOKUP(A16866,'Componentes APUs'!$S$1:$V$10,4,0)</f>
        <v>474905</v>
      </c>
      <c r="G16866" s="51">
        <f>ROUNDUP(F16866*((E16866/21)/E16836),0)</f>
        <v>11308</v>
      </c>
    </row>
    <row r="16867" spans="1:7" x14ac:dyDescent="0.25">
      <c r="A16867" s="219" t="s">
        <v>69</v>
      </c>
      <c r="B16867" s="219"/>
      <c r="C16867" s="219"/>
      <c r="D16867" s="219"/>
      <c r="E16867" s="219"/>
      <c r="F16867" s="219"/>
      <c r="G16867" s="52">
        <f>SUM(G16860:G16866)</f>
        <v>24455</v>
      </c>
    </row>
    <row r="16868" spans="1:7" x14ac:dyDescent="0.25">
      <c r="A16868" s="56"/>
      <c r="B16868" s="57"/>
      <c r="C16868" s="57"/>
      <c r="D16868" s="57"/>
      <c r="E16868" s="57"/>
      <c r="F16868" s="57"/>
      <c r="G16868" s="58"/>
    </row>
    <row r="16869" spans="1:7" x14ac:dyDescent="0.25">
      <c r="A16869" s="219" t="s">
        <v>70</v>
      </c>
      <c r="B16869" s="219"/>
      <c r="C16869" s="219"/>
      <c r="D16869" s="219"/>
      <c r="E16869" s="219"/>
      <c r="F16869" s="219"/>
      <c r="G16869" s="219"/>
    </row>
    <row r="16870" spans="1:7" x14ac:dyDescent="0.25">
      <c r="A16870" s="49" t="s">
        <v>35</v>
      </c>
      <c r="B16870" s="219" t="s">
        <v>36</v>
      </c>
      <c r="C16870" s="219"/>
      <c r="D16870" s="49" t="s">
        <v>37</v>
      </c>
      <c r="E16870" s="49" t="s">
        <v>38</v>
      </c>
      <c r="F16870" s="49" t="s">
        <v>39</v>
      </c>
      <c r="G16870" s="49" t="s">
        <v>40</v>
      </c>
    </row>
    <row r="16871" spans="1:7" x14ac:dyDescent="0.25">
      <c r="A16871" s="50" t="s">
        <v>71</v>
      </c>
      <c r="B16871" s="71" t="str">
        <f>VLOOKUP(A16871,'Componentes APUs'!$A$1:$D$14,2,0)</f>
        <v>Camisa indigo sin partes metalicas</v>
      </c>
      <c r="C16871" s="71"/>
      <c r="D16871" s="50" t="str">
        <f>VLOOKUP(A16871,'Componentes APUs'!$A$1:$D$14,3,0)</f>
        <v>U</v>
      </c>
      <c r="E16871" s="50">
        <f>SUM(C16850:C16855)</f>
        <v>4.75</v>
      </c>
      <c r="F16871" s="51">
        <f>VLOOKUP(A16871,'Componentes APUs'!$A$1:$D$14,4,0)</f>
        <v>8585.8585858585866</v>
      </c>
      <c r="G16871" s="51">
        <f>ROUNDUP(F16871*(E16871/21)/E16836,0)</f>
        <v>972</v>
      </c>
    </row>
    <row r="16872" spans="1:7" x14ac:dyDescent="0.25">
      <c r="A16872" s="69" t="s">
        <v>73</v>
      </c>
      <c r="B16872" s="72" t="str">
        <f>VLOOKUP(A16872,'Componentes APUs'!$A$1:$D$14,2,0)</f>
        <v>Bota de seguridad dielectrica</v>
      </c>
      <c r="C16872" s="73"/>
      <c r="D16872" s="70" t="str">
        <f>VLOOKUP(A16872,'Componentes APUs'!$A$1:$D$14,3,0)</f>
        <v>Par</v>
      </c>
      <c r="E16872" s="50">
        <f>SUM(C16850:C16855)</f>
        <v>4.75</v>
      </c>
      <c r="F16872" s="51">
        <f>VLOOKUP(A16872,'Componentes APUs'!$A$1:$D$14,4,0)</f>
        <v>7500</v>
      </c>
      <c r="G16872" s="51">
        <f>ROUNDUP(F16872*(E16872/21)/E16836,0)</f>
        <v>849</v>
      </c>
    </row>
    <row r="16873" spans="1:7" x14ac:dyDescent="0.25">
      <c r="A16873" s="50" t="s">
        <v>76</v>
      </c>
      <c r="B16873" s="72" t="str">
        <f>VLOOKUP(A16873,'Componentes APUs'!$A$1:$D$14,2,0)</f>
        <v>Casco dielectrico Tipo 1 Clase E con barbuquejo</v>
      </c>
      <c r="C16873" s="73"/>
      <c r="D16873" s="50" t="str">
        <f>VLOOKUP(A16873,'Componentes APUs'!$A$1:$D$14,3,0)</f>
        <v>U</v>
      </c>
      <c r="E16873" s="50">
        <f>C16850+C16851+C16854+C16855+C16853+IF(A16852&lt;&gt;"MO-3",C16852,0)</f>
        <v>4.75</v>
      </c>
      <c r="F16873" s="51">
        <f>VLOOKUP(A16873,'Componentes APUs'!$A$1:$D$14,4,0)</f>
        <v>10101.010101010101</v>
      </c>
      <c r="G16873" s="51">
        <f>ROUNDUP(F16873*(E16873/21)/E16836,0)</f>
        <v>1143</v>
      </c>
    </row>
    <row r="16874" spans="1:7" x14ac:dyDescent="0.25">
      <c r="A16874" s="69" t="s">
        <v>77</v>
      </c>
      <c r="B16874" s="72" t="str">
        <f>VLOOKUP(A16874,'Componentes APUs'!$A$1:$D$14,2,0)</f>
        <v>Correa plastica y antiflama</v>
      </c>
      <c r="C16874" s="73"/>
      <c r="D16874" s="50" t="str">
        <f>VLOOKUP(A16874,'Componentes APUs'!$A$1:$D$14,3,0)</f>
        <v>U</v>
      </c>
      <c r="E16874" s="50">
        <f>SUM(C16850:C16855)</f>
        <v>4.75</v>
      </c>
      <c r="F16874" s="51">
        <f>VLOOKUP(A16874,'Componentes APUs'!$A$1:$D$14,4,0)</f>
        <v>3787.878787878788</v>
      </c>
      <c r="G16874" s="51">
        <f>ROUNDUP(F16874*(E16874/21)/E16836,0)</f>
        <v>429</v>
      </c>
    </row>
    <row r="16875" spans="1:7" x14ac:dyDescent="0.25">
      <c r="A16875" s="50" t="s">
        <v>79</v>
      </c>
      <c r="B16875" s="72" t="str">
        <f>VLOOKUP(A16875,'Componentes APUs'!$A$1:$D$14,2,0)</f>
        <v>Gafas protectoras filtro UV</v>
      </c>
      <c r="C16875" s="73"/>
      <c r="D16875" s="50" t="str">
        <f>VLOOKUP(A16875,'Componentes APUs'!$A$1:$D$14,3,0)</f>
        <v>U</v>
      </c>
      <c r="E16875" s="50">
        <f>SUM(C16850:C16855)</f>
        <v>4.75</v>
      </c>
      <c r="F16875" s="51">
        <f>VLOOKUP(A16875,'Componentes APUs'!$A$1:$D$14,4,0)</f>
        <v>2777.7777777777778</v>
      </c>
      <c r="G16875" s="51">
        <f>ROUNDUP(F16875*(E16875/21)/E16836,0)</f>
        <v>315</v>
      </c>
    </row>
    <row r="16876" spans="1:7" x14ac:dyDescent="0.25">
      <c r="A16876" s="69" t="s">
        <v>402</v>
      </c>
      <c r="B16876" s="72" t="str">
        <f>VLOOKUP(A16876,'Componentes APUs'!$A$1:$D$14,2,0)</f>
        <v>Bota de seguridad PVC dielectrica</v>
      </c>
      <c r="C16876" s="73"/>
      <c r="D16876" s="50" t="str">
        <f>VLOOKUP(A16876,'Componentes APUs'!$A$1:$D$14,3,0)</f>
        <v>Par</v>
      </c>
      <c r="E16876" s="50">
        <f>SUM(C16850:C16855)</f>
        <v>4.75</v>
      </c>
      <c r="F16876" s="51">
        <f>VLOOKUP(A16876,'Componentes APUs'!$A$1:$D$14,4,0)</f>
        <v>2916.6666666666665</v>
      </c>
      <c r="G16876" s="51">
        <f>ROUNDUP(F16876*(E16876/21)/E16836,0)</f>
        <v>330</v>
      </c>
    </row>
    <row r="16877" spans="1:7" x14ac:dyDescent="0.25">
      <c r="A16877" s="50" t="s">
        <v>403</v>
      </c>
      <c r="B16877" s="72" t="str">
        <f>VLOOKUP(A16877,'Componentes APUs'!$A$1:$D$14,2,0)</f>
        <v>Capuchon</v>
      </c>
      <c r="C16877" s="73"/>
      <c r="D16877" s="50" t="str">
        <f>VLOOKUP(A16877,'Componentes APUs'!$A$1:$D$14,3,0)</f>
        <v>U</v>
      </c>
      <c r="E16877" s="50">
        <f>SUM(C16850:C16855)</f>
        <v>4.75</v>
      </c>
      <c r="F16877" s="51">
        <f>VLOOKUP(A16877,'Componentes APUs'!$A$1:$D$14,4,0)</f>
        <v>2525.2525252525252</v>
      </c>
      <c r="G16877" s="51">
        <f>ROUNDUP(F16877*(E16877/21)/E16836,0)</f>
        <v>286</v>
      </c>
    </row>
    <row r="16878" spans="1:7" x14ac:dyDescent="0.25">
      <c r="A16878" s="69" t="s">
        <v>81</v>
      </c>
      <c r="B16878" s="72" t="str">
        <f>VLOOKUP(A16878,'Componentes APUs'!$A$1:$D$14,2,0)</f>
        <v>Guantes Protectores  - ingeniero reforzados</v>
      </c>
      <c r="C16878" s="73"/>
      <c r="D16878" s="50" t="str">
        <f>VLOOKUP(A16878,'Componentes APUs'!$A$1:$D$14,3,0)</f>
        <v>Par</v>
      </c>
      <c r="E16878" s="50">
        <f>C16852+C16853+C16855</f>
        <v>4</v>
      </c>
      <c r="F16878" s="51">
        <f>VLOOKUP(A16878,'Componentes APUs'!$A$1:$D$14,4,0)</f>
        <v>2525.2525252525252</v>
      </c>
      <c r="G16878" s="51">
        <f>ROUNDUP(F16878*(E16878/21)/E16836,0)</f>
        <v>241</v>
      </c>
    </row>
    <row r="16879" spans="1:7" x14ac:dyDescent="0.25">
      <c r="A16879" s="50" t="s">
        <v>83</v>
      </c>
      <c r="B16879" s="72" t="str">
        <f>VLOOKUP(A16879,'Componentes APUs'!$A$1:$D$14,2,0)</f>
        <v>Impermeable (pantalon camisa)</v>
      </c>
      <c r="C16879" s="73"/>
      <c r="D16879" s="50" t="str">
        <f>VLOOKUP(A16879,'Componentes APUs'!$A$1:$D$14,3,0)</f>
        <v>U</v>
      </c>
      <c r="E16879" s="50">
        <f>SUM(C16850:C16855)</f>
        <v>4.75</v>
      </c>
      <c r="F16879" s="51">
        <f>VLOOKUP(A16879,'Componentes APUs'!$A$1:$D$14,4,0)</f>
        <v>3750</v>
      </c>
      <c r="G16879" s="51">
        <f>ROUNDUP(F16879*(E16879/21)/E16836,0)</f>
        <v>425</v>
      </c>
    </row>
    <row r="16880" spans="1:7" x14ac:dyDescent="0.25">
      <c r="A16880" s="69" t="s">
        <v>85</v>
      </c>
      <c r="B16880" s="72" t="str">
        <f>VLOOKUP(A16880,'Componentes APUs'!$A$1:$D$14,2,0)</f>
        <v>Jean Dielectrico</v>
      </c>
      <c r="C16880" s="73"/>
      <c r="D16880" s="50" t="str">
        <f>VLOOKUP(A16880,'Componentes APUs'!$A$1:$D$14,3,0)</f>
        <v>U</v>
      </c>
      <c r="E16880" s="50">
        <f>SUM(C16850:C16855)</f>
        <v>4.75</v>
      </c>
      <c r="F16880" s="51">
        <f>VLOOKUP(A16880,'Componentes APUs'!$A$1:$D$14,4,0)</f>
        <v>7575.757575757576</v>
      </c>
      <c r="G16880" s="51">
        <f>ROUNDUP(F16880*(E16880/21)/E16836,0)</f>
        <v>857</v>
      </c>
    </row>
    <row r="16881" spans="1:7" x14ac:dyDescent="0.25">
      <c r="A16881" s="50" t="s">
        <v>87</v>
      </c>
      <c r="B16881" s="72" t="str">
        <f>VLOOKUP(A16881,'Componentes APUs'!$A$1:$D$14,2,0)</f>
        <v>Casco dielectrico Tipo 2 Clase E con barboquejo</v>
      </c>
      <c r="C16881" s="73"/>
      <c r="D16881" s="50" t="str">
        <f>VLOOKUP(A16881,'Componentes APUs'!$A$1:$D$14,3,0)</f>
        <v>U</v>
      </c>
      <c r="E16881" s="53">
        <f>IF(A16852="MO-3",C16852,0)</f>
        <v>0</v>
      </c>
      <c r="F16881" s="51">
        <f>VLOOKUP(A16881,'Componentes APUs'!$A$1:$D$14,4,0)</f>
        <v>7500</v>
      </c>
      <c r="G16881" s="51">
        <f>ROUNDUP(F16881*(E16881/21)/E16836,0)</f>
        <v>0</v>
      </c>
    </row>
    <row r="16882" spans="1:7" x14ac:dyDescent="0.25">
      <c r="A16882" s="69" t="s">
        <v>89</v>
      </c>
      <c r="B16882" s="72" t="str">
        <f>VLOOKUP(A16882,'Componentes APUs'!$A$1:$D$14,2,0)</f>
        <v>Kit de rescate para trabajo en alturas</v>
      </c>
      <c r="C16882" s="73"/>
      <c r="D16882" s="50" t="str">
        <f>VLOOKUP(A16882,'Componentes APUs'!$A$1:$D$14,3,0)</f>
        <v>U</v>
      </c>
      <c r="E16882" s="50">
        <f>IF(AND(A16852="MO-3",C16852=2),1,0)</f>
        <v>0</v>
      </c>
      <c r="F16882" s="51">
        <f>VLOOKUP(A16882,'Componentes APUs'!$A$1:$D$14,4,0)</f>
        <v>37500</v>
      </c>
      <c r="G16882" s="51">
        <f>ROUNDUP(F16882*(E16882/21)/E16836,0)</f>
        <v>0</v>
      </c>
    </row>
    <row r="16883" spans="1:7" x14ac:dyDescent="0.25">
      <c r="A16883" s="50" t="s">
        <v>91</v>
      </c>
      <c r="B16883" s="72" t="str">
        <f>VLOOKUP(A16883,'Componentes APUs'!$A$1:$D$14,2,0)</f>
        <v>Equipo completo para trabajo en alturas con pretales (Arnes dielectrico, 1 mosqueton de seguridad, tie off dielectrico, eslinga de posicionamiento, juego de pretales)</v>
      </c>
      <c r="C16883" s="73"/>
      <c r="D16883" s="50" t="str">
        <f>VLOOKUP(A16883,'Componentes APUs'!$A$1:$D$14,3,0)</f>
        <v>U</v>
      </c>
      <c r="E16883" s="50">
        <f>IF(A16852="MO-3",C16852,0)</f>
        <v>0</v>
      </c>
      <c r="F16883" s="51">
        <f>VLOOKUP(A16883,'Componentes APUs'!$A$1:$D$14,4,0)</f>
        <v>26041.666666666668</v>
      </c>
      <c r="G16883" s="51">
        <f>ROUNDUP(F16883*(E16883/21)/E16836,0)</f>
        <v>0</v>
      </c>
    </row>
    <row r="16884" spans="1:7" x14ac:dyDescent="0.25">
      <c r="A16884" s="219" t="s">
        <v>95</v>
      </c>
      <c r="B16884" s="219"/>
      <c r="C16884" s="219"/>
      <c r="D16884" s="219"/>
      <c r="E16884" s="219"/>
      <c r="F16884" s="219"/>
      <c r="G16884" s="52">
        <f>SUM(G16871:G16883)</f>
        <v>5847</v>
      </c>
    </row>
    <row r="16885" spans="1:7" x14ac:dyDescent="0.25">
      <c r="A16885" s="56"/>
      <c r="B16885" s="57"/>
      <c r="C16885" s="57"/>
      <c r="D16885" s="57"/>
      <c r="E16885" s="57"/>
      <c r="F16885" s="57"/>
      <c r="G16885" s="58"/>
    </row>
    <row r="16886" spans="1:7" x14ac:dyDescent="0.25">
      <c r="A16886" s="219" t="s">
        <v>96</v>
      </c>
      <c r="B16886" s="219"/>
      <c r="C16886" s="219"/>
      <c r="D16886" s="219"/>
      <c r="E16886" s="219"/>
      <c r="F16886" s="219"/>
      <c r="G16886" s="219"/>
    </row>
    <row r="16887" spans="1:7" x14ac:dyDescent="0.25">
      <c r="A16887" s="49" t="s">
        <v>35</v>
      </c>
      <c r="B16887" s="225" t="s">
        <v>36</v>
      </c>
      <c r="C16887" s="225"/>
      <c r="D16887" s="49" t="s">
        <v>37</v>
      </c>
      <c r="E16887" s="49" t="s">
        <v>38</v>
      </c>
      <c r="F16887" s="49" t="s">
        <v>39</v>
      </c>
      <c r="G16887" s="49" t="s">
        <v>40</v>
      </c>
    </row>
    <row r="16888" spans="1:7" x14ac:dyDescent="0.25">
      <c r="A16888" s="69" t="s">
        <v>97</v>
      </c>
      <c r="B16888" s="72" t="str">
        <f>VLOOKUP(A16888,'Componentes APUs'!$N$1:$Q$30,2,0)</f>
        <v>Camioneta</v>
      </c>
      <c r="C16888" s="73"/>
      <c r="D16888" s="70" t="str">
        <f>VLOOKUP(A16888,'Componentes APUs'!$N$1:$Q$30,3,0)</f>
        <v>U</v>
      </c>
      <c r="E16888" s="50">
        <v>1</v>
      </c>
      <c r="F16888" s="51">
        <f>VLOOKUP(A16888,'Componentes APUs'!$N$1:$Q$30,4,0)</f>
        <v>5500000</v>
      </c>
      <c r="G16888" s="51">
        <f>IFERROR(ROUNDUP(F16888*(E16888/21)/E16836,0),0)</f>
        <v>130953</v>
      </c>
    </row>
    <row r="16889" spans="1:7" x14ac:dyDescent="0.25">
      <c r="A16889" s="50" t="s">
        <v>321</v>
      </c>
      <c r="B16889" s="72" t="str">
        <f>VLOOKUP(A16889,'Componentes APUs'!$N$1:$Q$30,2,0)</f>
        <v>Grúa Hidráulica</v>
      </c>
      <c r="C16889" s="73"/>
      <c r="D16889" s="70" t="str">
        <f>VLOOKUP(A16889,'Componentes APUs'!$N$1:$Q$30,3,0)</f>
        <v>U</v>
      </c>
      <c r="E16889" s="50">
        <v>1</v>
      </c>
      <c r="F16889" s="51">
        <f>VLOOKUP(A16889,'Componentes APUs'!$N$1:$Q$30,4,0)</f>
        <v>21000000</v>
      </c>
      <c r="G16889" s="51">
        <f>IFERROR(ROUNDUP(F16889*(E16889/21)/E16836,0),0)</f>
        <v>500000</v>
      </c>
    </row>
    <row r="16890" spans="1:7" x14ac:dyDescent="0.25">
      <c r="A16890" s="69" t="s">
        <v>322</v>
      </c>
      <c r="B16890" s="72" t="str">
        <f>VLOOKUP(A16890,'Componentes APUs'!$N$1:$Q$30,2,0)</f>
        <v>Camabaja</v>
      </c>
      <c r="C16890" s="73"/>
      <c r="D16890" s="70" t="str">
        <f>VLOOKUP(A16890,'Componentes APUs'!$N$1:$Q$30,3,0)</f>
        <v>TON/KM</v>
      </c>
      <c r="E16890" s="50">
        <v>0</v>
      </c>
      <c r="F16890" s="51">
        <f>VLOOKUP(A16890,'Componentes APUs'!$N$1:$Q$30,4,0)</f>
        <v>611</v>
      </c>
      <c r="G16890" s="51">
        <f>IFERROR(ROUNDUP(F16890*(E16890/21)/E16836,0),0)</f>
        <v>0</v>
      </c>
    </row>
    <row r="16891" spans="1:7" x14ac:dyDescent="0.25">
      <c r="A16891" s="50" t="s">
        <v>323</v>
      </c>
      <c r="B16891" s="72" t="str">
        <f>VLOOKUP(A16891,'Componentes APUs'!$N$1:$Q$30,2,0)</f>
        <v>Volqueta</v>
      </c>
      <c r="C16891" s="73"/>
      <c r="D16891" s="70" t="str">
        <f>VLOOKUP(A16891,'Componentes APUs'!$N$1:$Q$30,3,0)</f>
        <v>U</v>
      </c>
      <c r="E16891" s="50">
        <v>0</v>
      </c>
      <c r="F16891" s="51">
        <f>VLOOKUP(A16891,'Componentes APUs'!$N$1:$Q$30,4,0)</f>
        <v>14828184</v>
      </c>
      <c r="G16891" s="51">
        <f>IFERROR(ROUNDUP(F16891*(E16891/21)/E16836,0),0)</f>
        <v>0</v>
      </c>
    </row>
    <row r="16892" spans="1:7" x14ac:dyDescent="0.25">
      <c r="A16892" s="69" t="s">
        <v>324</v>
      </c>
      <c r="B16892" s="72" t="str">
        <f>VLOOKUP(A16892,'Componentes APUs'!$N$1:$Q$30,2,0)</f>
        <v>Retroexcavadora</v>
      </c>
      <c r="C16892" s="73"/>
      <c r="D16892" s="70" t="str">
        <f>VLOOKUP(A16892,'Componentes APUs'!$N$1:$Q$30,3,0)</f>
        <v>U</v>
      </c>
      <c r="E16892" s="50">
        <v>0</v>
      </c>
      <c r="F16892" s="51">
        <f>VLOOKUP(A16892,'Componentes APUs'!$N$1:$Q$30,4,0)</f>
        <v>46030656</v>
      </c>
      <c r="G16892" s="51">
        <f>IFERROR(ROUNDUP(F16892*(E16892/21)/E16836,0),0)</f>
        <v>0</v>
      </c>
    </row>
    <row r="16893" spans="1:7" x14ac:dyDescent="0.25">
      <c r="A16893" s="219" t="s">
        <v>99</v>
      </c>
      <c r="B16893" s="219"/>
      <c r="C16893" s="219"/>
      <c r="D16893" s="219"/>
      <c r="E16893" s="219"/>
      <c r="F16893" s="219"/>
      <c r="G16893" s="52">
        <f>SUM(G16888:G16892)</f>
        <v>630953</v>
      </c>
    </row>
    <row r="16894" spans="1:7" x14ac:dyDescent="0.25">
      <c r="A16894" s="56"/>
      <c r="B16894" s="57"/>
      <c r="C16894" s="57"/>
      <c r="D16894" s="57"/>
      <c r="E16894" s="57"/>
      <c r="F16894" s="57"/>
      <c r="G16894" s="58"/>
    </row>
    <row r="16895" spans="1:7" x14ac:dyDescent="0.25">
      <c r="A16895" s="219" t="s">
        <v>1516</v>
      </c>
      <c r="B16895" s="219"/>
      <c r="C16895" s="219"/>
      <c r="D16895" s="219"/>
      <c r="E16895" s="219"/>
      <c r="F16895" s="219"/>
      <c r="G16895" s="52">
        <f>G16893+G16884+G16867+G16856+G16846</f>
        <v>63315948</v>
      </c>
    </row>
    <row r="16896" spans="1:7" x14ac:dyDescent="0.25">
      <c r="A16896" s="59"/>
      <c r="B16896" s="60"/>
      <c r="C16896" s="60"/>
      <c r="D16896" s="60"/>
      <c r="E16896" s="57"/>
      <c r="F16896" s="57"/>
      <c r="G16896" s="58"/>
    </row>
    <row r="16897" spans="1:7" x14ac:dyDescent="0.25">
      <c r="A16897" s="64"/>
      <c r="D16897" s="55"/>
      <c r="E16897" s="49" t="s">
        <v>25</v>
      </c>
      <c r="F16897" s="54">
        <v>0.15</v>
      </c>
      <c r="G16897" s="51">
        <f>G16895*F16897</f>
        <v>9497392.1999999993</v>
      </c>
    </row>
    <row r="16898" spans="1:7" x14ac:dyDescent="0.25">
      <c r="A16898" s="64"/>
      <c r="D16898" s="55"/>
      <c r="E16898" s="49" t="s">
        <v>26</v>
      </c>
      <c r="F16898" s="54">
        <v>0.05</v>
      </c>
      <c r="G16898" s="51">
        <f>G16895*F16898</f>
        <v>3165797.4000000004</v>
      </c>
    </row>
    <row r="16899" spans="1:7" x14ac:dyDescent="0.25">
      <c r="A16899" s="61"/>
      <c r="B16899" s="65"/>
      <c r="C16899" s="65"/>
      <c r="D16899" s="62"/>
      <c r="E16899" s="49" t="s">
        <v>27</v>
      </c>
      <c r="F16899" s="54">
        <v>0.05</v>
      </c>
      <c r="G16899" s="51">
        <f>G16895*F16899</f>
        <v>3165797.4000000004</v>
      </c>
    </row>
    <row r="16900" spans="1:7" x14ac:dyDescent="0.25">
      <c r="A16900" s="61"/>
      <c r="B16900" s="62"/>
      <c r="C16900" s="62"/>
      <c r="D16900" s="62"/>
      <c r="E16900" s="62"/>
      <c r="F16900" s="62"/>
      <c r="G16900" s="63"/>
    </row>
    <row r="16901" spans="1:7" x14ac:dyDescent="0.25">
      <c r="A16901" s="219" t="s">
        <v>1517</v>
      </c>
      <c r="B16901" s="219"/>
      <c r="C16901" s="219"/>
      <c r="D16901" s="219"/>
      <c r="E16901" s="219"/>
      <c r="F16901" s="219"/>
      <c r="G16901" s="52">
        <f>G16895+G16897+G16898+G16899</f>
        <v>79144935.000000015</v>
      </c>
    </row>
    <row r="16902" spans="1:7" x14ac:dyDescent="0.25">
      <c r="A16902" s="59"/>
      <c r="B16902" s="60"/>
      <c r="C16902" s="60"/>
      <c r="D16902" s="60"/>
      <c r="E16902" s="57"/>
      <c r="F16902" s="57"/>
      <c r="G16902" s="58"/>
    </row>
    <row r="16903" spans="1:7" x14ac:dyDescent="0.25">
      <c r="A16903" s="64"/>
      <c r="D16903" s="55"/>
      <c r="E16903" s="49" t="s">
        <v>102</v>
      </c>
      <c r="F16903" s="49" t="s">
        <v>103</v>
      </c>
      <c r="G16903" s="51">
        <f>G16899*19%</f>
        <v>601501.50600000005</v>
      </c>
    </row>
    <row r="16904" spans="1:7" x14ac:dyDescent="0.25">
      <c r="A16904" s="61"/>
      <c r="B16904" s="62"/>
      <c r="C16904" s="62"/>
      <c r="D16904" s="62"/>
      <c r="E16904" s="57"/>
      <c r="F16904" s="57"/>
      <c r="G16904" s="58"/>
    </row>
    <row r="16905" spans="1:7" x14ac:dyDescent="0.25">
      <c r="A16905" s="219" t="s">
        <v>104</v>
      </c>
      <c r="B16905" s="219"/>
      <c r="C16905" s="219"/>
      <c r="D16905" s="219"/>
      <c r="E16905" s="219"/>
      <c r="F16905" s="219"/>
      <c r="G16905" s="52">
        <f>G16903+G16901</f>
        <v>79746436.506000012</v>
      </c>
    </row>
    <row r="16907" spans="1:7" x14ac:dyDescent="0.25">
      <c r="A16907" s="74" t="s">
        <v>29</v>
      </c>
      <c r="B16907" s="226" t="s">
        <v>30</v>
      </c>
      <c r="C16907" s="226"/>
      <c r="D16907" s="74" t="s">
        <v>31</v>
      </c>
      <c r="E16907" s="74" t="s">
        <v>32</v>
      </c>
      <c r="F16907" s="74" t="s">
        <v>189</v>
      </c>
      <c r="G16907" s="74" t="s">
        <v>33</v>
      </c>
    </row>
    <row r="16908" spans="1:7" ht="25.5" customHeight="1" x14ac:dyDescent="0.25">
      <c r="A16908" s="50" t="str">
        <f>Presupuesto!B332</f>
        <v>007_AUX</v>
      </c>
      <c r="B16908" s="220" t="str">
        <f>Presupuesto!C332</f>
        <v>SUMINISTRO E INSTALACIÓN DE ACOMETIDA BT EN CABLE  3X350F+1x350N THWN. INCLUYE TERMINALES</v>
      </c>
      <c r="C16908" s="220"/>
      <c r="D16908" s="50" t="s">
        <v>108</v>
      </c>
      <c r="E16908" s="50">
        <v>50</v>
      </c>
      <c r="F16908" s="50"/>
      <c r="G16908" s="51">
        <f>G16975</f>
        <v>1164936.74</v>
      </c>
    </row>
    <row r="16909" spans="1:7" x14ac:dyDescent="0.25">
      <c r="A16909" s="219" t="s">
        <v>34</v>
      </c>
      <c r="B16909" s="219"/>
      <c r="C16909" s="219"/>
      <c r="D16909" s="219"/>
      <c r="E16909" s="219"/>
      <c r="F16909" s="219"/>
      <c r="G16909" s="219"/>
    </row>
    <row r="16910" spans="1:7" x14ac:dyDescent="0.25">
      <c r="A16910" s="49" t="s">
        <v>35</v>
      </c>
      <c r="B16910" s="219" t="s">
        <v>36</v>
      </c>
      <c r="C16910" s="219"/>
      <c r="D16910" s="49" t="s">
        <v>37</v>
      </c>
      <c r="E16910" s="49" t="s">
        <v>38</v>
      </c>
      <c r="F16910" s="49" t="s">
        <v>39</v>
      </c>
      <c r="G16910" s="49" t="s">
        <v>40</v>
      </c>
    </row>
    <row r="16911" spans="1:7" x14ac:dyDescent="0.25">
      <c r="A16911" s="17" t="str">
        <f>Material!A427</f>
        <v>MA-426</v>
      </c>
      <c r="B16911" s="72" t="str">
        <f>IFERROR(VLOOKUP(A16911,Material!$A:$H,2,0),"-")</f>
        <v>CABLE 350 MCM KCMIL THHN/THWN-2 Cobre</v>
      </c>
      <c r="C16911" s="73"/>
      <c r="D16911" s="50" t="str">
        <f>IFERROR(VLOOKUP(A16911,Material!$A:$H,4,0),"-")</f>
        <v>ML</v>
      </c>
      <c r="E16911" s="50">
        <v>4</v>
      </c>
      <c r="F16911" s="51">
        <f>IFERROR(VLOOKUP(A16911,Material!$A:$H,3,0),"-")</f>
        <v>224330.6</v>
      </c>
      <c r="G16911" s="51">
        <f>IFERROR(ROUNDUP(F16911*E16911,0),"-")</f>
        <v>897323</v>
      </c>
    </row>
    <row r="16912" spans="1:7" x14ac:dyDescent="0.25">
      <c r="A16912" s="17" t="str">
        <f>Material!A428</f>
        <v>MA-427</v>
      </c>
      <c r="B16912" s="72" t="str">
        <f>IFERROR(VLOOKUP(A16912,Material!$A:$H,2,0),"-")</f>
        <v>CONECTOR TERMINAL CU PARA CABLE N 350 KCMIL</v>
      </c>
      <c r="C16912" s="76"/>
      <c r="D16912" s="50" t="str">
        <f>IFERROR(VLOOKUP(A16912,Material!$A:$H,4,0),"-")</f>
        <v>UN</v>
      </c>
      <c r="E16912" s="107">
        <f>8/45</f>
        <v>0.17777777777777778</v>
      </c>
      <c r="F16912" s="51">
        <f>IFERROR(VLOOKUP(A16912,Material!$A:$H,3,0),"-")</f>
        <v>17875</v>
      </c>
      <c r="G16912" s="51">
        <f>IFERROR(ROUNDUP(F16912*E16912,0),"-")</f>
        <v>3178</v>
      </c>
    </row>
    <row r="16913" spans="1:7" x14ac:dyDescent="0.25">
      <c r="A16913" s="17"/>
      <c r="B16913" s="72" t="str">
        <f>IFERROR(VLOOKUP(A16913,Material!$A:$H,2,0),"-")</f>
        <v>-</v>
      </c>
      <c r="C16913" s="76"/>
      <c r="D16913" s="50" t="str">
        <f>IFERROR(VLOOKUP(A16913,Material!$A:$H,4,0),"-")</f>
        <v>-</v>
      </c>
      <c r="E16913" s="50"/>
      <c r="F16913" s="51"/>
      <c r="G16913" s="51"/>
    </row>
    <row r="16914" spans="1:7" x14ac:dyDescent="0.25">
      <c r="A16914" s="17"/>
      <c r="B16914" s="72" t="str">
        <f>IFERROR(VLOOKUP(A16914,Material!$A:$H,2,0),"-")</f>
        <v>-</v>
      </c>
      <c r="C16914" s="76"/>
      <c r="D16914" s="50" t="str">
        <f>IFERROR(VLOOKUP(A16914,Material!$A:$H,4,0),"-")</f>
        <v>-</v>
      </c>
      <c r="E16914" s="50"/>
      <c r="F16914" s="51"/>
      <c r="G16914" s="51"/>
    </row>
    <row r="16915" spans="1:7" x14ac:dyDescent="0.25">
      <c r="A16915" s="17"/>
      <c r="B16915" s="72" t="str">
        <f>IFERROR(VLOOKUP(A16915,Material!$A:$H,2,0),"-")</f>
        <v>-</v>
      </c>
      <c r="C16915" s="76"/>
      <c r="D16915" s="50" t="str">
        <f>IFERROR(VLOOKUP(A16915,Material!$A:$H,4,0),"-")</f>
        <v>-</v>
      </c>
      <c r="E16915" s="50"/>
      <c r="F16915" s="51" t="str">
        <f>IFERROR(VLOOKUP(A16915,Material!$A:$H,3,0),"-")</f>
        <v>-</v>
      </c>
      <c r="G16915" s="51" t="str">
        <f>IFERROR(ROUNDUP(F16915*E16915,0),"-")</f>
        <v>-</v>
      </c>
    </row>
    <row r="16916" spans="1:7" x14ac:dyDescent="0.25">
      <c r="A16916" s="17"/>
      <c r="B16916" s="72" t="str">
        <f>IFERROR(VLOOKUP(A16916,Material!$A:$H,2,0),"-")</f>
        <v>-</v>
      </c>
      <c r="C16916" s="76"/>
      <c r="D16916" s="50" t="str">
        <f>IFERROR(VLOOKUP(A16916,Material!$A:$H,4,0),"-")</f>
        <v>-</v>
      </c>
      <c r="E16916" s="50"/>
      <c r="F16916" s="51" t="str">
        <f>IFERROR(VLOOKUP(A16916,Material!$A:$H,3,0),"-")</f>
        <v>-</v>
      </c>
      <c r="G16916" s="51" t="str">
        <f>IFERROR(ROUNDUP(F16916*E16916,0),"-")</f>
        <v>-</v>
      </c>
    </row>
    <row r="16917" spans="1:7" x14ac:dyDescent="0.25">
      <c r="A16917" s="219" t="s">
        <v>41</v>
      </c>
      <c r="B16917" s="219"/>
      <c r="C16917" s="219"/>
      <c r="D16917" s="219"/>
      <c r="E16917" s="219"/>
      <c r="F16917" s="219"/>
      <c r="G16917" s="52">
        <f>SUM(G16911:G16916)</f>
        <v>900501</v>
      </c>
    </row>
    <row r="16918" spans="1:7" x14ac:dyDescent="0.25">
      <c r="A16918" s="56"/>
      <c r="B16918" s="57"/>
      <c r="C16918" s="57"/>
      <c r="D16918" s="57"/>
      <c r="E16918" s="57"/>
      <c r="F16918" s="57"/>
      <c r="G16918" s="58"/>
    </row>
    <row r="16919" spans="1:7" x14ac:dyDescent="0.25">
      <c r="A16919" s="219" t="s">
        <v>42</v>
      </c>
      <c r="B16919" s="219"/>
      <c r="C16919" s="219"/>
      <c r="D16919" s="219"/>
      <c r="E16919" s="219"/>
      <c r="F16919" s="219"/>
      <c r="G16919" s="219"/>
    </row>
    <row r="16920" spans="1:7" x14ac:dyDescent="0.25">
      <c r="A16920" s="49" t="s">
        <v>35</v>
      </c>
      <c r="B16920" s="49" t="s">
        <v>36</v>
      </c>
      <c r="C16920" s="49" t="s">
        <v>38</v>
      </c>
      <c r="D16920" s="49" t="s">
        <v>43</v>
      </c>
      <c r="E16920" s="49" t="s">
        <v>44</v>
      </c>
      <c r="F16920" s="49" t="s">
        <v>45</v>
      </c>
      <c r="G16920" s="49" t="s">
        <v>40</v>
      </c>
    </row>
    <row r="16921" spans="1:7" x14ac:dyDescent="0.25">
      <c r="A16921" s="50" t="s">
        <v>319</v>
      </c>
      <c r="B16921" s="68" t="str">
        <f>VLOOKUP(A16921,'Componentes APUs'!$H$1:$L$25,2,0)</f>
        <v>Ingeniero Residente de Obra</v>
      </c>
      <c r="C16921" s="93">
        <v>0.25</v>
      </c>
      <c r="D16921" s="50">
        <f>VLOOKUP(A16921,'Componentes APUs'!$H$1:$L$25,3,0)</f>
        <v>4</v>
      </c>
      <c r="E16921" s="51">
        <f>VLOOKUP(A16921,'Componentes APUs'!$H$1:$L$25,4,0)</f>
        <v>271142.85714285716</v>
      </c>
      <c r="F16921" s="51">
        <f>VLOOKUP(A16921,'Componentes APUs'!$H$1:$L$25,5,0)</f>
        <v>162685.71428571429</v>
      </c>
      <c r="G16921" s="51">
        <f>ROUNDUP((E16921+F16921)*C16921/E16908,0)</f>
        <v>2170</v>
      </c>
    </row>
    <row r="16922" spans="1:7" x14ac:dyDescent="0.25">
      <c r="A16922" s="50" t="s">
        <v>320</v>
      </c>
      <c r="B16922" s="68" t="str">
        <f>VLOOKUP(A16922,'Componentes APUs'!$H$1:$L$25,2,0)</f>
        <v>Tecnico Supervisor</v>
      </c>
      <c r="C16922" s="93">
        <v>0.25</v>
      </c>
      <c r="D16922" s="50">
        <f>VLOOKUP(A16922,'Componentes APUs'!$H$1:$L$25,3,0)</f>
        <v>2.2999999999999998</v>
      </c>
      <c r="E16922" s="51">
        <f>VLOOKUP(A16922,'Componentes APUs'!$H$1:$L$25,4,0)</f>
        <v>155907.14285714284</v>
      </c>
      <c r="F16922" s="51">
        <f>VLOOKUP(A16922,'Componentes APUs'!$H$1:$L$25,5,0)</f>
        <v>93544.285714285696</v>
      </c>
      <c r="G16922" s="51">
        <f>ROUNDUP((E16922+F16922)*C16922/E16908,0)</f>
        <v>1248</v>
      </c>
    </row>
    <row r="16923" spans="1:7" x14ac:dyDescent="0.25">
      <c r="A16923" s="50" t="s">
        <v>46</v>
      </c>
      <c r="B16923" s="68" t="str">
        <f>VLOOKUP(A16923,'Componentes APUs'!$H$1:$L$25,2,0)</f>
        <v>Tecnico Liniero</v>
      </c>
      <c r="C16923" s="93">
        <v>1</v>
      </c>
      <c r="D16923" s="50">
        <f>VLOOKUP(A16923,'Componentes APUs'!$H$1:$L$25,3,0)</f>
        <v>2</v>
      </c>
      <c r="E16923" s="51">
        <f>VLOOKUP(A16923,'Componentes APUs'!$H$1:$L$25,4,0)</f>
        <v>154619.04761904763</v>
      </c>
      <c r="F16923" s="51">
        <f>VLOOKUP(A16923,'Componentes APUs'!$H$1:$L$25,5,0)</f>
        <v>92771.42857142858</v>
      </c>
      <c r="G16923" s="51">
        <f>ROUNDUP((E16923+F16923)*C16923/E16908,0)</f>
        <v>4948</v>
      </c>
    </row>
    <row r="16924" spans="1:7" x14ac:dyDescent="0.25">
      <c r="A16924" s="50" t="s">
        <v>48</v>
      </c>
      <c r="B16924" s="68" t="str">
        <f>VLOOKUP(A16924,'Componentes APUs'!$H$1:$L$25,2,0)</f>
        <v>Ayudante Calificado</v>
      </c>
      <c r="C16924" s="93">
        <v>1</v>
      </c>
      <c r="D16924" s="50">
        <f>VLOOKUP(A16924,'Componentes APUs'!$H$1:$L$25,3,0)</f>
        <v>1.5</v>
      </c>
      <c r="E16924" s="51">
        <f>VLOOKUP(A16924,'Componentes APUs'!$H$1:$L$25,4,0)</f>
        <v>115964.28571428571</v>
      </c>
      <c r="F16924" s="51">
        <f>VLOOKUP(A16924,'Componentes APUs'!$H$1:$L$25,5,0)</f>
        <v>69578.57142857142</v>
      </c>
      <c r="G16924" s="51">
        <f>ROUNDUP((E16924+F16924)*C16924/E16908,0)</f>
        <v>3711</v>
      </c>
    </row>
    <row r="16925" spans="1:7" x14ac:dyDescent="0.25">
      <c r="A16925" s="50" t="s">
        <v>50</v>
      </c>
      <c r="B16925" s="68" t="str">
        <f>VLOOKUP(A16925,'Componentes APUs'!$H$1:$L$25,2,0)</f>
        <v>Profesional en SST</v>
      </c>
      <c r="C16925" s="93">
        <v>0.25</v>
      </c>
      <c r="D16925" s="50">
        <f>VLOOKUP(A16925,'Componentes APUs'!$H$1:$L$25,3,0)</f>
        <v>2.5</v>
      </c>
      <c r="E16925" s="51">
        <f>VLOOKUP(A16925,'Componentes APUs'!$H$1:$L$25,4,0)</f>
        <v>169464.28571428571</v>
      </c>
      <c r="F16925" s="51">
        <f>VLOOKUP(A16925,'Componentes APUs'!$H$1:$L$25,5,0)</f>
        <v>101678.57142857142</v>
      </c>
      <c r="G16925" s="51">
        <f>ROUNDUP((E16925+F16925)*C16925/E16908,0)</f>
        <v>1356</v>
      </c>
    </row>
    <row r="16926" spans="1:7" x14ac:dyDescent="0.25">
      <c r="A16926" s="50" t="s">
        <v>52</v>
      </c>
      <c r="B16926" s="68" t="str">
        <f>VLOOKUP(A16926,'Componentes APUs'!$H$1:$L$25,2,0)</f>
        <v>Ayudante No Calificado</v>
      </c>
      <c r="C16926" s="93">
        <v>2</v>
      </c>
      <c r="D16926" s="50">
        <f>VLOOKUP(A16926,'Componentes APUs'!$H$1:$L$25,3,0)</f>
        <v>1</v>
      </c>
      <c r="E16926" s="51">
        <f>VLOOKUP(A16926,'Componentes APUs'!$H$1:$L$25,4,0)</f>
        <v>77309.523809523816</v>
      </c>
      <c r="F16926" s="51">
        <f>VLOOKUP(A16926,'Componentes APUs'!$H$1:$L$25,5,0)</f>
        <v>46385.71428571429</v>
      </c>
      <c r="G16926" s="51">
        <f>ROUNDUP((E16926+F16926)*C16926/E16908,0)</f>
        <v>4948</v>
      </c>
    </row>
    <row r="16927" spans="1:7" x14ac:dyDescent="0.25">
      <c r="A16927" s="219" t="s">
        <v>56</v>
      </c>
      <c r="B16927" s="219"/>
      <c r="C16927" s="219"/>
      <c r="D16927" s="219"/>
      <c r="E16927" s="219"/>
      <c r="F16927" s="219"/>
      <c r="G16927" s="52">
        <f>SUM(G16921:G16926)</f>
        <v>18381</v>
      </c>
    </row>
    <row r="16928" spans="1:7" x14ac:dyDescent="0.25">
      <c r="A16928" s="56"/>
      <c r="B16928" s="57"/>
      <c r="C16928" s="57"/>
      <c r="D16928" s="57"/>
      <c r="E16928" s="57"/>
      <c r="F16928" s="57"/>
      <c r="G16928" s="58"/>
    </row>
    <row r="16929" spans="1:7" x14ac:dyDescent="0.25">
      <c r="A16929" s="219" t="s">
        <v>57</v>
      </c>
      <c r="B16929" s="219"/>
      <c r="C16929" s="219"/>
      <c r="D16929" s="219"/>
      <c r="E16929" s="219"/>
      <c r="F16929" s="219"/>
      <c r="G16929" s="219"/>
    </row>
    <row r="16930" spans="1:7" x14ac:dyDescent="0.25">
      <c r="A16930" s="49" t="s">
        <v>35</v>
      </c>
      <c r="B16930" s="219" t="s">
        <v>36</v>
      </c>
      <c r="C16930" s="219"/>
      <c r="D16930" s="49" t="s">
        <v>37</v>
      </c>
      <c r="E16930" s="49" t="s">
        <v>38</v>
      </c>
      <c r="F16930" s="49" t="s">
        <v>39</v>
      </c>
      <c r="G16930" s="49" t="s">
        <v>40</v>
      </c>
    </row>
    <row r="16931" spans="1:7" x14ac:dyDescent="0.25">
      <c r="A16931" s="50" t="s">
        <v>326</v>
      </c>
      <c r="B16931" s="220" t="str">
        <f>VLOOKUP(A16931,'Componentes APUs'!$S$1:$V$10,2,0)</f>
        <v>Juego Llaves</v>
      </c>
      <c r="C16931" s="220"/>
      <c r="D16931" s="50" t="s">
        <v>18</v>
      </c>
      <c r="E16931" s="50">
        <v>2</v>
      </c>
      <c r="F16931" s="51">
        <f>VLOOKUP(A16931,'Componentes APUs'!$S$1:$V$10,4,0)</f>
        <v>9167</v>
      </c>
      <c r="G16931" s="51">
        <f>ROUNDUP(F16931*((E16931/21)/E16908),0)</f>
        <v>18</v>
      </c>
    </row>
    <row r="16932" spans="1:7" x14ac:dyDescent="0.25">
      <c r="A16932" s="50" t="s">
        <v>58</v>
      </c>
      <c r="B16932" s="220" t="str">
        <f>VLOOKUP(A16932,'Componentes APUs'!$S$1:$V$10,2,0)</f>
        <v>Manila de servicio</v>
      </c>
      <c r="C16932" s="220"/>
      <c r="D16932" s="50" t="s">
        <v>18</v>
      </c>
      <c r="E16932" s="50">
        <v>2</v>
      </c>
      <c r="F16932" s="51">
        <f>VLOOKUP(A16932,'Componentes APUs'!$S$1:$V$10,4,0)</f>
        <v>2333</v>
      </c>
      <c r="G16932" s="51">
        <f>ROUNDUP(F16932*((E16932/21)/E16908),0)</f>
        <v>5</v>
      </c>
    </row>
    <row r="16933" spans="1:7" x14ac:dyDescent="0.25">
      <c r="A16933" s="50" t="s">
        <v>327</v>
      </c>
      <c r="B16933" s="220" t="str">
        <f>VLOOKUP(A16933,'Componentes APUs'!$S$1:$V$10,2,0)</f>
        <v>Tula portaherramientas</v>
      </c>
      <c r="C16933" s="220"/>
      <c r="D16933" s="50" t="s">
        <v>18</v>
      </c>
      <c r="E16933" s="50">
        <v>2</v>
      </c>
      <c r="F16933" s="51">
        <f>VLOOKUP(A16933,'Componentes APUs'!$S$1:$V$10,4,0)</f>
        <v>1250</v>
      </c>
      <c r="G16933" s="51">
        <f>ROUNDUP(F16933*((E16933/21)/E16908),0)</f>
        <v>3</v>
      </c>
    </row>
    <row r="16934" spans="1:7" x14ac:dyDescent="0.25">
      <c r="A16934" s="50" t="s">
        <v>60</v>
      </c>
      <c r="B16934" s="220" t="str">
        <f>VLOOKUP(A16934,'Componentes APUs'!$S$1:$V$10,2,0)</f>
        <v>Agarradoras</v>
      </c>
      <c r="C16934" s="220"/>
      <c r="D16934" s="50" t="s">
        <v>18</v>
      </c>
      <c r="E16934" s="50">
        <v>1</v>
      </c>
      <c r="F16934" s="51">
        <f>VLOOKUP(A16934,'Componentes APUs'!$S$1:$V$10,4,0)</f>
        <v>125000</v>
      </c>
      <c r="G16934" s="51">
        <f>ROUNDUP(F16934*((E16934/21)/E16908),0)</f>
        <v>120</v>
      </c>
    </row>
    <row r="16935" spans="1:7" x14ac:dyDescent="0.25">
      <c r="A16935" s="50" t="s">
        <v>62</v>
      </c>
      <c r="B16935" s="220" t="str">
        <f>VLOOKUP(A16935,'Componentes APUs'!$S$1:$V$10,2,0)</f>
        <v>Templadoras</v>
      </c>
      <c r="C16935" s="220"/>
      <c r="D16935" s="50" t="s">
        <v>18</v>
      </c>
      <c r="E16935" s="50">
        <v>1</v>
      </c>
      <c r="F16935" s="51">
        <f>VLOOKUP(A16935,'Componentes APUs'!$S$1:$V$10,4,0)</f>
        <v>250000</v>
      </c>
      <c r="G16935" s="51">
        <f>ROUNDUP(F16935*((E16935/21)/E16908),0)</f>
        <v>239</v>
      </c>
    </row>
    <row r="16936" spans="1:7" x14ac:dyDescent="0.25">
      <c r="A16936" s="50" t="s">
        <v>328</v>
      </c>
      <c r="B16936" s="220" t="str">
        <f>VLOOKUP(A16936,'Componentes APUs'!$S$1:$V$10,2,0)</f>
        <v>Herramienta Menor</v>
      </c>
      <c r="C16936" s="220"/>
      <c r="D16936" s="50" t="s">
        <v>18</v>
      </c>
      <c r="E16936" s="50">
        <v>2</v>
      </c>
      <c r="F16936" s="51">
        <f>VLOOKUP(A16936,'Componentes APUs'!$S$1:$V$10,4,0)</f>
        <v>75758</v>
      </c>
      <c r="G16936" s="51">
        <f>ROUNDUP(F16936*((E16936/21)/E16908),0)</f>
        <v>145</v>
      </c>
    </row>
    <row r="16937" spans="1:7" x14ac:dyDescent="0.25">
      <c r="A16937" s="219" t="s">
        <v>69</v>
      </c>
      <c r="B16937" s="219"/>
      <c r="C16937" s="219"/>
      <c r="D16937" s="219"/>
      <c r="E16937" s="219"/>
      <c r="F16937" s="219"/>
      <c r="G16937" s="52">
        <f>SUM(G16931:G16936)</f>
        <v>530</v>
      </c>
    </row>
    <row r="16938" spans="1:7" x14ac:dyDescent="0.25">
      <c r="A16938" s="56"/>
      <c r="B16938" s="57"/>
      <c r="C16938" s="57"/>
      <c r="D16938" s="57"/>
      <c r="E16938" s="57"/>
      <c r="F16938" s="57"/>
      <c r="G16938" s="58"/>
    </row>
    <row r="16939" spans="1:7" x14ac:dyDescent="0.25">
      <c r="A16939" s="219" t="s">
        <v>70</v>
      </c>
      <c r="B16939" s="219"/>
      <c r="C16939" s="219"/>
      <c r="D16939" s="219"/>
      <c r="E16939" s="219"/>
      <c r="F16939" s="219"/>
      <c r="G16939" s="219"/>
    </row>
    <row r="16940" spans="1:7" x14ac:dyDescent="0.25">
      <c r="A16940" s="49" t="s">
        <v>35</v>
      </c>
      <c r="B16940" s="219" t="s">
        <v>36</v>
      </c>
      <c r="C16940" s="219"/>
      <c r="D16940" s="49" t="s">
        <v>37</v>
      </c>
      <c r="E16940" s="49" t="s">
        <v>38</v>
      </c>
      <c r="F16940" s="49" t="s">
        <v>39</v>
      </c>
      <c r="G16940" s="49" t="s">
        <v>40</v>
      </c>
    </row>
    <row r="16941" spans="1:7" x14ac:dyDescent="0.25">
      <c r="A16941" s="50" t="s">
        <v>71</v>
      </c>
      <c r="B16941" s="71" t="str">
        <f>VLOOKUP(A16941,'Componentes APUs'!$A$1:$D$14,2,0)</f>
        <v>Camisa indigo sin partes metalicas</v>
      </c>
      <c r="C16941" s="71"/>
      <c r="D16941" s="50" t="str">
        <f>VLOOKUP(A16941,'Componentes APUs'!$A$1:$D$14,3,0)</f>
        <v>U</v>
      </c>
      <c r="E16941" s="50">
        <f>SUM(C16921:C16926)</f>
        <v>4.75</v>
      </c>
      <c r="F16941" s="51">
        <f>VLOOKUP(A16941,'Componentes APUs'!$A$1:$D$14,4,0)</f>
        <v>8585.8585858585866</v>
      </c>
      <c r="G16941" s="51">
        <f>ROUNDUP(F16941*(E16941/21)/E16908,0)</f>
        <v>39</v>
      </c>
    </row>
    <row r="16942" spans="1:7" x14ac:dyDescent="0.25">
      <c r="A16942" s="69" t="s">
        <v>73</v>
      </c>
      <c r="B16942" s="72" t="str">
        <f>VLOOKUP(A16942,'Componentes APUs'!$A$1:$D$14,2,0)</f>
        <v>Bota de seguridad dielectrica</v>
      </c>
      <c r="C16942" s="73"/>
      <c r="D16942" s="70" t="str">
        <f>VLOOKUP(A16942,'Componentes APUs'!$A$1:$D$14,3,0)</f>
        <v>Par</v>
      </c>
      <c r="E16942" s="50">
        <f>SUM(C16921:C16926)</f>
        <v>4.75</v>
      </c>
      <c r="F16942" s="51">
        <f>VLOOKUP(A16942,'Componentes APUs'!$A$1:$D$14,4,0)</f>
        <v>7500</v>
      </c>
      <c r="G16942" s="51">
        <f>ROUNDUP(F16942*(E16942/21)/E16908,0)</f>
        <v>34</v>
      </c>
    </row>
    <row r="16943" spans="1:7" x14ac:dyDescent="0.25">
      <c r="A16943" s="50" t="s">
        <v>76</v>
      </c>
      <c r="B16943" s="72" t="str">
        <f>VLOOKUP(A16943,'Componentes APUs'!$A$1:$D$14,2,0)</f>
        <v>Casco dielectrico Tipo 1 Clase E con barbuquejo</v>
      </c>
      <c r="C16943" s="73"/>
      <c r="D16943" s="50" t="str">
        <f>VLOOKUP(A16943,'Componentes APUs'!$A$1:$D$14,3,0)</f>
        <v>U</v>
      </c>
      <c r="E16943" s="50">
        <f>C16926+C16921+C16924+C16925+C16923+IF(A16923&lt;&gt;"MO-3",C16922,0)</f>
        <v>4.5</v>
      </c>
      <c r="F16943" s="51">
        <f>VLOOKUP(A16943,'Componentes APUs'!$A$1:$D$14,4,0)</f>
        <v>10101.010101010101</v>
      </c>
      <c r="G16943" s="51">
        <f>ROUNDUP(F16943*(E16943/21)/E16908,0)</f>
        <v>44</v>
      </c>
    </row>
    <row r="16944" spans="1:7" x14ac:dyDescent="0.25">
      <c r="A16944" s="69" t="s">
        <v>77</v>
      </c>
      <c r="B16944" s="72" t="str">
        <f>VLOOKUP(A16944,'Componentes APUs'!$A$1:$D$14,2,0)</f>
        <v>Correa plastica y antiflama</v>
      </c>
      <c r="C16944" s="73"/>
      <c r="D16944" s="50" t="str">
        <f>VLOOKUP(A16944,'Componentes APUs'!$A$1:$D$14,3,0)</f>
        <v>U</v>
      </c>
      <c r="E16944" s="50">
        <f>SUM(C16921:C16926)</f>
        <v>4.75</v>
      </c>
      <c r="F16944" s="51">
        <f>VLOOKUP(A16944,'Componentes APUs'!$A$1:$D$14,4,0)</f>
        <v>3787.878787878788</v>
      </c>
      <c r="G16944" s="51">
        <f>ROUNDUP(F16944*(E16944/21)/E16908,0)</f>
        <v>18</v>
      </c>
    </row>
    <row r="16945" spans="1:7" x14ac:dyDescent="0.25">
      <c r="A16945" s="50" t="s">
        <v>79</v>
      </c>
      <c r="B16945" s="72" t="str">
        <f>VLOOKUP(A16945,'Componentes APUs'!$A$1:$D$14,2,0)</f>
        <v>Gafas protectoras filtro UV</v>
      </c>
      <c r="C16945" s="73"/>
      <c r="D16945" s="50" t="str">
        <f>VLOOKUP(A16945,'Componentes APUs'!$A$1:$D$14,3,0)</f>
        <v>U</v>
      </c>
      <c r="E16945" s="50">
        <f>SUM(C16921:C16926)</f>
        <v>4.75</v>
      </c>
      <c r="F16945" s="51">
        <f>VLOOKUP(A16945,'Componentes APUs'!$A$1:$D$14,4,0)</f>
        <v>2777.7777777777778</v>
      </c>
      <c r="G16945" s="51">
        <f>ROUNDUP(F16945*(E16945/21)/E16908,0)</f>
        <v>13</v>
      </c>
    </row>
    <row r="16946" spans="1:7" x14ac:dyDescent="0.25">
      <c r="A16946" s="69" t="s">
        <v>402</v>
      </c>
      <c r="B16946" s="72" t="str">
        <f>VLOOKUP(A16946,'Componentes APUs'!$A$1:$D$14,2,0)</f>
        <v>Bota de seguridad PVC dielectrica</v>
      </c>
      <c r="C16946" s="73"/>
      <c r="D16946" s="50" t="str">
        <f>VLOOKUP(A16946,'Componentes APUs'!$A$1:$D$14,3,0)</f>
        <v>Par</v>
      </c>
      <c r="E16946" s="50">
        <f>SUM(C16921:C16926)</f>
        <v>4.75</v>
      </c>
      <c r="F16946" s="51">
        <f>VLOOKUP(A16946,'Componentes APUs'!$A$1:$D$14,4,0)</f>
        <v>2916.6666666666665</v>
      </c>
      <c r="G16946" s="51">
        <f>ROUNDUP(F16946*(E16946/21)/E16908,0)</f>
        <v>14</v>
      </c>
    </row>
    <row r="16947" spans="1:7" x14ac:dyDescent="0.25">
      <c r="A16947" s="50" t="s">
        <v>403</v>
      </c>
      <c r="B16947" s="72" t="str">
        <f>VLOOKUP(A16947,'Componentes APUs'!$A$1:$D$14,2,0)</f>
        <v>Capuchon</v>
      </c>
      <c r="C16947" s="73"/>
      <c r="D16947" s="50" t="str">
        <f>VLOOKUP(A16947,'Componentes APUs'!$A$1:$D$14,3,0)</f>
        <v>U</v>
      </c>
      <c r="E16947" s="50">
        <f>SUM(C16921:C16926)</f>
        <v>4.75</v>
      </c>
      <c r="F16947" s="51">
        <f>VLOOKUP(A16947,'Componentes APUs'!$A$1:$D$14,4,0)</f>
        <v>2525.2525252525252</v>
      </c>
      <c r="G16947" s="51">
        <f>ROUNDUP(F16947*(E16947/21)/E16908,0)</f>
        <v>12</v>
      </c>
    </row>
    <row r="16948" spans="1:7" x14ac:dyDescent="0.25">
      <c r="A16948" s="69" t="s">
        <v>81</v>
      </c>
      <c r="B16948" s="72" t="str">
        <f>VLOOKUP(A16948,'Componentes APUs'!$A$1:$D$14,2,0)</f>
        <v>Guantes Protectores  - ingeniero reforzados</v>
      </c>
      <c r="C16948" s="73"/>
      <c r="D16948" s="50" t="str">
        <f>VLOOKUP(A16948,'Componentes APUs'!$A$1:$D$14,3,0)</f>
        <v>Par</v>
      </c>
      <c r="E16948" s="50">
        <f>C16923+C16924+C16926</f>
        <v>4</v>
      </c>
      <c r="F16948" s="51">
        <f>VLOOKUP(A16948,'Componentes APUs'!$A$1:$D$14,4,0)</f>
        <v>2525.2525252525252</v>
      </c>
      <c r="G16948" s="51">
        <f>ROUNDUP(F16948*(E16948/21)/E16908,0)</f>
        <v>10</v>
      </c>
    </row>
    <row r="16949" spans="1:7" x14ac:dyDescent="0.25">
      <c r="A16949" s="50" t="s">
        <v>83</v>
      </c>
      <c r="B16949" s="72" t="str">
        <f>VLOOKUP(A16949,'Componentes APUs'!$A$1:$D$14,2,0)</f>
        <v>Impermeable (pantalon camisa)</v>
      </c>
      <c r="C16949" s="73"/>
      <c r="D16949" s="50" t="str">
        <f>VLOOKUP(A16949,'Componentes APUs'!$A$1:$D$14,3,0)</f>
        <v>U</v>
      </c>
      <c r="E16949" s="50">
        <f>SUM(C16921:C16926)</f>
        <v>4.75</v>
      </c>
      <c r="F16949" s="51">
        <f>VLOOKUP(A16949,'Componentes APUs'!$A$1:$D$14,4,0)</f>
        <v>3750</v>
      </c>
      <c r="G16949" s="51">
        <f>ROUNDUP(F16949*(E16949/21)/E16908,0)</f>
        <v>17</v>
      </c>
    </row>
    <row r="16950" spans="1:7" x14ac:dyDescent="0.25">
      <c r="A16950" s="69" t="s">
        <v>85</v>
      </c>
      <c r="B16950" s="72" t="str">
        <f>VLOOKUP(A16950,'Componentes APUs'!$A$1:$D$14,2,0)</f>
        <v>Jean Dielectrico</v>
      </c>
      <c r="C16950" s="73"/>
      <c r="D16950" s="50" t="str">
        <f>VLOOKUP(A16950,'Componentes APUs'!$A$1:$D$14,3,0)</f>
        <v>U</v>
      </c>
      <c r="E16950" s="50">
        <f>SUM(C16921:C16926)</f>
        <v>4.75</v>
      </c>
      <c r="F16950" s="51">
        <f>VLOOKUP(A16950,'Componentes APUs'!$A$1:$D$14,4,0)</f>
        <v>7575.757575757576</v>
      </c>
      <c r="G16950" s="51">
        <f>ROUNDUP(F16950*(E16950/21)/E16908,0)</f>
        <v>35</v>
      </c>
    </row>
    <row r="16951" spans="1:7" x14ac:dyDescent="0.25">
      <c r="A16951" s="50" t="s">
        <v>87</v>
      </c>
      <c r="B16951" s="72" t="str">
        <f>VLOOKUP(A16951,'Componentes APUs'!$A$1:$D$14,2,0)</f>
        <v>Casco dielectrico Tipo 2 Clase E con barboquejo</v>
      </c>
      <c r="C16951" s="73"/>
      <c r="D16951" s="50" t="str">
        <f>VLOOKUP(A16951,'Componentes APUs'!$A$1:$D$14,3,0)</f>
        <v>U</v>
      </c>
      <c r="E16951" s="53">
        <f>IF(A16923="MO-3",C16923,0)</f>
        <v>1</v>
      </c>
      <c r="F16951" s="51">
        <f>VLOOKUP(A16951,'Componentes APUs'!$A$1:$D$14,4,0)</f>
        <v>7500</v>
      </c>
      <c r="G16951" s="51">
        <f>ROUNDUP(F16951*(E16951/21)/E16908,0)</f>
        <v>8</v>
      </c>
    </row>
    <row r="16952" spans="1:7" x14ac:dyDescent="0.25">
      <c r="A16952" s="69" t="s">
        <v>89</v>
      </c>
      <c r="B16952" s="72" t="str">
        <f>VLOOKUP(A16952,'Componentes APUs'!$A$1:$D$14,2,0)</f>
        <v>Kit de rescate para trabajo en alturas</v>
      </c>
      <c r="C16952" s="73"/>
      <c r="D16952" s="50" t="str">
        <f>VLOOKUP(A16952,'Componentes APUs'!$A$1:$D$14,3,0)</f>
        <v>U</v>
      </c>
      <c r="E16952" s="50">
        <f>IF(AND(A16923="MO-3",C16923=2),1,0)</f>
        <v>0</v>
      </c>
      <c r="F16952" s="51">
        <f>VLOOKUP(A16952,'Componentes APUs'!$A$1:$D$14,4,0)</f>
        <v>37500</v>
      </c>
      <c r="G16952" s="51">
        <f>ROUNDUP(F16952*(E16952/21)/E16908,0)</f>
        <v>0</v>
      </c>
    </row>
    <row r="16953" spans="1:7" x14ac:dyDescent="0.25">
      <c r="A16953" s="50" t="s">
        <v>91</v>
      </c>
      <c r="B16953" s="72" t="str">
        <f>VLOOKUP(A16953,'Componentes APUs'!$A$1:$D$14,2,0)</f>
        <v>Equipo completo para trabajo en alturas con pretales (Arnes dielectrico, 1 mosqueton de seguridad, tie off dielectrico, eslinga de posicionamiento, juego de pretales)</v>
      </c>
      <c r="C16953" s="73"/>
      <c r="D16953" s="50" t="str">
        <f>VLOOKUP(A16953,'Componentes APUs'!$A$1:$D$14,3,0)</f>
        <v>U</v>
      </c>
      <c r="E16953" s="50">
        <f>IF(A16923="MO-3",C16923,0)</f>
        <v>1</v>
      </c>
      <c r="F16953" s="51">
        <f>VLOOKUP(A16953,'Componentes APUs'!$A$1:$D$14,4,0)</f>
        <v>26041.666666666668</v>
      </c>
      <c r="G16953" s="51">
        <f>ROUNDUP(F16953*(E16953/21)/E16908,0)</f>
        <v>25</v>
      </c>
    </row>
    <row r="16954" spans="1:7" x14ac:dyDescent="0.25">
      <c r="A16954" s="219" t="s">
        <v>95</v>
      </c>
      <c r="B16954" s="219"/>
      <c r="C16954" s="219"/>
      <c r="D16954" s="219"/>
      <c r="E16954" s="219"/>
      <c r="F16954" s="219"/>
      <c r="G16954" s="52">
        <f>SUM(G16941:G16953)</f>
        <v>269</v>
      </c>
    </row>
    <row r="16955" spans="1:7" x14ac:dyDescent="0.25">
      <c r="A16955" s="56"/>
      <c r="B16955" s="57"/>
      <c r="C16955" s="57"/>
      <c r="D16955" s="57"/>
      <c r="E16955" s="57"/>
      <c r="F16955" s="57"/>
      <c r="G16955" s="58"/>
    </row>
    <row r="16956" spans="1:7" x14ac:dyDescent="0.25">
      <c r="A16956" s="219" t="s">
        <v>96</v>
      </c>
      <c r="B16956" s="219"/>
      <c r="C16956" s="219"/>
      <c r="D16956" s="219"/>
      <c r="E16956" s="219"/>
      <c r="F16956" s="219"/>
      <c r="G16956" s="219"/>
    </row>
    <row r="16957" spans="1:7" x14ac:dyDescent="0.25">
      <c r="A16957" s="49" t="s">
        <v>35</v>
      </c>
      <c r="B16957" s="225" t="s">
        <v>36</v>
      </c>
      <c r="C16957" s="225"/>
      <c r="D16957" s="49" t="s">
        <v>37</v>
      </c>
      <c r="E16957" s="49" t="s">
        <v>38</v>
      </c>
      <c r="F16957" s="49" t="s">
        <v>39</v>
      </c>
      <c r="G16957" s="49" t="s">
        <v>40</v>
      </c>
    </row>
    <row r="16958" spans="1:7" x14ac:dyDescent="0.25">
      <c r="A16958" s="69" t="s">
        <v>97</v>
      </c>
      <c r="B16958" s="72" t="str">
        <f>VLOOKUP(A16958,'Componentes APUs'!$N$1:$Q$30,2,0)</f>
        <v>Camioneta</v>
      </c>
      <c r="C16958" s="73"/>
      <c r="D16958" s="70" t="str">
        <f>VLOOKUP(A16958,'Componentes APUs'!$N$1:$Q$30,3,0)</f>
        <v>U</v>
      </c>
      <c r="E16958" s="50">
        <v>1</v>
      </c>
      <c r="F16958" s="51">
        <f>VLOOKUP(A16958,'Componentes APUs'!$N$1:$Q$30,4,0)</f>
        <v>5500000</v>
      </c>
      <c r="G16958" s="51">
        <f>IFERROR(ROUNDUP(F16958*(E16958/21)/E16908,0),0)</f>
        <v>5239</v>
      </c>
    </row>
    <row r="16959" spans="1:7" x14ac:dyDescent="0.25">
      <c r="A16959" s="50" t="s">
        <v>321</v>
      </c>
      <c r="B16959" s="72" t="str">
        <f>VLOOKUP(A16959,'Componentes APUs'!$N$1:$Q$30,2,0)</f>
        <v>Grúa Hidráulica</v>
      </c>
      <c r="C16959" s="73"/>
      <c r="D16959" s="70" t="str">
        <f>VLOOKUP(A16959,'Componentes APUs'!$N$1:$Q$30,3,0)</f>
        <v>U</v>
      </c>
      <c r="E16959" s="50">
        <v>0</v>
      </c>
      <c r="F16959" s="51">
        <f>VLOOKUP(A16959,'Componentes APUs'!$N$1:$Q$30,4,0)</f>
        <v>21000000</v>
      </c>
      <c r="G16959" s="51">
        <f>IFERROR(ROUNDUP(F16959*(E16959/21)/E16908,0),0)</f>
        <v>0</v>
      </c>
    </row>
    <row r="16960" spans="1:7" x14ac:dyDescent="0.25">
      <c r="A16960" s="69" t="s">
        <v>322</v>
      </c>
      <c r="B16960" s="72" t="str">
        <f>VLOOKUP(A16960,'Componentes APUs'!$N$1:$Q$30,2,0)</f>
        <v>Camabaja</v>
      </c>
      <c r="C16960" s="73"/>
      <c r="D16960" s="70" t="str">
        <f>VLOOKUP(A16960,'Componentes APUs'!$N$1:$Q$30,3,0)</f>
        <v>TON/KM</v>
      </c>
      <c r="E16960" s="50">
        <v>0</v>
      </c>
      <c r="F16960" s="51">
        <f>VLOOKUP(A16960,'Componentes APUs'!$N$1:$Q$30,4,0)</f>
        <v>611</v>
      </c>
      <c r="G16960" s="51">
        <f>IFERROR(ROUNDUP(F16960*(E16960/21)/E16908,0),0)</f>
        <v>0</v>
      </c>
    </row>
    <row r="16961" spans="1:7" x14ac:dyDescent="0.25">
      <c r="A16961" s="50" t="s">
        <v>323</v>
      </c>
      <c r="B16961" s="72" t="str">
        <f>VLOOKUP(A16961,'Componentes APUs'!$N$1:$Q$30,2,0)</f>
        <v>Volqueta</v>
      </c>
      <c r="C16961" s="73"/>
      <c r="D16961" s="70" t="str">
        <f>VLOOKUP(A16961,'Componentes APUs'!$N$1:$Q$30,3,0)</f>
        <v>U</v>
      </c>
      <c r="E16961" s="50">
        <v>0</v>
      </c>
      <c r="F16961" s="51">
        <f>VLOOKUP(A16961,'Componentes APUs'!$N$1:$Q$30,4,0)</f>
        <v>14828184</v>
      </c>
      <c r="G16961" s="51">
        <f>IFERROR(ROUNDUP(F16961*(E16961/21)/E16908,0),0)</f>
        <v>0</v>
      </c>
    </row>
    <row r="16962" spans="1:7" x14ac:dyDescent="0.25">
      <c r="A16962" s="69" t="s">
        <v>324</v>
      </c>
      <c r="B16962" s="72" t="str">
        <f>VLOOKUP(A16962,'Componentes APUs'!$N$1:$Q$30,2,0)</f>
        <v>Retroexcavadora</v>
      </c>
      <c r="C16962" s="73"/>
      <c r="D16962" s="70" t="str">
        <f>VLOOKUP(A16962,'Componentes APUs'!$N$1:$Q$30,3,0)</f>
        <v>U</v>
      </c>
      <c r="E16962" s="50">
        <v>0</v>
      </c>
      <c r="F16962" s="51">
        <f>VLOOKUP(A16962,'Componentes APUs'!$N$1:$Q$30,4,0)</f>
        <v>46030656</v>
      </c>
      <c r="G16962" s="51">
        <f>IFERROR(ROUNDUP(F16962*(E16962/21)/E16908,0),0)</f>
        <v>0</v>
      </c>
    </row>
    <row r="16963" spans="1:7" x14ac:dyDescent="0.25">
      <c r="A16963" s="219" t="s">
        <v>99</v>
      </c>
      <c r="B16963" s="219"/>
      <c r="C16963" s="219"/>
      <c r="D16963" s="219"/>
      <c r="E16963" s="219"/>
      <c r="F16963" s="219"/>
      <c r="G16963" s="52">
        <f>SUM(G16958:G16962)</f>
        <v>5239</v>
      </c>
    </row>
    <row r="16964" spans="1:7" x14ac:dyDescent="0.25">
      <c r="A16964" s="56"/>
      <c r="B16964" s="57"/>
      <c r="C16964" s="57"/>
      <c r="D16964" s="57"/>
      <c r="E16964" s="57"/>
      <c r="F16964" s="57"/>
      <c r="G16964" s="58"/>
    </row>
    <row r="16965" spans="1:7" x14ac:dyDescent="0.25">
      <c r="A16965" s="219" t="s">
        <v>1516</v>
      </c>
      <c r="B16965" s="219"/>
      <c r="C16965" s="219"/>
      <c r="D16965" s="219"/>
      <c r="E16965" s="219"/>
      <c r="F16965" s="219"/>
      <c r="G16965" s="52">
        <f>G16963+G16954+G16937+G16927+G16917</f>
        <v>924920</v>
      </c>
    </row>
    <row r="16966" spans="1:7" x14ac:dyDescent="0.25">
      <c r="A16966" s="59"/>
      <c r="B16966" s="60"/>
      <c r="C16966" s="60"/>
      <c r="D16966" s="60"/>
      <c r="E16966" s="57"/>
      <c r="F16966" s="57"/>
      <c r="G16966" s="58"/>
    </row>
    <row r="16967" spans="1:7" x14ac:dyDescent="0.25">
      <c r="A16967" s="64"/>
      <c r="D16967" s="55"/>
      <c r="E16967" s="49" t="s">
        <v>25</v>
      </c>
      <c r="F16967" s="54">
        <v>0.15</v>
      </c>
      <c r="G16967" s="51">
        <f>G16965*F16967</f>
        <v>138738</v>
      </c>
    </row>
    <row r="16968" spans="1:7" x14ac:dyDescent="0.25">
      <c r="A16968" s="64"/>
      <c r="D16968" s="55"/>
      <c r="E16968" s="49" t="s">
        <v>26</v>
      </c>
      <c r="F16968" s="54">
        <v>0.05</v>
      </c>
      <c r="G16968" s="51">
        <f>G16965*F16968</f>
        <v>46246</v>
      </c>
    </row>
    <row r="16969" spans="1:7" x14ac:dyDescent="0.25">
      <c r="A16969" s="61"/>
      <c r="B16969" s="65"/>
      <c r="C16969" s="65"/>
      <c r="D16969" s="62"/>
      <c r="E16969" s="49" t="s">
        <v>27</v>
      </c>
      <c r="F16969" s="54">
        <v>0.05</v>
      </c>
      <c r="G16969" s="51">
        <f>G16965*F16969</f>
        <v>46246</v>
      </c>
    </row>
    <row r="16970" spans="1:7" x14ac:dyDescent="0.25">
      <c r="A16970" s="61"/>
      <c r="B16970" s="62"/>
      <c r="C16970" s="62"/>
      <c r="D16970" s="62"/>
      <c r="E16970" s="62"/>
      <c r="F16970" s="62"/>
      <c r="G16970" s="63"/>
    </row>
    <row r="16971" spans="1:7" x14ac:dyDescent="0.25">
      <c r="A16971" s="219" t="s">
        <v>1517</v>
      </c>
      <c r="B16971" s="219"/>
      <c r="C16971" s="219"/>
      <c r="D16971" s="219"/>
      <c r="E16971" s="219"/>
      <c r="F16971" s="219"/>
      <c r="G16971" s="52">
        <f>G16965+G16967+G16968+G16969</f>
        <v>1156150</v>
      </c>
    </row>
    <row r="16972" spans="1:7" x14ac:dyDescent="0.25">
      <c r="A16972" s="59"/>
      <c r="B16972" s="60"/>
      <c r="C16972" s="60"/>
      <c r="D16972" s="60"/>
      <c r="E16972" s="57"/>
      <c r="F16972" s="57"/>
      <c r="G16972" s="58"/>
    </row>
    <row r="16973" spans="1:7" x14ac:dyDescent="0.25">
      <c r="A16973" s="64"/>
      <c r="D16973" s="55"/>
      <c r="E16973" s="49" t="s">
        <v>102</v>
      </c>
      <c r="F16973" s="49" t="s">
        <v>103</v>
      </c>
      <c r="G16973" s="51">
        <f>G16969*19%</f>
        <v>8786.74</v>
      </c>
    </row>
    <row r="16974" spans="1:7" x14ac:dyDescent="0.25">
      <c r="A16974" s="61"/>
      <c r="B16974" s="62"/>
      <c r="C16974" s="62"/>
      <c r="D16974" s="62"/>
      <c r="E16974" s="57"/>
      <c r="F16974" s="57"/>
      <c r="G16974" s="58"/>
    </row>
    <row r="16975" spans="1:7" x14ac:dyDescent="0.25">
      <c r="A16975" s="219" t="s">
        <v>104</v>
      </c>
      <c r="B16975" s="219"/>
      <c r="C16975" s="219"/>
      <c r="D16975" s="219"/>
      <c r="E16975" s="219"/>
      <c r="F16975" s="219"/>
      <c r="G16975" s="52">
        <f>G16973+G16971</f>
        <v>1164936.74</v>
      </c>
    </row>
    <row r="16977" spans="1:7" x14ac:dyDescent="0.25">
      <c r="A16977" s="74" t="s">
        <v>29</v>
      </c>
      <c r="B16977" s="226" t="s">
        <v>30</v>
      </c>
      <c r="C16977" s="226"/>
      <c r="D16977" s="74" t="s">
        <v>31</v>
      </c>
      <c r="E16977" s="74" t="s">
        <v>32</v>
      </c>
      <c r="F16977" s="74" t="s">
        <v>189</v>
      </c>
      <c r="G16977" s="74" t="s">
        <v>33</v>
      </c>
    </row>
    <row r="16978" spans="1:7" ht="61.5" customHeight="1" x14ac:dyDescent="0.25">
      <c r="A16978" s="50" t="str">
        <f>Presupuesto!B334</f>
        <v>008_AUX</v>
      </c>
      <c r="B16978" s="220" t="str">
        <f>Presupuesto!C334</f>
        <v>SUMINISTRO E INSTALACIÓN DE MEDIDOR DE ENERGÍA KWH-KVARH  CLASE 1 POTENCIA ACTIVA, CLASE 2 POTENCIA REACTIVA, DE CONEXIÓN INDIRECTA, MULTIFUNCIONAL CON INSTRUMENTACIÓN Y CURVA DE CARGA, PUERTO ETERNET Y DOS PUERTOS SERIALES, CUATRO CUADRANTES. INCLUYE PRUEBAS DE CALIBRACIÓN POR LABORATORIO ACREDITADO.</v>
      </c>
      <c r="C16978" s="220"/>
      <c r="D16978" s="50" t="s">
        <v>8</v>
      </c>
      <c r="E16978" s="50">
        <v>2</v>
      </c>
      <c r="F16978" s="50"/>
      <c r="G16978" s="51">
        <f>G17043</f>
        <v>2627352.2659999998</v>
      </c>
    </row>
    <row r="16979" spans="1:7" x14ac:dyDescent="0.25">
      <c r="A16979" s="219" t="s">
        <v>34</v>
      </c>
      <c r="B16979" s="219"/>
      <c r="C16979" s="219"/>
      <c r="D16979" s="219"/>
      <c r="E16979" s="219"/>
      <c r="F16979" s="219"/>
      <c r="G16979" s="219"/>
    </row>
    <row r="16980" spans="1:7" x14ac:dyDescent="0.25">
      <c r="A16980" s="49" t="s">
        <v>35</v>
      </c>
      <c r="B16980" s="219" t="s">
        <v>36</v>
      </c>
      <c r="C16980" s="219"/>
      <c r="D16980" s="49" t="s">
        <v>37</v>
      </c>
      <c r="E16980" s="49" t="s">
        <v>38</v>
      </c>
      <c r="F16980" s="49" t="s">
        <v>39</v>
      </c>
      <c r="G16980" s="49" t="s">
        <v>40</v>
      </c>
    </row>
    <row r="16981" spans="1:7" ht="54" customHeight="1" x14ac:dyDescent="0.25">
      <c r="A16981" s="17" t="str">
        <f>Material!A114</f>
        <v>MA-113</v>
      </c>
      <c r="B16981" s="221" t="str">
        <f>IFERROR(VLOOKUP(A16981,Material!$A:$H,2,0),"-")</f>
        <v>MEDIDOR DE ENERGÍA KWH-KVARH  CLASE 1 POTENCIA ACTIVA, CLASE 2 POTENCIA REACTIVA, DE CONEXIÓN INDIRECTA, MULTIFUNCIONAL CON INSTRUMENTACIÓN Y CURVA DE CARGA, PUERTO ETERNET Y DOS PUERTOS SERIALES, CUATRO CUADRANTES.</v>
      </c>
      <c r="C16981" s="222"/>
      <c r="D16981" s="50" t="str">
        <f>IFERROR(VLOOKUP(A16981,Material!$A:$H,4,0),"-")</f>
        <v>UN</v>
      </c>
      <c r="E16981" s="50">
        <v>1</v>
      </c>
      <c r="F16981" s="51">
        <f>IFERROR(VLOOKUP(A16981,Material!$A:$H,3,0),"-")</f>
        <v>1611716.7742050621</v>
      </c>
      <c r="G16981" s="51">
        <f t="shared" ref="G16981:G16984" si="237">IFERROR(ROUNDUP(F16981*E16981,0),"-")</f>
        <v>1611717</v>
      </c>
    </row>
    <row r="16982" spans="1:7" x14ac:dyDescent="0.25">
      <c r="A16982" s="17"/>
      <c r="B16982" s="72" t="str">
        <f>IFERROR(VLOOKUP(A16982,Material!$A:$H,2,0),"-")</f>
        <v>-</v>
      </c>
      <c r="C16982" s="76"/>
      <c r="D16982" s="50" t="str">
        <f>IFERROR(VLOOKUP(A16982,Material!$A:$H,4,0),"-")</f>
        <v>-</v>
      </c>
      <c r="E16982" s="50"/>
      <c r="F16982" s="51" t="str">
        <f>IFERROR(VLOOKUP(A16982,Material!$A:$H,3,0),"-")</f>
        <v>-</v>
      </c>
      <c r="G16982" s="51" t="str">
        <f t="shared" si="237"/>
        <v>-</v>
      </c>
    </row>
    <row r="16983" spans="1:7" x14ac:dyDescent="0.25">
      <c r="A16983" s="17"/>
      <c r="B16983" s="72" t="str">
        <f>IFERROR(VLOOKUP(A16983,Material!$A:$H,2,0),"-")</f>
        <v>-</v>
      </c>
      <c r="C16983" s="76"/>
      <c r="D16983" s="50" t="str">
        <f>IFERROR(VLOOKUP(A16983,Material!$A:$H,4,0),"-")</f>
        <v>-</v>
      </c>
      <c r="E16983" s="50"/>
      <c r="F16983" s="51" t="str">
        <f>IFERROR(VLOOKUP(A16983,Material!$A:$H,3,0),"-")</f>
        <v>-</v>
      </c>
      <c r="G16983" s="51" t="str">
        <f t="shared" si="237"/>
        <v>-</v>
      </c>
    </row>
    <row r="16984" spans="1:7" x14ac:dyDescent="0.25">
      <c r="A16984" s="17"/>
      <c r="B16984" s="72" t="str">
        <f>IFERROR(VLOOKUP(A16984,Material!$A:$H,2,0),"-")</f>
        <v>-</v>
      </c>
      <c r="C16984" s="76"/>
      <c r="D16984" s="50" t="str">
        <f>IFERROR(VLOOKUP(A16984,Material!$A:$H,4,0),"-")</f>
        <v>-</v>
      </c>
      <c r="E16984" s="50"/>
      <c r="F16984" s="51" t="str">
        <f>IFERROR(VLOOKUP(A16984,Material!$A:$H,3,0),"-")</f>
        <v>-</v>
      </c>
      <c r="G16984" s="51" t="str">
        <f t="shared" si="237"/>
        <v>-</v>
      </c>
    </row>
    <row r="16985" spans="1:7" x14ac:dyDescent="0.25">
      <c r="A16985" s="219" t="s">
        <v>41</v>
      </c>
      <c r="B16985" s="219"/>
      <c r="C16985" s="219"/>
      <c r="D16985" s="219"/>
      <c r="E16985" s="219"/>
      <c r="F16985" s="219"/>
      <c r="G16985" s="52">
        <f>SUM(G16981:G16984)</f>
        <v>1611717</v>
      </c>
    </row>
    <row r="16986" spans="1:7" x14ac:dyDescent="0.25">
      <c r="A16986" s="56"/>
      <c r="B16986" s="57"/>
      <c r="C16986" s="57"/>
      <c r="D16986" s="57"/>
      <c r="E16986" s="57"/>
      <c r="F16986" s="57"/>
      <c r="G16986" s="58"/>
    </row>
    <row r="16987" spans="1:7" x14ac:dyDescent="0.25">
      <c r="A16987" s="219" t="s">
        <v>42</v>
      </c>
      <c r="B16987" s="219"/>
      <c r="C16987" s="219"/>
      <c r="D16987" s="219"/>
      <c r="E16987" s="219"/>
      <c r="F16987" s="219"/>
      <c r="G16987" s="219"/>
    </row>
    <row r="16988" spans="1:7" x14ac:dyDescent="0.25">
      <c r="A16988" s="49" t="s">
        <v>35</v>
      </c>
      <c r="B16988" s="49" t="s">
        <v>36</v>
      </c>
      <c r="C16988" s="49" t="s">
        <v>38</v>
      </c>
      <c r="D16988" s="49" t="s">
        <v>43</v>
      </c>
      <c r="E16988" s="49" t="s">
        <v>44</v>
      </c>
      <c r="F16988" s="49" t="s">
        <v>45</v>
      </c>
      <c r="G16988" s="49" t="s">
        <v>40</v>
      </c>
    </row>
    <row r="16989" spans="1:7" x14ac:dyDescent="0.25">
      <c r="A16989" s="50" t="s">
        <v>319</v>
      </c>
      <c r="B16989" s="68" t="str">
        <f>VLOOKUP(A16989,'Componentes APUs'!$H$1:$L$25,2,0)</f>
        <v>Ingeniero Residente de Obra</v>
      </c>
      <c r="C16989" s="93">
        <v>0.25</v>
      </c>
      <c r="D16989" s="50">
        <f>VLOOKUP(A16989,'Componentes APUs'!$H$1:$L$25,3,0)</f>
        <v>4</v>
      </c>
      <c r="E16989" s="51">
        <f>VLOOKUP(A16989,'Componentes APUs'!$H$1:$L$25,4,0)</f>
        <v>271142.85714285716</v>
      </c>
      <c r="F16989" s="51">
        <f>VLOOKUP(A16989,'Componentes APUs'!$H$1:$L$25,5,0)</f>
        <v>162685.71428571429</v>
      </c>
      <c r="G16989" s="51">
        <f>ROUNDUP((E16989+F16989)*C16989/E16978,0)</f>
        <v>54229</v>
      </c>
    </row>
    <row r="16990" spans="1:7" x14ac:dyDescent="0.25">
      <c r="A16990" s="50" t="s">
        <v>320</v>
      </c>
      <c r="B16990" s="68" t="str">
        <f>VLOOKUP(A16990,'Componentes APUs'!$H$1:$L$25,2,0)</f>
        <v>Tecnico Supervisor</v>
      </c>
      <c r="C16990" s="93">
        <v>0.25</v>
      </c>
      <c r="D16990" s="50">
        <f>VLOOKUP(A16990,'Componentes APUs'!$H$1:$L$25,3,0)</f>
        <v>2.2999999999999998</v>
      </c>
      <c r="E16990" s="51">
        <f>VLOOKUP(A16990,'Componentes APUs'!$H$1:$L$25,4,0)</f>
        <v>155907.14285714284</v>
      </c>
      <c r="F16990" s="51">
        <f>VLOOKUP(A16990,'Componentes APUs'!$H$1:$L$25,5,0)</f>
        <v>93544.285714285696</v>
      </c>
      <c r="G16990" s="51">
        <f>ROUNDUP((E16990+F16990)*C16990/E16978,0)</f>
        <v>31182</v>
      </c>
    </row>
    <row r="16991" spans="1:7" x14ac:dyDescent="0.25">
      <c r="A16991" s="50" t="s">
        <v>1160</v>
      </c>
      <c r="B16991" s="68" t="str">
        <f>VLOOKUP(A16991,'Componentes APUs'!$H$1:$L$25,2,0)</f>
        <v>Oficial Eléctrico</v>
      </c>
      <c r="C16991" s="93">
        <v>1</v>
      </c>
      <c r="D16991" s="50">
        <f>VLOOKUP(A16991,'Componentes APUs'!$H$1:$L$25,3,0)</f>
        <v>2</v>
      </c>
      <c r="E16991" s="51">
        <f>VLOOKUP(A16991,'Componentes APUs'!$H$1:$L$25,4,0)</f>
        <v>154619.04761904763</v>
      </c>
      <c r="F16991" s="51">
        <f>VLOOKUP(A16991,'Componentes APUs'!$H$1:$L$25,5,0)</f>
        <v>92771.42857142858</v>
      </c>
      <c r="G16991" s="51">
        <f>ROUNDUP((E16991+F16991)*C16991/E16978,0)</f>
        <v>123696</v>
      </c>
    </row>
    <row r="16992" spans="1:7" x14ac:dyDescent="0.25">
      <c r="A16992" s="50" t="s">
        <v>48</v>
      </c>
      <c r="B16992" s="68" t="str">
        <f>VLOOKUP(A16992,'Componentes APUs'!$H$1:$L$25,2,0)</f>
        <v>Ayudante Calificado</v>
      </c>
      <c r="C16992" s="93">
        <v>1</v>
      </c>
      <c r="D16992" s="50">
        <f>VLOOKUP(A16992,'Componentes APUs'!$H$1:$L$25,3,0)</f>
        <v>1.5</v>
      </c>
      <c r="E16992" s="51">
        <f>VLOOKUP(A16992,'Componentes APUs'!$H$1:$L$25,4,0)</f>
        <v>115964.28571428571</v>
      </c>
      <c r="F16992" s="51">
        <f>VLOOKUP(A16992,'Componentes APUs'!$H$1:$L$25,5,0)</f>
        <v>69578.57142857142</v>
      </c>
      <c r="G16992" s="51">
        <f>ROUNDUP((E16992+F16992)*C16992/E16978,0)</f>
        <v>92772</v>
      </c>
    </row>
    <row r="16993" spans="1:7" x14ac:dyDescent="0.25">
      <c r="A16993" s="50" t="s">
        <v>50</v>
      </c>
      <c r="B16993" s="68" t="str">
        <f>VLOOKUP(A16993,'Componentes APUs'!$H$1:$L$25,2,0)</f>
        <v>Profesional en SST</v>
      </c>
      <c r="C16993" s="93">
        <v>0.25</v>
      </c>
      <c r="D16993" s="50">
        <f>VLOOKUP(A16993,'Componentes APUs'!$H$1:$L$25,3,0)</f>
        <v>2.5</v>
      </c>
      <c r="E16993" s="51">
        <f>VLOOKUP(A16993,'Componentes APUs'!$H$1:$L$25,4,0)</f>
        <v>169464.28571428571</v>
      </c>
      <c r="F16993" s="51">
        <f>VLOOKUP(A16993,'Componentes APUs'!$H$1:$L$25,5,0)</f>
        <v>101678.57142857142</v>
      </c>
      <c r="G16993" s="51">
        <f>ROUNDUP((E16993+F16993)*C16993/E16978,0)</f>
        <v>33893</v>
      </c>
    </row>
    <row r="16994" spans="1:7" x14ac:dyDescent="0.25">
      <c r="A16994" s="50" t="s">
        <v>52</v>
      </c>
      <c r="B16994" s="68" t="str">
        <f>VLOOKUP(A16994,'Componentes APUs'!$H$1:$L$25,2,0)</f>
        <v>Ayudante No Calificado</v>
      </c>
      <c r="C16994" s="93">
        <v>0</v>
      </c>
      <c r="D16994" s="50">
        <f>VLOOKUP(A16994,'Componentes APUs'!$H$1:$L$25,3,0)</f>
        <v>1</v>
      </c>
      <c r="E16994" s="51">
        <f>VLOOKUP(A16994,'Componentes APUs'!$H$1:$L$25,4,0)</f>
        <v>77309.523809523816</v>
      </c>
      <c r="F16994" s="51">
        <f>VLOOKUP(A16994,'Componentes APUs'!$H$1:$L$25,5,0)</f>
        <v>46385.71428571429</v>
      </c>
      <c r="G16994" s="51">
        <f>ROUNDUP((E16994+F16994)*C16994/E16978,0)</f>
        <v>0</v>
      </c>
    </row>
    <row r="16995" spans="1:7" x14ac:dyDescent="0.25">
      <c r="A16995" s="219" t="s">
        <v>56</v>
      </c>
      <c r="B16995" s="219"/>
      <c r="C16995" s="219"/>
      <c r="D16995" s="219"/>
      <c r="E16995" s="219"/>
      <c r="F16995" s="219"/>
      <c r="G16995" s="52">
        <f>SUM(G16989:G16994)</f>
        <v>335772</v>
      </c>
    </row>
    <row r="16996" spans="1:7" x14ac:dyDescent="0.25">
      <c r="A16996" s="56"/>
      <c r="B16996" s="57"/>
      <c r="C16996" s="57"/>
      <c r="D16996" s="57"/>
      <c r="E16996" s="57"/>
      <c r="F16996" s="57"/>
      <c r="G16996" s="58"/>
    </row>
    <row r="16997" spans="1:7" x14ac:dyDescent="0.25">
      <c r="A16997" s="219" t="s">
        <v>57</v>
      </c>
      <c r="B16997" s="219"/>
      <c r="C16997" s="219"/>
      <c r="D16997" s="219"/>
      <c r="E16997" s="219"/>
      <c r="F16997" s="219"/>
      <c r="G16997" s="219"/>
    </row>
    <row r="16998" spans="1:7" x14ac:dyDescent="0.25">
      <c r="A16998" s="49" t="s">
        <v>35</v>
      </c>
      <c r="B16998" s="219" t="s">
        <v>36</v>
      </c>
      <c r="C16998" s="219"/>
      <c r="D16998" s="49" t="s">
        <v>37</v>
      </c>
      <c r="E16998" s="49" t="s">
        <v>38</v>
      </c>
      <c r="F16998" s="49" t="s">
        <v>39</v>
      </c>
      <c r="G16998" s="49" t="s">
        <v>40</v>
      </c>
    </row>
    <row r="16999" spans="1:7" x14ac:dyDescent="0.25">
      <c r="A16999" s="50" t="s">
        <v>326</v>
      </c>
      <c r="B16999" s="220" t="str">
        <f>VLOOKUP(A16999,'Componentes APUs'!$S$1:$V$10,2,0)</f>
        <v>Juego Llaves</v>
      </c>
      <c r="C16999" s="220"/>
      <c r="D16999" s="50" t="s">
        <v>18</v>
      </c>
      <c r="E16999" s="50">
        <v>2</v>
      </c>
      <c r="F16999" s="51">
        <f>VLOOKUP(A16999,'Componentes APUs'!$S$1:$V$10,4,0)</f>
        <v>9167</v>
      </c>
      <c r="G16999" s="51">
        <f>ROUNDUP(F16999*((E16999/21)/E16978),0)</f>
        <v>437</v>
      </c>
    </row>
    <row r="17000" spans="1:7" x14ac:dyDescent="0.25">
      <c r="A17000" s="50" t="s">
        <v>58</v>
      </c>
      <c r="B17000" s="220" t="str">
        <f>VLOOKUP(A17000,'Componentes APUs'!$S$1:$V$10,2,0)</f>
        <v>Manila de servicio</v>
      </c>
      <c r="C17000" s="220"/>
      <c r="D17000" s="50" t="s">
        <v>18</v>
      </c>
      <c r="E17000" s="50">
        <v>2</v>
      </c>
      <c r="F17000" s="51">
        <f>VLOOKUP(A17000,'Componentes APUs'!$S$1:$V$10,4,0)</f>
        <v>2333</v>
      </c>
      <c r="G17000" s="51">
        <f>ROUNDUP(F17000*((E17000/21)/E16978),0)</f>
        <v>112</v>
      </c>
    </row>
    <row r="17001" spans="1:7" x14ac:dyDescent="0.25">
      <c r="A17001" s="50" t="s">
        <v>327</v>
      </c>
      <c r="B17001" s="220" t="str">
        <f>VLOOKUP(A17001,'Componentes APUs'!$S$1:$V$10,2,0)</f>
        <v>Tula portaherramientas</v>
      </c>
      <c r="C17001" s="220"/>
      <c r="D17001" s="50" t="s">
        <v>18</v>
      </c>
      <c r="E17001" s="50">
        <v>2</v>
      </c>
      <c r="F17001" s="51">
        <f>VLOOKUP(A17001,'Componentes APUs'!$S$1:$V$10,4,0)</f>
        <v>1250</v>
      </c>
      <c r="G17001" s="51">
        <f>ROUNDUP(F17001*((E17001/21)/E16978),0)</f>
        <v>60</v>
      </c>
    </row>
    <row r="17002" spans="1:7" x14ac:dyDescent="0.25">
      <c r="A17002" s="50" t="s">
        <v>60</v>
      </c>
      <c r="B17002" s="220" t="str">
        <f>VLOOKUP(A17002,'Componentes APUs'!$S$1:$V$10,2,0)</f>
        <v>Agarradoras</v>
      </c>
      <c r="C17002" s="220"/>
      <c r="D17002" s="50" t="s">
        <v>18</v>
      </c>
      <c r="E17002" s="50">
        <v>0</v>
      </c>
      <c r="F17002" s="51">
        <f>VLOOKUP(A17002,'Componentes APUs'!$S$1:$V$10,4,0)</f>
        <v>125000</v>
      </c>
      <c r="G17002" s="51">
        <f>ROUNDUP(F17002*((E17002/21)/E16978),0)</f>
        <v>0</v>
      </c>
    </row>
    <row r="17003" spans="1:7" x14ac:dyDescent="0.25">
      <c r="A17003" s="50" t="s">
        <v>62</v>
      </c>
      <c r="B17003" s="220" t="str">
        <f>VLOOKUP(A17003,'Componentes APUs'!$S$1:$V$10,2,0)</f>
        <v>Templadoras</v>
      </c>
      <c r="C17003" s="220"/>
      <c r="D17003" s="50" t="s">
        <v>18</v>
      </c>
      <c r="E17003" s="50">
        <v>0</v>
      </c>
      <c r="F17003" s="51">
        <f>VLOOKUP(A17003,'Componentes APUs'!$S$1:$V$10,4,0)</f>
        <v>250000</v>
      </c>
      <c r="G17003" s="51">
        <f>ROUNDUP(F17003*((E17003/21)/E16978),0)</f>
        <v>0</v>
      </c>
    </row>
    <row r="17004" spans="1:7" x14ac:dyDescent="0.25">
      <c r="A17004" s="50" t="s">
        <v>328</v>
      </c>
      <c r="B17004" s="220" t="str">
        <f>VLOOKUP(A17004,'Componentes APUs'!$S$1:$V$10,2,0)</f>
        <v>Herramienta Menor</v>
      </c>
      <c r="C17004" s="220"/>
      <c r="D17004" s="50" t="s">
        <v>18</v>
      </c>
      <c r="E17004" s="50">
        <v>2</v>
      </c>
      <c r="F17004" s="51">
        <f>VLOOKUP(A17004,'Componentes APUs'!$S$1:$V$10,4,0)</f>
        <v>75758</v>
      </c>
      <c r="G17004" s="51">
        <f>ROUNDUP(F17004*((E17004/21)/E16978),0)</f>
        <v>3608</v>
      </c>
    </row>
    <row r="17005" spans="1:7" x14ac:dyDescent="0.25">
      <c r="A17005" s="219" t="s">
        <v>69</v>
      </c>
      <c r="B17005" s="219"/>
      <c r="C17005" s="219"/>
      <c r="D17005" s="219"/>
      <c r="E17005" s="219"/>
      <c r="F17005" s="219"/>
      <c r="G17005" s="52">
        <f>SUM(G16999:G17004)</f>
        <v>4217</v>
      </c>
    </row>
    <row r="17006" spans="1:7" x14ac:dyDescent="0.25">
      <c r="A17006" s="56"/>
      <c r="B17006" s="57"/>
      <c r="C17006" s="57"/>
      <c r="D17006" s="57"/>
      <c r="E17006" s="57"/>
      <c r="F17006" s="57"/>
      <c r="G17006" s="58"/>
    </row>
    <row r="17007" spans="1:7" x14ac:dyDescent="0.25">
      <c r="A17007" s="219" t="s">
        <v>70</v>
      </c>
      <c r="B17007" s="219"/>
      <c r="C17007" s="219"/>
      <c r="D17007" s="219"/>
      <c r="E17007" s="219"/>
      <c r="F17007" s="219"/>
      <c r="G17007" s="219"/>
    </row>
    <row r="17008" spans="1:7" x14ac:dyDescent="0.25">
      <c r="A17008" s="49" t="s">
        <v>35</v>
      </c>
      <c r="B17008" s="219" t="s">
        <v>36</v>
      </c>
      <c r="C17008" s="219"/>
      <c r="D17008" s="49" t="s">
        <v>37</v>
      </c>
      <c r="E17008" s="49" t="s">
        <v>38</v>
      </c>
      <c r="F17008" s="49" t="s">
        <v>39</v>
      </c>
      <c r="G17008" s="49" t="s">
        <v>40</v>
      </c>
    </row>
    <row r="17009" spans="1:7" x14ac:dyDescent="0.25">
      <c r="A17009" s="50" t="s">
        <v>71</v>
      </c>
      <c r="B17009" s="71" t="str">
        <f>VLOOKUP(A17009,'Componentes APUs'!$A$1:$D$14,2,0)</f>
        <v>Camisa indigo sin partes metalicas</v>
      </c>
      <c r="C17009" s="71"/>
      <c r="D17009" s="50" t="str">
        <f>VLOOKUP(A17009,'Componentes APUs'!$A$1:$D$14,3,0)</f>
        <v>U</v>
      </c>
      <c r="E17009" s="50">
        <f>SUM(C16989:C16994)</f>
        <v>2.75</v>
      </c>
      <c r="F17009" s="51">
        <f>VLOOKUP(A17009,'Componentes APUs'!$A$1:$D$14,4,0)</f>
        <v>8585.8585858585866</v>
      </c>
      <c r="G17009" s="51">
        <f>ROUNDUP(F17009*(E17009/21)/E16978,0)</f>
        <v>563</v>
      </c>
    </row>
    <row r="17010" spans="1:7" x14ac:dyDescent="0.25">
      <c r="A17010" s="69" t="s">
        <v>73</v>
      </c>
      <c r="B17010" s="72" t="str">
        <f>VLOOKUP(A17010,'Componentes APUs'!$A$1:$D$14,2,0)</f>
        <v>Bota de seguridad dielectrica</v>
      </c>
      <c r="C17010" s="73"/>
      <c r="D17010" s="70" t="str">
        <f>VLOOKUP(A17010,'Componentes APUs'!$A$1:$D$14,3,0)</f>
        <v>Par</v>
      </c>
      <c r="E17010" s="50">
        <f>SUM(C16989:C16994)</f>
        <v>2.75</v>
      </c>
      <c r="F17010" s="51">
        <f>VLOOKUP(A17010,'Componentes APUs'!$A$1:$D$14,4,0)</f>
        <v>7500</v>
      </c>
      <c r="G17010" s="51">
        <f>ROUNDUP(F17010*(E17010/21)/E16978,0)</f>
        <v>492</v>
      </c>
    </row>
    <row r="17011" spans="1:7" x14ac:dyDescent="0.25">
      <c r="A17011" s="50" t="s">
        <v>76</v>
      </c>
      <c r="B17011" s="72" t="str">
        <f>VLOOKUP(A17011,'Componentes APUs'!$A$1:$D$14,2,0)</f>
        <v>Casco dielectrico Tipo 1 Clase E con barbuquejo</v>
      </c>
      <c r="C17011" s="73"/>
      <c r="D17011" s="50" t="str">
        <f>VLOOKUP(A17011,'Componentes APUs'!$A$1:$D$14,3,0)</f>
        <v>U</v>
      </c>
      <c r="E17011" s="50">
        <f>C16994+C16989+C16992+C16993+C16991+IF(A16991&lt;&gt;"MO-3",C16990,0)</f>
        <v>2.75</v>
      </c>
      <c r="F17011" s="51">
        <f>VLOOKUP(A17011,'Componentes APUs'!$A$1:$D$14,4,0)</f>
        <v>10101.010101010101</v>
      </c>
      <c r="G17011" s="51">
        <f>ROUNDUP(F17011*(E17011/21)/E16978,0)</f>
        <v>662</v>
      </c>
    </row>
    <row r="17012" spans="1:7" x14ac:dyDescent="0.25">
      <c r="A17012" s="69" t="s">
        <v>77</v>
      </c>
      <c r="B17012" s="72" t="str">
        <f>VLOOKUP(A17012,'Componentes APUs'!$A$1:$D$14,2,0)</f>
        <v>Correa plastica y antiflama</v>
      </c>
      <c r="C17012" s="73"/>
      <c r="D17012" s="50" t="str">
        <f>VLOOKUP(A17012,'Componentes APUs'!$A$1:$D$14,3,0)</f>
        <v>U</v>
      </c>
      <c r="E17012" s="50">
        <f>SUM(C16989:C16994)</f>
        <v>2.75</v>
      </c>
      <c r="F17012" s="51">
        <f>VLOOKUP(A17012,'Componentes APUs'!$A$1:$D$14,4,0)</f>
        <v>3787.878787878788</v>
      </c>
      <c r="G17012" s="51">
        <f>ROUNDUP(F17012*(E17012/21)/E16978,0)</f>
        <v>249</v>
      </c>
    </row>
    <row r="17013" spans="1:7" x14ac:dyDescent="0.25">
      <c r="A17013" s="50" t="s">
        <v>79</v>
      </c>
      <c r="B17013" s="72" t="str">
        <f>VLOOKUP(A17013,'Componentes APUs'!$A$1:$D$14,2,0)</f>
        <v>Gafas protectoras filtro UV</v>
      </c>
      <c r="C17013" s="73"/>
      <c r="D17013" s="50" t="str">
        <f>VLOOKUP(A17013,'Componentes APUs'!$A$1:$D$14,3,0)</f>
        <v>U</v>
      </c>
      <c r="E17013" s="50">
        <f>SUM(C16989:C16994)</f>
        <v>2.75</v>
      </c>
      <c r="F17013" s="51">
        <f>VLOOKUP(A17013,'Componentes APUs'!$A$1:$D$14,4,0)</f>
        <v>2777.7777777777778</v>
      </c>
      <c r="G17013" s="51">
        <f>ROUNDUP(F17013*(E17013/21)/E16978,0)</f>
        <v>182</v>
      </c>
    </row>
    <row r="17014" spans="1:7" x14ac:dyDescent="0.25">
      <c r="A17014" s="69" t="s">
        <v>402</v>
      </c>
      <c r="B17014" s="72" t="str">
        <f>VLOOKUP(A17014,'Componentes APUs'!$A$1:$D$14,2,0)</f>
        <v>Bota de seguridad PVC dielectrica</v>
      </c>
      <c r="C17014" s="73"/>
      <c r="D17014" s="50" t="str">
        <f>VLOOKUP(A17014,'Componentes APUs'!$A$1:$D$14,3,0)</f>
        <v>Par</v>
      </c>
      <c r="E17014" s="50">
        <f>SUM(C16989:C16994)</f>
        <v>2.75</v>
      </c>
      <c r="F17014" s="51">
        <f>VLOOKUP(A17014,'Componentes APUs'!$A$1:$D$14,4,0)</f>
        <v>2916.6666666666665</v>
      </c>
      <c r="G17014" s="51">
        <f>ROUNDUP(F17014*(E17014/21)/E16978,0)</f>
        <v>191</v>
      </c>
    </row>
    <row r="17015" spans="1:7" x14ac:dyDescent="0.25">
      <c r="A17015" s="50" t="s">
        <v>403</v>
      </c>
      <c r="B17015" s="72" t="str">
        <f>VLOOKUP(A17015,'Componentes APUs'!$A$1:$D$14,2,0)</f>
        <v>Capuchon</v>
      </c>
      <c r="C17015" s="73"/>
      <c r="D17015" s="50" t="str">
        <f>VLOOKUP(A17015,'Componentes APUs'!$A$1:$D$14,3,0)</f>
        <v>U</v>
      </c>
      <c r="E17015" s="50">
        <f>SUM(C16989:C16994)</f>
        <v>2.75</v>
      </c>
      <c r="F17015" s="51">
        <f>VLOOKUP(A17015,'Componentes APUs'!$A$1:$D$14,4,0)</f>
        <v>2525.2525252525252</v>
      </c>
      <c r="G17015" s="51">
        <f>ROUNDUP(F17015*(E17015/21)/E16978,0)</f>
        <v>166</v>
      </c>
    </row>
    <row r="17016" spans="1:7" x14ac:dyDescent="0.25">
      <c r="A17016" s="69" t="s">
        <v>81</v>
      </c>
      <c r="B17016" s="72" t="str">
        <f>VLOOKUP(A17016,'Componentes APUs'!$A$1:$D$14,2,0)</f>
        <v>Guantes Protectores  - ingeniero reforzados</v>
      </c>
      <c r="C17016" s="73"/>
      <c r="D17016" s="50" t="str">
        <f>VLOOKUP(A17016,'Componentes APUs'!$A$1:$D$14,3,0)</f>
        <v>Par</v>
      </c>
      <c r="E17016" s="50">
        <f>C16991+C16992+C16994</f>
        <v>2</v>
      </c>
      <c r="F17016" s="51">
        <f>VLOOKUP(A17016,'Componentes APUs'!$A$1:$D$14,4,0)</f>
        <v>2525.2525252525252</v>
      </c>
      <c r="G17016" s="51">
        <f>ROUNDUP(F17016*(E17016/21)/E16978,0)</f>
        <v>121</v>
      </c>
    </row>
    <row r="17017" spans="1:7" x14ac:dyDescent="0.25">
      <c r="A17017" s="50" t="s">
        <v>83</v>
      </c>
      <c r="B17017" s="72" t="str">
        <f>VLOOKUP(A17017,'Componentes APUs'!$A$1:$D$14,2,0)</f>
        <v>Impermeable (pantalon camisa)</v>
      </c>
      <c r="C17017" s="73"/>
      <c r="D17017" s="50" t="str">
        <f>VLOOKUP(A17017,'Componentes APUs'!$A$1:$D$14,3,0)</f>
        <v>U</v>
      </c>
      <c r="E17017" s="50">
        <f>SUM(C16989:C16994)</f>
        <v>2.75</v>
      </c>
      <c r="F17017" s="51">
        <f>VLOOKUP(A17017,'Componentes APUs'!$A$1:$D$14,4,0)</f>
        <v>3750</v>
      </c>
      <c r="G17017" s="51">
        <f>ROUNDUP(F17017*(E17017/21)/E16978,0)</f>
        <v>246</v>
      </c>
    </row>
    <row r="17018" spans="1:7" x14ac:dyDescent="0.25">
      <c r="A17018" s="69" t="s">
        <v>85</v>
      </c>
      <c r="B17018" s="72" t="str">
        <f>VLOOKUP(A17018,'Componentes APUs'!$A$1:$D$14,2,0)</f>
        <v>Jean Dielectrico</v>
      </c>
      <c r="C17018" s="73"/>
      <c r="D17018" s="50" t="str">
        <f>VLOOKUP(A17018,'Componentes APUs'!$A$1:$D$14,3,0)</f>
        <v>U</v>
      </c>
      <c r="E17018" s="50">
        <f>SUM(C16989:C16994)</f>
        <v>2.75</v>
      </c>
      <c r="F17018" s="51">
        <f>VLOOKUP(A17018,'Componentes APUs'!$A$1:$D$14,4,0)</f>
        <v>7575.757575757576</v>
      </c>
      <c r="G17018" s="51">
        <f>ROUNDUP(F17018*(E17018/21)/E16978,0)</f>
        <v>497</v>
      </c>
    </row>
    <row r="17019" spans="1:7" x14ac:dyDescent="0.25">
      <c r="A17019" s="50" t="s">
        <v>87</v>
      </c>
      <c r="B17019" s="72" t="str">
        <f>VLOOKUP(A17019,'Componentes APUs'!$A$1:$D$14,2,0)</f>
        <v>Casco dielectrico Tipo 2 Clase E con barboquejo</v>
      </c>
      <c r="C17019" s="73"/>
      <c r="D17019" s="50" t="str">
        <f>VLOOKUP(A17019,'Componentes APUs'!$A$1:$D$14,3,0)</f>
        <v>U</v>
      </c>
      <c r="E17019" s="53">
        <f>IF(A16991="MO-3",C16991,0)</f>
        <v>0</v>
      </c>
      <c r="F17019" s="51">
        <f>VLOOKUP(A17019,'Componentes APUs'!$A$1:$D$14,4,0)</f>
        <v>7500</v>
      </c>
      <c r="G17019" s="51">
        <f>ROUNDUP(F17019*(E17019/21)/E16978,0)</f>
        <v>0</v>
      </c>
    </row>
    <row r="17020" spans="1:7" x14ac:dyDescent="0.25">
      <c r="A17020" s="69" t="s">
        <v>89</v>
      </c>
      <c r="B17020" s="72" t="str">
        <f>VLOOKUP(A17020,'Componentes APUs'!$A$1:$D$14,2,0)</f>
        <v>Kit de rescate para trabajo en alturas</v>
      </c>
      <c r="C17020" s="73"/>
      <c r="D17020" s="50" t="str">
        <f>VLOOKUP(A17020,'Componentes APUs'!$A$1:$D$14,3,0)</f>
        <v>U</v>
      </c>
      <c r="E17020" s="50">
        <f>IF(AND(A16991="MO-3",C16991=2),1,0)</f>
        <v>0</v>
      </c>
      <c r="F17020" s="51">
        <f>VLOOKUP(A17020,'Componentes APUs'!$A$1:$D$14,4,0)</f>
        <v>37500</v>
      </c>
      <c r="G17020" s="51">
        <f>ROUNDUP(F17020*(E17020/21)/E16978,0)</f>
        <v>0</v>
      </c>
    </row>
    <row r="17021" spans="1:7" x14ac:dyDescent="0.25">
      <c r="A17021" s="50" t="s">
        <v>91</v>
      </c>
      <c r="B17021" s="72" t="str">
        <f>VLOOKUP(A17021,'Componentes APUs'!$A$1:$D$14,2,0)</f>
        <v>Equipo completo para trabajo en alturas con pretales (Arnes dielectrico, 1 mosqueton de seguridad, tie off dielectrico, eslinga de posicionamiento, juego de pretales)</v>
      </c>
      <c r="C17021" s="73"/>
      <c r="D17021" s="50" t="str">
        <f>VLOOKUP(A17021,'Componentes APUs'!$A$1:$D$14,3,0)</f>
        <v>U</v>
      </c>
      <c r="E17021" s="50">
        <f>IF(A16991="MO-3",C16991,0)</f>
        <v>0</v>
      </c>
      <c r="F17021" s="51">
        <f>VLOOKUP(A17021,'Componentes APUs'!$A$1:$D$14,4,0)</f>
        <v>26041.666666666668</v>
      </c>
      <c r="G17021" s="51">
        <f>ROUNDUP(F17021*(E17021/21)/E16978,0)</f>
        <v>0</v>
      </c>
    </row>
    <row r="17022" spans="1:7" x14ac:dyDescent="0.25">
      <c r="A17022" s="219" t="s">
        <v>95</v>
      </c>
      <c r="B17022" s="219"/>
      <c r="C17022" s="219"/>
      <c r="D17022" s="219"/>
      <c r="E17022" s="219"/>
      <c r="F17022" s="219"/>
      <c r="G17022" s="52">
        <f>SUM(G17009:G17021)</f>
        <v>3369</v>
      </c>
    </row>
    <row r="17023" spans="1:7" x14ac:dyDescent="0.25">
      <c r="A17023" s="56"/>
      <c r="B17023" s="57"/>
      <c r="C17023" s="57"/>
      <c r="D17023" s="57"/>
      <c r="E17023" s="57"/>
      <c r="F17023" s="57"/>
      <c r="G17023" s="58"/>
    </row>
    <row r="17024" spans="1:7" x14ac:dyDescent="0.25">
      <c r="A17024" s="219" t="s">
        <v>96</v>
      </c>
      <c r="B17024" s="219"/>
      <c r="C17024" s="219"/>
      <c r="D17024" s="219"/>
      <c r="E17024" s="219"/>
      <c r="F17024" s="219"/>
      <c r="G17024" s="219"/>
    </row>
    <row r="17025" spans="1:7" x14ac:dyDescent="0.25">
      <c r="A17025" s="49" t="s">
        <v>35</v>
      </c>
      <c r="B17025" s="225" t="s">
        <v>36</v>
      </c>
      <c r="C17025" s="225"/>
      <c r="D17025" s="49" t="s">
        <v>37</v>
      </c>
      <c r="E17025" s="49" t="s">
        <v>38</v>
      </c>
      <c r="F17025" s="49" t="s">
        <v>39</v>
      </c>
      <c r="G17025" s="49" t="s">
        <v>40</v>
      </c>
    </row>
    <row r="17026" spans="1:7" x14ac:dyDescent="0.25">
      <c r="A17026" s="69" t="s">
        <v>97</v>
      </c>
      <c r="B17026" s="72" t="str">
        <f>VLOOKUP(A17026,'Componentes APUs'!$N$1:$Q$30,2,0)</f>
        <v>Camioneta</v>
      </c>
      <c r="C17026" s="73"/>
      <c r="D17026" s="70" t="str">
        <f>VLOOKUP(A17026,'Componentes APUs'!$N$1:$Q$30,3,0)</f>
        <v>U</v>
      </c>
      <c r="E17026" s="50">
        <v>1</v>
      </c>
      <c r="F17026" s="51">
        <f>VLOOKUP(A17026,'Componentes APUs'!$N$1:$Q$30,4,0)</f>
        <v>5500000</v>
      </c>
      <c r="G17026" s="51">
        <f>IFERROR(ROUNDUP(F17026*(E17026/21)/E16978,0),0)</f>
        <v>130953</v>
      </c>
    </row>
    <row r="17027" spans="1:7" x14ac:dyDescent="0.25">
      <c r="A17027" s="50" t="s">
        <v>321</v>
      </c>
      <c r="B17027" s="72" t="str">
        <f>VLOOKUP(A17027,'Componentes APUs'!$N$1:$Q$30,2,0)</f>
        <v>Grúa Hidráulica</v>
      </c>
      <c r="C17027" s="73"/>
      <c r="D17027" s="70" t="str">
        <f>VLOOKUP(A17027,'Componentes APUs'!$N$1:$Q$30,3,0)</f>
        <v>U</v>
      </c>
      <c r="E17027" s="50">
        <v>0</v>
      </c>
      <c r="F17027" s="51">
        <f>VLOOKUP(A17027,'Componentes APUs'!$N$1:$Q$30,4,0)</f>
        <v>21000000</v>
      </c>
      <c r="G17027" s="51">
        <f>IFERROR(ROUNDUP(F17027*(E17027/21)/E16978,0),0)</f>
        <v>0</v>
      </c>
    </row>
    <row r="17028" spans="1:7" x14ac:dyDescent="0.25">
      <c r="A17028" s="69" t="s">
        <v>322</v>
      </c>
      <c r="B17028" s="72" t="str">
        <f>VLOOKUP(A17028,'Componentes APUs'!$N$1:$Q$30,2,0)</f>
        <v>Camabaja</v>
      </c>
      <c r="C17028" s="73"/>
      <c r="D17028" s="70" t="str">
        <f>VLOOKUP(A17028,'Componentes APUs'!$N$1:$Q$30,3,0)</f>
        <v>TON/KM</v>
      </c>
      <c r="E17028" s="50">
        <v>0</v>
      </c>
      <c r="F17028" s="51">
        <f>VLOOKUP(A17028,'Componentes APUs'!$N$1:$Q$30,4,0)</f>
        <v>611</v>
      </c>
      <c r="G17028" s="51">
        <f>IFERROR(ROUNDUP(F17028*(E17028/21)/E16978,0),0)</f>
        <v>0</v>
      </c>
    </row>
    <row r="17029" spans="1:7" x14ac:dyDescent="0.25">
      <c r="A17029" s="50" t="s">
        <v>323</v>
      </c>
      <c r="B17029" s="72" t="str">
        <f>VLOOKUP(A17029,'Componentes APUs'!$N$1:$Q$30,2,0)</f>
        <v>Volqueta</v>
      </c>
      <c r="C17029" s="73"/>
      <c r="D17029" s="70" t="str">
        <f>VLOOKUP(A17029,'Componentes APUs'!$N$1:$Q$30,3,0)</f>
        <v>U</v>
      </c>
      <c r="E17029" s="50">
        <v>0</v>
      </c>
      <c r="F17029" s="51">
        <f>VLOOKUP(A17029,'Componentes APUs'!$N$1:$Q$30,4,0)</f>
        <v>14828184</v>
      </c>
      <c r="G17029" s="51">
        <f>IFERROR(ROUNDUP(F17029*(E17029/21)/E16978,0),0)</f>
        <v>0</v>
      </c>
    </row>
    <row r="17030" spans="1:7" x14ac:dyDescent="0.25">
      <c r="A17030" s="69" t="s">
        <v>324</v>
      </c>
      <c r="B17030" s="72" t="str">
        <f>VLOOKUP(A17030,'Componentes APUs'!$N$1:$Q$30,2,0)</f>
        <v>Retroexcavadora</v>
      </c>
      <c r="C17030" s="73"/>
      <c r="D17030" s="70" t="str">
        <f>VLOOKUP(A17030,'Componentes APUs'!$N$1:$Q$30,3,0)</f>
        <v>U</v>
      </c>
      <c r="E17030" s="50">
        <v>0</v>
      </c>
      <c r="F17030" s="51">
        <f>VLOOKUP(A17030,'Componentes APUs'!$N$1:$Q$30,4,0)</f>
        <v>46030656</v>
      </c>
      <c r="G17030" s="51">
        <f>IFERROR(ROUNDUP(F17030*(E17030/21)/E16978,0),0)</f>
        <v>0</v>
      </c>
    </row>
    <row r="17031" spans="1:7" x14ac:dyDescent="0.25">
      <c r="A17031" s="219" t="s">
        <v>99</v>
      </c>
      <c r="B17031" s="219"/>
      <c r="C17031" s="219"/>
      <c r="D17031" s="219"/>
      <c r="E17031" s="219"/>
      <c r="F17031" s="219"/>
      <c r="G17031" s="52">
        <f>SUM(G17026:G17030)</f>
        <v>130953</v>
      </c>
    </row>
    <row r="17032" spans="1:7" x14ac:dyDescent="0.25">
      <c r="A17032" s="56"/>
      <c r="B17032" s="57"/>
      <c r="C17032" s="57"/>
      <c r="D17032" s="57"/>
      <c r="E17032" s="57"/>
      <c r="F17032" s="57"/>
      <c r="G17032" s="58"/>
    </row>
    <row r="17033" spans="1:7" x14ac:dyDescent="0.25">
      <c r="A17033" s="219" t="s">
        <v>1516</v>
      </c>
      <c r="B17033" s="219"/>
      <c r="C17033" s="219"/>
      <c r="D17033" s="219"/>
      <c r="E17033" s="219"/>
      <c r="F17033" s="219"/>
      <c r="G17033" s="52">
        <f>G17031+G17022+G17005+G16995+G16985</f>
        <v>2086028</v>
      </c>
    </row>
    <row r="17034" spans="1:7" x14ac:dyDescent="0.25">
      <c r="A17034" s="59"/>
      <c r="B17034" s="60"/>
      <c r="C17034" s="60"/>
      <c r="D17034" s="60"/>
      <c r="E17034" s="57"/>
      <c r="F17034" s="57"/>
      <c r="G17034" s="58"/>
    </row>
    <row r="17035" spans="1:7" x14ac:dyDescent="0.25">
      <c r="A17035" s="64"/>
      <c r="D17035" s="55"/>
      <c r="E17035" s="49" t="s">
        <v>25</v>
      </c>
      <c r="F17035" s="54">
        <v>0.15</v>
      </c>
      <c r="G17035" s="51">
        <f>G17033*F17035</f>
        <v>312904.2</v>
      </c>
    </row>
    <row r="17036" spans="1:7" x14ac:dyDescent="0.25">
      <c r="A17036" s="64"/>
      <c r="D17036" s="55"/>
      <c r="E17036" s="49" t="s">
        <v>26</v>
      </c>
      <c r="F17036" s="54">
        <v>0.05</v>
      </c>
      <c r="G17036" s="51">
        <f>G17033*F17036</f>
        <v>104301.40000000001</v>
      </c>
    </row>
    <row r="17037" spans="1:7" x14ac:dyDescent="0.25">
      <c r="A17037" s="61"/>
      <c r="B17037" s="65"/>
      <c r="C17037" s="65"/>
      <c r="D17037" s="62"/>
      <c r="E17037" s="49" t="s">
        <v>27</v>
      </c>
      <c r="F17037" s="54">
        <v>0.05</v>
      </c>
      <c r="G17037" s="51">
        <f>G17033*F17037</f>
        <v>104301.40000000001</v>
      </c>
    </row>
    <row r="17038" spans="1:7" x14ac:dyDescent="0.25">
      <c r="A17038" s="61"/>
      <c r="B17038" s="62"/>
      <c r="C17038" s="62"/>
      <c r="D17038" s="62"/>
      <c r="E17038" s="62"/>
      <c r="F17038" s="62"/>
      <c r="G17038" s="63"/>
    </row>
    <row r="17039" spans="1:7" x14ac:dyDescent="0.25">
      <c r="A17039" s="219" t="s">
        <v>1517</v>
      </c>
      <c r="B17039" s="219"/>
      <c r="C17039" s="219"/>
      <c r="D17039" s="219"/>
      <c r="E17039" s="219"/>
      <c r="F17039" s="219"/>
      <c r="G17039" s="52">
        <f>G17033+G17035+G17036+G17037</f>
        <v>2607535</v>
      </c>
    </row>
    <row r="17040" spans="1:7" x14ac:dyDescent="0.25">
      <c r="A17040" s="59"/>
      <c r="B17040" s="60"/>
      <c r="C17040" s="60"/>
      <c r="D17040" s="60"/>
      <c r="E17040" s="57"/>
      <c r="F17040" s="57"/>
      <c r="G17040" s="58"/>
    </row>
    <row r="17041" spans="1:7" x14ac:dyDescent="0.25">
      <c r="A17041" s="64"/>
      <c r="D17041" s="55"/>
      <c r="E17041" s="49" t="s">
        <v>102</v>
      </c>
      <c r="F17041" s="49" t="s">
        <v>103</v>
      </c>
      <c r="G17041" s="51">
        <f>G17037*19%</f>
        <v>19817.266000000003</v>
      </c>
    </row>
    <row r="17042" spans="1:7" x14ac:dyDescent="0.25">
      <c r="A17042" s="61"/>
      <c r="B17042" s="62"/>
      <c r="C17042" s="62"/>
      <c r="D17042" s="62"/>
      <c r="E17042" s="57"/>
      <c r="F17042" s="57"/>
      <c r="G17042" s="58"/>
    </row>
    <row r="17043" spans="1:7" x14ac:dyDescent="0.25">
      <c r="A17043" s="219" t="s">
        <v>104</v>
      </c>
      <c r="B17043" s="219"/>
      <c r="C17043" s="219"/>
      <c r="D17043" s="219"/>
      <c r="E17043" s="219"/>
      <c r="F17043" s="219"/>
      <c r="G17043" s="52">
        <f>G17041+G17039</f>
        <v>2627352.2659999998</v>
      </c>
    </row>
    <row r="17045" spans="1:7" x14ac:dyDescent="0.25">
      <c r="A17045" s="74" t="s">
        <v>29</v>
      </c>
      <c r="B17045" s="226" t="s">
        <v>30</v>
      </c>
      <c r="C17045" s="226"/>
      <c r="D17045" s="74" t="s">
        <v>31</v>
      </c>
      <c r="E17045" s="74" t="s">
        <v>32</v>
      </c>
      <c r="F17045" s="74" t="s">
        <v>189</v>
      </c>
      <c r="G17045" s="74" t="s">
        <v>33</v>
      </c>
    </row>
    <row r="17046" spans="1:7" ht="56.25" customHeight="1" x14ac:dyDescent="0.25">
      <c r="A17046" s="50" t="str">
        <f>Presupuesto!B335</f>
        <v>009_AUX</v>
      </c>
      <c r="B17046" s="220" t="str">
        <f>Presupuesto!C335</f>
        <v>SUMINISTRO DE TRANSFORMADOR DE CORRIENTE TIPO VENTANA. USO EXTERIOR PARA MEDIDA SEMIDIRECTA. (100:5A/5A;CL0.5S;25VA). INCLUYE PROTOCOLOS DE PRUEBA DE PRECISIÓN DE FABRICANTE Y LABORATORIO ACREDITADO.</v>
      </c>
      <c r="C17046" s="220"/>
      <c r="D17046" s="50" t="s">
        <v>8</v>
      </c>
      <c r="E17046" s="50">
        <v>15</v>
      </c>
      <c r="F17046" s="50"/>
      <c r="G17046" s="51">
        <f>G17114</f>
        <v>382040.35649999994</v>
      </c>
    </row>
    <row r="17047" spans="1:7" x14ac:dyDescent="0.25">
      <c r="A17047" s="219"/>
      <c r="B17047" s="219"/>
      <c r="C17047" s="219"/>
      <c r="D17047" s="219"/>
      <c r="E17047" s="219"/>
      <c r="F17047" s="219"/>
      <c r="G17047" s="219"/>
    </row>
    <row r="17048" spans="1:7" x14ac:dyDescent="0.25">
      <c r="A17048" s="49" t="s">
        <v>35</v>
      </c>
      <c r="B17048" s="219" t="s">
        <v>36</v>
      </c>
      <c r="C17048" s="219"/>
      <c r="D17048" s="49" t="s">
        <v>37</v>
      </c>
      <c r="E17048" s="49" t="s">
        <v>38</v>
      </c>
      <c r="F17048" s="49" t="s">
        <v>39</v>
      </c>
      <c r="G17048" s="49" t="s">
        <v>40</v>
      </c>
    </row>
    <row r="17049" spans="1:7" x14ac:dyDescent="0.25">
      <c r="A17049" s="17" t="str">
        <f>Material!A115</f>
        <v>MA-114</v>
      </c>
      <c r="B17049" s="72" t="str">
        <f>IFERROR(VLOOKUP(A17049,Material!$A:$J,2,0),"-")</f>
        <v>TRANSFORMADOR DE CORRIENTE BLOX 100/5A TIPO VENTANA EXTERIOR</v>
      </c>
      <c r="C17049" s="73"/>
      <c r="D17049" s="50" t="str">
        <f>IFERROR(VLOOKUP(A17049,Material!$A:$J,4,0),"-")</f>
        <v>UN</v>
      </c>
      <c r="E17049" s="50">
        <v>1</v>
      </c>
      <c r="F17049" s="51">
        <f>IFERROR(VLOOKUP(A17049,Material!$A:$J,3,0),"-")</f>
        <v>240000</v>
      </c>
      <c r="G17049" s="51">
        <f t="shared" ref="G17049:G17055" si="238">IFERROR(ROUNDUP(F17049*E17049,0),"-")</f>
        <v>240000</v>
      </c>
    </row>
    <row r="17050" spans="1:7" x14ac:dyDescent="0.25">
      <c r="A17050" s="17"/>
      <c r="B17050" s="72" t="str">
        <f>IFERROR(VLOOKUP(A17050,Material!$A:$J,2,0),"-")</f>
        <v>-</v>
      </c>
      <c r="C17050" s="76"/>
      <c r="D17050" s="50" t="str">
        <f>IFERROR(VLOOKUP(A17050,Material!$A:$J,4,0),"-")</f>
        <v>-</v>
      </c>
      <c r="E17050" s="50"/>
      <c r="F17050" s="51" t="str">
        <f>IFERROR(VLOOKUP(A17050,Material!$A:$J,3,0),"-")</f>
        <v>-</v>
      </c>
      <c r="G17050" s="51" t="str">
        <f t="shared" si="238"/>
        <v>-</v>
      </c>
    </row>
    <row r="17051" spans="1:7" x14ac:dyDescent="0.25">
      <c r="A17051" s="17"/>
      <c r="B17051" s="72" t="str">
        <f>IFERROR(VLOOKUP(A17051,Material!$A:$J,2,0),"-")</f>
        <v>-</v>
      </c>
      <c r="C17051" s="76"/>
      <c r="D17051" s="50" t="str">
        <f>IFERROR(VLOOKUP(A17051,Material!$A:$J,4,0),"-")</f>
        <v>-</v>
      </c>
      <c r="E17051" s="50"/>
      <c r="F17051" s="51" t="str">
        <f>IFERROR(VLOOKUP(A17051,Material!$A:$J,3,0),"-")</f>
        <v>-</v>
      </c>
      <c r="G17051" s="51" t="str">
        <f t="shared" si="238"/>
        <v>-</v>
      </c>
    </row>
    <row r="17052" spans="1:7" x14ac:dyDescent="0.25">
      <c r="A17052" s="17"/>
      <c r="B17052" s="72" t="str">
        <f>IFERROR(VLOOKUP(A17052,Material!$A:$J,2,0),"-")</f>
        <v>-</v>
      </c>
      <c r="C17052" s="76"/>
      <c r="D17052" s="50" t="str">
        <f>IFERROR(VLOOKUP(A17052,Material!$A:$J,4,0),"-")</f>
        <v>-</v>
      </c>
      <c r="E17052" s="50"/>
      <c r="F17052" s="51" t="str">
        <f>IFERROR(VLOOKUP(A17052,Material!$A:$J,3,0),"-")</f>
        <v>-</v>
      </c>
      <c r="G17052" s="51" t="str">
        <f t="shared" si="238"/>
        <v>-</v>
      </c>
    </row>
    <row r="17053" spans="1:7" x14ac:dyDescent="0.25">
      <c r="A17053" s="17"/>
      <c r="B17053" s="72" t="str">
        <f>IFERROR(VLOOKUP(A17053,Material!$A:$J,2,0),"-")</f>
        <v>-</v>
      </c>
      <c r="C17053" s="76"/>
      <c r="D17053" s="50" t="str">
        <f>IFERROR(VLOOKUP(A17053,Material!$A:$J,4,0),"-")</f>
        <v>-</v>
      </c>
      <c r="E17053" s="50"/>
      <c r="F17053" s="51" t="str">
        <f>IFERROR(VLOOKUP(A17053,Material!$A:$J,3,0),"-")</f>
        <v>-</v>
      </c>
      <c r="G17053" s="51" t="str">
        <f t="shared" si="238"/>
        <v>-</v>
      </c>
    </row>
    <row r="17054" spans="1:7" x14ac:dyDescent="0.25">
      <c r="A17054" s="17"/>
      <c r="B17054" s="72" t="str">
        <f>IFERROR(VLOOKUP(A17054,Material!$A:$J,2,0),"-")</f>
        <v>-</v>
      </c>
      <c r="C17054" s="76"/>
      <c r="D17054" s="50" t="str">
        <f>IFERROR(VLOOKUP(A17054,Material!$A:$J,4,0),"-")</f>
        <v>-</v>
      </c>
      <c r="E17054" s="50"/>
      <c r="F17054" s="51" t="str">
        <f>IFERROR(VLOOKUP(A17054,Material!$A:$J,3,0),"-")</f>
        <v>-</v>
      </c>
      <c r="G17054" s="51" t="str">
        <f t="shared" si="238"/>
        <v>-</v>
      </c>
    </row>
    <row r="17055" spans="1:7" x14ac:dyDescent="0.25">
      <c r="A17055" s="17"/>
      <c r="B17055" s="72" t="str">
        <f>IFERROR(VLOOKUP(A17055,Material!$A:$J,2,0),"-")</f>
        <v>-</v>
      </c>
      <c r="C17055" s="76"/>
      <c r="D17055" s="50" t="str">
        <f>IFERROR(VLOOKUP(A17055,Material!$A:$J,4,0),"-")</f>
        <v>-</v>
      </c>
      <c r="E17055" s="50"/>
      <c r="F17055" s="51" t="str">
        <f>IFERROR(VLOOKUP(A17055,Material!$A:$J,3,0),"-")</f>
        <v>-</v>
      </c>
      <c r="G17055" s="51" t="str">
        <f t="shared" si="238"/>
        <v>-</v>
      </c>
    </row>
    <row r="17056" spans="1:7" x14ac:dyDescent="0.25">
      <c r="A17056" s="219" t="s">
        <v>41</v>
      </c>
      <c r="B17056" s="219"/>
      <c r="C17056" s="219"/>
      <c r="D17056" s="219"/>
      <c r="E17056" s="219"/>
      <c r="F17056" s="219"/>
      <c r="G17056" s="52">
        <f>SUM(G17049:G17055)</f>
        <v>240000</v>
      </c>
    </row>
    <row r="17057" spans="1:7" x14ac:dyDescent="0.25">
      <c r="A17057" s="56"/>
      <c r="B17057" s="57"/>
      <c r="C17057" s="57"/>
      <c r="D17057" s="57"/>
      <c r="E17057" s="57"/>
      <c r="F17057" s="57"/>
      <c r="G17057" s="58"/>
    </row>
    <row r="17058" spans="1:7" x14ac:dyDescent="0.25">
      <c r="A17058" s="219" t="s">
        <v>42</v>
      </c>
      <c r="B17058" s="219"/>
      <c r="C17058" s="219"/>
      <c r="D17058" s="219"/>
      <c r="E17058" s="219"/>
      <c r="F17058" s="219"/>
      <c r="G17058" s="219"/>
    </row>
    <row r="17059" spans="1:7" x14ac:dyDescent="0.25">
      <c r="A17059" s="49" t="s">
        <v>35</v>
      </c>
      <c r="B17059" s="49" t="s">
        <v>36</v>
      </c>
      <c r="C17059" s="49" t="s">
        <v>38</v>
      </c>
      <c r="D17059" s="49" t="s">
        <v>43</v>
      </c>
      <c r="E17059" s="49" t="s">
        <v>44</v>
      </c>
      <c r="F17059" s="49" t="s">
        <v>45</v>
      </c>
      <c r="G17059" s="49" t="s">
        <v>40</v>
      </c>
    </row>
    <row r="17060" spans="1:7" x14ac:dyDescent="0.25">
      <c r="A17060" s="50" t="s">
        <v>319</v>
      </c>
      <c r="B17060" s="68" t="str">
        <f>VLOOKUP(A17060,'[1]Componentes APUs'!$H$1:$L$25,2,0)</f>
        <v>Ingeniero Residente de Obra</v>
      </c>
      <c r="C17060" s="93">
        <v>0.25</v>
      </c>
      <c r="D17060" s="50">
        <f>VLOOKUP(A17060,'[1]Componentes APUs'!$H$1:$L$25,3,0)</f>
        <v>4</v>
      </c>
      <c r="E17060" s="51">
        <f>VLOOKUP(A17060,'[1]Componentes APUs'!$H$1:$L$25,4,0)</f>
        <v>271142.85714285716</v>
      </c>
      <c r="F17060" s="51">
        <f>VLOOKUP(A17060,'[1]Componentes APUs'!$H$1:$L$25,5,0)</f>
        <v>162685.71428571429</v>
      </c>
      <c r="G17060" s="51">
        <f>ROUNDUP((E17060+F17060)*C17060/E17046,0)</f>
        <v>7231</v>
      </c>
    </row>
    <row r="17061" spans="1:7" x14ac:dyDescent="0.25">
      <c r="A17061" s="50" t="s">
        <v>320</v>
      </c>
      <c r="B17061" s="68" t="str">
        <f>VLOOKUP(A17061,'[1]Componentes APUs'!$H$1:$L$25,2,0)</f>
        <v>Tecnico Supervisor</v>
      </c>
      <c r="C17061" s="93">
        <v>0.25</v>
      </c>
      <c r="D17061" s="50">
        <f>VLOOKUP(A17061,'[1]Componentes APUs'!$H$1:$L$25,3,0)</f>
        <v>2.2999999999999998</v>
      </c>
      <c r="E17061" s="51">
        <f>VLOOKUP(A17061,'[1]Componentes APUs'!$H$1:$L$25,4,0)</f>
        <v>155907.14285714284</v>
      </c>
      <c r="F17061" s="51">
        <f>VLOOKUP(A17061,'[1]Componentes APUs'!$H$1:$L$25,5,0)</f>
        <v>93544.285714285696</v>
      </c>
      <c r="G17061" s="51">
        <f>ROUNDUP((E17061+F17061)*C17061/E17046,0)</f>
        <v>4158</v>
      </c>
    </row>
    <row r="17062" spans="1:7" x14ac:dyDescent="0.25">
      <c r="A17062" s="50" t="s">
        <v>46</v>
      </c>
      <c r="B17062" s="68" t="str">
        <f>VLOOKUP(A17062,'[1]Componentes APUs'!$H$1:$L$25,2,0)</f>
        <v>Tecnico Liniero</v>
      </c>
      <c r="C17062" s="93">
        <v>1</v>
      </c>
      <c r="D17062" s="50">
        <f>VLOOKUP(A17062,'[1]Componentes APUs'!$H$1:$L$25,3,0)</f>
        <v>2</v>
      </c>
      <c r="E17062" s="51">
        <f>VLOOKUP(A17062,'[1]Componentes APUs'!$H$1:$L$25,4,0)</f>
        <v>154619.04761904763</v>
      </c>
      <c r="F17062" s="51">
        <f>VLOOKUP(A17062,'[1]Componentes APUs'!$H$1:$L$25,5,0)</f>
        <v>92771.42857142858</v>
      </c>
      <c r="G17062" s="51">
        <f>ROUNDUP((E17062+F17062)*C17062/E17046,0)</f>
        <v>16493</v>
      </c>
    </row>
    <row r="17063" spans="1:7" x14ac:dyDescent="0.25">
      <c r="A17063" s="50" t="s">
        <v>48</v>
      </c>
      <c r="B17063" s="68" t="str">
        <f>VLOOKUP(A17063,'[1]Componentes APUs'!$H$1:$L$25,2,0)</f>
        <v>Ayudante Calificado</v>
      </c>
      <c r="C17063" s="93">
        <v>1</v>
      </c>
      <c r="D17063" s="50">
        <f>VLOOKUP(A17063,'[1]Componentes APUs'!$H$1:$L$25,3,0)</f>
        <v>1.5</v>
      </c>
      <c r="E17063" s="51">
        <f>VLOOKUP(A17063,'[1]Componentes APUs'!$H$1:$L$25,4,0)</f>
        <v>115964.28571428571</v>
      </c>
      <c r="F17063" s="51">
        <f>VLOOKUP(A17063,'[1]Componentes APUs'!$H$1:$L$25,5,0)</f>
        <v>69578.57142857142</v>
      </c>
      <c r="G17063" s="51">
        <f>ROUNDUP((E17063+F17063)*C17063/E17046,0)</f>
        <v>12370</v>
      </c>
    </row>
    <row r="17064" spans="1:7" x14ac:dyDescent="0.25">
      <c r="A17064" s="50" t="s">
        <v>50</v>
      </c>
      <c r="B17064" s="68" t="str">
        <f>VLOOKUP(A17064,'[1]Componentes APUs'!$H$1:$L$25,2,0)</f>
        <v>Profesional en SST</v>
      </c>
      <c r="C17064" s="93">
        <v>0.25</v>
      </c>
      <c r="D17064" s="50">
        <f>VLOOKUP(A17064,'[1]Componentes APUs'!$H$1:$L$25,3,0)</f>
        <v>2.5</v>
      </c>
      <c r="E17064" s="51">
        <f>VLOOKUP(A17064,'[1]Componentes APUs'!$H$1:$L$25,4,0)</f>
        <v>169464.28571428571</v>
      </c>
      <c r="F17064" s="51">
        <f>VLOOKUP(A17064,'[1]Componentes APUs'!$H$1:$L$25,5,0)</f>
        <v>101678.57142857142</v>
      </c>
      <c r="G17064" s="51">
        <f>ROUNDUP((E17064+F17064)*C17064/E17046,0)</f>
        <v>4520</v>
      </c>
    </row>
    <row r="17065" spans="1:7" x14ac:dyDescent="0.25">
      <c r="A17065" s="50" t="s">
        <v>52</v>
      </c>
      <c r="B17065" s="68" t="str">
        <f>VLOOKUP(A17065,'[1]Componentes APUs'!$H$1:$L$25,2,0)</f>
        <v>Ayudante No Calificado</v>
      </c>
      <c r="C17065" s="93">
        <v>0</v>
      </c>
      <c r="D17065" s="50">
        <f>VLOOKUP(A17065,'[1]Componentes APUs'!$H$1:$L$25,3,0)</f>
        <v>1</v>
      </c>
      <c r="E17065" s="51">
        <f>VLOOKUP(A17065,'[1]Componentes APUs'!$H$1:$L$25,4,0)</f>
        <v>77309.523809523816</v>
      </c>
      <c r="F17065" s="51">
        <f>VLOOKUP(A17065,'[1]Componentes APUs'!$H$1:$L$25,5,0)</f>
        <v>46385.71428571429</v>
      </c>
      <c r="G17065" s="51">
        <f>ROUNDUP((E17065+F17065)*C17065/E17046,0)</f>
        <v>0</v>
      </c>
    </row>
    <row r="17066" spans="1:7" x14ac:dyDescent="0.25">
      <c r="A17066" s="219" t="s">
        <v>56</v>
      </c>
      <c r="B17066" s="219"/>
      <c r="C17066" s="219"/>
      <c r="D17066" s="219"/>
      <c r="E17066" s="219"/>
      <c r="F17066" s="219"/>
      <c r="G17066" s="52">
        <f>SUM(G17060:G17065)</f>
        <v>44772</v>
      </c>
    </row>
    <row r="17067" spans="1:7" x14ac:dyDescent="0.25">
      <c r="A17067" s="56"/>
      <c r="B17067" s="57"/>
      <c r="C17067" s="57"/>
      <c r="D17067" s="57"/>
      <c r="E17067" s="57"/>
      <c r="F17067" s="57"/>
      <c r="G17067" s="58"/>
    </row>
    <row r="17068" spans="1:7" x14ac:dyDescent="0.25">
      <c r="A17068" s="219" t="s">
        <v>57</v>
      </c>
      <c r="B17068" s="219"/>
      <c r="C17068" s="219"/>
      <c r="D17068" s="219"/>
      <c r="E17068" s="219"/>
      <c r="F17068" s="219"/>
      <c r="G17068" s="219"/>
    </row>
    <row r="17069" spans="1:7" x14ac:dyDescent="0.25">
      <c r="A17069" s="49" t="s">
        <v>35</v>
      </c>
      <c r="B17069" s="219" t="s">
        <v>36</v>
      </c>
      <c r="C17069" s="219"/>
      <c r="D17069" s="49" t="s">
        <v>37</v>
      </c>
      <c r="E17069" s="49" t="s">
        <v>38</v>
      </c>
      <c r="F17069" s="49" t="s">
        <v>39</v>
      </c>
      <c r="G17069" s="49" t="s">
        <v>40</v>
      </c>
    </row>
    <row r="17070" spans="1:7" x14ac:dyDescent="0.25">
      <c r="A17070" s="50" t="s">
        <v>326</v>
      </c>
      <c r="B17070" s="220" t="str">
        <f>VLOOKUP(A17070,'[1]Componentes APUs'!$S$1:$V$10,2,0)</f>
        <v>Juego Llaves</v>
      </c>
      <c r="C17070" s="220"/>
      <c r="D17070" s="50" t="s">
        <v>18</v>
      </c>
      <c r="E17070" s="50">
        <v>2</v>
      </c>
      <c r="F17070" s="51">
        <f>VLOOKUP(A17070,'[1]Componentes APUs'!$S$1:$V$10,4,0)</f>
        <v>9167</v>
      </c>
      <c r="G17070" s="51">
        <f>ROUNDUP(F17070*((E17070/21)/E17046),0)</f>
        <v>59</v>
      </c>
    </row>
    <row r="17071" spans="1:7" x14ac:dyDescent="0.25">
      <c r="A17071" s="50" t="s">
        <v>58</v>
      </c>
      <c r="B17071" s="220" t="str">
        <f>VLOOKUP(A17071,'[1]Componentes APUs'!$S$1:$V$10,2,0)</f>
        <v>Manila de servicio</v>
      </c>
      <c r="C17071" s="220"/>
      <c r="D17071" s="50" t="s">
        <v>18</v>
      </c>
      <c r="E17071" s="50">
        <v>2</v>
      </c>
      <c r="F17071" s="51">
        <f>VLOOKUP(A17071,'[1]Componentes APUs'!$S$1:$V$10,4,0)</f>
        <v>2333</v>
      </c>
      <c r="G17071" s="51">
        <f>ROUNDUP(F17071*((E17071/21)/E17046),0)</f>
        <v>15</v>
      </c>
    </row>
    <row r="17072" spans="1:7" x14ac:dyDescent="0.25">
      <c r="A17072" s="50" t="s">
        <v>327</v>
      </c>
      <c r="B17072" s="220" t="str">
        <f>VLOOKUP(A17072,'[1]Componentes APUs'!$S$1:$V$10,2,0)</f>
        <v>Tula portaherramientas</v>
      </c>
      <c r="C17072" s="220"/>
      <c r="D17072" s="50" t="s">
        <v>18</v>
      </c>
      <c r="E17072" s="50">
        <v>2</v>
      </c>
      <c r="F17072" s="51">
        <f>VLOOKUP(A17072,'[1]Componentes APUs'!$S$1:$V$10,4,0)</f>
        <v>1250</v>
      </c>
      <c r="G17072" s="51">
        <f>ROUNDUP(F17072*((E17072/21)/E17046),0)</f>
        <v>8</v>
      </c>
    </row>
    <row r="17073" spans="1:7" x14ac:dyDescent="0.25">
      <c r="A17073" s="50" t="s">
        <v>60</v>
      </c>
      <c r="B17073" s="220" t="str">
        <f>VLOOKUP(A17073,'[1]Componentes APUs'!$S$1:$V$10,2,0)</f>
        <v>Agarradoras</v>
      </c>
      <c r="C17073" s="220"/>
      <c r="D17073" s="50" t="s">
        <v>18</v>
      </c>
      <c r="E17073" s="50">
        <v>0</v>
      </c>
      <c r="F17073" s="51">
        <f>VLOOKUP(A17073,'[1]Componentes APUs'!$S$1:$V$10,4,0)</f>
        <v>125000</v>
      </c>
      <c r="G17073" s="51">
        <f>ROUNDUP(F17073*((E17073/21)/E17046),0)</f>
        <v>0</v>
      </c>
    </row>
    <row r="17074" spans="1:7" x14ac:dyDescent="0.25">
      <c r="A17074" s="50" t="s">
        <v>62</v>
      </c>
      <c r="B17074" s="220" t="str">
        <f>VLOOKUP(A17074,'[1]Componentes APUs'!$S$1:$V$10,2,0)</f>
        <v>Templadoras</v>
      </c>
      <c r="C17074" s="220"/>
      <c r="D17074" s="50" t="s">
        <v>18</v>
      </c>
      <c r="E17074" s="50">
        <v>0</v>
      </c>
      <c r="F17074" s="51">
        <f>VLOOKUP(A17074,'[1]Componentes APUs'!$S$1:$V$10,4,0)</f>
        <v>250000</v>
      </c>
      <c r="G17074" s="51">
        <f>ROUNDUP(F17074*((E17074/21)/E17046),0)</f>
        <v>0</v>
      </c>
    </row>
    <row r="17075" spans="1:7" x14ac:dyDescent="0.25">
      <c r="A17075" s="50" t="s">
        <v>328</v>
      </c>
      <c r="B17075" s="220" t="str">
        <f>VLOOKUP(A17075,'[1]Componentes APUs'!$S$1:$V$10,2,0)</f>
        <v>Herramienta Menor</v>
      </c>
      <c r="C17075" s="220"/>
      <c r="D17075" s="50" t="s">
        <v>18</v>
      </c>
      <c r="E17075" s="50">
        <v>2</v>
      </c>
      <c r="F17075" s="51">
        <f>VLOOKUP(A17075,'[1]Componentes APUs'!$S$1:$V$10,4,0)</f>
        <v>75758</v>
      </c>
      <c r="G17075" s="51">
        <f>ROUNDUP(F17075*((E17075/21)/E17046),0)</f>
        <v>482</v>
      </c>
    </row>
    <row r="17076" spans="1:7" x14ac:dyDescent="0.25">
      <c r="A17076" s="219" t="s">
        <v>69</v>
      </c>
      <c r="B17076" s="219"/>
      <c r="C17076" s="219"/>
      <c r="D17076" s="219"/>
      <c r="E17076" s="219"/>
      <c r="F17076" s="219"/>
      <c r="G17076" s="52">
        <f>SUM(G17070:G17075)</f>
        <v>564</v>
      </c>
    </row>
    <row r="17077" spans="1:7" x14ac:dyDescent="0.25">
      <c r="A17077" s="56"/>
      <c r="B17077" s="57"/>
      <c r="C17077" s="57"/>
      <c r="D17077" s="57"/>
      <c r="E17077" s="57"/>
      <c r="F17077" s="57"/>
      <c r="G17077" s="58"/>
    </row>
    <row r="17078" spans="1:7" x14ac:dyDescent="0.25">
      <c r="A17078" s="219" t="s">
        <v>70</v>
      </c>
      <c r="B17078" s="219"/>
      <c r="C17078" s="219"/>
      <c r="D17078" s="219"/>
      <c r="E17078" s="219"/>
      <c r="F17078" s="219"/>
      <c r="G17078" s="219"/>
    </row>
    <row r="17079" spans="1:7" x14ac:dyDescent="0.25">
      <c r="A17079" s="49" t="s">
        <v>35</v>
      </c>
      <c r="B17079" s="219" t="s">
        <v>36</v>
      </c>
      <c r="C17079" s="219"/>
      <c r="D17079" s="49" t="s">
        <v>37</v>
      </c>
      <c r="E17079" s="49" t="s">
        <v>38</v>
      </c>
      <c r="F17079" s="49" t="s">
        <v>39</v>
      </c>
      <c r="G17079" s="49" t="s">
        <v>40</v>
      </c>
    </row>
    <row r="17080" spans="1:7" x14ac:dyDescent="0.25">
      <c r="A17080" s="50" t="s">
        <v>71</v>
      </c>
      <c r="B17080" s="71" t="str">
        <f>VLOOKUP(A17080,'[1]Componentes APUs'!$A$1:$D$14,2,0)</f>
        <v>Camisa indigo sin partes metalicas</v>
      </c>
      <c r="C17080" s="71"/>
      <c r="D17080" s="50" t="str">
        <f>VLOOKUP(A17080,'[1]Componentes APUs'!$A$1:$D$14,3,0)</f>
        <v>U</v>
      </c>
      <c r="E17080" s="50">
        <f>SUM(C17060:C17065)</f>
        <v>2.75</v>
      </c>
      <c r="F17080" s="51">
        <f>VLOOKUP(A17080,'[1]Componentes APUs'!$A$1:$D$14,4,0)</f>
        <v>8585.8585858585866</v>
      </c>
      <c r="G17080" s="51">
        <f>ROUNDUP(F17080*(E17080/21)/E17046,0)</f>
        <v>75</v>
      </c>
    </row>
    <row r="17081" spans="1:7" x14ac:dyDescent="0.25">
      <c r="A17081" s="69" t="s">
        <v>73</v>
      </c>
      <c r="B17081" s="72" t="str">
        <f>VLOOKUP(A17081,'[1]Componentes APUs'!$A$1:$D$14,2,0)</f>
        <v>Bota de seguridad dielectrica</v>
      </c>
      <c r="C17081" s="73"/>
      <c r="D17081" s="70" t="str">
        <f>VLOOKUP(A17081,'[1]Componentes APUs'!$A$1:$D$14,3,0)</f>
        <v>Par</v>
      </c>
      <c r="E17081" s="50">
        <f>SUM(C17060:C17065)</f>
        <v>2.75</v>
      </c>
      <c r="F17081" s="51">
        <f>VLOOKUP(A17081,'[1]Componentes APUs'!$A$1:$D$14,4,0)</f>
        <v>7500</v>
      </c>
      <c r="G17081" s="51">
        <f>ROUNDUP(F17081*(E17081/21)/E17046,0)</f>
        <v>66</v>
      </c>
    </row>
    <row r="17082" spans="1:7" x14ac:dyDescent="0.25">
      <c r="A17082" s="50" t="s">
        <v>76</v>
      </c>
      <c r="B17082" s="72" t="str">
        <f>VLOOKUP(A17082,'[1]Componentes APUs'!$A$1:$D$14,2,0)</f>
        <v>Casco dielectrico Tipo 1 Clase E con barbuquejo</v>
      </c>
      <c r="C17082" s="73"/>
      <c r="D17082" s="50" t="str">
        <f>VLOOKUP(A17082,'[1]Componentes APUs'!$A$1:$D$14,3,0)</f>
        <v>U</v>
      </c>
      <c r="E17082" s="50">
        <f>C17065+C17060+C17063+C17064+C17061+IF(A17062&lt;&gt;"MO-3",C17062,0)</f>
        <v>1.75</v>
      </c>
      <c r="F17082" s="51">
        <f>VLOOKUP(A17082,'[1]Componentes APUs'!$A$1:$D$14,4,0)</f>
        <v>10101.010101010101</v>
      </c>
      <c r="G17082" s="51">
        <f>ROUNDUP(F17082*(E17082/21)/E17046,0)</f>
        <v>57</v>
      </c>
    </row>
    <row r="17083" spans="1:7" x14ac:dyDescent="0.25">
      <c r="A17083" s="69" t="s">
        <v>77</v>
      </c>
      <c r="B17083" s="72" t="str">
        <f>VLOOKUP(A17083,'[1]Componentes APUs'!$A$1:$D$14,2,0)</f>
        <v>Correa plastica y antiflama</v>
      </c>
      <c r="C17083" s="73"/>
      <c r="D17083" s="50" t="str">
        <f>VLOOKUP(A17083,'[1]Componentes APUs'!$A$1:$D$14,3,0)</f>
        <v>U</v>
      </c>
      <c r="E17083" s="50">
        <f>SUM(C17060:C17065)</f>
        <v>2.75</v>
      </c>
      <c r="F17083" s="51">
        <f>VLOOKUP(A17083,'[1]Componentes APUs'!$A$1:$D$14,4,0)</f>
        <v>3787.878787878788</v>
      </c>
      <c r="G17083" s="51">
        <f>ROUNDUP(F17083*(E17083/21)/E17046,0)</f>
        <v>34</v>
      </c>
    </row>
    <row r="17084" spans="1:7" x14ac:dyDescent="0.25">
      <c r="A17084" s="50" t="s">
        <v>79</v>
      </c>
      <c r="B17084" s="72" t="str">
        <f>VLOOKUP(A17084,'[1]Componentes APUs'!$A$1:$D$14,2,0)</f>
        <v>Gafas protectoras filtro UV</v>
      </c>
      <c r="C17084" s="73"/>
      <c r="D17084" s="50" t="str">
        <f>VLOOKUP(A17084,'[1]Componentes APUs'!$A$1:$D$14,3,0)</f>
        <v>U</v>
      </c>
      <c r="E17084" s="50">
        <f>SUM(C17060:C17065)</f>
        <v>2.75</v>
      </c>
      <c r="F17084" s="51">
        <f>VLOOKUP(A17084,'[1]Componentes APUs'!$A$1:$D$14,4,0)</f>
        <v>2777.7777777777778</v>
      </c>
      <c r="G17084" s="51">
        <f>ROUNDUP(F17084*(E17084/21)/E17046,0)</f>
        <v>25</v>
      </c>
    </row>
    <row r="17085" spans="1:7" x14ac:dyDescent="0.25">
      <c r="A17085" s="69" t="s">
        <v>402</v>
      </c>
      <c r="B17085" s="72" t="str">
        <f>VLOOKUP(A17085,'[1]Componentes APUs'!$A$1:$D$14,2,0)</f>
        <v>Bota de seguridad PVC dielectrica</v>
      </c>
      <c r="C17085" s="73"/>
      <c r="D17085" s="50" t="str">
        <f>VLOOKUP(A17085,'[1]Componentes APUs'!$A$1:$D$14,3,0)</f>
        <v>Par</v>
      </c>
      <c r="E17085" s="50">
        <f>SUM(C17060:C17065)</f>
        <v>2.75</v>
      </c>
      <c r="F17085" s="51">
        <f>VLOOKUP(A17085,'[1]Componentes APUs'!$A$1:$D$14,4,0)</f>
        <v>2916.6666666666665</v>
      </c>
      <c r="G17085" s="51">
        <f>ROUNDUP(F17085*(E17085/21)/E17046,0)</f>
        <v>26</v>
      </c>
    </row>
    <row r="17086" spans="1:7" x14ac:dyDescent="0.25">
      <c r="A17086" s="50" t="s">
        <v>403</v>
      </c>
      <c r="B17086" s="72" t="str">
        <f>VLOOKUP(A17086,'[1]Componentes APUs'!$A$1:$D$14,2,0)</f>
        <v>Capuchon</v>
      </c>
      <c r="C17086" s="73"/>
      <c r="D17086" s="50" t="str">
        <f>VLOOKUP(A17086,'[1]Componentes APUs'!$A$1:$D$14,3,0)</f>
        <v>U</v>
      </c>
      <c r="E17086" s="50">
        <f>SUM(C17060:C17065)</f>
        <v>2.75</v>
      </c>
      <c r="F17086" s="51">
        <f>VLOOKUP(A17086,'[1]Componentes APUs'!$A$1:$D$14,4,0)</f>
        <v>2525.2525252525252</v>
      </c>
      <c r="G17086" s="51">
        <f>ROUNDUP(F17086*(E17086/21)/E17046,0)</f>
        <v>23</v>
      </c>
    </row>
    <row r="17087" spans="1:7" x14ac:dyDescent="0.25">
      <c r="A17087" s="69" t="s">
        <v>81</v>
      </c>
      <c r="B17087" s="72" t="str">
        <f>VLOOKUP(A17087,'[1]Componentes APUs'!$A$1:$D$14,2,0)</f>
        <v>Guantes Protectores  - ingeniero reforzados</v>
      </c>
      <c r="C17087" s="73"/>
      <c r="D17087" s="50" t="str">
        <f>VLOOKUP(A17087,'[1]Componentes APUs'!$A$1:$D$14,3,0)</f>
        <v>Par</v>
      </c>
      <c r="E17087" s="50">
        <f>C17062+C17063+C17065</f>
        <v>2</v>
      </c>
      <c r="F17087" s="51">
        <f>VLOOKUP(A17087,'[1]Componentes APUs'!$A$1:$D$14,4,0)</f>
        <v>2525.2525252525252</v>
      </c>
      <c r="G17087" s="51">
        <f>ROUNDUP(F17087*(E17087/21)/E17046,0)</f>
        <v>17</v>
      </c>
    </row>
    <row r="17088" spans="1:7" x14ac:dyDescent="0.25">
      <c r="A17088" s="50" t="s">
        <v>83</v>
      </c>
      <c r="B17088" s="72" t="str">
        <f>VLOOKUP(A17088,'[1]Componentes APUs'!$A$1:$D$14,2,0)</f>
        <v>Impermeable (pantalon camisa)</v>
      </c>
      <c r="C17088" s="73"/>
      <c r="D17088" s="50" t="str">
        <f>VLOOKUP(A17088,'[1]Componentes APUs'!$A$1:$D$14,3,0)</f>
        <v>U</v>
      </c>
      <c r="E17088" s="50">
        <f>SUM(C17060:C17065)</f>
        <v>2.75</v>
      </c>
      <c r="F17088" s="51">
        <f>VLOOKUP(A17088,'[1]Componentes APUs'!$A$1:$D$14,4,0)</f>
        <v>3750</v>
      </c>
      <c r="G17088" s="51">
        <f>ROUNDUP(F17088*(E17088/21)/E17046,0)</f>
        <v>33</v>
      </c>
    </row>
    <row r="17089" spans="1:7" x14ac:dyDescent="0.25">
      <c r="A17089" s="69" t="s">
        <v>85</v>
      </c>
      <c r="B17089" s="72" t="str">
        <f>VLOOKUP(A17089,'[1]Componentes APUs'!$A$1:$D$14,2,0)</f>
        <v>Jean Dielectrico</v>
      </c>
      <c r="C17089" s="73"/>
      <c r="D17089" s="50" t="str">
        <f>VLOOKUP(A17089,'[1]Componentes APUs'!$A$1:$D$14,3,0)</f>
        <v>U</v>
      </c>
      <c r="E17089" s="50">
        <f>SUM(C17060:C17065)</f>
        <v>2.75</v>
      </c>
      <c r="F17089" s="51">
        <f>VLOOKUP(A17089,'[1]Componentes APUs'!$A$1:$D$14,4,0)</f>
        <v>7575.757575757576</v>
      </c>
      <c r="G17089" s="51">
        <f>ROUNDUP(F17089*(E17089/21)/E17046,0)</f>
        <v>67</v>
      </c>
    </row>
    <row r="17090" spans="1:7" x14ac:dyDescent="0.25">
      <c r="A17090" s="50" t="s">
        <v>87</v>
      </c>
      <c r="B17090" s="72" t="str">
        <f>VLOOKUP(A17090,'[1]Componentes APUs'!$A$1:$D$14,2,0)</f>
        <v>Casco dielectrico Tipo 2 Clase E con barboquejo</v>
      </c>
      <c r="C17090" s="73"/>
      <c r="D17090" s="50" t="str">
        <f>VLOOKUP(A17090,'[1]Componentes APUs'!$A$1:$D$14,3,0)</f>
        <v>U</v>
      </c>
      <c r="E17090" s="53">
        <f>IF(A17062="MO-3",C17062,0)</f>
        <v>1</v>
      </c>
      <c r="F17090" s="51">
        <f>VLOOKUP(A17090,'[1]Componentes APUs'!$A$1:$D$14,4,0)</f>
        <v>7500</v>
      </c>
      <c r="G17090" s="51">
        <f>ROUNDUP(F17090*(E17090/21)/E17046,0)</f>
        <v>24</v>
      </c>
    </row>
    <row r="17091" spans="1:7" x14ac:dyDescent="0.25">
      <c r="A17091" s="69" t="s">
        <v>89</v>
      </c>
      <c r="B17091" s="72" t="str">
        <f>VLOOKUP(A17091,'[1]Componentes APUs'!$A$1:$D$14,2,0)</f>
        <v>Kit de rescate para trabajo en alturas</v>
      </c>
      <c r="C17091" s="73"/>
      <c r="D17091" s="50" t="str">
        <f>VLOOKUP(A17091,'[1]Componentes APUs'!$A$1:$D$14,3,0)</f>
        <v>U</v>
      </c>
      <c r="E17091" s="50">
        <f>IF(AND(A17062="MO-3",C17062=2),1,0)</f>
        <v>0</v>
      </c>
      <c r="F17091" s="51">
        <f>VLOOKUP(A17091,'[1]Componentes APUs'!$A$1:$D$14,4,0)</f>
        <v>37500</v>
      </c>
      <c r="G17091" s="51">
        <f>ROUNDUP(F17091*(E17091/21)/E17046,0)</f>
        <v>0</v>
      </c>
    </row>
    <row r="17092" spans="1:7" x14ac:dyDescent="0.25">
      <c r="A17092" s="50" t="s">
        <v>91</v>
      </c>
      <c r="B17092" s="72" t="str">
        <f>VLOOKUP(A17092,'[1]Componentes APUs'!$A$1:$D$14,2,0)</f>
        <v>Equipo completo para trabajo en alturas con pretales (Arnes dielectrico, 1 mosqueton de seguridad, tie off dielectrico, eslinga de posicionamiento, juego de pretales)</v>
      </c>
      <c r="C17092" s="73"/>
      <c r="D17092" s="50" t="str">
        <f>VLOOKUP(A17092,'[1]Componentes APUs'!$A$1:$D$14,3,0)</f>
        <v>U</v>
      </c>
      <c r="E17092" s="50">
        <f>IF(A17062="MO-3",C17062,0)</f>
        <v>1</v>
      </c>
      <c r="F17092" s="51">
        <f>VLOOKUP(A17092,'[1]Componentes APUs'!$A$1:$D$14,4,0)</f>
        <v>26041.666666666668</v>
      </c>
      <c r="G17092" s="51">
        <f>ROUNDUP(F17092*(E17092/21)/E17046,0)</f>
        <v>83</v>
      </c>
    </row>
    <row r="17093" spans="1:7" x14ac:dyDescent="0.25">
      <c r="A17093" s="219" t="s">
        <v>95</v>
      </c>
      <c r="B17093" s="219"/>
      <c r="C17093" s="219"/>
      <c r="D17093" s="219"/>
      <c r="E17093" s="219"/>
      <c r="F17093" s="219"/>
      <c r="G17093" s="52">
        <f>SUM(G17080:G17092)</f>
        <v>530</v>
      </c>
    </row>
    <row r="17094" spans="1:7" x14ac:dyDescent="0.25">
      <c r="A17094" s="56"/>
      <c r="B17094" s="57"/>
      <c r="C17094" s="57"/>
      <c r="D17094" s="57"/>
      <c r="E17094" s="57"/>
      <c r="F17094" s="57"/>
      <c r="G17094" s="58"/>
    </row>
    <row r="17095" spans="1:7" x14ac:dyDescent="0.25">
      <c r="A17095" s="219" t="s">
        <v>96</v>
      </c>
      <c r="B17095" s="219"/>
      <c r="C17095" s="219"/>
      <c r="D17095" s="219"/>
      <c r="E17095" s="219"/>
      <c r="F17095" s="219"/>
      <c r="G17095" s="219"/>
    </row>
    <row r="17096" spans="1:7" x14ac:dyDescent="0.25">
      <c r="A17096" s="49" t="s">
        <v>35</v>
      </c>
      <c r="B17096" s="225" t="s">
        <v>36</v>
      </c>
      <c r="C17096" s="225"/>
      <c r="D17096" s="49" t="s">
        <v>37</v>
      </c>
      <c r="E17096" s="49" t="s">
        <v>38</v>
      </c>
      <c r="F17096" s="49" t="s">
        <v>39</v>
      </c>
      <c r="G17096" s="49" t="s">
        <v>40</v>
      </c>
    </row>
    <row r="17097" spans="1:7" x14ac:dyDescent="0.25">
      <c r="A17097" s="69" t="s">
        <v>97</v>
      </c>
      <c r="B17097" s="72" t="str">
        <f>VLOOKUP(A17097,'[1]Componentes APUs'!$N$1:$Q$30,2,0)</f>
        <v>Camioneta</v>
      </c>
      <c r="C17097" s="73"/>
      <c r="D17097" s="70" t="str">
        <f>VLOOKUP(A17097,'[1]Componentes APUs'!$N$1:$Q$30,3,0)</f>
        <v>U</v>
      </c>
      <c r="E17097" s="50">
        <v>1</v>
      </c>
      <c r="F17097" s="51">
        <f>VLOOKUP(A17097,'[1]Componentes APUs'!$N$1:$Q$30,4,0)</f>
        <v>5500000</v>
      </c>
      <c r="G17097" s="51">
        <f>IFERROR(ROUNDUP(F17097*(E17097/21)/E17046,0),0)</f>
        <v>17461</v>
      </c>
    </row>
    <row r="17098" spans="1:7" x14ac:dyDescent="0.25">
      <c r="A17098" s="50" t="s">
        <v>321</v>
      </c>
      <c r="B17098" s="72" t="str">
        <f>VLOOKUP(A17098,'[1]Componentes APUs'!$N$1:$Q$30,2,0)</f>
        <v>Grúa Hidráulica</v>
      </c>
      <c r="C17098" s="73"/>
      <c r="D17098" s="70" t="str">
        <f>VLOOKUP(A17098,'[1]Componentes APUs'!$N$1:$Q$30,3,0)</f>
        <v>U</v>
      </c>
      <c r="E17098" s="50">
        <v>0</v>
      </c>
      <c r="F17098" s="51">
        <f>VLOOKUP(A17098,'[1]Componentes APUs'!$N$1:$Q$30,4,0)</f>
        <v>21000000</v>
      </c>
      <c r="G17098" s="51">
        <f>IFERROR(ROUNDUP(F17098*(E17098/21)/E17046,0),0)</f>
        <v>0</v>
      </c>
    </row>
    <row r="17099" spans="1:7" x14ac:dyDescent="0.25">
      <c r="A17099" s="69" t="s">
        <v>322</v>
      </c>
      <c r="B17099" s="72" t="str">
        <f>VLOOKUP(A17099,'[1]Componentes APUs'!$N$1:$Q$30,2,0)</f>
        <v>Camabaja</v>
      </c>
      <c r="C17099" s="73"/>
      <c r="D17099" s="70" t="str">
        <f>VLOOKUP(A17099,'[1]Componentes APUs'!$N$1:$Q$30,3,0)</f>
        <v>TON/KM</v>
      </c>
      <c r="E17099" s="50">
        <v>0</v>
      </c>
      <c r="F17099" s="51">
        <f>VLOOKUP(A17099,'[1]Componentes APUs'!$N$1:$Q$30,4,0)</f>
        <v>611</v>
      </c>
      <c r="G17099" s="51">
        <f>IFERROR(ROUNDUP(F17099*(E17099/21)/E17046,0),0)</f>
        <v>0</v>
      </c>
    </row>
    <row r="17100" spans="1:7" x14ac:dyDescent="0.25">
      <c r="A17100" s="50" t="s">
        <v>323</v>
      </c>
      <c r="B17100" s="72" t="str">
        <f>VLOOKUP(A17100,'[1]Componentes APUs'!$N$1:$Q$30,2,0)</f>
        <v>Volqueta</v>
      </c>
      <c r="C17100" s="73"/>
      <c r="D17100" s="70" t="str">
        <f>VLOOKUP(A17100,'[1]Componentes APUs'!$N$1:$Q$30,3,0)</f>
        <v>U</v>
      </c>
      <c r="E17100" s="50">
        <v>0</v>
      </c>
      <c r="F17100" s="51">
        <f>VLOOKUP(A17100,'[1]Componentes APUs'!$N$1:$Q$30,4,0)</f>
        <v>18900000</v>
      </c>
      <c r="G17100" s="51">
        <f>IFERROR(ROUNDUP(F17100*(E17100/21)/E17046,0),0)</f>
        <v>0</v>
      </c>
    </row>
    <row r="17101" spans="1:7" x14ac:dyDescent="0.25">
      <c r="A17101" s="69" t="s">
        <v>324</v>
      </c>
      <c r="B17101" s="72" t="str">
        <f>VLOOKUP(A17101,'[1]Componentes APUs'!$N$1:$Q$30,2,0)</f>
        <v>Retroexcavadora</v>
      </c>
      <c r="C17101" s="73"/>
      <c r="D17101" s="70" t="str">
        <f>VLOOKUP(A17101,'[1]Componentes APUs'!$N$1:$Q$30,3,0)</f>
        <v>U</v>
      </c>
      <c r="E17101" s="50">
        <v>0</v>
      </c>
      <c r="F17101" s="51">
        <f>VLOOKUP(A17101,'[1]Componentes APUs'!$N$1:$Q$30,4,0)</f>
        <v>1494459.54</v>
      </c>
      <c r="G17101" s="51">
        <f>IFERROR(ROUNDUP(F17101*(E17101/21)/E17046,0),0)</f>
        <v>0</v>
      </c>
    </row>
    <row r="17102" spans="1:7" x14ac:dyDescent="0.25">
      <c r="A17102" s="219" t="s">
        <v>99</v>
      </c>
      <c r="B17102" s="219"/>
      <c r="C17102" s="219"/>
      <c r="D17102" s="219"/>
      <c r="E17102" s="219"/>
      <c r="F17102" s="219"/>
      <c r="G17102" s="52">
        <f>SUM(G17097:G17101)</f>
        <v>17461</v>
      </c>
    </row>
    <row r="17103" spans="1:7" x14ac:dyDescent="0.25">
      <c r="A17103" s="56"/>
      <c r="B17103" s="57"/>
      <c r="C17103" s="57"/>
      <c r="D17103" s="57"/>
      <c r="E17103" s="57"/>
      <c r="F17103" s="57"/>
      <c r="G17103" s="58"/>
    </row>
    <row r="17104" spans="1:7" x14ac:dyDescent="0.25">
      <c r="A17104" s="219" t="s">
        <v>1516</v>
      </c>
      <c r="B17104" s="219"/>
      <c r="C17104" s="219"/>
      <c r="D17104" s="219"/>
      <c r="E17104" s="219"/>
      <c r="F17104" s="219"/>
      <c r="G17104" s="52">
        <f>G17102+G17093+G17076+G17066+G17056</f>
        <v>303327</v>
      </c>
    </row>
    <row r="17105" spans="1:7" x14ac:dyDescent="0.25">
      <c r="A17105" s="59"/>
      <c r="B17105" s="60"/>
      <c r="C17105" s="60"/>
      <c r="D17105" s="60"/>
      <c r="E17105" s="57"/>
      <c r="F17105" s="57"/>
      <c r="G17105" s="58"/>
    </row>
    <row r="17106" spans="1:7" x14ac:dyDescent="0.25">
      <c r="A17106" s="64"/>
      <c r="D17106" s="55"/>
      <c r="E17106" s="49" t="s">
        <v>25</v>
      </c>
      <c r="F17106" s="54">
        <v>0.15</v>
      </c>
      <c r="G17106" s="51">
        <f>G17104*F17106</f>
        <v>45499.049999999996</v>
      </c>
    </row>
    <row r="17107" spans="1:7" x14ac:dyDescent="0.25">
      <c r="A17107" s="64"/>
      <c r="D17107" s="55"/>
      <c r="E17107" s="49" t="s">
        <v>26</v>
      </c>
      <c r="F17107" s="54">
        <v>0.05</v>
      </c>
      <c r="G17107" s="51">
        <f>G17104*F17107</f>
        <v>15166.35</v>
      </c>
    </row>
    <row r="17108" spans="1:7" x14ac:dyDescent="0.25">
      <c r="A17108" s="61"/>
      <c r="B17108" s="65"/>
      <c r="C17108" s="65"/>
      <c r="D17108" s="62"/>
      <c r="E17108" s="49" t="s">
        <v>27</v>
      </c>
      <c r="F17108" s="54">
        <v>0.05</v>
      </c>
      <c r="G17108" s="51">
        <f>G17104*F17108</f>
        <v>15166.35</v>
      </c>
    </row>
    <row r="17109" spans="1:7" x14ac:dyDescent="0.25">
      <c r="A17109" s="61"/>
      <c r="B17109" s="62"/>
      <c r="C17109" s="62"/>
      <c r="D17109" s="62"/>
      <c r="E17109" s="62"/>
      <c r="F17109" s="62"/>
      <c r="G17109" s="63"/>
    </row>
    <row r="17110" spans="1:7" x14ac:dyDescent="0.25">
      <c r="A17110" s="219" t="s">
        <v>1517</v>
      </c>
      <c r="B17110" s="219"/>
      <c r="C17110" s="219"/>
      <c r="D17110" s="219"/>
      <c r="E17110" s="219"/>
      <c r="F17110" s="219"/>
      <c r="G17110" s="52">
        <f>G17104+G17106+G17107+G17108</f>
        <v>379158.74999999994</v>
      </c>
    </row>
    <row r="17111" spans="1:7" x14ac:dyDescent="0.25">
      <c r="A17111" s="59"/>
      <c r="B17111" s="60"/>
      <c r="C17111" s="60"/>
      <c r="D17111" s="60"/>
      <c r="E17111" s="57"/>
      <c r="F17111" s="57"/>
      <c r="G17111" s="58"/>
    </row>
    <row r="17112" spans="1:7" x14ac:dyDescent="0.25">
      <c r="A17112" s="64"/>
      <c r="D17112" s="55"/>
      <c r="E17112" s="49" t="s">
        <v>102</v>
      </c>
      <c r="F17112" s="49" t="s">
        <v>103</v>
      </c>
      <c r="G17112" s="51">
        <f>G17108*19%</f>
        <v>2881.6065000000003</v>
      </c>
    </row>
    <row r="17113" spans="1:7" x14ac:dyDescent="0.25">
      <c r="A17113" s="61"/>
      <c r="B17113" s="62"/>
      <c r="C17113" s="62"/>
      <c r="D17113" s="62"/>
      <c r="E17113" s="57"/>
      <c r="F17113" s="57"/>
      <c r="G17113" s="58"/>
    </row>
    <row r="17114" spans="1:7" x14ac:dyDescent="0.25">
      <c r="A17114" s="219" t="s">
        <v>104</v>
      </c>
      <c r="B17114" s="219"/>
      <c r="C17114" s="219"/>
      <c r="D17114" s="219"/>
      <c r="E17114" s="219"/>
      <c r="F17114" s="219"/>
      <c r="G17114" s="52">
        <f>G17112+G17110</f>
        <v>382040.35649999994</v>
      </c>
    </row>
    <row r="17116" spans="1:7" x14ac:dyDescent="0.25">
      <c r="A17116" s="74" t="s">
        <v>29</v>
      </c>
      <c r="B17116" s="226" t="s">
        <v>30</v>
      </c>
      <c r="C17116" s="226"/>
      <c r="D17116" s="74" t="s">
        <v>31</v>
      </c>
      <c r="E17116" s="74" t="s">
        <v>32</v>
      </c>
      <c r="F17116" s="74" t="s">
        <v>189</v>
      </c>
      <c r="G17116" s="74" t="s">
        <v>33</v>
      </c>
    </row>
    <row r="17117" spans="1:7" ht="53.25" customHeight="1" x14ac:dyDescent="0.25">
      <c r="A17117" s="50" t="str">
        <f>Presupuesto!B336</f>
        <v>010_AUX</v>
      </c>
      <c r="B17117" s="220" t="str">
        <f>Presupuesto!C336</f>
        <v>SUMINISTRO E INSTALACIÓN DE TRANSFORMADOR DE CORRIENTE TIPO VENTANA. USO INTERIOR PARA MEDIDA SEMIDIRECTA. (200:5A ;CL: 0.5S; 25VA). INCLUYE PROTOCOLOS DE PRUEBA DE PRECISIÓN DE FABRICANTE Y LABORATORIO ACREDITADO.</v>
      </c>
      <c r="C17117" s="220"/>
      <c r="D17117" s="50" t="s">
        <v>8</v>
      </c>
      <c r="E17117" s="50">
        <v>15</v>
      </c>
      <c r="F17117" s="50"/>
      <c r="G17117" s="51">
        <f>G17182</f>
        <v>382040.35649999994</v>
      </c>
    </row>
    <row r="17118" spans="1:7" x14ac:dyDescent="0.25">
      <c r="A17118" s="219"/>
      <c r="B17118" s="219"/>
      <c r="C17118" s="219"/>
      <c r="D17118" s="219"/>
      <c r="E17118" s="219"/>
      <c r="F17118" s="219"/>
      <c r="G17118" s="219"/>
    </row>
    <row r="17119" spans="1:7" x14ac:dyDescent="0.25">
      <c r="A17119" s="49" t="s">
        <v>35</v>
      </c>
      <c r="B17119" s="219" t="s">
        <v>36</v>
      </c>
      <c r="C17119" s="219"/>
      <c r="D17119" s="49" t="s">
        <v>37</v>
      </c>
      <c r="E17119" s="49" t="s">
        <v>38</v>
      </c>
      <c r="F17119" s="49" t="s">
        <v>39</v>
      </c>
      <c r="G17119" s="49" t="s">
        <v>40</v>
      </c>
    </row>
    <row r="17120" spans="1:7" ht="23.25" customHeight="1" x14ac:dyDescent="0.25">
      <c r="A17120" s="17" t="str">
        <f>Material!A438</f>
        <v>MA-437</v>
      </c>
      <c r="B17120" s="221" t="str">
        <f>IFERROR(VLOOKUP(A17120,Material!$A:$J,2,0),"-")</f>
        <v>TRANSFORMADOR DE CORRIENTE DE VENTANA TIPO INTERIOR 200/5, CL: 0.5s, 25 VA</v>
      </c>
      <c r="C17120" s="222"/>
      <c r="D17120" s="50" t="str">
        <f>IFERROR(VLOOKUP(A17120,Material!$A:$J,4,0),"-")</f>
        <v>UN</v>
      </c>
      <c r="E17120" s="50">
        <v>1</v>
      </c>
      <c r="F17120" s="51">
        <f>IFERROR(VLOOKUP(A17120,Material!$A:$J,3,0),"-")</f>
        <v>240000</v>
      </c>
      <c r="G17120" s="51">
        <f t="shared" ref="G17120:G17123" si="239">IFERROR(ROUNDUP(F17120*E17120,0),"-")</f>
        <v>240000</v>
      </c>
    </row>
    <row r="17121" spans="1:7" x14ac:dyDescent="0.25">
      <c r="A17121" s="17"/>
      <c r="B17121" s="72" t="str">
        <f>IFERROR(VLOOKUP(A17121,Material!$A:$J,2,0),"-")</f>
        <v>-</v>
      </c>
      <c r="C17121" s="76"/>
      <c r="D17121" s="50" t="str">
        <f>IFERROR(VLOOKUP(A17121,Material!$A:$J,4,0),"-")</f>
        <v>-</v>
      </c>
      <c r="E17121" s="50"/>
      <c r="F17121" s="51" t="str">
        <f>IFERROR(VLOOKUP(A17121,Material!$A:$J,3,0),"-")</f>
        <v>-</v>
      </c>
      <c r="G17121" s="51" t="str">
        <f t="shared" si="239"/>
        <v>-</v>
      </c>
    </row>
    <row r="17122" spans="1:7" x14ac:dyDescent="0.25">
      <c r="A17122" s="17"/>
      <c r="B17122" s="72" t="str">
        <f>IFERROR(VLOOKUP(A17122,Material!$A:$J,2,0),"-")</f>
        <v>-</v>
      </c>
      <c r="C17122" s="76"/>
      <c r="D17122" s="50" t="str">
        <f>IFERROR(VLOOKUP(A17122,Material!$A:$J,4,0),"-")</f>
        <v>-</v>
      </c>
      <c r="E17122" s="50"/>
      <c r="F17122" s="51" t="str">
        <f>IFERROR(VLOOKUP(A17122,Material!$A:$J,3,0),"-")</f>
        <v>-</v>
      </c>
      <c r="G17122" s="51" t="str">
        <f t="shared" si="239"/>
        <v>-</v>
      </c>
    </row>
    <row r="17123" spans="1:7" x14ac:dyDescent="0.25">
      <c r="A17123" s="17"/>
      <c r="B17123" s="72" t="str">
        <f>IFERROR(VLOOKUP(A17123,Material!$A:$J,2,0),"-")</f>
        <v>-</v>
      </c>
      <c r="C17123" s="76"/>
      <c r="D17123" s="50" t="str">
        <f>IFERROR(VLOOKUP(A17123,Material!$A:$J,4,0),"-")</f>
        <v>-</v>
      </c>
      <c r="E17123" s="50"/>
      <c r="F17123" s="51" t="str">
        <f>IFERROR(VLOOKUP(A17123,Material!$A:$J,3,0),"-")</f>
        <v>-</v>
      </c>
      <c r="G17123" s="51" t="str">
        <f t="shared" si="239"/>
        <v>-</v>
      </c>
    </row>
    <row r="17124" spans="1:7" x14ac:dyDescent="0.25">
      <c r="A17124" s="219" t="s">
        <v>41</v>
      </c>
      <c r="B17124" s="219"/>
      <c r="C17124" s="219"/>
      <c r="D17124" s="219"/>
      <c r="E17124" s="219"/>
      <c r="F17124" s="219"/>
      <c r="G17124" s="52">
        <f>SUM(G17120:G17123)</f>
        <v>240000</v>
      </c>
    </row>
    <row r="17125" spans="1:7" x14ac:dyDescent="0.25">
      <c r="A17125" s="56"/>
      <c r="B17125" s="57"/>
      <c r="C17125" s="57"/>
      <c r="D17125" s="57"/>
      <c r="E17125" s="57"/>
      <c r="F17125" s="57"/>
      <c r="G17125" s="58"/>
    </row>
    <row r="17126" spans="1:7" x14ac:dyDescent="0.25">
      <c r="A17126" s="219" t="s">
        <v>42</v>
      </c>
      <c r="B17126" s="219"/>
      <c r="C17126" s="219"/>
      <c r="D17126" s="219"/>
      <c r="E17126" s="219"/>
      <c r="F17126" s="219"/>
      <c r="G17126" s="219"/>
    </row>
    <row r="17127" spans="1:7" x14ac:dyDescent="0.25">
      <c r="A17127" s="49" t="s">
        <v>35</v>
      </c>
      <c r="B17127" s="49" t="s">
        <v>36</v>
      </c>
      <c r="C17127" s="49" t="s">
        <v>38</v>
      </c>
      <c r="D17127" s="49" t="s">
        <v>43</v>
      </c>
      <c r="E17127" s="49" t="s">
        <v>44</v>
      </c>
      <c r="F17127" s="49" t="s">
        <v>45</v>
      </c>
      <c r="G17127" s="49" t="s">
        <v>40</v>
      </c>
    </row>
    <row r="17128" spans="1:7" x14ac:dyDescent="0.25">
      <c r="A17128" s="50" t="s">
        <v>319</v>
      </c>
      <c r="B17128" s="68" t="str">
        <f>VLOOKUP(A17128,'[1]Componentes APUs'!$H$1:$L$25,2,0)</f>
        <v>Ingeniero Residente de Obra</v>
      </c>
      <c r="C17128" s="93">
        <v>0.25</v>
      </c>
      <c r="D17128" s="50">
        <f>VLOOKUP(A17128,'[1]Componentes APUs'!$H$1:$L$25,3,0)</f>
        <v>4</v>
      </c>
      <c r="E17128" s="51">
        <f>VLOOKUP(A17128,'[1]Componentes APUs'!$H$1:$L$25,4,0)</f>
        <v>271142.85714285716</v>
      </c>
      <c r="F17128" s="51">
        <f>VLOOKUP(A17128,'[1]Componentes APUs'!$H$1:$L$25,5,0)</f>
        <v>162685.71428571429</v>
      </c>
      <c r="G17128" s="51">
        <f>ROUNDUP((E17128+F17128)*C17128/E17117,0)</f>
        <v>7231</v>
      </c>
    </row>
    <row r="17129" spans="1:7" x14ac:dyDescent="0.25">
      <c r="A17129" s="50" t="s">
        <v>320</v>
      </c>
      <c r="B17129" s="68" t="str">
        <f>VLOOKUP(A17129,'[1]Componentes APUs'!$H$1:$L$25,2,0)</f>
        <v>Tecnico Supervisor</v>
      </c>
      <c r="C17129" s="93">
        <v>0.25</v>
      </c>
      <c r="D17129" s="50">
        <f>VLOOKUP(A17129,'[1]Componentes APUs'!$H$1:$L$25,3,0)</f>
        <v>2.2999999999999998</v>
      </c>
      <c r="E17129" s="51">
        <f>VLOOKUP(A17129,'[1]Componentes APUs'!$H$1:$L$25,4,0)</f>
        <v>155907.14285714284</v>
      </c>
      <c r="F17129" s="51">
        <f>VLOOKUP(A17129,'[1]Componentes APUs'!$H$1:$L$25,5,0)</f>
        <v>93544.285714285696</v>
      </c>
      <c r="G17129" s="51">
        <f>ROUNDUP((E17129+F17129)*C17129/E17117,0)</f>
        <v>4158</v>
      </c>
    </row>
    <row r="17130" spans="1:7" x14ac:dyDescent="0.25">
      <c r="A17130" s="50" t="s">
        <v>46</v>
      </c>
      <c r="B17130" s="68" t="str">
        <f>VLOOKUP(A17130,'[1]Componentes APUs'!$H$1:$L$25,2,0)</f>
        <v>Tecnico Liniero</v>
      </c>
      <c r="C17130" s="93">
        <v>1</v>
      </c>
      <c r="D17130" s="50">
        <f>VLOOKUP(A17130,'[1]Componentes APUs'!$H$1:$L$25,3,0)</f>
        <v>2</v>
      </c>
      <c r="E17130" s="51">
        <f>VLOOKUP(A17130,'[1]Componentes APUs'!$H$1:$L$25,4,0)</f>
        <v>154619.04761904763</v>
      </c>
      <c r="F17130" s="51">
        <f>VLOOKUP(A17130,'[1]Componentes APUs'!$H$1:$L$25,5,0)</f>
        <v>92771.42857142858</v>
      </c>
      <c r="G17130" s="51">
        <f>ROUNDUP((E17130+F17130)*C17130/E17117,0)</f>
        <v>16493</v>
      </c>
    </row>
    <row r="17131" spans="1:7" x14ac:dyDescent="0.25">
      <c r="A17131" s="50" t="s">
        <v>48</v>
      </c>
      <c r="B17131" s="68" t="str">
        <f>VLOOKUP(A17131,'[1]Componentes APUs'!$H$1:$L$25,2,0)</f>
        <v>Ayudante Calificado</v>
      </c>
      <c r="C17131" s="93">
        <v>1</v>
      </c>
      <c r="D17131" s="50">
        <f>VLOOKUP(A17131,'[1]Componentes APUs'!$H$1:$L$25,3,0)</f>
        <v>1.5</v>
      </c>
      <c r="E17131" s="51">
        <f>VLOOKUP(A17131,'[1]Componentes APUs'!$H$1:$L$25,4,0)</f>
        <v>115964.28571428571</v>
      </c>
      <c r="F17131" s="51">
        <f>VLOOKUP(A17131,'[1]Componentes APUs'!$H$1:$L$25,5,0)</f>
        <v>69578.57142857142</v>
      </c>
      <c r="G17131" s="51">
        <f>ROUNDUP((E17131+F17131)*C17131/E17117,0)</f>
        <v>12370</v>
      </c>
    </row>
    <row r="17132" spans="1:7" x14ac:dyDescent="0.25">
      <c r="A17132" s="50" t="s">
        <v>50</v>
      </c>
      <c r="B17132" s="68" t="str">
        <f>VLOOKUP(A17132,'[1]Componentes APUs'!$H$1:$L$25,2,0)</f>
        <v>Profesional en SST</v>
      </c>
      <c r="C17132" s="93">
        <v>0.25</v>
      </c>
      <c r="D17132" s="50">
        <f>VLOOKUP(A17132,'[1]Componentes APUs'!$H$1:$L$25,3,0)</f>
        <v>2.5</v>
      </c>
      <c r="E17132" s="51">
        <f>VLOOKUP(A17132,'[1]Componentes APUs'!$H$1:$L$25,4,0)</f>
        <v>169464.28571428571</v>
      </c>
      <c r="F17132" s="51">
        <f>VLOOKUP(A17132,'[1]Componentes APUs'!$H$1:$L$25,5,0)</f>
        <v>101678.57142857142</v>
      </c>
      <c r="G17132" s="51">
        <f>ROUNDUP((E17132+F17132)*C17132/E17117,0)</f>
        <v>4520</v>
      </c>
    </row>
    <row r="17133" spans="1:7" x14ac:dyDescent="0.25">
      <c r="A17133" s="50" t="s">
        <v>52</v>
      </c>
      <c r="B17133" s="68" t="str">
        <f>VLOOKUP(A17133,'[1]Componentes APUs'!$H$1:$L$25,2,0)</f>
        <v>Ayudante No Calificado</v>
      </c>
      <c r="C17133" s="93">
        <v>0</v>
      </c>
      <c r="D17133" s="50">
        <f>VLOOKUP(A17133,'[1]Componentes APUs'!$H$1:$L$25,3,0)</f>
        <v>1</v>
      </c>
      <c r="E17133" s="51">
        <f>VLOOKUP(A17133,'[1]Componentes APUs'!$H$1:$L$25,4,0)</f>
        <v>77309.523809523816</v>
      </c>
      <c r="F17133" s="51">
        <f>VLOOKUP(A17133,'[1]Componentes APUs'!$H$1:$L$25,5,0)</f>
        <v>46385.71428571429</v>
      </c>
      <c r="G17133" s="51">
        <f>ROUNDUP((E17133+F17133)*C17133/E17117,0)</f>
        <v>0</v>
      </c>
    </row>
    <row r="17134" spans="1:7" x14ac:dyDescent="0.25">
      <c r="A17134" s="219" t="s">
        <v>56</v>
      </c>
      <c r="B17134" s="219"/>
      <c r="C17134" s="219"/>
      <c r="D17134" s="219"/>
      <c r="E17134" s="219"/>
      <c r="F17134" s="219"/>
      <c r="G17134" s="52">
        <f>SUM(G17128:G17133)</f>
        <v>44772</v>
      </c>
    </row>
    <row r="17135" spans="1:7" x14ac:dyDescent="0.25">
      <c r="A17135" s="56"/>
      <c r="B17135" s="57"/>
      <c r="C17135" s="57"/>
      <c r="D17135" s="57"/>
      <c r="E17135" s="57"/>
      <c r="F17135" s="57"/>
      <c r="G17135" s="58"/>
    </row>
    <row r="17136" spans="1:7" x14ac:dyDescent="0.25">
      <c r="A17136" s="219" t="s">
        <v>57</v>
      </c>
      <c r="B17136" s="219"/>
      <c r="C17136" s="219"/>
      <c r="D17136" s="219"/>
      <c r="E17136" s="219"/>
      <c r="F17136" s="219"/>
      <c r="G17136" s="219"/>
    </row>
    <row r="17137" spans="1:7" x14ac:dyDescent="0.25">
      <c r="A17137" s="49" t="s">
        <v>35</v>
      </c>
      <c r="B17137" s="219" t="s">
        <v>36</v>
      </c>
      <c r="C17137" s="219"/>
      <c r="D17137" s="49" t="s">
        <v>37</v>
      </c>
      <c r="E17137" s="49" t="s">
        <v>38</v>
      </c>
      <c r="F17137" s="49" t="s">
        <v>39</v>
      </c>
      <c r="G17137" s="49" t="s">
        <v>40</v>
      </c>
    </row>
    <row r="17138" spans="1:7" x14ac:dyDescent="0.25">
      <c r="A17138" s="50" t="s">
        <v>326</v>
      </c>
      <c r="B17138" s="220" t="str">
        <f>VLOOKUP(A17138,'[1]Componentes APUs'!$S$1:$V$10,2,0)</f>
        <v>Juego Llaves</v>
      </c>
      <c r="C17138" s="220"/>
      <c r="D17138" s="50" t="s">
        <v>18</v>
      </c>
      <c r="E17138" s="50">
        <v>2</v>
      </c>
      <c r="F17138" s="51">
        <f>VLOOKUP(A17138,'[1]Componentes APUs'!$S$1:$V$10,4,0)</f>
        <v>9167</v>
      </c>
      <c r="G17138" s="51">
        <f>ROUNDUP(F17138*((E17138/21)/E17117),0)</f>
        <v>59</v>
      </c>
    </row>
    <row r="17139" spans="1:7" x14ac:dyDescent="0.25">
      <c r="A17139" s="50" t="s">
        <v>58</v>
      </c>
      <c r="B17139" s="220" t="str">
        <f>VLOOKUP(A17139,'[1]Componentes APUs'!$S$1:$V$10,2,0)</f>
        <v>Manila de servicio</v>
      </c>
      <c r="C17139" s="220"/>
      <c r="D17139" s="50" t="s">
        <v>18</v>
      </c>
      <c r="E17139" s="50">
        <v>2</v>
      </c>
      <c r="F17139" s="51">
        <f>VLOOKUP(A17139,'[1]Componentes APUs'!$S$1:$V$10,4,0)</f>
        <v>2333</v>
      </c>
      <c r="G17139" s="51">
        <f>ROUNDUP(F17139*((E17139/21)/E17117),0)</f>
        <v>15</v>
      </c>
    </row>
    <row r="17140" spans="1:7" x14ac:dyDescent="0.25">
      <c r="A17140" s="50" t="s">
        <v>327</v>
      </c>
      <c r="B17140" s="220" t="str">
        <f>VLOOKUP(A17140,'[1]Componentes APUs'!$S$1:$V$10,2,0)</f>
        <v>Tula portaherramientas</v>
      </c>
      <c r="C17140" s="220"/>
      <c r="D17140" s="50" t="s">
        <v>18</v>
      </c>
      <c r="E17140" s="50">
        <v>2</v>
      </c>
      <c r="F17140" s="51">
        <f>VLOOKUP(A17140,'[1]Componentes APUs'!$S$1:$V$10,4,0)</f>
        <v>1250</v>
      </c>
      <c r="G17140" s="51">
        <f>ROUNDUP(F17140*((E17140/21)/E17117),0)</f>
        <v>8</v>
      </c>
    </row>
    <row r="17141" spans="1:7" x14ac:dyDescent="0.25">
      <c r="A17141" s="50" t="s">
        <v>60</v>
      </c>
      <c r="B17141" s="220" t="str">
        <f>VLOOKUP(A17141,'[1]Componentes APUs'!$S$1:$V$10,2,0)</f>
        <v>Agarradoras</v>
      </c>
      <c r="C17141" s="220"/>
      <c r="D17141" s="50" t="s">
        <v>18</v>
      </c>
      <c r="E17141" s="50">
        <v>0</v>
      </c>
      <c r="F17141" s="51">
        <f>VLOOKUP(A17141,'[1]Componentes APUs'!$S$1:$V$10,4,0)</f>
        <v>125000</v>
      </c>
      <c r="G17141" s="51">
        <f>ROUNDUP(F17141*((E17141/21)/E17117),0)</f>
        <v>0</v>
      </c>
    </row>
    <row r="17142" spans="1:7" x14ac:dyDescent="0.25">
      <c r="A17142" s="50" t="s">
        <v>62</v>
      </c>
      <c r="B17142" s="220" t="str">
        <f>VLOOKUP(A17142,'[1]Componentes APUs'!$S$1:$V$10,2,0)</f>
        <v>Templadoras</v>
      </c>
      <c r="C17142" s="220"/>
      <c r="D17142" s="50" t="s">
        <v>18</v>
      </c>
      <c r="E17142" s="50">
        <v>0</v>
      </c>
      <c r="F17142" s="51">
        <f>VLOOKUP(A17142,'[1]Componentes APUs'!$S$1:$V$10,4,0)</f>
        <v>250000</v>
      </c>
      <c r="G17142" s="51">
        <f>ROUNDUP(F17142*((E17142/21)/E17117),0)</f>
        <v>0</v>
      </c>
    </row>
    <row r="17143" spans="1:7" x14ac:dyDescent="0.25">
      <c r="A17143" s="50" t="s">
        <v>328</v>
      </c>
      <c r="B17143" s="220" t="str">
        <f>VLOOKUP(A17143,'[1]Componentes APUs'!$S$1:$V$10,2,0)</f>
        <v>Herramienta Menor</v>
      </c>
      <c r="C17143" s="220"/>
      <c r="D17143" s="50" t="s">
        <v>18</v>
      </c>
      <c r="E17143" s="50">
        <v>2</v>
      </c>
      <c r="F17143" s="51">
        <f>VLOOKUP(A17143,'[1]Componentes APUs'!$S$1:$V$10,4,0)</f>
        <v>75758</v>
      </c>
      <c r="G17143" s="51">
        <f>ROUNDUP(F17143*((E17143/21)/E17117),0)</f>
        <v>482</v>
      </c>
    </row>
    <row r="17144" spans="1:7" x14ac:dyDescent="0.25">
      <c r="A17144" s="219" t="s">
        <v>69</v>
      </c>
      <c r="B17144" s="219"/>
      <c r="C17144" s="219"/>
      <c r="D17144" s="219"/>
      <c r="E17144" s="219"/>
      <c r="F17144" s="219"/>
      <c r="G17144" s="52">
        <f>SUM(G17138:G17143)</f>
        <v>564</v>
      </c>
    </row>
    <row r="17145" spans="1:7" x14ac:dyDescent="0.25">
      <c r="A17145" s="56"/>
      <c r="B17145" s="57"/>
      <c r="C17145" s="57"/>
      <c r="D17145" s="57"/>
      <c r="E17145" s="57"/>
      <c r="F17145" s="57"/>
      <c r="G17145" s="58"/>
    </row>
    <row r="17146" spans="1:7" x14ac:dyDescent="0.25">
      <c r="A17146" s="219" t="s">
        <v>70</v>
      </c>
      <c r="B17146" s="219"/>
      <c r="C17146" s="219"/>
      <c r="D17146" s="219"/>
      <c r="E17146" s="219"/>
      <c r="F17146" s="219"/>
      <c r="G17146" s="219"/>
    </row>
    <row r="17147" spans="1:7" x14ac:dyDescent="0.25">
      <c r="A17147" s="49" t="s">
        <v>35</v>
      </c>
      <c r="B17147" s="219" t="s">
        <v>36</v>
      </c>
      <c r="C17147" s="219"/>
      <c r="D17147" s="49" t="s">
        <v>37</v>
      </c>
      <c r="E17147" s="49" t="s">
        <v>38</v>
      </c>
      <c r="F17147" s="49" t="s">
        <v>39</v>
      </c>
      <c r="G17147" s="49" t="s">
        <v>40</v>
      </c>
    </row>
    <row r="17148" spans="1:7" x14ac:dyDescent="0.25">
      <c r="A17148" s="50" t="s">
        <v>71</v>
      </c>
      <c r="B17148" s="71" t="str">
        <f>VLOOKUP(A17148,'[1]Componentes APUs'!$A$1:$D$14,2,0)</f>
        <v>Camisa indigo sin partes metalicas</v>
      </c>
      <c r="C17148" s="71"/>
      <c r="D17148" s="50" t="str">
        <f>VLOOKUP(A17148,'[1]Componentes APUs'!$A$1:$D$14,3,0)</f>
        <v>U</v>
      </c>
      <c r="E17148" s="50">
        <f>SUM(C17128:C17133)</f>
        <v>2.75</v>
      </c>
      <c r="F17148" s="51">
        <f>VLOOKUP(A17148,'[1]Componentes APUs'!$A$1:$D$14,4,0)</f>
        <v>8585.8585858585866</v>
      </c>
      <c r="G17148" s="51">
        <f>ROUNDUP(F17148*(E17148/21)/E17117,0)</f>
        <v>75</v>
      </c>
    </row>
    <row r="17149" spans="1:7" x14ac:dyDescent="0.25">
      <c r="A17149" s="69" t="s">
        <v>73</v>
      </c>
      <c r="B17149" s="72" t="str">
        <f>VLOOKUP(A17149,'[1]Componentes APUs'!$A$1:$D$14,2,0)</f>
        <v>Bota de seguridad dielectrica</v>
      </c>
      <c r="C17149" s="73"/>
      <c r="D17149" s="70" t="str">
        <f>VLOOKUP(A17149,'[1]Componentes APUs'!$A$1:$D$14,3,0)</f>
        <v>Par</v>
      </c>
      <c r="E17149" s="50">
        <f>SUM(C17128:C17133)</f>
        <v>2.75</v>
      </c>
      <c r="F17149" s="51">
        <f>VLOOKUP(A17149,'[1]Componentes APUs'!$A$1:$D$14,4,0)</f>
        <v>7500</v>
      </c>
      <c r="G17149" s="51">
        <f>ROUNDUP(F17149*(E17149/21)/E17117,0)</f>
        <v>66</v>
      </c>
    </row>
    <row r="17150" spans="1:7" x14ac:dyDescent="0.25">
      <c r="A17150" s="50" t="s">
        <v>76</v>
      </c>
      <c r="B17150" s="72" t="str">
        <f>VLOOKUP(A17150,'[1]Componentes APUs'!$A$1:$D$14,2,0)</f>
        <v>Casco dielectrico Tipo 1 Clase E con barbuquejo</v>
      </c>
      <c r="C17150" s="73"/>
      <c r="D17150" s="50" t="str">
        <f>VLOOKUP(A17150,'[1]Componentes APUs'!$A$1:$D$14,3,0)</f>
        <v>U</v>
      </c>
      <c r="E17150" s="50">
        <f>C17133+C17128+C17131+C17132+C17129+IF(A17130&lt;&gt;"MO-3",C17130,0)</f>
        <v>1.75</v>
      </c>
      <c r="F17150" s="51">
        <f>VLOOKUP(A17150,'[1]Componentes APUs'!$A$1:$D$14,4,0)</f>
        <v>10101.010101010101</v>
      </c>
      <c r="G17150" s="51">
        <f>ROUNDUP(F17150*(E17150/21)/E17117,0)</f>
        <v>57</v>
      </c>
    </row>
    <row r="17151" spans="1:7" x14ac:dyDescent="0.25">
      <c r="A17151" s="69" t="s">
        <v>77</v>
      </c>
      <c r="B17151" s="72" t="str">
        <f>VLOOKUP(A17151,'[1]Componentes APUs'!$A$1:$D$14,2,0)</f>
        <v>Correa plastica y antiflama</v>
      </c>
      <c r="C17151" s="73"/>
      <c r="D17151" s="50" t="str">
        <f>VLOOKUP(A17151,'[1]Componentes APUs'!$A$1:$D$14,3,0)</f>
        <v>U</v>
      </c>
      <c r="E17151" s="50">
        <f>SUM(C17128:C17133)</f>
        <v>2.75</v>
      </c>
      <c r="F17151" s="51">
        <f>VLOOKUP(A17151,'[1]Componentes APUs'!$A$1:$D$14,4,0)</f>
        <v>3787.878787878788</v>
      </c>
      <c r="G17151" s="51">
        <f>ROUNDUP(F17151*(E17151/21)/E17117,0)</f>
        <v>34</v>
      </c>
    </row>
    <row r="17152" spans="1:7" x14ac:dyDescent="0.25">
      <c r="A17152" s="50" t="s">
        <v>79</v>
      </c>
      <c r="B17152" s="72" t="str">
        <f>VLOOKUP(A17152,'[1]Componentes APUs'!$A$1:$D$14,2,0)</f>
        <v>Gafas protectoras filtro UV</v>
      </c>
      <c r="C17152" s="73"/>
      <c r="D17152" s="50" t="str">
        <f>VLOOKUP(A17152,'[1]Componentes APUs'!$A$1:$D$14,3,0)</f>
        <v>U</v>
      </c>
      <c r="E17152" s="50">
        <f>SUM(C17128:C17133)</f>
        <v>2.75</v>
      </c>
      <c r="F17152" s="51">
        <f>VLOOKUP(A17152,'[1]Componentes APUs'!$A$1:$D$14,4,0)</f>
        <v>2777.7777777777778</v>
      </c>
      <c r="G17152" s="51">
        <f>ROUNDUP(F17152*(E17152/21)/E17117,0)</f>
        <v>25</v>
      </c>
    </row>
    <row r="17153" spans="1:7" x14ac:dyDescent="0.25">
      <c r="A17153" s="69" t="s">
        <v>402</v>
      </c>
      <c r="B17153" s="72" t="str">
        <f>VLOOKUP(A17153,'[1]Componentes APUs'!$A$1:$D$14,2,0)</f>
        <v>Bota de seguridad PVC dielectrica</v>
      </c>
      <c r="C17153" s="73"/>
      <c r="D17153" s="50" t="str">
        <f>VLOOKUP(A17153,'[1]Componentes APUs'!$A$1:$D$14,3,0)</f>
        <v>Par</v>
      </c>
      <c r="E17153" s="50">
        <f>SUM(C17128:C17133)</f>
        <v>2.75</v>
      </c>
      <c r="F17153" s="51">
        <f>VLOOKUP(A17153,'[1]Componentes APUs'!$A$1:$D$14,4,0)</f>
        <v>2916.6666666666665</v>
      </c>
      <c r="G17153" s="51">
        <f>ROUNDUP(F17153*(E17153/21)/E17117,0)</f>
        <v>26</v>
      </c>
    </row>
    <row r="17154" spans="1:7" x14ac:dyDescent="0.25">
      <c r="A17154" s="50" t="s">
        <v>403</v>
      </c>
      <c r="B17154" s="72" t="str">
        <f>VLOOKUP(A17154,'[1]Componentes APUs'!$A$1:$D$14,2,0)</f>
        <v>Capuchon</v>
      </c>
      <c r="C17154" s="73"/>
      <c r="D17154" s="50" t="str">
        <f>VLOOKUP(A17154,'[1]Componentes APUs'!$A$1:$D$14,3,0)</f>
        <v>U</v>
      </c>
      <c r="E17154" s="50">
        <f>SUM(C17128:C17133)</f>
        <v>2.75</v>
      </c>
      <c r="F17154" s="51">
        <f>VLOOKUP(A17154,'[1]Componentes APUs'!$A$1:$D$14,4,0)</f>
        <v>2525.2525252525252</v>
      </c>
      <c r="G17154" s="51">
        <f>ROUNDUP(F17154*(E17154/21)/E17117,0)</f>
        <v>23</v>
      </c>
    </row>
    <row r="17155" spans="1:7" x14ac:dyDescent="0.25">
      <c r="A17155" s="69" t="s">
        <v>81</v>
      </c>
      <c r="B17155" s="72" t="str">
        <f>VLOOKUP(A17155,'[1]Componentes APUs'!$A$1:$D$14,2,0)</f>
        <v>Guantes Protectores  - ingeniero reforzados</v>
      </c>
      <c r="C17155" s="73"/>
      <c r="D17155" s="50" t="str">
        <f>VLOOKUP(A17155,'[1]Componentes APUs'!$A$1:$D$14,3,0)</f>
        <v>Par</v>
      </c>
      <c r="E17155" s="50">
        <f>C17130+C17131+C17133</f>
        <v>2</v>
      </c>
      <c r="F17155" s="51">
        <f>VLOOKUP(A17155,'[1]Componentes APUs'!$A$1:$D$14,4,0)</f>
        <v>2525.2525252525252</v>
      </c>
      <c r="G17155" s="51">
        <f>ROUNDUP(F17155*(E17155/21)/E17117,0)</f>
        <v>17</v>
      </c>
    </row>
    <row r="17156" spans="1:7" x14ac:dyDescent="0.25">
      <c r="A17156" s="50" t="s">
        <v>83</v>
      </c>
      <c r="B17156" s="72" t="str">
        <f>VLOOKUP(A17156,'[1]Componentes APUs'!$A$1:$D$14,2,0)</f>
        <v>Impermeable (pantalon camisa)</v>
      </c>
      <c r="C17156" s="73"/>
      <c r="D17156" s="50" t="str">
        <f>VLOOKUP(A17156,'[1]Componentes APUs'!$A$1:$D$14,3,0)</f>
        <v>U</v>
      </c>
      <c r="E17156" s="50">
        <f>SUM(C17128:C17133)</f>
        <v>2.75</v>
      </c>
      <c r="F17156" s="51">
        <f>VLOOKUP(A17156,'[1]Componentes APUs'!$A$1:$D$14,4,0)</f>
        <v>3750</v>
      </c>
      <c r="G17156" s="51">
        <f>ROUNDUP(F17156*(E17156/21)/E17117,0)</f>
        <v>33</v>
      </c>
    </row>
    <row r="17157" spans="1:7" x14ac:dyDescent="0.25">
      <c r="A17157" s="69" t="s">
        <v>85</v>
      </c>
      <c r="B17157" s="72" t="str">
        <f>VLOOKUP(A17157,'[1]Componentes APUs'!$A$1:$D$14,2,0)</f>
        <v>Jean Dielectrico</v>
      </c>
      <c r="C17157" s="73"/>
      <c r="D17157" s="50" t="str">
        <f>VLOOKUP(A17157,'[1]Componentes APUs'!$A$1:$D$14,3,0)</f>
        <v>U</v>
      </c>
      <c r="E17157" s="50">
        <f>SUM(C17128:C17133)</f>
        <v>2.75</v>
      </c>
      <c r="F17157" s="51">
        <f>VLOOKUP(A17157,'[1]Componentes APUs'!$A$1:$D$14,4,0)</f>
        <v>7575.757575757576</v>
      </c>
      <c r="G17157" s="51">
        <f>ROUNDUP(F17157*(E17157/21)/E17117,0)</f>
        <v>67</v>
      </c>
    </row>
    <row r="17158" spans="1:7" x14ac:dyDescent="0.25">
      <c r="A17158" s="50" t="s">
        <v>87</v>
      </c>
      <c r="B17158" s="72" t="str">
        <f>VLOOKUP(A17158,'[1]Componentes APUs'!$A$1:$D$14,2,0)</f>
        <v>Casco dielectrico Tipo 2 Clase E con barboquejo</v>
      </c>
      <c r="C17158" s="73"/>
      <c r="D17158" s="50" t="str">
        <f>VLOOKUP(A17158,'[1]Componentes APUs'!$A$1:$D$14,3,0)</f>
        <v>U</v>
      </c>
      <c r="E17158" s="53">
        <f>IF(A17130="MO-3",C17130,0)</f>
        <v>1</v>
      </c>
      <c r="F17158" s="51">
        <f>VLOOKUP(A17158,'[1]Componentes APUs'!$A$1:$D$14,4,0)</f>
        <v>7500</v>
      </c>
      <c r="G17158" s="51">
        <f>ROUNDUP(F17158*(E17158/21)/E17117,0)</f>
        <v>24</v>
      </c>
    </row>
    <row r="17159" spans="1:7" x14ac:dyDescent="0.25">
      <c r="A17159" s="69" t="s">
        <v>89</v>
      </c>
      <c r="B17159" s="72" t="str">
        <f>VLOOKUP(A17159,'[1]Componentes APUs'!$A$1:$D$14,2,0)</f>
        <v>Kit de rescate para trabajo en alturas</v>
      </c>
      <c r="C17159" s="73"/>
      <c r="D17159" s="50" t="str">
        <f>VLOOKUP(A17159,'[1]Componentes APUs'!$A$1:$D$14,3,0)</f>
        <v>U</v>
      </c>
      <c r="E17159" s="50">
        <f>IF(AND(A17130="MO-3",C17130=2),1,0)</f>
        <v>0</v>
      </c>
      <c r="F17159" s="51">
        <f>VLOOKUP(A17159,'[1]Componentes APUs'!$A$1:$D$14,4,0)</f>
        <v>37500</v>
      </c>
      <c r="G17159" s="51">
        <f>ROUNDUP(F17159*(E17159/21)/E17117,0)</f>
        <v>0</v>
      </c>
    </row>
    <row r="17160" spans="1:7" x14ac:dyDescent="0.25">
      <c r="A17160" s="50" t="s">
        <v>91</v>
      </c>
      <c r="B17160" s="72" t="str">
        <f>VLOOKUP(A17160,'[1]Componentes APUs'!$A$1:$D$14,2,0)</f>
        <v>Equipo completo para trabajo en alturas con pretales (Arnes dielectrico, 1 mosqueton de seguridad, tie off dielectrico, eslinga de posicionamiento, juego de pretales)</v>
      </c>
      <c r="C17160" s="73"/>
      <c r="D17160" s="50" t="str">
        <f>VLOOKUP(A17160,'[1]Componentes APUs'!$A$1:$D$14,3,0)</f>
        <v>U</v>
      </c>
      <c r="E17160" s="50">
        <f>IF(A17130="MO-3",C17130,0)</f>
        <v>1</v>
      </c>
      <c r="F17160" s="51">
        <f>VLOOKUP(A17160,'[1]Componentes APUs'!$A$1:$D$14,4,0)</f>
        <v>26041.666666666668</v>
      </c>
      <c r="G17160" s="51">
        <f>ROUNDUP(F17160*(E17160/21)/E17117,0)</f>
        <v>83</v>
      </c>
    </row>
    <row r="17161" spans="1:7" x14ac:dyDescent="0.25">
      <c r="A17161" s="219" t="s">
        <v>95</v>
      </c>
      <c r="B17161" s="219"/>
      <c r="C17161" s="219"/>
      <c r="D17161" s="219"/>
      <c r="E17161" s="219"/>
      <c r="F17161" s="219"/>
      <c r="G17161" s="52">
        <f>SUM(G17148:G17160)</f>
        <v>530</v>
      </c>
    </row>
    <row r="17162" spans="1:7" x14ac:dyDescent="0.25">
      <c r="A17162" s="56"/>
      <c r="B17162" s="57"/>
      <c r="C17162" s="57"/>
      <c r="D17162" s="57"/>
      <c r="E17162" s="57"/>
      <c r="F17162" s="57"/>
      <c r="G17162" s="58"/>
    </row>
    <row r="17163" spans="1:7" x14ac:dyDescent="0.25">
      <c r="A17163" s="219" t="s">
        <v>96</v>
      </c>
      <c r="B17163" s="219"/>
      <c r="C17163" s="219"/>
      <c r="D17163" s="219"/>
      <c r="E17163" s="219"/>
      <c r="F17163" s="219"/>
      <c r="G17163" s="219"/>
    </row>
    <row r="17164" spans="1:7" x14ac:dyDescent="0.25">
      <c r="A17164" s="49" t="s">
        <v>35</v>
      </c>
      <c r="B17164" s="225" t="s">
        <v>36</v>
      </c>
      <c r="C17164" s="225"/>
      <c r="D17164" s="49" t="s">
        <v>37</v>
      </c>
      <c r="E17164" s="49" t="s">
        <v>38</v>
      </c>
      <c r="F17164" s="49" t="s">
        <v>39</v>
      </c>
      <c r="G17164" s="49" t="s">
        <v>40</v>
      </c>
    </row>
    <row r="17165" spans="1:7" x14ac:dyDescent="0.25">
      <c r="A17165" s="69" t="s">
        <v>97</v>
      </c>
      <c r="B17165" s="72" t="str">
        <f>VLOOKUP(A17165,'[1]Componentes APUs'!$N$1:$Q$30,2,0)</f>
        <v>Camioneta</v>
      </c>
      <c r="C17165" s="73"/>
      <c r="D17165" s="70" t="str">
        <f>VLOOKUP(A17165,'[1]Componentes APUs'!$N$1:$Q$30,3,0)</f>
        <v>U</v>
      </c>
      <c r="E17165" s="50">
        <v>1</v>
      </c>
      <c r="F17165" s="51">
        <f>VLOOKUP(A17165,'[1]Componentes APUs'!$N$1:$Q$30,4,0)</f>
        <v>5500000</v>
      </c>
      <c r="G17165" s="51">
        <f>IFERROR(ROUNDUP(F17165*(E17165/21)/E17117,0),0)</f>
        <v>17461</v>
      </c>
    </row>
    <row r="17166" spans="1:7" x14ac:dyDescent="0.25">
      <c r="A17166" s="50" t="s">
        <v>321</v>
      </c>
      <c r="B17166" s="72" t="str">
        <f>VLOOKUP(A17166,'[1]Componentes APUs'!$N$1:$Q$30,2,0)</f>
        <v>Grúa Hidráulica</v>
      </c>
      <c r="C17166" s="73"/>
      <c r="D17166" s="70" t="str">
        <f>VLOOKUP(A17166,'[1]Componentes APUs'!$N$1:$Q$30,3,0)</f>
        <v>U</v>
      </c>
      <c r="E17166" s="50">
        <v>0</v>
      </c>
      <c r="F17166" s="51">
        <f>VLOOKUP(A17166,'[1]Componentes APUs'!$N$1:$Q$30,4,0)</f>
        <v>21000000</v>
      </c>
      <c r="G17166" s="51">
        <f>IFERROR(ROUNDUP(F17166*(E17166/21)/E17117,0),0)</f>
        <v>0</v>
      </c>
    </row>
    <row r="17167" spans="1:7" x14ac:dyDescent="0.25">
      <c r="A17167" s="69" t="s">
        <v>322</v>
      </c>
      <c r="B17167" s="72" t="str">
        <f>VLOOKUP(A17167,'[1]Componentes APUs'!$N$1:$Q$30,2,0)</f>
        <v>Camabaja</v>
      </c>
      <c r="C17167" s="73"/>
      <c r="D17167" s="70" t="str">
        <f>VLOOKUP(A17167,'[1]Componentes APUs'!$N$1:$Q$30,3,0)</f>
        <v>TON/KM</v>
      </c>
      <c r="E17167" s="50">
        <v>0</v>
      </c>
      <c r="F17167" s="51">
        <f>VLOOKUP(A17167,'[1]Componentes APUs'!$N$1:$Q$30,4,0)</f>
        <v>611</v>
      </c>
      <c r="G17167" s="51">
        <f>IFERROR(ROUNDUP(F17167*(E17167/21)/E17117,0),0)</f>
        <v>0</v>
      </c>
    </row>
    <row r="17168" spans="1:7" x14ac:dyDescent="0.25">
      <c r="A17168" s="50" t="s">
        <v>323</v>
      </c>
      <c r="B17168" s="72" t="str">
        <f>VLOOKUP(A17168,'[1]Componentes APUs'!$N$1:$Q$30,2,0)</f>
        <v>Volqueta</v>
      </c>
      <c r="C17168" s="73"/>
      <c r="D17168" s="70" t="str">
        <f>VLOOKUP(A17168,'[1]Componentes APUs'!$N$1:$Q$30,3,0)</f>
        <v>U</v>
      </c>
      <c r="E17168" s="50">
        <v>0</v>
      </c>
      <c r="F17168" s="51">
        <f>VLOOKUP(A17168,'[1]Componentes APUs'!$N$1:$Q$30,4,0)</f>
        <v>18900000</v>
      </c>
      <c r="G17168" s="51">
        <f>IFERROR(ROUNDUP(F17168*(E17168/21)/E17117,0),0)</f>
        <v>0</v>
      </c>
    </row>
    <row r="17169" spans="1:7" x14ac:dyDescent="0.25">
      <c r="A17169" s="69" t="s">
        <v>324</v>
      </c>
      <c r="B17169" s="72" t="str">
        <f>VLOOKUP(A17169,'[1]Componentes APUs'!$N$1:$Q$30,2,0)</f>
        <v>Retroexcavadora</v>
      </c>
      <c r="C17169" s="73"/>
      <c r="D17169" s="70" t="str">
        <f>VLOOKUP(A17169,'[1]Componentes APUs'!$N$1:$Q$30,3,0)</f>
        <v>U</v>
      </c>
      <c r="E17169" s="50">
        <v>0</v>
      </c>
      <c r="F17169" s="51">
        <f>VLOOKUP(A17169,'[1]Componentes APUs'!$N$1:$Q$30,4,0)</f>
        <v>1494459.54</v>
      </c>
      <c r="G17169" s="51">
        <f>IFERROR(ROUNDUP(F17169*(E17169/21)/E17117,0),0)</f>
        <v>0</v>
      </c>
    </row>
    <row r="17170" spans="1:7" x14ac:dyDescent="0.25">
      <c r="A17170" s="219" t="s">
        <v>99</v>
      </c>
      <c r="B17170" s="219"/>
      <c r="C17170" s="219"/>
      <c r="D17170" s="219"/>
      <c r="E17170" s="219"/>
      <c r="F17170" s="219"/>
      <c r="G17170" s="52">
        <f>SUM(G17165:G17169)</f>
        <v>17461</v>
      </c>
    </row>
    <row r="17171" spans="1:7" x14ac:dyDescent="0.25">
      <c r="A17171" s="56"/>
      <c r="B17171" s="57"/>
      <c r="C17171" s="57"/>
      <c r="D17171" s="57"/>
      <c r="E17171" s="57"/>
      <c r="F17171" s="57"/>
      <c r="G17171" s="58"/>
    </row>
    <row r="17172" spans="1:7" x14ac:dyDescent="0.25">
      <c r="A17172" s="219" t="s">
        <v>1516</v>
      </c>
      <c r="B17172" s="219"/>
      <c r="C17172" s="219"/>
      <c r="D17172" s="219"/>
      <c r="E17172" s="219"/>
      <c r="F17172" s="219"/>
      <c r="G17172" s="52">
        <f>G17170+G17161+G17144+G17134+G17124</f>
        <v>303327</v>
      </c>
    </row>
    <row r="17173" spans="1:7" x14ac:dyDescent="0.25">
      <c r="A17173" s="59"/>
      <c r="B17173" s="60"/>
      <c r="C17173" s="60"/>
      <c r="D17173" s="60"/>
      <c r="E17173" s="57"/>
      <c r="F17173" s="57"/>
      <c r="G17173" s="58"/>
    </row>
    <row r="17174" spans="1:7" x14ac:dyDescent="0.25">
      <c r="A17174" s="64"/>
      <c r="D17174" s="55"/>
      <c r="E17174" s="49" t="s">
        <v>25</v>
      </c>
      <c r="F17174" s="54">
        <v>0.15</v>
      </c>
      <c r="G17174" s="51">
        <f>G17172*F17174</f>
        <v>45499.049999999996</v>
      </c>
    </row>
    <row r="17175" spans="1:7" x14ac:dyDescent="0.25">
      <c r="A17175" s="64"/>
      <c r="D17175" s="55"/>
      <c r="E17175" s="49" t="s">
        <v>26</v>
      </c>
      <c r="F17175" s="54">
        <v>0.05</v>
      </c>
      <c r="G17175" s="51">
        <f>G17172*F17175</f>
        <v>15166.35</v>
      </c>
    </row>
    <row r="17176" spans="1:7" x14ac:dyDescent="0.25">
      <c r="A17176" s="61"/>
      <c r="B17176" s="65"/>
      <c r="C17176" s="65"/>
      <c r="D17176" s="62"/>
      <c r="E17176" s="49" t="s">
        <v>27</v>
      </c>
      <c r="F17176" s="54">
        <v>0.05</v>
      </c>
      <c r="G17176" s="51">
        <f>G17172*F17176</f>
        <v>15166.35</v>
      </c>
    </row>
    <row r="17177" spans="1:7" x14ac:dyDescent="0.25">
      <c r="A17177" s="61"/>
      <c r="B17177" s="62"/>
      <c r="C17177" s="62"/>
      <c r="D17177" s="62"/>
      <c r="E17177" s="62"/>
      <c r="F17177" s="62"/>
      <c r="G17177" s="63"/>
    </row>
    <row r="17178" spans="1:7" x14ac:dyDescent="0.25">
      <c r="A17178" s="219" t="s">
        <v>1517</v>
      </c>
      <c r="B17178" s="219"/>
      <c r="C17178" s="219"/>
      <c r="D17178" s="219"/>
      <c r="E17178" s="219"/>
      <c r="F17178" s="219"/>
      <c r="G17178" s="52">
        <f>G17172+G17174+G17175+G17176</f>
        <v>379158.74999999994</v>
      </c>
    </row>
    <row r="17179" spans="1:7" x14ac:dyDescent="0.25">
      <c r="A17179" s="59"/>
      <c r="B17179" s="60"/>
      <c r="C17179" s="60"/>
      <c r="D17179" s="60"/>
      <c r="E17179" s="57"/>
      <c r="F17179" s="57"/>
      <c r="G17179" s="58"/>
    </row>
    <row r="17180" spans="1:7" x14ac:dyDescent="0.25">
      <c r="A17180" s="64"/>
      <c r="D17180" s="55"/>
      <c r="E17180" s="49" t="s">
        <v>102</v>
      </c>
      <c r="F17180" s="49" t="s">
        <v>103</v>
      </c>
      <c r="G17180" s="51">
        <f>G17176*19%</f>
        <v>2881.6065000000003</v>
      </c>
    </row>
    <row r="17181" spans="1:7" x14ac:dyDescent="0.25">
      <c r="A17181" s="61"/>
      <c r="B17181" s="62"/>
      <c r="C17181" s="62"/>
      <c r="D17181" s="62"/>
      <c r="E17181" s="57"/>
      <c r="F17181" s="57"/>
      <c r="G17181" s="58"/>
    </row>
    <row r="17182" spans="1:7" x14ac:dyDescent="0.25">
      <c r="A17182" s="219" t="s">
        <v>104</v>
      </c>
      <c r="B17182" s="219"/>
      <c r="C17182" s="219"/>
      <c r="D17182" s="219"/>
      <c r="E17182" s="219"/>
      <c r="F17182" s="219"/>
      <c r="G17182" s="52">
        <f>G17180+G17178</f>
        <v>382040.35649999994</v>
      </c>
    </row>
    <row r="17184" spans="1:7" x14ac:dyDescent="0.25">
      <c r="A17184" s="74" t="s">
        <v>29</v>
      </c>
      <c r="B17184" s="226" t="s">
        <v>30</v>
      </c>
      <c r="C17184" s="226"/>
      <c r="D17184" s="74" t="s">
        <v>31</v>
      </c>
      <c r="E17184" s="74" t="s">
        <v>32</v>
      </c>
      <c r="F17184" s="74" t="s">
        <v>189</v>
      </c>
      <c r="G17184" s="74" t="s">
        <v>33</v>
      </c>
    </row>
    <row r="17185" spans="1:7" ht="33" customHeight="1" x14ac:dyDescent="0.25">
      <c r="A17185" s="50" t="str">
        <f>Presupuesto!B337</f>
        <v>011_AUX</v>
      </c>
      <c r="B17185" s="220" t="str">
        <f>Presupuesto!C337</f>
        <v>SUMINISTRO E INSTALACIÓN DE ACCESORIOS Y CABLEADO PARA MACROMEDIDA. INCLUYE CABLE 7X12 AWG, BLOQUE DE PRUEBAS, CANALETAS RANURADAS Y TERMINALES.</v>
      </c>
      <c r="C17185" s="220"/>
      <c r="D17185" s="50" t="s">
        <v>8</v>
      </c>
      <c r="E17185" s="50">
        <v>7</v>
      </c>
      <c r="F17185" s="50"/>
      <c r="G17185" s="51">
        <f>G17254</f>
        <v>2208219.6344999997</v>
      </c>
    </row>
    <row r="17186" spans="1:7" x14ac:dyDescent="0.25">
      <c r="A17186" s="219" t="s">
        <v>34</v>
      </c>
      <c r="B17186" s="219"/>
      <c r="C17186" s="219"/>
      <c r="D17186" s="219"/>
      <c r="E17186" s="219"/>
      <c r="F17186" s="219"/>
      <c r="G17186" s="219"/>
    </row>
    <row r="17187" spans="1:7" x14ac:dyDescent="0.25">
      <c r="A17187" s="49" t="s">
        <v>35</v>
      </c>
      <c r="B17187" s="219" t="s">
        <v>36</v>
      </c>
      <c r="C17187" s="219"/>
      <c r="D17187" s="49" t="s">
        <v>37</v>
      </c>
      <c r="E17187" s="49" t="s">
        <v>38</v>
      </c>
      <c r="F17187" s="49" t="s">
        <v>39</v>
      </c>
      <c r="G17187" s="49" t="s">
        <v>40</v>
      </c>
    </row>
    <row r="17188" spans="1:7" x14ac:dyDescent="0.25">
      <c r="A17188" s="17" t="str">
        <f>Material!A37</f>
        <v>MA-36</v>
      </c>
      <c r="B17188" s="72" t="str">
        <f>IFERROR(VLOOKUP(A17188,Material!$A:$H,2,0),"-")</f>
        <v>CANALETAS RANURADA 40X60 MM</v>
      </c>
      <c r="C17188" s="73"/>
      <c r="D17188" s="50" t="str">
        <f>IFERROR(VLOOKUP(A17188,Material!$A:$H,4,0),"-")</f>
        <v>ML</v>
      </c>
      <c r="E17188" s="50">
        <v>6</v>
      </c>
      <c r="F17188" s="51">
        <f>IFERROR(VLOOKUP(A17188,Material!$A:$H,3,0),"-")</f>
        <v>31908.5</v>
      </c>
      <c r="G17188" s="51">
        <f t="shared" ref="G17188:G17195" si="240">IFERROR(ROUNDUP(F17188*E17188,0),"-")</f>
        <v>191451</v>
      </c>
    </row>
    <row r="17189" spans="1:7" ht="27.75" customHeight="1" x14ac:dyDescent="0.25">
      <c r="A17189" s="17" t="str">
        <f>Material!A117</f>
        <v>MA-116</v>
      </c>
      <c r="B17189" s="221" t="str">
        <f>IFERROR(VLOOKUP(A17189,Material!$A:$H,2,0),"-")</f>
        <v xml:space="preserve">CABLE CONTROL 7X12 AWG GRIS APANTALLADO FOIL 600V CHAQ.FR-PVC RES.UV DW </v>
      </c>
      <c r="C17189" s="222"/>
      <c r="D17189" s="50" t="str">
        <f>IFERROR(VLOOKUP(A17189,Material!$A:$H,4,0),"-")</f>
        <v>ML</v>
      </c>
      <c r="E17189" s="50">
        <v>7</v>
      </c>
      <c r="F17189" s="51">
        <f>IFERROR(VLOOKUP(A17189,Material!$A:$H,3,0),"-")</f>
        <v>49166</v>
      </c>
      <c r="G17189" s="51">
        <f t="shared" si="240"/>
        <v>344162</v>
      </c>
    </row>
    <row r="17190" spans="1:7" x14ac:dyDescent="0.25">
      <c r="A17190" s="17" t="str">
        <f>Material!A118</f>
        <v>MA-117</v>
      </c>
      <c r="B17190" s="72" t="str">
        <f>IFERROR(VLOOKUP(A17190,Material!$A:$H,2,0),"-")</f>
        <v>TERMINAL DE OJO AISLADO</v>
      </c>
      <c r="C17190" s="76"/>
      <c r="D17190" s="50" t="str">
        <f>IFERROR(VLOOKUP(A17190,Material!$A:$H,4,0),"-")</f>
        <v>UN</v>
      </c>
      <c r="E17190" s="50">
        <v>7</v>
      </c>
      <c r="F17190" s="51">
        <f>IFERROR(VLOOKUP(A17190,Material!$A:$H,3,0),"-")</f>
        <v>520</v>
      </c>
      <c r="G17190" s="51">
        <f t="shared" si="240"/>
        <v>3640</v>
      </c>
    </row>
    <row r="17191" spans="1:7" x14ac:dyDescent="0.25">
      <c r="A17191" s="17" t="str">
        <f>Material!A36</f>
        <v>MA-35</v>
      </c>
      <c r="B17191" s="72" t="str">
        <f>IFERROR(VLOOKUP(A17191,Material!$A:$H,2,0),"-")</f>
        <v>BLOQUE DE BORNERAS CORTOCIRCUITABLES DE CORRIENTE Y TENSIÓN</v>
      </c>
      <c r="C17191" s="76"/>
      <c r="D17191" s="50" t="str">
        <f>IFERROR(VLOOKUP(A17191,Material!$A:$H,4,0),"-")</f>
        <v>UN</v>
      </c>
      <c r="E17191" s="50">
        <v>1</v>
      </c>
      <c r="F17191" s="51">
        <f>IFERROR(VLOOKUP(A17191,Material!$A:$H,3,0),"-")</f>
        <v>1075128.6000000001</v>
      </c>
      <c r="G17191" s="51">
        <f t="shared" si="240"/>
        <v>1075129</v>
      </c>
    </row>
    <row r="17192" spans="1:7" x14ac:dyDescent="0.25">
      <c r="A17192" s="17" t="str">
        <f>Material!A439</f>
        <v>MA-438</v>
      </c>
      <c r="B17192" s="72" t="str">
        <f>IFERROR(VLOOKUP(A17192,Material!$A:$H,2,0),"-")</f>
        <v>TERMINAL PIN PUNTA CALIBRE 12 AWG</v>
      </c>
      <c r="C17192" s="76"/>
      <c r="D17192" s="50" t="str">
        <f>IFERROR(VLOOKUP(A17192,Material!$A:$H,4,0),"-")</f>
        <v>UN</v>
      </c>
      <c r="E17192" s="50">
        <v>7</v>
      </c>
      <c r="F17192" s="51">
        <f>IFERROR(VLOOKUP(A17192,Material!$A:$H,3,0),"-")</f>
        <v>455</v>
      </c>
      <c r="G17192" s="51">
        <f t="shared" si="240"/>
        <v>3185</v>
      </c>
    </row>
    <row r="17193" spans="1:7" x14ac:dyDescent="0.25">
      <c r="A17193" s="17"/>
      <c r="B17193" s="72" t="str">
        <f>IFERROR(VLOOKUP(A17193,Material!$A:$H,2,0),"-")</f>
        <v>-</v>
      </c>
      <c r="C17193" s="76"/>
      <c r="D17193" s="50" t="str">
        <f>IFERROR(VLOOKUP(A17193,Material!$A:$H,4,0),"-")</f>
        <v>-</v>
      </c>
      <c r="E17193" s="50"/>
      <c r="F17193" s="51" t="str">
        <f>IFERROR(VLOOKUP(A17193,Material!$A:$H,3,0),"-")</f>
        <v>-</v>
      </c>
      <c r="G17193" s="51" t="str">
        <f t="shared" si="240"/>
        <v>-</v>
      </c>
    </row>
    <row r="17194" spans="1:7" x14ac:dyDescent="0.25">
      <c r="A17194" s="17"/>
      <c r="B17194" s="72" t="str">
        <f>IFERROR(VLOOKUP(A17194,Material!$A:$H,2,0),"-")</f>
        <v>-</v>
      </c>
      <c r="C17194" s="76"/>
      <c r="D17194" s="50" t="str">
        <f>IFERROR(VLOOKUP(A17194,Material!$A:$H,4,0),"-")</f>
        <v>-</v>
      </c>
      <c r="E17194" s="50"/>
      <c r="F17194" s="51" t="str">
        <f>IFERROR(VLOOKUP(A17194,Material!$A:$H,3,0),"-")</f>
        <v>-</v>
      </c>
      <c r="G17194" s="51" t="str">
        <f t="shared" si="240"/>
        <v>-</v>
      </c>
    </row>
    <row r="17195" spans="1:7" x14ac:dyDescent="0.25">
      <c r="A17195" s="17"/>
      <c r="B17195" s="72" t="str">
        <f>IFERROR(VLOOKUP(A17195,Material!$A:$H,2,0),"-")</f>
        <v>-</v>
      </c>
      <c r="C17195" s="76"/>
      <c r="D17195" s="50" t="str">
        <f>IFERROR(VLOOKUP(A17195,Material!$A:$H,4,0),"-")</f>
        <v>-</v>
      </c>
      <c r="E17195" s="50"/>
      <c r="F17195" s="51" t="str">
        <f>IFERROR(VLOOKUP(A17195,Material!$A:$H,3,0),"-")</f>
        <v>-</v>
      </c>
      <c r="G17195" s="51" t="str">
        <f t="shared" si="240"/>
        <v>-</v>
      </c>
    </row>
    <row r="17196" spans="1:7" x14ac:dyDescent="0.25">
      <c r="A17196" s="219" t="s">
        <v>41</v>
      </c>
      <c r="B17196" s="219"/>
      <c r="C17196" s="219"/>
      <c r="D17196" s="219"/>
      <c r="E17196" s="219"/>
      <c r="F17196" s="219"/>
      <c r="G17196" s="52">
        <f>SUM(G17188:G17195)</f>
        <v>1617567</v>
      </c>
    </row>
    <row r="17197" spans="1:7" x14ac:dyDescent="0.25">
      <c r="A17197" s="56"/>
      <c r="B17197" s="57"/>
      <c r="C17197" s="57"/>
      <c r="D17197" s="57"/>
      <c r="E17197" s="57"/>
      <c r="F17197" s="57"/>
      <c r="G17197" s="58"/>
    </row>
    <row r="17198" spans="1:7" x14ac:dyDescent="0.25">
      <c r="A17198" s="219" t="s">
        <v>42</v>
      </c>
      <c r="B17198" s="219"/>
      <c r="C17198" s="219"/>
      <c r="D17198" s="219"/>
      <c r="E17198" s="219"/>
      <c r="F17198" s="219"/>
      <c r="G17198" s="219"/>
    </row>
    <row r="17199" spans="1:7" x14ac:dyDescent="0.25">
      <c r="A17199" s="49" t="s">
        <v>35</v>
      </c>
      <c r="B17199" s="49" t="s">
        <v>36</v>
      </c>
      <c r="C17199" s="49" t="s">
        <v>38</v>
      </c>
      <c r="D17199" s="49" t="s">
        <v>43</v>
      </c>
      <c r="E17199" s="49" t="s">
        <v>44</v>
      </c>
      <c r="F17199" s="49" t="s">
        <v>45</v>
      </c>
      <c r="G17199" s="49" t="s">
        <v>40</v>
      </c>
    </row>
    <row r="17200" spans="1:7" x14ac:dyDescent="0.25">
      <c r="A17200" s="50" t="s">
        <v>319</v>
      </c>
      <c r="B17200" s="68" t="str">
        <f>VLOOKUP(A17200,'Componentes APUs'!$H$1:$L$25,2,0)</f>
        <v>Ingeniero Residente de Obra</v>
      </c>
      <c r="C17200" s="93">
        <v>0.25</v>
      </c>
      <c r="D17200" s="50">
        <f>VLOOKUP(A17200,'Componentes APUs'!$H$1:$L$25,3,0)</f>
        <v>4</v>
      </c>
      <c r="E17200" s="51">
        <f>VLOOKUP(A17200,'Componentes APUs'!$H$1:$L$25,4,0)</f>
        <v>271142.85714285716</v>
      </c>
      <c r="F17200" s="51">
        <f>VLOOKUP(A17200,'Componentes APUs'!$H$1:$L$25,5,0)</f>
        <v>162685.71428571429</v>
      </c>
      <c r="G17200" s="51">
        <f>ROUNDUP((E17200+F17200)*C17200/E17185,0)</f>
        <v>15494</v>
      </c>
    </row>
    <row r="17201" spans="1:7" x14ac:dyDescent="0.25">
      <c r="A17201" s="50" t="s">
        <v>320</v>
      </c>
      <c r="B17201" s="68" t="str">
        <f>VLOOKUP(A17201,'Componentes APUs'!$H$1:$L$25,2,0)</f>
        <v>Tecnico Supervisor</v>
      </c>
      <c r="C17201" s="93">
        <v>0.25</v>
      </c>
      <c r="D17201" s="50">
        <f>VLOOKUP(A17201,'Componentes APUs'!$H$1:$L$25,3,0)</f>
        <v>2.2999999999999998</v>
      </c>
      <c r="E17201" s="51">
        <f>VLOOKUP(A17201,'Componentes APUs'!$H$1:$L$25,4,0)</f>
        <v>155907.14285714284</v>
      </c>
      <c r="F17201" s="51">
        <f>VLOOKUP(A17201,'Componentes APUs'!$H$1:$L$25,5,0)</f>
        <v>93544.285714285696</v>
      </c>
      <c r="G17201" s="51">
        <f>ROUNDUP((E17201+F17201)*C17201/E17185,0)</f>
        <v>8909</v>
      </c>
    </row>
    <row r="17202" spans="1:7" x14ac:dyDescent="0.25">
      <c r="A17202" s="50" t="s">
        <v>46</v>
      </c>
      <c r="B17202" s="68" t="str">
        <f>VLOOKUP(A17202,'Componentes APUs'!$H$1:$L$25,2,0)</f>
        <v>Tecnico Liniero</v>
      </c>
      <c r="C17202" s="93">
        <v>1</v>
      </c>
      <c r="D17202" s="50">
        <f>VLOOKUP(A17202,'Componentes APUs'!$H$1:$L$25,3,0)</f>
        <v>2</v>
      </c>
      <c r="E17202" s="51">
        <f>VLOOKUP(A17202,'Componentes APUs'!$H$1:$L$25,4,0)</f>
        <v>154619.04761904763</v>
      </c>
      <c r="F17202" s="51">
        <f>VLOOKUP(A17202,'Componentes APUs'!$H$1:$L$25,5,0)</f>
        <v>92771.42857142858</v>
      </c>
      <c r="G17202" s="51">
        <f>ROUNDUP((E17202+F17202)*C17202/E17185,0)</f>
        <v>35342</v>
      </c>
    </row>
    <row r="17203" spans="1:7" x14ac:dyDescent="0.25">
      <c r="A17203" s="50" t="s">
        <v>48</v>
      </c>
      <c r="B17203" s="68" t="str">
        <f>VLOOKUP(A17203,'Componentes APUs'!$H$1:$L$25,2,0)</f>
        <v>Ayudante Calificado</v>
      </c>
      <c r="C17203" s="93">
        <v>1</v>
      </c>
      <c r="D17203" s="50">
        <f>VLOOKUP(A17203,'Componentes APUs'!$H$1:$L$25,3,0)</f>
        <v>1.5</v>
      </c>
      <c r="E17203" s="51">
        <f>VLOOKUP(A17203,'Componentes APUs'!$H$1:$L$25,4,0)</f>
        <v>115964.28571428571</v>
      </c>
      <c r="F17203" s="51">
        <f>VLOOKUP(A17203,'Componentes APUs'!$H$1:$L$25,5,0)</f>
        <v>69578.57142857142</v>
      </c>
      <c r="G17203" s="51">
        <f>ROUNDUP((E17203+F17203)*C17203/E17185,0)</f>
        <v>26507</v>
      </c>
    </row>
    <row r="17204" spans="1:7" x14ac:dyDescent="0.25">
      <c r="A17204" s="50" t="s">
        <v>50</v>
      </c>
      <c r="B17204" s="68" t="str">
        <f>VLOOKUP(A17204,'Componentes APUs'!$H$1:$L$25,2,0)</f>
        <v>Profesional en SST</v>
      </c>
      <c r="C17204" s="93">
        <v>0.25</v>
      </c>
      <c r="D17204" s="50">
        <f>VLOOKUP(A17204,'Componentes APUs'!$H$1:$L$25,3,0)</f>
        <v>2.5</v>
      </c>
      <c r="E17204" s="51">
        <f>VLOOKUP(A17204,'Componentes APUs'!$H$1:$L$25,4,0)</f>
        <v>169464.28571428571</v>
      </c>
      <c r="F17204" s="51">
        <f>VLOOKUP(A17204,'Componentes APUs'!$H$1:$L$25,5,0)</f>
        <v>101678.57142857142</v>
      </c>
      <c r="G17204" s="51">
        <f>ROUNDUP((E17204+F17204)*C17204/E17185,0)</f>
        <v>9684</v>
      </c>
    </row>
    <row r="17205" spans="1:7" x14ac:dyDescent="0.25">
      <c r="A17205" s="50" t="s">
        <v>52</v>
      </c>
      <c r="B17205" s="68" t="str">
        <f>VLOOKUP(A17205,'Componentes APUs'!$H$1:$L$25,2,0)</f>
        <v>Ayudante No Calificado</v>
      </c>
      <c r="C17205" s="93">
        <v>0</v>
      </c>
      <c r="D17205" s="50">
        <f>VLOOKUP(A17205,'Componentes APUs'!$H$1:$L$25,3,0)</f>
        <v>1</v>
      </c>
      <c r="E17205" s="51">
        <f>VLOOKUP(A17205,'Componentes APUs'!$H$1:$L$25,4,0)</f>
        <v>77309.523809523816</v>
      </c>
      <c r="F17205" s="51">
        <f>VLOOKUP(A17205,'Componentes APUs'!$H$1:$L$25,5,0)</f>
        <v>46385.71428571429</v>
      </c>
      <c r="G17205" s="51">
        <f>ROUNDUP((E17205+F17205)*C17205/E17185,0)</f>
        <v>0</v>
      </c>
    </row>
    <row r="17206" spans="1:7" x14ac:dyDescent="0.25">
      <c r="A17206" s="219" t="s">
        <v>56</v>
      </c>
      <c r="B17206" s="219"/>
      <c r="C17206" s="219"/>
      <c r="D17206" s="219"/>
      <c r="E17206" s="219"/>
      <c r="F17206" s="219"/>
      <c r="G17206" s="52">
        <f>SUM(G17200:G17205)</f>
        <v>95936</v>
      </c>
    </row>
    <row r="17207" spans="1:7" x14ac:dyDescent="0.25">
      <c r="A17207" s="56"/>
      <c r="B17207" s="57"/>
      <c r="C17207" s="57"/>
      <c r="D17207" s="57"/>
      <c r="E17207" s="57"/>
      <c r="F17207" s="57"/>
      <c r="G17207" s="58"/>
    </row>
    <row r="17208" spans="1:7" x14ac:dyDescent="0.25">
      <c r="A17208" s="219" t="s">
        <v>57</v>
      </c>
      <c r="B17208" s="219"/>
      <c r="C17208" s="219"/>
      <c r="D17208" s="219"/>
      <c r="E17208" s="219"/>
      <c r="F17208" s="219"/>
      <c r="G17208" s="219"/>
    </row>
    <row r="17209" spans="1:7" x14ac:dyDescent="0.25">
      <c r="A17209" s="49" t="s">
        <v>35</v>
      </c>
      <c r="B17209" s="219" t="s">
        <v>36</v>
      </c>
      <c r="C17209" s="219"/>
      <c r="D17209" s="49" t="s">
        <v>37</v>
      </c>
      <c r="E17209" s="49" t="s">
        <v>38</v>
      </c>
      <c r="F17209" s="49" t="s">
        <v>39</v>
      </c>
      <c r="G17209" s="49" t="s">
        <v>40</v>
      </c>
    </row>
    <row r="17210" spans="1:7" x14ac:dyDescent="0.25">
      <c r="A17210" s="50" t="s">
        <v>326</v>
      </c>
      <c r="B17210" s="220" t="str">
        <f>VLOOKUP(A17210,'Componentes APUs'!$S$1:$V$10,2,0)</f>
        <v>Juego Llaves</v>
      </c>
      <c r="C17210" s="220"/>
      <c r="D17210" s="50" t="s">
        <v>18</v>
      </c>
      <c r="E17210" s="50">
        <v>2</v>
      </c>
      <c r="F17210" s="51">
        <f>VLOOKUP(A17210,'Componentes APUs'!$S$1:$V$10,4,0)</f>
        <v>9167</v>
      </c>
      <c r="G17210" s="51">
        <f>ROUNDUP(F17210*((E17210/21)/E17185),0)</f>
        <v>125</v>
      </c>
    </row>
    <row r="17211" spans="1:7" x14ac:dyDescent="0.25">
      <c r="A17211" s="50" t="s">
        <v>58</v>
      </c>
      <c r="B17211" s="220" t="str">
        <f>VLOOKUP(A17211,'Componentes APUs'!$S$1:$V$10,2,0)</f>
        <v>Manila de servicio</v>
      </c>
      <c r="C17211" s="220"/>
      <c r="D17211" s="50" t="s">
        <v>18</v>
      </c>
      <c r="E17211" s="50">
        <v>2</v>
      </c>
      <c r="F17211" s="51">
        <f>VLOOKUP(A17211,'Componentes APUs'!$S$1:$V$10,4,0)</f>
        <v>2333</v>
      </c>
      <c r="G17211" s="51">
        <f>ROUNDUP(F17211*((E17211/21)/E17185),0)</f>
        <v>32</v>
      </c>
    </row>
    <row r="17212" spans="1:7" x14ac:dyDescent="0.25">
      <c r="A17212" s="50" t="s">
        <v>327</v>
      </c>
      <c r="B17212" s="220" t="str">
        <f>VLOOKUP(A17212,'Componentes APUs'!$S$1:$V$10,2,0)</f>
        <v>Tula portaherramientas</v>
      </c>
      <c r="C17212" s="220"/>
      <c r="D17212" s="50" t="s">
        <v>18</v>
      </c>
      <c r="E17212" s="50">
        <v>2</v>
      </c>
      <c r="F17212" s="51">
        <f>VLOOKUP(A17212,'Componentes APUs'!$S$1:$V$10,4,0)</f>
        <v>1250</v>
      </c>
      <c r="G17212" s="51">
        <f>ROUNDUP(F17212*((E17212/21)/E17185),0)</f>
        <v>18</v>
      </c>
    </row>
    <row r="17213" spans="1:7" x14ac:dyDescent="0.25">
      <c r="A17213" s="50" t="s">
        <v>60</v>
      </c>
      <c r="B17213" s="220" t="str">
        <f>VLOOKUP(A17213,'Componentes APUs'!$S$1:$V$10,2,0)</f>
        <v>Agarradoras</v>
      </c>
      <c r="C17213" s="220"/>
      <c r="D17213" s="50" t="s">
        <v>18</v>
      </c>
      <c r="E17213" s="50">
        <v>0</v>
      </c>
      <c r="F17213" s="51">
        <f>VLOOKUP(A17213,'Componentes APUs'!$S$1:$V$10,4,0)</f>
        <v>125000</v>
      </c>
      <c r="G17213" s="51">
        <f>ROUNDUP(F17213*((E17213/21)/E17185),0)</f>
        <v>0</v>
      </c>
    </row>
    <row r="17214" spans="1:7" x14ac:dyDescent="0.25">
      <c r="A17214" s="50" t="s">
        <v>62</v>
      </c>
      <c r="B17214" s="220" t="str">
        <f>VLOOKUP(A17214,'Componentes APUs'!$S$1:$V$10,2,0)</f>
        <v>Templadoras</v>
      </c>
      <c r="C17214" s="220"/>
      <c r="D17214" s="50" t="s">
        <v>18</v>
      </c>
      <c r="E17214" s="50">
        <v>0</v>
      </c>
      <c r="F17214" s="51">
        <f>VLOOKUP(A17214,'Componentes APUs'!$S$1:$V$10,4,0)</f>
        <v>250000</v>
      </c>
      <c r="G17214" s="51">
        <f>ROUNDUP(F17214*((E17214/21)/E17185),0)</f>
        <v>0</v>
      </c>
    </row>
    <row r="17215" spans="1:7" x14ac:dyDescent="0.25">
      <c r="A17215" s="50" t="s">
        <v>328</v>
      </c>
      <c r="B17215" s="220" t="str">
        <f>VLOOKUP(A17215,'Componentes APUs'!$S$1:$V$10,2,0)</f>
        <v>Herramienta Menor</v>
      </c>
      <c r="C17215" s="220"/>
      <c r="D17215" s="50" t="s">
        <v>18</v>
      </c>
      <c r="E17215" s="50">
        <v>2</v>
      </c>
      <c r="F17215" s="51">
        <f>VLOOKUP(A17215,'Componentes APUs'!$S$1:$V$10,4,0)</f>
        <v>75758</v>
      </c>
      <c r="G17215" s="51">
        <f>ROUNDUP(F17215*((E17215/21)/E17185),0)</f>
        <v>1031</v>
      </c>
    </row>
    <row r="17216" spans="1:7" x14ac:dyDescent="0.25">
      <c r="A17216" s="219" t="s">
        <v>69</v>
      </c>
      <c r="B17216" s="219"/>
      <c r="C17216" s="219"/>
      <c r="D17216" s="219"/>
      <c r="E17216" s="219"/>
      <c r="F17216" s="219"/>
      <c r="G17216" s="52">
        <f>SUM(G17210:G17215)</f>
        <v>1206</v>
      </c>
    </row>
    <row r="17217" spans="1:7" x14ac:dyDescent="0.25">
      <c r="A17217" s="56"/>
      <c r="B17217" s="57"/>
      <c r="C17217" s="57"/>
      <c r="D17217" s="57"/>
      <c r="E17217" s="57"/>
      <c r="F17217" s="57"/>
      <c r="G17217" s="58"/>
    </row>
    <row r="17218" spans="1:7" x14ac:dyDescent="0.25">
      <c r="A17218" s="219" t="s">
        <v>70</v>
      </c>
      <c r="B17218" s="219"/>
      <c r="C17218" s="219"/>
      <c r="D17218" s="219"/>
      <c r="E17218" s="219"/>
      <c r="F17218" s="219"/>
      <c r="G17218" s="219"/>
    </row>
    <row r="17219" spans="1:7" x14ac:dyDescent="0.25">
      <c r="A17219" s="49" t="s">
        <v>35</v>
      </c>
      <c r="B17219" s="219" t="s">
        <v>36</v>
      </c>
      <c r="C17219" s="219"/>
      <c r="D17219" s="49" t="s">
        <v>37</v>
      </c>
      <c r="E17219" s="49" t="s">
        <v>38</v>
      </c>
      <c r="F17219" s="49" t="s">
        <v>39</v>
      </c>
      <c r="G17219" s="49" t="s">
        <v>40</v>
      </c>
    </row>
    <row r="17220" spans="1:7" x14ac:dyDescent="0.25">
      <c r="A17220" s="50" t="s">
        <v>71</v>
      </c>
      <c r="B17220" s="71" t="str">
        <f>VLOOKUP(A17220,'Componentes APUs'!$A$1:$D$14,2,0)</f>
        <v>Camisa indigo sin partes metalicas</v>
      </c>
      <c r="C17220" s="71"/>
      <c r="D17220" s="50" t="str">
        <f>VLOOKUP(A17220,'Componentes APUs'!$A$1:$D$14,3,0)</f>
        <v>U</v>
      </c>
      <c r="E17220" s="50">
        <f>SUM(C17200:C17205)</f>
        <v>2.75</v>
      </c>
      <c r="F17220" s="51">
        <f>VLOOKUP(A17220,'Componentes APUs'!$A$1:$D$14,4,0)</f>
        <v>8585.8585858585866</v>
      </c>
      <c r="G17220" s="51">
        <f>ROUNDUP(F17220*(E17220/21)/E17185,0)</f>
        <v>161</v>
      </c>
    </row>
    <row r="17221" spans="1:7" x14ac:dyDescent="0.25">
      <c r="A17221" s="69" t="s">
        <v>73</v>
      </c>
      <c r="B17221" s="72" t="str">
        <f>VLOOKUP(A17221,'Componentes APUs'!$A$1:$D$14,2,0)</f>
        <v>Bota de seguridad dielectrica</v>
      </c>
      <c r="C17221" s="73"/>
      <c r="D17221" s="70" t="str">
        <f>VLOOKUP(A17221,'Componentes APUs'!$A$1:$D$14,3,0)</f>
        <v>Par</v>
      </c>
      <c r="E17221" s="50">
        <f>SUM(C17200:C17205)</f>
        <v>2.75</v>
      </c>
      <c r="F17221" s="51">
        <f>VLOOKUP(A17221,'Componentes APUs'!$A$1:$D$14,4,0)</f>
        <v>7500</v>
      </c>
      <c r="G17221" s="51">
        <f>ROUNDUP(F17221*(E17221/21)/E17185,0)</f>
        <v>141</v>
      </c>
    </row>
    <row r="17222" spans="1:7" x14ac:dyDescent="0.25">
      <c r="A17222" s="50" t="s">
        <v>76</v>
      </c>
      <c r="B17222" s="72" t="str">
        <f>VLOOKUP(A17222,'Componentes APUs'!$A$1:$D$14,2,0)</f>
        <v>Casco dielectrico Tipo 1 Clase E con barbuquejo</v>
      </c>
      <c r="C17222" s="73"/>
      <c r="D17222" s="50" t="str">
        <f>VLOOKUP(A17222,'Componentes APUs'!$A$1:$D$14,3,0)</f>
        <v>U</v>
      </c>
      <c r="E17222" s="50">
        <f>C17205+C17200+C17203+C17204+C17201+IF(A17202&lt;&gt;"MO-3",C17202,0)</f>
        <v>1.75</v>
      </c>
      <c r="F17222" s="51">
        <f>VLOOKUP(A17222,'Componentes APUs'!$A$1:$D$14,4,0)</f>
        <v>10101.010101010101</v>
      </c>
      <c r="G17222" s="51">
        <f>ROUNDUP(F17222*(E17222/21)/E17185,0)</f>
        <v>121</v>
      </c>
    </row>
    <row r="17223" spans="1:7" x14ac:dyDescent="0.25">
      <c r="A17223" s="69" t="s">
        <v>77</v>
      </c>
      <c r="B17223" s="72" t="str">
        <f>VLOOKUP(A17223,'Componentes APUs'!$A$1:$D$14,2,0)</f>
        <v>Correa plastica y antiflama</v>
      </c>
      <c r="C17223" s="73"/>
      <c r="D17223" s="50" t="str">
        <f>VLOOKUP(A17223,'Componentes APUs'!$A$1:$D$14,3,0)</f>
        <v>U</v>
      </c>
      <c r="E17223" s="50">
        <f>SUM(C17200:C17205)</f>
        <v>2.75</v>
      </c>
      <c r="F17223" s="51">
        <f>VLOOKUP(A17223,'Componentes APUs'!$A$1:$D$14,4,0)</f>
        <v>3787.878787878788</v>
      </c>
      <c r="G17223" s="51">
        <f>ROUNDUP(F17223*(E17223/21)/E17185,0)</f>
        <v>71</v>
      </c>
    </row>
    <row r="17224" spans="1:7" x14ac:dyDescent="0.25">
      <c r="A17224" s="50" t="s">
        <v>79</v>
      </c>
      <c r="B17224" s="72" t="str">
        <f>VLOOKUP(A17224,'Componentes APUs'!$A$1:$D$14,2,0)</f>
        <v>Gafas protectoras filtro UV</v>
      </c>
      <c r="C17224" s="73"/>
      <c r="D17224" s="50" t="str">
        <f>VLOOKUP(A17224,'Componentes APUs'!$A$1:$D$14,3,0)</f>
        <v>U</v>
      </c>
      <c r="E17224" s="50">
        <f>SUM(C17200:C17205)</f>
        <v>2.75</v>
      </c>
      <c r="F17224" s="51">
        <f>VLOOKUP(A17224,'Componentes APUs'!$A$1:$D$14,4,0)</f>
        <v>2777.7777777777778</v>
      </c>
      <c r="G17224" s="51">
        <f>ROUNDUP(F17224*(E17224/21)/E17185,0)</f>
        <v>52</v>
      </c>
    </row>
    <row r="17225" spans="1:7" x14ac:dyDescent="0.25">
      <c r="A17225" s="69" t="s">
        <v>402</v>
      </c>
      <c r="B17225" s="72" t="str">
        <f>VLOOKUP(A17225,'Componentes APUs'!$A$1:$D$14,2,0)</f>
        <v>Bota de seguridad PVC dielectrica</v>
      </c>
      <c r="C17225" s="73"/>
      <c r="D17225" s="50" t="str">
        <f>VLOOKUP(A17225,'Componentes APUs'!$A$1:$D$14,3,0)</f>
        <v>Par</v>
      </c>
      <c r="E17225" s="50">
        <f>SUM(C17200:C17205)</f>
        <v>2.75</v>
      </c>
      <c r="F17225" s="51">
        <f>VLOOKUP(A17225,'Componentes APUs'!$A$1:$D$14,4,0)</f>
        <v>2916.6666666666665</v>
      </c>
      <c r="G17225" s="51">
        <f>ROUNDUP(F17225*(E17225/21)/E17185,0)</f>
        <v>55</v>
      </c>
    </row>
    <row r="17226" spans="1:7" x14ac:dyDescent="0.25">
      <c r="A17226" s="50" t="s">
        <v>403</v>
      </c>
      <c r="B17226" s="72" t="str">
        <f>VLOOKUP(A17226,'Componentes APUs'!$A$1:$D$14,2,0)</f>
        <v>Capuchon</v>
      </c>
      <c r="C17226" s="73"/>
      <c r="D17226" s="50" t="str">
        <f>VLOOKUP(A17226,'Componentes APUs'!$A$1:$D$14,3,0)</f>
        <v>U</v>
      </c>
      <c r="E17226" s="50">
        <f>SUM(C17200:C17205)</f>
        <v>2.75</v>
      </c>
      <c r="F17226" s="51">
        <f>VLOOKUP(A17226,'Componentes APUs'!$A$1:$D$14,4,0)</f>
        <v>2525.2525252525252</v>
      </c>
      <c r="G17226" s="51">
        <f>ROUNDUP(F17226*(E17226/21)/E17185,0)</f>
        <v>48</v>
      </c>
    </row>
    <row r="17227" spans="1:7" x14ac:dyDescent="0.25">
      <c r="A17227" s="69" t="s">
        <v>81</v>
      </c>
      <c r="B17227" s="72" t="str">
        <f>VLOOKUP(A17227,'Componentes APUs'!$A$1:$D$14,2,0)</f>
        <v>Guantes Protectores  - ingeniero reforzados</v>
      </c>
      <c r="C17227" s="73"/>
      <c r="D17227" s="50" t="str">
        <f>VLOOKUP(A17227,'Componentes APUs'!$A$1:$D$14,3,0)</f>
        <v>Par</v>
      </c>
      <c r="E17227" s="50">
        <f>C17202+C17203+C17205</f>
        <v>2</v>
      </c>
      <c r="F17227" s="51">
        <f>VLOOKUP(A17227,'Componentes APUs'!$A$1:$D$14,4,0)</f>
        <v>2525.2525252525252</v>
      </c>
      <c r="G17227" s="51">
        <f>ROUNDUP(F17227*(E17227/21)/E17185,0)</f>
        <v>35</v>
      </c>
    </row>
    <row r="17228" spans="1:7" x14ac:dyDescent="0.25">
      <c r="A17228" s="50" t="s">
        <v>83</v>
      </c>
      <c r="B17228" s="72" t="str">
        <f>VLOOKUP(A17228,'Componentes APUs'!$A$1:$D$14,2,0)</f>
        <v>Impermeable (pantalon camisa)</v>
      </c>
      <c r="C17228" s="73"/>
      <c r="D17228" s="50" t="str">
        <f>VLOOKUP(A17228,'Componentes APUs'!$A$1:$D$14,3,0)</f>
        <v>U</v>
      </c>
      <c r="E17228" s="50">
        <f>SUM(C17200:C17205)</f>
        <v>2.75</v>
      </c>
      <c r="F17228" s="51">
        <f>VLOOKUP(A17228,'Componentes APUs'!$A$1:$D$14,4,0)</f>
        <v>3750</v>
      </c>
      <c r="G17228" s="51">
        <f>ROUNDUP(F17228*(E17228/21)/E17185,0)</f>
        <v>71</v>
      </c>
    </row>
    <row r="17229" spans="1:7" x14ac:dyDescent="0.25">
      <c r="A17229" s="69" t="s">
        <v>85</v>
      </c>
      <c r="B17229" s="72" t="str">
        <f>VLOOKUP(A17229,'Componentes APUs'!$A$1:$D$14,2,0)</f>
        <v>Jean Dielectrico</v>
      </c>
      <c r="C17229" s="73"/>
      <c r="D17229" s="50" t="str">
        <f>VLOOKUP(A17229,'Componentes APUs'!$A$1:$D$14,3,0)</f>
        <v>U</v>
      </c>
      <c r="E17229" s="50">
        <f>SUM(C17200:C17205)</f>
        <v>2.75</v>
      </c>
      <c r="F17229" s="51">
        <f>VLOOKUP(A17229,'Componentes APUs'!$A$1:$D$14,4,0)</f>
        <v>7575.757575757576</v>
      </c>
      <c r="G17229" s="51">
        <f>ROUNDUP(F17229*(E17229/21)/E17185,0)</f>
        <v>142</v>
      </c>
    </row>
    <row r="17230" spans="1:7" x14ac:dyDescent="0.25">
      <c r="A17230" s="50" t="s">
        <v>87</v>
      </c>
      <c r="B17230" s="72" t="str">
        <f>VLOOKUP(A17230,'Componentes APUs'!$A$1:$D$14,2,0)</f>
        <v>Casco dielectrico Tipo 2 Clase E con barboquejo</v>
      </c>
      <c r="C17230" s="73"/>
      <c r="D17230" s="50" t="str">
        <f>VLOOKUP(A17230,'Componentes APUs'!$A$1:$D$14,3,0)</f>
        <v>U</v>
      </c>
      <c r="E17230" s="53">
        <f>IF(A17202="MO-3",C17202,0)</f>
        <v>1</v>
      </c>
      <c r="F17230" s="51">
        <f>VLOOKUP(A17230,'Componentes APUs'!$A$1:$D$14,4,0)</f>
        <v>7500</v>
      </c>
      <c r="G17230" s="51">
        <f>ROUNDUP(F17230*(E17230/21)/E17185,0)</f>
        <v>52</v>
      </c>
    </row>
    <row r="17231" spans="1:7" x14ac:dyDescent="0.25">
      <c r="A17231" s="69" t="s">
        <v>89</v>
      </c>
      <c r="B17231" s="72" t="str">
        <f>VLOOKUP(A17231,'Componentes APUs'!$A$1:$D$14,2,0)</f>
        <v>Kit de rescate para trabajo en alturas</v>
      </c>
      <c r="C17231" s="73"/>
      <c r="D17231" s="50" t="str">
        <f>VLOOKUP(A17231,'Componentes APUs'!$A$1:$D$14,3,0)</f>
        <v>U</v>
      </c>
      <c r="E17231" s="50">
        <f>IF(AND(A17202="MO-3",C17202=2),1,0)</f>
        <v>0</v>
      </c>
      <c r="F17231" s="51">
        <f>VLOOKUP(A17231,'Componentes APUs'!$A$1:$D$14,4,0)</f>
        <v>37500</v>
      </c>
      <c r="G17231" s="51">
        <f>ROUNDUP(F17231*(E17231/21)/E17185,0)</f>
        <v>0</v>
      </c>
    </row>
    <row r="17232" spans="1:7" x14ac:dyDescent="0.25">
      <c r="A17232" s="50" t="s">
        <v>91</v>
      </c>
      <c r="B17232" s="72" t="str">
        <f>VLOOKUP(A17232,'Componentes APUs'!$A$1:$D$14,2,0)</f>
        <v>Equipo completo para trabajo en alturas con pretales (Arnes dielectrico, 1 mosqueton de seguridad, tie off dielectrico, eslinga de posicionamiento, juego de pretales)</v>
      </c>
      <c r="C17232" s="73"/>
      <c r="D17232" s="50" t="str">
        <f>VLOOKUP(A17232,'Componentes APUs'!$A$1:$D$14,3,0)</f>
        <v>U</v>
      </c>
      <c r="E17232" s="50">
        <f>IF(A17202="MO-3",C17202,0)</f>
        <v>1</v>
      </c>
      <c r="F17232" s="51">
        <f>VLOOKUP(A17232,'Componentes APUs'!$A$1:$D$14,4,0)</f>
        <v>26041.666666666668</v>
      </c>
      <c r="G17232" s="51">
        <f>ROUNDUP(F17232*(E17232/21)/E17185,0)</f>
        <v>178</v>
      </c>
    </row>
    <row r="17233" spans="1:7" x14ac:dyDescent="0.25">
      <c r="A17233" s="219" t="s">
        <v>95</v>
      </c>
      <c r="B17233" s="219"/>
      <c r="C17233" s="219"/>
      <c r="D17233" s="219"/>
      <c r="E17233" s="219"/>
      <c r="F17233" s="219"/>
      <c r="G17233" s="52">
        <f>SUM(G17220:G17232)</f>
        <v>1127</v>
      </c>
    </row>
    <row r="17234" spans="1:7" x14ac:dyDescent="0.25">
      <c r="A17234" s="56"/>
      <c r="B17234" s="57"/>
      <c r="C17234" s="57"/>
      <c r="D17234" s="57"/>
      <c r="E17234" s="57"/>
      <c r="F17234" s="57"/>
      <c r="G17234" s="58"/>
    </row>
    <row r="17235" spans="1:7" x14ac:dyDescent="0.25">
      <c r="A17235" s="219" t="s">
        <v>96</v>
      </c>
      <c r="B17235" s="219"/>
      <c r="C17235" s="219"/>
      <c r="D17235" s="219"/>
      <c r="E17235" s="219"/>
      <c r="F17235" s="219"/>
      <c r="G17235" s="219"/>
    </row>
    <row r="17236" spans="1:7" x14ac:dyDescent="0.25">
      <c r="A17236" s="49" t="s">
        <v>35</v>
      </c>
      <c r="B17236" s="225" t="s">
        <v>36</v>
      </c>
      <c r="C17236" s="225"/>
      <c r="D17236" s="49" t="s">
        <v>37</v>
      </c>
      <c r="E17236" s="49" t="s">
        <v>38</v>
      </c>
      <c r="F17236" s="49" t="s">
        <v>39</v>
      </c>
      <c r="G17236" s="49" t="s">
        <v>40</v>
      </c>
    </row>
    <row r="17237" spans="1:7" x14ac:dyDescent="0.25">
      <c r="A17237" s="69" t="s">
        <v>97</v>
      </c>
      <c r="B17237" s="72" t="str">
        <f>VLOOKUP(A17237,'Componentes APUs'!$N$1:$Q$30,2,0)</f>
        <v>Camioneta</v>
      </c>
      <c r="C17237" s="73"/>
      <c r="D17237" s="70" t="str">
        <f>VLOOKUP(A17237,'Componentes APUs'!$N$1:$Q$30,3,0)</f>
        <v>U</v>
      </c>
      <c r="E17237" s="50">
        <v>1</v>
      </c>
      <c r="F17237" s="51">
        <f>VLOOKUP(A17237,'Componentes APUs'!$N$1:$Q$30,4,0)</f>
        <v>5500000</v>
      </c>
      <c r="G17237" s="51">
        <f>IFERROR(ROUNDUP(F17237*(E17237/21)/E17185,0),0)</f>
        <v>37415</v>
      </c>
    </row>
    <row r="17238" spans="1:7" x14ac:dyDescent="0.25">
      <c r="A17238" s="50" t="s">
        <v>321</v>
      </c>
      <c r="B17238" s="72" t="str">
        <f>VLOOKUP(A17238,'Componentes APUs'!$N$1:$Q$30,2,0)</f>
        <v>Grúa Hidráulica</v>
      </c>
      <c r="C17238" s="73"/>
      <c r="D17238" s="70" t="str">
        <f>VLOOKUP(A17238,'Componentes APUs'!$N$1:$Q$30,3,0)</f>
        <v>U</v>
      </c>
      <c r="E17238" s="50">
        <v>0</v>
      </c>
      <c r="F17238" s="51">
        <f>VLOOKUP(A17238,'Componentes APUs'!$N$1:$Q$30,4,0)</f>
        <v>21000000</v>
      </c>
      <c r="G17238" s="51">
        <f>IFERROR(ROUNDUP(F17238*(E17238/21)/E17185,0),0)</f>
        <v>0</v>
      </c>
    </row>
    <row r="17239" spans="1:7" x14ac:dyDescent="0.25">
      <c r="A17239" s="69" t="s">
        <v>322</v>
      </c>
      <c r="B17239" s="72" t="str">
        <f>VLOOKUP(A17239,'Componentes APUs'!$N$1:$Q$30,2,0)</f>
        <v>Camabaja</v>
      </c>
      <c r="C17239" s="73"/>
      <c r="D17239" s="70" t="str">
        <f>VLOOKUP(A17239,'Componentes APUs'!$N$1:$Q$30,3,0)</f>
        <v>TON/KM</v>
      </c>
      <c r="E17239" s="50">
        <v>0</v>
      </c>
      <c r="F17239" s="51">
        <f>VLOOKUP(A17239,'Componentes APUs'!$N$1:$Q$30,4,0)</f>
        <v>611</v>
      </c>
      <c r="G17239" s="51">
        <f>IFERROR(ROUNDUP(F17239*(E17239/21)/E17185,0),0)</f>
        <v>0</v>
      </c>
    </row>
    <row r="17240" spans="1:7" x14ac:dyDescent="0.25">
      <c r="A17240" s="50" t="s">
        <v>323</v>
      </c>
      <c r="B17240" s="72" t="str">
        <f>VLOOKUP(A17240,'Componentes APUs'!$N$1:$Q$30,2,0)</f>
        <v>Volqueta</v>
      </c>
      <c r="C17240" s="73"/>
      <c r="D17240" s="70" t="str">
        <f>VLOOKUP(A17240,'Componentes APUs'!$N$1:$Q$30,3,0)</f>
        <v>U</v>
      </c>
      <c r="E17240" s="50">
        <v>0</v>
      </c>
      <c r="F17240" s="51">
        <f>VLOOKUP(A17240,'Componentes APUs'!$N$1:$Q$30,4,0)</f>
        <v>14828184</v>
      </c>
      <c r="G17240" s="51">
        <f>IFERROR(ROUNDUP(F17240*(E17240/21)/E17185,0),0)</f>
        <v>0</v>
      </c>
    </row>
    <row r="17241" spans="1:7" x14ac:dyDescent="0.25">
      <c r="A17241" s="69" t="s">
        <v>324</v>
      </c>
      <c r="B17241" s="72" t="str">
        <f>VLOOKUP(A17241,'Componentes APUs'!$N$1:$Q$30,2,0)</f>
        <v>Retroexcavadora</v>
      </c>
      <c r="C17241" s="73"/>
      <c r="D17241" s="70" t="str">
        <f>VLOOKUP(A17241,'Componentes APUs'!$N$1:$Q$30,3,0)</f>
        <v>U</v>
      </c>
      <c r="E17241" s="50">
        <v>0</v>
      </c>
      <c r="F17241" s="51">
        <f>VLOOKUP(A17241,'Componentes APUs'!$N$1:$Q$30,4,0)</f>
        <v>46030656</v>
      </c>
      <c r="G17241" s="51">
        <f>IFERROR(ROUNDUP(F17241*(E17241/21)/E17185,0),0)</f>
        <v>0</v>
      </c>
    </row>
    <row r="17242" spans="1:7" x14ac:dyDescent="0.25">
      <c r="A17242" s="219" t="s">
        <v>99</v>
      </c>
      <c r="B17242" s="219"/>
      <c r="C17242" s="219"/>
      <c r="D17242" s="219"/>
      <c r="E17242" s="219"/>
      <c r="F17242" s="219"/>
      <c r="G17242" s="52">
        <f>SUM(G17237:G17241)</f>
        <v>37415</v>
      </c>
    </row>
    <row r="17243" spans="1:7" x14ac:dyDescent="0.25">
      <c r="A17243" s="56"/>
      <c r="B17243" s="57"/>
      <c r="C17243" s="57"/>
      <c r="D17243" s="57"/>
      <c r="E17243" s="57"/>
      <c r="F17243" s="57"/>
      <c r="G17243" s="58"/>
    </row>
    <row r="17244" spans="1:7" x14ac:dyDescent="0.25">
      <c r="A17244" s="219" t="s">
        <v>1516</v>
      </c>
      <c r="B17244" s="219"/>
      <c r="C17244" s="219"/>
      <c r="D17244" s="219"/>
      <c r="E17244" s="219"/>
      <c r="F17244" s="219"/>
      <c r="G17244" s="52">
        <f>G17242+G17233+G17216+G17206+G17196</f>
        <v>1753251</v>
      </c>
    </row>
    <row r="17245" spans="1:7" x14ac:dyDescent="0.25">
      <c r="A17245" s="59"/>
      <c r="B17245" s="60"/>
      <c r="C17245" s="60"/>
      <c r="D17245" s="60"/>
      <c r="E17245" s="57"/>
      <c r="F17245" s="57"/>
      <c r="G17245" s="58"/>
    </row>
    <row r="17246" spans="1:7" x14ac:dyDescent="0.25">
      <c r="A17246" s="64"/>
      <c r="D17246" s="55"/>
      <c r="E17246" s="49" t="s">
        <v>25</v>
      </c>
      <c r="F17246" s="54">
        <v>0.15</v>
      </c>
      <c r="G17246" s="51">
        <f>G17244*F17246</f>
        <v>262987.64999999997</v>
      </c>
    </row>
    <row r="17247" spans="1:7" x14ac:dyDescent="0.25">
      <c r="A17247" s="64"/>
      <c r="D17247" s="55"/>
      <c r="E17247" s="49" t="s">
        <v>26</v>
      </c>
      <c r="F17247" s="54">
        <v>0.05</v>
      </c>
      <c r="G17247" s="51">
        <f>G17244*F17247</f>
        <v>87662.55</v>
      </c>
    </row>
    <row r="17248" spans="1:7" x14ac:dyDescent="0.25">
      <c r="A17248" s="61"/>
      <c r="B17248" s="65"/>
      <c r="C17248" s="65"/>
      <c r="D17248" s="62"/>
      <c r="E17248" s="49" t="s">
        <v>27</v>
      </c>
      <c r="F17248" s="54">
        <v>0.05</v>
      </c>
      <c r="G17248" s="51">
        <f>G17244*F17248</f>
        <v>87662.55</v>
      </c>
    </row>
    <row r="17249" spans="1:7" x14ac:dyDescent="0.25">
      <c r="A17249" s="61"/>
      <c r="B17249" s="62"/>
      <c r="C17249" s="62"/>
      <c r="D17249" s="62"/>
      <c r="E17249" s="62"/>
      <c r="F17249" s="62"/>
      <c r="G17249" s="63"/>
    </row>
    <row r="17250" spans="1:7" x14ac:dyDescent="0.25">
      <c r="A17250" s="219" t="s">
        <v>1517</v>
      </c>
      <c r="B17250" s="219"/>
      <c r="C17250" s="219"/>
      <c r="D17250" s="219"/>
      <c r="E17250" s="219"/>
      <c r="F17250" s="219"/>
      <c r="G17250" s="52">
        <f>G17244+G17246+G17247+G17248</f>
        <v>2191563.7499999995</v>
      </c>
    </row>
    <row r="17251" spans="1:7" x14ac:dyDescent="0.25">
      <c r="A17251" s="59"/>
      <c r="B17251" s="60"/>
      <c r="C17251" s="60"/>
      <c r="D17251" s="60"/>
      <c r="E17251" s="57"/>
      <c r="F17251" s="57"/>
      <c r="G17251" s="58"/>
    </row>
    <row r="17252" spans="1:7" x14ac:dyDescent="0.25">
      <c r="A17252" s="64"/>
      <c r="D17252" s="55"/>
      <c r="E17252" s="49" t="s">
        <v>102</v>
      </c>
      <c r="F17252" s="49" t="s">
        <v>103</v>
      </c>
      <c r="G17252" s="51">
        <f>G17248*19%</f>
        <v>16655.8845</v>
      </c>
    </row>
    <row r="17253" spans="1:7" x14ac:dyDescent="0.25">
      <c r="A17253" s="61"/>
      <c r="B17253" s="62"/>
      <c r="C17253" s="62"/>
      <c r="D17253" s="62"/>
      <c r="E17253" s="57"/>
      <c r="F17253" s="57"/>
      <c r="G17253" s="58"/>
    </row>
    <row r="17254" spans="1:7" x14ac:dyDescent="0.25">
      <c r="A17254" s="219" t="s">
        <v>104</v>
      </c>
      <c r="B17254" s="219"/>
      <c r="C17254" s="219"/>
      <c r="D17254" s="219"/>
      <c r="E17254" s="219"/>
      <c r="F17254" s="219"/>
      <c r="G17254" s="52">
        <f>G17252+G17250</f>
        <v>2208219.6344999997</v>
      </c>
    </row>
    <row r="17256" spans="1:7" x14ac:dyDescent="0.25">
      <c r="A17256" s="74" t="s">
        <v>29</v>
      </c>
      <c r="B17256" s="226" t="s">
        <v>30</v>
      </c>
      <c r="C17256" s="226"/>
      <c r="D17256" s="74" t="s">
        <v>31</v>
      </c>
      <c r="E17256" s="74" t="s">
        <v>32</v>
      </c>
      <c r="F17256" s="74" t="s">
        <v>189</v>
      </c>
      <c r="G17256" s="74" t="s">
        <v>33</v>
      </c>
    </row>
    <row r="17257" spans="1:7" ht="30" customHeight="1" x14ac:dyDescent="0.25">
      <c r="A17257" s="50" t="str">
        <f>Presupuesto!B338</f>
        <v>012_AUX</v>
      </c>
      <c r="B17257" s="220" t="str">
        <f>Presupuesto!C338</f>
        <v>SUMINISTRO E INSTALACIÓN DE ACCESORIOS Y CABLEADO PARA MACROMEDIDA</v>
      </c>
      <c r="C17257" s="220"/>
      <c r="D17257" s="50" t="s">
        <v>8</v>
      </c>
      <c r="E17257" s="50">
        <v>7</v>
      </c>
      <c r="F17257" s="50"/>
      <c r="G17257" s="51">
        <f>G17326</f>
        <v>933428.04500000004</v>
      </c>
    </row>
    <row r="17258" spans="1:7" x14ac:dyDescent="0.25">
      <c r="A17258" s="219"/>
      <c r="B17258" s="219"/>
      <c r="C17258" s="219"/>
      <c r="D17258" s="219"/>
      <c r="E17258" s="219"/>
      <c r="F17258" s="219"/>
      <c r="G17258" s="219"/>
    </row>
    <row r="17259" spans="1:7" x14ac:dyDescent="0.25">
      <c r="A17259" s="49" t="s">
        <v>35</v>
      </c>
      <c r="B17259" s="219" t="s">
        <v>36</v>
      </c>
      <c r="C17259" s="219"/>
      <c r="D17259" s="49" t="s">
        <v>37</v>
      </c>
      <c r="E17259" s="49" t="s">
        <v>38</v>
      </c>
      <c r="F17259" s="49" t="s">
        <v>39</v>
      </c>
      <c r="G17259" s="49" t="s">
        <v>40</v>
      </c>
    </row>
    <row r="17260" spans="1:7" x14ac:dyDescent="0.25">
      <c r="A17260" s="17" t="str">
        <f>Material!A116</f>
        <v>MA-115</v>
      </c>
      <c r="B17260" s="72" t="str">
        <f>IFERROR(VLOOKUP(A17260,Material!$A:$J,2,0),"-")</f>
        <v>CAJA POLIFASICA</v>
      </c>
      <c r="C17260" s="73"/>
      <c r="D17260" s="50" t="str">
        <f>IFERROR(VLOOKUP(A17260,Material!$A:$J,4,0),"-")</f>
        <v>UN</v>
      </c>
      <c r="E17260" s="50">
        <v>1</v>
      </c>
      <c r="F17260" s="51">
        <f>IFERROR(VLOOKUP(A17260,Material!$A:$J,3,0),"-")</f>
        <v>159315</v>
      </c>
      <c r="G17260" s="51">
        <f t="shared" ref="G17260:G17267" si="241">IFERROR(ROUNDUP(F17260*E17260,0),"-")</f>
        <v>159315</v>
      </c>
    </row>
    <row r="17261" spans="1:7" ht="23.25" customHeight="1" x14ac:dyDescent="0.25">
      <c r="A17261" s="17" t="str">
        <f>Material!A117</f>
        <v>MA-116</v>
      </c>
      <c r="B17261" s="221" t="str">
        <f>IFERROR(VLOOKUP(A17261,Material!$A:$J,2,0),"-")</f>
        <v xml:space="preserve">CABLE CONTROL 7X12 AWG GRIS APANTALLADO FOIL 600V CHAQ.FR-PVC RES.UV DW </v>
      </c>
      <c r="C17261" s="222"/>
      <c r="D17261" s="50" t="str">
        <f>IFERROR(VLOOKUP(A17261,Material!$A:$J,4,0),"-")</f>
        <v>ML</v>
      </c>
      <c r="E17261" s="50">
        <v>7</v>
      </c>
      <c r="F17261" s="51">
        <f>IFERROR(VLOOKUP(A17261,Material!$A:$J,3,0),"-")</f>
        <v>49166</v>
      </c>
      <c r="G17261" s="51">
        <f t="shared" si="241"/>
        <v>344162</v>
      </c>
    </row>
    <row r="17262" spans="1:7" x14ac:dyDescent="0.25">
      <c r="A17262" s="17" t="str">
        <f>Material!A118</f>
        <v>MA-117</v>
      </c>
      <c r="B17262" s="72" t="str">
        <f>IFERROR(VLOOKUP(A17262,Material!$A:$J,2,0),"-")</f>
        <v>TERMINAL DE OJO AISLADO</v>
      </c>
      <c r="C17262" s="76"/>
      <c r="D17262" s="50" t="str">
        <f>IFERROR(VLOOKUP(A17262,Material!$A:$J,4,0),"-")</f>
        <v>UN</v>
      </c>
      <c r="E17262" s="50">
        <v>4</v>
      </c>
      <c r="F17262" s="51">
        <f>IFERROR(VLOOKUP(A17262,Material!$A:$J,3,0),"-")</f>
        <v>520</v>
      </c>
      <c r="G17262" s="51">
        <f t="shared" si="241"/>
        <v>2080</v>
      </c>
    </row>
    <row r="17263" spans="1:7" x14ac:dyDescent="0.25">
      <c r="A17263" s="17" t="str">
        <f>Material!A70</f>
        <v>MA-69</v>
      </c>
      <c r="B17263" s="72" t="str">
        <f>IFERROR(VLOOKUP(A17263,Material!$A:$J,2,0),"-")</f>
        <v>TUBO CONDUIT METÁLICO GALVANIZADO IMC DIAMETRO 3/4"</v>
      </c>
      <c r="C17263" s="76"/>
      <c r="D17263" s="50" t="str">
        <f>IFERROR(VLOOKUP(A17263,Material!$A:$J,4,0),"-")</f>
        <v>ML</v>
      </c>
      <c r="E17263" s="50">
        <v>1</v>
      </c>
      <c r="F17263" s="51">
        <f>IFERROR(VLOOKUP(A17263,Material!$A:$J,3,0),"-")</f>
        <v>29965</v>
      </c>
      <c r="G17263" s="51">
        <f t="shared" si="241"/>
        <v>29965</v>
      </c>
    </row>
    <row r="17264" spans="1:7" x14ac:dyDescent="0.25">
      <c r="A17264" s="17" t="str">
        <f>Material!A71</f>
        <v>MA-70</v>
      </c>
      <c r="B17264" s="72" t="str">
        <f>IFERROR(VLOOKUP(A17264,Material!$A:$J,2,0),"-")</f>
        <v>CORAZA METÁLICA LIQUID TIGHT DE 3/4"</v>
      </c>
      <c r="C17264" s="76"/>
      <c r="D17264" s="50" t="str">
        <f>IFERROR(VLOOKUP(A17264,Material!$A:$J,4,0),"-")</f>
        <v>ML</v>
      </c>
      <c r="E17264" s="50">
        <v>1</v>
      </c>
      <c r="F17264" s="51">
        <f>IFERROR(VLOOKUP(A17264,Material!$A:$J,3,0),"-")</f>
        <v>8905</v>
      </c>
      <c r="G17264" s="51">
        <f t="shared" si="241"/>
        <v>8905</v>
      </c>
    </row>
    <row r="17265" spans="1:7" x14ac:dyDescent="0.25">
      <c r="A17265" s="17" t="str">
        <f>Material!A74</f>
        <v>MA-73</v>
      </c>
      <c r="B17265" s="72" t="str">
        <f>IFERROR(VLOOKUP(A17265,Material!$A:$J,2,0),"-")</f>
        <v>CONECTOR RECTO LIQUID TIGHT DE 3/4"</v>
      </c>
      <c r="C17265" s="76"/>
      <c r="D17265" s="50" t="str">
        <f>IFERROR(VLOOKUP(A17265,Material!$A:$J,4,0),"-")</f>
        <v>UN</v>
      </c>
      <c r="E17265" s="50">
        <v>1</v>
      </c>
      <c r="F17265" s="51">
        <f>IFERROR(VLOOKUP(A17265,Material!$A:$J,3,0),"-")</f>
        <v>19034.600000000002</v>
      </c>
      <c r="G17265" s="51">
        <f t="shared" si="241"/>
        <v>19035</v>
      </c>
    </row>
    <row r="17266" spans="1:7" x14ac:dyDescent="0.25">
      <c r="A17266" s="17" t="str">
        <f>Material!A102</f>
        <v>MA-101</v>
      </c>
      <c r="B17266" s="72" t="str">
        <f>IFERROR(VLOOKUP(A17266,Material!$A:$J,2,0),"-")</f>
        <v>CINTA DE ACERO INOXIDABLE. DIMENSIONES 15.87 MM (REF. EH = 1282)</v>
      </c>
      <c r="C17266" s="76"/>
      <c r="D17266" s="50" t="str">
        <f>IFERROR(VLOOKUP(A17266,Material!$A:$J,4,0),"-")</f>
        <v>ML</v>
      </c>
      <c r="E17266" s="50">
        <f>1.5*4</f>
        <v>6</v>
      </c>
      <c r="F17266" s="51">
        <f>IFERROR(VLOOKUP(A17266,Material!$A:$J,3,0),"-")</f>
        <v>6474</v>
      </c>
      <c r="G17266" s="51">
        <f t="shared" si="241"/>
        <v>38844</v>
      </c>
    </row>
    <row r="17267" spans="1:7" x14ac:dyDescent="0.25">
      <c r="A17267" s="17" t="str">
        <f>Material!A69</f>
        <v>MA-68</v>
      </c>
      <c r="B17267" s="72" t="str">
        <f>IFERROR(VLOOKUP(A17267,Material!$A:$J,2,0),"-")</f>
        <v>HEBILLA DE ACERO INOXIDABLE. DIMENSIONES 15.87 MM (REF. EH = 1292)</v>
      </c>
      <c r="C17267" s="76"/>
      <c r="D17267" s="50" t="str">
        <f>IFERROR(VLOOKUP(A17267,Material!$A:$J,4,0),"-")</f>
        <v>UN</v>
      </c>
      <c r="E17267" s="50">
        <v>4</v>
      </c>
      <c r="F17267" s="51">
        <f>IFERROR(VLOOKUP(A17267,Material!$A:$J,3,0),"-")</f>
        <v>780</v>
      </c>
      <c r="G17267" s="51">
        <f t="shared" si="241"/>
        <v>3120</v>
      </c>
    </row>
    <row r="17268" spans="1:7" x14ac:dyDescent="0.25">
      <c r="A17268" s="219" t="s">
        <v>41</v>
      </c>
      <c r="B17268" s="219"/>
      <c r="C17268" s="219"/>
      <c r="D17268" s="219"/>
      <c r="E17268" s="219"/>
      <c r="F17268" s="219"/>
      <c r="G17268" s="52">
        <f>SUM(G17260:G17267)</f>
        <v>605426</v>
      </c>
    </row>
    <row r="17269" spans="1:7" x14ac:dyDescent="0.25">
      <c r="A17269" s="56"/>
      <c r="B17269" s="57"/>
      <c r="C17269" s="57"/>
      <c r="D17269" s="57"/>
      <c r="E17269" s="57"/>
      <c r="F17269" s="57"/>
      <c r="G17269" s="58"/>
    </row>
    <row r="17270" spans="1:7" x14ac:dyDescent="0.25">
      <c r="A17270" s="219" t="s">
        <v>42</v>
      </c>
      <c r="B17270" s="219"/>
      <c r="C17270" s="219"/>
      <c r="D17270" s="219"/>
      <c r="E17270" s="219"/>
      <c r="F17270" s="219"/>
      <c r="G17270" s="219"/>
    </row>
    <row r="17271" spans="1:7" x14ac:dyDescent="0.25">
      <c r="A17271" s="49" t="s">
        <v>35</v>
      </c>
      <c r="B17271" s="49" t="s">
        <v>36</v>
      </c>
      <c r="C17271" s="49" t="s">
        <v>38</v>
      </c>
      <c r="D17271" s="49" t="s">
        <v>43</v>
      </c>
      <c r="E17271" s="49" t="s">
        <v>44</v>
      </c>
      <c r="F17271" s="49" t="s">
        <v>45</v>
      </c>
      <c r="G17271" s="49" t="s">
        <v>40</v>
      </c>
    </row>
    <row r="17272" spans="1:7" x14ac:dyDescent="0.25">
      <c r="A17272" s="50" t="s">
        <v>319</v>
      </c>
      <c r="B17272" s="68" t="str">
        <f>VLOOKUP(A17272,'[1]Componentes APUs'!$H$1:$L$25,2,0)</f>
        <v>Ingeniero Residente de Obra</v>
      </c>
      <c r="C17272" s="93">
        <v>0.25</v>
      </c>
      <c r="D17272" s="50">
        <f>VLOOKUP(A17272,'[1]Componentes APUs'!$H$1:$L$25,3,0)</f>
        <v>4</v>
      </c>
      <c r="E17272" s="51">
        <f>VLOOKUP(A17272,'[1]Componentes APUs'!$H$1:$L$25,4,0)</f>
        <v>271142.85714285716</v>
      </c>
      <c r="F17272" s="51">
        <f>VLOOKUP(A17272,'[1]Componentes APUs'!$H$1:$L$25,5,0)</f>
        <v>162685.71428571429</v>
      </c>
      <c r="G17272" s="51">
        <f>ROUNDUP((E17272+F17272)*C17272/E17257,0)</f>
        <v>15494</v>
      </c>
    </row>
    <row r="17273" spans="1:7" x14ac:dyDescent="0.25">
      <c r="A17273" s="50" t="s">
        <v>320</v>
      </c>
      <c r="B17273" s="68" t="str">
        <f>VLOOKUP(A17273,'[1]Componentes APUs'!$H$1:$L$25,2,0)</f>
        <v>Tecnico Supervisor</v>
      </c>
      <c r="C17273" s="93">
        <v>0.25</v>
      </c>
      <c r="D17273" s="50">
        <f>VLOOKUP(A17273,'[1]Componentes APUs'!$H$1:$L$25,3,0)</f>
        <v>2.2999999999999998</v>
      </c>
      <c r="E17273" s="51">
        <f>VLOOKUP(A17273,'[1]Componentes APUs'!$H$1:$L$25,4,0)</f>
        <v>155907.14285714284</v>
      </c>
      <c r="F17273" s="51">
        <f>VLOOKUP(A17273,'[1]Componentes APUs'!$H$1:$L$25,5,0)</f>
        <v>93544.285714285696</v>
      </c>
      <c r="G17273" s="51">
        <f>ROUNDUP((E17273+F17273)*C17273/E17257,0)</f>
        <v>8909</v>
      </c>
    </row>
    <row r="17274" spans="1:7" x14ac:dyDescent="0.25">
      <c r="A17274" s="50" t="s">
        <v>46</v>
      </c>
      <c r="B17274" s="68" t="str">
        <f>VLOOKUP(A17274,'[1]Componentes APUs'!$H$1:$L$25,2,0)</f>
        <v>Tecnico Liniero</v>
      </c>
      <c r="C17274" s="93">
        <v>1</v>
      </c>
      <c r="D17274" s="50">
        <f>VLOOKUP(A17274,'[1]Componentes APUs'!$H$1:$L$25,3,0)</f>
        <v>2</v>
      </c>
      <c r="E17274" s="51">
        <f>VLOOKUP(A17274,'[1]Componentes APUs'!$H$1:$L$25,4,0)</f>
        <v>154619.04761904763</v>
      </c>
      <c r="F17274" s="51">
        <f>VLOOKUP(A17274,'[1]Componentes APUs'!$H$1:$L$25,5,0)</f>
        <v>92771.42857142858</v>
      </c>
      <c r="G17274" s="51">
        <f>ROUNDUP((E17274+F17274)*C17274/E17257,0)</f>
        <v>35342</v>
      </c>
    </row>
    <row r="17275" spans="1:7" x14ac:dyDescent="0.25">
      <c r="A17275" s="50" t="s">
        <v>48</v>
      </c>
      <c r="B17275" s="68" t="str">
        <f>VLOOKUP(A17275,'[1]Componentes APUs'!$H$1:$L$25,2,0)</f>
        <v>Ayudante Calificado</v>
      </c>
      <c r="C17275" s="93">
        <v>1</v>
      </c>
      <c r="D17275" s="50">
        <f>VLOOKUP(A17275,'[1]Componentes APUs'!$H$1:$L$25,3,0)</f>
        <v>1.5</v>
      </c>
      <c r="E17275" s="51">
        <f>VLOOKUP(A17275,'[1]Componentes APUs'!$H$1:$L$25,4,0)</f>
        <v>115964.28571428571</v>
      </c>
      <c r="F17275" s="51">
        <f>VLOOKUP(A17275,'[1]Componentes APUs'!$H$1:$L$25,5,0)</f>
        <v>69578.57142857142</v>
      </c>
      <c r="G17275" s="51">
        <f>ROUNDUP((E17275+F17275)*C17275/E17257,0)</f>
        <v>26507</v>
      </c>
    </row>
    <row r="17276" spans="1:7" x14ac:dyDescent="0.25">
      <c r="A17276" s="50" t="s">
        <v>50</v>
      </c>
      <c r="B17276" s="68" t="str">
        <f>VLOOKUP(A17276,'[1]Componentes APUs'!$H$1:$L$25,2,0)</f>
        <v>Profesional en SST</v>
      </c>
      <c r="C17276" s="93">
        <v>0.25</v>
      </c>
      <c r="D17276" s="50">
        <f>VLOOKUP(A17276,'[1]Componentes APUs'!$H$1:$L$25,3,0)</f>
        <v>2.5</v>
      </c>
      <c r="E17276" s="51">
        <f>VLOOKUP(A17276,'[1]Componentes APUs'!$H$1:$L$25,4,0)</f>
        <v>169464.28571428571</v>
      </c>
      <c r="F17276" s="51">
        <f>VLOOKUP(A17276,'[1]Componentes APUs'!$H$1:$L$25,5,0)</f>
        <v>101678.57142857142</v>
      </c>
      <c r="G17276" s="51">
        <f>ROUNDUP((E17276+F17276)*C17276/E17257,0)</f>
        <v>9684</v>
      </c>
    </row>
    <row r="17277" spans="1:7" x14ac:dyDescent="0.25">
      <c r="A17277" s="50" t="s">
        <v>52</v>
      </c>
      <c r="B17277" s="68" t="str">
        <f>VLOOKUP(A17277,'[1]Componentes APUs'!$H$1:$L$25,2,0)</f>
        <v>Ayudante No Calificado</v>
      </c>
      <c r="C17277" s="93">
        <v>0</v>
      </c>
      <c r="D17277" s="50">
        <f>VLOOKUP(A17277,'[1]Componentes APUs'!$H$1:$L$25,3,0)</f>
        <v>1</v>
      </c>
      <c r="E17277" s="51">
        <f>VLOOKUP(A17277,'[1]Componentes APUs'!$H$1:$L$25,4,0)</f>
        <v>77309.523809523816</v>
      </c>
      <c r="F17277" s="51">
        <f>VLOOKUP(A17277,'[1]Componentes APUs'!$H$1:$L$25,5,0)</f>
        <v>46385.71428571429</v>
      </c>
      <c r="G17277" s="51">
        <f>ROUNDUP((E17277+F17277)*C17277/E17257,0)</f>
        <v>0</v>
      </c>
    </row>
    <row r="17278" spans="1:7" x14ac:dyDescent="0.25">
      <c r="A17278" s="219" t="s">
        <v>56</v>
      </c>
      <c r="B17278" s="219"/>
      <c r="C17278" s="219"/>
      <c r="D17278" s="219"/>
      <c r="E17278" s="219"/>
      <c r="F17278" s="219"/>
      <c r="G17278" s="52">
        <f>SUM(G17272:G17277)</f>
        <v>95936</v>
      </c>
    </row>
    <row r="17279" spans="1:7" x14ac:dyDescent="0.25">
      <c r="A17279" s="56"/>
      <c r="B17279" s="57"/>
      <c r="C17279" s="57"/>
      <c r="D17279" s="57"/>
      <c r="E17279" s="57"/>
      <c r="F17279" s="57"/>
      <c r="G17279" s="58"/>
    </row>
    <row r="17280" spans="1:7" x14ac:dyDescent="0.25">
      <c r="A17280" s="219" t="s">
        <v>57</v>
      </c>
      <c r="B17280" s="219"/>
      <c r="C17280" s="219"/>
      <c r="D17280" s="219"/>
      <c r="E17280" s="219"/>
      <c r="F17280" s="219"/>
      <c r="G17280" s="219"/>
    </row>
    <row r="17281" spans="1:7" x14ac:dyDescent="0.25">
      <c r="A17281" s="49" t="s">
        <v>35</v>
      </c>
      <c r="B17281" s="219" t="s">
        <v>36</v>
      </c>
      <c r="C17281" s="219"/>
      <c r="D17281" s="49" t="s">
        <v>37</v>
      </c>
      <c r="E17281" s="49" t="s">
        <v>38</v>
      </c>
      <c r="F17281" s="49" t="s">
        <v>39</v>
      </c>
      <c r="G17281" s="49" t="s">
        <v>40</v>
      </c>
    </row>
    <row r="17282" spans="1:7" x14ac:dyDescent="0.25">
      <c r="A17282" s="50" t="s">
        <v>326</v>
      </c>
      <c r="B17282" s="220" t="str">
        <f>VLOOKUP(A17282,'[1]Componentes APUs'!$S$1:$V$10,2,0)</f>
        <v>Juego Llaves</v>
      </c>
      <c r="C17282" s="220"/>
      <c r="D17282" s="50" t="s">
        <v>18</v>
      </c>
      <c r="E17282" s="50">
        <v>2</v>
      </c>
      <c r="F17282" s="51">
        <f>VLOOKUP(A17282,'[1]Componentes APUs'!$S$1:$V$10,4,0)</f>
        <v>9167</v>
      </c>
      <c r="G17282" s="51">
        <f>ROUNDUP(F17282*((E17282/21)/E17257),0)</f>
        <v>125</v>
      </c>
    </row>
    <row r="17283" spans="1:7" x14ac:dyDescent="0.25">
      <c r="A17283" s="50" t="s">
        <v>58</v>
      </c>
      <c r="B17283" s="220" t="str">
        <f>VLOOKUP(A17283,'[1]Componentes APUs'!$S$1:$V$10,2,0)</f>
        <v>Manila de servicio</v>
      </c>
      <c r="C17283" s="220"/>
      <c r="D17283" s="50" t="s">
        <v>18</v>
      </c>
      <c r="E17283" s="50">
        <v>2</v>
      </c>
      <c r="F17283" s="51">
        <f>VLOOKUP(A17283,'[1]Componentes APUs'!$S$1:$V$10,4,0)</f>
        <v>2333</v>
      </c>
      <c r="G17283" s="51">
        <f>ROUNDUP(F17283*((E17283/21)/E17257),0)</f>
        <v>32</v>
      </c>
    </row>
    <row r="17284" spans="1:7" x14ac:dyDescent="0.25">
      <c r="A17284" s="50" t="s">
        <v>327</v>
      </c>
      <c r="B17284" s="220" t="str">
        <f>VLOOKUP(A17284,'[1]Componentes APUs'!$S$1:$V$10,2,0)</f>
        <v>Tula portaherramientas</v>
      </c>
      <c r="C17284" s="220"/>
      <c r="D17284" s="50" t="s">
        <v>18</v>
      </c>
      <c r="E17284" s="50">
        <v>2</v>
      </c>
      <c r="F17284" s="51">
        <f>VLOOKUP(A17284,'[1]Componentes APUs'!$S$1:$V$10,4,0)</f>
        <v>1250</v>
      </c>
      <c r="G17284" s="51">
        <f>ROUNDUP(F17284*((E17284/21)/E17257),0)</f>
        <v>18</v>
      </c>
    </row>
    <row r="17285" spans="1:7" x14ac:dyDescent="0.25">
      <c r="A17285" s="50" t="s">
        <v>60</v>
      </c>
      <c r="B17285" s="220" t="str">
        <f>VLOOKUP(A17285,'[1]Componentes APUs'!$S$1:$V$10,2,0)</f>
        <v>Agarradoras</v>
      </c>
      <c r="C17285" s="220"/>
      <c r="D17285" s="50" t="s">
        <v>18</v>
      </c>
      <c r="E17285" s="50">
        <v>0</v>
      </c>
      <c r="F17285" s="51">
        <f>VLOOKUP(A17285,'[1]Componentes APUs'!$S$1:$V$10,4,0)</f>
        <v>125000</v>
      </c>
      <c r="G17285" s="51">
        <f>ROUNDUP(F17285*((E17285/21)/E17257),0)</f>
        <v>0</v>
      </c>
    </row>
    <row r="17286" spans="1:7" x14ac:dyDescent="0.25">
      <c r="A17286" s="50" t="s">
        <v>62</v>
      </c>
      <c r="B17286" s="220" t="str">
        <f>VLOOKUP(A17286,'[1]Componentes APUs'!$S$1:$V$10,2,0)</f>
        <v>Templadoras</v>
      </c>
      <c r="C17286" s="220"/>
      <c r="D17286" s="50" t="s">
        <v>18</v>
      </c>
      <c r="E17286" s="50">
        <v>0</v>
      </c>
      <c r="F17286" s="51">
        <f>VLOOKUP(A17286,'[1]Componentes APUs'!$S$1:$V$10,4,0)</f>
        <v>250000</v>
      </c>
      <c r="G17286" s="51">
        <f>ROUNDUP(F17286*((E17286/21)/E17257),0)</f>
        <v>0</v>
      </c>
    </row>
    <row r="17287" spans="1:7" x14ac:dyDescent="0.25">
      <c r="A17287" s="50" t="s">
        <v>328</v>
      </c>
      <c r="B17287" s="220" t="str">
        <f>VLOOKUP(A17287,'[1]Componentes APUs'!$S$1:$V$10,2,0)</f>
        <v>Herramienta Menor</v>
      </c>
      <c r="C17287" s="220"/>
      <c r="D17287" s="50" t="s">
        <v>18</v>
      </c>
      <c r="E17287" s="50">
        <v>2</v>
      </c>
      <c r="F17287" s="51">
        <f>VLOOKUP(A17287,'[1]Componentes APUs'!$S$1:$V$10,4,0)</f>
        <v>75758</v>
      </c>
      <c r="G17287" s="51">
        <f>ROUNDUP(F17287*((E17287/21)/E17257),0)</f>
        <v>1031</v>
      </c>
    </row>
    <row r="17288" spans="1:7" x14ac:dyDescent="0.25">
      <c r="A17288" s="219" t="s">
        <v>69</v>
      </c>
      <c r="B17288" s="219"/>
      <c r="C17288" s="219"/>
      <c r="D17288" s="219"/>
      <c r="E17288" s="219"/>
      <c r="F17288" s="219"/>
      <c r="G17288" s="52">
        <f>SUM(G17282:G17287)</f>
        <v>1206</v>
      </c>
    </row>
    <row r="17289" spans="1:7" x14ac:dyDescent="0.25">
      <c r="A17289" s="56"/>
      <c r="B17289" s="57"/>
      <c r="C17289" s="57"/>
      <c r="D17289" s="57"/>
      <c r="E17289" s="57"/>
      <c r="F17289" s="57"/>
      <c r="G17289" s="58"/>
    </row>
    <row r="17290" spans="1:7" x14ac:dyDescent="0.25">
      <c r="A17290" s="219" t="s">
        <v>70</v>
      </c>
      <c r="B17290" s="219"/>
      <c r="C17290" s="219"/>
      <c r="D17290" s="219"/>
      <c r="E17290" s="219"/>
      <c r="F17290" s="219"/>
      <c r="G17290" s="219"/>
    </row>
    <row r="17291" spans="1:7" x14ac:dyDescent="0.25">
      <c r="A17291" s="49" t="s">
        <v>35</v>
      </c>
      <c r="B17291" s="219" t="s">
        <v>36</v>
      </c>
      <c r="C17291" s="219"/>
      <c r="D17291" s="49" t="s">
        <v>37</v>
      </c>
      <c r="E17291" s="49" t="s">
        <v>38</v>
      </c>
      <c r="F17291" s="49" t="s">
        <v>39</v>
      </c>
      <c r="G17291" s="49" t="s">
        <v>40</v>
      </c>
    </row>
    <row r="17292" spans="1:7" x14ac:dyDescent="0.25">
      <c r="A17292" s="50" t="s">
        <v>71</v>
      </c>
      <c r="B17292" s="71" t="str">
        <f>VLOOKUP(A17292,'[1]Componentes APUs'!$A$1:$D$14,2,0)</f>
        <v>Camisa indigo sin partes metalicas</v>
      </c>
      <c r="C17292" s="71"/>
      <c r="D17292" s="50" t="str">
        <f>VLOOKUP(A17292,'[1]Componentes APUs'!$A$1:$D$14,3,0)</f>
        <v>U</v>
      </c>
      <c r="E17292" s="50">
        <f>SUM(C17272:C17277)</f>
        <v>2.75</v>
      </c>
      <c r="F17292" s="51">
        <f>VLOOKUP(A17292,'[1]Componentes APUs'!$A$1:$D$14,4,0)</f>
        <v>8585.8585858585866</v>
      </c>
      <c r="G17292" s="51">
        <f>ROUNDUP(F17292*(E17292/21)/E17257,0)</f>
        <v>161</v>
      </c>
    </row>
    <row r="17293" spans="1:7" x14ac:dyDescent="0.25">
      <c r="A17293" s="69" t="s">
        <v>73</v>
      </c>
      <c r="B17293" s="72" t="str">
        <f>VLOOKUP(A17293,'[1]Componentes APUs'!$A$1:$D$14,2,0)</f>
        <v>Bota de seguridad dielectrica</v>
      </c>
      <c r="C17293" s="73"/>
      <c r="D17293" s="70" t="str">
        <f>VLOOKUP(A17293,'[1]Componentes APUs'!$A$1:$D$14,3,0)</f>
        <v>Par</v>
      </c>
      <c r="E17293" s="50">
        <f>SUM(C17272:C17277)</f>
        <v>2.75</v>
      </c>
      <c r="F17293" s="51">
        <f>VLOOKUP(A17293,'[1]Componentes APUs'!$A$1:$D$14,4,0)</f>
        <v>7500</v>
      </c>
      <c r="G17293" s="51">
        <f>ROUNDUP(F17293*(E17293/21)/E17257,0)</f>
        <v>141</v>
      </c>
    </row>
    <row r="17294" spans="1:7" x14ac:dyDescent="0.25">
      <c r="A17294" s="50" t="s">
        <v>76</v>
      </c>
      <c r="B17294" s="72" t="str">
        <f>VLOOKUP(A17294,'[1]Componentes APUs'!$A$1:$D$14,2,0)</f>
        <v>Casco dielectrico Tipo 1 Clase E con barbuquejo</v>
      </c>
      <c r="C17294" s="73"/>
      <c r="D17294" s="50" t="str">
        <f>VLOOKUP(A17294,'[1]Componentes APUs'!$A$1:$D$14,3,0)</f>
        <v>U</v>
      </c>
      <c r="E17294" s="50">
        <f>C17277+C17272+C17275+C17276+C17273+IF(A17274&lt;&gt;"MO-3",C17274,0)</f>
        <v>1.75</v>
      </c>
      <c r="F17294" s="51">
        <f>VLOOKUP(A17294,'[1]Componentes APUs'!$A$1:$D$14,4,0)</f>
        <v>10101.010101010101</v>
      </c>
      <c r="G17294" s="51">
        <f>ROUNDUP(F17294*(E17294/21)/E17257,0)</f>
        <v>121</v>
      </c>
    </row>
    <row r="17295" spans="1:7" x14ac:dyDescent="0.25">
      <c r="A17295" s="69" t="s">
        <v>77</v>
      </c>
      <c r="B17295" s="72" t="str">
        <f>VLOOKUP(A17295,'[1]Componentes APUs'!$A$1:$D$14,2,0)</f>
        <v>Correa plastica y antiflama</v>
      </c>
      <c r="C17295" s="73"/>
      <c r="D17295" s="50" t="str">
        <f>VLOOKUP(A17295,'[1]Componentes APUs'!$A$1:$D$14,3,0)</f>
        <v>U</v>
      </c>
      <c r="E17295" s="50">
        <f>SUM(C17272:C17277)</f>
        <v>2.75</v>
      </c>
      <c r="F17295" s="51">
        <f>VLOOKUP(A17295,'[1]Componentes APUs'!$A$1:$D$14,4,0)</f>
        <v>3787.878787878788</v>
      </c>
      <c r="G17295" s="51">
        <f>ROUNDUP(F17295*(E17295/21)/E17257,0)</f>
        <v>71</v>
      </c>
    </row>
    <row r="17296" spans="1:7" x14ac:dyDescent="0.25">
      <c r="A17296" s="50" t="s">
        <v>79</v>
      </c>
      <c r="B17296" s="72" t="str">
        <f>VLOOKUP(A17296,'[1]Componentes APUs'!$A$1:$D$14,2,0)</f>
        <v>Gafas protectoras filtro UV</v>
      </c>
      <c r="C17296" s="73"/>
      <c r="D17296" s="50" t="str">
        <f>VLOOKUP(A17296,'[1]Componentes APUs'!$A$1:$D$14,3,0)</f>
        <v>U</v>
      </c>
      <c r="E17296" s="50">
        <f>SUM(C17272:C17277)</f>
        <v>2.75</v>
      </c>
      <c r="F17296" s="51">
        <f>VLOOKUP(A17296,'[1]Componentes APUs'!$A$1:$D$14,4,0)</f>
        <v>2777.7777777777778</v>
      </c>
      <c r="G17296" s="51">
        <f>ROUNDUP(F17296*(E17296/21)/E17257,0)</f>
        <v>52</v>
      </c>
    </row>
    <row r="17297" spans="1:7" x14ac:dyDescent="0.25">
      <c r="A17297" s="69" t="s">
        <v>402</v>
      </c>
      <c r="B17297" s="72" t="str">
        <f>VLOOKUP(A17297,'[1]Componentes APUs'!$A$1:$D$14,2,0)</f>
        <v>Bota de seguridad PVC dielectrica</v>
      </c>
      <c r="C17297" s="73"/>
      <c r="D17297" s="50" t="str">
        <f>VLOOKUP(A17297,'[1]Componentes APUs'!$A$1:$D$14,3,0)</f>
        <v>Par</v>
      </c>
      <c r="E17297" s="50">
        <f>SUM(C17272:C17277)</f>
        <v>2.75</v>
      </c>
      <c r="F17297" s="51">
        <f>VLOOKUP(A17297,'[1]Componentes APUs'!$A$1:$D$14,4,0)</f>
        <v>2916.6666666666665</v>
      </c>
      <c r="G17297" s="51">
        <f>ROUNDUP(F17297*(E17297/21)/E17257,0)</f>
        <v>55</v>
      </c>
    </row>
    <row r="17298" spans="1:7" x14ac:dyDescent="0.25">
      <c r="A17298" s="50" t="s">
        <v>403</v>
      </c>
      <c r="B17298" s="72" t="str">
        <f>VLOOKUP(A17298,'[1]Componentes APUs'!$A$1:$D$14,2,0)</f>
        <v>Capuchon</v>
      </c>
      <c r="C17298" s="73"/>
      <c r="D17298" s="50" t="str">
        <f>VLOOKUP(A17298,'[1]Componentes APUs'!$A$1:$D$14,3,0)</f>
        <v>U</v>
      </c>
      <c r="E17298" s="50">
        <f>SUM(C17272:C17277)</f>
        <v>2.75</v>
      </c>
      <c r="F17298" s="51">
        <f>VLOOKUP(A17298,'[1]Componentes APUs'!$A$1:$D$14,4,0)</f>
        <v>2525.2525252525252</v>
      </c>
      <c r="G17298" s="51">
        <f>ROUNDUP(F17298*(E17298/21)/E17257,0)</f>
        <v>48</v>
      </c>
    </row>
    <row r="17299" spans="1:7" x14ac:dyDescent="0.25">
      <c r="A17299" s="69" t="s">
        <v>81</v>
      </c>
      <c r="B17299" s="72" t="str">
        <f>VLOOKUP(A17299,'[1]Componentes APUs'!$A$1:$D$14,2,0)</f>
        <v>Guantes Protectores  - ingeniero reforzados</v>
      </c>
      <c r="C17299" s="73"/>
      <c r="D17299" s="50" t="str">
        <f>VLOOKUP(A17299,'[1]Componentes APUs'!$A$1:$D$14,3,0)</f>
        <v>Par</v>
      </c>
      <c r="E17299" s="50">
        <f>C17274+C17275+C17277</f>
        <v>2</v>
      </c>
      <c r="F17299" s="51">
        <f>VLOOKUP(A17299,'[1]Componentes APUs'!$A$1:$D$14,4,0)</f>
        <v>2525.2525252525252</v>
      </c>
      <c r="G17299" s="51">
        <f>ROUNDUP(F17299*(E17299/21)/E17257,0)</f>
        <v>35</v>
      </c>
    </row>
    <row r="17300" spans="1:7" x14ac:dyDescent="0.25">
      <c r="A17300" s="50" t="s">
        <v>83</v>
      </c>
      <c r="B17300" s="72" t="str">
        <f>VLOOKUP(A17300,'[1]Componentes APUs'!$A$1:$D$14,2,0)</f>
        <v>Impermeable (pantalon camisa)</v>
      </c>
      <c r="C17300" s="73"/>
      <c r="D17300" s="50" t="str">
        <f>VLOOKUP(A17300,'[1]Componentes APUs'!$A$1:$D$14,3,0)</f>
        <v>U</v>
      </c>
      <c r="E17300" s="50">
        <f>SUM(C17272:C17277)</f>
        <v>2.75</v>
      </c>
      <c r="F17300" s="51">
        <f>VLOOKUP(A17300,'[1]Componentes APUs'!$A$1:$D$14,4,0)</f>
        <v>3750</v>
      </c>
      <c r="G17300" s="51">
        <f>ROUNDUP(F17300*(E17300/21)/E17257,0)</f>
        <v>71</v>
      </c>
    </row>
    <row r="17301" spans="1:7" x14ac:dyDescent="0.25">
      <c r="A17301" s="69" t="s">
        <v>85</v>
      </c>
      <c r="B17301" s="72" t="str">
        <f>VLOOKUP(A17301,'[1]Componentes APUs'!$A$1:$D$14,2,0)</f>
        <v>Jean Dielectrico</v>
      </c>
      <c r="C17301" s="73"/>
      <c r="D17301" s="50" t="str">
        <f>VLOOKUP(A17301,'[1]Componentes APUs'!$A$1:$D$14,3,0)</f>
        <v>U</v>
      </c>
      <c r="E17301" s="50">
        <f>SUM(C17272:C17277)</f>
        <v>2.75</v>
      </c>
      <c r="F17301" s="51">
        <f>VLOOKUP(A17301,'[1]Componentes APUs'!$A$1:$D$14,4,0)</f>
        <v>7575.757575757576</v>
      </c>
      <c r="G17301" s="51">
        <f>ROUNDUP(F17301*(E17301/21)/E17257,0)</f>
        <v>142</v>
      </c>
    </row>
    <row r="17302" spans="1:7" x14ac:dyDescent="0.25">
      <c r="A17302" s="50" t="s">
        <v>87</v>
      </c>
      <c r="B17302" s="72" t="str">
        <f>VLOOKUP(A17302,'[1]Componentes APUs'!$A$1:$D$14,2,0)</f>
        <v>Casco dielectrico Tipo 2 Clase E con barboquejo</v>
      </c>
      <c r="C17302" s="73"/>
      <c r="D17302" s="50" t="str">
        <f>VLOOKUP(A17302,'[1]Componentes APUs'!$A$1:$D$14,3,0)</f>
        <v>U</v>
      </c>
      <c r="E17302" s="53">
        <f>IF(A17274="MO-3",C17274,0)</f>
        <v>1</v>
      </c>
      <c r="F17302" s="51">
        <f>VLOOKUP(A17302,'[1]Componentes APUs'!$A$1:$D$14,4,0)</f>
        <v>7500</v>
      </c>
      <c r="G17302" s="51">
        <f>ROUNDUP(F17302*(E17302/21)/E17257,0)</f>
        <v>52</v>
      </c>
    </row>
    <row r="17303" spans="1:7" x14ac:dyDescent="0.25">
      <c r="A17303" s="69" t="s">
        <v>89</v>
      </c>
      <c r="B17303" s="72" t="str">
        <f>VLOOKUP(A17303,'[1]Componentes APUs'!$A$1:$D$14,2,0)</f>
        <v>Kit de rescate para trabajo en alturas</v>
      </c>
      <c r="C17303" s="73"/>
      <c r="D17303" s="50" t="str">
        <f>VLOOKUP(A17303,'[1]Componentes APUs'!$A$1:$D$14,3,0)</f>
        <v>U</v>
      </c>
      <c r="E17303" s="50">
        <f>IF(AND(A17274="MO-3",C17274=2),1,0)</f>
        <v>0</v>
      </c>
      <c r="F17303" s="51">
        <f>VLOOKUP(A17303,'[1]Componentes APUs'!$A$1:$D$14,4,0)</f>
        <v>37500</v>
      </c>
      <c r="G17303" s="51">
        <f>ROUNDUP(F17303*(E17303/21)/E17257,0)</f>
        <v>0</v>
      </c>
    </row>
    <row r="17304" spans="1:7" x14ac:dyDescent="0.25">
      <c r="A17304" s="50" t="s">
        <v>91</v>
      </c>
      <c r="B17304" s="72" t="str">
        <f>VLOOKUP(A17304,'[1]Componentes APUs'!$A$1:$D$14,2,0)</f>
        <v>Equipo completo para trabajo en alturas con pretales (Arnes dielectrico, 1 mosqueton de seguridad, tie off dielectrico, eslinga de posicionamiento, juego de pretales)</v>
      </c>
      <c r="C17304" s="73"/>
      <c r="D17304" s="50" t="str">
        <f>VLOOKUP(A17304,'[1]Componentes APUs'!$A$1:$D$14,3,0)</f>
        <v>U</v>
      </c>
      <c r="E17304" s="50">
        <f>IF(A17274="MO-3",C17274,0)</f>
        <v>1</v>
      </c>
      <c r="F17304" s="51">
        <f>VLOOKUP(A17304,'[1]Componentes APUs'!$A$1:$D$14,4,0)</f>
        <v>26041.666666666668</v>
      </c>
      <c r="G17304" s="51">
        <f>ROUNDUP(F17304*(E17304/21)/E17257,0)</f>
        <v>178</v>
      </c>
    </row>
    <row r="17305" spans="1:7" x14ac:dyDescent="0.25">
      <c r="A17305" s="219" t="s">
        <v>95</v>
      </c>
      <c r="B17305" s="219"/>
      <c r="C17305" s="219"/>
      <c r="D17305" s="219"/>
      <c r="E17305" s="219"/>
      <c r="F17305" s="219"/>
      <c r="G17305" s="52">
        <f>SUM(G17292:G17304)</f>
        <v>1127</v>
      </c>
    </row>
    <row r="17306" spans="1:7" x14ac:dyDescent="0.25">
      <c r="A17306" s="56"/>
      <c r="B17306" s="57"/>
      <c r="C17306" s="57"/>
      <c r="D17306" s="57"/>
      <c r="E17306" s="57"/>
      <c r="F17306" s="57"/>
      <c r="G17306" s="58"/>
    </row>
    <row r="17307" spans="1:7" x14ac:dyDescent="0.25">
      <c r="A17307" s="219" t="s">
        <v>96</v>
      </c>
      <c r="B17307" s="219"/>
      <c r="C17307" s="219"/>
      <c r="D17307" s="219"/>
      <c r="E17307" s="219"/>
      <c r="F17307" s="219"/>
      <c r="G17307" s="219"/>
    </row>
    <row r="17308" spans="1:7" x14ac:dyDescent="0.25">
      <c r="A17308" s="49" t="s">
        <v>35</v>
      </c>
      <c r="B17308" s="225" t="s">
        <v>36</v>
      </c>
      <c r="C17308" s="225"/>
      <c r="D17308" s="49" t="s">
        <v>37</v>
      </c>
      <c r="E17308" s="49" t="s">
        <v>38</v>
      </c>
      <c r="F17308" s="49" t="s">
        <v>39</v>
      </c>
      <c r="G17308" s="49" t="s">
        <v>40</v>
      </c>
    </row>
    <row r="17309" spans="1:7" x14ac:dyDescent="0.25">
      <c r="A17309" s="69" t="s">
        <v>97</v>
      </c>
      <c r="B17309" s="72" t="str">
        <f>VLOOKUP(A17309,'[1]Componentes APUs'!$N$1:$Q$30,2,0)</f>
        <v>Camioneta</v>
      </c>
      <c r="C17309" s="73"/>
      <c r="D17309" s="70" t="str">
        <f>VLOOKUP(A17309,'[1]Componentes APUs'!$N$1:$Q$30,3,0)</f>
        <v>U</v>
      </c>
      <c r="E17309" s="50">
        <v>1</v>
      </c>
      <c r="F17309" s="51">
        <f>VLOOKUP(A17309,'[1]Componentes APUs'!$N$1:$Q$30,4,0)</f>
        <v>5500000</v>
      </c>
      <c r="G17309" s="51">
        <f>IFERROR(ROUNDUP(F17309*(E17309/21)/E17257,0),0)</f>
        <v>37415</v>
      </c>
    </row>
    <row r="17310" spans="1:7" x14ac:dyDescent="0.25">
      <c r="A17310" s="50" t="s">
        <v>321</v>
      </c>
      <c r="B17310" s="72" t="str">
        <f>VLOOKUP(A17310,'[1]Componentes APUs'!$N$1:$Q$30,2,0)</f>
        <v>Grúa Hidráulica</v>
      </c>
      <c r="C17310" s="73"/>
      <c r="D17310" s="70" t="str">
        <f>VLOOKUP(A17310,'[1]Componentes APUs'!$N$1:$Q$30,3,0)</f>
        <v>U</v>
      </c>
      <c r="E17310" s="50">
        <v>0</v>
      </c>
      <c r="F17310" s="51">
        <f>VLOOKUP(A17310,'[1]Componentes APUs'!$N$1:$Q$30,4,0)</f>
        <v>21000000</v>
      </c>
      <c r="G17310" s="51">
        <f>IFERROR(ROUNDUP(F17310*(E17310/21)/E17257,0),0)</f>
        <v>0</v>
      </c>
    </row>
    <row r="17311" spans="1:7" x14ac:dyDescent="0.25">
      <c r="A17311" s="69" t="s">
        <v>322</v>
      </c>
      <c r="B17311" s="72" t="str">
        <f>VLOOKUP(A17311,'[1]Componentes APUs'!$N$1:$Q$30,2,0)</f>
        <v>Camabaja</v>
      </c>
      <c r="C17311" s="73"/>
      <c r="D17311" s="70" t="str">
        <f>VLOOKUP(A17311,'[1]Componentes APUs'!$N$1:$Q$30,3,0)</f>
        <v>TON/KM</v>
      </c>
      <c r="E17311" s="50">
        <v>0</v>
      </c>
      <c r="F17311" s="51">
        <f>VLOOKUP(A17311,'[1]Componentes APUs'!$N$1:$Q$30,4,0)</f>
        <v>611</v>
      </c>
      <c r="G17311" s="51">
        <f>IFERROR(ROUNDUP(F17311*(E17311/21)/E17257,0),0)</f>
        <v>0</v>
      </c>
    </row>
    <row r="17312" spans="1:7" x14ac:dyDescent="0.25">
      <c r="A17312" s="50" t="s">
        <v>323</v>
      </c>
      <c r="B17312" s="72" t="str">
        <f>VLOOKUP(A17312,'[1]Componentes APUs'!$N$1:$Q$30,2,0)</f>
        <v>Volqueta</v>
      </c>
      <c r="C17312" s="73"/>
      <c r="D17312" s="70" t="str">
        <f>VLOOKUP(A17312,'[1]Componentes APUs'!$N$1:$Q$30,3,0)</f>
        <v>U</v>
      </c>
      <c r="E17312" s="50">
        <v>0</v>
      </c>
      <c r="F17312" s="51">
        <f>VLOOKUP(A17312,'[1]Componentes APUs'!$N$1:$Q$30,4,0)</f>
        <v>18900000</v>
      </c>
      <c r="G17312" s="51">
        <f>IFERROR(ROUNDUP(F17312*(E17312/21)/E17257,0),0)</f>
        <v>0</v>
      </c>
    </row>
    <row r="17313" spans="1:7" x14ac:dyDescent="0.25">
      <c r="A17313" s="69" t="s">
        <v>324</v>
      </c>
      <c r="B17313" s="72" t="str">
        <f>VLOOKUP(A17313,'[1]Componentes APUs'!$N$1:$Q$30,2,0)</f>
        <v>Retroexcavadora</v>
      </c>
      <c r="C17313" s="73"/>
      <c r="D17313" s="70" t="str">
        <f>VLOOKUP(A17313,'[1]Componentes APUs'!$N$1:$Q$30,3,0)</f>
        <v>U</v>
      </c>
      <c r="E17313" s="50">
        <v>0</v>
      </c>
      <c r="F17313" s="51">
        <f>VLOOKUP(A17313,'[1]Componentes APUs'!$N$1:$Q$30,4,0)</f>
        <v>1494459.54</v>
      </c>
      <c r="G17313" s="51">
        <f>IFERROR(ROUNDUP(F17313*(E17313/21)/E17257,0),0)</f>
        <v>0</v>
      </c>
    </row>
    <row r="17314" spans="1:7" x14ac:dyDescent="0.25">
      <c r="A17314" s="219" t="s">
        <v>99</v>
      </c>
      <c r="B17314" s="219"/>
      <c r="C17314" s="219"/>
      <c r="D17314" s="219"/>
      <c r="E17314" s="219"/>
      <c r="F17314" s="219"/>
      <c r="G17314" s="52">
        <f>SUM(G17309:G17313)</f>
        <v>37415</v>
      </c>
    </row>
    <row r="17315" spans="1:7" x14ac:dyDescent="0.25">
      <c r="A17315" s="56"/>
      <c r="B17315" s="57"/>
      <c r="C17315" s="57"/>
      <c r="D17315" s="57"/>
      <c r="E17315" s="57"/>
      <c r="F17315" s="57"/>
      <c r="G17315" s="58"/>
    </row>
    <row r="17316" spans="1:7" x14ac:dyDescent="0.25">
      <c r="A17316" s="219" t="s">
        <v>1516</v>
      </c>
      <c r="B17316" s="219"/>
      <c r="C17316" s="219"/>
      <c r="D17316" s="219"/>
      <c r="E17316" s="219"/>
      <c r="F17316" s="219"/>
      <c r="G17316" s="52">
        <f>G17314+G17305+G17288+G17278+G17268</f>
        <v>741110</v>
      </c>
    </row>
    <row r="17317" spans="1:7" x14ac:dyDescent="0.25">
      <c r="A17317" s="59"/>
      <c r="B17317" s="60"/>
      <c r="C17317" s="60"/>
      <c r="D17317" s="60"/>
      <c r="E17317" s="57"/>
      <c r="F17317" s="57"/>
      <c r="G17317" s="58"/>
    </row>
    <row r="17318" spans="1:7" x14ac:dyDescent="0.25">
      <c r="A17318" s="64"/>
      <c r="D17318" s="55"/>
      <c r="E17318" s="49" t="s">
        <v>25</v>
      </c>
      <c r="F17318" s="54">
        <v>0.15</v>
      </c>
      <c r="G17318" s="51">
        <f>G17316*F17318</f>
        <v>111166.5</v>
      </c>
    </row>
    <row r="17319" spans="1:7" x14ac:dyDescent="0.25">
      <c r="A17319" s="64"/>
      <c r="D17319" s="55"/>
      <c r="E17319" s="49" t="s">
        <v>26</v>
      </c>
      <c r="F17319" s="54">
        <v>0.05</v>
      </c>
      <c r="G17319" s="51">
        <f>G17316*F17319</f>
        <v>37055.5</v>
      </c>
    </row>
    <row r="17320" spans="1:7" x14ac:dyDescent="0.25">
      <c r="A17320" s="61"/>
      <c r="B17320" s="65"/>
      <c r="C17320" s="65"/>
      <c r="D17320" s="62"/>
      <c r="E17320" s="49" t="s">
        <v>27</v>
      </c>
      <c r="F17320" s="54">
        <v>0.05</v>
      </c>
      <c r="G17320" s="51">
        <f>G17316*F17320</f>
        <v>37055.5</v>
      </c>
    </row>
    <row r="17321" spans="1:7" x14ac:dyDescent="0.25">
      <c r="A17321" s="61"/>
      <c r="B17321" s="62"/>
      <c r="C17321" s="62"/>
      <c r="D17321" s="62"/>
      <c r="E17321" s="62"/>
      <c r="F17321" s="62"/>
      <c r="G17321" s="63"/>
    </row>
    <row r="17322" spans="1:7" x14ac:dyDescent="0.25">
      <c r="A17322" s="219" t="s">
        <v>1517</v>
      </c>
      <c r="B17322" s="219"/>
      <c r="C17322" s="219"/>
      <c r="D17322" s="219"/>
      <c r="E17322" s="219"/>
      <c r="F17322" s="219"/>
      <c r="G17322" s="52">
        <f>G17316+G17318+G17319+G17320</f>
        <v>926387.5</v>
      </c>
    </row>
    <row r="17323" spans="1:7" x14ac:dyDescent="0.25">
      <c r="A17323" s="59"/>
      <c r="B17323" s="60"/>
      <c r="C17323" s="60"/>
      <c r="D17323" s="60"/>
      <c r="E17323" s="57"/>
      <c r="F17323" s="57"/>
      <c r="G17323" s="58"/>
    </row>
    <row r="17324" spans="1:7" x14ac:dyDescent="0.25">
      <c r="A17324" s="64"/>
      <c r="D17324" s="55"/>
      <c r="E17324" s="49" t="s">
        <v>102</v>
      </c>
      <c r="F17324" s="49" t="s">
        <v>103</v>
      </c>
      <c r="G17324" s="51">
        <f>G17320*19%</f>
        <v>7040.5450000000001</v>
      </c>
    </row>
    <row r="17325" spans="1:7" x14ac:dyDescent="0.25">
      <c r="A17325" s="61"/>
      <c r="B17325" s="62"/>
      <c r="C17325" s="62"/>
      <c r="D17325" s="62"/>
      <c r="E17325" s="57"/>
      <c r="F17325" s="57"/>
      <c r="G17325" s="58"/>
    </row>
    <row r="17326" spans="1:7" x14ac:dyDescent="0.25">
      <c r="A17326" s="219" t="s">
        <v>104</v>
      </c>
      <c r="B17326" s="219"/>
      <c r="C17326" s="219"/>
      <c r="D17326" s="219"/>
      <c r="E17326" s="219"/>
      <c r="F17326" s="219"/>
      <c r="G17326" s="52">
        <f>G17324+G17322</f>
        <v>933428.04500000004</v>
      </c>
    </row>
    <row r="17328" spans="1:7" x14ac:dyDescent="0.25">
      <c r="A17328" s="74" t="s">
        <v>29</v>
      </c>
      <c r="B17328" s="226" t="s">
        <v>30</v>
      </c>
      <c r="C17328" s="226"/>
      <c r="D17328" s="74" t="s">
        <v>31</v>
      </c>
      <c r="E17328" s="74" t="s">
        <v>32</v>
      </c>
      <c r="F17328" s="74" t="s">
        <v>189</v>
      </c>
      <c r="G17328" s="74" t="s">
        <v>33</v>
      </c>
    </row>
    <row r="17329" spans="1:7" ht="59.25" customHeight="1" x14ac:dyDescent="0.25">
      <c r="A17329" s="50" t="str">
        <f>Presupuesto!B340</f>
        <v>013_AUX</v>
      </c>
      <c r="B17329" s="220" t="str">
        <f>Presupuesto!C340</f>
        <v>SUMINISTRO E INSTALACIÓN DE GABINETE DC CONFORMADO POR DOS CARGADORES TRIFÁSICOS CONFIGURACIÓN REDUNDANTE, SALIDA 125 VDC – 40 AH CON TABLERO AUTOSOPORTADO DE FABRICACIÓN ESPECIAL. DE USO INTERIOR. IP 54. LAMINA DE ACERO GALVANIZADA CALIBRE 18. (+NK01). INCLUYE  ILUMINACIÓN Y ACCESORIOS</v>
      </c>
      <c r="C17329" s="220"/>
      <c r="D17329" s="50" t="s">
        <v>8</v>
      </c>
      <c r="E17329" s="50">
        <v>1</v>
      </c>
      <c r="F17329" s="50"/>
      <c r="G17329" s="51">
        <f>G17398</f>
        <v>168206949.21250001</v>
      </c>
    </row>
    <row r="17330" spans="1:7" x14ac:dyDescent="0.25">
      <c r="A17330" s="219"/>
      <c r="B17330" s="219"/>
      <c r="C17330" s="219"/>
      <c r="D17330" s="219"/>
      <c r="E17330" s="219"/>
      <c r="F17330" s="219"/>
      <c r="G17330" s="219"/>
    </row>
    <row r="17331" spans="1:7" x14ac:dyDescent="0.25">
      <c r="A17331" s="49" t="s">
        <v>35</v>
      </c>
      <c r="B17331" s="219" t="s">
        <v>36</v>
      </c>
      <c r="C17331" s="219"/>
      <c r="D17331" s="49" t="s">
        <v>37</v>
      </c>
      <c r="E17331" s="49" t="s">
        <v>38</v>
      </c>
      <c r="F17331" s="49" t="s">
        <v>39</v>
      </c>
      <c r="G17331" s="49" t="s">
        <v>40</v>
      </c>
    </row>
    <row r="17332" spans="1:7" ht="29.25" customHeight="1" x14ac:dyDescent="0.25">
      <c r="A17332" s="17" t="str">
        <f>Material!A119</f>
        <v>MA-118</v>
      </c>
      <c r="B17332" s="221" t="str">
        <f>IFERROR(VLOOKUP(A17332,Material!$A:$J,2,0),"-")</f>
        <v>CARGADORES TRIFÁSICOS CONFIGURACIÓN REDUNDANTE, SALIDA 125 VDC – 75 AH</v>
      </c>
      <c r="C17332" s="222"/>
      <c r="D17332" s="50" t="str">
        <f>IFERROR(VLOOKUP(A17332,Material!$A:$J,4,0),"-")</f>
        <v>UN</v>
      </c>
      <c r="E17332" s="50">
        <v>2</v>
      </c>
      <c r="F17332" s="51">
        <f>IFERROR(VLOOKUP(A17332,Material!$A:$J,3,0),"-")</f>
        <v>60836856.645361274</v>
      </c>
      <c r="G17332" s="51">
        <f t="shared" ref="G17332:G17339" si="242">IFERROR(ROUNDUP(F17332*E17332,0),"-")</f>
        <v>121673714</v>
      </c>
    </row>
    <row r="17333" spans="1:7" ht="44.25" customHeight="1" x14ac:dyDescent="0.25">
      <c r="A17333" s="17" t="str">
        <f>Material!A32</f>
        <v>MA-31</v>
      </c>
      <c r="B17333" s="221" t="str">
        <f>IFERROR(VLOOKUP(A17333,Material!$A:$J,2,0),"-")</f>
        <v>TABLERO AUTOSOPORTADO DE FABRICACIÓN ESPECIAL. DE USO INTERIOR. IP 65. LAMINA DE ACERO GALVANIZADA CALIBRE 18. PARA ALBERGAR HASTA 6 EQUIPOS DE MEDIDA SEMIDIRECTA</v>
      </c>
      <c r="C17333" s="222"/>
      <c r="D17333" s="50" t="str">
        <f>IFERROR(VLOOKUP(A17333,Material!$A:$J,4,0),"-")</f>
        <v>UN</v>
      </c>
      <c r="E17333" s="50">
        <v>1</v>
      </c>
      <c r="F17333" s="51">
        <f>IFERROR(VLOOKUP(A17333,Material!$A:$J,3,0),"-")</f>
        <v>9100000</v>
      </c>
      <c r="G17333" s="51">
        <f t="shared" si="242"/>
        <v>9100000</v>
      </c>
    </row>
    <row r="17334" spans="1:7" x14ac:dyDescent="0.25">
      <c r="A17334" s="17" t="str">
        <f>Material!A33</f>
        <v>MA-32</v>
      </c>
      <c r="B17334" s="72" t="str">
        <f>IFERROR(VLOOKUP(A17334,Material!$A:$J,2,0),"-")</f>
        <v>LÁMPARA LED</v>
      </c>
      <c r="C17334" s="76"/>
      <c r="D17334" s="50" t="str">
        <f>IFERROR(VLOOKUP(A17334,Material!$A:$J,4,0),"-")</f>
        <v>UN</v>
      </c>
      <c r="E17334" s="50">
        <v>1</v>
      </c>
      <c r="F17334" s="51">
        <f>IFERROR(VLOOKUP(A17334,Material!$A:$J,3,0),"-")</f>
        <v>307373.88256268692</v>
      </c>
      <c r="G17334" s="51">
        <f t="shared" si="242"/>
        <v>307374</v>
      </c>
    </row>
    <row r="17335" spans="1:7" x14ac:dyDescent="0.25">
      <c r="A17335" s="17"/>
      <c r="B17335" s="72" t="str">
        <f>IFERROR(VLOOKUP(A17335,Material!$A:$J,2,0),"-")</f>
        <v>-</v>
      </c>
      <c r="C17335" s="76"/>
      <c r="D17335" s="50" t="str">
        <f>IFERROR(VLOOKUP(A17335,Material!$A:$J,4,0),"-")</f>
        <v>-</v>
      </c>
      <c r="E17335" s="50"/>
      <c r="F17335" s="51" t="str">
        <f>IFERROR(VLOOKUP(A17335,Material!$A:$J,3,0),"-")</f>
        <v>-</v>
      </c>
      <c r="G17335" s="51" t="str">
        <f t="shared" si="242"/>
        <v>-</v>
      </c>
    </row>
    <row r="17336" spans="1:7" x14ac:dyDescent="0.25">
      <c r="A17336" s="17"/>
      <c r="B17336" s="72" t="str">
        <f>IFERROR(VLOOKUP(A17336,Material!$A:$J,2,0),"-")</f>
        <v>-</v>
      </c>
      <c r="C17336" s="76"/>
      <c r="D17336" s="50" t="str">
        <f>IFERROR(VLOOKUP(A17336,Material!$A:$J,4,0),"-")</f>
        <v>-</v>
      </c>
      <c r="E17336" s="50"/>
      <c r="F17336" s="51" t="str">
        <f>IFERROR(VLOOKUP(A17336,Material!$A:$J,3,0),"-")</f>
        <v>-</v>
      </c>
      <c r="G17336" s="51" t="str">
        <f t="shared" si="242"/>
        <v>-</v>
      </c>
    </row>
    <row r="17337" spans="1:7" x14ac:dyDescent="0.25">
      <c r="A17337" s="17"/>
      <c r="B17337" s="72" t="str">
        <f>IFERROR(VLOOKUP(A17337,Material!$A:$J,2,0),"-")</f>
        <v>-</v>
      </c>
      <c r="C17337" s="76"/>
      <c r="D17337" s="50" t="str">
        <f>IFERROR(VLOOKUP(A17337,Material!$A:$J,4,0),"-")</f>
        <v>-</v>
      </c>
      <c r="E17337" s="50"/>
      <c r="F17337" s="51" t="str">
        <f>IFERROR(VLOOKUP(A17337,Material!$A:$J,3,0),"-")</f>
        <v>-</v>
      </c>
      <c r="G17337" s="51" t="str">
        <f t="shared" si="242"/>
        <v>-</v>
      </c>
    </row>
    <row r="17338" spans="1:7" x14ac:dyDescent="0.25">
      <c r="A17338" s="17"/>
      <c r="B17338" s="72" t="str">
        <f>IFERROR(VLOOKUP(A17338,Material!$A:$J,2,0),"-")</f>
        <v>-</v>
      </c>
      <c r="C17338" s="76"/>
      <c r="D17338" s="50" t="str">
        <f>IFERROR(VLOOKUP(A17338,Material!$A:$J,4,0),"-")</f>
        <v>-</v>
      </c>
      <c r="E17338" s="50"/>
      <c r="F17338" s="51" t="str">
        <f>IFERROR(VLOOKUP(A17338,Material!$A:$J,3,0),"-")</f>
        <v>-</v>
      </c>
      <c r="G17338" s="51" t="str">
        <f t="shared" si="242"/>
        <v>-</v>
      </c>
    </row>
    <row r="17339" spans="1:7" x14ac:dyDescent="0.25">
      <c r="A17339" s="17"/>
      <c r="B17339" s="72" t="str">
        <f>IFERROR(VLOOKUP(A17339,Material!$A:$J,2,0),"-")</f>
        <v>-</v>
      </c>
      <c r="C17339" s="76"/>
      <c r="D17339" s="50" t="str">
        <f>IFERROR(VLOOKUP(A17339,Material!$A:$J,4,0),"-")</f>
        <v>-</v>
      </c>
      <c r="E17339" s="50"/>
      <c r="F17339" s="51" t="str">
        <f>IFERROR(VLOOKUP(A17339,Material!$A:$J,3,0),"-")</f>
        <v>-</v>
      </c>
      <c r="G17339" s="51" t="str">
        <f t="shared" si="242"/>
        <v>-</v>
      </c>
    </row>
    <row r="17340" spans="1:7" x14ac:dyDescent="0.25">
      <c r="A17340" s="219" t="s">
        <v>41</v>
      </c>
      <c r="B17340" s="219"/>
      <c r="C17340" s="219"/>
      <c r="D17340" s="219"/>
      <c r="E17340" s="219"/>
      <c r="F17340" s="219"/>
      <c r="G17340" s="52">
        <f>SUM(G17332:G17339)</f>
        <v>131081088</v>
      </c>
    </row>
    <row r="17341" spans="1:7" x14ac:dyDescent="0.25">
      <c r="A17341" s="56"/>
      <c r="B17341" s="57"/>
      <c r="C17341" s="57"/>
      <c r="D17341" s="57"/>
      <c r="E17341" s="57"/>
      <c r="F17341" s="57"/>
      <c r="G17341" s="58"/>
    </row>
    <row r="17342" spans="1:7" x14ac:dyDescent="0.25">
      <c r="A17342" s="219" t="s">
        <v>42</v>
      </c>
      <c r="B17342" s="219"/>
      <c r="C17342" s="219"/>
      <c r="D17342" s="219"/>
      <c r="E17342" s="219"/>
      <c r="F17342" s="219"/>
      <c r="G17342" s="219"/>
    </row>
    <row r="17343" spans="1:7" x14ac:dyDescent="0.25">
      <c r="A17343" s="49" t="s">
        <v>35</v>
      </c>
      <c r="B17343" s="49" t="s">
        <v>36</v>
      </c>
      <c r="C17343" s="49" t="s">
        <v>38</v>
      </c>
      <c r="D17343" s="49" t="s">
        <v>43</v>
      </c>
      <c r="E17343" s="49" t="s">
        <v>44</v>
      </c>
      <c r="F17343" s="49" t="s">
        <v>45</v>
      </c>
      <c r="G17343" s="49" t="s">
        <v>40</v>
      </c>
    </row>
    <row r="17344" spans="1:7" x14ac:dyDescent="0.25">
      <c r="A17344" s="50" t="s">
        <v>319</v>
      </c>
      <c r="B17344" s="68" t="str">
        <f>VLOOKUP(A17344,'[1]Componentes APUs'!$H$1:$L$25,2,0)</f>
        <v>Ingeniero Residente de Obra</v>
      </c>
      <c r="C17344" s="93">
        <v>0.25</v>
      </c>
      <c r="D17344" s="50">
        <f>VLOOKUP(A17344,'[1]Componentes APUs'!$H$1:$L$25,3,0)</f>
        <v>4</v>
      </c>
      <c r="E17344" s="51">
        <f>VLOOKUP(A17344,'[1]Componentes APUs'!$H$1:$L$25,4,0)</f>
        <v>271142.85714285716</v>
      </c>
      <c r="F17344" s="51">
        <f>VLOOKUP(A17344,'[1]Componentes APUs'!$H$1:$L$25,5,0)</f>
        <v>162685.71428571429</v>
      </c>
      <c r="G17344" s="51">
        <f>ROUNDUP((E17344+F17344)*C17344/E17329,0)</f>
        <v>108458</v>
      </c>
    </row>
    <row r="17345" spans="1:7" x14ac:dyDescent="0.25">
      <c r="A17345" s="50" t="s">
        <v>320</v>
      </c>
      <c r="B17345" s="68" t="str">
        <f>VLOOKUP(A17345,'[1]Componentes APUs'!$H$1:$L$25,2,0)</f>
        <v>Tecnico Supervisor</v>
      </c>
      <c r="C17345" s="93">
        <v>0.25</v>
      </c>
      <c r="D17345" s="50">
        <f>VLOOKUP(A17345,'[1]Componentes APUs'!$H$1:$L$25,3,0)</f>
        <v>2.2999999999999998</v>
      </c>
      <c r="E17345" s="51">
        <f>VLOOKUP(A17345,'[1]Componentes APUs'!$H$1:$L$25,4,0)</f>
        <v>155907.14285714284</v>
      </c>
      <c r="F17345" s="51">
        <f>VLOOKUP(A17345,'[1]Componentes APUs'!$H$1:$L$25,5,0)</f>
        <v>93544.285714285696</v>
      </c>
      <c r="G17345" s="51">
        <f>ROUNDUP((E17345+F17345)*C17345/E17329,0)</f>
        <v>62363</v>
      </c>
    </row>
    <row r="17346" spans="1:7" x14ac:dyDescent="0.25">
      <c r="A17346" s="50" t="s">
        <v>1160</v>
      </c>
      <c r="B17346" s="68" t="str">
        <f>VLOOKUP(A17346,'[1]Componentes APUs'!$H$1:$L$25,2,0)</f>
        <v>Oficial Eléctrico</v>
      </c>
      <c r="C17346" s="93">
        <v>1</v>
      </c>
      <c r="D17346" s="50">
        <f>VLOOKUP(A17346,'[1]Componentes APUs'!$H$1:$L$25,3,0)</f>
        <v>2</v>
      </c>
      <c r="E17346" s="51">
        <f>VLOOKUP(A17346,'[1]Componentes APUs'!$H$1:$L$25,4,0)</f>
        <v>154619.04761904763</v>
      </c>
      <c r="F17346" s="51">
        <f>VLOOKUP(A17346,'[1]Componentes APUs'!$H$1:$L$25,5,0)</f>
        <v>92771.42857142858</v>
      </c>
      <c r="G17346" s="51">
        <f>ROUNDUP((E17346+F17346)*C17346/E17329,0)</f>
        <v>247391</v>
      </c>
    </row>
    <row r="17347" spans="1:7" x14ac:dyDescent="0.25">
      <c r="A17347" s="50" t="s">
        <v>48</v>
      </c>
      <c r="B17347" s="68" t="str">
        <f>VLOOKUP(A17347,'[1]Componentes APUs'!$H$1:$L$25,2,0)</f>
        <v>Ayudante Calificado</v>
      </c>
      <c r="C17347" s="93">
        <v>1</v>
      </c>
      <c r="D17347" s="50">
        <f>VLOOKUP(A17347,'[1]Componentes APUs'!$H$1:$L$25,3,0)</f>
        <v>1.5</v>
      </c>
      <c r="E17347" s="51">
        <f>VLOOKUP(A17347,'[1]Componentes APUs'!$H$1:$L$25,4,0)</f>
        <v>115964.28571428571</v>
      </c>
      <c r="F17347" s="51">
        <f>VLOOKUP(A17347,'[1]Componentes APUs'!$H$1:$L$25,5,0)</f>
        <v>69578.57142857142</v>
      </c>
      <c r="G17347" s="51">
        <f>ROUNDUP((E17347+F17347)*C17347/E17329,0)</f>
        <v>185543</v>
      </c>
    </row>
    <row r="17348" spans="1:7" x14ac:dyDescent="0.25">
      <c r="A17348" s="50" t="s">
        <v>50</v>
      </c>
      <c r="B17348" s="68" t="str">
        <f>VLOOKUP(A17348,'[1]Componentes APUs'!$H$1:$L$25,2,0)</f>
        <v>Profesional en SST</v>
      </c>
      <c r="C17348" s="93">
        <v>0.25</v>
      </c>
      <c r="D17348" s="50">
        <f>VLOOKUP(A17348,'[1]Componentes APUs'!$H$1:$L$25,3,0)</f>
        <v>2.5</v>
      </c>
      <c r="E17348" s="51">
        <f>VLOOKUP(A17348,'[1]Componentes APUs'!$H$1:$L$25,4,0)</f>
        <v>169464.28571428571</v>
      </c>
      <c r="F17348" s="51">
        <f>VLOOKUP(A17348,'[1]Componentes APUs'!$H$1:$L$25,5,0)</f>
        <v>101678.57142857142</v>
      </c>
      <c r="G17348" s="51">
        <f>ROUNDUP((E17348+F17348)*C17348/E17329,0)</f>
        <v>67786</v>
      </c>
    </row>
    <row r="17349" spans="1:7" x14ac:dyDescent="0.25">
      <c r="A17349" s="50" t="s">
        <v>1121</v>
      </c>
      <c r="B17349" s="68" t="str">
        <f>VLOOKUP(A17349,'[1]Componentes APUs'!$H$1:$L$25,2,0)</f>
        <v>Ingeniero Especialista de Control y Protección Subestación</v>
      </c>
      <c r="C17349" s="93">
        <v>1</v>
      </c>
      <c r="D17349" s="50">
        <f>VLOOKUP(A17349,'[1]Componentes APUs'!$H$1:$L$25,3,0)</f>
        <v>14</v>
      </c>
      <c r="E17349" s="51">
        <f>VLOOKUP(A17349,'[1]Componentes APUs'!$H$1:$L$25,4,0)</f>
        <v>949000</v>
      </c>
      <c r="F17349" s="51">
        <f>VLOOKUP(A17349,'[1]Componentes APUs'!$H$1:$L$25,5,0)</f>
        <v>569400</v>
      </c>
      <c r="G17349" s="51">
        <f>ROUNDUP((E17349+F17349)*C17349/E17329,0)</f>
        <v>1518400</v>
      </c>
    </row>
    <row r="17350" spans="1:7" x14ac:dyDescent="0.25">
      <c r="A17350" s="219" t="s">
        <v>56</v>
      </c>
      <c r="B17350" s="219"/>
      <c r="C17350" s="219"/>
      <c r="D17350" s="219"/>
      <c r="E17350" s="219"/>
      <c r="F17350" s="219"/>
      <c r="G17350" s="52">
        <f>SUM(G17344:G17349)</f>
        <v>2189941</v>
      </c>
    </row>
    <row r="17351" spans="1:7" x14ac:dyDescent="0.25">
      <c r="A17351" s="56"/>
      <c r="B17351" s="57"/>
      <c r="C17351" s="57"/>
      <c r="D17351" s="57"/>
      <c r="E17351" s="57"/>
      <c r="F17351" s="57"/>
      <c r="G17351" s="58"/>
    </row>
    <row r="17352" spans="1:7" x14ac:dyDescent="0.25">
      <c r="A17352" s="219" t="s">
        <v>57</v>
      </c>
      <c r="B17352" s="219"/>
      <c r="C17352" s="219"/>
      <c r="D17352" s="219"/>
      <c r="E17352" s="219"/>
      <c r="F17352" s="219"/>
      <c r="G17352" s="219"/>
    </row>
    <row r="17353" spans="1:7" x14ac:dyDescent="0.25">
      <c r="A17353" s="49" t="s">
        <v>35</v>
      </c>
      <c r="B17353" s="219" t="s">
        <v>36</v>
      </c>
      <c r="C17353" s="219"/>
      <c r="D17353" s="49" t="s">
        <v>37</v>
      </c>
      <c r="E17353" s="49" t="s">
        <v>38</v>
      </c>
      <c r="F17353" s="49" t="s">
        <v>39</v>
      </c>
      <c r="G17353" s="49" t="s">
        <v>40</v>
      </c>
    </row>
    <row r="17354" spans="1:7" x14ac:dyDescent="0.25">
      <c r="A17354" s="50" t="s">
        <v>326</v>
      </c>
      <c r="B17354" s="220" t="str">
        <f>VLOOKUP(A17354,'[1]Componentes APUs'!$S$1:$V$10,2,0)</f>
        <v>Juego Llaves</v>
      </c>
      <c r="C17354" s="220"/>
      <c r="D17354" s="50" t="s">
        <v>18</v>
      </c>
      <c r="E17354" s="50">
        <v>2</v>
      </c>
      <c r="F17354" s="51">
        <f>VLOOKUP(A17354,'[1]Componentes APUs'!$S$1:$V$10,4,0)</f>
        <v>9167</v>
      </c>
      <c r="G17354" s="51">
        <f>ROUNDUP(F17354*((E17354/21)/E17329),0)</f>
        <v>874</v>
      </c>
    </row>
    <row r="17355" spans="1:7" x14ac:dyDescent="0.25">
      <c r="A17355" s="50" t="s">
        <v>58</v>
      </c>
      <c r="B17355" s="220" t="str">
        <f>VLOOKUP(A17355,'[1]Componentes APUs'!$S$1:$V$10,2,0)</f>
        <v>Manila de servicio</v>
      </c>
      <c r="C17355" s="220"/>
      <c r="D17355" s="50" t="s">
        <v>18</v>
      </c>
      <c r="E17355" s="50">
        <v>2</v>
      </c>
      <c r="F17355" s="51">
        <f>VLOOKUP(A17355,'[1]Componentes APUs'!$S$1:$V$10,4,0)</f>
        <v>2333</v>
      </c>
      <c r="G17355" s="51">
        <f>ROUNDUP(F17355*((E17355/21)/E17329),0)</f>
        <v>223</v>
      </c>
    </row>
    <row r="17356" spans="1:7" x14ac:dyDescent="0.25">
      <c r="A17356" s="50" t="s">
        <v>327</v>
      </c>
      <c r="B17356" s="220" t="str">
        <f>VLOOKUP(A17356,'[1]Componentes APUs'!$S$1:$V$10,2,0)</f>
        <v>Tula portaherramientas</v>
      </c>
      <c r="C17356" s="220"/>
      <c r="D17356" s="50" t="s">
        <v>18</v>
      </c>
      <c r="E17356" s="50">
        <v>2</v>
      </c>
      <c r="F17356" s="51">
        <f>VLOOKUP(A17356,'[1]Componentes APUs'!$S$1:$V$10,4,0)</f>
        <v>1250</v>
      </c>
      <c r="G17356" s="51">
        <f>ROUNDUP(F17356*((E17356/21)/E17329),0)</f>
        <v>120</v>
      </c>
    </row>
    <row r="17357" spans="1:7" x14ac:dyDescent="0.25">
      <c r="A17357" s="50" t="s">
        <v>60</v>
      </c>
      <c r="B17357" s="220" t="str">
        <f>VLOOKUP(A17357,'[1]Componentes APUs'!$S$1:$V$10,2,0)</f>
        <v>Agarradoras</v>
      </c>
      <c r="C17357" s="220"/>
      <c r="D17357" s="50" t="s">
        <v>18</v>
      </c>
      <c r="E17357" s="50">
        <v>0</v>
      </c>
      <c r="F17357" s="51">
        <f>VLOOKUP(A17357,'[1]Componentes APUs'!$S$1:$V$10,4,0)</f>
        <v>125000</v>
      </c>
      <c r="G17357" s="51">
        <f>ROUNDUP(F17357*((E17357/21)/E17329),0)</f>
        <v>0</v>
      </c>
    </row>
    <row r="17358" spans="1:7" x14ac:dyDescent="0.25">
      <c r="A17358" s="50" t="s">
        <v>62</v>
      </c>
      <c r="B17358" s="220" t="str">
        <f>VLOOKUP(A17358,'[1]Componentes APUs'!$S$1:$V$10,2,0)</f>
        <v>Templadoras</v>
      </c>
      <c r="C17358" s="220"/>
      <c r="D17358" s="50" t="s">
        <v>18</v>
      </c>
      <c r="E17358" s="50">
        <v>0</v>
      </c>
      <c r="F17358" s="51">
        <f>VLOOKUP(A17358,'[1]Componentes APUs'!$S$1:$V$10,4,0)</f>
        <v>250000</v>
      </c>
      <c r="G17358" s="51">
        <f>ROUNDUP(F17358*((E17358/21)/E17329),0)</f>
        <v>0</v>
      </c>
    </row>
    <row r="17359" spans="1:7" x14ac:dyDescent="0.25">
      <c r="A17359" s="50" t="s">
        <v>328</v>
      </c>
      <c r="B17359" s="220" t="str">
        <f>VLOOKUP(A17359,'[1]Componentes APUs'!$S$1:$V$10,2,0)</f>
        <v>Herramienta Menor</v>
      </c>
      <c r="C17359" s="220"/>
      <c r="D17359" s="50" t="s">
        <v>18</v>
      </c>
      <c r="E17359" s="50">
        <v>2</v>
      </c>
      <c r="F17359" s="51">
        <f>VLOOKUP(A17359,'[1]Componentes APUs'!$S$1:$V$10,4,0)</f>
        <v>75758</v>
      </c>
      <c r="G17359" s="51">
        <f>ROUNDUP(F17359*((E17359/21)/E17329),0)</f>
        <v>7216</v>
      </c>
    </row>
    <row r="17360" spans="1:7" x14ac:dyDescent="0.25">
      <c r="A17360" s="219" t="s">
        <v>69</v>
      </c>
      <c r="B17360" s="219"/>
      <c r="C17360" s="219"/>
      <c r="D17360" s="219"/>
      <c r="E17360" s="219"/>
      <c r="F17360" s="219"/>
      <c r="G17360" s="52">
        <f>SUM(G17354:G17359)</f>
        <v>8433</v>
      </c>
    </row>
    <row r="17361" spans="1:7" x14ac:dyDescent="0.25">
      <c r="A17361" s="56"/>
      <c r="B17361" s="57"/>
      <c r="C17361" s="57"/>
      <c r="D17361" s="57"/>
      <c r="E17361" s="57"/>
      <c r="F17361" s="57"/>
      <c r="G17361" s="58"/>
    </row>
    <row r="17362" spans="1:7" x14ac:dyDescent="0.25">
      <c r="A17362" s="219" t="s">
        <v>70</v>
      </c>
      <c r="B17362" s="219"/>
      <c r="C17362" s="219"/>
      <c r="D17362" s="219"/>
      <c r="E17362" s="219"/>
      <c r="F17362" s="219"/>
      <c r="G17362" s="219"/>
    </row>
    <row r="17363" spans="1:7" x14ac:dyDescent="0.25">
      <c r="A17363" s="49" t="s">
        <v>35</v>
      </c>
      <c r="B17363" s="219" t="s">
        <v>36</v>
      </c>
      <c r="C17363" s="219"/>
      <c r="D17363" s="49" t="s">
        <v>37</v>
      </c>
      <c r="E17363" s="49" t="s">
        <v>38</v>
      </c>
      <c r="F17363" s="49" t="s">
        <v>39</v>
      </c>
      <c r="G17363" s="49" t="s">
        <v>40</v>
      </c>
    </row>
    <row r="17364" spans="1:7" x14ac:dyDescent="0.25">
      <c r="A17364" s="50" t="s">
        <v>71</v>
      </c>
      <c r="B17364" s="71" t="str">
        <f>VLOOKUP(A17364,'[1]Componentes APUs'!$A$1:$D$14,2,0)</f>
        <v>Camisa indigo sin partes metalicas</v>
      </c>
      <c r="C17364" s="71"/>
      <c r="D17364" s="50" t="str">
        <f>VLOOKUP(A17364,'[1]Componentes APUs'!$A$1:$D$14,3,0)</f>
        <v>U</v>
      </c>
      <c r="E17364" s="50">
        <f>SUM(C17344:C17349)</f>
        <v>3.75</v>
      </c>
      <c r="F17364" s="51">
        <f>VLOOKUP(A17364,'[1]Componentes APUs'!$A$1:$D$14,4,0)</f>
        <v>8585.8585858585866</v>
      </c>
      <c r="G17364" s="51">
        <f>ROUNDUP(F17364*(E17364/21)/E17329,0)</f>
        <v>1534</v>
      </c>
    </row>
    <row r="17365" spans="1:7" x14ac:dyDescent="0.25">
      <c r="A17365" s="69" t="s">
        <v>73</v>
      </c>
      <c r="B17365" s="72" t="str">
        <f>VLOOKUP(A17365,'[1]Componentes APUs'!$A$1:$D$14,2,0)</f>
        <v>Bota de seguridad dielectrica</v>
      </c>
      <c r="C17365" s="73"/>
      <c r="D17365" s="70" t="str">
        <f>VLOOKUP(A17365,'[1]Componentes APUs'!$A$1:$D$14,3,0)</f>
        <v>Par</v>
      </c>
      <c r="E17365" s="50">
        <f>SUM(C17344:C17349)</f>
        <v>3.75</v>
      </c>
      <c r="F17365" s="51">
        <f>VLOOKUP(A17365,'[1]Componentes APUs'!$A$1:$D$14,4,0)</f>
        <v>7500</v>
      </c>
      <c r="G17365" s="51">
        <f>ROUNDUP(F17365*(E17365/21)/E17329,0)</f>
        <v>1340</v>
      </c>
    </row>
    <row r="17366" spans="1:7" x14ac:dyDescent="0.25">
      <c r="A17366" s="50" t="s">
        <v>76</v>
      </c>
      <c r="B17366" s="72" t="str">
        <f>VLOOKUP(A17366,'[1]Componentes APUs'!$A$1:$D$14,2,0)</f>
        <v>Casco dielectrico Tipo 1 Clase E con barbuquejo</v>
      </c>
      <c r="C17366" s="73"/>
      <c r="D17366" s="50" t="str">
        <f>VLOOKUP(A17366,'[1]Componentes APUs'!$A$1:$D$14,3,0)</f>
        <v>U</v>
      </c>
      <c r="E17366" s="50">
        <f>C17349+C17344+C17347+C17348+C17345+IF(A17346&lt;&gt;"MO-3",C17346,0)</f>
        <v>3.75</v>
      </c>
      <c r="F17366" s="51">
        <f>VLOOKUP(A17366,'[1]Componentes APUs'!$A$1:$D$14,4,0)</f>
        <v>10101.010101010101</v>
      </c>
      <c r="G17366" s="51">
        <f>ROUNDUP(F17366*(E17366/21)/E17329,0)</f>
        <v>1804</v>
      </c>
    </row>
    <row r="17367" spans="1:7" x14ac:dyDescent="0.25">
      <c r="A17367" s="69" t="s">
        <v>77</v>
      </c>
      <c r="B17367" s="72" t="str">
        <f>VLOOKUP(A17367,'[1]Componentes APUs'!$A$1:$D$14,2,0)</f>
        <v>Correa plastica y antiflama</v>
      </c>
      <c r="C17367" s="73"/>
      <c r="D17367" s="50" t="str">
        <f>VLOOKUP(A17367,'[1]Componentes APUs'!$A$1:$D$14,3,0)</f>
        <v>U</v>
      </c>
      <c r="E17367" s="50">
        <f>SUM(C17344:C17349)</f>
        <v>3.75</v>
      </c>
      <c r="F17367" s="51">
        <f>VLOOKUP(A17367,'[1]Componentes APUs'!$A$1:$D$14,4,0)</f>
        <v>3787.878787878788</v>
      </c>
      <c r="G17367" s="51">
        <f>ROUNDUP(F17367*(E17367/21)/E17329,0)</f>
        <v>677</v>
      </c>
    </row>
    <row r="17368" spans="1:7" x14ac:dyDescent="0.25">
      <c r="A17368" s="50" t="s">
        <v>79</v>
      </c>
      <c r="B17368" s="72" t="str">
        <f>VLOOKUP(A17368,'[1]Componentes APUs'!$A$1:$D$14,2,0)</f>
        <v>Gafas protectoras filtro UV</v>
      </c>
      <c r="C17368" s="73"/>
      <c r="D17368" s="50" t="str">
        <f>VLOOKUP(A17368,'[1]Componentes APUs'!$A$1:$D$14,3,0)</f>
        <v>U</v>
      </c>
      <c r="E17368" s="50">
        <f>SUM(C17344:C17349)</f>
        <v>3.75</v>
      </c>
      <c r="F17368" s="51">
        <f>VLOOKUP(A17368,'[1]Componentes APUs'!$A$1:$D$14,4,0)</f>
        <v>2777.7777777777778</v>
      </c>
      <c r="G17368" s="51">
        <f>ROUNDUP(F17368*(E17368/21)/E17329,0)</f>
        <v>497</v>
      </c>
    </row>
    <row r="17369" spans="1:7" x14ac:dyDescent="0.25">
      <c r="A17369" s="69" t="s">
        <v>402</v>
      </c>
      <c r="B17369" s="72" t="str">
        <f>VLOOKUP(A17369,'[1]Componentes APUs'!$A$1:$D$14,2,0)</f>
        <v>Bota de seguridad PVC dielectrica</v>
      </c>
      <c r="C17369" s="73"/>
      <c r="D17369" s="50" t="str">
        <f>VLOOKUP(A17369,'[1]Componentes APUs'!$A$1:$D$14,3,0)</f>
        <v>Par</v>
      </c>
      <c r="E17369" s="50">
        <f>SUM(C17344:C17349)</f>
        <v>3.75</v>
      </c>
      <c r="F17369" s="51">
        <f>VLOOKUP(A17369,'[1]Componentes APUs'!$A$1:$D$14,4,0)</f>
        <v>2916.6666666666665</v>
      </c>
      <c r="G17369" s="51">
        <f>ROUNDUP(F17369*(E17369/21)/E17329,0)</f>
        <v>521</v>
      </c>
    </row>
    <row r="17370" spans="1:7" x14ac:dyDescent="0.25">
      <c r="A17370" s="50" t="s">
        <v>403</v>
      </c>
      <c r="B17370" s="72" t="str">
        <f>VLOOKUP(A17370,'[1]Componentes APUs'!$A$1:$D$14,2,0)</f>
        <v>Capuchon</v>
      </c>
      <c r="C17370" s="73"/>
      <c r="D17370" s="50" t="str">
        <f>VLOOKUP(A17370,'[1]Componentes APUs'!$A$1:$D$14,3,0)</f>
        <v>U</v>
      </c>
      <c r="E17370" s="50">
        <f>SUM(C17344:C17349)</f>
        <v>3.75</v>
      </c>
      <c r="F17370" s="51">
        <f>VLOOKUP(A17370,'[1]Componentes APUs'!$A$1:$D$14,4,0)</f>
        <v>2525.2525252525252</v>
      </c>
      <c r="G17370" s="51">
        <f>ROUNDUP(F17370*(E17370/21)/E17329,0)</f>
        <v>451</v>
      </c>
    </row>
    <row r="17371" spans="1:7" x14ac:dyDescent="0.25">
      <c r="A17371" s="69" t="s">
        <v>81</v>
      </c>
      <c r="B17371" s="72" t="str">
        <f>VLOOKUP(A17371,'[1]Componentes APUs'!$A$1:$D$14,2,0)</f>
        <v>Guantes Protectores  - ingeniero reforzados</v>
      </c>
      <c r="C17371" s="73"/>
      <c r="D17371" s="50" t="str">
        <f>VLOOKUP(A17371,'[1]Componentes APUs'!$A$1:$D$14,3,0)</f>
        <v>Par</v>
      </c>
      <c r="E17371" s="50">
        <f>C17346+C17347+C17349</f>
        <v>3</v>
      </c>
      <c r="F17371" s="51">
        <f>VLOOKUP(A17371,'[1]Componentes APUs'!$A$1:$D$14,4,0)</f>
        <v>2525.2525252525252</v>
      </c>
      <c r="G17371" s="51">
        <f>ROUNDUP(F17371*(E17371/21)/E17329,0)</f>
        <v>361</v>
      </c>
    </row>
    <row r="17372" spans="1:7" x14ac:dyDescent="0.25">
      <c r="A17372" s="50" t="s">
        <v>83</v>
      </c>
      <c r="B17372" s="72" t="str">
        <f>VLOOKUP(A17372,'[1]Componentes APUs'!$A$1:$D$14,2,0)</f>
        <v>Impermeable (pantalon camisa)</v>
      </c>
      <c r="C17372" s="73"/>
      <c r="D17372" s="50" t="str">
        <f>VLOOKUP(A17372,'[1]Componentes APUs'!$A$1:$D$14,3,0)</f>
        <v>U</v>
      </c>
      <c r="E17372" s="50">
        <f>SUM(C17344:C17349)</f>
        <v>3.75</v>
      </c>
      <c r="F17372" s="51">
        <f>VLOOKUP(A17372,'[1]Componentes APUs'!$A$1:$D$14,4,0)</f>
        <v>3750</v>
      </c>
      <c r="G17372" s="51">
        <f>ROUNDUP(F17372*(E17372/21)/E17329,0)</f>
        <v>670</v>
      </c>
    </row>
    <row r="17373" spans="1:7" x14ac:dyDescent="0.25">
      <c r="A17373" s="69" t="s">
        <v>85</v>
      </c>
      <c r="B17373" s="72" t="str">
        <f>VLOOKUP(A17373,'[1]Componentes APUs'!$A$1:$D$14,2,0)</f>
        <v>Jean Dielectrico</v>
      </c>
      <c r="C17373" s="73"/>
      <c r="D17373" s="50" t="str">
        <f>VLOOKUP(A17373,'[1]Componentes APUs'!$A$1:$D$14,3,0)</f>
        <v>U</v>
      </c>
      <c r="E17373" s="50">
        <f>SUM(C17344:C17349)</f>
        <v>3.75</v>
      </c>
      <c r="F17373" s="51">
        <f>VLOOKUP(A17373,'[1]Componentes APUs'!$A$1:$D$14,4,0)</f>
        <v>7575.757575757576</v>
      </c>
      <c r="G17373" s="51">
        <f>ROUNDUP(F17373*(E17373/21)/E17329,0)</f>
        <v>1353</v>
      </c>
    </row>
    <row r="17374" spans="1:7" x14ac:dyDescent="0.25">
      <c r="A17374" s="50" t="s">
        <v>87</v>
      </c>
      <c r="B17374" s="72" t="str">
        <f>VLOOKUP(A17374,'[1]Componentes APUs'!$A$1:$D$14,2,0)</f>
        <v>Casco dielectrico Tipo 2 Clase E con barboquejo</v>
      </c>
      <c r="C17374" s="73"/>
      <c r="D17374" s="50" t="str">
        <f>VLOOKUP(A17374,'[1]Componentes APUs'!$A$1:$D$14,3,0)</f>
        <v>U</v>
      </c>
      <c r="E17374" s="53">
        <f>IF(A17346="MO-3",C17346,0)</f>
        <v>0</v>
      </c>
      <c r="F17374" s="51">
        <f>VLOOKUP(A17374,'[1]Componentes APUs'!$A$1:$D$14,4,0)</f>
        <v>7500</v>
      </c>
      <c r="G17374" s="51">
        <f>ROUNDUP(F17374*(E17374/21)/E17329,0)</f>
        <v>0</v>
      </c>
    </row>
    <row r="17375" spans="1:7" x14ac:dyDescent="0.25">
      <c r="A17375" s="69" t="s">
        <v>89</v>
      </c>
      <c r="B17375" s="72" t="str">
        <f>VLOOKUP(A17375,'[1]Componentes APUs'!$A$1:$D$14,2,0)</f>
        <v>Kit de rescate para trabajo en alturas</v>
      </c>
      <c r="C17375" s="73"/>
      <c r="D17375" s="50" t="str">
        <f>VLOOKUP(A17375,'[1]Componentes APUs'!$A$1:$D$14,3,0)</f>
        <v>U</v>
      </c>
      <c r="E17375" s="50">
        <f>IF(AND(A17346="MO-3",C17346=2),1,0)</f>
        <v>0</v>
      </c>
      <c r="F17375" s="51">
        <f>VLOOKUP(A17375,'[1]Componentes APUs'!$A$1:$D$14,4,0)</f>
        <v>37500</v>
      </c>
      <c r="G17375" s="51">
        <f>ROUNDUP(F17375*(E17375/21)/E17329,0)</f>
        <v>0</v>
      </c>
    </row>
    <row r="17376" spans="1:7" x14ac:dyDescent="0.25">
      <c r="A17376" s="50" t="s">
        <v>91</v>
      </c>
      <c r="B17376" s="72" t="str">
        <f>VLOOKUP(A17376,'[1]Componentes APUs'!$A$1:$D$14,2,0)</f>
        <v>Equipo completo para trabajo en alturas con pretales (Arnes dielectrico, 1 mosqueton de seguridad, tie off dielectrico, eslinga de posicionamiento, juego de pretales)</v>
      </c>
      <c r="C17376" s="73"/>
      <c r="D17376" s="50" t="str">
        <f>VLOOKUP(A17376,'[1]Componentes APUs'!$A$1:$D$14,3,0)</f>
        <v>U</v>
      </c>
      <c r="E17376" s="50">
        <f>IF(A17346="MO-3",C17346,0)</f>
        <v>0</v>
      </c>
      <c r="F17376" s="51">
        <f>VLOOKUP(A17376,'[1]Componentes APUs'!$A$1:$D$14,4,0)</f>
        <v>26041.666666666668</v>
      </c>
      <c r="G17376" s="51">
        <f>ROUNDUP(F17376*(E17376/21)/E17329,0)</f>
        <v>0</v>
      </c>
    </row>
    <row r="17377" spans="1:7" x14ac:dyDescent="0.25">
      <c r="A17377" s="219" t="s">
        <v>95</v>
      </c>
      <c r="B17377" s="219"/>
      <c r="C17377" s="219"/>
      <c r="D17377" s="219"/>
      <c r="E17377" s="219"/>
      <c r="F17377" s="219"/>
      <c r="G17377" s="52">
        <f>SUM(G17364:G17376)</f>
        <v>9208</v>
      </c>
    </row>
    <row r="17378" spans="1:7" x14ac:dyDescent="0.25">
      <c r="A17378" s="56"/>
      <c r="B17378" s="57"/>
      <c r="C17378" s="57"/>
      <c r="D17378" s="57"/>
      <c r="E17378" s="57"/>
      <c r="F17378" s="57"/>
      <c r="G17378" s="58"/>
    </row>
    <row r="17379" spans="1:7" x14ac:dyDescent="0.25">
      <c r="A17379" s="219" t="s">
        <v>96</v>
      </c>
      <c r="B17379" s="219"/>
      <c r="C17379" s="219"/>
      <c r="D17379" s="219"/>
      <c r="E17379" s="219"/>
      <c r="F17379" s="219"/>
      <c r="G17379" s="219"/>
    </row>
    <row r="17380" spans="1:7" x14ac:dyDescent="0.25">
      <c r="A17380" s="49" t="s">
        <v>35</v>
      </c>
      <c r="B17380" s="225" t="s">
        <v>36</v>
      </c>
      <c r="C17380" s="225"/>
      <c r="D17380" s="49" t="s">
        <v>37</v>
      </c>
      <c r="E17380" s="49" t="s">
        <v>38</v>
      </c>
      <c r="F17380" s="49" t="s">
        <v>39</v>
      </c>
      <c r="G17380" s="49" t="s">
        <v>40</v>
      </c>
    </row>
    <row r="17381" spans="1:7" x14ac:dyDescent="0.25">
      <c r="A17381" s="69" t="s">
        <v>97</v>
      </c>
      <c r="B17381" s="72" t="str">
        <f>VLOOKUP(A17381,'[1]Componentes APUs'!$N$1:$Q$30,2,0)</f>
        <v>Camioneta</v>
      </c>
      <c r="C17381" s="73"/>
      <c r="D17381" s="70" t="str">
        <f>VLOOKUP(A17381,'[1]Componentes APUs'!$N$1:$Q$30,3,0)</f>
        <v>U</v>
      </c>
      <c r="E17381" s="50">
        <v>1</v>
      </c>
      <c r="F17381" s="51">
        <f>VLOOKUP(A17381,'[1]Componentes APUs'!$N$1:$Q$30,4,0)</f>
        <v>5500000</v>
      </c>
      <c r="G17381" s="51">
        <f>IFERROR(ROUNDUP(F17381*(E17381/21)/E17329,0),0)</f>
        <v>261905</v>
      </c>
    </row>
    <row r="17382" spans="1:7" x14ac:dyDescent="0.25">
      <c r="A17382" s="50" t="s">
        <v>321</v>
      </c>
      <c r="B17382" s="72" t="str">
        <f>VLOOKUP(A17382,'[1]Componentes APUs'!$N$1:$Q$30,2,0)</f>
        <v>Grúa Hidráulica</v>
      </c>
      <c r="C17382" s="73"/>
      <c r="D17382" s="70" t="str">
        <f>VLOOKUP(A17382,'[1]Componentes APUs'!$N$1:$Q$30,3,0)</f>
        <v>U</v>
      </c>
      <c r="E17382" s="50">
        <v>0</v>
      </c>
      <c r="F17382" s="51">
        <f>VLOOKUP(A17382,'[1]Componentes APUs'!$N$1:$Q$30,4,0)</f>
        <v>21000000</v>
      </c>
      <c r="G17382" s="51">
        <f>IFERROR(ROUNDUP(F17382*(E17382/21)/E17329,0),0)</f>
        <v>0</v>
      </c>
    </row>
    <row r="17383" spans="1:7" x14ac:dyDescent="0.25">
      <c r="A17383" s="69" t="s">
        <v>322</v>
      </c>
      <c r="B17383" s="72" t="str">
        <f>VLOOKUP(A17383,'[1]Componentes APUs'!$N$1:$Q$30,2,0)</f>
        <v>Camabaja</v>
      </c>
      <c r="C17383" s="73"/>
      <c r="D17383" s="70" t="str">
        <f>VLOOKUP(A17383,'[1]Componentes APUs'!$N$1:$Q$30,3,0)</f>
        <v>TON/KM</v>
      </c>
      <c r="E17383" s="50">
        <v>0</v>
      </c>
      <c r="F17383" s="51">
        <f>VLOOKUP(A17383,'[1]Componentes APUs'!$N$1:$Q$30,4,0)</f>
        <v>611</v>
      </c>
      <c r="G17383" s="51">
        <f>IFERROR(ROUNDUP(F17383*(E17383/21)/E17329,0),0)</f>
        <v>0</v>
      </c>
    </row>
    <row r="17384" spans="1:7" x14ac:dyDescent="0.25">
      <c r="A17384" s="50" t="s">
        <v>323</v>
      </c>
      <c r="B17384" s="72" t="str">
        <f>VLOOKUP(A17384,'[1]Componentes APUs'!$N$1:$Q$30,2,0)</f>
        <v>Volqueta</v>
      </c>
      <c r="C17384" s="73"/>
      <c r="D17384" s="70" t="str">
        <f>VLOOKUP(A17384,'[1]Componentes APUs'!$N$1:$Q$30,3,0)</f>
        <v>U</v>
      </c>
      <c r="E17384" s="50">
        <v>0</v>
      </c>
      <c r="F17384" s="51">
        <f>VLOOKUP(A17384,'[1]Componentes APUs'!$N$1:$Q$30,4,0)</f>
        <v>18900000</v>
      </c>
      <c r="G17384" s="51">
        <f>IFERROR(ROUNDUP(F17384*(E17384/21)/E17329,0),0)</f>
        <v>0</v>
      </c>
    </row>
    <row r="17385" spans="1:7" x14ac:dyDescent="0.25">
      <c r="A17385" s="69" t="s">
        <v>324</v>
      </c>
      <c r="B17385" s="72" t="str">
        <f>VLOOKUP(A17385,'[1]Componentes APUs'!$N$1:$Q$30,2,0)</f>
        <v>Retroexcavadora</v>
      </c>
      <c r="C17385" s="73"/>
      <c r="D17385" s="70" t="str">
        <f>VLOOKUP(A17385,'[1]Componentes APUs'!$N$1:$Q$30,3,0)</f>
        <v>U</v>
      </c>
      <c r="E17385" s="50">
        <v>0</v>
      </c>
      <c r="F17385" s="51">
        <f>VLOOKUP(A17385,'[1]Componentes APUs'!$N$1:$Q$30,4,0)</f>
        <v>1494459.54</v>
      </c>
      <c r="G17385" s="51">
        <f>IFERROR(ROUNDUP(F17385*(E17385/21)/E17329,0),0)</f>
        <v>0</v>
      </c>
    </row>
    <row r="17386" spans="1:7" x14ac:dyDescent="0.25">
      <c r="A17386" s="219" t="s">
        <v>99</v>
      </c>
      <c r="B17386" s="219"/>
      <c r="C17386" s="219"/>
      <c r="D17386" s="219"/>
      <c r="E17386" s="219"/>
      <c r="F17386" s="219"/>
      <c r="G17386" s="52">
        <f>SUM(G17381:G17385)</f>
        <v>261905</v>
      </c>
    </row>
    <row r="17387" spans="1:7" x14ac:dyDescent="0.25">
      <c r="A17387" s="56"/>
      <c r="B17387" s="57"/>
      <c r="C17387" s="57"/>
      <c r="D17387" s="57"/>
      <c r="E17387" s="57"/>
      <c r="F17387" s="57"/>
      <c r="G17387" s="58"/>
    </row>
    <row r="17388" spans="1:7" x14ac:dyDescent="0.25">
      <c r="A17388" s="219" t="s">
        <v>1516</v>
      </c>
      <c r="B17388" s="219"/>
      <c r="C17388" s="219"/>
      <c r="D17388" s="219"/>
      <c r="E17388" s="219"/>
      <c r="F17388" s="219"/>
      <c r="G17388" s="52">
        <f>G17386+G17377+G17360+G17350+G17340</f>
        <v>133550575</v>
      </c>
    </row>
    <row r="17389" spans="1:7" x14ac:dyDescent="0.25">
      <c r="A17389" s="59"/>
      <c r="B17389" s="60"/>
      <c r="C17389" s="60"/>
      <c r="D17389" s="60"/>
      <c r="E17389" s="57"/>
      <c r="F17389" s="57"/>
      <c r="G17389" s="58"/>
    </row>
    <row r="17390" spans="1:7" x14ac:dyDescent="0.25">
      <c r="A17390" s="64"/>
      <c r="D17390" s="55"/>
      <c r="E17390" s="49" t="s">
        <v>25</v>
      </c>
      <c r="F17390" s="54">
        <v>0.15</v>
      </c>
      <c r="G17390" s="51">
        <f>G17388*F17390</f>
        <v>20032586.25</v>
      </c>
    </row>
    <row r="17391" spans="1:7" x14ac:dyDescent="0.25">
      <c r="A17391" s="64"/>
      <c r="D17391" s="55"/>
      <c r="E17391" s="49" t="s">
        <v>26</v>
      </c>
      <c r="F17391" s="54">
        <v>0.05</v>
      </c>
      <c r="G17391" s="51">
        <f>G17388*F17391</f>
        <v>6677528.75</v>
      </c>
    </row>
    <row r="17392" spans="1:7" x14ac:dyDescent="0.25">
      <c r="A17392" s="61"/>
      <c r="B17392" s="65"/>
      <c r="C17392" s="65"/>
      <c r="D17392" s="62"/>
      <c r="E17392" s="49" t="s">
        <v>27</v>
      </c>
      <c r="F17392" s="54">
        <v>0.05</v>
      </c>
      <c r="G17392" s="51">
        <f>G17388*F17392</f>
        <v>6677528.75</v>
      </c>
    </row>
    <row r="17393" spans="1:7" x14ac:dyDescent="0.25">
      <c r="A17393" s="61"/>
      <c r="B17393" s="62"/>
      <c r="C17393" s="62"/>
      <c r="D17393" s="62"/>
      <c r="E17393" s="62"/>
      <c r="F17393" s="62"/>
      <c r="G17393" s="63"/>
    </row>
    <row r="17394" spans="1:7" x14ac:dyDescent="0.25">
      <c r="A17394" s="219" t="s">
        <v>1517</v>
      </c>
      <c r="B17394" s="219"/>
      <c r="C17394" s="219"/>
      <c r="D17394" s="219"/>
      <c r="E17394" s="219"/>
      <c r="F17394" s="219"/>
      <c r="G17394" s="52">
        <f>G17388+G17390+G17391+G17392</f>
        <v>166938218.75</v>
      </c>
    </row>
    <row r="17395" spans="1:7" x14ac:dyDescent="0.25">
      <c r="A17395" s="59"/>
      <c r="B17395" s="60"/>
      <c r="C17395" s="60"/>
      <c r="D17395" s="60"/>
      <c r="E17395" s="57"/>
      <c r="F17395" s="57"/>
      <c r="G17395" s="58"/>
    </row>
    <row r="17396" spans="1:7" x14ac:dyDescent="0.25">
      <c r="A17396" s="64"/>
      <c r="D17396" s="55"/>
      <c r="E17396" s="49" t="s">
        <v>102</v>
      </c>
      <c r="F17396" s="49" t="s">
        <v>103</v>
      </c>
      <c r="G17396" s="51">
        <f>G17392*19%</f>
        <v>1268730.4624999999</v>
      </c>
    </row>
    <row r="17397" spans="1:7" x14ac:dyDescent="0.25">
      <c r="A17397" s="61"/>
      <c r="B17397" s="62"/>
      <c r="C17397" s="62"/>
      <c r="D17397" s="62"/>
      <c r="E17397" s="57"/>
      <c r="F17397" s="57"/>
      <c r="G17397" s="58"/>
    </row>
    <row r="17398" spans="1:7" x14ac:dyDescent="0.25">
      <c r="A17398" s="219" t="s">
        <v>104</v>
      </c>
      <c r="B17398" s="219"/>
      <c r="C17398" s="219"/>
      <c r="D17398" s="219"/>
      <c r="E17398" s="219"/>
      <c r="F17398" s="219"/>
      <c r="G17398" s="52">
        <f>G17396+G17394</f>
        <v>168206949.21250001</v>
      </c>
    </row>
    <row r="17400" spans="1:7" x14ac:dyDescent="0.25">
      <c r="A17400" s="74" t="s">
        <v>29</v>
      </c>
      <c r="B17400" s="226" t="s">
        <v>30</v>
      </c>
      <c r="C17400" s="226"/>
      <c r="D17400" s="74" t="s">
        <v>31</v>
      </c>
      <c r="E17400" s="74" t="s">
        <v>32</v>
      </c>
      <c r="F17400" s="74" t="s">
        <v>189</v>
      </c>
      <c r="G17400" s="74" t="s">
        <v>33</v>
      </c>
    </row>
    <row r="17401" spans="1:7" ht="69" customHeight="1" x14ac:dyDescent="0.25">
      <c r="A17401" s="50" t="str">
        <f>Presupuesto!B341</f>
        <v>014_AUX</v>
      </c>
      <c r="B17401" s="220" t="str">
        <f>Presupuesto!C341</f>
        <v>SUMINISTRO E INSTALACIÓN DE BANCO DE BATERÍAS (CONFORMADO POR 11 BATERÍAS DE 12 VDC – 200 AH) CON TABLERO AUTOSOPORTADO DE FABRICACIÓN ESPECIAL. DE USO INTERIOR. IP 65. LAMINA DE ACERO GALVANIZADA CALIBRE 18. (+B01). INCLUYE BREAKERS DE PROTECCIÓN, CANALETAS Y DEMÁS ACCESORIOS, RESISTENCIA E ILUMINACIÓN. SEGÚN DIAGRAMA UNIFILAR.  (BANCO DE BATERIAS)</v>
      </c>
      <c r="C17401" s="220"/>
      <c r="D17401" s="50" t="s">
        <v>8</v>
      </c>
      <c r="E17401" s="50">
        <v>1</v>
      </c>
      <c r="F17401" s="50"/>
      <c r="G17401" s="51">
        <f>G17470</f>
        <v>54255306.429499991</v>
      </c>
    </row>
    <row r="17402" spans="1:7" x14ac:dyDescent="0.25">
      <c r="A17402" s="219"/>
      <c r="B17402" s="219"/>
      <c r="C17402" s="219"/>
      <c r="D17402" s="219"/>
      <c r="E17402" s="219"/>
      <c r="F17402" s="219"/>
      <c r="G17402" s="219"/>
    </row>
    <row r="17403" spans="1:7" x14ac:dyDescent="0.25">
      <c r="A17403" s="49" t="s">
        <v>35</v>
      </c>
      <c r="B17403" s="219" t="s">
        <v>36</v>
      </c>
      <c r="C17403" s="219"/>
      <c r="D17403" s="49" t="s">
        <v>37</v>
      </c>
      <c r="E17403" s="49" t="s">
        <v>38</v>
      </c>
      <c r="F17403" s="49" t="s">
        <v>39</v>
      </c>
      <c r="G17403" s="49" t="s">
        <v>40</v>
      </c>
    </row>
    <row r="17404" spans="1:7" x14ac:dyDescent="0.25">
      <c r="A17404" s="17" t="str">
        <f>Material!A545</f>
        <v>MA-544</v>
      </c>
      <c r="B17404" s="72" t="str">
        <f>IFERROR(VLOOKUP(A17404,Material!$A:$J,2,0),"-")</f>
        <v>BATERÍAS DE 12 VDC – 200 AH</v>
      </c>
      <c r="C17404" s="73"/>
      <c r="D17404" s="50" t="str">
        <f>IFERROR(VLOOKUP(A17404,Material!$A:$J,4,0),"-")</f>
        <v>UN</v>
      </c>
      <c r="E17404" s="50">
        <v>12</v>
      </c>
      <c r="F17404" s="51">
        <f>IFERROR(VLOOKUP(A17404,Material!$A:$J,3,0),"-")</f>
        <v>2600000</v>
      </c>
      <c r="G17404" s="51">
        <f t="shared" ref="G17404:G17411" si="243">IFERROR(ROUNDUP(F17404*E17404,0),"-")</f>
        <v>31200000</v>
      </c>
    </row>
    <row r="17405" spans="1:7" ht="40.5" customHeight="1" x14ac:dyDescent="0.25">
      <c r="A17405" s="17" t="str">
        <f>Material!A32</f>
        <v>MA-31</v>
      </c>
      <c r="B17405" s="221" t="str">
        <f>IFERROR(VLOOKUP(A17405,Material!$A:$J,2,0),"-")</f>
        <v>TABLERO AUTOSOPORTADO DE FABRICACIÓN ESPECIAL. DE USO INTERIOR. IP 65. LAMINA DE ACERO GALVANIZADA CALIBRE 18. PARA ALBERGAR HASTA 6 EQUIPOS DE MEDIDA SEMIDIRECTA</v>
      </c>
      <c r="C17405" s="222"/>
      <c r="D17405" s="50" t="str">
        <f>IFERROR(VLOOKUP(A17405,Material!$A:$J,4,0),"-")</f>
        <v>UN</v>
      </c>
      <c r="E17405" s="50">
        <v>1</v>
      </c>
      <c r="F17405" s="51">
        <f>IFERROR(VLOOKUP(A17405,Material!$A:$J,3,0),"-")</f>
        <v>9100000</v>
      </c>
      <c r="G17405" s="51">
        <f t="shared" si="243"/>
        <v>9100000</v>
      </c>
    </row>
    <row r="17406" spans="1:7" x14ac:dyDescent="0.25">
      <c r="A17406" s="17" t="str">
        <f>Material!A33</f>
        <v>MA-32</v>
      </c>
      <c r="B17406" s="72" t="str">
        <f>IFERROR(VLOOKUP(A17406,Material!$A:$J,2,0),"-")</f>
        <v>LÁMPARA LED</v>
      </c>
      <c r="C17406" s="76"/>
      <c r="D17406" s="50" t="str">
        <f>IFERROR(VLOOKUP(A17406,Material!$A:$J,4,0),"-")</f>
        <v>UN</v>
      </c>
      <c r="E17406" s="50">
        <v>1</v>
      </c>
      <c r="F17406" s="51">
        <f>IFERROR(VLOOKUP(A17406,Material!$A:$J,3,0),"-")</f>
        <v>307373.88256268692</v>
      </c>
      <c r="G17406" s="51">
        <f t="shared" si="243"/>
        <v>307374</v>
      </c>
    </row>
    <row r="17407" spans="1:7" x14ac:dyDescent="0.25">
      <c r="A17407" s="17"/>
      <c r="B17407" s="72" t="str">
        <f>IFERROR(VLOOKUP(A17407,Material!$A:$J,2,0),"-")</f>
        <v>-</v>
      </c>
      <c r="C17407" s="76"/>
      <c r="D17407" s="50" t="str">
        <f>IFERROR(VLOOKUP(A17407,Material!$A:$J,4,0),"-")</f>
        <v>-</v>
      </c>
      <c r="E17407" s="50"/>
      <c r="F17407" s="51" t="str">
        <f>IFERROR(VLOOKUP(A17407,Material!$A:$J,3,0),"-")</f>
        <v>-</v>
      </c>
      <c r="G17407" s="51" t="str">
        <f t="shared" si="243"/>
        <v>-</v>
      </c>
    </row>
    <row r="17408" spans="1:7" x14ac:dyDescent="0.25">
      <c r="A17408" s="17"/>
      <c r="B17408" s="72" t="str">
        <f>IFERROR(VLOOKUP(A17408,Material!$A:$J,2,0),"-")</f>
        <v>-</v>
      </c>
      <c r="C17408" s="76"/>
      <c r="D17408" s="50" t="str">
        <f>IFERROR(VLOOKUP(A17408,Material!$A:$J,4,0),"-")</f>
        <v>-</v>
      </c>
      <c r="E17408" s="50"/>
      <c r="F17408" s="51" t="str">
        <f>IFERROR(VLOOKUP(A17408,Material!$A:$J,3,0),"-")</f>
        <v>-</v>
      </c>
      <c r="G17408" s="51" t="str">
        <f t="shared" si="243"/>
        <v>-</v>
      </c>
    </row>
    <row r="17409" spans="1:7" x14ac:dyDescent="0.25">
      <c r="A17409" s="17"/>
      <c r="B17409" s="72" t="str">
        <f>IFERROR(VLOOKUP(A17409,Material!$A:$J,2,0),"-")</f>
        <v>-</v>
      </c>
      <c r="C17409" s="76"/>
      <c r="D17409" s="50" t="str">
        <f>IFERROR(VLOOKUP(A17409,Material!$A:$J,4,0),"-")</f>
        <v>-</v>
      </c>
      <c r="E17409" s="50"/>
      <c r="F17409" s="51" t="str">
        <f>IFERROR(VLOOKUP(A17409,Material!$A:$J,3,0),"-")</f>
        <v>-</v>
      </c>
      <c r="G17409" s="51" t="str">
        <f t="shared" si="243"/>
        <v>-</v>
      </c>
    </row>
    <row r="17410" spans="1:7" x14ac:dyDescent="0.25">
      <c r="A17410" s="17"/>
      <c r="B17410" s="72" t="str">
        <f>IFERROR(VLOOKUP(A17410,Material!$A:$J,2,0),"-")</f>
        <v>-</v>
      </c>
      <c r="C17410" s="76"/>
      <c r="D17410" s="50" t="str">
        <f>IFERROR(VLOOKUP(A17410,Material!$A:$J,4,0),"-")</f>
        <v>-</v>
      </c>
      <c r="E17410" s="50"/>
      <c r="F17410" s="51" t="str">
        <f>IFERROR(VLOOKUP(A17410,Material!$A:$J,3,0),"-")</f>
        <v>-</v>
      </c>
      <c r="G17410" s="51" t="str">
        <f t="shared" si="243"/>
        <v>-</v>
      </c>
    </row>
    <row r="17411" spans="1:7" x14ac:dyDescent="0.25">
      <c r="A17411" s="17"/>
      <c r="B17411" s="72" t="str">
        <f>IFERROR(VLOOKUP(A17411,Material!$A:$J,2,0),"-")</f>
        <v>-</v>
      </c>
      <c r="C17411" s="76"/>
      <c r="D17411" s="50" t="str">
        <f>IFERROR(VLOOKUP(A17411,Material!$A:$J,4,0),"-")</f>
        <v>-</v>
      </c>
      <c r="E17411" s="50"/>
      <c r="F17411" s="51" t="str">
        <f>IFERROR(VLOOKUP(A17411,Material!$A:$J,3,0),"-")</f>
        <v>-</v>
      </c>
      <c r="G17411" s="51" t="str">
        <f t="shared" si="243"/>
        <v>-</v>
      </c>
    </row>
    <row r="17412" spans="1:7" x14ac:dyDescent="0.25">
      <c r="A17412" s="219" t="s">
        <v>41</v>
      </c>
      <c r="B17412" s="219"/>
      <c r="C17412" s="219"/>
      <c r="D17412" s="219"/>
      <c r="E17412" s="219"/>
      <c r="F17412" s="219"/>
      <c r="G17412" s="52">
        <f>SUM(G17404:G17411)</f>
        <v>40607374</v>
      </c>
    </row>
    <row r="17413" spans="1:7" x14ac:dyDescent="0.25">
      <c r="A17413" s="56"/>
      <c r="B17413" s="57"/>
      <c r="C17413" s="57"/>
      <c r="D17413" s="57"/>
      <c r="E17413" s="57"/>
      <c r="F17413" s="57"/>
      <c r="G17413" s="58"/>
    </row>
    <row r="17414" spans="1:7" x14ac:dyDescent="0.25">
      <c r="A17414" s="219" t="s">
        <v>42</v>
      </c>
      <c r="B17414" s="219"/>
      <c r="C17414" s="219"/>
      <c r="D17414" s="219"/>
      <c r="E17414" s="219"/>
      <c r="F17414" s="219"/>
      <c r="G17414" s="219"/>
    </row>
    <row r="17415" spans="1:7" x14ac:dyDescent="0.25">
      <c r="A17415" s="49" t="s">
        <v>35</v>
      </c>
      <c r="B17415" s="49" t="s">
        <v>36</v>
      </c>
      <c r="C17415" s="49" t="s">
        <v>38</v>
      </c>
      <c r="D17415" s="49" t="s">
        <v>43</v>
      </c>
      <c r="E17415" s="49" t="s">
        <v>44</v>
      </c>
      <c r="F17415" s="49" t="s">
        <v>45</v>
      </c>
      <c r="G17415" s="49" t="s">
        <v>40</v>
      </c>
    </row>
    <row r="17416" spans="1:7" x14ac:dyDescent="0.25">
      <c r="A17416" s="50" t="s">
        <v>319</v>
      </c>
      <c r="B17416" s="68" t="str">
        <f>VLOOKUP(A17416,'[1]Componentes APUs'!$H$1:$L$25,2,0)</f>
        <v>Ingeniero Residente de Obra</v>
      </c>
      <c r="C17416" s="93">
        <v>0.25</v>
      </c>
      <c r="D17416" s="50">
        <f>VLOOKUP(A17416,'[1]Componentes APUs'!$H$1:$L$25,3,0)</f>
        <v>4</v>
      </c>
      <c r="E17416" s="51">
        <f>VLOOKUP(A17416,'[1]Componentes APUs'!$H$1:$L$25,4,0)</f>
        <v>271142.85714285716</v>
      </c>
      <c r="F17416" s="51">
        <f>VLOOKUP(A17416,'[1]Componentes APUs'!$H$1:$L$25,5,0)</f>
        <v>162685.71428571429</v>
      </c>
      <c r="G17416" s="51">
        <f>ROUNDUP((E17416+F17416)*C17416/E17401,0)</f>
        <v>108458</v>
      </c>
    </row>
    <row r="17417" spans="1:7" x14ac:dyDescent="0.25">
      <c r="A17417" s="50" t="s">
        <v>320</v>
      </c>
      <c r="B17417" s="68" t="str">
        <f>VLOOKUP(A17417,'[1]Componentes APUs'!$H$1:$L$25,2,0)</f>
        <v>Tecnico Supervisor</v>
      </c>
      <c r="C17417" s="93">
        <v>0.25</v>
      </c>
      <c r="D17417" s="50">
        <f>VLOOKUP(A17417,'[1]Componentes APUs'!$H$1:$L$25,3,0)</f>
        <v>2.2999999999999998</v>
      </c>
      <c r="E17417" s="51">
        <f>VLOOKUP(A17417,'[1]Componentes APUs'!$H$1:$L$25,4,0)</f>
        <v>155907.14285714284</v>
      </c>
      <c r="F17417" s="51">
        <f>VLOOKUP(A17417,'[1]Componentes APUs'!$H$1:$L$25,5,0)</f>
        <v>93544.285714285696</v>
      </c>
      <c r="G17417" s="51">
        <f>ROUNDUP((E17417+F17417)*C17417/E17401,0)</f>
        <v>62363</v>
      </c>
    </row>
    <row r="17418" spans="1:7" x14ac:dyDescent="0.25">
      <c r="A17418" s="50" t="s">
        <v>1160</v>
      </c>
      <c r="B17418" s="68" t="str">
        <f>VLOOKUP(A17418,'[1]Componentes APUs'!$H$1:$L$25,2,0)</f>
        <v>Oficial Eléctrico</v>
      </c>
      <c r="C17418" s="93">
        <v>1</v>
      </c>
      <c r="D17418" s="50">
        <f>VLOOKUP(A17418,'[1]Componentes APUs'!$H$1:$L$25,3,0)</f>
        <v>2</v>
      </c>
      <c r="E17418" s="51">
        <f>VLOOKUP(A17418,'[1]Componentes APUs'!$H$1:$L$25,4,0)</f>
        <v>154619.04761904763</v>
      </c>
      <c r="F17418" s="51">
        <f>VLOOKUP(A17418,'[1]Componentes APUs'!$H$1:$L$25,5,0)</f>
        <v>92771.42857142858</v>
      </c>
      <c r="G17418" s="51">
        <f>ROUNDUP((E17418+F17418)*C17418/E17401,0)</f>
        <v>247391</v>
      </c>
    </row>
    <row r="17419" spans="1:7" x14ac:dyDescent="0.25">
      <c r="A17419" s="50" t="s">
        <v>48</v>
      </c>
      <c r="B17419" s="68" t="str">
        <f>VLOOKUP(A17419,'[1]Componentes APUs'!$H$1:$L$25,2,0)</f>
        <v>Ayudante Calificado</v>
      </c>
      <c r="C17419" s="93">
        <v>1</v>
      </c>
      <c r="D17419" s="50">
        <f>VLOOKUP(A17419,'[1]Componentes APUs'!$H$1:$L$25,3,0)</f>
        <v>1.5</v>
      </c>
      <c r="E17419" s="51">
        <f>VLOOKUP(A17419,'[1]Componentes APUs'!$H$1:$L$25,4,0)</f>
        <v>115964.28571428571</v>
      </c>
      <c r="F17419" s="51">
        <f>VLOOKUP(A17419,'[1]Componentes APUs'!$H$1:$L$25,5,0)</f>
        <v>69578.57142857142</v>
      </c>
      <c r="G17419" s="51">
        <f>ROUNDUP((E17419+F17419)*C17419/E17401,0)</f>
        <v>185543</v>
      </c>
    </row>
    <row r="17420" spans="1:7" x14ac:dyDescent="0.25">
      <c r="A17420" s="50" t="s">
        <v>50</v>
      </c>
      <c r="B17420" s="68" t="str">
        <f>VLOOKUP(A17420,'[1]Componentes APUs'!$H$1:$L$25,2,0)</f>
        <v>Profesional en SST</v>
      </c>
      <c r="C17420" s="93">
        <v>0.25</v>
      </c>
      <c r="D17420" s="50">
        <f>VLOOKUP(A17420,'[1]Componentes APUs'!$H$1:$L$25,3,0)</f>
        <v>2.5</v>
      </c>
      <c r="E17420" s="51">
        <f>VLOOKUP(A17420,'[1]Componentes APUs'!$H$1:$L$25,4,0)</f>
        <v>169464.28571428571</v>
      </c>
      <c r="F17420" s="51">
        <f>VLOOKUP(A17420,'[1]Componentes APUs'!$H$1:$L$25,5,0)</f>
        <v>101678.57142857142</v>
      </c>
      <c r="G17420" s="51">
        <f>ROUNDUP((E17420+F17420)*C17420/E17401,0)</f>
        <v>67786</v>
      </c>
    </row>
    <row r="17421" spans="1:7" x14ac:dyDescent="0.25">
      <c r="A17421" s="50" t="s">
        <v>1121</v>
      </c>
      <c r="B17421" s="68" t="str">
        <f>VLOOKUP(A17421,'[1]Componentes APUs'!$H$1:$L$25,2,0)</f>
        <v>Ingeniero Especialista de Control y Protección Subestación</v>
      </c>
      <c r="C17421" s="93">
        <v>1</v>
      </c>
      <c r="D17421" s="50">
        <f>VLOOKUP(A17421,'[1]Componentes APUs'!$H$1:$L$25,3,0)</f>
        <v>14</v>
      </c>
      <c r="E17421" s="51">
        <f>VLOOKUP(A17421,'[1]Componentes APUs'!$H$1:$L$25,4,0)</f>
        <v>949000</v>
      </c>
      <c r="F17421" s="51">
        <f>VLOOKUP(A17421,'[1]Componentes APUs'!$H$1:$L$25,5,0)</f>
        <v>569400</v>
      </c>
      <c r="G17421" s="51">
        <f>ROUNDUP((E17421+F17421)*C17421/E17401,0)</f>
        <v>1518400</v>
      </c>
    </row>
    <row r="17422" spans="1:7" x14ac:dyDescent="0.25">
      <c r="A17422" s="219" t="s">
        <v>56</v>
      </c>
      <c r="B17422" s="219"/>
      <c r="C17422" s="219"/>
      <c r="D17422" s="219"/>
      <c r="E17422" s="219"/>
      <c r="F17422" s="219"/>
      <c r="G17422" s="52">
        <f>SUM(G17416:G17421)</f>
        <v>2189941</v>
      </c>
    </row>
    <row r="17423" spans="1:7" x14ac:dyDescent="0.25">
      <c r="A17423" s="56"/>
      <c r="B17423" s="57"/>
      <c r="C17423" s="57"/>
      <c r="D17423" s="57"/>
      <c r="E17423" s="57"/>
      <c r="F17423" s="57"/>
      <c r="G17423" s="58"/>
    </row>
    <row r="17424" spans="1:7" x14ac:dyDescent="0.25">
      <c r="A17424" s="219" t="s">
        <v>57</v>
      </c>
      <c r="B17424" s="219"/>
      <c r="C17424" s="219"/>
      <c r="D17424" s="219"/>
      <c r="E17424" s="219"/>
      <c r="F17424" s="219"/>
      <c r="G17424" s="219"/>
    </row>
    <row r="17425" spans="1:7" x14ac:dyDescent="0.25">
      <c r="A17425" s="49" t="s">
        <v>35</v>
      </c>
      <c r="B17425" s="219" t="s">
        <v>36</v>
      </c>
      <c r="C17425" s="219"/>
      <c r="D17425" s="49" t="s">
        <v>37</v>
      </c>
      <c r="E17425" s="49" t="s">
        <v>38</v>
      </c>
      <c r="F17425" s="49" t="s">
        <v>39</v>
      </c>
      <c r="G17425" s="49" t="s">
        <v>40</v>
      </c>
    </row>
    <row r="17426" spans="1:7" x14ac:dyDescent="0.25">
      <c r="A17426" s="50" t="s">
        <v>326</v>
      </c>
      <c r="B17426" s="220" t="str">
        <f>VLOOKUP(A17426,'[1]Componentes APUs'!$S$1:$V$10,2,0)</f>
        <v>Juego Llaves</v>
      </c>
      <c r="C17426" s="220"/>
      <c r="D17426" s="50" t="s">
        <v>18</v>
      </c>
      <c r="E17426" s="50">
        <v>2</v>
      </c>
      <c r="F17426" s="51">
        <f>VLOOKUP(A17426,'[1]Componentes APUs'!$S$1:$V$10,4,0)</f>
        <v>9167</v>
      </c>
      <c r="G17426" s="51">
        <f>ROUNDUP(F17426*((E17426/21)/E17401),0)</f>
        <v>874</v>
      </c>
    </row>
    <row r="17427" spans="1:7" x14ac:dyDescent="0.25">
      <c r="A17427" s="50" t="s">
        <v>58</v>
      </c>
      <c r="B17427" s="220" t="str">
        <f>VLOOKUP(A17427,'[1]Componentes APUs'!$S$1:$V$10,2,0)</f>
        <v>Manila de servicio</v>
      </c>
      <c r="C17427" s="220"/>
      <c r="D17427" s="50" t="s">
        <v>18</v>
      </c>
      <c r="E17427" s="50">
        <v>2</v>
      </c>
      <c r="F17427" s="51">
        <f>VLOOKUP(A17427,'[1]Componentes APUs'!$S$1:$V$10,4,0)</f>
        <v>2333</v>
      </c>
      <c r="G17427" s="51">
        <f>ROUNDUP(F17427*((E17427/21)/E17401),0)</f>
        <v>223</v>
      </c>
    </row>
    <row r="17428" spans="1:7" x14ac:dyDescent="0.25">
      <c r="A17428" s="50" t="s">
        <v>327</v>
      </c>
      <c r="B17428" s="220" t="str">
        <f>VLOOKUP(A17428,'[1]Componentes APUs'!$S$1:$V$10,2,0)</f>
        <v>Tula portaherramientas</v>
      </c>
      <c r="C17428" s="220"/>
      <c r="D17428" s="50" t="s">
        <v>18</v>
      </c>
      <c r="E17428" s="50">
        <v>2</v>
      </c>
      <c r="F17428" s="51">
        <f>VLOOKUP(A17428,'[1]Componentes APUs'!$S$1:$V$10,4,0)</f>
        <v>1250</v>
      </c>
      <c r="G17428" s="51">
        <f>ROUNDUP(F17428*((E17428/21)/E17401),0)</f>
        <v>120</v>
      </c>
    </row>
    <row r="17429" spans="1:7" x14ac:dyDescent="0.25">
      <c r="A17429" s="50" t="s">
        <v>60</v>
      </c>
      <c r="B17429" s="220" t="str">
        <f>VLOOKUP(A17429,'[1]Componentes APUs'!$S$1:$V$10,2,0)</f>
        <v>Agarradoras</v>
      </c>
      <c r="C17429" s="220"/>
      <c r="D17429" s="50" t="s">
        <v>18</v>
      </c>
      <c r="E17429" s="50">
        <v>0</v>
      </c>
      <c r="F17429" s="51">
        <f>VLOOKUP(A17429,'[1]Componentes APUs'!$S$1:$V$10,4,0)</f>
        <v>125000</v>
      </c>
      <c r="G17429" s="51">
        <f>ROUNDUP(F17429*((E17429/21)/E17401),0)</f>
        <v>0</v>
      </c>
    </row>
    <row r="17430" spans="1:7" x14ac:dyDescent="0.25">
      <c r="A17430" s="50" t="s">
        <v>62</v>
      </c>
      <c r="B17430" s="220" t="str">
        <f>VLOOKUP(A17430,'[1]Componentes APUs'!$S$1:$V$10,2,0)</f>
        <v>Templadoras</v>
      </c>
      <c r="C17430" s="220"/>
      <c r="D17430" s="50" t="s">
        <v>18</v>
      </c>
      <c r="E17430" s="50">
        <v>0</v>
      </c>
      <c r="F17430" s="51">
        <f>VLOOKUP(A17430,'[1]Componentes APUs'!$S$1:$V$10,4,0)</f>
        <v>250000</v>
      </c>
      <c r="G17430" s="51">
        <f>ROUNDUP(F17430*((E17430/21)/E17401),0)</f>
        <v>0</v>
      </c>
    </row>
    <row r="17431" spans="1:7" x14ac:dyDescent="0.25">
      <c r="A17431" s="50" t="s">
        <v>328</v>
      </c>
      <c r="B17431" s="220" t="str">
        <f>VLOOKUP(A17431,'[1]Componentes APUs'!$S$1:$V$10,2,0)</f>
        <v>Herramienta Menor</v>
      </c>
      <c r="C17431" s="220"/>
      <c r="D17431" s="50" t="s">
        <v>18</v>
      </c>
      <c r="E17431" s="50">
        <v>2</v>
      </c>
      <c r="F17431" s="51">
        <f>VLOOKUP(A17431,'[1]Componentes APUs'!$S$1:$V$10,4,0)</f>
        <v>75758</v>
      </c>
      <c r="G17431" s="51">
        <f>ROUNDUP(F17431*((E17431/21)/E17401),0)</f>
        <v>7216</v>
      </c>
    </row>
    <row r="17432" spans="1:7" x14ac:dyDescent="0.25">
      <c r="A17432" s="219" t="s">
        <v>69</v>
      </c>
      <c r="B17432" s="219"/>
      <c r="C17432" s="219"/>
      <c r="D17432" s="219"/>
      <c r="E17432" s="219"/>
      <c r="F17432" s="219"/>
      <c r="G17432" s="52">
        <f>SUM(G17426:G17431)</f>
        <v>8433</v>
      </c>
    </row>
    <row r="17433" spans="1:7" x14ac:dyDescent="0.25">
      <c r="A17433" s="56"/>
      <c r="B17433" s="57"/>
      <c r="C17433" s="57"/>
      <c r="D17433" s="57"/>
      <c r="E17433" s="57"/>
      <c r="F17433" s="57"/>
      <c r="G17433" s="58"/>
    </row>
    <row r="17434" spans="1:7" x14ac:dyDescent="0.25">
      <c r="A17434" s="219" t="s">
        <v>70</v>
      </c>
      <c r="B17434" s="219"/>
      <c r="C17434" s="219"/>
      <c r="D17434" s="219"/>
      <c r="E17434" s="219"/>
      <c r="F17434" s="219"/>
      <c r="G17434" s="219"/>
    </row>
    <row r="17435" spans="1:7" x14ac:dyDescent="0.25">
      <c r="A17435" s="49" t="s">
        <v>35</v>
      </c>
      <c r="B17435" s="219" t="s">
        <v>36</v>
      </c>
      <c r="C17435" s="219"/>
      <c r="D17435" s="49" t="s">
        <v>37</v>
      </c>
      <c r="E17435" s="49" t="s">
        <v>38</v>
      </c>
      <c r="F17435" s="49" t="s">
        <v>39</v>
      </c>
      <c r="G17435" s="49" t="s">
        <v>40</v>
      </c>
    </row>
    <row r="17436" spans="1:7" x14ac:dyDescent="0.25">
      <c r="A17436" s="50" t="s">
        <v>71</v>
      </c>
      <c r="B17436" s="71" t="str">
        <f>VLOOKUP(A17436,'[1]Componentes APUs'!$A$1:$D$14,2,0)</f>
        <v>Camisa indigo sin partes metalicas</v>
      </c>
      <c r="C17436" s="71"/>
      <c r="D17436" s="50" t="str">
        <f>VLOOKUP(A17436,'[1]Componentes APUs'!$A$1:$D$14,3,0)</f>
        <v>U</v>
      </c>
      <c r="E17436" s="50">
        <f>SUM(C17416:C17421)</f>
        <v>3.75</v>
      </c>
      <c r="F17436" s="51">
        <f>VLOOKUP(A17436,'[1]Componentes APUs'!$A$1:$D$14,4,0)</f>
        <v>8585.8585858585866</v>
      </c>
      <c r="G17436" s="51">
        <f>ROUNDUP(F17436*(E17436/21)/E17401,0)</f>
        <v>1534</v>
      </c>
    </row>
    <row r="17437" spans="1:7" x14ac:dyDescent="0.25">
      <c r="A17437" s="69" t="s">
        <v>73</v>
      </c>
      <c r="B17437" s="72" t="str">
        <f>VLOOKUP(A17437,'[1]Componentes APUs'!$A$1:$D$14,2,0)</f>
        <v>Bota de seguridad dielectrica</v>
      </c>
      <c r="C17437" s="73"/>
      <c r="D17437" s="70" t="str">
        <f>VLOOKUP(A17437,'[1]Componentes APUs'!$A$1:$D$14,3,0)</f>
        <v>Par</v>
      </c>
      <c r="E17437" s="50">
        <f>SUM(C17416:C17421)</f>
        <v>3.75</v>
      </c>
      <c r="F17437" s="51">
        <f>VLOOKUP(A17437,'[1]Componentes APUs'!$A$1:$D$14,4,0)</f>
        <v>7500</v>
      </c>
      <c r="G17437" s="51">
        <f>ROUNDUP(F17437*(E17437/21)/E17401,0)</f>
        <v>1340</v>
      </c>
    </row>
    <row r="17438" spans="1:7" x14ac:dyDescent="0.25">
      <c r="A17438" s="50" t="s">
        <v>76</v>
      </c>
      <c r="B17438" s="72" t="str">
        <f>VLOOKUP(A17438,'[1]Componentes APUs'!$A$1:$D$14,2,0)</f>
        <v>Casco dielectrico Tipo 1 Clase E con barbuquejo</v>
      </c>
      <c r="C17438" s="73"/>
      <c r="D17438" s="50" t="str">
        <f>VLOOKUP(A17438,'[1]Componentes APUs'!$A$1:$D$14,3,0)</f>
        <v>U</v>
      </c>
      <c r="E17438" s="50">
        <f>C17421+C17416+C17419+C17420+C17417+IF(A17418&lt;&gt;"MO-3",C17418,0)</f>
        <v>3.75</v>
      </c>
      <c r="F17438" s="51">
        <f>VLOOKUP(A17438,'[1]Componentes APUs'!$A$1:$D$14,4,0)</f>
        <v>10101.010101010101</v>
      </c>
      <c r="G17438" s="51">
        <f>ROUNDUP(F17438*(E17438/21)/E17401,0)</f>
        <v>1804</v>
      </c>
    </row>
    <row r="17439" spans="1:7" x14ac:dyDescent="0.25">
      <c r="A17439" s="69" t="s">
        <v>77</v>
      </c>
      <c r="B17439" s="72" t="str">
        <f>VLOOKUP(A17439,'[1]Componentes APUs'!$A$1:$D$14,2,0)</f>
        <v>Correa plastica y antiflama</v>
      </c>
      <c r="C17439" s="73"/>
      <c r="D17439" s="50" t="str">
        <f>VLOOKUP(A17439,'[1]Componentes APUs'!$A$1:$D$14,3,0)</f>
        <v>U</v>
      </c>
      <c r="E17439" s="50">
        <f>SUM(C17416:C17421)</f>
        <v>3.75</v>
      </c>
      <c r="F17439" s="51">
        <f>VLOOKUP(A17439,'[1]Componentes APUs'!$A$1:$D$14,4,0)</f>
        <v>3787.878787878788</v>
      </c>
      <c r="G17439" s="51">
        <f>ROUNDUP(F17439*(E17439/21)/E17401,0)</f>
        <v>677</v>
      </c>
    </row>
    <row r="17440" spans="1:7" x14ac:dyDescent="0.25">
      <c r="A17440" s="50" t="s">
        <v>79</v>
      </c>
      <c r="B17440" s="72" t="str">
        <f>VLOOKUP(A17440,'[1]Componentes APUs'!$A$1:$D$14,2,0)</f>
        <v>Gafas protectoras filtro UV</v>
      </c>
      <c r="C17440" s="73"/>
      <c r="D17440" s="50" t="str">
        <f>VLOOKUP(A17440,'[1]Componentes APUs'!$A$1:$D$14,3,0)</f>
        <v>U</v>
      </c>
      <c r="E17440" s="50">
        <f>SUM(C17416:C17421)</f>
        <v>3.75</v>
      </c>
      <c r="F17440" s="51">
        <f>VLOOKUP(A17440,'[1]Componentes APUs'!$A$1:$D$14,4,0)</f>
        <v>2777.7777777777778</v>
      </c>
      <c r="G17440" s="51">
        <f>ROUNDUP(F17440*(E17440/21)/E17401,0)</f>
        <v>497</v>
      </c>
    </row>
    <row r="17441" spans="1:7" x14ac:dyDescent="0.25">
      <c r="A17441" s="69" t="s">
        <v>402</v>
      </c>
      <c r="B17441" s="72" t="str">
        <f>VLOOKUP(A17441,'[1]Componentes APUs'!$A$1:$D$14,2,0)</f>
        <v>Bota de seguridad PVC dielectrica</v>
      </c>
      <c r="C17441" s="73"/>
      <c r="D17441" s="50" t="str">
        <f>VLOOKUP(A17441,'[1]Componentes APUs'!$A$1:$D$14,3,0)</f>
        <v>Par</v>
      </c>
      <c r="E17441" s="50">
        <f>SUM(C17416:C17421)</f>
        <v>3.75</v>
      </c>
      <c r="F17441" s="51">
        <f>VLOOKUP(A17441,'[1]Componentes APUs'!$A$1:$D$14,4,0)</f>
        <v>2916.6666666666665</v>
      </c>
      <c r="G17441" s="51">
        <f>ROUNDUP(F17441*(E17441/21)/E17401,0)</f>
        <v>521</v>
      </c>
    </row>
    <row r="17442" spans="1:7" x14ac:dyDescent="0.25">
      <c r="A17442" s="50" t="s">
        <v>403</v>
      </c>
      <c r="B17442" s="72" t="str">
        <f>VLOOKUP(A17442,'[1]Componentes APUs'!$A$1:$D$14,2,0)</f>
        <v>Capuchon</v>
      </c>
      <c r="C17442" s="73"/>
      <c r="D17442" s="50" t="str">
        <f>VLOOKUP(A17442,'[1]Componentes APUs'!$A$1:$D$14,3,0)</f>
        <v>U</v>
      </c>
      <c r="E17442" s="50">
        <f>SUM(C17416:C17421)</f>
        <v>3.75</v>
      </c>
      <c r="F17442" s="51">
        <f>VLOOKUP(A17442,'[1]Componentes APUs'!$A$1:$D$14,4,0)</f>
        <v>2525.2525252525252</v>
      </c>
      <c r="G17442" s="51">
        <f>ROUNDUP(F17442*(E17442/21)/E17401,0)</f>
        <v>451</v>
      </c>
    </row>
    <row r="17443" spans="1:7" x14ac:dyDescent="0.25">
      <c r="A17443" s="69" t="s">
        <v>81</v>
      </c>
      <c r="B17443" s="72" t="str">
        <f>VLOOKUP(A17443,'[1]Componentes APUs'!$A$1:$D$14,2,0)</f>
        <v>Guantes Protectores  - ingeniero reforzados</v>
      </c>
      <c r="C17443" s="73"/>
      <c r="D17443" s="50" t="str">
        <f>VLOOKUP(A17443,'[1]Componentes APUs'!$A$1:$D$14,3,0)</f>
        <v>Par</v>
      </c>
      <c r="E17443" s="50">
        <f>C17418+C17419+C17421</f>
        <v>3</v>
      </c>
      <c r="F17443" s="51">
        <f>VLOOKUP(A17443,'[1]Componentes APUs'!$A$1:$D$14,4,0)</f>
        <v>2525.2525252525252</v>
      </c>
      <c r="G17443" s="51">
        <f>ROUNDUP(F17443*(E17443/21)/E17401,0)</f>
        <v>361</v>
      </c>
    </row>
    <row r="17444" spans="1:7" x14ac:dyDescent="0.25">
      <c r="A17444" s="50" t="s">
        <v>83</v>
      </c>
      <c r="B17444" s="72" t="str">
        <f>VLOOKUP(A17444,'[1]Componentes APUs'!$A$1:$D$14,2,0)</f>
        <v>Impermeable (pantalon camisa)</v>
      </c>
      <c r="C17444" s="73"/>
      <c r="D17444" s="50" t="str">
        <f>VLOOKUP(A17444,'[1]Componentes APUs'!$A$1:$D$14,3,0)</f>
        <v>U</v>
      </c>
      <c r="E17444" s="50">
        <f>SUM(C17416:C17421)</f>
        <v>3.75</v>
      </c>
      <c r="F17444" s="51">
        <f>VLOOKUP(A17444,'[1]Componentes APUs'!$A$1:$D$14,4,0)</f>
        <v>3750</v>
      </c>
      <c r="G17444" s="51">
        <f>ROUNDUP(F17444*(E17444/21)/E17401,0)</f>
        <v>670</v>
      </c>
    </row>
    <row r="17445" spans="1:7" x14ac:dyDescent="0.25">
      <c r="A17445" s="69" t="s">
        <v>85</v>
      </c>
      <c r="B17445" s="72" t="str">
        <f>VLOOKUP(A17445,'[1]Componentes APUs'!$A$1:$D$14,2,0)</f>
        <v>Jean Dielectrico</v>
      </c>
      <c r="C17445" s="73"/>
      <c r="D17445" s="50" t="str">
        <f>VLOOKUP(A17445,'[1]Componentes APUs'!$A$1:$D$14,3,0)</f>
        <v>U</v>
      </c>
      <c r="E17445" s="50">
        <f>SUM(C17416:C17421)</f>
        <v>3.75</v>
      </c>
      <c r="F17445" s="51">
        <f>VLOOKUP(A17445,'[1]Componentes APUs'!$A$1:$D$14,4,0)</f>
        <v>7575.757575757576</v>
      </c>
      <c r="G17445" s="51">
        <f>ROUNDUP(F17445*(E17445/21)/E17401,0)</f>
        <v>1353</v>
      </c>
    </row>
    <row r="17446" spans="1:7" x14ac:dyDescent="0.25">
      <c r="A17446" s="50" t="s">
        <v>87</v>
      </c>
      <c r="B17446" s="72" t="str">
        <f>VLOOKUP(A17446,'[1]Componentes APUs'!$A$1:$D$14,2,0)</f>
        <v>Casco dielectrico Tipo 2 Clase E con barboquejo</v>
      </c>
      <c r="C17446" s="73"/>
      <c r="D17446" s="50" t="str">
        <f>VLOOKUP(A17446,'[1]Componentes APUs'!$A$1:$D$14,3,0)</f>
        <v>U</v>
      </c>
      <c r="E17446" s="53">
        <f>IF(A17418="MO-3",C17418,0)</f>
        <v>0</v>
      </c>
      <c r="F17446" s="51">
        <f>VLOOKUP(A17446,'[1]Componentes APUs'!$A$1:$D$14,4,0)</f>
        <v>7500</v>
      </c>
      <c r="G17446" s="51">
        <f>ROUNDUP(F17446*(E17446/21)/E17401,0)</f>
        <v>0</v>
      </c>
    </row>
    <row r="17447" spans="1:7" x14ac:dyDescent="0.25">
      <c r="A17447" s="69" t="s">
        <v>89</v>
      </c>
      <c r="B17447" s="72" t="str">
        <f>VLOOKUP(A17447,'[1]Componentes APUs'!$A$1:$D$14,2,0)</f>
        <v>Kit de rescate para trabajo en alturas</v>
      </c>
      <c r="C17447" s="73"/>
      <c r="D17447" s="50" t="str">
        <f>VLOOKUP(A17447,'[1]Componentes APUs'!$A$1:$D$14,3,0)</f>
        <v>U</v>
      </c>
      <c r="E17447" s="50">
        <f>IF(AND(A17418="MO-3",C17418=2),1,0)</f>
        <v>0</v>
      </c>
      <c r="F17447" s="51">
        <f>VLOOKUP(A17447,'[1]Componentes APUs'!$A$1:$D$14,4,0)</f>
        <v>37500</v>
      </c>
      <c r="G17447" s="51">
        <f>ROUNDUP(F17447*(E17447/21)/E17401,0)</f>
        <v>0</v>
      </c>
    </row>
    <row r="17448" spans="1:7" x14ac:dyDescent="0.25">
      <c r="A17448" s="50" t="s">
        <v>91</v>
      </c>
      <c r="B17448" s="72" t="str">
        <f>VLOOKUP(A17448,'[1]Componentes APUs'!$A$1:$D$14,2,0)</f>
        <v>Equipo completo para trabajo en alturas con pretales (Arnes dielectrico, 1 mosqueton de seguridad, tie off dielectrico, eslinga de posicionamiento, juego de pretales)</v>
      </c>
      <c r="C17448" s="73"/>
      <c r="D17448" s="50" t="str">
        <f>VLOOKUP(A17448,'[1]Componentes APUs'!$A$1:$D$14,3,0)</f>
        <v>U</v>
      </c>
      <c r="E17448" s="50">
        <f>IF(A17418="MO-3",C17418,0)</f>
        <v>0</v>
      </c>
      <c r="F17448" s="51">
        <f>VLOOKUP(A17448,'[1]Componentes APUs'!$A$1:$D$14,4,0)</f>
        <v>26041.666666666668</v>
      </c>
      <c r="G17448" s="51">
        <f>ROUNDUP(F17448*(E17448/21)/E17401,0)</f>
        <v>0</v>
      </c>
    </row>
    <row r="17449" spans="1:7" x14ac:dyDescent="0.25">
      <c r="A17449" s="219" t="s">
        <v>95</v>
      </c>
      <c r="B17449" s="219"/>
      <c r="C17449" s="219"/>
      <c r="D17449" s="219"/>
      <c r="E17449" s="219"/>
      <c r="F17449" s="219"/>
      <c r="G17449" s="52">
        <f>SUM(G17436:G17448)</f>
        <v>9208</v>
      </c>
    </row>
    <row r="17450" spans="1:7" x14ac:dyDescent="0.25">
      <c r="A17450" s="56"/>
      <c r="B17450" s="57"/>
      <c r="C17450" s="57"/>
      <c r="D17450" s="57"/>
      <c r="E17450" s="57"/>
      <c r="F17450" s="57"/>
      <c r="G17450" s="58"/>
    </row>
    <row r="17451" spans="1:7" x14ac:dyDescent="0.25">
      <c r="A17451" s="219" t="s">
        <v>96</v>
      </c>
      <c r="B17451" s="219"/>
      <c r="C17451" s="219"/>
      <c r="D17451" s="219"/>
      <c r="E17451" s="219"/>
      <c r="F17451" s="219"/>
      <c r="G17451" s="219"/>
    </row>
    <row r="17452" spans="1:7" x14ac:dyDescent="0.25">
      <c r="A17452" s="49" t="s">
        <v>35</v>
      </c>
      <c r="B17452" s="225" t="s">
        <v>36</v>
      </c>
      <c r="C17452" s="225"/>
      <c r="D17452" s="49" t="s">
        <v>37</v>
      </c>
      <c r="E17452" s="49" t="s">
        <v>38</v>
      </c>
      <c r="F17452" s="49" t="s">
        <v>39</v>
      </c>
      <c r="G17452" s="49" t="s">
        <v>40</v>
      </c>
    </row>
    <row r="17453" spans="1:7" x14ac:dyDescent="0.25">
      <c r="A17453" s="69" t="s">
        <v>97</v>
      </c>
      <c r="B17453" s="72" t="str">
        <f>VLOOKUP(A17453,'[1]Componentes APUs'!$N$1:$Q$30,2,0)</f>
        <v>Camioneta</v>
      </c>
      <c r="C17453" s="73"/>
      <c r="D17453" s="70" t="str">
        <f>VLOOKUP(A17453,'[1]Componentes APUs'!$N$1:$Q$30,3,0)</f>
        <v>U</v>
      </c>
      <c r="E17453" s="50">
        <v>1</v>
      </c>
      <c r="F17453" s="51">
        <f>VLOOKUP(A17453,'[1]Componentes APUs'!$N$1:$Q$30,4,0)</f>
        <v>5500000</v>
      </c>
      <c r="G17453" s="51">
        <f>IFERROR(ROUNDUP(F17453*(E17453/21)/E17401,0),0)</f>
        <v>261905</v>
      </c>
    </row>
    <row r="17454" spans="1:7" x14ac:dyDescent="0.25">
      <c r="A17454" s="50" t="s">
        <v>321</v>
      </c>
      <c r="B17454" s="72" t="str">
        <f>VLOOKUP(A17454,'[1]Componentes APUs'!$N$1:$Q$30,2,0)</f>
        <v>Grúa Hidráulica</v>
      </c>
      <c r="C17454" s="73"/>
      <c r="D17454" s="70" t="str">
        <f>VLOOKUP(A17454,'[1]Componentes APUs'!$N$1:$Q$30,3,0)</f>
        <v>U</v>
      </c>
      <c r="E17454" s="50">
        <v>0</v>
      </c>
      <c r="F17454" s="51">
        <f>VLOOKUP(A17454,'[1]Componentes APUs'!$N$1:$Q$30,4,0)</f>
        <v>21000000</v>
      </c>
      <c r="G17454" s="51">
        <f>IFERROR(ROUNDUP(F17454*(E17454/21)/E17401,0),0)</f>
        <v>0</v>
      </c>
    </row>
    <row r="17455" spans="1:7" x14ac:dyDescent="0.25">
      <c r="A17455" s="69" t="s">
        <v>322</v>
      </c>
      <c r="B17455" s="72" t="str">
        <f>VLOOKUP(A17455,'[1]Componentes APUs'!$N$1:$Q$30,2,0)</f>
        <v>Camabaja</v>
      </c>
      <c r="C17455" s="73"/>
      <c r="D17455" s="70" t="str">
        <f>VLOOKUP(A17455,'[1]Componentes APUs'!$N$1:$Q$30,3,0)</f>
        <v>TON/KM</v>
      </c>
      <c r="E17455" s="50">
        <v>0</v>
      </c>
      <c r="F17455" s="51">
        <f>VLOOKUP(A17455,'[1]Componentes APUs'!$N$1:$Q$30,4,0)</f>
        <v>611</v>
      </c>
      <c r="G17455" s="51">
        <f>IFERROR(ROUNDUP(F17455*(E17455/21)/E17401,0),0)</f>
        <v>0</v>
      </c>
    </row>
    <row r="17456" spans="1:7" x14ac:dyDescent="0.25">
      <c r="A17456" s="50" t="s">
        <v>323</v>
      </c>
      <c r="B17456" s="72" t="str">
        <f>VLOOKUP(A17456,'[1]Componentes APUs'!$N$1:$Q$30,2,0)</f>
        <v>Volqueta</v>
      </c>
      <c r="C17456" s="73"/>
      <c r="D17456" s="70" t="str">
        <f>VLOOKUP(A17456,'[1]Componentes APUs'!$N$1:$Q$30,3,0)</f>
        <v>U</v>
      </c>
      <c r="E17456" s="50">
        <v>0</v>
      </c>
      <c r="F17456" s="51">
        <f>VLOOKUP(A17456,'[1]Componentes APUs'!$N$1:$Q$30,4,0)</f>
        <v>18900000</v>
      </c>
      <c r="G17456" s="51">
        <f>IFERROR(ROUNDUP(F17456*(E17456/21)/E17401,0),0)</f>
        <v>0</v>
      </c>
    </row>
    <row r="17457" spans="1:7" x14ac:dyDescent="0.25">
      <c r="A17457" s="69" t="s">
        <v>324</v>
      </c>
      <c r="B17457" s="72" t="str">
        <f>VLOOKUP(A17457,'[1]Componentes APUs'!$N$1:$Q$30,2,0)</f>
        <v>Retroexcavadora</v>
      </c>
      <c r="C17457" s="73"/>
      <c r="D17457" s="70" t="str">
        <f>VLOOKUP(A17457,'[1]Componentes APUs'!$N$1:$Q$30,3,0)</f>
        <v>U</v>
      </c>
      <c r="E17457" s="50">
        <v>0</v>
      </c>
      <c r="F17457" s="51">
        <f>VLOOKUP(A17457,'[1]Componentes APUs'!$N$1:$Q$30,4,0)</f>
        <v>1494459.54</v>
      </c>
      <c r="G17457" s="51">
        <f>IFERROR(ROUNDUP(F17457*(E17457/21)/E17401,0),0)</f>
        <v>0</v>
      </c>
    </row>
    <row r="17458" spans="1:7" x14ac:dyDescent="0.25">
      <c r="A17458" s="219" t="s">
        <v>99</v>
      </c>
      <c r="B17458" s="219"/>
      <c r="C17458" s="219"/>
      <c r="D17458" s="219"/>
      <c r="E17458" s="219"/>
      <c r="F17458" s="219"/>
      <c r="G17458" s="52">
        <f>SUM(G17453:G17457)</f>
        <v>261905</v>
      </c>
    </row>
    <row r="17459" spans="1:7" x14ac:dyDescent="0.25">
      <c r="A17459" s="56"/>
      <c r="B17459" s="57"/>
      <c r="C17459" s="57"/>
      <c r="D17459" s="57"/>
      <c r="E17459" s="57"/>
      <c r="F17459" s="57"/>
      <c r="G17459" s="58"/>
    </row>
    <row r="17460" spans="1:7" x14ac:dyDescent="0.25">
      <c r="A17460" s="219" t="s">
        <v>1516</v>
      </c>
      <c r="B17460" s="219"/>
      <c r="C17460" s="219"/>
      <c r="D17460" s="219"/>
      <c r="E17460" s="219"/>
      <c r="F17460" s="219"/>
      <c r="G17460" s="52">
        <f>G17458+G17449+G17432+G17422+G17412</f>
        <v>43076861</v>
      </c>
    </row>
    <row r="17461" spans="1:7" x14ac:dyDescent="0.25">
      <c r="A17461" s="59"/>
      <c r="B17461" s="60"/>
      <c r="C17461" s="60"/>
      <c r="D17461" s="60"/>
      <c r="E17461" s="57"/>
      <c r="F17461" s="57"/>
      <c r="G17461" s="58"/>
    </row>
    <row r="17462" spans="1:7" x14ac:dyDescent="0.25">
      <c r="A17462" s="64"/>
      <c r="D17462" s="55"/>
      <c r="E17462" s="49" t="s">
        <v>25</v>
      </c>
      <c r="F17462" s="54">
        <v>0.15</v>
      </c>
      <c r="G17462" s="51">
        <f>G17460*F17462</f>
        <v>6461529.1499999994</v>
      </c>
    </row>
    <row r="17463" spans="1:7" x14ac:dyDescent="0.25">
      <c r="A17463" s="64"/>
      <c r="D17463" s="55"/>
      <c r="E17463" s="49" t="s">
        <v>26</v>
      </c>
      <c r="F17463" s="54">
        <v>0.05</v>
      </c>
      <c r="G17463" s="51">
        <f>G17460*F17463</f>
        <v>2153843.0500000003</v>
      </c>
    </row>
    <row r="17464" spans="1:7" x14ac:dyDescent="0.25">
      <c r="A17464" s="61"/>
      <c r="B17464" s="65"/>
      <c r="C17464" s="65"/>
      <c r="D17464" s="62"/>
      <c r="E17464" s="49" t="s">
        <v>27</v>
      </c>
      <c r="F17464" s="54">
        <v>0.05</v>
      </c>
      <c r="G17464" s="51">
        <f>G17460*F17464</f>
        <v>2153843.0500000003</v>
      </c>
    </row>
    <row r="17465" spans="1:7" x14ac:dyDescent="0.25">
      <c r="A17465" s="61"/>
      <c r="B17465" s="62"/>
      <c r="C17465" s="62"/>
      <c r="D17465" s="62"/>
      <c r="E17465" s="62"/>
      <c r="F17465" s="62"/>
      <c r="G17465" s="63"/>
    </row>
    <row r="17466" spans="1:7" x14ac:dyDescent="0.25">
      <c r="A17466" s="219" t="s">
        <v>1517</v>
      </c>
      <c r="B17466" s="219"/>
      <c r="C17466" s="219"/>
      <c r="D17466" s="219"/>
      <c r="E17466" s="219"/>
      <c r="F17466" s="219"/>
      <c r="G17466" s="52">
        <f>G17460+G17462+G17463+G17464</f>
        <v>53846076.249999993</v>
      </c>
    </row>
    <row r="17467" spans="1:7" x14ac:dyDescent="0.25">
      <c r="A17467" s="59"/>
      <c r="B17467" s="60"/>
      <c r="C17467" s="60"/>
      <c r="D17467" s="60"/>
      <c r="E17467" s="57"/>
      <c r="F17467" s="57"/>
      <c r="G17467" s="58"/>
    </row>
    <row r="17468" spans="1:7" x14ac:dyDescent="0.25">
      <c r="A17468" s="64"/>
      <c r="D17468" s="55"/>
      <c r="E17468" s="49" t="s">
        <v>102</v>
      </c>
      <c r="F17468" s="49" t="s">
        <v>103</v>
      </c>
      <c r="G17468" s="51">
        <f>G17464*19%</f>
        <v>409230.17950000009</v>
      </c>
    </row>
    <row r="17469" spans="1:7" x14ac:dyDescent="0.25">
      <c r="A17469" s="61"/>
      <c r="B17469" s="62"/>
      <c r="C17469" s="62"/>
      <c r="D17469" s="62"/>
      <c r="E17469" s="57"/>
      <c r="F17469" s="57"/>
      <c r="G17469" s="58"/>
    </row>
    <row r="17470" spans="1:7" x14ac:dyDescent="0.25">
      <c r="A17470" s="219" t="s">
        <v>104</v>
      </c>
      <c r="B17470" s="219"/>
      <c r="C17470" s="219"/>
      <c r="D17470" s="219"/>
      <c r="E17470" s="219"/>
      <c r="F17470" s="219"/>
      <c r="G17470" s="52">
        <f>G17468+G17466</f>
        <v>54255306.429499991</v>
      </c>
    </row>
    <row r="17472" spans="1:7" x14ac:dyDescent="0.25">
      <c r="A17472" s="74" t="s">
        <v>29</v>
      </c>
      <c r="B17472" s="226" t="s">
        <v>30</v>
      </c>
      <c r="C17472" s="226"/>
      <c r="D17472" s="74" t="s">
        <v>31</v>
      </c>
      <c r="E17472" s="74" t="s">
        <v>32</v>
      </c>
      <c r="F17472" s="74" t="s">
        <v>189</v>
      </c>
      <c r="G17472" s="74" t="s">
        <v>33</v>
      </c>
    </row>
    <row r="17473" spans="1:9" ht="28.5" customHeight="1" x14ac:dyDescent="0.25">
      <c r="A17473" s="50" t="str">
        <f>Presupuesto!B342</f>
        <v>015_AUX</v>
      </c>
      <c r="B17473" s="220" t="str">
        <f>Presupuesto!C342</f>
        <v>SUMINISTRO E INSTALACIÓN DE INSTALACIÓN DE DUCTO DE EXTRACCIÓN DE VAPORES. INCLUYE MATERIAL DE FIJACIÓN</v>
      </c>
      <c r="C17473" s="220"/>
      <c r="D17473" s="50" t="s">
        <v>108</v>
      </c>
      <c r="E17473" s="50">
        <v>6</v>
      </c>
      <c r="F17473" s="50"/>
      <c r="G17473" s="51">
        <f>G17542</f>
        <v>2733783.7944999994</v>
      </c>
    </row>
    <row r="17474" spans="1:9" x14ac:dyDescent="0.25">
      <c r="A17474" s="219">
        <v>5</v>
      </c>
      <c r="B17474" s="219"/>
      <c r="C17474" s="219"/>
      <c r="D17474" s="219"/>
      <c r="E17474" s="219"/>
      <c r="F17474" s="219"/>
      <c r="G17474" s="219"/>
    </row>
    <row r="17475" spans="1:9" x14ac:dyDescent="0.25">
      <c r="A17475" s="49" t="s">
        <v>35</v>
      </c>
      <c r="B17475" s="219" t="s">
        <v>36</v>
      </c>
      <c r="C17475" s="219"/>
      <c r="D17475" s="49" t="s">
        <v>37</v>
      </c>
      <c r="E17475" s="49" t="s">
        <v>38</v>
      </c>
      <c r="F17475" s="49" t="s">
        <v>39</v>
      </c>
      <c r="G17475" s="49" t="s">
        <v>40</v>
      </c>
    </row>
    <row r="17476" spans="1:9" x14ac:dyDescent="0.25">
      <c r="A17476" s="17" t="str">
        <f>Material!A214</f>
        <v>MA-213</v>
      </c>
      <c r="B17476" s="72" t="str">
        <f>IFERROR(VLOOKUP(A17476,Material!$A:$J,2,0),"-")</f>
        <v>CHAZO EXPANSIVO 3/8"</v>
      </c>
      <c r="C17476" s="73"/>
      <c r="D17476" s="50" t="str">
        <f>IFERROR(VLOOKUP(A17476,Material!$A:$J,4,0),"-")</f>
        <v>UN</v>
      </c>
      <c r="E17476" s="50">
        <v>2</v>
      </c>
      <c r="F17476" s="51">
        <f>IFERROR(VLOOKUP(A17476,Material!$A:$J,3,0),"-")</f>
        <v>1430</v>
      </c>
      <c r="G17476" s="51">
        <f t="shared" ref="G17476:G17483" si="244">IFERROR(ROUNDUP(F17476*E17476,0),"-")</f>
        <v>2860</v>
      </c>
    </row>
    <row r="17477" spans="1:9" x14ac:dyDescent="0.25">
      <c r="A17477" s="17" t="str">
        <f>Material!A122</f>
        <v>MA-121</v>
      </c>
      <c r="B17477" s="72" t="str">
        <f>IFERROR(VLOOKUP(A17477,Material!$A:$J,2,0),"-")</f>
        <v>DUCTO DE EXTRACCIÓN DE VAPORES CON REVESTIMIENTO TÉRMICO</v>
      </c>
      <c r="C17477" s="76"/>
      <c r="D17477" s="50" t="str">
        <f>IFERROR(VLOOKUP(A17477,Material!$A:$J,4,0),"-")</f>
        <v>ML</v>
      </c>
      <c r="E17477" s="50">
        <v>1</v>
      </c>
      <c r="F17477" s="51">
        <f>IFERROR(VLOOKUP(A17477,Material!$A:$J,3,0),"-")</f>
        <v>1950000</v>
      </c>
      <c r="G17477" s="51">
        <f t="shared" si="244"/>
        <v>1950000</v>
      </c>
    </row>
    <row r="17478" spans="1:9" x14ac:dyDescent="0.25">
      <c r="A17478" s="17" t="str">
        <f>Material!A196</f>
        <v>MA-195</v>
      </c>
      <c r="B17478" s="72" t="str">
        <f>IFERROR(VLOOKUP(A17478,Material!$A:$J,2,0),"-")</f>
        <v>VARILLA ROSCADA DE 3/8"</v>
      </c>
      <c r="C17478" s="76"/>
      <c r="D17478" s="50" t="str">
        <f>IFERROR(VLOOKUP(A17478,Material!$A:$J,4,0),"-")</f>
        <v>UN</v>
      </c>
      <c r="E17478" s="50">
        <v>2</v>
      </c>
      <c r="F17478" s="51">
        <f>IFERROR(VLOOKUP(A17478,Material!$A:$J,3,0),"-")</f>
        <v>3466.6666666666665</v>
      </c>
      <c r="G17478" s="51">
        <f t="shared" si="244"/>
        <v>6934</v>
      </c>
    </row>
    <row r="17479" spans="1:9" x14ac:dyDescent="0.25">
      <c r="A17479" s="17" t="str">
        <f>Material!A213</f>
        <v>MA-212</v>
      </c>
      <c r="B17479" s="72" t="str">
        <f>IFERROR(VLOOKUP(A17479,Material!$A:$J,2,0),"-")</f>
        <v>RIEL CHANNEL 4X2</v>
      </c>
      <c r="C17479" s="76"/>
      <c r="D17479" s="50" t="str">
        <f>IFERROR(VLOOKUP(A17479,Material!$A:$J,4,0),"-")</f>
        <v>ML</v>
      </c>
      <c r="E17479" s="50">
        <v>2</v>
      </c>
      <c r="F17479" s="51">
        <f>IFERROR(VLOOKUP(A17479,Material!$A:$J,3,0),"-")</f>
        <v>10551.666666666668</v>
      </c>
      <c r="G17479" s="51">
        <f t="shared" si="244"/>
        <v>21104</v>
      </c>
      <c r="I17479" s="2"/>
    </row>
    <row r="17480" spans="1:9" x14ac:dyDescent="0.25">
      <c r="A17480" s="17"/>
      <c r="B17480" s="72" t="str">
        <f>IFERROR(VLOOKUP(A17480,Material!$A:$J,2,0),"-")</f>
        <v>-</v>
      </c>
      <c r="C17480" s="76"/>
      <c r="D17480" s="50" t="str">
        <f>IFERROR(VLOOKUP(A17480,Material!$A:$J,4,0),"-")</f>
        <v>-</v>
      </c>
      <c r="E17480" s="50"/>
      <c r="F17480" s="51" t="str">
        <f>IFERROR(VLOOKUP(A17480,Material!$A:$J,3,0),"-")</f>
        <v>-</v>
      </c>
      <c r="G17480" s="51" t="str">
        <f t="shared" si="244"/>
        <v>-</v>
      </c>
    </row>
    <row r="17481" spans="1:9" x14ac:dyDescent="0.25">
      <c r="A17481" s="17"/>
      <c r="B17481" s="72" t="str">
        <f>IFERROR(VLOOKUP(A17481,Material!$A:$J,2,0),"-")</f>
        <v>-</v>
      </c>
      <c r="C17481" s="76"/>
      <c r="D17481" s="50" t="str">
        <f>IFERROR(VLOOKUP(A17481,Material!$A:$J,4,0),"-")</f>
        <v>-</v>
      </c>
      <c r="E17481" s="50"/>
      <c r="F17481" s="51" t="str">
        <f>IFERROR(VLOOKUP(A17481,Material!$A:$J,3,0),"-")</f>
        <v>-</v>
      </c>
      <c r="G17481" s="51" t="str">
        <f t="shared" si="244"/>
        <v>-</v>
      </c>
    </row>
    <row r="17482" spans="1:9" x14ac:dyDescent="0.25">
      <c r="A17482" s="17"/>
      <c r="B17482" s="72" t="str">
        <f>IFERROR(VLOOKUP(A17482,Material!$A:$J,2,0),"-")</f>
        <v>-</v>
      </c>
      <c r="C17482" s="76"/>
      <c r="D17482" s="50" t="str">
        <f>IFERROR(VLOOKUP(A17482,Material!$A:$J,4,0),"-")</f>
        <v>-</v>
      </c>
      <c r="E17482" s="50"/>
      <c r="F17482" s="51" t="str">
        <f>IFERROR(VLOOKUP(A17482,Material!$A:$J,3,0),"-")</f>
        <v>-</v>
      </c>
      <c r="G17482" s="51" t="str">
        <f t="shared" si="244"/>
        <v>-</v>
      </c>
    </row>
    <row r="17483" spans="1:9" x14ac:dyDescent="0.25">
      <c r="A17483" s="17"/>
      <c r="B17483" s="72" t="str">
        <f>IFERROR(VLOOKUP(A17483,Material!$A:$J,2,0),"-")</f>
        <v>-</v>
      </c>
      <c r="C17483" s="76"/>
      <c r="D17483" s="50" t="str">
        <f>IFERROR(VLOOKUP(A17483,Material!$A:$J,4,0),"-")</f>
        <v>-</v>
      </c>
      <c r="E17483" s="50"/>
      <c r="F17483" s="51" t="str">
        <f>IFERROR(VLOOKUP(A17483,Material!$A:$J,3,0),"-")</f>
        <v>-</v>
      </c>
      <c r="G17483" s="51" t="str">
        <f t="shared" si="244"/>
        <v>-</v>
      </c>
    </row>
    <row r="17484" spans="1:9" x14ac:dyDescent="0.25">
      <c r="A17484" s="219" t="s">
        <v>41</v>
      </c>
      <c r="B17484" s="219"/>
      <c r="C17484" s="219"/>
      <c r="D17484" s="219"/>
      <c r="E17484" s="219"/>
      <c r="F17484" s="219"/>
      <c r="G17484" s="52">
        <f>SUM(G17476:G17483)</f>
        <v>1980898</v>
      </c>
    </row>
    <row r="17485" spans="1:9" x14ac:dyDescent="0.25">
      <c r="A17485" s="56"/>
      <c r="B17485" s="57"/>
      <c r="C17485" s="57"/>
      <c r="D17485" s="57"/>
      <c r="E17485" s="57"/>
      <c r="F17485" s="57"/>
      <c r="G17485" s="58"/>
    </row>
    <row r="17486" spans="1:9" x14ac:dyDescent="0.25">
      <c r="A17486" s="219" t="s">
        <v>42</v>
      </c>
      <c r="B17486" s="219"/>
      <c r="C17486" s="219"/>
      <c r="D17486" s="219"/>
      <c r="E17486" s="219"/>
      <c r="F17486" s="219"/>
      <c r="G17486" s="219"/>
    </row>
    <row r="17487" spans="1:9" x14ac:dyDescent="0.25">
      <c r="A17487" s="49" t="s">
        <v>35</v>
      </c>
      <c r="B17487" s="49" t="s">
        <v>36</v>
      </c>
      <c r="C17487" s="49" t="s">
        <v>38</v>
      </c>
      <c r="D17487" s="49" t="s">
        <v>43</v>
      </c>
      <c r="E17487" s="49" t="s">
        <v>44</v>
      </c>
      <c r="F17487" s="49" t="s">
        <v>45</v>
      </c>
      <c r="G17487" s="49" t="s">
        <v>40</v>
      </c>
    </row>
    <row r="17488" spans="1:9" x14ac:dyDescent="0.25">
      <c r="A17488" s="50" t="s">
        <v>319</v>
      </c>
      <c r="B17488" s="68" t="str">
        <f>VLOOKUP(A17488,'[1]Componentes APUs'!$H$1:$L$25,2,0)</f>
        <v>Ingeniero Residente de Obra</v>
      </c>
      <c r="C17488" s="93">
        <v>0.25</v>
      </c>
      <c r="D17488" s="50">
        <f>VLOOKUP(A17488,'[1]Componentes APUs'!$H$1:$L$25,3,0)</f>
        <v>4</v>
      </c>
      <c r="E17488" s="51">
        <f>VLOOKUP(A17488,'[1]Componentes APUs'!$H$1:$L$25,4,0)</f>
        <v>271142.85714285716</v>
      </c>
      <c r="F17488" s="51">
        <f>VLOOKUP(A17488,'[1]Componentes APUs'!$H$1:$L$25,5,0)</f>
        <v>162685.71428571429</v>
      </c>
      <c r="G17488" s="51">
        <f>ROUNDUP((E17488+F17488)*C17488/E17473,0)</f>
        <v>18077</v>
      </c>
    </row>
    <row r="17489" spans="1:7" x14ac:dyDescent="0.25">
      <c r="A17489" s="50" t="s">
        <v>320</v>
      </c>
      <c r="B17489" s="68" t="str">
        <f>VLOOKUP(A17489,'[1]Componentes APUs'!$H$1:$L$25,2,0)</f>
        <v>Tecnico Supervisor</v>
      </c>
      <c r="C17489" s="93">
        <v>0.25</v>
      </c>
      <c r="D17489" s="50">
        <f>VLOOKUP(A17489,'[1]Componentes APUs'!$H$1:$L$25,3,0)</f>
        <v>2.2999999999999998</v>
      </c>
      <c r="E17489" s="51">
        <f>VLOOKUP(A17489,'[1]Componentes APUs'!$H$1:$L$25,4,0)</f>
        <v>155907.14285714284</v>
      </c>
      <c r="F17489" s="51">
        <f>VLOOKUP(A17489,'[1]Componentes APUs'!$H$1:$L$25,5,0)</f>
        <v>93544.285714285696</v>
      </c>
      <c r="G17489" s="51">
        <f>ROUNDUP((E17489+F17489)*C17489/E17473,0)</f>
        <v>10394</v>
      </c>
    </row>
    <row r="17490" spans="1:7" x14ac:dyDescent="0.25">
      <c r="A17490" s="50" t="s">
        <v>46</v>
      </c>
      <c r="B17490" s="68" t="str">
        <f>VLOOKUP(A17490,'[1]Componentes APUs'!$H$1:$L$25,2,0)</f>
        <v>Tecnico Liniero</v>
      </c>
      <c r="C17490" s="93">
        <v>1</v>
      </c>
      <c r="D17490" s="50">
        <f>VLOOKUP(A17490,'[1]Componentes APUs'!$H$1:$L$25,3,0)</f>
        <v>2</v>
      </c>
      <c r="E17490" s="51">
        <f>VLOOKUP(A17490,'[1]Componentes APUs'!$H$1:$L$25,4,0)</f>
        <v>154619.04761904763</v>
      </c>
      <c r="F17490" s="51">
        <f>VLOOKUP(A17490,'[1]Componentes APUs'!$H$1:$L$25,5,0)</f>
        <v>92771.42857142858</v>
      </c>
      <c r="G17490" s="51">
        <f>ROUNDUP((E17490+F17490)*C17490/E17473,0)</f>
        <v>41232</v>
      </c>
    </row>
    <row r="17491" spans="1:7" x14ac:dyDescent="0.25">
      <c r="A17491" s="50" t="s">
        <v>48</v>
      </c>
      <c r="B17491" s="68" t="str">
        <f>VLOOKUP(A17491,'[1]Componentes APUs'!$H$1:$L$25,2,0)</f>
        <v>Ayudante Calificado</v>
      </c>
      <c r="C17491" s="93">
        <v>2</v>
      </c>
      <c r="D17491" s="50">
        <f>VLOOKUP(A17491,'[1]Componentes APUs'!$H$1:$L$25,3,0)</f>
        <v>1.5</v>
      </c>
      <c r="E17491" s="51">
        <f>VLOOKUP(A17491,'[1]Componentes APUs'!$H$1:$L$25,4,0)</f>
        <v>115964.28571428571</v>
      </c>
      <c r="F17491" s="51">
        <f>VLOOKUP(A17491,'[1]Componentes APUs'!$H$1:$L$25,5,0)</f>
        <v>69578.57142857142</v>
      </c>
      <c r="G17491" s="51">
        <f>ROUNDUP((E17491+F17491)*C17491/E17473,0)</f>
        <v>61848</v>
      </c>
    </row>
    <row r="17492" spans="1:7" x14ac:dyDescent="0.25">
      <c r="A17492" s="50" t="s">
        <v>50</v>
      </c>
      <c r="B17492" s="68" t="str">
        <f>VLOOKUP(A17492,'[1]Componentes APUs'!$H$1:$L$25,2,0)</f>
        <v>Profesional en SST</v>
      </c>
      <c r="C17492" s="93">
        <v>0.25</v>
      </c>
      <c r="D17492" s="50">
        <f>VLOOKUP(A17492,'[1]Componentes APUs'!$H$1:$L$25,3,0)</f>
        <v>2.5</v>
      </c>
      <c r="E17492" s="51">
        <f>VLOOKUP(A17492,'[1]Componentes APUs'!$H$1:$L$25,4,0)</f>
        <v>169464.28571428571</v>
      </c>
      <c r="F17492" s="51">
        <f>VLOOKUP(A17492,'[1]Componentes APUs'!$H$1:$L$25,5,0)</f>
        <v>101678.57142857142</v>
      </c>
      <c r="G17492" s="51">
        <f>ROUNDUP((E17492+F17492)*C17492/E17473,0)</f>
        <v>11298</v>
      </c>
    </row>
    <row r="17493" spans="1:7" x14ac:dyDescent="0.25">
      <c r="A17493" s="50" t="s">
        <v>52</v>
      </c>
      <c r="B17493" s="68" t="str">
        <f>VLOOKUP(A17493,'[1]Componentes APUs'!$H$1:$L$25,2,0)</f>
        <v>Ayudante No Calificado</v>
      </c>
      <c r="C17493" s="93">
        <v>0</v>
      </c>
      <c r="D17493" s="50">
        <f>VLOOKUP(A17493,'[1]Componentes APUs'!$H$1:$L$25,3,0)</f>
        <v>1</v>
      </c>
      <c r="E17493" s="51">
        <f>VLOOKUP(A17493,'[1]Componentes APUs'!$H$1:$L$25,4,0)</f>
        <v>77309.523809523816</v>
      </c>
      <c r="F17493" s="51">
        <f>VLOOKUP(A17493,'[1]Componentes APUs'!$H$1:$L$25,5,0)</f>
        <v>46385.71428571429</v>
      </c>
      <c r="G17493" s="51">
        <f>ROUNDUP((E17493+F17493)*C17493/E17473,0)</f>
        <v>0</v>
      </c>
    </row>
    <row r="17494" spans="1:7" x14ac:dyDescent="0.25">
      <c r="A17494" s="219" t="s">
        <v>56</v>
      </c>
      <c r="B17494" s="219"/>
      <c r="C17494" s="219"/>
      <c r="D17494" s="219"/>
      <c r="E17494" s="219"/>
      <c r="F17494" s="219"/>
      <c r="G17494" s="52">
        <f>SUM(G17488:G17493)</f>
        <v>142849</v>
      </c>
    </row>
    <row r="17495" spans="1:7" x14ac:dyDescent="0.25">
      <c r="A17495" s="56"/>
      <c r="B17495" s="57"/>
      <c r="C17495" s="57"/>
      <c r="D17495" s="57"/>
      <c r="E17495" s="57"/>
      <c r="F17495" s="57"/>
      <c r="G17495" s="58"/>
    </row>
    <row r="17496" spans="1:7" x14ac:dyDescent="0.25">
      <c r="A17496" s="219" t="s">
        <v>57</v>
      </c>
      <c r="B17496" s="219"/>
      <c r="C17496" s="219"/>
      <c r="D17496" s="219"/>
      <c r="E17496" s="219"/>
      <c r="F17496" s="219"/>
      <c r="G17496" s="219"/>
    </row>
    <row r="17497" spans="1:7" x14ac:dyDescent="0.25">
      <c r="A17497" s="49" t="s">
        <v>35</v>
      </c>
      <c r="B17497" s="219" t="s">
        <v>36</v>
      </c>
      <c r="C17497" s="219"/>
      <c r="D17497" s="49" t="s">
        <v>37</v>
      </c>
      <c r="E17497" s="49" t="s">
        <v>38</v>
      </c>
      <c r="F17497" s="49" t="s">
        <v>39</v>
      </c>
      <c r="G17497" s="49" t="s">
        <v>40</v>
      </c>
    </row>
    <row r="17498" spans="1:7" x14ac:dyDescent="0.25">
      <c r="A17498" s="50" t="s">
        <v>326</v>
      </c>
      <c r="B17498" s="220" t="str">
        <f>VLOOKUP(A17498,'[1]Componentes APUs'!$S$1:$V$10,2,0)</f>
        <v>Juego Llaves</v>
      </c>
      <c r="C17498" s="220"/>
      <c r="D17498" s="50" t="s">
        <v>18</v>
      </c>
      <c r="E17498" s="50">
        <v>2</v>
      </c>
      <c r="F17498" s="51">
        <f>VLOOKUP(A17498,'[1]Componentes APUs'!$S$1:$V$10,4,0)</f>
        <v>9167</v>
      </c>
      <c r="G17498" s="51">
        <f>ROUNDUP(F17498*((E17498/21)/E17473),0)</f>
        <v>146</v>
      </c>
    </row>
    <row r="17499" spans="1:7" x14ac:dyDescent="0.25">
      <c r="A17499" s="50" t="s">
        <v>58</v>
      </c>
      <c r="B17499" s="220" t="str">
        <f>VLOOKUP(A17499,'[1]Componentes APUs'!$S$1:$V$10,2,0)</f>
        <v>Manila de servicio</v>
      </c>
      <c r="C17499" s="220"/>
      <c r="D17499" s="50" t="s">
        <v>18</v>
      </c>
      <c r="E17499" s="50">
        <v>2</v>
      </c>
      <c r="F17499" s="51">
        <f>VLOOKUP(A17499,'[1]Componentes APUs'!$S$1:$V$10,4,0)</f>
        <v>2333</v>
      </c>
      <c r="G17499" s="51">
        <f>ROUNDUP(F17499*((E17499/21)/E17473),0)</f>
        <v>38</v>
      </c>
    </row>
    <row r="17500" spans="1:7" x14ac:dyDescent="0.25">
      <c r="A17500" s="50" t="s">
        <v>327</v>
      </c>
      <c r="B17500" s="220" t="str">
        <f>VLOOKUP(A17500,'[1]Componentes APUs'!$S$1:$V$10,2,0)</f>
        <v>Tula portaherramientas</v>
      </c>
      <c r="C17500" s="220"/>
      <c r="D17500" s="50" t="s">
        <v>18</v>
      </c>
      <c r="E17500" s="50">
        <v>2</v>
      </c>
      <c r="F17500" s="51">
        <f>VLOOKUP(A17500,'[1]Componentes APUs'!$S$1:$V$10,4,0)</f>
        <v>1250</v>
      </c>
      <c r="G17500" s="51">
        <f>ROUNDUP(F17500*((E17500/21)/E17473),0)</f>
        <v>20</v>
      </c>
    </row>
    <row r="17501" spans="1:7" x14ac:dyDescent="0.25">
      <c r="A17501" s="50" t="s">
        <v>60</v>
      </c>
      <c r="B17501" s="220" t="str">
        <f>VLOOKUP(A17501,'[1]Componentes APUs'!$S$1:$V$10,2,0)</f>
        <v>Agarradoras</v>
      </c>
      <c r="C17501" s="220"/>
      <c r="D17501" s="50" t="s">
        <v>18</v>
      </c>
      <c r="E17501" s="50">
        <v>0</v>
      </c>
      <c r="F17501" s="51">
        <f>VLOOKUP(A17501,'[1]Componentes APUs'!$S$1:$V$10,4,0)</f>
        <v>125000</v>
      </c>
      <c r="G17501" s="51">
        <f>ROUNDUP(F17501*((E17501/21)/E17473),0)</f>
        <v>0</v>
      </c>
    </row>
    <row r="17502" spans="1:7" x14ac:dyDescent="0.25">
      <c r="A17502" s="50" t="s">
        <v>62</v>
      </c>
      <c r="B17502" s="220" t="str">
        <f>VLOOKUP(A17502,'[1]Componentes APUs'!$S$1:$V$10,2,0)</f>
        <v>Templadoras</v>
      </c>
      <c r="C17502" s="220"/>
      <c r="D17502" s="50" t="s">
        <v>18</v>
      </c>
      <c r="E17502" s="50">
        <v>0</v>
      </c>
      <c r="F17502" s="51">
        <f>VLOOKUP(A17502,'[1]Componentes APUs'!$S$1:$V$10,4,0)</f>
        <v>250000</v>
      </c>
      <c r="G17502" s="51">
        <f>ROUNDUP(F17502*((E17502/21)/E17473),0)</f>
        <v>0</v>
      </c>
    </row>
    <row r="17503" spans="1:7" x14ac:dyDescent="0.25">
      <c r="A17503" s="50" t="s">
        <v>328</v>
      </c>
      <c r="B17503" s="220" t="str">
        <f>VLOOKUP(A17503,'[1]Componentes APUs'!$S$1:$V$10,2,0)</f>
        <v>Herramienta Menor</v>
      </c>
      <c r="C17503" s="220"/>
      <c r="D17503" s="50" t="s">
        <v>18</v>
      </c>
      <c r="E17503" s="50">
        <v>2</v>
      </c>
      <c r="F17503" s="51">
        <f>VLOOKUP(A17503,'[1]Componentes APUs'!$S$1:$V$10,4,0)</f>
        <v>75758</v>
      </c>
      <c r="G17503" s="51">
        <f>ROUNDUP(F17503*((E17503/21)/E17473),0)</f>
        <v>1203</v>
      </c>
    </row>
    <row r="17504" spans="1:7" x14ac:dyDescent="0.25">
      <c r="A17504" s="219" t="s">
        <v>69</v>
      </c>
      <c r="B17504" s="219"/>
      <c r="C17504" s="219"/>
      <c r="D17504" s="219"/>
      <c r="E17504" s="219"/>
      <c r="F17504" s="219"/>
      <c r="G17504" s="52">
        <f>SUM(G17498:G17503)</f>
        <v>1407</v>
      </c>
    </row>
    <row r="17505" spans="1:7" x14ac:dyDescent="0.25">
      <c r="A17505" s="56"/>
      <c r="B17505" s="57"/>
      <c r="C17505" s="57"/>
      <c r="D17505" s="57"/>
      <c r="E17505" s="57"/>
      <c r="F17505" s="57"/>
      <c r="G17505" s="58"/>
    </row>
    <row r="17506" spans="1:7" x14ac:dyDescent="0.25">
      <c r="A17506" s="219" t="s">
        <v>70</v>
      </c>
      <c r="B17506" s="219"/>
      <c r="C17506" s="219"/>
      <c r="D17506" s="219"/>
      <c r="E17506" s="219"/>
      <c r="F17506" s="219"/>
      <c r="G17506" s="219"/>
    </row>
    <row r="17507" spans="1:7" x14ac:dyDescent="0.25">
      <c r="A17507" s="49" t="s">
        <v>35</v>
      </c>
      <c r="B17507" s="219" t="s">
        <v>36</v>
      </c>
      <c r="C17507" s="219"/>
      <c r="D17507" s="49" t="s">
        <v>37</v>
      </c>
      <c r="E17507" s="49" t="s">
        <v>38</v>
      </c>
      <c r="F17507" s="49" t="s">
        <v>39</v>
      </c>
      <c r="G17507" s="49" t="s">
        <v>40</v>
      </c>
    </row>
    <row r="17508" spans="1:7" x14ac:dyDescent="0.25">
      <c r="A17508" s="50" t="s">
        <v>71</v>
      </c>
      <c r="B17508" s="71" t="str">
        <f>VLOOKUP(A17508,'[1]Componentes APUs'!$A$1:$D$14,2,0)</f>
        <v>Camisa indigo sin partes metalicas</v>
      </c>
      <c r="C17508" s="71"/>
      <c r="D17508" s="50" t="str">
        <f>VLOOKUP(A17508,'[1]Componentes APUs'!$A$1:$D$14,3,0)</f>
        <v>U</v>
      </c>
      <c r="E17508" s="50">
        <f>SUM(C17488:C17493)</f>
        <v>3.75</v>
      </c>
      <c r="F17508" s="51">
        <f>VLOOKUP(A17508,'[1]Componentes APUs'!$A$1:$D$14,4,0)</f>
        <v>8585.8585858585866</v>
      </c>
      <c r="G17508" s="51">
        <f>ROUNDUP(F17508*(E17508/21)/E17473,0)</f>
        <v>256</v>
      </c>
    </row>
    <row r="17509" spans="1:7" x14ac:dyDescent="0.25">
      <c r="A17509" s="69" t="s">
        <v>73</v>
      </c>
      <c r="B17509" s="72" t="str">
        <f>VLOOKUP(A17509,'[1]Componentes APUs'!$A$1:$D$14,2,0)</f>
        <v>Bota de seguridad dielectrica</v>
      </c>
      <c r="C17509" s="73"/>
      <c r="D17509" s="70" t="str">
        <f>VLOOKUP(A17509,'[1]Componentes APUs'!$A$1:$D$14,3,0)</f>
        <v>Par</v>
      </c>
      <c r="E17509" s="50">
        <f>SUM(C17488:C17493)</f>
        <v>3.75</v>
      </c>
      <c r="F17509" s="51">
        <f>VLOOKUP(A17509,'[1]Componentes APUs'!$A$1:$D$14,4,0)</f>
        <v>7500</v>
      </c>
      <c r="G17509" s="51">
        <f>ROUNDUP(F17509*(E17509/21)/E17473,0)</f>
        <v>224</v>
      </c>
    </row>
    <row r="17510" spans="1:7" x14ac:dyDescent="0.25">
      <c r="A17510" s="50" t="s">
        <v>76</v>
      </c>
      <c r="B17510" s="72" t="str">
        <f>VLOOKUP(A17510,'[1]Componentes APUs'!$A$1:$D$14,2,0)</f>
        <v>Casco dielectrico Tipo 1 Clase E con barbuquejo</v>
      </c>
      <c r="C17510" s="73"/>
      <c r="D17510" s="50" t="str">
        <f>VLOOKUP(A17510,'[1]Componentes APUs'!$A$1:$D$14,3,0)</f>
        <v>U</v>
      </c>
      <c r="E17510" s="50">
        <f>C17493+C17488+C17491+C17492+C17489+IF(A17490&lt;&gt;"MO-3",C17490,0)</f>
        <v>2.75</v>
      </c>
      <c r="F17510" s="51">
        <f>VLOOKUP(A17510,'[1]Componentes APUs'!$A$1:$D$14,4,0)</f>
        <v>10101.010101010101</v>
      </c>
      <c r="G17510" s="51">
        <f>ROUNDUP(F17510*(E17510/21)/E17473,0)</f>
        <v>221</v>
      </c>
    </row>
    <row r="17511" spans="1:7" x14ac:dyDescent="0.25">
      <c r="A17511" s="69" t="s">
        <v>77</v>
      </c>
      <c r="B17511" s="72" t="str">
        <f>VLOOKUP(A17511,'[1]Componentes APUs'!$A$1:$D$14,2,0)</f>
        <v>Correa plastica y antiflama</v>
      </c>
      <c r="C17511" s="73"/>
      <c r="D17511" s="50" t="str">
        <f>VLOOKUP(A17511,'[1]Componentes APUs'!$A$1:$D$14,3,0)</f>
        <v>U</v>
      </c>
      <c r="E17511" s="50">
        <f>SUM(C17488:C17493)</f>
        <v>3.75</v>
      </c>
      <c r="F17511" s="51">
        <f>VLOOKUP(A17511,'[1]Componentes APUs'!$A$1:$D$14,4,0)</f>
        <v>3787.878787878788</v>
      </c>
      <c r="G17511" s="51">
        <f>ROUNDUP(F17511*(E17511/21)/E17473,0)</f>
        <v>113</v>
      </c>
    </row>
    <row r="17512" spans="1:7" x14ac:dyDescent="0.25">
      <c r="A17512" s="50" t="s">
        <v>79</v>
      </c>
      <c r="B17512" s="72" t="str">
        <f>VLOOKUP(A17512,'[1]Componentes APUs'!$A$1:$D$14,2,0)</f>
        <v>Gafas protectoras filtro UV</v>
      </c>
      <c r="C17512" s="73"/>
      <c r="D17512" s="50" t="str">
        <f>VLOOKUP(A17512,'[1]Componentes APUs'!$A$1:$D$14,3,0)</f>
        <v>U</v>
      </c>
      <c r="E17512" s="50">
        <f>SUM(C17488:C17493)</f>
        <v>3.75</v>
      </c>
      <c r="F17512" s="51">
        <f>VLOOKUP(A17512,'[1]Componentes APUs'!$A$1:$D$14,4,0)</f>
        <v>2777.7777777777778</v>
      </c>
      <c r="G17512" s="51">
        <f>ROUNDUP(F17512*(E17512/21)/E17473,0)</f>
        <v>83</v>
      </c>
    </row>
    <row r="17513" spans="1:7" x14ac:dyDescent="0.25">
      <c r="A17513" s="69" t="s">
        <v>402</v>
      </c>
      <c r="B17513" s="72" t="str">
        <f>VLOOKUP(A17513,'[1]Componentes APUs'!$A$1:$D$14,2,0)</f>
        <v>Bota de seguridad PVC dielectrica</v>
      </c>
      <c r="C17513" s="73"/>
      <c r="D17513" s="50" t="str">
        <f>VLOOKUP(A17513,'[1]Componentes APUs'!$A$1:$D$14,3,0)</f>
        <v>Par</v>
      </c>
      <c r="E17513" s="50">
        <f>SUM(C17488:C17493)</f>
        <v>3.75</v>
      </c>
      <c r="F17513" s="51">
        <f>VLOOKUP(A17513,'[1]Componentes APUs'!$A$1:$D$14,4,0)</f>
        <v>2916.6666666666665</v>
      </c>
      <c r="G17513" s="51">
        <f>ROUNDUP(F17513*(E17513/21)/E17473,0)</f>
        <v>87</v>
      </c>
    </row>
    <row r="17514" spans="1:7" x14ac:dyDescent="0.25">
      <c r="A17514" s="50" t="s">
        <v>403</v>
      </c>
      <c r="B17514" s="72" t="str">
        <f>VLOOKUP(A17514,'[1]Componentes APUs'!$A$1:$D$14,2,0)</f>
        <v>Capuchon</v>
      </c>
      <c r="C17514" s="73"/>
      <c r="D17514" s="50" t="str">
        <f>VLOOKUP(A17514,'[1]Componentes APUs'!$A$1:$D$14,3,0)</f>
        <v>U</v>
      </c>
      <c r="E17514" s="50">
        <f>SUM(C17488:C17493)</f>
        <v>3.75</v>
      </c>
      <c r="F17514" s="51">
        <f>VLOOKUP(A17514,'[1]Componentes APUs'!$A$1:$D$14,4,0)</f>
        <v>2525.2525252525252</v>
      </c>
      <c r="G17514" s="51">
        <f>ROUNDUP(F17514*(E17514/21)/E17473,0)</f>
        <v>76</v>
      </c>
    </row>
    <row r="17515" spans="1:7" x14ac:dyDescent="0.25">
      <c r="A17515" s="69" t="s">
        <v>81</v>
      </c>
      <c r="B17515" s="72" t="str">
        <f>VLOOKUP(A17515,'[1]Componentes APUs'!$A$1:$D$14,2,0)</f>
        <v>Guantes Protectores  - ingeniero reforzados</v>
      </c>
      <c r="C17515" s="73"/>
      <c r="D17515" s="50" t="str">
        <f>VLOOKUP(A17515,'[1]Componentes APUs'!$A$1:$D$14,3,0)</f>
        <v>Par</v>
      </c>
      <c r="E17515" s="50">
        <f>C17490+C17491+C17493</f>
        <v>3</v>
      </c>
      <c r="F17515" s="51">
        <f>VLOOKUP(A17515,'[1]Componentes APUs'!$A$1:$D$14,4,0)</f>
        <v>2525.2525252525252</v>
      </c>
      <c r="G17515" s="51">
        <f>ROUNDUP(F17515*(E17515/21)/E17473,0)</f>
        <v>61</v>
      </c>
    </row>
    <row r="17516" spans="1:7" x14ac:dyDescent="0.25">
      <c r="A17516" s="50" t="s">
        <v>83</v>
      </c>
      <c r="B17516" s="72" t="str">
        <f>VLOOKUP(A17516,'[1]Componentes APUs'!$A$1:$D$14,2,0)</f>
        <v>Impermeable (pantalon camisa)</v>
      </c>
      <c r="C17516" s="73"/>
      <c r="D17516" s="50" t="str">
        <f>VLOOKUP(A17516,'[1]Componentes APUs'!$A$1:$D$14,3,0)</f>
        <v>U</v>
      </c>
      <c r="E17516" s="50">
        <f>SUM(C17488:C17493)</f>
        <v>3.75</v>
      </c>
      <c r="F17516" s="51">
        <f>VLOOKUP(A17516,'[1]Componentes APUs'!$A$1:$D$14,4,0)</f>
        <v>3750</v>
      </c>
      <c r="G17516" s="51">
        <f>ROUNDUP(F17516*(E17516/21)/E17473,0)</f>
        <v>112</v>
      </c>
    </row>
    <row r="17517" spans="1:7" x14ac:dyDescent="0.25">
      <c r="A17517" s="69" t="s">
        <v>85</v>
      </c>
      <c r="B17517" s="72" t="str">
        <f>VLOOKUP(A17517,'[1]Componentes APUs'!$A$1:$D$14,2,0)</f>
        <v>Jean Dielectrico</v>
      </c>
      <c r="C17517" s="73"/>
      <c r="D17517" s="50" t="str">
        <f>VLOOKUP(A17517,'[1]Componentes APUs'!$A$1:$D$14,3,0)</f>
        <v>U</v>
      </c>
      <c r="E17517" s="50">
        <f>SUM(C17488:C17493)</f>
        <v>3.75</v>
      </c>
      <c r="F17517" s="51">
        <f>VLOOKUP(A17517,'[1]Componentes APUs'!$A$1:$D$14,4,0)</f>
        <v>7575.757575757576</v>
      </c>
      <c r="G17517" s="51">
        <f>ROUNDUP(F17517*(E17517/21)/E17473,0)</f>
        <v>226</v>
      </c>
    </row>
    <row r="17518" spans="1:7" x14ac:dyDescent="0.25">
      <c r="A17518" s="50" t="s">
        <v>87</v>
      </c>
      <c r="B17518" s="72" t="str">
        <f>VLOOKUP(A17518,'[1]Componentes APUs'!$A$1:$D$14,2,0)</f>
        <v>Casco dielectrico Tipo 2 Clase E con barboquejo</v>
      </c>
      <c r="C17518" s="73"/>
      <c r="D17518" s="50" t="str">
        <f>VLOOKUP(A17518,'[1]Componentes APUs'!$A$1:$D$14,3,0)</f>
        <v>U</v>
      </c>
      <c r="E17518" s="53">
        <f>IF(A17490="MO-3",C17490,0)</f>
        <v>1</v>
      </c>
      <c r="F17518" s="51">
        <f>VLOOKUP(A17518,'[1]Componentes APUs'!$A$1:$D$14,4,0)</f>
        <v>7500</v>
      </c>
      <c r="G17518" s="51">
        <f>ROUNDUP(F17518*(E17518/21)/E17473,0)</f>
        <v>60</v>
      </c>
    </row>
    <row r="17519" spans="1:7" x14ac:dyDescent="0.25">
      <c r="A17519" s="69" t="s">
        <v>89</v>
      </c>
      <c r="B17519" s="72" t="str">
        <f>VLOOKUP(A17519,'[1]Componentes APUs'!$A$1:$D$14,2,0)</f>
        <v>Kit de rescate para trabajo en alturas</v>
      </c>
      <c r="C17519" s="73"/>
      <c r="D17519" s="50" t="str">
        <f>VLOOKUP(A17519,'[1]Componentes APUs'!$A$1:$D$14,3,0)</f>
        <v>U</v>
      </c>
      <c r="E17519" s="50">
        <f>IF(AND(A17490="MO-3",C17490=2),1,0)</f>
        <v>0</v>
      </c>
      <c r="F17519" s="51">
        <f>VLOOKUP(A17519,'[1]Componentes APUs'!$A$1:$D$14,4,0)</f>
        <v>37500</v>
      </c>
      <c r="G17519" s="51">
        <f>ROUNDUP(F17519*(E17519/21)/E17473,0)</f>
        <v>0</v>
      </c>
    </row>
    <row r="17520" spans="1:7" x14ac:dyDescent="0.25">
      <c r="A17520" s="50" t="s">
        <v>91</v>
      </c>
      <c r="B17520" s="72" t="str">
        <f>VLOOKUP(A17520,'[1]Componentes APUs'!$A$1:$D$14,2,0)</f>
        <v>Equipo completo para trabajo en alturas con pretales (Arnes dielectrico, 1 mosqueton de seguridad, tie off dielectrico, eslinga de posicionamiento, juego de pretales)</v>
      </c>
      <c r="C17520" s="73"/>
      <c r="D17520" s="50" t="str">
        <f>VLOOKUP(A17520,'[1]Componentes APUs'!$A$1:$D$14,3,0)</f>
        <v>U</v>
      </c>
      <c r="E17520" s="50">
        <f>IF(A17490="MO-3",C17490,0)</f>
        <v>1</v>
      </c>
      <c r="F17520" s="51">
        <f>VLOOKUP(A17520,'[1]Componentes APUs'!$A$1:$D$14,4,0)</f>
        <v>26041.666666666668</v>
      </c>
      <c r="G17520" s="51">
        <f>ROUNDUP(F17520*(E17520/21)/E17473,0)</f>
        <v>207</v>
      </c>
    </row>
    <row r="17521" spans="1:7" x14ac:dyDescent="0.25">
      <c r="A17521" s="219" t="s">
        <v>95</v>
      </c>
      <c r="B17521" s="219"/>
      <c r="C17521" s="219"/>
      <c r="D17521" s="219"/>
      <c r="E17521" s="219"/>
      <c r="F17521" s="219"/>
      <c r="G17521" s="52">
        <f>SUM(G17508:G17520)</f>
        <v>1726</v>
      </c>
    </row>
    <row r="17522" spans="1:7" x14ac:dyDescent="0.25">
      <c r="A17522" s="56"/>
      <c r="B17522" s="57"/>
      <c r="C17522" s="57"/>
      <c r="D17522" s="57"/>
      <c r="E17522" s="57"/>
      <c r="F17522" s="57"/>
      <c r="G17522" s="58"/>
    </row>
    <row r="17523" spans="1:7" x14ac:dyDescent="0.25">
      <c r="A17523" s="219" t="s">
        <v>96</v>
      </c>
      <c r="B17523" s="219"/>
      <c r="C17523" s="219"/>
      <c r="D17523" s="219"/>
      <c r="E17523" s="219"/>
      <c r="F17523" s="219"/>
      <c r="G17523" s="219"/>
    </row>
    <row r="17524" spans="1:7" x14ac:dyDescent="0.25">
      <c r="A17524" s="49" t="s">
        <v>35</v>
      </c>
      <c r="B17524" s="225" t="s">
        <v>36</v>
      </c>
      <c r="C17524" s="225"/>
      <c r="D17524" s="49" t="s">
        <v>37</v>
      </c>
      <c r="E17524" s="49" t="s">
        <v>38</v>
      </c>
      <c r="F17524" s="49" t="s">
        <v>39</v>
      </c>
      <c r="G17524" s="49" t="s">
        <v>40</v>
      </c>
    </row>
    <row r="17525" spans="1:7" x14ac:dyDescent="0.25">
      <c r="A17525" s="69" t="s">
        <v>97</v>
      </c>
      <c r="B17525" s="72" t="str">
        <f>VLOOKUP(A17525,'[1]Componentes APUs'!$N$1:$Q$30,2,0)</f>
        <v>Camioneta</v>
      </c>
      <c r="C17525" s="73"/>
      <c r="D17525" s="70" t="str">
        <f>VLOOKUP(A17525,'[1]Componentes APUs'!$N$1:$Q$30,3,0)</f>
        <v>U</v>
      </c>
      <c r="E17525" s="50">
        <v>1</v>
      </c>
      <c r="F17525" s="51">
        <f>VLOOKUP(A17525,'[1]Componentes APUs'!$N$1:$Q$30,4,0)</f>
        <v>5500000</v>
      </c>
      <c r="G17525" s="51">
        <f>IFERROR(ROUNDUP(F17525*(E17525/21)/E17473,0),0)</f>
        <v>43651</v>
      </c>
    </row>
    <row r="17526" spans="1:7" x14ac:dyDescent="0.25">
      <c r="A17526" s="50" t="s">
        <v>321</v>
      </c>
      <c r="B17526" s="72" t="str">
        <f>VLOOKUP(A17526,'[1]Componentes APUs'!$N$1:$Q$30,2,0)</f>
        <v>Grúa Hidráulica</v>
      </c>
      <c r="C17526" s="73"/>
      <c r="D17526" s="70" t="str">
        <f>VLOOKUP(A17526,'[1]Componentes APUs'!$N$1:$Q$30,3,0)</f>
        <v>U</v>
      </c>
      <c r="E17526" s="50">
        <v>0</v>
      </c>
      <c r="F17526" s="51">
        <f>VLOOKUP(A17526,'[1]Componentes APUs'!$N$1:$Q$30,4,0)</f>
        <v>21000000</v>
      </c>
      <c r="G17526" s="51">
        <f>IFERROR(ROUNDUP(F17526*(E17526/21)/E17473,0),0)</f>
        <v>0</v>
      </c>
    </row>
    <row r="17527" spans="1:7" x14ac:dyDescent="0.25">
      <c r="A17527" s="69" t="s">
        <v>322</v>
      </c>
      <c r="B17527" s="72" t="str">
        <f>VLOOKUP(A17527,'[1]Componentes APUs'!$N$1:$Q$30,2,0)</f>
        <v>Camabaja</v>
      </c>
      <c r="C17527" s="73"/>
      <c r="D17527" s="70" t="str">
        <f>VLOOKUP(A17527,'[1]Componentes APUs'!$N$1:$Q$30,3,0)</f>
        <v>TON/KM</v>
      </c>
      <c r="E17527" s="50">
        <v>0</v>
      </c>
      <c r="F17527" s="51">
        <f>VLOOKUP(A17527,'[1]Componentes APUs'!$N$1:$Q$30,4,0)</f>
        <v>611</v>
      </c>
      <c r="G17527" s="51">
        <f>IFERROR(ROUNDUP(F17527*(E17527/21)/E17473,0),0)</f>
        <v>0</v>
      </c>
    </row>
    <row r="17528" spans="1:7" x14ac:dyDescent="0.25">
      <c r="A17528" s="50" t="s">
        <v>323</v>
      </c>
      <c r="B17528" s="72" t="str">
        <f>VLOOKUP(A17528,'[1]Componentes APUs'!$N$1:$Q$30,2,0)</f>
        <v>Volqueta</v>
      </c>
      <c r="C17528" s="73"/>
      <c r="D17528" s="70" t="str">
        <f>VLOOKUP(A17528,'[1]Componentes APUs'!$N$1:$Q$30,3,0)</f>
        <v>U</v>
      </c>
      <c r="E17528" s="50">
        <v>0</v>
      </c>
      <c r="F17528" s="51">
        <f>VLOOKUP(A17528,'[1]Componentes APUs'!$N$1:$Q$30,4,0)</f>
        <v>18900000</v>
      </c>
      <c r="G17528" s="51">
        <f>IFERROR(ROUNDUP(F17528*(E17528/21)/E17473,0),0)</f>
        <v>0</v>
      </c>
    </row>
    <row r="17529" spans="1:7" x14ac:dyDescent="0.25">
      <c r="A17529" s="69" t="s">
        <v>324</v>
      </c>
      <c r="B17529" s="72" t="str">
        <f>VLOOKUP(A17529,'[1]Componentes APUs'!$N$1:$Q$30,2,0)</f>
        <v>Retroexcavadora</v>
      </c>
      <c r="C17529" s="73"/>
      <c r="D17529" s="70" t="str">
        <f>VLOOKUP(A17529,'[1]Componentes APUs'!$N$1:$Q$30,3,0)</f>
        <v>U</v>
      </c>
      <c r="E17529" s="50">
        <v>0</v>
      </c>
      <c r="F17529" s="51">
        <f>VLOOKUP(A17529,'[1]Componentes APUs'!$N$1:$Q$30,4,0)</f>
        <v>1494459.54</v>
      </c>
      <c r="G17529" s="51">
        <f>IFERROR(ROUNDUP(F17529*(E17529/21)/E17473,0),0)</f>
        <v>0</v>
      </c>
    </row>
    <row r="17530" spans="1:7" x14ac:dyDescent="0.25">
      <c r="A17530" s="219" t="s">
        <v>99</v>
      </c>
      <c r="B17530" s="219"/>
      <c r="C17530" s="219"/>
      <c r="D17530" s="219"/>
      <c r="E17530" s="219"/>
      <c r="F17530" s="219"/>
      <c r="G17530" s="52">
        <f>SUM(G17525:G17529)</f>
        <v>43651</v>
      </c>
    </row>
    <row r="17531" spans="1:7" x14ac:dyDescent="0.25">
      <c r="A17531" s="56"/>
      <c r="B17531" s="57"/>
      <c r="C17531" s="57"/>
      <c r="D17531" s="57"/>
      <c r="E17531" s="57"/>
      <c r="F17531" s="57"/>
      <c r="G17531" s="58"/>
    </row>
    <row r="17532" spans="1:7" x14ac:dyDescent="0.25">
      <c r="A17532" s="219" t="s">
        <v>1516</v>
      </c>
      <c r="B17532" s="219"/>
      <c r="C17532" s="219"/>
      <c r="D17532" s="219"/>
      <c r="E17532" s="219"/>
      <c r="F17532" s="219"/>
      <c r="G17532" s="52">
        <f>G17530+G17521+G17504+G17494+G17484</f>
        <v>2170531</v>
      </c>
    </row>
    <row r="17533" spans="1:7" x14ac:dyDescent="0.25">
      <c r="A17533" s="59"/>
      <c r="B17533" s="60"/>
      <c r="C17533" s="60"/>
      <c r="D17533" s="60"/>
      <c r="E17533" s="57"/>
      <c r="F17533" s="57"/>
      <c r="G17533" s="58"/>
    </row>
    <row r="17534" spans="1:7" x14ac:dyDescent="0.25">
      <c r="A17534" s="64"/>
      <c r="D17534" s="55"/>
      <c r="E17534" s="49" t="s">
        <v>25</v>
      </c>
      <c r="F17534" s="54">
        <v>0.15</v>
      </c>
      <c r="G17534" s="51">
        <f>G17532*F17534</f>
        <v>325579.64999999997</v>
      </c>
    </row>
    <row r="17535" spans="1:7" x14ac:dyDescent="0.25">
      <c r="A17535" s="64"/>
      <c r="D17535" s="55"/>
      <c r="E17535" s="49" t="s">
        <v>26</v>
      </c>
      <c r="F17535" s="54">
        <v>0.05</v>
      </c>
      <c r="G17535" s="51">
        <f>G17532*F17535</f>
        <v>108526.55</v>
      </c>
    </row>
    <row r="17536" spans="1:7" x14ac:dyDescent="0.25">
      <c r="A17536" s="61"/>
      <c r="B17536" s="65"/>
      <c r="C17536" s="65"/>
      <c r="D17536" s="62"/>
      <c r="E17536" s="49" t="s">
        <v>27</v>
      </c>
      <c r="F17536" s="54">
        <v>0.05</v>
      </c>
      <c r="G17536" s="51">
        <f>G17532*F17536</f>
        <v>108526.55</v>
      </c>
    </row>
    <row r="17537" spans="1:9" x14ac:dyDescent="0.25">
      <c r="A17537" s="61"/>
      <c r="B17537" s="62"/>
      <c r="C17537" s="62"/>
      <c r="D17537" s="62"/>
      <c r="E17537" s="62"/>
      <c r="F17537" s="62"/>
      <c r="G17537" s="63"/>
    </row>
    <row r="17538" spans="1:9" x14ac:dyDescent="0.25">
      <c r="A17538" s="219" t="s">
        <v>1517</v>
      </c>
      <c r="B17538" s="219"/>
      <c r="C17538" s="219"/>
      <c r="D17538" s="219"/>
      <c r="E17538" s="219"/>
      <c r="F17538" s="219"/>
      <c r="G17538" s="52">
        <f>G17532+G17534+G17535+G17536</f>
        <v>2713163.7499999995</v>
      </c>
    </row>
    <row r="17539" spans="1:9" x14ac:dyDescent="0.25">
      <c r="A17539" s="59"/>
      <c r="B17539" s="60"/>
      <c r="C17539" s="60"/>
      <c r="D17539" s="60"/>
      <c r="E17539" s="57"/>
      <c r="F17539" s="57"/>
      <c r="G17539" s="58"/>
    </row>
    <row r="17540" spans="1:9" x14ac:dyDescent="0.25">
      <c r="A17540" s="64"/>
      <c r="D17540" s="55"/>
      <c r="E17540" s="49" t="s">
        <v>102</v>
      </c>
      <c r="F17540" s="49" t="s">
        <v>103</v>
      </c>
      <c r="G17540" s="51">
        <f>G17536*19%</f>
        <v>20620.0445</v>
      </c>
    </row>
    <row r="17541" spans="1:9" x14ac:dyDescent="0.25">
      <c r="A17541" s="61"/>
      <c r="B17541" s="62"/>
      <c r="C17541" s="62"/>
      <c r="D17541" s="62"/>
      <c r="E17541" s="57"/>
      <c r="F17541" s="57"/>
      <c r="G17541" s="58"/>
    </row>
    <row r="17542" spans="1:9" x14ac:dyDescent="0.25">
      <c r="A17542" s="219" t="s">
        <v>104</v>
      </c>
      <c r="B17542" s="219"/>
      <c r="C17542" s="219"/>
      <c r="D17542" s="219"/>
      <c r="E17542" s="219"/>
      <c r="F17542" s="219"/>
      <c r="G17542" s="52">
        <f>G17540+G17538</f>
        <v>2733783.7944999994</v>
      </c>
    </row>
    <row r="17544" spans="1:9" x14ac:dyDescent="0.25">
      <c r="A17544" s="74" t="s">
        <v>29</v>
      </c>
      <c r="B17544" s="226" t="s">
        <v>30</v>
      </c>
      <c r="C17544" s="226"/>
      <c r="D17544" s="74" t="s">
        <v>31</v>
      </c>
      <c r="E17544" s="74" t="s">
        <v>32</v>
      </c>
      <c r="F17544" s="74" t="s">
        <v>189</v>
      </c>
      <c r="G17544" s="74" t="s">
        <v>33</v>
      </c>
    </row>
    <row r="17545" spans="1:9" ht="28.5" customHeight="1" x14ac:dyDescent="0.25">
      <c r="A17545" s="50" t="str">
        <f>Presupuesto!B343</f>
        <v>016_AUX</v>
      </c>
      <c r="B17545" s="220" t="str">
        <f>Presupuesto!C343</f>
        <v>KIT DE VENTILACIÓN FORZADA</v>
      </c>
      <c r="C17545" s="220"/>
      <c r="D17545" s="50" t="s">
        <v>108</v>
      </c>
      <c r="E17545" s="50">
        <v>1</v>
      </c>
      <c r="F17545" s="50"/>
      <c r="G17545" s="51">
        <f>G17611</f>
        <v>2113587.102</v>
      </c>
    </row>
    <row r="17546" spans="1:9" x14ac:dyDescent="0.25">
      <c r="A17546" s="219">
        <v>5</v>
      </c>
      <c r="B17546" s="219"/>
      <c r="C17546" s="219"/>
      <c r="D17546" s="219"/>
      <c r="E17546" s="219"/>
      <c r="F17546" s="219"/>
      <c r="G17546" s="219"/>
    </row>
    <row r="17547" spans="1:9" x14ac:dyDescent="0.25">
      <c r="A17547" s="49" t="s">
        <v>35</v>
      </c>
      <c r="B17547" s="219" t="s">
        <v>36</v>
      </c>
      <c r="C17547" s="219"/>
      <c r="D17547" s="49" t="s">
        <v>37</v>
      </c>
      <c r="E17547" s="49" t="s">
        <v>38</v>
      </c>
      <c r="F17547" s="49" t="s">
        <v>39</v>
      </c>
      <c r="G17547" s="49" t="s">
        <v>40</v>
      </c>
    </row>
    <row r="17548" spans="1:9" ht="27" customHeight="1" x14ac:dyDescent="0.25">
      <c r="A17548" s="17" t="str">
        <f>Material!A121</f>
        <v>MA-120</v>
      </c>
      <c r="B17548" s="221" t="str">
        <f>IFERROR(VLOOKUP(A17548,Material!$A:$J,2,0),"-")</f>
        <v>KIT DE VENTILACIÓN FORZADA IP54. 105X105MM. CAUDAL IP54: 23M/H³. 230 V~ / 10W. RUIDO 50 DB</v>
      </c>
      <c r="C17548" s="222"/>
      <c r="D17548" s="50" t="str">
        <f>IFERROR(VLOOKUP(A17548,Material!$A:$J,4,0),"-")</f>
        <v>UN</v>
      </c>
      <c r="E17548" s="50">
        <v>1</v>
      </c>
      <c r="F17548" s="51">
        <f>IFERROR(VLOOKUP(A17548,Material!$A:$J,3,0),"-")</f>
        <v>729505.96464997053</v>
      </c>
      <c r="G17548" s="51">
        <f t="shared" ref="G17548:G17552" si="245">IFERROR(ROUNDUP(F17548*E17548,0),"-")</f>
        <v>729506</v>
      </c>
    </row>
    <row r="17549" spans="1:9" x14ac:dyDescent="0.25">
      <c r="A17549" s="17"/>
      <c r="B17549" s="72" t="str">
        <f>IFERROR(VLOOKUP(A17549,Material!$A:$J,2,0),"-")</f>
        <v>-</v>
      </c>
      <c r="C17549" s="76"/>
      <c r="D17549" s="50" t="str">
        <f>IFERROR(VLOOKUP(A17549,Material!$A:$J,4,0),"-")</f>
        <v>-</v>
      </c>
      <c r="E17549" s="50"/>
      <c r="F17549" s="51" t="str">
        <f>IFERROR(VLOOKUP(A17549,Material!$A:$J,3,0),"-")</f>
        <v>-</v>
      </c>
      <c r="G17549" s="51" t="str">
        <f t="shared" si="245"/>
        <v>-</v>
      </c>
    </row>
    <row r="17550" spans="1:9" x14ac:dyDescent="0.25">
      <c r="A17550" s="17"/>
      <c r="B17550" s="72" t="str">
        <f>IFERROR(VLOOKUP(A17550,Material!$A:$J,2,0),"-")</f>
        <v>-</v>
      </c>
      <c r="C17550" s="76"/>
      <c r="D17550" s="50" t="str">
        <f>IFERROR(VLOOKUP(A17550,Material!$A:$J,4,0),"-")</f>
        <v>-</v>
      </c>
      <c r="E17550" s="50"/>
      <c r="F17550" s="51" t="str">
        <f>IFERROR(VLOOKUP(A17550,Material!$A:$J,3,0),"-")</f>
        <v>-</v>
      </c>
      <c r="G17550" s="51" t="str">
        <f t="shared" si="245"/>
        <v>-</v>
      </c>
    </row>
    <row r="17551" spans="1:9" x14ac:dyDescent="0.25">
      <c r="A17551" s="17"/>
      <c r="B17551" s="72" t="str">
        <f>IFERROR(VLOOKUP(A17551,Material!$A:$J,2,0),"-")</f>
        <v>-</v>
      </c>
      <c r="C17551" s="76"/>
      <c r="D17551" s="50" t="str">
        <f>IFERROR(VLOOKUP(A17551,Material!$A:$J,4,0),"-")</f>
        <v>-</v>
      </c>
      <c r="E17551" s="50"/>
      <c r="F17551" s="51" t="str">
        <f>IFERROR(VLOOKUP(A17551,Material!$A:$J,3,0),"-")</f>
        <v>-</v>
      </c>
      <c r="G17551" s="51" t="str">
        <f t="shared" si="245"/>
        <v>-</v>
      </c>
      <c r="I17551" s="2"/>
    </row>
    <row r="17552" spans="1:9" x14ac:dyDescent="0.25">
      <c r="A17552" s="17"/>
      <c r="B17552" s="72" t="str">
        <f>IFERROR(VLOOKUP(A17552,Material!$A:$J,2,0),"-")</f>
        <v>-</v>
      </c>
      <c r="C17552" s="76"/>
      <c r="D17552" s="50" t="str">
        <f>IFERROR(VLOOKUP(A17552,Material!$A:$J,4,0),"-")</f>
        <v>-</v>
      </c>
      <c r="E17552" s="50"/>
      <c r="F17552" s="51" t="str">
        <f>IFERROR(VLOOKUP(A17552,Material!$A:$J,3,0),"-")</f>
        <v>-</v>
      </c>
      <c r="G17552" s="51" t="str">
        <f t="shared" si="245"/>
        <v>-</v>
      </c>
    </row>
    <row r="17553" spans="1:7" x14ac:dyDescent="0.25">
      <c r="A17553" s="219" t="s">
        <v>41</v>
      </c>
      <c r="B17553" s="219"/>
      <c r="C17553" s="219"/>
      <c r="D17553" s="219"/>
      <c r="E17553" s="219"/>
      <c r="F17553" s="219"/>
      <c r="G17553" s="52">
        <f>SUM(G17548:G17552)</f>
        <v>729506</v>
      </c>
    </row>
    <row r="17554" spans="1:7" x14ac:dyDescent="0.25">
      <c r="A17554" s="56"/>
      <c r="B17554" s="57"/>
      <c r="C17554" s="57"/>
      <c r="D17554" s="57"/>
      <c r="E17554" s="57"/>
      <c r="F17554" s="57"/>
      <c r="G17554" s="58"/>
    </row>
    <row r="17555" spans="1:7" x14ac:dyDescent="0.25">
      <c r="A17555" s="219" t="s">
        <v>42</v>
      </c>
      <c r="B17555" s="219"/>
      <c r="C17555" s="219"/>
      <c r="D17555" s="219"/>
      <c r="E17555" s="219"/>
      <c r="F17555" s="219"/>
      <c r="G17555" s="219"/>
    </row>
    <row r="17556" spans="1:7" x14ac:dyDescent="0.25">
      <c r="A17556" s="49" t="s">
        <v>35</v>
      </c>
      <c r="B17556" s="49" t="s">
        <v>36</v>
      </c>
      <c r="C17556" s="49" t="s">
        <v>38</v>
      </c>
      <c r="D17556" s="49" t="s">
        <v>43</v>
      </c>
      <c r="E17556" s="49" t="s">
        <v>44</v>
      </c>
      <c r="F17556" s="49" t="s">
        <v>45</v>
      </c>
      <c r="G17556" s="49" t="s">
        <v>40</v>
      </c>
    </row>
    <row r="17557" spans="1:7" x14ac:dyDescent="0.25">
      <c r="A17557" s="50" t="s">
        <v>319</v>
      </c>
      <c r="B17557" s="68" t="str">
        <f>VLOOKUP(A17557,'[1]Componentes APUs'!$H$1:$L$25,2,0)</f>
        <v>Ingeniero Residente de Obra</v>
      </c>
      <c r="C17557" s="93">
        <v>0.25</v>
      </c>
      <c r="D17557" s="50">
        <f>VLOOKUP(A17557,'[1]Componentes APUs'!$H$1:$L$25,3,0)</f>
        <v>4</v>
      </c>
      <c r="E17557" s="51">
        <f>VLOOKUP(A17557,'[1]Componentes APUs'!$H$1:$L$25,4,0)</f>
        <v>271142.85714285716</v>
      </c>
      <c r="F17557" s="51">
        <f>VLOOKUP(A17557,'[1]Componentes APUs'!$H$1:$L$25,5,0)</f>
        <v>162685.71428571429</v>
      </c>
      <c r="G17557" s="51">
        <f>ROUNDUP((E17557+F17557)*C17557/E17545,0)</f>
        <v>108458</v>
      </c>
    </row>
    <row r="17558" spans="1:7" x14ac:dyDescent="0.25">
      <c r="A17558" s="50" t="s">
        <v>320</v>
      </c>
      <c r="B17558" s="68" t="str">
        <f>VLOOKUP(A17558,'[1]Componentes APUs'!$H$1:$L$25,2,0)</f>
        <v>Tecnico Supervisor</v>
      </c>
      <c r="C17558" s="93">
        <v>0.25</v>
      </c>
      <c r="D17558" s="50">
        <f>VLOOKUP(A17558,'[1]Componentes APUs'!$H$1:$L$25,3,0)</f>
        <v>2.2999999999999998</v>
      </c>
      <c r="E17558" s="51">
        <f>VLOOKUP(A17558,'[1]Componentes APUs'!$H$1:$L$25,4,0)</f>
        <v>155907.14285714284</v>
      </c>
      <c r="F17558" s="51">
        <f>VLOOKUP(A17558,'[1]Componentes APUs'!$H$1:$L$25,5,0)</f>
        <v>93544.285714285696</v>
      </c>
      <c r="G17558" s="51">
        <f>ROUNDUP((E17558+F17558)*C17558/E17545,0)</f>
        <v>62363</v>
      </c>
    </row>
    <row r="17559" spans="1:7" x14ac:dyDescent="0.25">
      <c r="A17559" s="50" t="s">
        <v>1160</v>
      </c>
      <c r="B17559" s="68" t="str">
        <f>VLOOKUP(A17559,'[1]Componentes APUs'!$H$1:$L$25,2,0)</f>
        <v>Oficial Eléctrico</v>
      </c>
      <c r="C17559" s="93">
        <v>1</v>
      </c>
      <c r="D17559" s="50">
        <f>VLOOKUP(A17559,'[1]Componentes APUs'!$H$1:$L$25,3,0)</f>
        <v>2</v>
      </c>
      <c r="E17559" s="51">
        <f>VLOOKUP(A17559,'[1]Componentes APUs'!$H$1:$L$25,4,0)</f>
        <v>154619.04761904763</v>
      </c>
      <c r="F17559" s="51">
        <f>VLOOKUP(A17559,'[1]Componentes APUs'!$H$1:$L$25,5,0)</f>
        <v>92771.42857142858</v>
      </c>
      <c r="G17559" s="51">
        <f>ROUNDUP((E17559+F17559)*C17559/E17545,0)</f>
        <v>247391</v>
      </c>
    </row>
    <row r="17560" spans="1:7" x14ac:dyDescent="0.25">
      <c r="A17560" s="50" t="s">
        <v>48</v>
      </c>
      <c r="B17560" s="68" t="str">
        <f>VLOOKUP(A17560,'[1]Componentes APUs'!$H$1:$L$25,2,0)</f>
        <v>Ayudante Calificado</v>
      </c>
      <c r="C17560" s="93">
        <v>1</v>
      </c>
      <c r="D17560" s="50">
        <f>VLOOKUP(A17560,'[1]Componentes APUs'!$H$1:$L$25,3,0)</f>
        <v>1.5</v>
      </c>
      <c r="E17560" s="51">
        <f>VLOOKUP(A17560,'[1]Componentes APUs'!$H$1:$L$25,4,0)</f>
        <v>115964.28571428571</v>
      </c>
      <c r="F17560" s="51">
        <f>VLOOKUP(A17560,'[1]Componentes APUs'!$H$1:$L$25,5,0)</f>
        <v>69578.57142857142</v>
      </c>
      <c r="G17560" s="51">
        <f>ROUNDUP((E17560+F17560)*C17560/E17545,0)</f>
        <v>185543</v>
      </c>
    </row>
    <row r="17561" spans="1:7" x14ac:dyDescent="0.25">
      <c r="A17561" s="50" t="s">
        <v>50</v>
      </c>
      <c r="B17561" s="68" t="str">
        <f>VLOOKUP(A17561,'[1]Componentes APUs'!$H$1:$L$25,2,0)</f>
        <v>Profesional en SST</v>
      </c>
      <c r="C17561" s="93">
        <v>0.25</v>
      </c>
      <c r="D17561" s="50">
        <f>VLOOKUP(A17561,'[1]Componentes APUs'!$H$1:$L$25,3,0)</f>
        <v>2.5</v>
      </c>
      <c r="E17561" s="51">
        <f>VLOOKUP(A17561,'[1]Componentes APUs'!$H$1:$L$25,4,0)</f>
        <v>169464.28571428571</v>
      </c>
      <c r="F17561" s="51">
        <f>VLOOKUP(A17561,'[1]Componentes APUs'!$H$1:$L$25,5,0)</f>
        <v>101678.57142857142</v>
      </c>
      <c r="G17561" s="51">
        <f>ROUNDUP((E17561+F17561)*C17561/E17545,0)</f>
        <v>67786</v>
      </c>
    </row>
    <row r="17562" spans="1:7" x14ac:dyDescent="0.25">
      <c r="A17562" s="50" t="s">
        <v>52</v>
      </c>
      <c r="B17562" s="68" t="str">
        <f>VLOOKUP(A17562,'[1]Componentes APUs'!$H$1:$L$25,2,0)</f>
        <v>Ayudante No Calificado</v>
      </c>
      <c r="C17562" s="93">
        <v>0</v>
      </c>
      <c r="D17562" s="50">
        <f>VLOOKUP(A17562,'[1]Componentes APUs'!$H$1:$L$25,3,0)</f>
        <v>1</v>
      </c>
      <c r="E17562" s="51">
        <f>VLOOKUP(A17562,'[1]Componentes APUs'!$H$1:$L$25,4,0)</f>
        <v>77309.523809523816</v>
      </c>
      <c r="F17562" s="51">
        <f>VLOOKUP(A17562,'[1]Componentes APUs'!$H$1:$L$25,5,0)</f>
        <v>46385.71428571429</v>
      </c>
      <c r="G17562" s="51">
        <f>ROUNDUP((E17562+F17562)*C17562/E17545,0)</f>
        <v>0</v>
      </c>
    </row>
    <row r="17563" spans="1:7" x14ac:dyDescent="0.25">
      <c r="A17563" s="219" t="s">
        <v>56</v>
      </c>
      <c r="B17563" s="219"/>
      <c r="C17563" s="219"/>
      <c r="D17563" s="219"/>
      <c r="E17563" s="219"/>
      <c r="F17563" s="219"/>
      <c r="G17563" s="52">
        <f>SUM(G17557:G17562)</f>
        <v>671541</v>
      </c>
    </row>
    <row r="17564" spans="1:7" x14ac:dyDescent="0.25">
      <c r="A17564" s="56"/>
      <c r="B17564" s="57"/>
      <c r="C17564" s="57"/>
      <c r="D17564" s="57"/>
      <c r="E17564" s="57"/>
      <c r="F17564" s="57"/>
      <c r="G17564" s="58"/>
    </row>
    <row r="17565" spans="1:7" x14ac:dyDescent="0.25">
      <c r="A17565" s="219" t="s">
        <v>57</v>
      </c>
      <c r="B17565" s="219"/>
      <c r="C17565" s="219"/>
      <c r="D17565" s="219"/>
      <c r="E17565" s="219"/>
      <c r="F17565" s="219"/>
      <c r="G17565" s="219"/>
    </row>
    <row r="17566" spans="1:7" x14ac:dyDescent="0.25">
      <c r="A17566" s="49" t="s">
        <v>35</v>
      </c>
      <c r="B17566" s="219" t="s">
        <v>36</v>
      </c>
      <c r="C17566" s="219"/>
      <c r="D17566" s="49" t="s">
        <v>37</v>
      </c>
      <c r="E17566" s="49" t="s">
        <v>38</v>
      </c>
      <c r="F17566" s="49" t="s">
        <v>39</v>
      </c>
      <c r="G17566" s="49" t="s">
        <v>40</v>
      </c>
    </row>
    <row r="17567" spans="1:7" x14ac:dyDescent="0.25">
      <c r="A17567" s="50" t="s">
        <v>326</v>
      </c>
      <c r="B17567" s="220" t="str">
        <f>VLOOKUP(A17567,'[1]Componentes APUs'!$S$1:$V$10,2,0)</f>
        <v>Juego Llaves</v>
      </c>
      <c r="C17567" s="220"/>
      <c r="D17567" s="50" t="s">
        <v>18</v>
      </c>
      <c r="E17567" s="50">
        <v>2</v>
      </c>
      <c r="F17567" s="51">
        <f>VLOOKUP(A17567,'[1]Componentes APUs'!$S$1:$V$10,4,0)</f>
        <v>9167</v>
      </c>
      <c r="G17567" s="51">
        <f>ROUNDUP(F17567*((E17567/21)/E17545),0)</f>
        <v>874</v>
      </c>
    </row>
    <row r="17568" spans="1:7" x14ac:dyDescent="0.25">
      <c r="A17568" s="50" t="s">
        <v>58</v>
      </c>
      <c r="B17568" s="220" t="str">
        <f>VLOOKUP(A17568,'[1]Componentes APUs'!$S$1:$V$10,2,0)</f>
        <v>Manila de servicio</v>
      </c>
      <c r="C17568" s="220"/>
      <c r="D17568" s="50" t="s">
        <v>18</v>
      </c>
      <c r="E17568" s="50">
        <v>2</v>
      </c>
      <c r="F17568" s="51">
        <f>VLOOKUP(A17568,'[1]Componentes APUs'!$S$1:$V$10,4,0)</f>
        <v>2333</v>
      </c>
      <c r="G17568" s="51">
        <f>ROUNDUP(F17568*((E17568/21)/E17545),0)</f>
        <v>223</v>
      </c>
    </row>
    <row r="17569" spans="1:7" x14ac:dyDescent="0.25">
      <c r="A17569" s="50" t="s">
        <v>327</v>
      </c>
      <c r="B17569" s="220" t="str">
        <f>VLOOKUP(A17569,'[1]Componentes APUs'!$S$1:$V$10,2,0)</f>
        <v>Tula portaherramientas</v>
      </c>
      <c r="C17569" s="220"/>
      <c r="D17569" s="50" t="s">
        <v>18</v>
      </c>
      <c r="E17569" s="50">
        <v>2</v>
      </c>
      <c r="F17569" s="51">
        <f>VLOOKUP(A17569,'[1]Componentes APUs'!$S$1:$V$10,4,0)</f>
        <v>1250</v>
      </c>
      <c r="G17569" s="51">
        <f>ROUNDUP(F17569*((E17569/21)/E17545),0)</f>
        <v>120</v>
      </c>
    </row>
    <row r="17570" spans="1:7" x14ac:dyDescent="0.25">
      <c r="A17570" s="50" t="s">
        <v>60</v>
      </c>
      <c r="B17570" s="220" t="str">
        <f>VLOOKUP(A17570,'[1]Componentes APUs'!$S$1:$V$10,2,0)</f>
        <v>Agarradoras</v>
      </c>
      <c r="C17570" s="220"/>
      <c r="D17570" s="50" t="s">
        <v>18</v>
      </c>
      <c r="E17570" s="50">
        <v>0</v>
      </c>
      <c r="F17570" s="51">
        <f>VLOOKUP(A17570,'[1]Componentes APUs'!$S$1:$V$10,4,0)</f>
        <v>125000</v>
      </c>
      <c r="G17570" s="51">
        <f>ROUNDUP(F17570*((E17570/21)/E17545),0)</f>
        <v>0</v>
      </c>
    </row>
    <row r="17571" spans="1:7" x14ac:dyDescent="0.25">
      <c r="A17571" s="50" t="s">
        <v>62</v>
      </c>
      <c r="B17571" s="220" t="str">
        <f>VLOOKUP(A17571,'[1]Componentes APUs'!$S$1:$V$10,2,0)</f>
        <v>Templadoras</v>
      </c>
      <c r="C17571" s="220"/>
      <c r="D17571" s="50" t="s">
        <v>18</v>
      </c>
      <c r="E17571" s="50">
        <v>0</v>
      </c>
      <c r="F17571" s="51">
        <f>VLOOKUP(A17571,'[1]Componentes APUs'!$S$1:$V$10,4,0)</f>
        <v>250000</v>
      </c>
      <c r="G17571" s="51">
        <f>ROUNDUP(F17571*((E17571/21)/E17545),0)</f>
        <v>0</v>
      </c>
    </row>
    <row r="17572" spans="1:7" x14ac:dyDescent="0.25">
      <c r="A17572" s="50" t="s">
        <v>328</v>
      </c>
      <c r="B17572" s="220" t="str">
        <f>VLOOKUP(A17572,'[1]Componentes APUs'!$S$1:$V$10,2,0)</f>
        <v>Herramienta Menor</v>
      </c>
      <c r="C17572" s="220"/>
      <c r="D17572" s="50" t="s">
        <v>18</v>
      </c>
      <c r="E17572" s="50">
        <v>2</v>
      </c>
      <c r="F17572" s="51">
        <f>VLOOKUP(A17572,'[1]Componentes APUs'!$S$1:$V$10,4,0)</f>
        <v>75758</v>
      </c>
      <c r="G17572" s="51">
        <f>ROUNDUP(F17572*((E17572/21)/E17545),0)</f>
        <v>7216</v>
      </c>
    </row>
    <row r="17573" spans="1:7" x14ac:dyDescent="0.25">
      <c r="A17573" s="219" t="s">
        <v>69</v>
      </c>
      <c r="B17573" s="219"/>
      <c r="C17573" s="219"/>
      <c r="D17573" s="219"/>
      <c r="E17573" s="219"/>
      <c r="F17573" s="219"/>
      <c r="G17573" s="52">
        <f>SUM(G17567:G17572)</f>
        <v>8433</v>
      </c>
    </row>
    <row r="17574" spans="1:7" x14ac:dyDescent="0.25">
      <c r="A17574" s="56"/>
      <c r="B17574" s="57"/>
      <c r="C17574" s="57"/>
      <c r="D17574" s="57"/>
      <c r="E17574" s="57"/>
      <c r="F17574" s="57"/>
      <c r="G17574" s="58"/>
    </row>
    <row r="17575" spans="1:7" x14ac:dyDescent="0.25">
      <c r="A17575" s="219" t="s">
        <v>70</v>
      </c>
      <c r="B17575" s="219"/>
      <c r="C17575" s="219"/>
      <c r="D17575" s="219"/>
      <c r="E17575" s="219"/>
      <c r="F17575" s="219"/>
      <c r="G17575" s="219"/>
    </row>
    <row r="17576" spans="1:7" x14ac:dyDescent="0.25">
      <c r="A17576" s="49" t="s">
        <v>35</v>
      </c>
      <c r="B17576" s="219" t="s">
        <v>36</v>
      </c>
      <c r="C17576" s="219"/>
      <c r="D17576" s="49" t="s">
        <v>37</v>
      </c>
      <c r="E17576" s="49" t="s">
        <v>38</v>
      </c>
      <c r="F17576" s="49" t="s">
        <v>39</v>
      </c>
      <c r="G17576" s="49" t="s">
        <v>40</v>
      </c>
    </row>
    <row r="17577" spans="1:7" x14ac:dyDescent="0.25">
      <c r="A17577" s="50" t="s">
        <v>71</v>
      </c>
      <c r="B17577" s="71" t="str">
        <f>VLOOKUP(A17577,'[1]Componentes APUs'!$A$1:$D$14,2,0)</f>
        <v>Camisa indigo sin partes metalicas</v>
      </c>
      <c r="C17577" s="71"/>
      <c r="D17577" s="50" t="str">
        <f>VLOOKUP(A17577,'[1]Componentes APUs'!$A$1:$D$14,3,0)</f>
        <v>U</v>
      </c>
      <c r="E17577" s="50">
        <f>SUM(C17557:C17562)</f>
        <v>2.75</v>
      </c>
      <c r="F17577" s="51">
        <f>VLOOKUP(A17577,'[1]Componentes APUs'!$A$1:$D$14,4,0)</f>
        <v>8585.8585858585866</v>
      </c>
      <c r="G17577" s="51">
        <f>ROUNDUP(F17577*(E17577/21)/E17545,0)</f>
        <v>1125</v>
      </c>
    </row>
    <row r="17578" spans="1:7" x14ac:dyDescent="0.25">
      <c r="A17578" s="69" t="s">
        <v>73</v>
      </c>
      <c r="B17578" s="72" t="str">
        <f>VLOOKUP(A17578,'[1]Componentes APUs'!$A$1:$D$14,2,0)</f>
        <v>Bota de seguridad dielectrica</v>
      </c>
      <c r="C17578" s="73"/>
      <c r="D17578" s="70" t="str">
        <f>VLOOKUP(A17578,'[1]Componentes APUs'!$A$1:$D$14,3,0)</f>
        <v>Par</v>
      </c>
      <c r="E17578" s="50">
        <f>SUM(C17557:C17562)</f>
        <v>2.75</v>
      </c>
      <c r="F17578" s="51">
        <f>VLOOKUP(A17578,'[1]Componentes APUs'!$A$1:$D$14,4,0)</f>
        <v>7500</v>
      </c>
      <c r="G17578" s="51">
        <f>ROUNDUP(F17578*(E17578/21)/E17545,0)</f>
        <v>983</v>
      </c>
    </row>
    <row r="17579" spans="1:7" x14ac:dyDescent="0.25">
      <c r="A17579" s="50" t="s">
        <v>76</v>
      </c>
      <c r="B17579" s="72" t="str">
        <f>VLOOKUP(A17579,'[1]Componentes APUs'!$A$1:$D$14,2,0)</f>
        <v>Casco dielectrico Tipo 1 Clase E con barbuquejo</v>
      </c>
      <c r="C17579" s="73"/>
      <c r="D17579" s="50" t="str">
        <f>VLOOKUP(A17579,'[1]Componentes APUs'!$A$1:$D$14,3,0)</f>
        <v>U</v>
      </c>
      <c r="E17579" s="50">
        <f>C17562+C17557+C17560+C17561+C17558+IF(A17559&lt;&gt;"MO-3",C17559,0)</f>
        <v>2.75</v>
      </c>
      <c r="F17579" s="51">
        <f>VLOOKUP(A17579,'[1]Componentes APUs'!$A$1:$D$14,4,0)</f>
        <v>10101.010101010101</v>
      </c>
      <c r="G17579" s="51">
        <f>ROUNDUP(F17579*(E17579/21)/E17545,0)</f>
        <v>1323</v>
      </c>
    </row>
    <row r="17580" spans="1:7" x14ac:dyDescent="0.25">
      <c r="A17580" s="69" t="s">
        <v>77</v>
      </c>
      <c r="B17580" s="72" t="str">
        <f>VLOOKUP(A17580,'[1]Componentes APUs'!$A$1:$D$14,2,0)</f>
        <v>Correa plastica y antiflama</v>
      </c>
      <c r="C17580" s="73"/>
      <c r="D17580" s="50" t="str">
        <f>VLOOKUP(A17580,'[1]Componentes APUs'!$A$1:$D$14,3,0)</f>
        <v>U</v>
      </c>
      <c r="E17580" s="50">
        <f>SUM(C17557:C17562)</f>
        <v>2.75</v>
      </c>
      <c r="F17580" s="51">
        <f>VLOOKUP(A17580,'[1]Componentes APUs'!$A$1:$D$14,4,0)</f>
        <v>3787.878787878788</v>
      </c>
      <c r="G17580" s="51">
        <f>ROUNDUP(F17580*(E17580/21)/E17545,0)</f>
        <v>497</v>
      </c>
    </row>
    <row r="17581" spans="1:7" x14ac:dyDescent="0.25">
      <c r="A17581" s="50" t="s">
        <v>79</v>
      </c>
      <c r="B17581" s="72" t="str">
        <f>VLOOKUP(A17581,'[1]Componentes APUs'!$A$1:$D$14,2,0)</f>
        <v>Gafas protectoras filtro UV</v>
      </c>
      <c r="C17581" s="73"/>
      <c r="D17581" s="50" t="str">
        <f>VLOOKUP(A17581,'[1]Componentes APUs'!$A$1:$D$14,3,0)</f>
        <v>U</v>
      </c>
      <c r="E17581" s="50">
        <f>SUM(C17557:C17562)</f>
        <v>2.75</v>
      </c>
      <c r="F17581" s="51">
        <f>VLOOKUP(A17581,'[1]Componentes APUs'!$A$1:$D$14,4,0)</f>
        <v>2777.7777777777778</v>
      </c>
      <c r="G17581" s="51">
        <f>ROUNDUP(F17581*(E17581/21)/E17545,0)</f>
        <v>364</v>
      </c>
    </row>
    <row r="17582" spans="1:7" x14ac:dyDescent="0.25">
      <c r="A17582" s="69" t="s">
        <v>402</v>
      </c>
      <c r="B17582" s="72" t="str">
        <f>VLOOKUP(A17582,'[1]Componentes APUs'!$A$1:$D$14,2,0)</f>
        <v>Bota de seguridad PVC dielectrica</v>
      </c>
      <c r="C17582" s="73"/>
      <c r="D17582" s="50" t="str">
        <f>VLOOKUP(A17582,'[1]Componentes APUs'!$A$1:$D$14,3,0)</f>
        <v>Par</v>
      </c>
      <c r="E17582" s="50">
        <f>SUM(C17557:C17562)</f>
        <v>2.75</v>
      </c>
      <c r="F17582" s="51">
        <f>VLOOKUP(A17582,'[1]Componentes APUs'!$A$1:$D$14,4,0)</f>
        <v>2916.6666666666665</v>
      </c>
      <c r="G17582" s="51">
        <f>ROUNDUP(F17582*(E17582/21)/E17545,0)</f>
        <v>382</v>
      </c>
    </row>
    <row r="17583" spans="1:7" x14ac:dyDescent="0.25">
      <c r="A17583" s="50" t="s">
        <v>403</v>
      </c>
      <c r="B17583" s="72" t="str">
        <f>VLOOKUP(A17583,'[1]Componentes APUs'!$A$1:$D$14,2,0)</f>
        <v>Capuchon</v>
      </c>
      <c r="C17583" s="73"/>
      <c r="D17583" s="50" t="str">
        <f>VLOOKUP(A17583,'[1]Componentes APUs'!$A$1:$D$14,3,0)</f>
        <v>U</v>
      </c>
      <c r="E17583" s="50">
        <f>SUM(C17557:C17562)</f>
        <v>2.75</v>
      </c>
      <c r="F17583" s="51">
        <f>VLOOKUP(A17583,'[1]Componentes APUs'!$A$1:$D$14,4,0)</f>
        <v>2525.2525252525252</v>
      </c>
      <c r="G17583" s="51">
        <f>ROUNDUP(F17583*(E17583/21)/E17545,0)</f>
        <v>331</v>
      </c>
    </row>
    <row r="17584" spans="1:7" x14ac:dyDescent="0.25">
      <c r="A17584" s="69" t="s">
        <v>81</v>
      </c>
      <c r="B17584" s="72" t="str">
        <f>VLOOKUP(A17584,'[1]Componentes APUs'!$A$1:$D$14,2,0)</f>
        <v>Guantes Protectores  - ingeniero reforzados</v>
      </c>
      <c r="C17584" s="73"/>
      <c r="D17584" s="50" t="str">
        <f>VLOOKUP(A17584,'[1]Componentes APUs'!$A$1:$D$14,3,0)</f>
        <v>Par</v>
      </c>
      <c r="E17584" s="50">
        <f>C17559+C17560+C17562</f>
        <v>2</v>
      </c>
      <c r="F17584" s="51">
        <f>VLOOKUP(A17584,'[1]Componentes APUs'!$A$1:$D$14,4,0)</f>
        <v>2525.2525252525252</v>
      </c>
      <c r="G17584" s="51">
        <f>ROUNDUP(F17584*(E17584/21)/E17545,0)</f>
        <v>241</v>
      </c>
    </row>
    <row r="17585" spans="1:7" x14ac:dyDescent="0.25">
      <c r="A17585" s="50" t="s">
        <v>83</v>
      </c>
      <c r="B17585" s="72" t="str">
        <f>VLOOKUP(A17585,'[1]Componentes APUs'!$A$1:$D$14,2,0)</f>
        <v>Impermeable (pantalon camisa)</v>
      </c>
      <c r="C17585" s="73"/>
      <c r="D17585" s="50" t="str">
        <f>VLOOKUP(A17585,'[1]Componentes APUs'!$A$1:$D$14,3,0)</f>
        <v>U</v>
      </c>
      <c r="E17585" s="50">
        <f>SUM(C17557:C17562)</f>
        <v>2.75</v>
      </c>
      <c r="F17585" s="51">
        <f>VLOOKUP(A17585,'[1]Componentes APUs'!$A$1:$D$14,4,0)</f>
        <v>3750</v>
      </c>
      <c r="G17585" s="51">
        <f>ROUNDUP(F17585*(E17585/21)/E17545,0)</f>
        <v>492</v>
      </c>
    </row>
    <row r="17586" spans="1:7" x14ac:dyDescent="0.25">
      <c r="A17586" s="69" t="s">
        <v>85</v>
      </c>
      <c r="B17586" s="72" t="str">
        <f>VLOOKUP(A17586,'[1]Componentes APUs'!$A$1:$D$14,2,0)</f>
        <v>Jean Dielectrico</v>
      </c>
      <c r="C17586" s="73"/>
      <c r="D17586" s="50" t="str">
        <f>VLOOKUP(A17586,'[1]Componentes APUs'!$A$1:$D$14,3,0)</f>
        <v>U</v>
      </c>
      <c r="E17586" s="50">
        <f>SUM(C17557:C17562)</f>
        <v>2.75</v>
      </c>
      <c r="F17586" s="51">
        <f>VLOOKUP(A17586,'[1]Componentes APUs'!$A$1:$D$14,4,0)</f>
        <v>7575.757575757576</v>
      </c>
      <c r="G17586" s="51">
        <f>ROUNDUP(F17586*(E17586/21)/E17545,0)</f>
        <v>993</v>
      </c>
    </row>
    <row r="17587" spans="1:7" x14ac:dyDescent="0.25">
      <c r="A17587" s="50" t="s">
        <v>87</v>
      </c>
      <c r="B17587" s="72" t="str">
        <f>VLOOKUP(A17587,'[1]Componentes APUs'!$A$1:$D$14,2,0)</f>
        <v>Casco dielectrico Tipo 2 Clase E con barboquejo</v>
      </c>
      <c r="C17587" s="73"/>
      <c r="D17587" s="50" t="str">
        <f>VLOOKUP(A17587,'[1]Componentes APUs'!$A$1:$D$14,3,0)</f>
        <v>U</v>
      </c>
      <c r="E17587" s="53">
        <f>IF(A17559="MO-3",C17559,0)</f>
        <v>0</v>
      </c>
      <c r="F17587" s="51">
        <f>VLOOKUP(A17587,'[1]Componentes APUs'!$A$1:$D$14,4,0)</f>
        <v>7500</v>
      </c>
      <c r="G17587" s="51">
        <f>ROUNDUP(F17587*(E17587/21)/E17545,0)</f>
        <v>0</v>
      </c>
    </row>
    <row r="17588" spans="1:7" x14ac:dyDescent="0.25">
      <c r="A17588" s="69" t="s">
        <v>89</v>
      </c>
      <c r="B17588" s="72" t="str">
        <f>VLOOKUP(A17588,'[1]Componentes APUs'!$A$1:$D$14,2,0)</f>
        <v>Kit de rescate para trabajo en alturas</v>
      </c>
      <c r="C17588" s="73"/>
      <c r="D17588" s="50" t="str">
        <f>VLOOKUP(A17588,'[1]Componentes APUs'!$A$1:$D$14,3,0)</f>
        <v>U</v>
      </c>
      <c r="E17588" s="50">
        <f>IF(AND(A17559="MO-3",C17559=2),1,0)</f>
        <v>0</v>
      </c>
      <c r="F17588" s="51">
        <f>VLOOKUP(A17588,'[1]Componentes APUs'!$A$1:$D$14,4,0)</f>
        <v>37500</v>
      </c>
      <c r="G17588" s="51">
        <f>ROUNDUP(F17588*(E17588/21)/E17545,0)</f>
        <v>0</v>
      </c>
    </row>
    <row r="17589" spans="1:7" x14ac:dyDescent="0.25">
      <c r="A17589" s="50" t="s">
        <v>91</v>
      </c>
      <c r="B17589" s="72" t="str">
        <f>VLOOKUP(A17589,'[1]Componentes APUs'!$A$1:$D$14,2,0)</f>
        <v>Equipo completo para trabajo en alturas con pretales (Arnes dielectrico, 1 mosqueton de seguridad, tie off dielectrico, eslinga de posicionamiento, juego de pretales)</v>
      </c>
      <c r="C17589" s="73"/>
      <c r="D17589" s="50" t="str">
        <f>VLOOKUP(A17589,'[1]Componentes APUs'!$A$1:$D$14,3,0)</f>
        <v>U</v>
      </c>
      <c r="E17589" s="50">
        <f>IF(A17559="MO-3",C17559,0)</f>
        <v>0</v>
      </c>
      <c r="F17589" s="51">
        <f>VLOOKUP(A17589,'[1]Componentes APUs'!$A$1:$D$14,4,0)</f>
        <v>26041.666666666668</v>
      </c>
      <c r="G17589" s="51">
        <f>ROUNDUP(F17589*(E17589/21)/E17545,0)</f>
        <v>0</v>
      </c>
    </row>
    <row r="17590" spans="1:7" x14ac:dyDescent="0.25">
      <c r="A17590" s="219" t="s">
        <v>95</v>
      </c>
      <c r="B17590" s="219"/>
      <c r="C17590" s="219"/>
      <c r="D17590" s="219"/>
      <c r="E17590" s="219"/>
      <c r="F17590" s="219"/>
      <c r="G17590" s="52">
        <f>SUM(G17577:G17589)</f>
        <v>6731</v>
      </c>
    </row>
    <row r="17591" spans="1:7" x14ac:dyDescent="0.25">
      <c r="A17591" s="56"/>
      <c r="B17591" s="57"/>
      <c r="C17591" s="57"/>
      <c r="D17591" s="57"/>
      <c r="E17591" s="57"/>
      <c r="F17591" s="57"/>
      <c r="G17591" s="58"/>
    </row>
    <row r="17592" spans="1:7" x14ac:dyDescent="0.25">
      <c r="A17592" s="219" t="s">
        <v>96</v>
      </c>
      <c r="B17592" s="219"/>
      <c r="C17592" s="219"/>
      <c r="D17592" s="219"/>
      <c r="E17592" s="219"/>
      <c r="F17592" s="219"/>
      <c r="G17592" s="219"/>
    </row>
    <row r="17593" spans="1:7" x14ac:dyDescent="0.25">
      <c r="A17593" s="49" t="s">
        <v>35</v>
      </c>
      <c r="B17593" s="225" t="s">
        <v>36</v>
      </c>
      <c r="C17593" s="225"/>
      <c r="D17593" s="49" t="s">
        <v>37</v>
      </c>
      <c r="E17593" s="49" t="s">
        <v>38</v>
      </c>
      <c r="F17593" s="49" t="s">
        <v>39</v>
      </c>
      <c r="G17593" s="49" t="s">
        <v>40</v>
      </c>
    </row>
    <row r="17594" spans="1:7" x14ac:dyDescent="0.25">
      <c r="A17594" s="69" t="s">
        <v>97</v>
      </c>
      <c r="B17594" s="72" t="str">
        <f>VLOOKUP(A17594,'[1]Componentes APUs'!$N$1:$Q$30,2,0)</f>
        <v>Camioneta</v>
      </c>
      <c r="C17594" s="73"/>
      <c r="D17594" s="70" t="str">
        <f>VLOOKUP(A17594,'[1]Componentes APUs'!$N$1:$Q$30,3,0)</f>
        <v>U</v>
      </c>
      <c r="E17594" s="50">
        <v>1</v>
      </c>
      <c r="F17594" s="51">
        <f>VLOOKUP(A17594,'[1]Componentes APUs'!$N$1:$Q$30,4,0)</f>
        <v>5500000</v>
      </c>
      <c r="G17594" s="51">
        <f>IFERROR(ROUNDUP(F17594*(E17594/21)/E17545,0),0)</f>
        <v>261905</v>
      </c>
    </row>
    <row r="17595" spans="1:7" x14ac:dyDescent="0.25">
      <c r="A17595" s="50" t="s">
        <v>321</v>
      </c>
      <c r="B17595" s="72" t="str">
        <f>VLOOKUP(A17595,'[1]Componentes APUs'!$N$1:$Q$30,2,0)</f>
        <v>Grúa Hidráulica</v>
      </c>
      <c r="C17595" s="73"/>
      <c r="D17595" s="70" t="str">
        <f>VLOOKUP(A17595,'[1]Componentes APUs'!$N$1:$Q$30,3,0)</f>
        <v>U</v>
      </c>
      <c r="E17595" s="50">
        <v>0</v>
      </c>
      <c r="F17595" s="51">
        <f>VLOOKUP(A17595,'[1]Componentes APUs'!$N$1:$Q$30,4,0)</f>
        <v>21000000</v>
      </c>
      <c r="G17595" s="51">
        <f>IFERROR(ROUNDUP(F17595*(E17595/21)/E17545,0),0)</f>
        <v>0</v>
      </c>
    </row>
    <row r="17596" spans="1:7" x14ac:dyDescent="0.25">
      <c r="A17596" s="69" t="s">
        <v>322</v>
      </c>
      <c r="B17596" s="72" t="str">
        <f>VLOOKUP(A17596,'[1]Componentes APUs'!$N$1:$Q$30,2,0)</f>
        <v>Camabaja</v>
      </c>
      <c r="C17596" s="73"/>
      <c r="D17596" s="70" t="str">
        <f>VLOOKUP(A17596,'[1]Componentes APUs'!$N$1:$Q$30,3,0)</f>
        <v>TON/KM</v>
      </c>
      <c r="E17596" s="50">
        <v>0</v>
      </c>
      <c r="F17596" s="51">
        <f>VLOOKUP(A17596,'[1]Componentes APUs'!$N$1:$Q$30,4,0)</f>
        <v>611</v>
      </c>
      <c r="G17596" s="51">
        <f>IFERROR(ROUNDUP(F17596*(E17596/21)/E17545,0),0)</f>
        <v>0</v>
      </c>
    </row>
    <row r="17597" spans="1:7" x14ac:dyDescent="0.25">
      <c r="A17597" s="50" t="s">
        <v>323</v>
      </c>
      <c r="B17597" s="72" t="str">
        <f>VLOOKUP(A17597,'[1]Componentes APUs'!$N$1:$Q$30,2,0)</f>
        <v>Volqueta</v>
      </c>
      <c r="C17597" s="73"/>
      <c r="D17597" s="70" t="str">
        <f>VLOOKUP(A17597,'[1]Componentes APUs'!$N$1:$Q$30,3,0)</f>
        <v>U</v>
      </c>
      <c r="E17597" s="50">
        <v>0</v>
      </c>
      <c r="F17597" s="51">
        <f>VLOOKUP(A17597,'[1]Componentes APUs'!$N$1:$Q$30,4,0)</f>
        <v>18900000</v>
      </c>
      <c r="G17597" s="51">
        <f>IFERROR(ROUNDUP(F17597*(E17597/21)/E17545,0),0)</f>
        <v>0</v>
      </c>
    </row>
    <row r="17598" spans="1:7" x14ac:dyDescent="0.25">
      <c r="A17598" s="69" t="s">
        <v>324</v>
      </c>
      <c r="B17598" s="72" t="str">
        <f>VLOOKUP(A17598,'[1]Componentes APUs'!$N$1:$Q$30,2,0)</f>
        <v>Retroexcavadora</v>
      </c>
      <c r="C17598" s="73"/>
      <c r="D17598" s="70" t="str">
        <f>VLOOKUP(A17598,'[1]Componentes APUs'!$N$1:$Q$30,3,0)</f>
        <v>U</v>
      </c>
      <c r="E17598" s="50">
        <v>0</v>
      </c>
      <c r="F17598" s="51">
        <f>VLOOKUP(A17598,'[1]Componentes APUs'!$N$1:$Q$30,4,0)</f>
        <v>1494459.54</v>
      </c>
      <c r="G17598" s="51">
        <f>IFERROR(ROUNDUP(F17598*(E17598/21)/E17545,0),0)</f>
        <v>0</v>
      </c>
    </row>
    <row r="17599" spans="1:7" x14ac:dyDescent="0.25">
      <c r="A17599" s="219" t="s">
        <v>99</v>
      </c>
      <c r="B17599" s="219"/>
      <c r="C17599" s="219"/>
      <c r="D17599" s="219"/>
      <c r="E17599" s="219"/>
      <c r="F17599" s="219"/>
      <c r="G17599" s="52">
        <f>SUM(G17594:G17598)</f>
        <v>261905</v>
      </c>
    </row>
    <row r="17600" spans="1:7" x14ac:dyDescent="0.25">
      <c r="A17600" s="56"/>
      <c r="B17600" s="57"/>
      <c r="C17600" s="57"/>
      <c r="D17600" s="57"/>
      <c r="E17600" s="57"/>
      <c r="F17600" s="57"/>
      <c r="G17600" s="58"/>
    </row>
    <row r="17601" spans="1:7" x14ac:dyDescent="0.25">
      <c r="A17601" s="219" t="s">
        <v>1516</v>
      </c>
      <c r="B17601" s="219"/>
      <c r="C17601" s="219"/>
      <c r="D17601" s="219"/>
      <c r="E17601" s="219"/>
      <c r="F17601" s="219"/>
      <c r="G17601" s="52">
        <f>G17599+G17590+G17573+G17563+G17553</f>
        <v>1678116</v>
      </c>
    </row>
    <row r="17602" spans="1:7" x14ac:dyDescent="0.25">
      <c r="A17602" s="59"/>
      <c r="B17602" s="60"/>
      <c r="C17602" s="60"/>
      <c r="D17602" s="60"/>
      <c r="E17602" s="57"/>
      <c r="F17602" s="57"/>
      <c r="G17602" s="58"/>
    </row>
    <row r="17603" spans="1:7" x14ac:dyDescent="0.25">
      <c r="A17603" s="64"/>
      <c r="D17603" s="55"/>
      <c r="E17603" s="49" t="s">
        <v>25</v>
      </c>
      <c r="F17603" s="54">
        <v>0.15</v>
      </c>
      <c r="G17603" s="51">
        <f>G17601*F17603</f>
        <v>251717.4</v>
      </c>
    </row>
    <row r="17604" spans="1:7" x14ac:dyDescent="0.25">
      <c r="A17604" s="64"/>
      <c r="D17604" s="55"/>
      <c r="E17604" s="49" t="s">
        <v>26</v>
      </c>
      <c r="F17604" s="54">
        <v>0.05</v>
      </c>
      <c r="G17604" s="51">
        <f>G17601*F17604</f>
        <v>83905.8</v>
      </c>
    </row>
    <row r="17605" spans="1:7" x14ac:dyDescent="0.25">
      <c r="A17605" s="61"/>
      <c r="B17605" s="65"/>
      <c r="C17605" s="65"/>
      <c r="D17605" s="62"/>
      <c r="E17605" s="49" t="s">
        <v>27</v>
      </c>
      <c r="F17605" s="54">
        <v>0.05</v>
      </c>
      <c r="G17605" s="51">
        <f>G17601*F17605</f>
        <v>83905.8</v>
      </c>
    </row>
    <row r="17606" spans="1:7" x14ac:dyDescent="0.25">
      <c r="A17606" s="61"/>
      <c r="B17606" s="62"/>
      <c r="C17606" s="62"/>
      <c r="D17606" s="62"/>
      <c r="E17606" s="62"/>
      <c r="F17606" s="62"/>
      <c r="G17606" s="63"/>
    </row>
    <row r="17607" spans="1:7" x14ac:dyDescent="0.25">
      <c r="A17607" s="219" t="s">
        <v>1517</v>
      </c>
      <c r="B17607" s="219"/>
      <c r="C17607" s="219"/>
      <c r="D17607" s="219"/>
      <c r="E17607" s="219"/>
      <c r="F17607" s="219"/>
      <c r="G17607" s="52">
        <f>G17601+G17603+G17604+G17605</f>
        <v>2097645</v>
      </c>
    </row>
    <row r="17608" spans="1:7" x14ac:dyDescent="0.25">
      <c r="A17608" s="59"/>
      <c r="B17608" s="60"/>
      <c r="C17608" s="60"/>
      <c r="D17608" s="60"/>
      <c r="E17608" s="57"/>
      <c r="F17608" s="57"/>
      <c r="G17608" s="58"/>
    </row>
    <row r="17609" spans="1:7" x14ac:dyDescent="0.25">
      <c r="A17609" s="64"/>
      <c r="D17609" s="55"/>
      <c r="E17609" s="49" t="s">
        <v>102</v>
      </c>
      <c r="F17609" s="49" t="s">
        <v>103</v>
      </c>
      <c r="G17609" s="51">
        <f>G17605*19%</f>
        <v>15942.102000000001</v>
      </c>
    </row>
    <row r="17610" spans="1:7" x14ac:dyDescent="0.25">
      <c r="A17610" s="61"/>
      <c r="B17610" s="62"/>
      <c r="C17610" s="62"/>
      <c r="D17610" s="62"/>
      <c r="E17610" s="57"/>
      <c r="F17610" s="57"/>
      <c r="G17610" s="58"/>
    </row>
    <row r="17611" spans="1:7" x14ac:dyDescent="0.25">
      <c r="A17611" s="219" t="s">
        <v>104</v>
      </c>
      <c r="B17611" s="219"/>
      <c r="C17611" s="219"/>
      <c r="D17611" s="219"/>
      <c r="E17611" s="219"/>
      <c r="F17611" s="219"/>
      <c r="G17611" s="52">
        <f>G17609+G17607</f>
        <v>2113587.102</v>
      </c>
    </row>
    <row r="17613" spans="1:7" x14ac:dyDescent="0.25">
      <c r="A17613" s="74" t="s">
        <v>29</v>
      </c>
      <c r="B17613" s="226" t="s">
        <v>30</v>
      </c>
      <c r="C17613" s="226"/>
      <c r="D17613" s="74" t="s">
        <v>31</v>
      </c>
      <c r="E17613" s="74" t="s">
        <v>32</v>
      </c>
      <c r="F17613" s="74" t="s">
        <v>189</v>
      </c>
      <c r="G17613" s="74" t="s">
        <v>33</v>
      </c>
    </row>
    <row r="17614" spans="1:7" ht="59.25" customHeight="1" x14ac:dyDescent="0.25">
      <c r="A17614" s="50" t="str">
        <f>Presupuesto!B344</f>
        <v>017_AUX</v>
      </c>
      <c r="B17614" s="220" t="str">
        <f>Presupuesto!C344</f>
        <v>SUMINISTRO E INSTALACIÓN DE GABINETE DC CONFORMADO POR DOS CARGADORES TRIFÁSICOS CONFIGURACIÓN REDUNDANTE, SALIDA 125 VDC – 40 AH CON TABLERO AUTOSOPORTADO DE FABRICACIÓN ESPECIAL. DE USO INTERIOR. IP 54. LAMINA DE ACERO GALVANIZADA CALIBRE 18. (+NK01). INCLUYE  ILUMINACIÓN Y ACCESORIOS</v>
      </c>
      <c r="C17614" s="220"/>
      <c r="D17614" s="50" t="s">
        <v>8</v>
      </c>
      <c r="E17614" s="50">
        <v>1</v>
      </c>
      <c r="F17614" s="50"/>
      <c r="G17614" s="51">
        <f>G17683</f>
        <v>168206949.21250001</v>
      </c>
    </row>
    <row r="17615" spans="1:7" x14ac:dyDescent="0.25">
      <c r="A17615" s="219" t="s">
        <v>34</v>
      </c>
      <c r="B17615" s="219"/>
      <c r="C17615" s="219"/>
      <c r="D17615" s="219"/>
      <c r="E17615" s="219"/>
      <c r="F17615" s="219"/>
      <c r="G17615" s="219"/>
    </row>
    <row r="17616" spans="1:7" x14ac:dyDescent="0.25">
      <c r="A17616" s="49" t="s">
        <v>35</v>
      </c>
      <c r="B17616" s="219" t="s">
        <v>36</v>
      </c>
      <c r="C17616" s="219"/>
      <c r="D17616" s="49" t="s">
        <v>37</v>
      </c>
      <c r="E17616" s="49" t="s">
        <v>38</v>
      </c>
      <c r="F17616" s="49" t="s">
        <v>39</v>
      </c>
      <c r="G17616" s="49" t="s">
        <v>40</v>
      </c>
    </row>
    <row r="17617" spans="1:7" ht="24" customHeight="1" x14ac:dyDescent="0.25">
      <c r="A17617" s="17" t="str">
        <f>Material!A119</f>
        <v>MA-118</v>
      </c>
      <c r="B17617" s="221" t="str">
        <f>IFERROR(VLOOKUP(A17617,Material!$A:$H,2,0),"-")</f>
        <v>CARGADORES TRIFÁSICOS CONFIGURACIÓN REDUNDANTE, SALIDA 125 VDC – 75 AH</v>
      </c>
      <c r="C17617" s="222"/>
      <c r="D17617" s="50" t="str">
        <f>IFERROR(VLOOKUP(A17617,Material!$A:$H,4,0),"-")</f>
        <v>UN</v>
      </c>
      <c r="E17617" s="50">
        <v>2</v>
      </c>
      <c r="F17617" s="51">
        <f>IFERROR(VLOOKUP(A17617,Material!$A:$H,3,0),"-")</f>
        <v>60836856.645361274</v>
      </c>
      <c r="G17617" s="51">
        <f t="shared" ref="G17617:G17624" si="246">IFERROR(ROUNDUP(F17617*E17617,0),"-")</f>
        <v>121673714</v>
      </c>
    </row>
    <row r="17618" spans="1:7" ht="24.75" customHeight="1" x14ac:dyDescent="0.25">
      <c r="A17618" s="17" t="str">
        <f>Material!A440</f>
        <v>MA-439</v>
      </c>
      <c r="B17618" s="221" t="str">
        <f>IFERROR(VLOOKUP(A17618,Material!$A:$H,2,0),"-")</f>
        <v>TABLERO AUTOSOPORTADO DE FABRICACIÓN ESPECIAL. DE USO INTERIOR. IP 65. LAMINA DE ACERO GALVANIZADA CALIBRE 18.</v>
      </c>
      <c r="C17618" s="222"/>
      <c r="D17618" s="50" t="str">
        <f>IFERROR(VLOOKUP(A17618,Material!$A:$H,4,0),"-")</f>
        <v>UN</v>
      </c>
      <c r="E17618" s="50">
        <v>1</v>
      </c>
      <c r="F17618" s="51">
        <f>IFERROR(VLOOKUP(A17618,Material!$A:$H,3,0),"-")</f>
        <v>9100000</v>
      </c>
      <c r="G17618" s="51">
        <f t="shared" si="246"/>
        <v>9100000</v>
      </c>
    </row>
    <row r="17619" spans="1:7" x14ac:dyDescent="0.25">
      <c r="A17619" s="17" t="str">
        <f>Material!A33</f>
        <v>MA-32</v>
      </c>
      <c r="B17619" s="72" t="str">
        <f>IFERROR(VLOOKUP(A17619,Material!$A:$H,2,0),"-")</f>
        <v>LÁMPARA LED</v>
      </c>
      <c r="C17619" s="76"/>
      <c r="D17619" s="50" t="str">
        <f>IFERROR(VLOOKUP(A17619,Material!$A:$H,4,0),"-")</f>
        <v>UN</v>
      </c>
      <c r="E17619" s="50">
        <v>1</v>
      </c>
      <c r="F17619" s="51">
        <f>IFERROR(VLOOKUP(A17619,Material!$A:$H,3,0),"-")</f>
        <v>307373.88256268692</v>
      </c>
      <c r="G17619" s="51">
        <f t="shared" si="246"/>
        <v>307374</v>
      </c>
    </row>
    <row r="17620" spans="1:7" x14ac:dyDescent="0.25">
      <c r="A17620" s="17"/>
      <c r="B17620" s="72" t="str">
        <f>IFERROR(VLOOKUP(A17620,Material!$A:$H,2,0),"-")</f>
        <v>-</v>
      </c>
      <c r="C17620" s="76"/>
      <c r="D17620" s="50" t="str">
        <f>IFERROR(VLOOKUP(A17620,Material!$A:$H,4,0),"-")</f>
        <v>-</v>
      </c>
      <c r="E17620" s="50"/>
      <c r="F17620" s="51" t="str">
        <f>IFERROR(VLOOKUP(A17620,Material!$A:$H,3,0),"-")</f>
        <v>-</v>
      </c>
      <c r="G17620" s="51" t="str">
        <f t="shared" si="246"/>
        <v>-</v>
      </c>
    </row>
    <row r="17621" spans="1:7" x14ac:dyDescent="0.25">
      <c r="A17621" s="17"/>
      <c r="B17621" s="72" t="str">
        <f>IFERROR(VLOOKUP(A17621,Material!$A:$H,2,0),"-")</f>
        <v>-</v>
      </c>
      <c r="C17621" s="76"/>
      <c r="D17621" s="50" t="str">
        <f>IFERROR(VLOOKUP(A17621,Material!$A:$H,4,0),"-")</f>
        <v>-</v>
      </c>
      <c r="E17621" s="50"/>
      <c r="F17621" s="51" t="str">
        <f>IFERROR(VLOOKUP(A17621,Material!$A:$H,3,0),"-")</f>
        <v>-</v>
      </c>
      <c r="G17621" s="51" t="str">
        <f t="shared" si="246"/>
        <v>-</v>
      </c>
    </row>
    <row r="17622" spans="1:7" x14ac:dyDescent="0.25">
      <c r="A17622" s="17"/>
      <c r="B17622" s="72" t="str">
        <f>IFERROR(VLOOKUP(A17622,Material!$A:$H,2,0),"-")</f>
        <v>-</v>
      </c>
      <c r="C17622" s="76"/>
      <c r="D17622" s="50" t="str">
        <f>IFERROR(VLOOKUP(A17622,Material!$A:$H,4,0),"-")</f>
        <v>-</v>
      </c>
      <c r="E17622" s="50"/>
      <c r="F17622" s="51" t="str">
        <f>IFERROR(VLOOKUP(A17622,Material!$A:$H,3,0),"-")</f>
        <v>-</v>
      </c>
      <c r="G17622" s="51" t="str">
        <f t="shared" si="246"/>
        <v>-</v>
      </c>
    </row>
    <row r="17623" spans="1:7" x14ac:dyDescent="0.25">
      <c r="A17623" s="17"/>
      <c r="B17623" s="72" t="str">
        <f>IFERROR(VLOOKUP(A17623,Material!$A:$H,2,0),"-")</f>
        <v>-</v>
      </c>
      <c r="C17623" s="76"/>
      <c r="D17623" s="50" t="str">
        <f>IFERROR(VLOOKUP(A17623,Material!$A:$H,4,0),"-")</f>
        <v>-</v>
      </c>
      <c r="E17623" s="50"/>
      <c r="F17623" s="51" t="str">
        <f>IFERROR(VLOOKUP(A17623,Material!$A:$H,3,0),"-")</f>
        <v>-</v>
      </c>
      <c r="G17623" s="51" t="str">
        <f t="shared" si="246"/>
        <v>-</v>
      </c>
    </row>
    <row r="17624" spans="1:7" x14ac:dyDescent="0.25">
      <c r="A17624" s="17"/>
      <c r="B17624" s="72" t="str">
        <f>IFERROR(VLOOKUP(A17624,Material!$A:$H,2,0),"-")</f>
        <v>-</v>
      </c>
      <c r="C17624" s="76"/>
      <c r="D17624" s="50" t="str">
        <f>IFERROR(VLOOKUP(A17624,Material!$A:$H,4,0),"-")</f>
        <v>-</v>
      </c>
      <c r="E17624" s="50"/>
      <c r="F17624" s="51" t="str">
        <f>IFERROR(VLOOKUP(A17624,Material!$A:$H,3,0),"-")</f>
        <v>-</v>
      </c>
      <c r="G17624" s="51" t="str">
        <f t="shared" si="246"/>
        <v>-</v>
      </c>
    </row>
    <row r="17625" spans="1:7" x14ac:dyDescent="0.25">
      <c r="A17625" s="219" t="s">
        <v>41</v>
      </c>
      <c r="B17625" s="219"/>
      <c r="C17625" s="219"/>
      <c r="D17625" s="219"/>
      <c r="E17625" s="219"/>
      <c r="F17625" s="219"/>
      <c r="G17625" s="52">
        <f>SUM(G17617:G17624)</f>
        <v>131081088</v>
      </c>
    </row>
    <row r="17626" spans="1:7" x14ac:dyDescent="0.25">
      <c r="A17626" s="56"/>
      <c r="B17626" s="57"/>
      <c r="C17626" s="57"/>
      <c r="D17626" s="57"/>
      <c r="E17626" s="57"/>
      <c r="F17626" s="57"/>
      <c r="G17626" s="58"/>
    </row>
    <row r="17627" spans="1:7" x14ac:dyDescent="0.25">
      <c r="A17627" s="219" t="s">
        <v>42</v>
      </c>
      <c r="B17627" s="219"/>
      <c r="C17627" s="219"/>
      <c r="D17627" s="219"/>
      <c r="E17627" s="219"/>
      <c r="F17627" s="219"/>
      <c r="G17627" s="219"/>
    </row>
    <row r="17628" spans="1:7" x14ac:dyDescent="0.25">
      <c r="A17628" s="49" t="s">
        <v>35</v>
      </c>
      <c r="B17628" s="49" t="s">
        <v>36</v>
      </c>
      <c r="C17628" s="49" t="s">
        <v>38</v>
      </c>
      <c r="D17628" s="49" t="s">
        <v>43</v>
      </c>
      <c r="E17628" s="49" t="s">
        <v>44</v>
      </c>
      <c r="F17628" s="49" t="s">
        <v>45</v>
      </c>
      <c r="G17628" s="49" t="s">
        <v>40</v>
      </c>
    </row>
    <row r="17629" spans="1:7" x14ac:dyDescent="0.25">
      <c r="A17629" s="50" t="s">
        <v>319</v>
      </c>
      <c r="B17629" s="68" t="str">
        <f>VLOOKUP(A17629,'Componentes APUs'!$H$1:$L$25,2,0)</f>
        <v>Ingeniero Residente de Obra</v>
      </c>
      <c r="C17629" s="93">
        <v>0.25</v>
      </c>
      <c r="D17629" s="50">
        <f>VLOOKUP(A17629,'Componentes APUs'!$H$1:$L$25,3,0)</f>
        <v>4</v>
      </c>
      <c r="E17629" s="51">
        <f>VLOOKUP(A17629,'Componentes APUs'!$H$1:$L$25,4,0)</f>
        <v>271142.85714285716</v>
      </c>
      <c r="F17629" s="51">
        <f>VLOOKUP(A17629,'Componentes APUs'!$H$1:$L$25,5,0)</f>
        <v>162685.71428571429</v>
      </c>
      <c r="G17629" s="51">
        <f>ROUNDUP((E17629+F17629)*C17629/E17614,0)</f>
        <v>108458</v>
      </c>
    </row>
    <row r="17630" spans="1:7" x14ac:dyDescent="0.25">
      <c r="A17630" s="50" t="s">
        <v>320</v>
      </c>
      <c r="B17630" s="68" t="str">
        <f>VLOOKUP(A17630,'Componentes APUs'!$H$1:$L$25,2,0)</f>
        <v>Tecnico Supervisor</v>
      </c>
      <c r="C17630" s="93">
        <v>0.25</v>
      </c>
      <c r="D17630" s="50">
        <f>VLOOKUP(A17630,'Componentes APUs'!$H$1:$L$25,3,0)</f>
        <v>2.2999999999999998</v>
      </c>
      <c r="E17630" s="51">
        <f>VLOOKUP(A17630,'Componentes APUs'!$H$1:$L$25,4,0)</f>
        <v>155907.14285714284</v>
      </c>
      <c r="F17630" s="51">
        <f>VLOOKUP(A17630,'Componentes APUs'!$H$1:$L$25,5,0)</f>
        <v>93544.285714285696</v>
      </c>
      <c r="G17630" s="51">
        <f>ROUNDUP((E17630+F17630)*C17630/E17614,0)</f>
        <v>62363</v>
      </c>
    </row>
    <row r="17631" spans="1:7" x14ac:dyDescent="0.25">
      <c r="A17631" s="50" t="s">
        <v>1160</v>
      </c>
      <c r="B17631" s="68" t="str">
        <f>VLOOKUP(A17631,'Componentes APUs'!$H$1:$L$25,2,0)</f>
        <v>Oficial Eléctrico</v>
      </c>
      <c r="C17631" s="93">
        <v>1</v>
      </c>
      <c r="D17631" s="50">
        <f>VLOOKUP(A17631,'Componentes APUs'!$H$1:$L$25,3,0)</f>
        <v>2</v>
      </c>
      <c r="E17631" s="51">
        <f>VLOOKUP(A17631,'Componentes APUs'!$H$1:$L$25,4,0)</f>
        <v>154619.04761904763</v>
      </c>
      <c r="F17631" s="51">
        <f>VLOOKUP(A17631,'Componentes APUs'!$H$1:$L$25,5,0)</f>
        <v>92771.42857142858</v>
      </c>
      <c r="G17631" s="51">
        <f>ROUNDUP((E17631+F17631)*C17631/E17614,0)</f>
        <v>247391</v>
      </c>
    </row>
    <row r="17632" spans="1:7" x14ac:dyDescent="0.25">
      <c r="A17632" s="50" t="s">
        <v>48</v>
      </c>
      <c r="B17632" s="68" t="str">
        <f>VLOOKUP(A17632,'Componentes APUs'!$H$1:$L$25,2,0)</f>
        <v>Ayudante Calificado</v>
      </c>
      <c r="C17632" s="93">
        <v>1</v>
      </c>
      <c r="D17632" s="50">
        <f>VLOOKUP(A17632,'Componentes APUs'!$H$1:$L$25,3,0)</f>
        <v>1.5</v>
      </c>
      <c r="E17632" s="51">
        <f>VLOOKUP(A17632,'Componentes APUs'!$H$1:$L$25,4,0)</f>
        <v>115964.28571428571</v>
      </c>
      <c r="F17632" s="51">
        <f>VLOOKUP(A17632,'Componentes APUs'!$H$1:$L$25,5,0)</f>
        <v>69578.57142857142</v>
      </c>
      <c r="G17632" s="51">
        <f>ROUNDUP((E17632+F17632)*C17632/E17614,0)</f>
        <v>185543</v>
      </c>
    </row>
    <row r="17633" spans="1:7" x14ac:dyDescent="0.25">
      <c r="A17633" s="50" t="s">
        <v>50</v>
      </c>
      <c r="B17633" s="68" t="str">
        <f>VLOOKUP(A17633,'Componentes APUs'!$H$1:$L$25,2,0)</f>
        <v>Profesional en SST</v>
      </c>
      <c r="C17633" s="93">
        <v>0.25</v>
      </c>
      <c r="D17633" s="50">
        <f>VLOOKUP(A17633,'Componentes APUs'!$H$1:$L$25,3,0)</f>
        <v>2.5</v>
      </c>
      <c r="E17633" s="51">
        <f>VLOOKUP(A17633,'Componentes APUs'!$H$1:$L$25,4,0)</f>
        <v>169464.28571428571</v>
      </c>
      <c r="F17633" s="51">
        <f>VLOOKUP(A17633,'Componentes APUs'!$H$1:$L$25,5,0)</f>
        <v>101678.57142857142</v>
      </c>
      <c r="G17633" s="51">
        <f>ROUNDUP((E17633+F17633)*C17633/E17614,0)</f>
        <v>67786</v>
      </c>
    </row>
    <row r="17634" spans="1:7" x14ac:dyDescent="0.25">
      <c r="A17634" s="50" t="s">
        <v>1121</v>
      </c>
      <c r="B17634" s="68" t="str">
        <f>VLOOKUP(A17634,'Componentes APUs'!$H$1:$L$25,2,0)</f>
        <v>Ingeniero Especialista de Control y Protección Subestación</v>
      </c>
      <c r="C17634" s="93">
        <v>1</v>
      </c>
      <c r="D17634" s="50">
        <f>VLOOKUP(A17634,'Componentes APUs'!$H$1:$L$25,3,0)</f>
        <v>14</v>
      </c>
      <c r="E17634" s="51">
        <f>VLOOKUP(A17634,'Componentes APUs'!$H$1:$L$25,4,0)</f>
        <v>949000</v>
      </c>
      <c r="F17634" s="51">
        <f>VLOOKUP(A17634,'Componentes APUs'!$H$1:$L$25,5,0)</f>
        <v>569400</v>
      </c>
      <c r="G17634" s="51">
        <f>ROUNDUP((E17634+F17634)*C17634/E17614,0)</f>
        <v>1518400</v>
      </c>
    </row>
    <row r="17635" spans="1:7" x14ac:dyDescent="0.25">
      <c r="A17635" s="219" t="s">
        <v>56</v>
      </c>
      <c r="B17635" s="219"/>
      <c r="C17635" s="219"/>
      <c r="D17635" s="219"/>
      <c r="E17635" s="219"/>
      <c r="F17635" s="219"/>
      <c r="G17635" s="52">
        <f>SUM(G17629:G17634)</f>
        <v>2189941</v>
      </c>
    </row>
    <row r="17636" spans="1:7" x14ac:dyDescent="0.25">
      <c r="A17636" s="56"/>
      <c r="B17636" s="57"/>
      <c r="C17636" s="57"/>
      <c r="D17636" s="57"/>
      <c r="E17636" s="57"/>
      <c r="F17636" s="57"/>
      <c r="G17636" s="58"/>
    </row>
    <row r="17637" spans="1:7" x14ac:dyDescent="0.25">
      <c r="A17637" s="219" t="s">
        <v>57</v>
      </c>
      <c r="B17637" s="219"/>
      <c r="C17637" s="219"/>
      <c r="D17637" s="219"/>
      <c r="E17637" s="219"/>
      <c r="F17637" s="219"/>
      <c r="G17637" s="219"/>
    </row>
    <row r="17638" spans="1:7" x14ac:dyDescent="0.25">
      <c r="A17638" s="49" t="s">
        <v>35</v>
      </c>
      <c r="B17638" s="219" t="s">
        <v>36</v>
      </c>
      <c r="C17638" s="219"/>
      <c r="D17638" s="49" t="s">
        <v>37</v>
      </c>
      <c r="E17638" s="49" t="s">
        <v>38</v>
      </c>
      <c r="F17638" s="49" t="s">
        <v>39</v>
      </c>
      <c r="G17638" s="49" t="s">
        <v>40</v>
      </c>
    </row>
    <row r="17639" spans="1:7" x14ac:dyDescent="0.25">
      <c r="A17639" s="50" t="s">
        <v>326</v>
      </c>
      <c r="B17639" s="220" t="str">
        <f>VLOOKUP(A17639,'Componentes APUs'!$S$1:$V$10,2,0)</f>
        <v>Juego Llaves</v>
      </c>
      <c r="C17639" s="220"/>
      <c r="D17639" s="50" t="s">
        <v>18</v>
      </c>
      <c r="E17639" s="50">
        <v>2</v>
      </c>
      <c r="F17639" s="51">
        <f>VLOOKUP(A17639,'Componentes APUs'!$S$1:$V$10,4,0)</f>
        <v>9167</v>
      </c>
      <c r="G17639" s="51">
        <f>ROUNDUP(F17639*((E17639/21)/E17614),0)</f>
        <v>874</v>
      </c>
    </row>
    <row r="17640" spans="1:7" x14ac:dyDescent="0.25">
      <c r="A17640" s="50" t="s">
        <v>58</v>
      </c>
      <c r="B17640" s="220" t="str">
        <f>VLOOKUP(A17640,'Componentes APUs'!$S$1:$V$10,2,0)</f>
        <v>Manila de servicio</v>
      </c>
      <c r="C17640" s="220"/>
      <c r="D17640" s="50" t="s">
        <v>18</v>
      </c>
      <c r="E17640" s="50">
        <v>2</v>
      </c>
      <c r="F17640" s="51">
        <f>VLOOKUP(A17640,'Componentes APUs'!$S$1:$V$10,4,0)</f>
        <v>2333</v>
      </c>
      <c r="G17640" s="51">
        <f>ROUNDUP(F17640*((E17640/21)/E17614),0)</f>
        <v>223</v>
      </c>
    </row>
    <row r="17641" spans="1:7" x14ac:dyDescent="0.25">
      <c r="A17641" s="50" t="s">
        <v>327</v>
      </c>
      <c r="B17641" s="220" t="str">
        <f>VLOOKUP(A17641,'Componentes APUs'!$S$1:$V$10,2,0)</f>
        <v>Tula portaherramientas</v>
      </c>
      <c r="C17641" s="220"/>
      <c r="D17641" s="50" t="s">
        <v>18</v>
      </c>
      <c r="E17641" s="50">
        <v>2</v>
      </c>
      <c r="F17641" s="51">
        <f>VLOOKUP(A17641,'Componentes APUs'!$S$1:$V$10,4,0)</f>
        <v>1250</v>
      </c>
      <c r="G17641" s="51">
        <f>ROUNDUP(F17641*((E17641/21)/E17614),0)</f>
        <v>120</v>
      </c>
    </row>
    <row r="17642" spans="1:7" x14ac:dyDescent="0.25">
      <c r="A17642" s="50" t="s">
        <v>60</v>
      </c>
      <c r="B17642" s="220" t="str">
        <f>VLOOKUP(A17642,'Componentes APUs'!$S$1:$V$10,2,0)</f>
        <v>Agarradoras</v>
      </c>
      <c r="C17642" s="220"/>
      <c r="D17642" s="50" t="s">
        <v>18</v>
      </c>
      <c r="E17642" s="50">
        <v>0</v>
      </c>
      <c r="F17642" s="51">
        <f>VLOOKUP(A17642,'Componentes APUs'!$S$1:$V$10,4,0)</f>
        <v>125000</v>
      </c>
      <c r="G17642" s="51">
        <f>ROUNDUP(F17642*((E17642/21)/E17614),0)</f>
        <v>0</v>
      </c>
    </row>
    <row r="17643" spans="1:7" x14ac:dyDescent="0.25">
      <c r="A17643" s="50" t="s">
        <v>62</v>
      </c>
      <c r="B17643" s="220" t="str">
        <f>VLOOKUP(A17643,'Componentes APUs'!$S$1:$V$10,2,0)</f>
        <v>Templadoras</v>
      </c>
      <c r="C17643" s="220"/>
      <c r="D17643" s="50" t="s">
        <v>18</v>
      </c>
      <c r="E17643" s="50">
        <v>0</v>
      </c>
      <c r="F17643" s="51">
        <f>VLOOKUP(A17643,'Componentes APUs'!$S$1:$V$10,4,0)</f>
        <v>250000</v>
      </c>
      <c r="G17643" s="51">
        <f>ROUNDUP(F17643*((E17643/21)/E17614),0)</f>
        <v>0</v>
      </c>
    </row>
    <row r="17644" spans="1:7" x14ac:dyDescent="0.25">
      <c r="A17644" s="50" t="s">
        <v>328</v>
      </c>
      <c r="B17644" s="220" t="str">
        <f>VLOOKUP(A17644,'Componentes APUs'!$S$1:$V$10,2,0)</f>
        <v>Herramienta Menor</v>
      </c>
      <c r="C17644" s="220"/>
      <c r="D17644" s="50" t="s">
        <v>18</v>
      </c>
      <c r="E17644" s="50">
        <v>2</v>
      </c>
      <c r="F17644" s="51">
        <f>VLOOKUP(A17644,'Componentes APUs'!$S$1:$V$10,4,0)</f>
        <v>75758</v>
      </c>
      <c r="G17644" s="51">
        <f>ROUNDUP(F17644*((E17644/21)/E17614),0)</f>
        <v>7216</v>
      </c>
    </row>
    <row r="17645" spans="1:7" x14ac:dyDescent="0.25">
      <c r="A17645" s="219" t="s">
        <v>69</v>
      </c>
      <c r="B17645" s="219"/>
      <c r="C17645" s="219"/>
      <c r="D17645" s="219"/>
      <c r="E17645" s="219"/>
      <c r="F17645" s="219"/>
      <c r="G17645" s="52">
        <f>SUM(G17639:G17644)</f>
        <v>8433</v>
      </c>
    </row>
    <row r="17646" spans="1:7" x14ac:dyDescent="0.25">
      <c r="A17646" s="56"/>
      <c r="B17646" s="57"/>
      <c r="C17646" s="57"/>
      <c r="D17646" s="57"/>
      <c r="E17646" s="57"/>
      <c r="F17646" s="57"/>
      <c r="G17646" s="58"/>
    </row>
    <row r="17647" spans="1:7" x14ac:dyDescent="0.25">
      <c r="A17647" s="219" t="s">
        <v>70</v>
      </c>
      <c r="B17647" s="219"/>
      <c r="C17647" s="219"/>
      <c r="D17647" s="219"/>
      <c r="E17647" s="219"/>
      <c r="F17647" s="219"/>
      <c r="G17647" s="219"/>
    </row>
    <row r="17648" spans="1:7" x14ac:dyDescent="0.25">
      <c r="A17648" s="49" t="s">
        <v>35</v>
      </c>
      <c r="B17648" s="219" t="s">
        <v>36</v>
      </c>
      <c r="C17648" s="219"/>
      <c r="D17648" s="49" t="s">
        <v>37</v>
      </c>
      <c r="E17648" s="49" t="s">
        <v>38</v>
      </c>
      <c r="F17648" s="49" t="s">
        <v>39</v>
      </c>
      <c r="G17648" s="49" t="s">
        <v>40</v>
      </c>
    </row>
    <row r="17649" spans="1:7" x14ac:dyDescent="0.25">
      <c r="A17649" s="50" t="s">
        <v>71</v>
      </c>
      <c r="B17649" s="71" t="str">
        <f>VLOOKUP(A17649,'Componentes APUs'!$A$1:$D$14,2,0)</f>
        <v>Camisa indigo sin partes metalicas</v>
      </c>
      <c r="C17649" s="71"/>
      <c r="D17649" s="50" t="str">
        <f>VLOOKUP(A17649,'Componentes APUs'!$A$1:$D$14,3,0)</f>
        <v>U</v>
      </c>
      <c r="E17649" s="50">
        <f>SUM(C17629:C17634)</f>
        <v>3.75</v>
      </c>
      <c r="F17649" s="51">
        <f>VLOOKUP(A17649,'Componentes APUs'!$A$1:$D$14,4,0)</f>
        <v>8585.8585858585866</v>
      </c>
      <c r="G17649" s="51">
        <f>ROUNDUP(F17649*(E17649/21)/E17614,0)</f>
        <v>1534</v>
      </c>
    </row>
    <row r="17650" spans="1:7" x14ac:dyDescent="0.25">
      <c r="A17650" s="69" t="s">
        <v>73</v>
      </c>
      <c r="B17650" s="72" t="str">
        <f>VLOOKUP(A17650,'Componentes APUs'!$A$1:$D$14,2,0)</f>
        <v>Bota de seguridad dielectrica</v>
      </c>
      <c r="C17650" s="73"/>
      <c r="D17650" s="70" t="str">
        <f>VLOOKUP(A17650,'Componentes APUs'!$A$1:$D$14,3,0)</f>
        <v>Par</v>
      </c>
      <c r="E17650" s="50">
        <f>SUM(C17629:C17634)</f>
        <v>3.75</v>
      </c>
      <c r="F17650" s="51">
        <f>VLOOKUP(A17650,'Componentes APUs'!$A$1:$D$14,4,0)</f>
        <v>7500</v>
      </c>
      <c r="G17650" s="51">
        <f>ROUNDUP(F17650*(E17650/21)/E17614,0)</f>
        <v>1340</v>
      </c>
    </row>
    <row r="17651" spans="1:7" x14ac:dyDescent="0.25">
      <c r="A17651" s="50" t="s">
        <v>76</v>
      </c>
      <c r="B17651" s="72" t="str">
        <f>VLOOKUP(A17651,'Componentes APUs'!$A$1:$D$14,2,0)</f>
        <v>Casco dielectrico Tipo 1 Clase E con barbuquejo</v>
      </c>
      <c r="C17651" s="73"/>
      <c r="D17651" s="50" t="str">
        <f>VLOOKUP(A17651,'Componentes APUs'!$A$1:$D$14,3,0)</f>
        <v>U</v>
      </c>
      <c r="E17651" s="50">
        <f>C17634+C17629+C17632+C17633+C17630+IF(A17631&lt;&gt;"MO-3",C17631,0)</f>
        <v>3.75</v>
      </c>
      <c r="F17651" s="51">
        <f>VLOOKUP(A17651,'Componentes APUs'!$A$1:$D$14,4,0)</f>
        <v>10101.010101010101</v>
      </c>
      <c r="G17651" s="51">
        <f>ROUNDUP(F17651*(E17651/21)/E17614,0)</f>
        <v>1804</v>
      </c>
    </row>
    <row r="17652" spans="1:7" x14ac:dyDescent="0.25">
      <c r="A17652" s="69" t="s">
        <v>77</v>
      </c>
      <c r="B17652" s="72" t="str">
        <f>VLOOKUP(A17652,'Componentes APUs'!$A$1:$D$14,2,0)</f>
        <v>Correa plastica y antiflama</v>
      </c>
      <c r="C17652" s="73"/>
      <c r="D17652" s="50" t="str">
        <f>VLOOKUP(A17652,'Componentes APUs'!$A$1:$D$14,3,0)</f>
        <v>U</v>
      </c>
      <c r="E17652" s="50">
        <f>SUM(C17629:C17634)</f>
        <v>3.75</v>
      </c>
      <c r="F17652" s="51">
        <f>VLOOKUP(A17652,'Componentes APUs'!$A$1:$D$14,4,0)</f>
        <v>3787.878787878788</v>
      </c>
      <c r="G17652" s="51">
        <f>ROUNDUP(F17652*(E17652/21)/E17614,0)</f>
        <v>677</v>
      </c>
    </row>
    <row r="17653" spans="1:7" x14ac:dyDescent="0.25">
      <c r="A17653" s="50" t="s">
        <v>79</v>
      </c>
      <c r="B17653" s="72" t="str">
        <f>VLOOKUP(A17653,'Componentes APUs'!$A$1:$D$14,2,0)</f>
        <v>Gafas protectoras filtro UV</v>
      </c>
      <c r="C17653" s="73"/>
      <c r="D17653" s="50" t="str">
        <f>VLOOKUP(A17653,'Componentes APUs'!$A$1:$D$14,3,0)</f>
        <v>U</v>
      </c>
      <c r="E17653" s="50">
        <f>SUM(C17629:C17634)</f>
        <v>3.75</v>
      </c>
      <c r="F17653" s="51">
        <f>VLOOKUP(A17653,'Componentes APUs'!$A$1:$D$14,4,0)</f>
        <v>2777.7777777777778</v>
      </c>
      <c r="G17653" s="51">
        <f>ROUNDUP(F17653*(E17653/21)/E17614,0)</f>
        <v>497</v>
      </c>
    </row>
    <row r="17654" spans="1:7" x14ac:dyDescent="0.25">
      <c r="A17654" s="69" t="s">
        <v>402</v>
      </c>
      <c r="B17654" s="72" t="str">
        <f>VLOOKUP(A17654,'Componentes APUs'!$A$1:$D$14,2,0)</f>
        <v>Bota de seguridad PVC dielectrica</v>
      </c>
      <c r="C17654" s="73"/>
      <c r="D17654" s="50" t="str">
        <f>VLOOKUP(A17654,'Componentes APUs'!$A$1:$D$14,3,0)</f>
        <v>Par</v>
      </c>
      <c r="E17654" s="50">
        <f>SUM(C17629:C17634)</f>
        <v>3.75</v>
      </c>
      <c r="F17654" s="51">
        <f>VLOOKUP(A17654,'Componentes APUs'!$A$1:$D$14,4,0)</f>
        <v>2916.6666666666665</v>
      </c>
      <c r="G17654" s="51">
        <f>ROUNDUP(F17654*(E17654/21)/E17614,0)</f>
        <v>521</v>
      </c>
    </row>
    <row r="17655" spans="1:7" x14ac:dyDescent="0.25">
      <c r="A17655" s="50" t="s">
        <v>403</v>
      </c>
      <c r="B17655" s="72" t="str">
        <f>VLOOKUP(A17655,'Componentes APUs'!$A$1:$D$14,2,0)</f>
        <v>Capuchon</v>
      </c>
      <c r="C17655" s="73"/>
      <c r="D17655" s="50" t="str">
        <f>VLOOKUP(A17655,'Componentes APUs'!$A$1:$D$14,3,0)</f>
        <v>U</v>
      </c>
      <c r="E17655" s="50">
        <f>SUM(C17629:C17634)</f>
        <v>3.75</v>
      </c>
      <c r="F17655" s="51">
        <f>VLOOKUP(A17655,'Componentes APUs'!$A$1:$D$14,4,0)</f>
        <v>2525.2525252525252</v>
      </c>
      <c r="G17655" s="51">
        <f>ROUNDUP(F17655*(E17655/21)/E17614,0)</f>
        <v>451</v>
      </c>
    </row>
    <row r="17656" spans="1:7" x14ac:dyDescent="0.25">
      <c r="A17656" s="69" t="s">
        <v>81</v>
      </c>
      <c r="B17656" s="72" t="str">
        <f>VLOOKUP(A17656,'Componentes APUs'!$A$1:$D$14,2,0)</f>
        <v>Guantes Protectores  - ingeniero reforzados</v>
      </c>
      <c r="C17656" s="73"/>
      <c r="D17656" s="50" t="str">
        <f>VLOOKUP(A17656,'Componentes APUs'!$A$1:$D$14,3,0)</f>
        <v>Par</v>
      </c>
      <c r="E17656" s="50">
        <f>C17631+C17632+C17634</f>
        <v>3</v>
      </c>
      <c r="F17656" s="51">
        <f>VLOOKUP(A17656,'Componentes APUs'!$A$1:$D$14,4,0)</f>
        <v>2525.2525252525252</v>
      </c>
      <c r="G17656" s="51">
        <f>ROUNDUP(F17656*(E17656/21)/E17614,0)</f>
        <v>361</v>
      </c>
    </row>
    <row r="17657" spans="1:7" x14ac:dyDescent="0.25">
      <c r="A17657" s="50" t="s">
        <v>83</v>
      </c>
      <c r="B17657" s="72" t="str">
        <f>VLOOKUP(A17657,'Componentes APUs'!$A$1:$D$14,2,0)</f>
        <v>Impermeable (pantalon camisa)</v>
      </c>
      <c r="C17657" s="73"/>
      <c r="D17657" s="50" t="str">
        <f>VLOOKUP(A17657,'Componentes APUs'!$A$1:$D$14,3,0)</f>
        <v>U</v>
      </c>
      <c r="E17657" s="50">
        <f>SUM(C17629:C17634)</f>
        <v>3.75</v>
      </c>
      <c r="F17657" s="51">
        <f>VLOOKUP(A17657,'Componentes APUs'!$A$1:$D$14,4,0)</f>
        <v>3750</v>
      </c>
      <c r="G17657" s="51">
        <f>ROUNDUP(F17657*(E17657/21)/E17614,0)</f>
        <v>670</v>
      </c>
    </row>
    <row r="17658" spans="1:7" x14ac:dyDescent="0.25">
      <c r="A17658" s="69" t="s">
        <v>85</v>
      </c>
      <c r="B17658" s="72" t="str">
        <f>VLOOKUP(A17658,'Componentes APUs'!$A$1:$D$14,2,0)</f>
        <v>Jean Dielectrico</v>
      </c>
      <c r="C17658" s="73"/>
      <c r="D17658" s="50" t="str">
        <f>VLOOKUP(A17658,'Componentes APUs'!$A$1:$D$14,3,0)</f>
        <v>U</v>
      </c>
      <c r="E17658" s="50">
        <f>SUM(C17629:C17634)</f>
        <v>3.75</v>
      </c>
      <c r="F17658" s="51">
        <f>VLOOKUP(A17658,'Componentes APUs'!$A$1:$D$14,4,0)</f>
        <v>7575.757575757576</v>
      </c>
      <c r="G17658" s="51">
        <f>ROUNDUP(F17658*(E17658/21)/E17614,0)</f>
        <v>1353</v>
      </c>
    </row>
    <row r="17659" spans="1:7" x14ac:dyDescent="0.25">
      <c r="A17659" s="50" t="s">
        <v>87</v>
      </c>
      <c r="B17659" s="72" t="str">
        <f>VLOOKUP(A17659,'Componentes APUs'!$A$1:$D$14,2,0)</f>
        <v>Casco dielectrico Tipo 2 Clase E con barboquejo</v>
      </c>
      <c r="C17659" s="73"/>
      <c r="D17659" s="50" t="str">
        <f>VLOOKUP(A17659,'Componentes APUs'!$A$1:$D$14,3,0)</f>
        <v>U</v>
      </c>
      <c r="E17659" s="53">
        <f>IF(A17631="MO-3",C17631,0)</f>
        <v>0</v>
      </c>
      <c r="F17659" s="51">
        <f>VLOOKUP(A17659,'Componentes APUs'!$A$1:$D$14,4,0)</f>
        <v>7500</v>
      </c>
      <c r="G17659" s="51">
        <f>ROUNDUP(F17659*(E17659/21)/E17614,0)</f>
        <v>0</v>
      </c>
    </row>
    <row r="17660" spans="1:7" x14ac:dyDescent="0.25">
      <c r="A17660" s="69" t="s">
        <v>89</v>
      </c>
      <c r="B17660" s="72" t="str">
        <f>VLOOKUP(A17660,'Componentes APUs'!$A$1:$D$14,2,0)</f>
        <v>Kit de rescate para trabajo en alturas</v>
      </c>
      <c r="C17660" s="73"/>
      <c r="D17660" s="50" t="str">
        <f>VLOOKUP(A17660,'Componentes APUs'!$A$1:$D$14,3,0)</f>
        <v>U</v>
      </c>
      <c r="E17660" s="50">
        <f>IF(AND(A17631="MO-3",C17631=2),1,0)</f>
        <v>0</v>
      </c>
      <c r="F17660" s="51">
        <f>VLOOKUP(A17660,'Componentes APUs'!$A$1:$D$14,4,0)</f>
        <v>37500</v>
      </c>
      <c r="G17660" s="51">
        <f>ROUNDUP(F17660*(E17660/21)/E17614,0)</f>
        <v>0</v>
      </c>
    </row>
    <row r="17661" spans="1:7" x14ac:dyDescent="0.25">
      <c r="A17661" s="50" t="s">
        <v>91</v>
      </c>
      <c r="B17661" s="72" t="str">
        <f>VLOOKUP(A17661,'Componentes APUs'!$A$1:$D$14,2,0)</f>
        <v>Equipo completo para trabajo en alturas con pretales (Arnes dielectrico, 1 mosqueton de seguridad, tie off dielectrico, eslinga de posicionamiento, juego de pretales)</v>
      </c>
      <c r="C17661" s="73"/>
      <c r="D17661" s="50" t="str">
        <f>VLOOKUP(A17661,'Componentes APUs'!$A$1:$D$14,3,0)</f>
        <v>U</v>
      </c>
      <c r="E17661" s="50">
        <f>IF(A17631="MO-3",C17631,0)</f>
        <v>0</v>
      </c>
      <c r="F17661" s="51">
        <f>VLOOKUP(A17661,'Componentes APUs'!$A$1:$D$14,4,0)</f>
        <v>26041.666666666668</v>
      </c>
      <c r="G17661" s="51">
        <f>ROUNDUP(F17661*(E17661/21)/E17614,0)</f>
        <v>0</v>
      </c>
    </row>
    <row r="17662" spans="1:7" x14ac:dyDescent="0.25">
      <c r="A17662" s="219" t="s">
        <v>95</v>
      </c>
      <c r="B17662" s="219"/>
      <c r="C17662" s="219"/>
      <c r="D17662" s="219"/>
      <c r="E17662" s="219"/>
      <c r="F17662" s="219"/>
      <c r="G17662" s="52">
        <f>SUM(G17649:G17661)</f>
        <v>9208</v>
      </c>
    </row>
    <row r="17663" spans="1:7" x14ac:dyDescent="0.25">
      <c r="A17663" s="56"/>
      <c r="B17663" s="57"/>
      <c r="C17663" s="57"/>
      <c r="D17663" s="57"/>
      <c r="E17663" s="57"/>
      <c r="F17663" s="57"/>
      <c r="G17663" s="58"/>
    </row>
    <row r="17664" spans="1:7" x14ac:dyDescent="0.25">
      <c r="A17664" s="219" t="s">
        <v>96</v>
      </c>
      <c r="B17664" s="219"/>
      <c r="C17664" s="219"/>
      <c r="D17664" s="219"/>
      <c r="E17664" s="219"/>
      <c r="F17664" s="219"/>
      <c r="G17664" s="219"/>
    </row>
    <row r="17665" spans="1:7" x14ac:dyDescent="0.25">
      <c r="A17665" s="49" t="s">
        <v>35</v>
      </c>
      <c r="B17665" s="225" t="s">
        <v>36</v>
      </c>
      <c r="C17665" s="225"/>
      <c r="D17665" s="49" t="s">
        <v>37</v>
      </c>
      <c r="E17665" s="49" t="s">
        <v>38</v>
      </c>
      <c r="F17665" s="49" t="s">
        <v>39</v>
      </c>
      <c r="G17665" s="49" t="s">
        <v>40</v>
      </c>
    </row>
    <row r="17666" spans="1:7" x14ac:dyDescent="0.25">
      <c r="A17666" s="69" t="s">
        <v>97</v>
      </c>
      <c r="B17666" s="72" t="str">
        <f>VLOOKUP(A17666,'Componentes APUs'!$N$1:$Q$30,2,0)</f>
        <v>Camioneta</v>
      </c>
      <c r="C17666" s="73"/>
      <c r="D17666" s="70" t="str">
        <f>VLOOKUP(A17666,'Componentes APUs'!$N$1:$Q$30,3,0)</f>
        <v>U</v>
      </c>
      <c r="E17666" s="50">
        <v>1</v>
      </c>
      <c r="F17666" s="51">
        <f>VLOOKUP(A17666,'Componentes APUs'!$N$1:$Q$30,4,0)</f>
        <v>5500000</v>
      </c>
      <c r="G17666" s="51">
        <f>IFERROR(ROUNDUP(F17666*(E17666/21)/E17614,0),0)</f>
        <v>261905</v>
      </c>
    </row>
    <row r="17667" spans="1:7" x14ac:dyDescent="0.25">
      <c r="A17667" s="50" t="s">
        <v>321</v>
      </c>
      <c r="B17667" s="72" t="str">
        <f>VLOOKUP(A17667,'Componentes APUs'!$N$1:$Q$30,2,0)</f>
        <v>Grúa Hidráulica</v>
      </c>
      <c r="C17667" s="73"/>
      <c r="D17667" s="70" t="str">
        <f>VLOOKUP(A17667,'Componentes APUs'!$N$1:$Q$30,3,0)</f>
        <v>U</v>
      </c>
      <c r="E17667" s="50">
        <v>0</v>
      </c>
      <c r="F17667" s="51">
        <f>VLOOKUP(A17667,'Componentes APUs'!$N$1:$Q$30,4,0)</f>
        <v>21000000</v>
      </c>
      <c r="G17667" s="51">
        <f>IFERROR(ROUNDUP(F17667*(E17667/21)/E17614,0),0)</f>
        <v>0</v>
      </c>
    </row>
    <row r="17668" spans="1:7" x14ac:dyDescent="0.25">
      <c r="A17668" s="69" t="s">
        <v>322</v>
      </c>
      <c r="B17668" s="72" t="str">
        <f>VLOOKUP(A17668,'Componentes APUs'!$N$1:$Q$30,2,0)</f>
        <v>Camabaja</v>
      </c>
      <c r="C17668" s="73"/>
      <c r="D17668" s="70" t="str">
        <f>VLOOKUP(A17668,'Componentes APUs'!$N$1:$Q$30,3,0)</f>
        <v>TON/KM</v>
      </c>
      <c r="E17668" s="50">
        <v>0</v>
      </c>
      <c r="F17668" s="51">
        <f>VLOOKUP(A17668,'Componentes APUs'!$N$1:$Q$30,4,0)</f>
        <v>611</v>
      </c>
      <c r="G17668" s="51">
        <f>IFERROR(ROUNDUP(F17668*(E17668/21)/E17614,0),0)</f>
        <v>0</v>
      </c>
    </row>
    <row r="17669" spans="1:7" x14ac:dyDescent="0.25">
      <c r="A17669" s="50" t="s">
        <v>323</v>
      </c>
      <c r="B17669" s="72" t="str">
        <f>VLOOKUP(A17669,'Componentes APUs'!$N$1:$Q$30,2,0)</f>
        <v>Volqueta</v>
      </c>
      <c r="C17669" s="73"/>
      <c r="D17669" s="70" t="str">
        <f>VLOOKUP(A17669,'Componentes APUs'!$N$1:$Q$30,3,0)</f>
        <v>U</v>
      </c>
      <c r="E17669" s="50">
        <v>0</v>
      </c>
      <c r="F17669" s="51">
        <f>VLOOKUP(A17669,'Componentes APUs'!$N$1:$Q$30,4,0)</f>
        <v>14828184</v>
      </c>
      <c r="G17669" s="51">
        <f>IFERROR(ROUNDUP(F17669*(E17669/21)/E17614,0),0)</f>
        <v>0</v>
      </c>
    </row>
    <row r="17670" spans="1:7" x14ac:dyDescent="0.25">
      <c r="A17670" s="69" t="s">
        <v>324</v>
      </c>
      <c r="B17670" s="72" t="str">
        <f>VLOOKUP(A17670,'Componentes APUs'!$N$1:$Q$30,2,0)</f>
        <v>Retroexcavadora</v>
      </c>
      <c r="C17670" s="73"/>
      <c r="D17670" s="70" t="str">
        <f>VLOOKUP(A17670,'Componentes APUs'!$N$1:$Q$30,3,0)</f>
        <v>U</v>
      </c>
      <c r="E17670" s="50">
        <v>0</v>
      </c>
      <c r="F17670" s="51">
        <f>VLOOKUP(A17670,'Componentes APUs'!$N$1:$Q$30,4,0)</f>
        <v>46030656</v>
      </c>
      <c r="G17670" s="51">
        <f>IFERROR(ROUNDUP(F17670*(E17670/21)/E17614,0),0)</f>
        <v>0</v>
      </c>
    </row>
    <row r="17671" spans="1:7" x14ac:dyDescent="0.25">
      <c r="A17671" s="219" t="s">
        <v>99</v>
      </c>
      <c r="B17671" s="219"/>
      <c r="C17671" s="219"/>
      <c r="D17671" s="219"/>
      <c r="E17671" s="219"/>
      <c r="F17671" s="219"/>
      <c r="G17671" s="52">
        <f>SUM(G17666:G17670)</f>
        <v>261905</v>
      </c>
    </row>
    <row r="17672" spans="1:7" x14ac:dyDescent="0.25">
      <c r="A17672" s="56"/>
      <c r="B17672" s="57"/>
      <c r="C17672" s="57"/>
      <c r="D17672" s="57"/>
      <c r="E17672" s="57"/>
      <c r="F17672" s="57"/>
      <c r="G17672" s="58"/>
    </row>
    <row r="17673" spans="1:7" x14ac:dyDescent="0.25">
      <c r="A17673" s="219" t="s">
        <v>1516</v>
      </c>
      <c r="B17673" s="219"/>
      <c r="C17673" s="219"/>
      <c r="D17673" s="219"/>
      <c r="E17673" s="219"/>
      <c r="F17673" s="219"/>
      <c r="G17673" s="52">
        <f>G17671+G17662+G17645+G17635+G17625</f>
        <v>133550575</v>
      </c>
    </row>
    <row r="17674" spans="1:7" x14ac:dyDescent="0.25">
      <c r="A17674" s="59"/>
      <c r="B17674" s="60"/>
      <c r="C17674" s="60"/>
      <c r="D17674" s="60"/>
      <c r="E17674" s="57"/>
      <c r="F17674" s="57"/>
      <c r="G17674" s="58"/>
    </row>
    <row r="17675" spans="1:7" x14ac:dyDescent="0.25">
      <c r="A17675" s="64"/>
      <c r="D17675" s="55"/>
      <c r="E17675" s="49" t="s">
        <v>25</v>
      </c>
      <c r="F17675" s="54">
        <v>0.15</v>
      </c>
      <c r="G17675" s="51">
        <f>G17673*F17675</f>
        <v>20032586.25</v>
      </c>
    </row>
    <row r="17676" spans="1:7" x14ac:dyDescent="0.25">
      <c r="A17676" s="64"/>
      <c r="D17676" s="55"/>
      <c r="E17676" s="49" t="s">
        <v>26</v>
      </c>
      <c r="F17676" s="54">
        <v>0.05</v>
      </c>
      <c r="G17676" s="51">
        <f>G17673*F17676</f>
        <v>6677528.75</v>
      </c>
    </row>
    <row r="17677" spans="1:7" x14ac:dyDescent="0.25">
      <c r="A17677" s="61"/>
      <c r="B17677" s="65"/>
      <c r="C17677" s="65"/>
      <c r="D17677" s="62"/>
      <c r="E17677" s="49" t="s">
        <v>27</v>
      </c>
      <c r="F17677" s="54">
        <v>0.05</v>
      </c>
      <c r="G17677" s="51">
        <f>G17673*F17677</f>
        <v>6677528.75</v>
      </c>
    </row>
    <row r="17678" spans="1:7" x14ac:dyDescent="0.25">
      <c r="A17678" s="61"/>
      <c r="B17678" s="62"/>
      <c r="C17678" s="62"/>
      <c r="D17678" s="62"/>
      <c r="E17678" s="62"/>
      <c r="F17678" s="62"/>
      <c r="G17678" s="63"/>
    </row>
    <row r="17679" spans="1:7" x14ac:dyDescent="0.25">
      <c r="A17679" s="219" t="s">
        <v>1517</v>
      </c>
      <c r="B17679" s="219"/>
      <c r="C17679" s="219"/>
      <c r="D17679" s="219"/>
      <c r="E17679" s="219"/>
      <c r="F17679" s="219"/>
      <c r="G17679" s="52">
        <f>G17673+G17675+G17676+G17677</f>
        <v>166938218.75</v>
      </c>
    </row>
    <row r="17680" spans="1:7" x14ac:dyDescent="0.25">
      <c r="A17680" s="59"/>
      <c r="B17680" s="60"/>
      <c r="C17680" s="60"/>
      <c r="D17680" s="60"/>
      <c r="E17680" s="57"/>
      <c r="F17680" s="57"/>
      <c r="G17680" s="58"/>
    </row>
    <row r="17681" spans="1:7" x14ac:dyDescent="0.25">
      <c r="A17681" s="64"/>
      <c r="D17681" s="55"/>
      <c r="E17681" s="49" t="s">
        <v>102</v>
      </c>
      <c r="F17681" s="49" t="s">
        <v>103</v>
      </c>
      <c r="G17681" s="51">
        <f>G17677*19%</f>
        <v>1268730.4624999999</v>
      </c>
    </row>
    <row r="17682" spans="1:7" x14ac:dyDescent="0.25">
      <c r="A17682" s="61"/>
      <c r="B17682" s="62"/>
      <c r="C17682" s="62"/>
      <c r="D17682" s="62"/>
      <c r="E17682" s="57"/>
      <c r="F17682" s="57"/>
      <c r="G17682" s="58"/>
    </row>
    <row r="17683" spans="1:7" x14ac:dyDescent="0.25">
      <c r="A17683" s="219" t="s">
        <v>104</v>
      </c>
      <c r="B17683" s="219"/>
      <c r="C17683" s="219"/>
      <c r="D17683" s="219"/>
      <c r="E17683" s="219"/>
      <c r="F17683" s="219"/>
      <c r="G17683" s="52">
        <f>G17681+G17679</f>
        <v>168206949.21250001</v>
      </c>
    </row>
    <row r="17685" spans="1:7" x14ac:dyDescent="0.25">
      <c r="A17685" s="74" t="s">
        <v>29</v>
      </c>
      <c r="B17685" s="226" t="s">
        <v>30</v>
      </c>
      <c r="C17685" s="226"/>
      <c r="D17685" s="74" t="s">
        <v>31</v>
      </c>
      <c r="E17685" s="74" t="s">
        <v>32</v>
      </c>
      <c r="F17685" s="74" t="s">
        <v>189</v>
      </c>
      <c r="G17685" s="74" t="s">
        <v>33</v>
      </c>
    </row>
    <row r="17686" spans="1:7" ht="40.5" customHeight="1" x14ac:dyDescent="0.25">
      <c r="A17686" s="50" t="str">
        <f>Presupuesto!B345</f>
        <v>018_AUX</v>
      </c>
      <c r="B17686" s="220" t="str">
        <f>Presupuesto!C345</f>
        <v>SUMINISTRO E INSTALACIÓN DE BANCO DE BATERÍAS (CONFORMADO POR 63 BATERÍAS DE 2 VDC – 400 AH).  INCLUYE  ESTRUCTURA DE SOPORTE Y DEMÁS ACCESORIOS PARA SU CORRECTA INSTALACIÓN.</v>
      </c>
      <c r="C17686" s="220"/>
      <c r="D17686" s="50" t="s">
        <v>8</v>
      </c>
      <c r="E17686" s="50">
        <v>1</v>
      </c>
      <c r="F17686" s="50"/>
      <c r="G17686" s="51">
        <f>G17751</f>
        <v>145196958.56600001</v>
      </c>
    </row>
    <row r="17687" spans="1:7" x14ac:dyDescent="0.25">
      <c r="A17687" s="219" t="s">
        <v>34</v>
      </c>
      <c r="B17687" s="219"/>
      <c r="C17687" s="219"/>
      <c r="D17687" s="219"/>
      <c r="E17687" s="219"/>
      <c r="F17687" s="219"/>
      <c r="G17687" s="219"/>
    </row>
    <row r="17688" spans="1:7" x14ac:dyDescent="0.25">
      <c r="A17688" s="49" t="s">
        <v>35</v>
      </c>
      <c r="B17688" s="219" t="s">
        <v>36</v>
      </c>
      <c r="C17688" s="219"/>
      <c r="D17688" s="49" t="s">
        <v>37</v>
      </c>
      <c r="E17688" s="49" t="s">
        <v>38</v>
      </c>
      <c r="F17688" s="49" t="s">
        <v>39</v>
      </c>
      <c r="G17688" s="49" t="s">
        <v>40</v>
      </c>
    </row>
    <row r="17689" spans="1:7" ht="29.25" customHeight="1" x14ac:dyDescent="0.25">
      <c r="A17689" s="17" t="str">
        <f>Material!A120</f>
        <v>MA-119</v>
      </c>
      <c r="B17689" s="232" t="str">
        <f>IFERROR(VLOOKUP(A17689,Material!$A:$H,2,0),"-")</f>
        <v>BANCO DE BATERÍAS CONFORMADO POR 60 CELDAS 2 VDC –
400 AH INCLUYE ESTRUCTURA DE SOPORTE Y ACCESORIO.</v>
      </c>
      <c r="C17689" s="233"/>
      <c r="D17689" s="50" t="str">
        <f>IFERROR(VLOOKUP(A17689,Material!$A:$H,4,0),"-")</f>
        <v>UN</v>
      </c>
      <c r="E17689" s="50">
        <v>1</v>
      </c>
      <c r="F17689" s="51">
        <f>IFERROR(VLOOKUP(A17689,Material!$A:$H,3,0),"-")</f>
        <v>110601940.65507214</v>
      </c>
      <c r="G17689" s="51">
        <f t="shared" ref="G17689:G17692" si="247">IFERROR(ROUNDUP(F17689*E17689,0),"-")</f>
        <v>110601941</v>
      </c>
    </row>
    <row r="17690" spans="1:7" x14ac:dyDescent="0.25">
      <c r="A17690" s="17" t="str">
        <f>Material!A441</f>
        <v>MA-440</v>
      </c>
      <c r="B17690" s="72" t="str">
        <f>IFERROR(VLOOKUP(A17690,Material!$A:$H,2,0),"-")</f>
        <v>ESTRUCTURA METÁLICA PARA BATERIAS</v>
      </c>
      <c r="C17690" s="76"/>
      <c r="D17690" s="50" t="str">
        <f>IFERROR(VLOOKUP(A17690,Material!$A:$H,4,0),"-")</f>
        <v>UN</v>
      </c>
      <c r="E17690" s="50">
        <v>1</v>
      </c>
      <c r="F17690" s="51">
        <f>IFERROR(VLOOKUP(A17690,Material!$A:$H,3,0),"-")</f>
        <v>2210000</v>
      </c>
      <c r="G17690" s="51">
        <f t="shared" si="247"/>
        <v>2210000</v>
      </c>
    </row>
    <row r="17691" spans="1:7" x14ac:dyDescent="0.25">
      <c r="A17691" s="17"/>
      <c r="B17691" s="72" t="str">
        <f>IFERROR(VLOOKUP(A17691,Material!$A:$H,2,0),"-")</f>
        <v>-</v>
      </c>
      <c r="C17691" s="76"/>
      <c r="D17691" s="50" t="str">
        <f>IFERROR(VLOOKUP(A17691,Material!$A:$H,4,0),"-")</f>
        <v>-</v>
      </c>
      <c r="E17691" s="50"/>
      <c r="F17691" s="51" t="str">
        <f>IFERROR(VLOOKUP(A17691,Material!$A:$H,3,0),"-")</f>
        <v>-</v>
      </c>
      <c r="G17691" s="51" t="str">
        <f t="shared" si="247"/>
        <v>-</v>
      </c>
    </row>
    <row r="17692" spans="1:7" x14ac:dyDescent="0.25">
      <c r="A17692" s="17"/>
      <c r="B17692" s="72" t="str">
        <f>IFERROR(VLOOKUP(A17692,Material!$A:$H,2,0),"-")</f>
        <v>-</v>
      </c>
      <c r="C17692" s="76"/>
      <c r="D17692" s="50" t="str">
        <f>IFERROR(VLOOKUP(A17692,Material!$A:$H,4,0),"-")</f>
        <v>-</v>
      </c>
      <c r="E17692" s="50"/>
      <c r="F17692" s="51" t="str">
        <f>IFERROR(VLOOKUP(A17692,Material!$A:$H,3,0),"-")</f>
        <v>-</v>
      </c>
      <c r="G17692" s="51" t="str">
        <f t="shared" si="247"/>
        <v>-</v>
      </c>
    </row>
    <row r="17693" spans="1:7" x14ac:dyDescent="0.25">
      <c r="A17693" s="219" t="s">
        <v>41</v>
      </c>
      <c r="B17693" s="219"/>
      <c r="C17693" s="219"/>
      <c r="D17693" s="219"/>
      <c r="E17693" s="219"/>
      <c r="F17693" s="219"/>
      <c r="G17693" s="52">
        <f>SUM(G17689:G17692)</f>
        <v>112811941</v>
      </c>
    </row>
    <row r="17694" spans="1:7" x14ac:dyDescent="0.25">
      <c r="A17694" s="56"/>
      <c r="B17694" s="57"/>
      <c r="C17694" s="57"/>
      <c r="D17694" s="57"/>
      <c r="E17694" s="57"/>
      <c r="F17694" s="57"/>
      <c r="G17694" s="58"/>
    </row>
    <row r="17695" spans="1:7" x14ac:dyDescent="0.25">
      <c r="A17695" s="219" t="s">
        <v>42</v>
      </c>
      <c r="B17695" s="219"/>
      <c r="C17695" s="219"/>
      <c r="D17695" s="219"/>
      <c r="E17695" s="219"/>
      <c r="F17695" s="219"/>
      <c r="G17695" s="219"/>
    </row>
    <row r="17696" spans="1:7" x14ac:dyDescent="0.25">
      <c r="A17696" s="49" t="s">
        <v>35</v>
      </c>
      <c r="B17696" s="49" t="s">
        <v>36</v>
      </c>
      <c r="C17696" s="49" t="s">
        <v>38</v>
      </c>
      <c r="D17696" s="49" t="s">
        <v>43</v>
      </c>
      <c r="E17696" s="49" t="s">
        <v>44</v>
      </c>
      <c r="F17696" s="49" t="s">
        <v>45</v>
      </c>
      <c r="G17696" s="49" t="s">
        <v>40</v>
      </c>
    </row>
    <row r="17697" spans="1:7" x14ac:dyDescent="0.25">
      <c r="A17697" s="50" t="s">
        <v>319</v>
      </c>
      <c r="B17697" s="68" t="str">
        <f>VLOOKUP(A17697,'Componentes APUs'!$H$1:$L$25,2,0)</f>
        <v>Ingeniero Residente de Obra</v>
      </c>
      <c r="C17697" s="93">
        <v>0.25</v>
      </c>
      <c r="D17697" s="50">
        <f>VLOOKUP(A17697,'Componentes APUs'!$H$1:$L$25,3,0)</f>
        <v>4</v>
      </c>
      <c r="E17697" s="51">
        <f>VLOOKUP(A17697,'Componentes APUs'!$H$1:$L$25,4,0)</f>
        <v>271142.85714285716</v>
      </c>
      <c r="F17697" s="51">
        <f>VLOOKUP(A17697,'Componentes APUs'!$H$1:$L$25,5,0)</f>
        <v>162685.71428571429</v>
      </c>
      <c r="G17697" s="51">
        <f>ROUNDUP((E17697+F17697)*C17697/E17686,0)</f>
        <v>108458</v>
      </c>
    </row>
    <row r="17698" spans="1:7" x14ac:dyDescent="0.25">
      <c r="A17698" s="50" t="s">
        <v>320</v>
      </c>
      <c r="B17698" s="68" t="str">
        <f>VLOOKUP(A17698,'Componentes APUs'!$H$1:$L$25,2,0)</f>
        <v>Tecnico Supervisor</v>
      </c>
      <c r="C17698" s="93">
        <v>0.25</v>
      </c>
      <c r="D17698" s="50">
        <f>VLOOKUP(A17698,'Componentes APUs'!$H$1:$L$25,3,0)</f>
        <v>2.2999999999999998</v>
      </c>
      <c r="E17698" s="51">
        <f>VLOOKUP(A17698,'Componentes APUs'!$H$1:$L$25,4,0)</f>
        <v>155907.14285714284</v>
      </c>
      <c r="F17698" s="51">
        <f>VLOOKUP(A17698,'Componentes APUs'!$H$1:$L$25,5,0)</f>
        <v>93544.285714285696</v>
      </c>
      <c r="G17698" s="51">
        <f>ROUNDUP((E17698+F17698)*C17698/E17686,0)</f>
        <v>62363</v>
      </c>
    </row>
    <row r="17699" spans="1:7" x14ac:dyDescent="0.25">
      <c r="A17699" s="50" t="s">
        <v>1160</v>
      </c>
      <c r="B17699" s="68" t="str">
        <f>VLOOKUP(A17699,'Componentes APUs'!$H$1:$L$25,2,0)</f>
        <v>Oficial Eléctrico</v>
      </c>
      <c r="C17699" s="93">
        <v>1</v>
      </c>
      <c r="D17699" s="50">
        <f>VLOOKUP(A17699,'Componentes APUs'!$H$1:$L$25,3,0)</f>
        <v>2</v>
      </c>
      <c r="E17699" s="51">
        <f>VLOOKUP(A17699,'Componentes APUs'!$H$1:$L$25,4,0)</f>
        <v>154619.04761904763</v>
      </c>
      <c r="F17699" s="51">
        <f>VLOOKUP(A17699,'Componentes APUs'!$H$1:$L$25,5,0)</f>
        <v>92771.42857142858</v>
      </c>
      <c r="G17699" s="51">
        <f>ROUNDUP((E17699+F17699)*C17699/E17686,0)</f>
        <v>247391</v>
      </c>
    </row>
    <row r="17700" spans="1:7" x14ac:dyDescent="0.25">
      <c r="A17700" s="50" t="s">
        <v>48</v>
      </c>
      <c r="B17700" s="68" t="str">
        <f>VLOOKUP(A17700,'Componentes APUs'!$H$1:$L$25,2,0)</f>
        <v>Ayudante Calificado</v>
      </c>
      <c r="C17700" s="93">
        <v>1</v>
      </c>
      <c r="D17700" s="50">
        <f>VLOOKUP(A17700,'Componentes APUs'!$H$1:$L$25,3,0)</f>
        <v>1.5</v>
      </c>
      <c r="E17700" s="51">
        <f>VLOOKUP(A17700,'Componentes APUs'!$H$1:$L$25,4,0)</f>
        <v>115964.28571428571</v>
      </c>
      <c r="F17700" s="51">
        <f>VLOOKUP(A17700,'Componentes APUs'!$H$1:$L$25,5,0)</f>
        <v>69578.57142857142</v>
      </c>
      <c r="G17700" s="51">
        <f>ROUNDUP((E17700+F17700)*C17700/E17686,0)</f>
        <v>185543</v>
      </c>
    </row>
    <row r="17701" spans="1:7" x14ac:dyDescent="0.25">
      <c r="A17701" s="50" t="s">
        <v>50</v>
      </c>
      <c r="B17701" s="68" t="str">
        <f>VLOOKUP(A17701,'Componentes APUs'!$H$1:$L$25,2,0)</f>
        <v>Profesional en SST</v>
      </c>
      <c r="C17701" s="93">
        <v>0.25</v>
      </c>
      <c r="D17701" s="50">
        <f>VLOOKUP(A17701,'Componentes APUs'!$H$1:$L$25,3,0)</f>
        <v>2.5</v>
      </c>
      <c r="E17701" s="51">
        <f>VLOOKUP(A17701,'Componentes APUs'!$H$1:$L$25,4,0)</f>
        <v>169464.28571428571</v>
      </c>
      <c r="F17701" s="51">
        <f>VLOOKUP(A17701,'Componentes APUs'!$H$1:$L$25,5,0)</f>
        <v>101678.57142857142</v>
      </c>
      <c r="G17701" s="51">
        <f>ROUNDUP((E17701+F17701)*C17701/E17686,0)</f>
        <v>67786</v>
      </c>
    </row>
    <row r="17702" spans="1:7" x14ac:dyDescent="0.25">
      <c r="A17702" s="50" t="s">
        <v>1121</v>
      </c>
      <c r="B17702" s="68" t="str">
        <f>VLOOKUP(A17702,'Componentes APUs'!$H$1:$L$25,2,0)</f>
        <v>Ingeniero Especialista de Control y Protección Subestación</v>
      </c>
      <c r="C17702" s="93">
        <v>1</v>
      </c>
      <c r="D17702" s="50">
        <f>VLOOKUP(A17702,'Componentes APUs'!$H$1:$L$25,3,0)</f>
        <v>14</v>
      </c>
      <c r="E17702" s="51">
        <f>VLOOKUP(A17702,'Componentes APUs'!$H$1:$L$25,4,0)</f>
        <v>949000</v>
      </c>
      <c r="F17702" s="51">
        <f>VLOOKUP(A17702,'Componentes APUs'!$H$1:$L$25,5,0)</f>
        <v>569400</v>
      </c>
      <c r="G17702" s="51">
        <f>ROUNDUP((E17702+F17702)*C17702/E17686,0)</f>
        <v>1518400</v>
      </c>
    </row>
    <row r="17703" spans="1:7" x14ac:dyDescent="0.25">
      <c r="A17703" s="219" t="s">
        <v>56</v>
      </c>
      <c r="B17703" s="219"/>
      <c r="C17703" s="219"/>
      <c r="D17703" s="219"/>
      <c r="E17703" s="219"/>
      <c r="F17703" s="219"/>
      <c r="G17703" s="52">
        <f>SUM(G17697:G17702)</f>
        <v>2189941</v>
      </c>
    </row>
    <row r="17704" spans="1:7" x14ac:dyDescent="0.25">
      <c r="A17704" s="56"/>
      <c r="B17704" s="57"/>
      <c r="C17704" s="57"/>
      <c r="D17704" s="57"/>
      <c r="E17704" s="57"/>
      <c r="F17704" s="57"/>
      <c r="G17704" s="58"/>
    </row>
    <row r="17705" spans="1:7" x14ac:dyDescent="0.25">
      <c r="A17705" s="219" t="s">
        <v>57</v>
      </c>
      <c r="B17705" s="219"/>
      <c r="C17705" s="219"/>
      <c r="D17705" s="219"/>
      <c r="E17705" s="219"/>
      <c r="F17705" s="219"/>
      <c r="G17705" s="219"/>
    </row>
    <row r="17706" spans="1:7" x14ac:dyDescent="0.25">
      <c r="A17706" s="49" t="s">
        <v>35</v>
      </c>
      <c r="B17706" s="219" t="s">
        <v>36</v>
      </c>
      <c r="C17706" s="219"/>
      <c r="D17706" s="49" t="s">
        <v>37</v>
      </c>
      <c r="E17706" s="49" t="s">
        <v>38</v>
      </c>
      <c r="F17706" s="49" t="s">
        <v>39</v>
      </c>
      <c r="G17706" s="49" t="s">
        <v>40</v>
      </c>
    </row>
    <row r="17707" spans="1:7" x14ac:dyDescent="0.25">
      <c r="A17707" s="50" t="s">
        <v>326</v>
      </c>
      <c r="B17707" s="220" t="str">
        <f>VLOOKUP(A17707,'Componentes APUs'!$S$1:$V$10,2,0)</f>
        <v>Juego Llaves</v>
      </c>
      <c r="C17707" s="220"/>
      <c r="D17707" s="50" t="s">
        <v>18</v>
      </c>
      <c r="E17707" s="50">
        <v>2</v>
      </c>
      <c r="F17707" s="51">
        <f>VLOOKUP(A17707,'Componentes APUs'!$S$1:$V$10,4,0)</f>
        <v>9167</v>
      </c>
      <c r="G17707" s="51">
        <f>ROUNDUP(F17707*((E17707/21)/E17686),0)</f>
        <v>874</v>
      </c>
    </row>
    <row r="17708" spans="1:7" x14ac:dyDescent="0.25">
      <c r="A17708" s="50" t="s">
        <v>58</v>
      </c>
      <c r="B17708" s="220" t="str">
        <f>VLOOKUP(A17708,'Componentes APUs'!$S$1:$V$10,2,0)</f>
        <v>Manila de servicio</v>
      </c>
      <c r="C17708" s="220"/>
      <c r="D17708" s="50" t="s">
        <v>18</v>
      </c>
      <c r="E17708" s="50">
        <v>2</v>
      </c>
      <c r="F17708" s="51">
        <f>VLOOKUP(A17708,'Componentes APUs'!$S$1:$V$10,4,0)</f>
        <v>2333</v>
      </c>
      <c r="G17708" s="51">
        <f>ROUNDUP(F17708*((E17708/21)/E17686),0)</f>
        <v>223</v>
      </c>
    </row>
    <row r="17709" spans="1:7" x14ac:dyDescent="0.25">
      <c r="A17709" s="50" t="s">
        <v>327</v>
      </c>
      <c r="B17709" s="220" t="str">
        <f>VLOOKUP(A17709,'Componentes APUs'!$S$1:$V$10,2,0)</f>
        <v>Tula portaherramientas</v>
      </c>
      <c r="C17709" s="220"/>
      <c r="D17709" s="50" t="s">
        <v>18</v>
      </c>
      <c r="E17709" s="50">
        <v>2</v>
      </c>
      <c r="F17709" s="51">
        <f>VLOOKUP(A17709,'Componentes APUs'!$S$1:$V$10,4,0)</f>
        <v>1250</v>
      </c>
      <c r="G17709" s="51">
        <f>ROUNDUP(F17709*((E17709/21)/E17686),0)</f>
        <v>120</v>
      </c>
    </row>
    <row r="17710" spans="1:7" x14ac:dyDescent="0.25">
      <c r="A17710" s="50" t="s">
        <v>60</v>
      </c>
      <c r="B17710" s="220" t="str">
        <f>VLOOKUP(A17710,'Componentes APUs'!$S$1:$V$10,2,0)</f>
        <v>Agarradoras</v>
      </c>
      <c r="C17710" s="220"/>
      <c r="D17710" s="50" t="s">
        <v>18</v>
      </c>
      <c r="E17710" s="50">
        <v>0</v>
      </c>
      <c r="F17710" s="51">
        <f>VLOOKUP(A17710,'Componentes APUs'!$S$1:$V$10,4,0)</f>
        <v>125000</v>
      </c>
      <c r="G17710" s="51">
        <f>ROUNDUP(F17710*((E17710/21)/E17686),0)</f>
        <v>0</v>
      </c>
    </row>
    <row r="17711" spans="1:7" x14ac:dyDescent="0.25">
      <c r="A17711" s="50" t="s">
        <v>62</v>
      </c>
      <c r="B17711" s="220" t="str">
        <f>VLOOKUP(A17711,'Componentes APUs'!$S$1:$V$10,2,0)</f>
        <v>Templadoras</v>
      </c>
      <c r="C17711" s="220"/>
      <c r="D17711" s="50" t="s">
        <v>18</v>
      </c>
      <c r="E17711" s="50">
        <v>0</v>
      </c>
      <c r="F17711" s="51">
        <f>VLOOKUP(A17711,'Componentes APUs'!$S$1:$V$10,4,0)</f>
        <v>250000</v>
      </c>
      <c r="G17711" s="51">
        <f>ROUNDUP(F17711*((E17711/21)/E17686),0)</f>
        <v>0</v>
      </c>
    </row>
    <row r="17712" spans="1:7" x14ac:dyDescent="0.25">
      <c r="A17712" s="50" t="s">
        <v>328</v>
      </c>
      <c r="B17712" s="220" t="str">
        <f>VLOOKUP(A17712,'Componentes APUs'!$S$1:$V$10,2,0)</f>
        <v>Herramienta Menor</v>
      </c>
      <c r="C17712" s="220"/>
      <c r="D17712" s="50" t="s">
        <v>18</v>
      </c>
      <c r="E17712" s="50">
        <v>2</v>
      </c>
      <c r="F17712" s="51">
        <f>VLOOKUP(A17712,'Componentes APUs'!$S$1:$V$10,4,0)</f>
        <v>75758</v>
      </c>
      <c r="G17712" s="51">
        <f>ROUNDUP(F17712*((E17712/21)/E17686),0)</f>
        <v>7216</v>
      </c>
    </row>
    <row r="17713" spans="1:7" x14ac:dyDescent="0.25">
      <c r="A17713" s="219" t="s">
        <v>69</v>
      </c>
      <c r="B17713" s="219"/>
      <c r="C17713" s="219"/>
      <c r="D17713" s="219"/>
      <c r="E17713" s="219"/>
      <c r="F17713" s="219"/>
      <c r="G17713" s="52">
        <f>SUM(G17707:G17712)</f>
        <v>8433</v>
      </c>
    </row>
    <row r="17714" spans="1:7" x14ac:dyDescent="0.25">
      <c r="A17714" s="56"/>
      <c r="B17714" s="57"/>
      <c r="C17714" s="57"/>
      <c r="D17714" s="57"/>
      <c r="E17714" s="57"/>
      <c r="F17714" s="57"/>
      <c r="G17714" s="58"/>
    </row>
    <row r="17715" spans="1:7" x14ac:dyDescent="0.25">
      <c r="A17715" s="219" t="s">
        <v>70</v>
      </c>
      <c r="B17715" s="219"/>
      <c r="C17715" s="219"/>
      <c r="D17715" s="219"/>
      <c r="E17715" s="219"/>
      <c r="F17715" s="219"/>
      <c r="G17715" s="219"/>
    </row>
    <row r="17716" spans="1:7" x14ac:dyDescent="0.25">
      <c r="A17716" s="49" t="s">
        <v>35</v>
      </c>
      <c r="B17716" s="219" t="s">
        <v>36</v>
      </c>
      <c r="C17716" s="219"/>
      <c r="D17716" s="49" t="s">
        <v>37</v>
      </c>
      <c r="E17716" s="49" t="s">
        <v>38</v>
      </c>
      <c r="F17716" s="49" t="s">
        <v>39</v>
      </c>
      <c r="G17716" s="49" t="s">
        <v>40</v>
      </c>
    </row>
    <row r="17717" spans="1:7" x14ac:dyDescent="0.25">
      <c r="A17717" s="50" t="s">
        <v>71</v>
      </c>
      <c r="B17717" s="71" t="str">
        <f>VLOOKUP(A17717,'Componentes APUs'!$A$1:$D$14,2,0)</f>
        <v>Camisa indigo sin partes metalicas</v>
      </c>
      <c r="C17717" s="71"/>
      <c r="D17717" s="50" t="str">
        <f>VLOOKUP(A17717,'Componentes APUs'!$A$1:$D$14,3,0)</f>
        <v>U</v>
      </c>
      <c r="E17717" s="50">
        <f>SUM(C17697:C17702)</f>
        <v>3.75</v>
      </c>
      <c r="F17717" s="51">
        <f>VLOOKUP(A17717,'Componentes APUs'!$A$1:$D$14,4,0)</f>
        <v>8585.8585858585866</v>
      </c>
      <c r="G17717" s="51">
        <f>ROUNDUP(F17717*(E17717/21)/E17686,0)</f>
        <v>1534</v>
      </c>
    </row>
    <row r="17718" spans="1:7" x14ac:dyDescent="0.25">
      <c r="A17718" s="69" t="s">
        <v>73</v>
      </c>
      <c r="B17718" s="72" t="str">
        <f>VLOOKUP(A17718,'Componentes APUs'!$A$1:$D$14,2,0)</f>
        <v>Bota de seguridad dielectrica</v>
      </c>
      <c r="C17718" s="73"/>
      <c r="D17718" s="70" t="str">
        <f>VLOOKUP(A17718,'Componentes APUs'!$A$1:$D$14,3,0)</f>
        <v>Par</v>
      </c>
      <c r="E17718" s="50">
        <f>SUM(C17697:C17702)</f>
        <v>3.75</v>
      </c>
      <c r="F17718" s="51">
        <f>VLOOKUP(A17718,'Componentes APUs'!$A$1:$D$14,4,0)</f>
        <v>7500</v>
      </c>
      <c r="G17718" s="51">
        <f>ROUNDUP(F17718*(E17718/21)/E17686,0)</f>
        <v>1340</v>
      </c>
    </row>
    <row r="17719" spans="1:7" x14ac:dyDescent="0.25">
      <c r="A17719" s="50" t="s">
        <v>76</v>
      </c>
      <c r="B17719" s="72" t="str">
        <f>VLOOKUP(A17719,'Componentes APUs'!$A$1:$D$14,2,0)</f>
        <v>Casco dielectrico Tipo 1 Clase E con barbuquejo</v>
      </c>
      <c r="C17719" s="73"/>
      <c r="D17719" s="50" t="str">
        <f>VLOOKUP(A17719,'Componentes APUs'!$A$1:$D$14,3,0)</f>
        <v>U</v>
      </c>
      <c r="E17719" s="50">
        <f>C17702+C17697+C17700+C17701+C17698+IF(A17699&lt;&gt;"MO-3",C17699,0)</f>
        <v>3.75</v>
      </c>
      <c r="F17719" s="51">
        <f>VLOOKUP(A17719,'Componentes APUs'!$A$1:$D$14,4,0)</f>
        <v>10101.010101010101</v>
      </c>
      <c r="G17719" s="51">
        <f>ROUNDUP(F17719*(E17719/21)/E17686,0)</f>
        <v>1804</v>
      </c>
    </row>
    <row r="17720" spans="1:7" x14ac:dyDescent="0.25">
      <c r="A17720" s="69" t="s">
        <v>77</v>
      </c>
      <c r="B17720" s="72" t="str">
        <f>VLOOKUP(A17720,'Componentes APUs'!$A$1:$D$14,2,0)</f>
        <v>Correa plastica y antiflama</v>
      </c>
      <c r="C17720" s="73"/>
      <c r="D17720" s="50" t="str">
        <f>VLOOKUP(A17720,'Componentes APUs'!$A$1:$D$14,3,0)</f>
        <v>U</v>
      </c>
      <c r="E17720" s="50">
        <f>SUM(C17697:C17702)</f>
        <v>3.75</v>
      </c>
      <c r="F17720" s="51">
        <f>VLOOKUP(A17720,'Componentes APUs'!$A$1:$D$14,4,0)</f>
        <v>3787.878787878788</v>
      </c>
      <c r="G17720" s="51">
        <f>ROUNDUP(F17720*(E17720/21)/E17686,0)</f>
        <v>677</v>
      </c>
    </row>
    <row r="17721" spans="1:7" x14ac:dyDescent="0.25">
      <c r="A17721" s="50" t="s">
        <v>79</v>
      </c>
      <c r="B17721" s="72" t="str">
        <f>VLOOKUP(A17721,'Componentes APUs'!$A$1:$D$14,2,0)</f>
        <v>Gafas protectoras filtro UV</v>
      </c>
      <c r="C17721" s="73"/>
      <c r="D17721" s="50" t="str">
        <f>VLOOKUP(A17721,'Componentes APUs'!$A$1:$D$14,3,0)</f>
        <v>U</v>
      </c>
      <c r="E17721" s="50">
        <f>SUM(C17697:C17702)</f>
        <v>3.75</v>
      </c>
      <c r="F17721" s="51">
        <f>VLOOKUP(A17721,'Componentes APUs'!$A$1:$D$14,4,0)</f>
        <v>2777.7777777777778</v>
      </c>
      <c r="G17721" s="51">
        <f>ROUNDUP(F17721*(E17721/21)/E17686,0)</f>
        <v>497</v>
      </c>
    </row>
    <row r="17722" spans="1:7" x14ac:dyDescent="0.25">
      <c r="A17722" s="69" t="s">
        <v>402</v>
      </c>
      <c r="B17722" s="72" t="str">
        <f>VLOOKUP(A17722,'Componentes APUs'!$A$1:$D$14,2,0)</f>
        <v>Bota de seguridad PVC dielectrica</v>
      </c>
      <c r="C17722" s="73"/>
      <c r="D17722" s="50" t="str">
        <f>VLOOKUP(A17722,'Componentes APUs'!$A$1:$D$14,3,0)</f>
        <v>Par</v>
      </c>
      <c r="E17722" s="50">
        <f>SUM(C17697:C17702)</f>
        <v>3.75</v>
      </c>
      <c r="F17722" s="51">
        <f>VLOOKUP(A17722,'Componentes APUs'!$A$1:$D$14,4,0)</f>
        <v>2916.6666666666665</v>
      </c>
      <c r="G17722" s="51">
        <f>ROUNDUP(F17722*(E17722/21)/E17686,0)</f>
        <v>521</v>
      </c>
    </row>
    <row r="17723" spans="1:7" x14ac:dyDescent="0.25">
      <c r="A17723" s="50" t="s">
        <v>403</v>
      </c>
      <c r="B17723" s="72" t="str">
        <f>VLOOKUP(A17723,'Componentes APUs'!$A$1:$D$14,2,0)</f>
        <v>Capuchon</v>
      </c>
      <c r="C17723" s="73"/>
      <c r="D17723" s="50" t="str">
        <f>VLOOKUP(A17723,'Componentes APUs'!$A$1:$D$14,3,0)</f>
        <v>U</v>
      </c>
      <c r="E17723" s="50">
        <f>SUM(C17697:C17702)</f>
        <v>3.75</v>
      </c>
      <c r="F17723" s="51">
        <f>VLOOKUP(A17723,'Componentes APUs'!$A$1:$D$14,4,0)</f>
        <v>2525.2525252525252</v>
      </c>
      <c r="G17723" s="51">
        <f>ROUNDUP(F17723*(E17723/21)/E17686,0)</f>
        <v>451</v>
      </c>
    </row>
    <row r="17724" spans="1:7" x14ac:dyDescent="0.25">
      <c r="A17724" s="69" t="s">
        <v>81</v>
      </c>
      <c r="B17724" s="72" t="str">
        <f>VLOOKUP(A17724,'Componentes APUs'!$A$1:$D$14,2,0)</f>
        <v>Guantes Protectores  - ingeniero reforzados</v>
      </c>
      <c r="C17724" s="73"/>
      <c r="D17724" s="50" t="str">
        <f>VLOOKUP(A17724,'Componentes APUs'!$A$1:$D$14,3,0)</f>
        <v>Par</v>
      </c>
      <c r="E17724" s="50">
        <f>C17699+C17700+C17702</f>
        <v>3</v>
      </c>
      <c r="F17724" s="51">
        <f>VLOOKUP(A17724,'Componentes APUs'!$A$1:$D$14,4,0)</f>
        <v>2525.2525252525252</v>
      </c>
      <c r="G17724" s="51">
        <f>ROUNDUP(F17724*(E17724/21)/E17686,0)</f>
        <v>361</v>
      </c>
    </row>
    <row r="17725" spans="1:7" x14ac:dyDescent="0.25">
      <c r="A17725" s="50" t="s">
        <v>83</v>
      </c>
      <c r="B17725" s="72" t="str">
        <f>VLOOKUP(A17725,'Componentes APUs'!$A$1:$D$14,2,0)</f>
        <v>Impermeable (pantalon camisa)</v>
      </c>
      <c r="C17725" s="73"/>
      <c r="D17725" s="50" t="str">
        <f>VLOOKUP(A17725,'Componentes APUs'!$A$1:$D$14,3,0)</f>
        <v>U</v>
      </c>
      <c r="E17725" s="50">
        <f>SUM(C17697:C17702)</f>
        <v>3.75</v>
      </c>
      <c r="F17725" s="51">
        <f>VLOOKUP(A17725,'Componentes APUs'!$A$1:$D$14,4,0)</f>
        <v>3750</v>
      </c>
      <c r="G17725" s="51">
        <f>ROUNDUP(F17725*(E17725/21)/E17686,0)</f>
        <v>670</v>
      </c>
    </row>
    <row r="17726" spans="1:7" x14ac:dyDescent="0.25">
      <c r="A17726" s="69" t="s">
        <v>85</v>
      </c>
      <c r="B17726" s="72" t="str">
        <f>VLOOKUP(A17726,'Componentes APUs'!$A$1:$D$14,2,0)</f>
        <v>Jean Dielectrico</v>
      </c>
      <c r="C17726" s="73"/>
      <c r="D17726" s="50" t="str">
        <f>VLOOKUP(A17726,'Componentes APUs'!$A$1:$D$14,3,0)</f>
        <v>U</v>
      </c>
      <c r="E17726" s="50">
        <f>SUM(C17697:C17702)</f>
        <v>3.75</v>
      </c>
      <c r="F17726" s="51">
        <f>VLOOKUP(A17726,'Componentes APUs'!$A$1:$D$14,4,0)</f>
        <v>7575.757575757576</v>
      </c>
      <c r="G17726" s="51">
        <f>ROUNDUP(F17726*(E17726/21)/E17686,0)</f>
        <v>1353</v>
      </c>
    </row>
    <row r="17727" spans="1:7" x14ac:dyDescent="0.25">
      <c r="A17727" s="50" t="s">
        <v>87</v>
      </c>
      <c r="B17727" s="72" t="str">
        <f>VLOOKUP(A17727,'Componentes APUs'!$A$1:$D$14,2,0)</f>
        <v>Casco dielectrico Tipo 2 Clase E con barboquejo</v>
      </c>
      <c r="C17727" s="73"/>
      <c r="D17727" s="50" t="str">
        <f>VLOOKUP(A17727,'Componentes APUs'!$A$1:$D$14,3,0)</f>
        <v>U</v>
      </c>
      <c r="E17727" s="53">
        <f>IF(A17699="MO-3",C17699,0)</f>
        <v>0</v>
      </c>
      <c r="F17727" s="51">
        <f>VLOOKUP(A17727,'Componentes APUs'!$A$1:$D$14,4,0)</f>
        <v>7500</v>
      </c>
      <c r="G17727" s="51">
        <f>ROUNDUP(F17727*(E17727/21)/E17686,0)</f>
        <v>0</v>
      </c>
    </row>
    <row r="17728" spans="1:7" x14ac:dyDescent="0.25">
      <c r="A17728" s="69" t="s">
        <v>89</v>
      </c>
      <c r="B17728" s="72" t="str">
        <f>VLOOKUP(A17728,'Componentes APUs'!$A$1:$D$14,2,0)</f>
        <v>Kit de rescate para trabajo en alturas</v>
      </c>
      <c r="C17728" s="73"/>
      <c r="D17728" s="50" t="str">
        <f>VLOOKUP(A17728,'Componentes APUs'!$A$1:$D$14,3,0)</f>
        <v>U</v>
      </c>
      <c r="E17728" s="50">
        <f>IF(AND(A17699="MO-3",C17699=2),1,0)</f>
        <v>0</v>
      </c>
      <c r="F17728" s="51">
        <f>VLOOKUP(A17728,'Componentes APUs'!$A$1:$D$14,4,0)</f>
        <v>37500</v>
      </c>
      <c r="G17728" s="51">
        <f>ROUNDUP(F17728*(E17728/21)/E17686,0)</f>
        <v>0</v>
      </c>
    </row>
    <row r="17729" spans="1:7" x14ac:dyDescent="0.25">
      <c r="A17729" s="50" t="s">
        <v>91</v>
      </c>
      <c r="B17729" s="72" t="str">
        <f>VLOOKUP(A17729,'Componentes APUs'!$A$1:$D$14,2,0)</f>
        <v>Equipo completo para trabajo en alturas con pretales (Arnes dielectrico, 1 mosqueton de seguridad, tie off dielectrico, eslinga de posicionamiento, juego de pretales)</v>
      </c>
      <c r="C17729" s="73"/>
      <c r="D17729" s="50" t="str">
        <f>VLOOKUP(A17729,'Componentes APUs'!$A$1:$D$14,3,0)</f>
        <v>U</v>
      </c>
      <c r="E17729" s="50">
        <f>IF(A17699="MO-3",C17699,0)</f>
        <v>0</v>
      </c>
      <c r="F17729" s="51">
        <f>VLOOKUP(A17729,'Componentes APUs'!$A$1:$D$14,4,0)</f>
        <v>26041.666666666668</v>
      </c>
      <c r="G17729" s="51">
        <f>ROUNDUP(F17729*(E17729/21)/E17686,0)</f>
        <v>0</v>
      </c>
    </row>
    <row r="17730" spans="1:7" x14ac:dyDescent="0.25">
      <c r="A17730" s="219" t="s">
        <v>95</v>
      </c>
      <c r="B17730" s="219"/>
      <c r="C17730" s="219"/>
      <c r="D17730" s="219"/>
      <c r="E17730" s="219"/>
      <c r="F17730" s="219"/>
      <c r="G17730" s="52">
        <f>SUM(G17717:G17729)</f>
        <v>9208</v>
      </c>
    </row>
    <row r="17731" spans="1:7" x14ac:dyDescent="0.25">
      <c r="A17731" s="56"/>
      <c r="B17731" s="57"/>
      <c r="C17731" s="57"/>
      <c r="D17731" s="57"/>
      <c r="E17731" s="57"/>
      <c r="F17731" s="57"/>
      <c r="G17731" s="58"/>
    </row>
    <row r="17732" spans="1:7" x14ac:dyDescent="0.25">
      <c r="A17732" s="219" t="s">
        <v>96</v>
      </c>
      <c r="B17732" s="219"/>
      <c r="C17732" s="219"/>
      <c r="D17732" s="219"/>
      <c r="E17732" s="219"/>
      <c r="F17732" s="219"/>
      <c r="G17732" s="219"/>
    </row>
    <row r="17733" spans="1:7" x14ac:dyDescent="0.25">
      <c r="A17733" s="49" t="s">
        <v>35</v>
      </c>
      <c r="B17733" s="225" t="s">
        <v>36</v>
      </c>
      <c r="C17733" s="225"/>
      <c r="D17733" s="49" t="s">
        <v>37</v>
      </c>
      <c r="E17733" s="49" t="s">
        <v>38</v>
      </c>
      <c r="F17733" s="49" t="s">
        <v>39</v>
      </c>
      <c r="G17733" s="49" t="s">
        <v>40</v>
      </c>
    </row>
    <row r="17734" spans="1:7" x14ac:dyDescent="0.25">
      <c r="A17734" s="69" t="s">
        <v>97</v>
      </c>
      <c r="B17734" s="72" t="str">
        <f>VLOOKUP(A17734,'Componentes APUs'!$N$1:$Q$30,2,0)</f>
        <v>Camioneta</v>
      </c>
      <c r="C17734" s="73"/>
      <c r="D17734" s="70" t="str">
        <f>VLOOKUP(A17734,'Componentes APUs'!$N$1:$Q$30,3,0)</f>
        <v>U</v>
      </c>
      <c r="E17734" s="50">
        <v>1</v>
      </c>
      <c r="F17734" s="51">
        <f>VLOOKUP(A17734,'Componentes APUs'!$N$1:$Q$30,4,0)</f>
        <v>5500000</v>
      </c>
      <c r="G17734" s="51">
        <f>IFERROR(ROUNDUP(F17734*(E17734/21)/E17686,0),0)</f>
        <v>261905</v>
      </c>
    </row>
    <row r="17735" spans="1:7" x14ac:dyDescent="0.25">
      <c r="A17735" s="50" t="s">
        <v>321</v>
      </c>
      <c r="B17735" s="72" t="str">
        <f>VLOOKUP(A17735,'Componentes APUs'!$N$1:$Q$30,2,0)</f>
        <v>Grúa Hidráulica</v>
      </c>
      <c r="C17735" s="73"/>
      <c r="D17735" s="70" t="str">
        <f>VLOOKUP(A17735,'Componentes APUs'!$N$1:$Q$30,3,0)</f>
        <v>U</v>
      </c>
      <c r="E17735" s="50">
        <v>0</v>
      </c>
      <c r="F17735" s="51">
        <f>VLOOKUP(A17735,'Componentes APUs'!$N$1:$Q$30,4,0)</f>
        <v>21000000</v>
      </c>
      <c r="G17735" s="51">
        <f>IFERROR(ROUNDUP(F17735*(E17735/21)/E17686,0),0)</f>
        <v>0</v>
      </c>
    </row>
    <row r="17736" spans="1:7" x14ac:dyDescent="0.25">
      <c r="A17736" s="69" t="s">
        <v>322</v>
      </c>
      <c r="B17736" s="72" t="str">
        <f>VLOOKUP(A17736,'Componentes APUs'!$N$1:$Q$30,2,0)</f>
        <v>Camabaja</v>
      </c>
      <c r="C17736" s="73"/>
      <c r="D17736" s="70" t="str">
        <f>VLOOKUP(A17736,'Componentes APUs'!$N$1:$Q$30,3,0)</f>
        <v>TON/KM</v>
      </c>
      <c r="E17736" s="50">
        <v>0</v>
      </c>
      <c r="F17736" s="51">
        <f>VLOOKUP(A17736,'Componentes APUs'!$N$1:$Q$30,4,0)</f>
        <v>611</v>
      </c>
      <c r="G17736" s="51">
        <f>IFERROR(ROUNDUP(F17736*(E17736/21)/E17686,0),0)</f>
        <v>0</v>
      </c>
    </row>
    <row r="17737" spans="1:7" x14ac:dyDescent="0.25">
      <c r="A17737" s="50" t="s">
        <v>323</v>
      </c>
      <c r="B17737" s="72" t="str">
        <f>VLOOKUP(A17737,'Componentes APUs'!$N$1:$Q$30,2,0)</f>
        <v>Volqueta</v>
      </c>
      <c r="C17737" s="73"/>
      <c r="D17737" s="70" t="str">
        <f>VLOOKUP(A17737,'Componentes APUs'!$N$1:$Q$30,3,0)</f>
        <v>U</v>
      </c>
      <c r="E17737" s="50">
        <v>0</v>
      </c>
      <c r="F17737" s="51">
        <f>VLOOKUP(A17737,'Componentes APUs'!$N$1:$Q$30,4,0)</f>
        <v>14828184</v>
      </c>
      <c r="G17737" s="51">
        <f>IFERROR(ROUNDUP(F17737*(E17737/21)/E17686,0),0)</f>
        <v>0</v>
      </c>
    </row>
    <row r="17738" spans="1:7" x14ac:dyDescent="0.25">
      <c r="A17738" s="69" t="s">
        <v>324</v>
      </c>
      <c r="B17738" s="72" t="str">
        <f>VLOOKUP(A17738,'Componentes APUs'!$N$1:$Q$30,2,0)</f>
        <v>Retroexcavadora</v>
      </c>
      <c r="C17738" s="73"/>
      <c r="D17738" s="70" t="str">
        <f>VLOOKUP(A17738,'Componentes APUs'!$N$1:$Q$30,3,0)</f>
        <v>U</v>
      </c>
      <c r="E17738" s="50">
        <v>0</v>
      </c>
      <c r="F17738" s="51">
        <f>VLOOKUP(A17738,'Componentes APUs'!$N$1:$Q$30,4,0)</f>
        <v>46030656</v>
      </c>
      <c r="G17738" s="51">
        <f>IFERROR(ROUNDUP(F17738*(E17738/21)/E17686,0),0)</f>
        <v>0</v>
      </c>
    </row>
    <row r="17739" spans="1:7" x14ac:dyDescent="0.25">
      <c r="A17739" s="219" t="s">
        <v>99</v>
      </c>
      <c r="B17739" s="219"/>
      <c r="C17739" s="219"/>
      <c r="D17739" s="219"/>
      <c r="E17739" s="219"/>
      <c r="F17739" s="219"/>
      <c r="G17739" s="52">
        <f>SUM(G17734:G17738)</f>
        <v>261905</v>
      </c>
    </row>
    <row r="17740" spans="1:7" x14ac:dyDescent="0.25">
      <c r="A17740" s="56"/>
      <c r="B17740" s="57"/>
      <c r="C17740" s="57"/>
      <c r="D17740" s="57"/>
      <c r="E17740" s="57"/>
      <c r="F17740" s="57"/>
      <c r="G17740" s="58"/>
    </row>
    <row r="17741" spans="1:7" x14ac:dyDescent="0.25">
      <c r="A17741" s="219" t="s">
        <v>1516</v>
      </c>
      <c r="B17741" s="219"/>
      <c r="C17741" s="219"/>
      <c r="D17741" s="219"/>
      <c r="E17741" s="219"/>
      <c r="F17741" s="219"/>
      <c r="G17741" s="52">
        <f>G17739+G17730+G17713+G17703+G17693</f>
        <v>115281428</v>
      </c>
    </row>
    <row r="17742" spans="1:7" x14ac:dyDescent="0.25">
      <c r="A17742" s="59"/>
      <c r="B17742" s="60"/>
      <c r="C17742" s="60"/>
      <c r="D17742" s="60"/>
      <c r="E17742" s="57"/>
      <c r="F17742" s="57"/>
      <c r="G17742" s="58"/>
    </row>
    <row r="17743" spans="1:7" x14ac:dyDescent="0.25">
      <c r="A17743" s="64"/>
      <c r="D17743" s="55"/>
      <c r="E17743" s="49" t="s">
        <v>25</v>
      </c>
      <c r="F17743" s="54">
        <v>0.15</v>
      </c>
      <c r="G17743" s="51">
        <f>G17741*F17743</f>
        <v>17292214.199999999</v>
      </c>
    </row>
    <row r="17744" spans="1:7" x14ac:dyDescent="0.25">
      <c r="A17744" s="64"/>
      <c r="D17744" s="55"/>
      <c r="E17744" s="49" t="s">
        <v>26</v>
      </c>
      <c r="F17744" s="54">
        <v>0.05</v>
      </c>
      <c r="G17744" s="51">
        <f>G17741*F17744</f>
        <v>5764071.4000000004</v>
      </c>
    </row>
    <row r="17745" spans="1:7" x14ac:dyDescent="0.25">
      <c r="A17745" s="61"/>
      <c r="B17745" s="65"/>
      <c r="C17745" s="65"/>
      <c r="D17745" s="62"/>
      <c r="E17745" s="49" t="s">
        <v>27</v>
      </c>
      <c r="F17745" s="54">
        <v>0.05</v>
      </c>
      <c r="G17745" s="51">
        <f>G17741*F17745</f>
        <v>5764071.4000000004</v>
      </c>
    </row>
    <row r="17746" spans="1:7" x14ac:dyDescent="0.25">
      <c r="A17746" s="61"/>
      <c r="B17746" s="62"/>
      <c r="C17746" s="62"/>
      <c r="D17746" s="62"/>
      <c r="E17746" s="62"/>
      <c r="F17746" s="62"/>
      <c r="G17746" s="63"/>
    </row>
    <row r="17747" spans="1:7" x14ac:dyDescent="0.25">
      <c r="A17747" s="219" t="s">
        <v>1517</v>
      </c>
      <c r="B17747" s="219"/>
      <c r="C17747" s="219"/>
      <c r="D17747" s="219"/>
      <c r="E17747" s="219"/>
      <c r="F17747" s="219"/>
      <c r="G17747" s="52">
        <f>G17741+G17743+G17744+G17745</f>
        <v>144101785</v>
      </c>
    </row>
    <row r="17748" spans="1:7" x14ac:dyDescent="0.25">
      <c r="A17748" s="59"/>
      <c r="B17748" s="60"/>
      <c r="C17748" s="60"/>
      <c r="D17748" s="60"/>
      <c r="E17748" s="57"/>
      <c r="F17748" s="57"/>
      <c r="G17748" s="58"/>
    </row>
    <row r="17749" spans="1:7" x14ac:dyDescent="0.25">
      <c r="A17749" s="64"/>
      <c r="D17749" s="55"/>
      <c r="E17749" s="49" t="s">
        <v>102</v>
      </c>
      <c r="F17749" s="49" t="s">
        <v>103</v>
      </c>
      <c r="G17749" s="51">
        <f>G17745*19%</f>
        <v>1095173.5660000001</v>
      </c>
    </row>
    <row r="17750" spans="1:7" x14ac:dyDescent="0.25">
      <c r="A17750" s="61"/>
      <c r="B17750" s="62"/>
      <c r="C17750" s="62"/>
      <c r="D17750" s="62"/>
      <c r="E17750" s="57"/>
      <c r="F17750" s="57"/>
      <c r="G17750" s="58"/>
    </row>
    <row r="17751" spans="1:7" x14ac:dyDescent="0.25">
      <c r="A17751" s="219" t="s">
        <v>104</v>
      </c>
      <c r="B17751" s="219"/>
      <c r="C17751" s="219"/>
      <c r="D17751" s="219"/>
      <c r="E17751" s="219"/>
      <c r="F17751" s="219"/>
      <c r="G17751" s="52">
        <f>G17749+G17747</f>
        <v>145196958.56600001</v>
      </c>
    </row>
    <row r="17753" spans="1:7" x14ac:dyDescent="0.25">
      <c r="A17753" s="74" t="s">
        <v>29</v>
      </c>
      <c r="B17753" s="226" t="s">
        <v>30</v>
      </c>
      <c r="C17753" s="226"/>
      <c r="D17753" s="74" t="s">
        <v>31</v>
      </c>
      <c r="E17753" s="74" t="s">
        <v>32</v>
      </c>
      <c r="F17753" s="74" t="s">
        <v>189</v>
      </c>
      <c r="G17753" s="74" t="s">
        <v>33</v>
      </c>
    </row>
    <row r="17754" spans="1:7" ht="66.75" customHeight="1" x14ac:dyDescent="0.25">
      <c r="A17754" s="50" t="str">
        <f>Presupuesto!B347</f>
        <v>019_AUX</v>
      </c>
      <c r="B17754" s="220" t="str">
        <f>Presupuesto!C347</f>
        <v>SUMINISTRO E INSTALACIÓN DE TRANSFERENCIA AUTOMÁTICA. 208V, 100 A. IP 54. SISTEMA DE MONITOREO Y CONTROL CON PANTALLA DIGITAL.TABLERO AUTOSOPORTADO DE FABRICACIÓN ESPECIAL. DE USO INTERIOR. IP 54. LAMINA DE ACERO GALVANIZADA CALIBRE 18. INCLUYE BREAKERS DE PROTECCIÓN, CANALETAS Y DEMÁS ACCESORIOS. (+TFER AUTO01).</v>
      </c>
      <c r="C17754" s="220"/>
      <c r="D17754" s="50" t="s">
        <v>8</v>
      </c>
      <c r="E17754" s="50">
        <v>1</v>
      </c>
      <c r="F17754" s="50"/>
      <c r="G17754" s="51">
        <f>G17821</f>
        <v>26137094.879500002</v>
      </c>
    </row>
    <row r="17755" spans="1:7" x14ac:dyDescent="0.25">
      <c r="A17755" s="219" t="s">
        <v>34</v>
      </c>
      <c r="B17755" s="219"/>
      <c r="C17755" s="219"/>
      <c r="D17755" s="219"/>
      <c r="E17755" s="219"/>
      <c r="F17755" s="219"/>
      <c r="G17755" s="219"/>
    </row>
    <row r="17756" spans="1:7" x14ac:dyDescent="0.25">
      <c r="A17756" s="49" t="s">
        <v>35</v>
      </c>
      <c r="B17756" s="219" t="s">
        <v>36</v>
      </c>
      <c r="C17756" s="219"/>
      <c r="D17756" s="49" t="s">
        <v>37</v>
      </c>
      <c r="E17756" s="49" t="s">
        <v>38</v>
      </c>
      <c r="F17756" s="49" t="s">
        <v>39</v>
      </c>
      <c r="G17756" s="49" t="s">
        <v>40</v>
      </c>
    </row>
    <row r="17757" spans="1:7" x14ac:dyDescent="0.25">
      <c r="A17757" s="17" t="str">
        <f>Material!A124</f>
        <v>MA-123</v>
      </c>
      <c r="B17757" s="72" t="str">
        <f>IFERROR(VLOOKUP(A17757,Material!$A:$H,2,0),"-")</f>
        <v>TRANSFERENCIA AUTOMÁTICA 100A</v>
      </c>
      <c r="C17757" s="73"/>
      <c r="D17757" s="50" t="str">
        <f>IFERROR(VLOOKUP(A17757,Material!$A:$H,4,0),"-")</f>
        <v>UN</v>
      </c>
      <c r="E17757" s="50">
        <v>1</v>
      </c>
      <c r="F17757" s="51">
        <f>IFERROR(VLOOKUP(A17757,Material!$A:$H,3,0),"-")</f>
        <v>6500000</v>
      </c>
      <c r="G17757" s="51">
        <f t="shared" ref="G17757:G17761" si="248">IFERROR(ROUNDUP(F17757*E17757,0),"-")</f>
        <v>6500000</v>
      </c>
    </row>
    <row r="17758" spans="1:7" ht="29.25" customHeight="1" x14ac:dyDescent="0.25">
      <c r="A17758" s="17" t="str">
        <f>Material!A125</f>
        <v>MA-124</v>
      </c>
      <c r="B17758" s="232" t="str">
        <f>IFERROR(VLOOKUP(A17758,Material!$A:$H,2,0),"-")</f>
        <v>RELÉ DE TRANSFERENCIA CON SISTEMA DE MONITOREO Y CONTROL. PANTALLA DIGITAL</v>
      </c>
      <c r="C17758" s="233"/>
      <c r="D17758" s="50" t="str">
        <f>IFERROR(VLOOKUP(A17758,Material!$A:$H,4,0),"-")</f>
        <v>UN</v>
      </c>
      <c r="E17758" s="50">
        <v>1</v>
      </c>
      <c r="F17758" s="51">
        <f>IFERROR(VLOOKUP(A17758,Material!$A:$H,3,0),"-")</f>
        <v>2375100</v>
      </c>
      <c r="G17758" s="51">
        <f t="shared" si="248"/>
        <v>2375100</v>
      </c>
    </row>
    <row r="17759" spans="1:7" ht="35.25" customHeight="1" x14ac:dyDescent="0.25">
      <c r="A17759" s="17" t="str">
        <f>Material!A32</f>
        <v>MA-31</v>
      </c>
      <c r="B17759" s="221" t="str">
        <f>IFERROR(VLOOKUP(A17759,Material!$A:$H,2,0),"-")</f>
        <v>TABLERO AUTOSOPORTADO DE FABRICACIÓN ESPECIAL. DE USO INTERIOR. IP 65. LAMINA DE ACERO GALVANIZADA CALIBRE 18. PARA ALBERGAR HASTA 6 EQUIPOS DE MEDIDA SEMIDIRECTA</v>
      </c>
      <c r="C17759" s="222"/>
      <c r="D17759" s="50" t="str">
        <f>IFERROR(VLOOKUP(A17759,Material!$A:$H,4,0),"-")</f>
        <v>UN</v>
      </c>
      <c r="E17759" s="50">
        <v>1</v>
      </c>
      <c r="F17759" s="51">
        <f>IFERROR(VLOOKUP(A17759,Material!$A:$H,3,0),"-")</f>
        <v>9100000</v>
      </c>
      <c r="G17759" s="51">
        <f t="shared" si="248"/>
        <v>9100000</v>
      </c>
    </row>
    <row r="17760" spans="1:7" x14ac:dyDescent="0.25">
      <c r="A17760" s="17" t="str">
        <f>Material!A33</f>
        <v>MA-32</v>
      </c>
      <c r="B17760" s="72" t="str">
        <f>IFERROR(VLOOKUP(A17760,Material!$A:$H,2,0),"-")</f>
        <v>LÁMPARA LED</v>
      </c>
      <c r="C17760" s="76"/>
      <c r="D17760" s="50" t="str">
        <f>IFERROR(VLOOKUP(A17760,Material!$A:$H,4,0),"-")</f>
        <v>UN</v>
      </c>
      <c r="E17760" s="50">
        <v>1</v>
      </c>
      <c r="F17760" s="51">
        <f>IFERROR(VLOOKUP(A17760,Material!$A:$H,3,0),"-")</f>
        <v>307373.88256268692</v>
      </c>
      <c r="G17760" s="51">
        <f t="shared" si="248"/>
        <v>307374</v>
      </c>
    </row>
    <row r="17761" spans="1:7" x14ac:dyDescent="0.25">
      <c r="A17761" s="17"/>
      <c r="B17761" s="72" t="str">
        <f>IFERROR(VLOOKUP(A17761,Material!$A:$H,2,0),"-")</f>
        <v>-</v>
      </c>
      <c r="C17761" s="76"/>
      <c r="D17761" s="50" t="str">
        <f>IFERROR(VLOOKUP(A17761,Material!$A:$H,4,0),"-")</f>
        <v>-</v>
      </c>
      <c r="E17761" s="50"/>
      <c r="F17761" s="51" t="str">
        <f>IFERROR(VLOOKUP(A17761,Material!$A:$H,3,0),"-")</f>
        <v>-</v>
      </c>
      <c r="G17761" s="51" t="str">
        <f t="shared" si="248"/>
        <v>-</v>
      </c>
    </row>
    <row r="17762" spans="1:7" x14ac:dyDescent="0.25">
      <c r="A17762" s="219" t="s">
        <v>41</v>
      </c>
      <c r="B17762" s="219"/>
      <c r="C17762" s="219"/>
      <c r="D17762" s="219"/>
      <c r="E17762" s="219"/>
      <c r="F17762" s="219"/>
      <c r="G17762" s="52">
        <f>SUM(G17757:G17761)</f>
        <v>18282474</v>
      </c>
    </row>
    <row r="17763" spans="1:7" x14ac:dyDescent="0.25">
      <c r="A17763" s="56"/>
      <c r="B17763" s="57"/>
      <c r="C17763" s="57"/>
      <c r="D17763" s="57"/>
      <c r="E17763" s="57"/>
      <c r="F17763" s="57"/>
      <c r="G17763" s="58"/>
    </row>
    <row r="17764" spans="1:7" x14ac:dyDescent="0.25">
      <c r="A17764" s="219" t="s">
        <v>42</v>
      </c>
      <c r="B17764" s="219"/>
      <c r="C17764" s="219"/>
      <c r="D17764" s="219"/>
      <c r="E17764" s="219"/>
      <c r="F17764" s="219"/>
      <c r="G17764" s="219"/>
    </row>
    <row r="17765" spans="1:7" x14ac:dyDescent="0.25">
      <c r="A17765" s="49" t="s">
        <v>35</v>
      </c>
      <c r="B17765" s="49" t="s">
        <v>36</v>
      </c>
      <c r="C17765" s="49" t="s">
        <v>38</v>
      </c>
      <c r="D17765" s="49" t="s">
        <v>43</v>
      </c>
      <c r="E17765" s="49" t="s">
        <v>44</v>
      </c>
      <c r="F17765" s="49" t="s">
        <v>45</v>
      </c>
      <c r="G17765" s="49" t="s">
        <v>40</v>
      </c>
    </row>
    <row r="17766" spans="1:7" x14ac:dyDescent="0.25">
      <c r="A17766" s="50" t="s">
        <v>319</v>
      </c>
      <c r="B17766" s="68" t="str">
        <f>VLOOKUP(A17766,'Componentes APUs'!$H$1:$L$25,2,0)</f>
        <v>Ingeniero Residente de Obra</v>
      </c>
      <c r="C17766" s="93">
        <v>0.25</v>
      </c>
      <c r="D17766" s="50">
        <f>VLOOKUP(A17766,'Componentes APUs'!$H$1:$L$25,3,0)</f>
        <v>4</v>
      </c>
      <c r="E17766" s="51">
        <f>VLOOKUP(A17766,'Componentes APUs'!$H$1:$L$25,4,0)</f>
        <v>271142.85714285716</v>
      </c>
      <c r="F17766" s="51">
        <f>VLOOKUP(A17766,'Componentes APUs'!$H$1:$L$25,5,0)</f>
        <v>162685.71428571429</v>
      </c>
      <c r="G17766" s="51">
        <f>ROUNDUP((E17766+F17766)*C17766/E17754,0)</f>
        <v>108458</v>
      </c>
    </row>
    <row r="17767" spans="1:7" x14ac:dyDescent="0.25">
      <c r="A17767" s="50" t="s">
        <v>320</v>
      </c>
      <c r="B17767" s="68" t="str">
        <f>VLOOKUP(A17767,'Componentes APUs'!$H$1:$L$25,2,0)</f>
        <v>Tecnico Supervisor</v>
      </c>
      <c r="C17767" s="93">
        <v>0.25</v>
      </c>
      <c r="D17767" s="50">
        <f>VLOOKUP(A17767,'Componentes APUs'!$H$1:$L$25,3,0)</f>
        <v>2.2999999999999998</v>
      </c>
      <c r="E17767" s="51">
        <f>VLOOKUP(A17767,'Componentes APUs'!$H$1:$L$25,4,0)</f>
        <v>155907.14285714284</v>
      </c>
      <c r="F17767" s="51">
        <f>VLOOKUP(A17767,'Componentes APUs'!$H$1:$L$25,5,0)</f>
        <v>93544.285714285696</v>
      </c>
      <c r="G17767" s="51">
        <f>ROUNDUP((E17767+F17767)*C17767/E17754,0)</f>
        <v>62363</v>
      </c>
    </row>
    <row r="17768" spans="1:7" x14ac:dyDescent="0.25">
      <c r="A17768" s="50" t="s">
        <v>1160</v>
      </c>
      <c r="B17768" s="68" t="str">
        <f>VLOOKUP(A17768,'Componentes APUs'!$H$1:$L$25,2,0)</f>
        <v>Oficial Eléctrico</v>
      </c>
      <c r="C17768" s="93">
        <v>1</v>
      </c>
      <c r="D17768" s="50">
        <f>VLOOKUP(A17768,'Componentes APUs'!$H$1:$L$25,3,0)</f>
        <v>2</v>
      </c>
      <c r="E17768" s="51">
        <f>VLOOKUP(A17768,'Componentes APUs'!$H$1:$L$25,4,0)</f>
        <v>154619.04761904763</v>
      </c>
      <c r="F17768" s="51">
        <f>VLOOKUP(A17768,'Componentes APUs'!$H$1:$L$25,5,0)</f>
        <v>92771.42857142858</v>
      </c>
      <c r="G17768" s="51">
        <f>ROUNDUP((E17768+F17768)*C17768/E17754,0)</f>
        <v>247391</v>
      </c>
    </row>
    <row r="17769" spans="1:7" x14ac:dyDescent="0.25">
      <c r="A17769" s="50" t="s">
        <v>48</v>
      </c>
      <c r="B17769" s="68" t="str">
        <f>VLOOKUP(A17769,'Componentes APUs'!$H$1:$L$25,2,0)</f>
        <v>Ayudante Calificado</v>
      </c>
      <c r="C17769" s="93">
        <v>1</v>
      </c>
      <c r="D17769" s="50">
        <f>VLOOKUP(A17769,'Componentes APUs'!$H$1:$L$25,3,0)</f>
        <v>1.5</v>
      </c>
      <c r="E17769" s="51">
        <f>VLOOKUP(A17769,'Componentes APUs'!$H$1:$L$25,4,0)</f>
        <v>115964.28571428571</v>
      </c>
      <c r="F17769" s="51">
        <f>VLOOKUP(A17769,'Componentes APUs'!$H$1:$L$25,5,0)</f>
        <v>69578.57142857142</v>
      </c>
      <c r="G17769" s="51">
        <f>ROUNDUP((E17769+F17769)*C17769/E17754,0)</f>
        <v>185543</v>
      </c>
    </row>
    <row r="17770" spans="1:7" x14ac:dyDescent="0.25">
      <c r="A17770" s="50" t="s">
        <v>50</v>
      </c>
      <c r="B17770" s="68" t="str">
        <f>VLOOKUP(A17770,'Componentes APUs'!$H$1:$L$25,2,0)</f>
        <v>Profesional en SST</v>
      </c>
      <c r="C17770" s="93">
        <v>0.25</v>
      </c>
      <c r="D17770" s="50">
        <f>VLOOKUP(A17770,'Componentes APUs'!$H$1:$L$25,3,0)</f>
        <v>2.5</v>
      </c>
      <c r="E17770" s="51">
        <f>VLOOKUP(A17770,'Componentes APUs'!$H$1:$L$25,4,0)</f>
        <v>169464.28571428571</v>
      </c>
      <c r="F17770" s="51">
        <f>VLOOKUP(A17770,'Componentes APUs'!$H$1:$L$25,5,0)</f>
        <v>101678.57142857142</v>
      </c>
      <c r="G17770" s="51">
        <f>ROUNDUP((E17770+F17770)*C17770/E17754,0)</f>
        <v>67786</v>
      </c>
    </row>
    <row r="17771" spans="1:7" x14ac:dyDescent="0.25">
      <c r="A17771" s="50" t="s">
        <v>52</v>
      </c>
      <c r="B17771" s="68" t="str">
        <f>VLOOKUP(A17771,'Componentes APUs'!$H$1:$L$25,2,0)</f>
        <v>Ayudante No Calificado</v>
      </c>
      <c r="C17771" s="93">
        <v>0</v>
      </c>
      <c r="D17771" s="50">
        <f>VLOOKUP(A17771,'Componentes APUs'!$H$1:$L$25,3,0)</f>
        <v>1</v>
      </c>
      <c r="E17771" s="51">
        <f>VLOOKUP(A17771,'Componentes APUs'!$H$1:$L$25,4,0)</f>
        <v>77309.523809523816</v>
      </c>
      <c r="F17771" s="51">
        <f>VLOOKUP(A17771,'Componentes APUs'!$H$1:$L$25,5,0)</f>
        <v>46385.71428571429</v>
      </c>
      <c r="G17771" s="51">
        <f>ROUNDUP((E17771+F17771)*C17771/E17754,0)</f>
        <v>0</v>
      </c>
    </row>
    <row r="17772" spans="1:7" x14ac:dyDescent="0.25">
      <c r="A17772" s="50" t="s">
        <v>1121</v>
      </c>
      <c r="B17772" s="68" t="str">
        <f>VLOOKUP(A17772,'Componentes APUs'!$H$1:$L$25,2,0)</f>
        <v>Ingeniero Especialista de Control y Protección Subestación</v>
      </c>
      <c r="C17772" s="93">
        <v>1</v>
      </c>
      <c r="D17772" s="50">
        <f>VLOOKUP(A17772,'Componentes APUs'!$H$1:$L$25,3,0)</f>
        <v>14</v>
      </c>
      <c r="E17772" s="51">
        <f>VLOOKUP(A17772,'Componentes APUs'!$H$1:$L$25,4,0)</f>
        <v>949000</v>
      </c>
      <c r="F17772" s="51">
        <f>VLOOKUP(A17772,'Componentes APUs'!$H$1:$L$25,5,0)</f>
        <v>569400</v>
      </c>
      <c r="G17772" s="51">
        <f>ROUNDUP((E17772+F17772)*C17772/E17754,0)</f>
        <v>1518400</v>
      </c>
    </row>
    <row r="17773" spans="1:7" x14ac:dyDescent="0.25">
      <c r="A17773" s="219" t="s">
        <v>56</v>
      </c>
      <c r="B17773" s="219"/>
      <c r="C17773" s="219"/>
      <c r="D17773" s="219"/>
      <c r="E17773" s="219"/>
      <c r="F17773" s="219"/>
      <c r="G17773" s="52">
        <f>SUM(G17766:G17772)</f>
        <v>2189941</v>
      </c>
    </row>
    <row r="17774" spans="1:7" x14ac:dyDescent="0.25">
      <c r="A17774" s="56"/>
      <c r="B17774" s="57"/>
      <c r="C17774" s="57"/>
      <c r="D17774" s="57"/>
      <c r="E17774" s="57"/>
      <c r="F17774" s="57"/>
      <c r="G17774" s="58"/>
    </row>
    <row r="17775" spans="1:7" x14ac:dyDescent="0.25">
      <c r="A17775" s="219" t="s">
        <v>57</v>
      </c>
      <c r="B17775" s="219"/>
      <c r="C17775" s="219"/>
      <c r="D17775" s="219"/>
      <c r="E17775" s="219"/>
      <c r="F17775" s="219"/>
      <c r="G17775" s="219"/>
    </row>
    <row r="17776" spans="1:7" x14ac:dyDescent="0.25">
      <c r="A17776" s="49" t="s">
        <v>35</v>
      </c>
      <c r="B17776" s="219" t="s">
        <v>36</v>
      </c>
      <c r="C17776" s="219"/>
      <c r="D17776" s="49" t="s">
        <v>37</v>
      </c>
      <c r="E17776" s="49" t="s">
        <v>38</v>
      </c>
      <c r="F17776" s="49" t="s">
        <v>39</v>
      </c>
      <c r="G17776" s="49" t="s">
        <v>40</v>
      </c>
    </row>
    <row r="17777" spans="1:7" x14ac:dyDescent="0.25">
      <c r="A17777" s="50" t="s">
        <v>326</v>
      </c>
      <c r="B17777" s="220" t="str">
        <f>VLOOKUP(A17777,'Componentes APUs'!$S$1:$V$10,2,0)</f>
        <v>Juego Llaves</v>
      </c>
      <c r="C17777" s="220"/>
      <c r="D17777" s="50" t="s">
        <v>18</v>
      </c>
      <c r="E17777" s="50">
        <v>2</v>
      </c>
      <c r="F17777" s="51">
        <f>VLOOKUP(A17777,'Componentes APUs'!$S$1:$V$10,4,0)</f>
        <v>9167</v>
      </c>
      <c r="G17777" s="51">
        <f>ROUNDUP(F17777*((E17777/21)/E17754),0)</f>
        <v>874</v>
      </c>
    </row>
    <row r="17778" spans="1:7" x14ac:dyDescent="0.25">
      <c r="A17778" s="50" t="s">
        <v>58</v>
      </c>
      <c r="B17778" s="220" t="str">
        <f>VLOOKUP(A17778,'Componentes APUs'!$S$1:$V$10,2,0)</f>
        <v>Manila de servicio</v>
      </c>
      <c r="C17778" s="220"/>
      <c r="D17778" s="50" t="s">
        <v>18</v>
      </c>
      <c r="E17778" s="50">
        <v>2</v>
      </c>
      <c r="F17778" s="51">
        <f>VLOOKUP(A17778,'Componentes APUs'!$S$1:$V$10,4,0)</f>
        <v>2333</v>
      </c>
      <c r="G17778" s="51">
        <f>ROUNDUP(F17778*((E17778/21)/E17754),0)</f>
        <v>223</v>
      </c>
    </row>
    <row r="17779" spans="1:7" x14ac:dyDescent="0.25">
      <c r="A17779" s="50" t="s">
        <v>327</v>
      </c>
      <c r="B17779" s="220" t="str">
        <f>VLOOKUP(A17779,'Componentes APUs'!$S$1:$V$10,2,0)</f>
        <v>Tula portaherramientas</v>
      </c>
      <c r="C17779" s="220"/>
      <c r="D17779" s="50" t="s">
        <v>18</v>
      </c>
      <c r="E17779" s="50">
        <v>2</v>
      </c>
      <c r="F17779" s="51">
        <f>VLOOKUP(A17779,'Componentes APUs'!$S$1:$V$10,4,0)</f>
        <v>1250</v>
      </c>
      <c r="G17779" s="51">
        <f>ROUNDUP(F17779*((E17779/21)/E17754),0)</f>
        <v>120</v>
      </c>
    </row>
    <row r="17780" spans="1:7" x14ac:dyDescent="0.25">
      <c r="A17780" s="50" t="s">
        <v>60</v>
      </c>
      <c r="B17780" s="220" t="str">
        <f>VLOOKUP(A17780,'Componentes APUs'!$S$1:$V$10,2,0)</f>
        <v>Agarradoras</v>
      </c>
      <c r="C17780" s="220"/>
      <c r="D17780" s="50" t="s">
        <v>18</v>
      </c>
      <c r="E17780" s="50">
        <v>0</v>
      </c>
      <c r="F17780" s="51">
        <f>VLOOKUP(A17780,'Componentes APUs'!$S$1:$V$10,4,0)</f>
        <v>125000</v>
      </c>
      <c r="G17780" s="51">
        <f>ROUNDUP(F17780*((E17780/21)/E17754),0)</f>
        <v>0</v>
      </c>
    </row>
    <row r="17781" spans="1:7" x14ac:dyDescent="0.25">
      <c r="A17781" s="50" t="s">
        <v>62</v>
      </c>
      <c r="B17781" s="220" t="str">
        <f>VLOOKUP(A17781,'Componentes APUs'!$S$1:$V$10,2,0)</f>
        <v>Templadoras</v>
      </c>
      <c r="C17781" s="220"/>
      <c r="D17781" s="50" t="s">
        <v>18</v>
      </c>
      <c r="E17781" s="50">
        <v>0</v>
      </c>
      <c r="F17781" s="51">
        <f>VLOOKUP(A17781,'Componentes APUs'!$S$1:$V$10,4,0)</f>
        <v>250000</v>
      </c>
      <c r="G17781" s="51">
        <f>ROUNDUP(F17781*((E17781/21)/E17754),0)</f>
        <v>0</v>
      </c>
    </row>
    <row r="17782" spans="1:7" x14ac:dyDescent="0.25">
      <c r="A17782" s="50" t="s">
        <v>328</v>
      </c>
      <c r="B17782" s="220" t="str">
        <f>VLOOKUP(A17782,'Componentes APUs'!$S$1:$V$10,2,0)</f>
        <v>Herramienta Menor</v>
      </c>
      <c r="C17782" s="220"/>
      <c r="D17782" s="50" t="s">
        <v>18</v>
      </c>
      <c r="E17782" s="50">
        <v>2</v>
      </c>
      <c r="F17782" s="51">
        <f>VLOOKUP(A17782,'Componentes APUs'!$S$1:$V$10,4,0)</f>
        <v>75758</v>
      </c>
      <c r="G17782" s="51">
        <f>ROUNDUP(F17782*((E17782/21)/E17754),0)</f>
        <v>7216</v>
      </c>
    </row>
    <row r="17783" spans="1:7" x14ac:dyDescent="0.25">
      <c r="A17783" s="219" t="s">
        <v>69</v>
      </c>
      <c r="B17783" s="219"/>
      <c r="C17783" s="219"/>
      <c r="D17783" s="219"/>
      <c r="E17783" s="219"/>
      <c r="F17783" s="219"/>
      <c r="G17783" s="52">
        <f>SUM(G17777:G17782)</f>
        <v>8433</v>
      </c>
    </row>
    <row r="17784" spans="1:7" x14ac:dyDescent="0.25">
      <c r="A17784" s="56"/>
      <c r="B17784" s="57"/>
      <c r="C17784" s="57"/>
      <c r="D17784" s="57"/>
      <c r="E17784" s="57"/>
      <c r="F17784" s="57"/>
      <c r="G17784" s="58"/>
    </row>
    <row r="17785" spans="1:7" x14ac:dyDescent="0.25">
      <c r="A17785" s="219" t="s">
        <v>70</v>
      </c>
      <c r="B17785" s="219"/>
      <c r="C17785" s="219"/>
      <c r="D17785" s="219"/>
      <c r="E17785" s="219"/>
      <c r="F17785" s="219"/>
      <c r="G17785" s="219"/>
    </row>
    <row r="17786" spans="1:7" x14ac:dyDescent="0.25">
      <c r="A17786" s="49" t="s">
        <v>35</v>
      </c>
      <c r="B17786" s="219" t="s">
        <v>36</v>
      </c>
      <c r="C17786" s="219"/>
      <c r="D17786" s="49" t="s">
        <v>37</v>
      </c>
      <c r="E17786" s="49" t="s">
        <v>38</v>
      </c>
      <c r="F17786" s="49" t="s">
        <v>39</v>
      </c>
      <c r="G17786" s="49" t="s">
        <v>40</v>
      </c>
    </row>
    <row r="17787" spans="1:7" x14ac:dyDescent="0.25">
      <c r="A17787" s="50" t="s">
        <v>71</v>
      </c>
      <c r="B17787" s="71" t="str">
        <f>VLOOKUP(A17787,'Componentes APUs'!$A$1:$D$14,2,0)</f>
        <v>Camisa indigo sin partes metalicas</v>
      </c>
      <c r="C17787" s="71"/>
      <c r="D17787" s="50" t="str">
        <f>VLOOKUP(A17787,'Componentes APUs'!$A$1:$D$14,3,0)</f>
        <v>U</v>
      </c>
      <c r="E17787" s="50">
        <f>SUM(C17766:C17772)</f>
        <v>3.75</v>
      </c>
      <c r="F17787" s="51">
        <f>VLOOKUP(A17787,'Componentes APUs'!$A$1:$D$14,4,0)</f>
        <v>8585.8585858585866</v>
      </c>
      <c r="G17787" s="51">
        <f>ROUNDUP(F17787*(E17787/21)/E17754,0)</f>
        <v>1534</v>
      </c>
    </row>
    <row r="17788" spans="1:7" x14ac:dyDescent="0.25">
      <c r="A17788" s="69" t="s">
        <v>73</v>
      </c>
      <c r="B17788" s="72" t="str">
        <f>VLOOKUP(A17788,'Componentes APUs'!$A$1:$D$14,2,0)</f>
        <v>Bota de seguridad dielectrica</v>
      </c>
      <c r="C17788" s="73"/>
      <c r="D17788" s="70" t="str">
        <f>VLOOKUP(A17788,'Componentes APUs'!$A$1:$D$14,3,0)</f>
        <v>Par</v>
      </c>
      <c r="E17788" s="50">
        <f>SUM(C17766:C17772)</f>
        <v>3.75</v>
      </c>
      <c r="F17788" s="51">
        <f>VLOOKUP(A17788,'Componentes APUs'!$A$1:$D$14,4,0)</f>
        <v>7500</v>
      </c>
      <c r="G17788" s="51">
        <f>ROUNDUP(F17788*(E17788/21)/E17754,0)</f>
        <v>1340</v>
      </c>
    </row>
    <row r="17789" spans="1:7" x14ac:dyDescent="0.25">
      <c r="A17789" s="50" t="s">
        <v>76</v>
      </c>
      <c r="B17789" s="72" t="str">
        <f>VLOOKUP(A17789,'Componentes APUs'!$A$1:$D$14,2,0)</f>
        <v>Casco dielectrico Tipo 1 Clase E con barbuquejo</v>
      </c>
      <c r="C17789" s="73"/>
      <c r="D17789" s="50" t="str">
        <f>VLOOKUP(A17789,'Componentes APUs'!$A$1:$D$14,3,0)</f>
        <v>U</v>
      </c>
      <c r="E17789" s="50">
        <f>C17766+C17772+C17767+C17770+C17771+C17769+IF(A17768&lt;&gt;"MO-3",C17768,0)</f>
        <v>3.75</v>
      </c>
      <c r="F17789" s="51">
        <f>VLOOKUP(A17789,'Componentes APUs'!$A$1:$D$14,4,0)</f>
        <v>10101.010101010101</v>
      </c>
      <c r="G17789" s="51">
        <f>ROUNDUP(F17789*(E17789/21)/E17754,0)</f>
        <v>1804</v>
      </c>
    </row>
    <row r="17790" spans="1:7" x14ac:dyDescent="0.25">
      <c r="A17790" s="69" t="s">
        <v>77</v>
      </c>
      <c r="B17790" s="72" t="str">
        <f>VLOOKUP(A17790,'Componentes APUs'!$A$1:$D$14,2,0)</f>
        <v>Correa plastica y antiflama</v>
      </c>
      <c r="C17790" s="73"/>
      <c r="D17790" s="50" t="str">
        <f>VLOOKUP(A17790,'Componentes APUs'!$A$1:$D$14,3,0)</f>
        <v>U</v>
      </c>
      <c r="E17790" s="50">
        <f>SUM(C17766:C17772)</f>
        <v>3.75</v>
      </c>
      <c r="F17790" s="51">
        <f>VLOOKUP(A17790,'Componentes APUs'!$A$1:$D$14,4,0)</f>
        <v>3787.878787878788</v>
      </c>
      <c r="G17790" s="51">
        <f>ROUNDUP(F17790*(E17790/21)/E17754,0)</f>
        <v>677</v>
      </c>
    </row>
    <row r="17791" spans="1:7" x14ac:dyDescent="0.25">
      <c r="A17791" s="50" t="s">
        <v>79</v>
      </c>
      <c r="B17791" s="72" t="str">
        <f>VLOOKUP(A17791,'Componentes APUs'!$A$1:$D$14,2,0)</f>
        <v>Gafas protectoras filtro UV</v>
      </c>
      <c r="C17791" s="73"/>
      <c r="D17791" s="50" t="str">
        <f>VLOOKUP(A17791,'Componentes APUs'!$A$1:$D$14,3,0)</f>
        <v>U</v>
      </c>
      <c r="E17791" s="50">
        <f>SUM(C17766:C17772)</f>
        <v>3.75</v>
      </c>
      <c r="F17791" s="51">
        <f>VLOOKUP(A17791,'Componentes APUs'!$A$1:$D$14,4,0)</f>
        <v>2777.7777777777778</v>
      </c>
      <c r="G17791" s="51">
        <f>ROUNDUP(F17791*(E17791/21)/E17754,0)</f>
        <v>497</v>
      </c>
    </row>
    <row r="17792" spans="1:7" x14ac:dyDescent="0.25">
      <c r="A17792" s="69" t="s">
        <v>402</v>
      </c>
      <c r="B17792" s="72" t="str">
        <f>VLOOKUP(A17792,'Componentes APUs'!$A$1:$D$14,2,0)</f>
        <v>Bota de seguridad PVC dielectrica</v>
      </c>
      <c r="C17792" s="73"/>
      <c r="D17792" s="50" t="str">
        <f>VLOOKUP(A17792,'Componentes APUs'!$A$1:$D$14,3,0)</f>
        <v>Par</v>
      </c>
      <c r="E17792" s="50">
        <f>SUM(C17766:C17772)</f>
        <v>3.75</v>
      </c>
      <c r="F17792" s="51">
        <f>VLOOKUP(A17792,'Componentes APUs'!$A$1:$D$14,4,0)</f>
        <v>2916.6666666666665</v>
      </c>
      <c r="G17792" s="51">
        <f>ROUNDUP(F17792*(E17792/21)/E17754,0)</f>
        <v>521</v>
      </c>
    </row>
    <row r="17793" spans="1:7" x14ac:dyDescent="0.25">
      <c r="A17793" s="50" t="s">
        <v>403</v>
      </c>
      <c r="B17793" s="72" t="str">
        <f>VLOOKUP(A17793,'Componentes APUs'!$A$1:$D$14,2,0)</f>
        <v>Capuchon</v>
      </c>
      <c r="C17793" s="73"/>
      <c r="D17793" s="50" t="str">
        <f>VLOOKUP(A17793,'Componentes APUs'!$A$1:$D$14,3,0)</f>
        <v>U</v>
      </c>
      <c r="E17793" s="50">
        <f>SUM(C17766:C17772)</f>
        <v>3.75</v>
      </c>
      <c r="F17793" s="51">
        <f>VLOOKUP(A17793,'Componentes APUs'!$A$1:$D$14,4,0)</f>
        <v>2525.2525252525252</v>
      </c>
      <c r="G17793" s="51">
        <f>ROUNDUP(F17793*(E17793/21)/E17754,0)</f>
        <v>451</v>
      </c>
    </row>
    <row r="17794" spans="1:7" x14ac:dyDescent="0.25">
      <c r="A17794" s="69" t="s">
        <v>81</v>
      </c>
      <c r="B17794" s="72" t="str">
        <f>VLOOKUP(A17794,'Componentes APUs'!$A$1:$D$14,2,0)</f>
        <v>Guantes Protectores  - ingeniero reforzados</v>
      </c>
      <c r="C17794" s="73"/>
      <c r="D17794" s="50" t="str">
        <f>VLOOKUP(A17794,'Componentes APUs'!$A$1:$D$14,3,0)</f>
        <v>Par</v>
      </c>
      <c r="E17794" s="50">
        <f>C17768+C17769+C17771+C17772</f>
        <v>3</v>
      </c>
      <c r="F17794" s="51">
        <f>VLOOKUP(A17794,'Componentes APUs'!$A$1:$D$14,4,0)</f>
        <v>2525.2525252525252</v>
      </c>
      <c r="G17794" s="51">
        <f>ROUNDUP(F17794*(E17794/21)/E17754,0)</f>
        <v>361</v>
      </c>
    </row>
    <row r="17795" spans="1:7" x14ac:dyDescent="0.25">
      <c r="A17795" s="50" t="s">
        <v>83</v>
      </c>
      <c r="B17795" s="72" t="str">
        <f>VLOOKUP(A17795,'Componentes APUs'!$A$1:$D$14,2,0)</f>
        <v>Impermeable (pantalon camisa)</v>
      </c>
      <c r="C17795" s="73"/>
      <c r="D17795" s="50" t="str">
        <f>VLOOKUP(A17795,'Componentes APUs'!$A$1:$D$14,3,0)</f>
        <v>U</v>
      </c>
      <c r="E17795" s="50">
        <f>SUM(C17766:C17772)</f>
        <v>3.75</v>
      </c>
      <c r="F17795" s="51">
        <f>VLOOKUP(A17795,'Componentes APUs'!$A$1:$D$14,4,0)</f>
        <v>3750</v>
      </c>
      <c r="G17795" s="51">
        <f>ROUNDUP(F17795*(E17795/21)/E17754,0)</f>
        <v>670</v>
      </c>
    </row>
    <row r="17796" spans="1:7" x14ac:dyDescent="0.25">
      <c r="A17796" s="69" t="s">
        <v>85</v>
      </c>
      <c r="B17796" s="72" t="str">
        <f>VLOOKUP(A17796,'Componentes APUs'!$A$1:$D$14,2,0)</f>
        <v>Jean Dielectrico</v>
      </c>
      <c r="C17796" s="73"/>
      <c r="D17796" s="50" t="str">
        <f>VLOOKUP(A17796,'Componentes APUs'!$A$1:$D$14,3,0)</f>
        <v>U</v>
      </c>
      <c r="E17796" s="50">
        <f>SUM(C17766:C17772)</f>
        <v>3.75</v>
      </c>
      <c r="F17796" s="51">
        <f>VLOOKUP(A17796,'Componentes APUs'!$A$1:$D$14,4,0)</f>
        <v>7575.757575757576</v>
      </c>
      <c r="G17796" s="51">
        <f>ROUNDUP(F17796*(E17796/21)/E17754,0)</f>
        <v>1353</v>
      </c>
    </row>
    <row r="17797" spans="1:7" x14ac:dyDescent="0.25">
      <c r="A17797" s="50" t="s">
        <v>87</v>
      </c>
      <c r="B17797" s="72" t="str">
        <f>VLOOKUP(A17797,'Componentes APUs'!$A$1:$D$14,2,0)</f>
        <v>Casco dielectrico Tipo 2 Clase E con barboquejo</v>
      </c>
      <c r="C17797" s="73"/>
      <c r="D17797" s="50" t="str">
        <f>VLOOKUP(A17797,'Componentes APUs'!$A$1:$D$14,3,0)</f>
        <v>U</v>
      </c>
      <c r="E17797" s="53">
        <f>IF(A17768="MO-3",C17768,0)</f>
        <v>0</v>
      </c>
      <c r="F17797" s="51">
        <f>VLOOKUP(A17797,'Componentes APUs'!$A$1:$D$14,4,0)</f>
        <v>7500</v>
      </c>
      <c r="G17797" s="51">
        <f>ROUNDUP(F17797*(E17797/21)/E17754,0)</f>
        <v>0</v>
      </c>
    </row>
    <row r="17798" spans="1:7" x14ac:dyDescent="0.25">
      <c r="A17798" s="69" t="s">
        <v>89</v>
      </c>
      <c r="B17798" s="72" t="str">
        <f>VLOOKUP(A17798,'Componentes APUs'!$A$1:$D$14,2,0)</f>
        <v>Kit de rescate para trabajo en alturas</v>
      </c>
      <c r="C17798" s="73"/>
      <c r="D17798" s="50" t="str">
        <f>VLOOKUP(A17798,'Componentes APUs'!$A$1:$D$14,3,0)</f>
        <v>U</v>
      </c>
      <c r="E17798" s="50">
        <f>IF(AND(A17768="MO-3",C17768=2),1,0)</f>
        <v>0</v>
      </c>
      <c r="F17798" s="51">
        <f>VLOOKUP(A17798,'Componentes APUs'!$A$1:$D$14,4,0)</f>
        <v>37500</v>
      </c>
      <c r="G17798" s="51">
        <f>ROUNDUP(F17798*(E17798/21)/E17754,0)</f>
        <v>0</v>
      </c>
    </row>
    <row r="17799" spans="1:7" x14ac:dyDescent="0.25">
      <c r="A17799" s="50" t="s">
        <v>91</v>
      </c>
      <c r="B17799" s="72" t="str">
        <f>VLOOKUP(A17799,'Componentes APUs'!$A$1:$D$14,2,0)</f>
        <v>Equipo completo para trabajo en alturas con pretales (Arnes dielectrico, 1 mosqueton de seguridad, tie off dielectrico, eslinga de posicionamiento, juego de pretales)</v>
      </c>
      <c r="C17799" s="73"/>
      <c r="D17799" s="50" t="str">
        <f>VLOOKUP(A17799,'Componentes APUs'!$A$1:$D$14,3,0)</f>
        <v>U</v>
      </c>
      <c r="E17799" s="50">
        <f>IF(A17768="MO-3",C17768,0)</f>
        <v>0</v>
      </c>
      <c r="F17799" s="51">
        <f>VLOOKUP(A17799,'Componentes APUs'!$A$1:$D$14,4,0)</f>
        <v>26041.666666666668</v>
      </c>
      <c r="G17799" s="51">
        <f>ROUNDUP(F17799*(E17799/21)/E17754,0)</f>
        <v>0</v>
      </c>
    </row>
    <row r="17800" spans="1:7" x14ac:dyDescent="0.25">
      <c r="A17800" s="219" t="s">
        <v>95</v>
      </c>
      <c r="B17800" s="219"/>
      <c r="C17800" s="219"/>
      <c r="D17800" s="219"/>
      <c r="E17800" s="219"/>
      <c r="F17800" s="219"/>
      <c r="G17800" s="52">
        <f>SUM(G17787:G17799)</f>
        <v>9208</v>
      </c>
    </row>
    <row r="17801" spans="1:7" x14ac:dyDescent="0.25">
      <c r="A17801" s="56"/>
      <c r="B17801" s="57"/>
      <c r="C17801" s="57"/>
      <c r="D17801" s="57"/>
      <c r="E17801" s="57"/>
      <c r="F17801" s="57"/>
      <c r="G17801" s="58"/>
    </row>
    <row r="17802" spans="1:7" x14ac:dyDescent="0.25">
      <c r="A17802" s="219" t="s">
        <v>96</v>
      </c>
      <c r="B17802" s="219"/>
      <c r="C17802" s="219"/>
      <c r="D17802" s="219"/>
      <c r="E17802" s="219"/>
      <c r="F17802" s="219"/>
      <c r="G17802" s="219"/>
    </row>
    <row r="17803" spans="1:7" x14ac:dyDescent="0.25">
      <c r="A17803" s="49" t="s">
        <v>35</v>
      </c>
      <c r="B17803" s="225" t="s">
        <v>36</v>
      </c>
      <c r="C17803" s="225"/>
      <c r="D17803" s="49" t="s">
        <v>37</v>
      </c>
      <c r="E17803" s="49" t="s">
        <v>38</v>
      </c>
      <c r="F17803" s="49" t="s">
        <v>39</v>
      </c>
      <c r="G17803" s="49" t="s">
        <v>40</v>
      </c>
    </row>
    <row r="17804" spans="1:7" x14ac:dyDescent="0.25">
      <c r="A17804" s="69" t="s">
        <v>97</v>
      </c>
      <c r="B17804" s="72" t="str">
        <f>VLOOKUP(A17804,'Componentes APUs'!$N$1:$Q$30,2,0)</f>
        <v>Camioneta</v>
      </c>
      <c r="C17804" s="73"/>
      <c r="D17804" s="70" t="str">
        <f>VLOOKUP(A17804,'Componentes APUs'!$N$1:$Q$30,3,0)</f>
        <v>U</v>
      </c>
      <c r="E17804" s="50">
        <v>1</v>
      </c>
      <c r="F17804" s="51">
        <f>VLOOKUP(A17804,'Componentes APUs'!$N$1:$Q$30,4,0)</f>
        <v>5500000</v>
      </c>
      <c r="G17804" s="51">
        <f>IFERROR(ROUNDUP(F17804*(E17804/21)/E17754,0),0)</f>
        <v>261905</v>
      </c>
    </row>
    <row r="17805" spans="1:7" x14ac:dyDescent="0.25">
      <c r="A17805" s="50" t="s">
        <v>321</v>
      </c>
      <c r="B17805" s="72" t="str">
        <f>VLOOKUP(A17805,'Componentes APUs'!$N$1:$Q$30,2,0)</f>
        <v>Grúa Hidráulica</v>
      </c>
      <c r="C17805" s="73"/>
      <c r="D17805" s="70" t="str">
        <f>VLOOKUP(A17805,'Componentes APUs'!$N$1:$Q$30,3,0)</f>
        <v>U</v>
      </c>
      <c r="E17805" s="50">
        <v>0</v>
      </c>
      <c r="F17805" s="51">
        <f>VLOOKUP(A17805,'Componentes APUs'!$N$1:$Q$30,4,0)</f>
        <v>21000000</v>
      </c>
      <c r="G17805" s="51">
        <f>IFERROR(ROUNDUP(F17805*(E17805/21)/E17754,0),0)</f>
        <v>0</v>
      </c>
    </row>
    <row r="17806" spans="1:7" x14ac:dyDescent="0.25">
      <c r="A17806" s="69" t="s">
        <v>322</v>
      </c>
      <c r="B17806" s="72" t="str">
        <f>VLOOKUP(A17806,'Componentes APUs'!$N$1:$Q$30,2,0)</f>
        <v>Camabaja</v>
      </c>
      <c r="C17806" s="73"/>
      <c r="D17806" s="70" t="str">
        <f>VLOOKUP(A17806,'Componentes APUs'!$N$1:$Q$30,3,0)</f>
        <v>TON/KM</v>
      </c>
      <c r="E17806" s="50">
        <v>0</v>
      </c>
      <c r="F17806" s="51">
        <f>VLOOKUP(A17806,'Componentes APUs'!$N$1:$Q$30,4,0)</f>
        <v>611</v>
      </c>
      <c r="G17806" s="51">
        <f>IFERROR(ROUNDUP(F17806*(E17806/21)/E17754,0),0)</f>
        <v>0</v>
      </c>
    </row>
    <row r="17807" spans="1:7" x14ac:dyDescent="0.25">
      <c r="A17807" s="50" t="s">
        <v>323</v>
      </c>
      <c r="B17807" s="72" t="str">
        <f>VLOOKUP(A17807,'Componentes APUs'!$N$1:$Q$30,2,0)</f>
        <v>Volqueta</v>
      </c>
      <c r="C17807" s="73"/>
      <c r="D17807" s="70" t="str">
        <f>VLOOKUP(A17807,'Componentes APUs'!$N$1:$Q$30,3,0)</f>
        <v>U</v>
      </c>
      <c r="E17807" s="50">
        <v>0</v>
      </c>
      <c r="F17807" s="51">
        <f>VLOOKUP(A17807,'Componentes APUs'!$N$1:$Q$30,4,0)</f>
        <v>14828184</v>
      </c>
      <c r="G17807" s="51">
        <f>IFERROR(ROUNDUP(F17807*(E17807/21)/E17754,0),0)</f>
        <v>0</v>
      </c>
    </row>
    <row r="17808" spans="1:7" x14ac:dyDescent="0.25">
      <c r="A17808" s="69" t="s">
        <v>324</v>
      </c>
      <c r="B17808" s="72" t="str">
        <f>VLOOKUP(A17808,'Componentes APUs'!$N$1:$Q$30,2,0)</f>
        <v>Retroexcavadora</v>
      </c>
      <c r="C17808" s="73"/>
      <c r="D17808" s="70" t="str">
        <f>VLOOKUP(A17808,'Componentes APUs'!$N$1:$Q$30,3,0)</f>
        <v>U</v>
      </c>
      <c r="E17808" s="50">
        <v>0</v>
      </c>
      <c r="F17808" s="51">
        <f>VLOOKUP(A17808,'Componentes APUs'!$N$1:$Q$30,4,0)</f>
        <v>46030656</v>
      </c>
      <c r="G17808" s="51">
        <f>IFERROR(ROUNDUP(F17808*(E17808/21)/E17754,0),0)</f>
        <v>0</v>
      </c>
    </row>
    <row r="17809" spans="1:7" x14ac:dyDescent="0.25">
      <c r="A17809" s="219" t="s">
        <v>99</v>
      </c>
      <c r="B17809" s="219"/>
      <c r="C17809" s="219"/>
      <c r="D17809" s="219"/>
      <c r="E17809" s="219"/>
      <c r="F17809" s="219"/>
      <c r="G17809" s="52">
        <f>SUM(G17804:G17808)</f>
        <v>261905</v>
      </c>
    </row>
    <row r="17810" spans="1:7" x14ac:dyDescent="0.25">
      <c r="A17810" s="56"/>
      <c r="B17810" s="57"/>
      <c r="C17810" s="57"/>
      <c r="D17810" s="57"/>
      <c r="E17810" s="57"/>
      <c r="F17810" s="57"/>
      <c r="G17810" s="58"/>
    </row>
    <row r="17811" spans="1:7" x14ac:dyDescent="0.25">
      <c r="A17811" s="219" t="s">
        <v>1516</v>
      </c>
      <c r="B17811" s="219"/>
      <c r="C17811" s="219"/>
      <c r="D17811" s="219"/>
      <c r="E17811" s="219"/>
      <c r="F17811" s="219"/>
      <c r="G17811" s="52">
        <f>G17809+G17800+G17783+G17773+G17762</f>
        <v>20751961</v>
      </c>
    </row>
    <row r="17812" spans="1:7" x14ac:dyDescent="0.25">
      <c r="A17812" s="59"/>
      <c r="B17812" s="60"/>
      <c r="C17812" s="60"/>
      <c r="D17812" s="60"/>
      <c r="E17812" s="57"/>
      <c r="F17812" s="57"/>
      <c r="G17812" s="58"/>
    </row>
    <row r="17813" spans="1:7" x14ac:dyDescent="0.25">
      <c r="A17813" s="64"/>
      <c r="D17813" s="55"/>
      <c r="E17813" s="49" t="s">
        <v>25</v>
      </c>
      <c r="F17813" s="54">
        <v>0.15</v>
      </c>
      <c r="G17813" s="51">
        <f>G17811*F17813</f>
        <v>3112794.15</v>
      </c>
    </row>
    <row r="17814" spans="1:7" x14ac:dyDescent="0.25">
      <c r="A17814" s="64"/>
      <c r="D17814" s="55"/>
      <c r="E17814" s="49" t="s">
        <v>26</v>
      </c>
      <c r="F17814" s="54">
        <v>0.05</v>
      </c>
      <c r="G17814" s="51">
        <f>G17811*F17814</f>
        <v>1037598.05</v>
      </c>
    </row>
    <row r="17815" spans="1:7" x14ac:dyDescent="0.25">
      <c r="A17815" s="61"/>
      <c r="B17815" s="65"/>
      <c r="C17815" s="65"/>
      <c r="D17815" s="62"/>
      <c r="E17815" s="49" t="s">
        <v>27</v>
      </c>
      <c r="F17815" s="54">
        <v>0.05</v>
      </c>
      <c r="G17815" s="51">
        <f>G17811*F17815</f>
        <v>1037598.05</v>
      </c>
    </row>
    <row r="17816" spans="1:7" x14ac:dyDescent="0.25">
      <c r="A17816" s="61"/>
      <c r="B17816" s="62"/>
      <c r="C17816" s="62"/>
      <c r="D17816" s="62"/>
      <c r="E17816" s="62"/>
      <c r="F17816" s="62"/>
      <c r="G17816" s="63"/>
    </row>
    <row r="17817" spans="1:7" x14ac:dyDescent="0.25">
      <c r="A17817" s="219" t="s">
        <v>1517</v>
      </c>
      <c r="B17817" s="219"/>
      <c r="C17817" s="219"/>
      <c r="D17817" s="219"/>
      <c r="E17817" s="219"/>
      <c r="F17817" s="219"/>
      <c r="G17817" s="52">
        <f>G17811+G17813+G17814+G17815</f>
        <v>25939951.25</v>
      </c>
    </row>
    <row r="17818" spans="1:7" x14ac:dyDescent="0.25">
      <c r="A17818" s="59"/>
      <c r="B17818" s="60"/>
      <c r="C17818" s="60"/>
      <c r="D17818" s="60"/>
      <c r="E17818" s="57"/>
      <c r="F17818" s="57"/>
      <c r="G17818" s="58"/>
    </row>
    <row r="17819" spans="1:7" x14ac:dyDescent="0.25">
      <c r="A17819" s="64"/>
      <c r="D17819" s="55"/>
      <c r="E17819" s="49" t="s">
        <v>102</v>
      </c>
      <c r="F17819" s="49" t="s">
        <v>103</v>
      </c>
      <c r="G17819" s="51">
        <f>G17815*19%</f>
        <v>197143.62950000001</v>
      </c>
    </row>
    <row r="17820" spans="1:7" x14ac:dyDescent="0.25">
      <c r="A17820" s="61"/>
      <c r="B17820" s="62"/>
      <c r="C17820" s="62"/>
      <c r="D17820" s="62"/>
      <c r="E17820" s="57"/>
      <c r="F17820" s="57"/>
      <c r="G17820" s="58"/>
    </row>
    <row r="17821" spans="1:7" x14ac:dyDescent="0.25">
      <c r="A17821" s="219" t="s">
        <v>104</v>
      </c>
      <c r="B17821" s="219"/>
      <c r="C17821" s="219"/>
      <c r="D17821" s="219"/>
      <c r="E17821" s="219"/>
      <c r="F17821" s="219"/>
      <c r="G17821" s="52">
        <f>G17819+G17817</f>
        <v>26137094.879500002</v>
      </c>
    </row>
    <row r="17823" spans="1:7" x14ac:dyDescent="0.25">
      <c r="A17823" s="74" t="s">
        <v>29</v>
      </c>
      <c r="B17823" s="226" t="s">
        <v>30</v>
      </c>
      <c r="C17823" s="226"/>
      <c r="D17823" s="74" t="s">
        <v>31</v>
      </c>
      <c r="E17823" s="74" t="s">
        <v>32</v>
      </c>
      <c r="F17823" s="74" t="s">
        <v>189</v>
      </c>
      <c r="G17823" s="74" t="s">
        <v>33</v>
      </c>
    </row>
    <row r="17824" spans="1:7" ht="66.75" customHeight="1" x14ac:dyDescent="0.25">
      <c r="A17824" s="50" t="str">
        <f>Presupuesto!B348</f>
        <v>020_AUX</v>
      </c>
      <c r="B17824" s="220" t="str">
        <f>Presupuesto!C348</f>
        <v>SUMINISTRO E INSTALACIÓN DE TRANSFERENCIA AUTOMÁTICA. 208V, 250 A. IP 54. SISTEMA DE MONITOREO Y CONTROL CON PANTALLA DIGITAL.TABLERO AUTOSOPORTADO DE FABRICACIÓN ESPECIAL. DE USO INTERIOR. IP 54. LAMINA DE ACERO GALVANIZADA CALIBRE 18. INCLUYE BREAKERS DE PROTECCIÓN, CANALETAS Y DEMÁS ACCESORIOS. (+TFER AUTO01).</v>
      </c>
      <c r="C17824" s="220"/>
      <c r="D17824" s="50" t="s">
        <v>8</v>
      </c>
      <c r="E17824" s="50">
        <v>1</v>
      </c>
      <c r="F17824" s="50"/>
      <c r="G17824" s="51">
        <f>G17893</f>
        <v>34323844.879500002</v>
      </c>
    </row>
    <row r="17825" spans="1:7" x14ac:dyDescent="0.25">
      <c r="A17825" s="219" t="s">
        <v>34</v>
      </c>
      <c r="B17825" s="219"/>
      <c r="C17825" s="219"/>
      <c r="D17825" s="219"/>
      <c r="E17825" s="219"/>
      <c r="F17825" s="219"/>
      <c r="G17825" s="219"/>
    </row>
    <row r="17826" spans="1:7" x14ac:dyDescent="0.25">
      <c r="A17826" s="49" t="s">
        <v>35</v>
      </c>
      <c r="B17826" s="219" t="s">
        <v>36</v>
      </c>
      <c r="C17826" s="219"/>
      <c r="D17826" s="49" t="s">
        <v>37</v>
      </c>
      <c r="E17826" s="49" t="s">
        <v>38</v>
      </c>
      <c r="F17826" s="49" t="s">
        <v>39</v>
      </c>
      <c r="G17826" s="49" t="s">
        <v>40</v>
      </c>
    </row>
    <row r="17827" spans="1:7" x14ac:dyDescent="0.25">
      <c r="A17827" s="17" t="str">
        <f>Material!A563</f>
        <v>MA-562</v>
      </c>
      <c r="B17827" s="72" t="str">
        <f>IFERROR(VLOOKUP(A17827,Material!$A:$H,2,0),"-")</f>
        <v>TRANSFERENCIA AUTOMÁTICA 250A</v>
      </c>
      <c r="C17827" s="73"/>
      <c r="D17827" s="50" t="str">
        <f>IFERROR(VLOOKUP(A17827,Material!$A:$H,4,0),"-")</f>
        <v>UN</v>
      </c>
      <c r="E17827" s="50">
        <v>1</v>
      </c>
      <c r="F17827" s="51">
        <f>IFERROR(VLOOKUP(A17827,Material!$A:$H,3,0),"-")</f>
        <v>13000000</v>
      </c>
      <c r="G17827" s="51">
        <f t="shared" ref="G17827:G17834" si="249">IFERROR(ROUNDUP(F17827*E17827,0),"-")</f>
        <v>13000000</v>
      </c>
    </row>
    <row r="17828" spans="1:7" ht="21.75" customHeight="1" x14ac:dyDescent="0.25">
      <c r="A17828" s="17" t="str">
        <f>Material!A125</f>
        <v>MA-124</v>
      </c>
      <c r="B17828" s="221" t="str">
        <f>IFERROR(VLOOKUP(A17828,Material!$A:$H,2,0),"-")</f>
        <v>RELÉ DE TRANSFERENCIA CON SISTEMA DE MONITOREO Y CONTROL. PANTALLA DIGITAL</v>
      </c>
      <c r="C17828" s="222"/>
      <c r="D17828" s="50" t="str">
        <f>IFERROR(VLOOKUP(A17828,Material!$A:$H,4,0),"-")</f>
        <v>UN</v>
      </c>
      <c r="E17828" s="50">
        <v>1</v>
      </c>
      <c r="F17828" s="51">
        <f>IFERROR(VLOOKUP(A17828,Material!$A:$H,3,0),"-")</f>
        <v>2375100</v>
      </c>
      <c r="G17828" s="51">
        <f t="shared" si="249"/>
        <v>2375100</v>
      </c>
    </row>
    <row r="17829" spans="1:7" ht="39.75" customHeight="1" x14ac:dyDescent="0.25">
      <c r="A17829" s="17" t="str">
        <f>Material!A32</f>
        <v>MA-31</v>
      </c>
      <c r="B17829" s="221" t="str">
        <f>IFERROR(VLOOKUP(A17829,Material!$A:$H,2,0),"-")</f>
        <v>TABLERO AUTOSOPORTADO DE FABRICACIÓN ESPECIAL. DE USO INTERIOR. IP 65. LAMINA DE ACERO GALVANIZADA CALIBRE 18. PARA ALBERGAR HASTA 6 EQUIPOS DE MEDIDA SEMIDIRECTA</v>
      </c>
      <c r="C17829" s="222"/>
      <c r="D17829" s="50" t="str">
        <f>IFERROR(VLOOKUP(A17829,Material!$A:$H,4,0),"-")</f>
        <v>UN</v>
      </c>
      <c r="E17829" s="50">
        <v>1</v>
      </c>
      <c r="F17829" s="51">
        <f>IFERROR(VLOOKUP(A17829,Material!$A:$H,3,0),"-")</f>
        <v>9100000</v>
      </c>
      <c r="G17829" s="51">
        <f t="shared" si="249"/>
        <v>9100000</v>
      </c>
    </row>
    <row r="17830" spans="1:7" x14ac:dyDescent="0.25">
      <c r="A17830" s="17" t="str">
        <f>Material!A33</f>
        <v>MA-32</v>
      </c>
      <c r="B17830" s="72" t="str">
        <f>IFERROR(VLOOKUP(A17830,Material!$A:$H,2,0),"-")</f>
        <v>LÁMPARA LED</v>
      </c>
      <c r="C17830" s="76"/>
      <c r="D17830" s="50" t="str">
        <f>IFERROR(VLOOKUP(A17830,Material!$A:$H,4,0),"-")</f>
        <v>UN</v>
      </c>
      <c r="E17830" s="50">
        <v>1</v>
      </c>
      <c r="F17830" s="51">
        <f>IFERROR(VLOOKUP(A17830,Material!$A:$H,3,0),"-")</f>
        <v>307373.88256268692</v>
      </c>
      <c r="G17830" s="51">
        <f t="shared" si="249"/>
        <v>307374</v>
      </c>
    </row>
    <row r="17831" spans="1:7" x14ac:dyDescent="0.25">
      <c r="A17831" s="17"/>
      <c r="B17831" s="72" t="str">
        <f>IFERROR(VLOOKUP(A17831,Material!$A:$H,2,0),"-")</f>
        <v>-</v>
      </c>
      <c r="C17831" s="76"/>
      <c r="D17831" s="50" t="str">
        <f>IFERROR(VLOOKUP(A17831,Material!$A:$H,4,0),"-")</f>
        <v>-</v>
      </c>
      <c r="E17831" s="50"/>
      <c r="F17831" s="51" t="str">
        <f>IFERROR(VLOOKUP(A17831,Material!$A:$H,3,0),"-")</f>
        <v>-</v>
      </c>
      <c r="G17831" s="51" t="str">
        <f t="shared" si="249"/>
        <v>-</v>
      </c>
    </row>
    <row r="17832" spans="1:7" x14ac:dyDescent="0.25">
      <c r="A17832" s="17"/>
      <c r="B17832" s="72" t="str">
        <f>IFERROR(VLOOKUP(A17832,Material!$A:$H,2,0),"-")</f>
        <v>-</v>
      </c>
      <c r="C17832" s="76"/>
      <c r="D17832" s="50" t="str">
        <f>IFERROR(VLOOKUP(A17832,Material!$A:$H,4,0),"-")</f>
        <v>-</v>
      </c>
      <c r="E17832" s="50"/>
      <c r="F17832" s="51" t="str">
        <f>IFERROR(VLOOKUP(A17832,Material!$A:$H,3,0),"-")</f>
        <v>-</v>
      </c>
      <c r="G17832" s="51" t="str">
        <f t="shared" si="249"/>
        <v>-</v>
      </c>
    </row>
    <row r="17833" spans="1:7" x14ac:dyDescent="0.25">
      <c r="A17833" s="17"/>
      <c r="B17833" s="72" t="str">
        <f>IFERROR(VLOOKUP(A17833,Material!$A:$H,2,0),"-")</f>
        <v>-</v>
      </c>
      <c r="C17833" s="76"/>
      <c r="D17833" s="50" t="str">
        <f>IFERROR(VLOOKUP(A17833,Material!$A:$H,4,0),"-")</f>
        <v>-</v>
      </c>
      <c r="E17833" s="50"/>
      <c r="F17833" s="51" t="str">
        <f>IFERROR(VLOOKUP(A17833,Material!$A:$H,3,0),"-")</f>
        <v>-</v>
      </c>
      <c r="G17833" s="51" t="str">
        <f t="shared" si="249"/>
        <v>-</v>
      </c>
    </row>
    <row r="17834" spans="1:7" x14ac:dyDescent="0.25">
      <c r="A17834" s="17"/>
      <c r="B17834" s="72" t="str">
        <f>IFERROR(VLOOKUP(A17834,Material!$A:$H,2,0),"-")</f>
        <v>-</v>
      </c>
      <c r="C17834" s="76"/>
      <c r="D17834" s="50" t="str">
        <f>IFERROR(VLOOKUP(A17834,Material!$A:$H,4,0),"-")</f>
        <v>-</v>
      </c>
      <c r="E17834" s="50"/>
      <c r="F17834" s="51" t="str">
        <f>IFERROR(VLOOKUP(A17834,Material!$A:$H,3,0),"-")</f>
        <v>-</v>
      </c>
      <c r="G17834" s="51" t="str">
        <f t="shared" si="249"/>
        <v>-</v>
      </c>
    </row>
    <row r="17835" spans="1:7" x14ac:dyDescent="0.25">
      <c r="A17835" s="219" t="s">
        <v>41</v>
      </c>
      <c r="B17835" s="219"/>
      <c r="C17835" s="219"/>
      <c r="D17835" s="219"/>
      <c r="E17835" s="219"/>
      <c r="F17835" s="219"/>
      <c r="G17835" s="52">
        <f>SUM(G17827:G17834)</f>
        <v>24782474</v>
      </c>
    </row>
    <row r="17836" spans="1:7" x14ac:dyDescent="0.25">
      <c r="A17836" s="56"/>
      <c r="B17836" s="57"/>
      <c r="C17836" s="57"/>
      <c r="D17836" s="57"/>
      <c r="E17836" s="57"/>
      <c r="F17836" s="57"/>
      <c r="G17836" s="58"/>
    </row>
    <row r="17837" spans="1:7" x14ac:dyDescent="0.25">
      <c r="A17837" s="219" t="s">
        <v>42</v>
      </c>
      <c r="B17837" s="219"/>
      <c r="C17837" s="219"/>
      <c r="D17837" s="219"/>
      <c r="E17837" s="219"/>
      <c r="F17837" s="219"/>
      <c r="G17837" s="219"/>
    </row>
    <row r="17838" spans="1:7" x14ac:dyDescent="0.25">
      <c r="A17838" s="49" t="s">
        <v>35</v>
      </c>
      <c r="B17838" s="49" t="s">
        <v>36</v>
      </c>
      <c r="C17838" s="49" t="s">
        <v>38</v>
      </c>
      <c r="D17838" s="49" t="s">
        <v>43</v>
      </c>
      <c r="E17838" s="49" t="s">
        <v>44</v>
      </c>
      <c r="F17838" s="49" t="s">
        <v>45</v>
      </c>
      <c r="G17838" s="49" t="s">
        <v>40</v>
      </c>
    </row>
    <row r="17839" spans="1:7" x14ac:dyDescent="0.25">
      <c r="A17839" s="50" t="s">
        <v>319</v>
      </c>
      <c r="B17839" s="68" t="str">
        <f>VLOOKUP(A17839,'Componentes APUs'!$H$1:$L$25,2,0)</f>
        <v>Ingeniero Residente de Obra</v>
      </c>
      <c r="C17839" s="93">
        <v>0.25</v>
      </c>
      <c r="D17839" s="50">
        <f>VLOOKUP(A17839,'Componentes APUs'!$H$1:$L$25,3,0)</f>
        <v>4</v>
      </c>
      <c r="E17839" s="51">
        <f>VLOOKUP(A17839,'Componentes APUs'!$H$1:$L$25,4,0)</f>
        <v>271142.85714285716</v>
      </c>
      <c r="F17839" s="51">
        <f>VLOOKUP(A17839,'Componentes APUs'!$H$1:$L$25,5,0)</f>
        <v>162685.71428571429</v>
      </c>
      <c r="G17839" s="51">
        <f>ROUNDUP((E17839+F17839)*C17839/E17824,0)</f>
        <v>108458</v>
      </c>
    </row>
    <row r="17840" spans="1:7" x14ac:dyDescent="0.25">
      <c r="A17840" s="50" t="s">
        <v>320</v>
      </c>
      <c r="B17840" s="68" t="str">
        <f>VLOOKUP(A17840,'Componentes APUs'!$H$1:$L$25,2,0)</f>
        <v>Tecnico Supervisor</v>
      </c>
      <c r="C17840" s="93">
        <v>0.25</v>
      </c>
      <c r="D17840" s="50">
        <f>VLOOKUP(A17840,'Componentes APUs'!$H$1:$L$25,3,0)</f>
        <v>2.2999999999999998</v>
      </c>
      <c r="E17840" s="51">
        <f>VLOOKUP(A17840,'Componentes APUs'!$H$1:$L$25,4,0)</f>
        <v>155907.14285714284</v>
      </c>
      <c r="F17840" s="51">
        <f>VLOOKUP(A17840,'Componentes APUs'!$H$1:$L$25,5,0)</f>
        <v>93544.285714285696</v>
      </c>
      <c r="G17840" s="51">
        <f>ROUNDUP((E17840+F17840)*C17840/E17824,0)</f>
        <v>62363</v>
      </c>
    </row>
    <row r="17841" spans="1:7" x14ac:dyDescent="0.25">
      <c r="A17841" s="50" t="s">
        <v>1160</v>
      </c>
      <c r="B17841" s="68" t="str">
        <f>VLOOKUP(A17841,'Componentes APUs'!$H$1:$L$25,2,0)</f>
        <v>Oficial Eléctrico</v>
      </c>
      <c r="C17841" s="93">
        <v>1</v>
      </c>
      <c r="D17841" s="50">
        <f>VLOOKUP(A17841,'Componentes APUs'!$H$1:$L$25,3,0)</f>
        <v>2</v>
      </c>
      <c r="E17841" s="51">
        <f>VLOOKUP(A17841,'Componentes APUs'!$H$1:$L$25,4,0)</f>
        <v>154619.04761904763</v>
      </c>
      <c r="F17841" s="51">
        <f>VLOOKUP(A17841,'Componentes APUs'!$H$1:$L$25,5,0)</f>
        <v>92771.42857142858</v>
      </c>
      <c r="G17841" s="51">
        <f>ROUNDUP((E17841+F17841)*C17841/E17824,0)</f>
        <v>247391</v>
      </c>
    </row>
    <row r="17842" spans="1:7" x14ac:dyDescent="0.25">
      <c r="A17842" s="50" t="s">
        <v>48</v>
      </c>
      <c r="B17842" s="68" t="str">
        <f>VLOOKUP(A17842,'Componentes APUs'!$H$1:$L$25,2,0)</f>
        <v>Ayudante Calificado</v>
      </c>
      <c r="C17842" s="93">
        <v>1</v>
      </c>
      <c r="D17842" s="50">
        <f>VLOOKUP(A17842,'Componentes APUs'!$H$1:$L$25,3,0)</f>
        <v>1.5</v>
      </c>
      <c r="E17842" s="51">
        <f>VLOOKUP(A17842,'Componentes APUs'!$H$1:$L$25,4,0)</f>
        <v>115964.28571428571</v>
      </c>
      <c r="F17842" s="51">
        <f>VLOOKUP(A17842,'Componentes APUs'!$H$1:$L$25,5,0)</f>
        <v>69578.57142857142</v>
      </c>
      <c r="G17842" s="51">
        <f>ROUNDUP((E17842+F17842)*C17842/E17824,0)</f>
        <v>185543</v>
      </c>
    </row>
    <row r="17843" spans="1:7" x14ac:dyDescent="0.25">
      <c r="A17843" s="50" t="s">
        <v>50</v>
      </c>
      <c r="B17843" s="68" t="str">
        <f>VLOOKUP(A17843,'Componentes APUs'!$H$1:$L$25,2,0)</f>
        <v>Profesional en SST</v>
      </c>
      <c r="C17843" s="93">
        <v>0.25</v>
      </c>
      <c r="D17843" s="50">
        <f>VLOOKUP(A17843,'Componentes APUs'!$H$1:$L$25,3,0)</f>
        <v>2.5</v>
      </c>
      <c r="E17843" s="51">
        <f>VLOOKUP(A17843,'Componentes APUs'!$H$1:$L$25,4,0)</f>
        <v>169464.28571428571</v>
      </c>
      <c r="F17843" s="51">
        <f>VLOOKUP(A17843,'Componentes APUs'!$H$1:$L$25,5,0)</f>
        <v>101678.57142857142</v>
      </c>
      <c r="G17843" s="51">
        <f>ROUNDUP((E17843+F17843)*C17843/E17824,0)</f>
        <v>67786</v>
      </c>
    </row>
    <row r="17844" spans="1:7" x14ac:dyDescent="0.25">
      <c r="A17844" s="50" t="s">
        <v>52</v>
      </c>
      <c r="B17844" s="68" t="str">
        <f>VLOOKUP(A17844,'Componentes APUs'!$H$1:$L$25,2,0)</f>
        <v>Ayudante No Calificado</v>
      </c>
      <c r="C17844" s="93">
        <v>0</v>
      </c>
      <c r="D17844" s="50">
        <f>VLOOKUP(A17844,'Componentes APUs'!$H$1:$L$25,3,0)</f>
        <v>1</v>
      </c>
      <c r="E17844" s="51">
        <f>VLOOKUP(A17844,'Componentes APUs'!$H$1:$L$25,4,0)</f>
        <v>77309.523809523816</v>
      </c>
      <c r="F17844" s="51">
        <f>VLOOKUP(A17844,'Componentes APUs'!$H$1:$L$25,5,0)</f>
        <v>46385.71428571429</v>
      </c>
      <c r="G17844" s="51">
        <f>ROUNDUP((E17844+F17844)*C17844/E17824,0)</f>
        <v>0</v>
      </c>
    </row>
    <row r="17845" spans="1:7" x14ac:dyDescent="0.25">
      <c r="A17845" s="50" t="s">
        <v>1121</v>
      </c>
      <c r="B17845" s="68" t="str">
        <f>VLOOKUP(A17845,'Componentes APUs'!$H$1:$L$25,2,0)</f>
        <v>Ingeniero Especialista de Control y Protección Subestación</v>
      </c>
      <c r="C17845" s="93">
        <v>1</v>
      </c>
      <c r="D17845" s="50">
        <f>VLOOKUP(A17845,'Componentes APUs'!$H$1:$L$25,3,0)</f>
        <v>14</v>
      </c>
      <c r="E17845" s="51">
        <f>VLOOKUP(A17845,'Componentes APUs'!$H$1:$L$25,4,0)</f>
        <v>949000</v>
      </c>
      <c r="F17845" s="51">
        <f>VLOOKUP(A17845,'Componentes APUs'!$H$1:$L$25,5,0)</f>
        <v>569400</v>
      </c>
      <c r="G17845" s="51">
        <f>ROUNDUP((E17845+F17845)*C17845/E17824,0)</f>
        <v>1518400</v>
      </c>
    </row>
    <row r="17846" spans="1:7" x14ac:dyDescent="0.25">
      <c r="A17846" s="219" t="s">
        <v>56</v>
      </c>
      <c r="B17846" s="219"/>
      <c r="C17846" s="219"/>
      <c r="D17846" s="219"/>
      <c r="E17846" s="219"/>
      <c r="F17846" s="219"/>
      <c r="G17846" s="52">
        <f>SUM(G17839:G17845)</f>
        <v>2189941</v>
      </c>
    </row>
    <row r="17847" spans="1:7" x14ac:dyDescent="0.25">
      <c r="A17847" s="56"/>
      <c r="B17847" s="57"/>
      <c r="C17847" s="57"/>
      <c r="D17847" s="57"/>
      <c r="E17847" s="57"/>
      <c r="F17847" s="57"/>
      <c r="G17847" s="58"/>
    </row>
    <row r="17848" spans="1:7" x14ac:dyDescent="0.25">
      <c r="A17848" s="219" t="s">
        <v>57</v>
      </c>
      <c r="B17848" s="219"/>
      <c r="C17848" s="219"/>
      <c r="D17848" s="219"/>
      <c r="E17848" s="219"/>
      <c r="F17848" s="219"/>
      <c r="G17848" s="219"/>
    </row>
    <row r="17849" spans="1:7" x14ac:dyDescent="0.25">
      <c r="A17849" s="49" t="s">
        <v>35</v>
      </c>
      <c r="B17849" s="219" t="s">
        <v>36</v>
      </c>
      <c r="C17849" s="219"/>
      <c r="D17849" s="49" t="s">
        <v>37</v>
      </c>
      <c r="E17849" s="49" t="s">
        <v>38</v>
      </c>
      <c r="F17849" s="49" t="s">
        <v>39</v>
      </c>
      <c r="G17849" s="49" t="s">
        <v>40</v>
      </c>
    </row>
    <row r="17850" spans="1:7" x14ac:dyDescent="0.25">
      <c r="A17850" s="50" t="s">
        <v>326</v>
      </c>
      <c r="B17850" s="220" t="str">
        <f>VLOOKUP(A17850,'Componentes APUs'!$S$1:$V$10,2,0)</f>
        <v>Juego Llaves</v>
      </c>
      <c r="C17850" s="220"/>
      <c r="D17850" s="50" t="s">
        <v>18</v>
      </c>
      <c r="E17850" s="50">
        <v>2</v>
      </c>
      <c r="F17850" s="51">
        <f>VLOOKUP(A17850,'Componentes APUs'!$S$1:$V$10,4,0)</f>
        <v>9167</v>
      </c>
      <c r="G17850" s="51">
        <f>ROUNDUP(F17850*((E17850/21)/E17824),0)</f>
        <v>874</v>
      </c>
    </row>
    <row r="17851" spans="1:7" x14ac:dyDescent="0.25">
      <c r="A17851" s="50" t="s">
        <v>58</v>
      </c>
      <c r="B17851" s="220" t="str">
        <f>VLOOKUP(A17851,'Componentes APUs'!$S$1:$V$10,2,0)</f>
        <v>Manila de servicio</v>
      </c>
      <c r="C17851" s="220"/>
      <c r="D17851" s="50" t="s">
        <v>18</v>
      </c>
      <c r="E17851" s="50">
        <v>2</v>
      </c>
      <c r="F17851" s="51">
        <f>VLOOKUP(A17851,'Componentes APUs'!$S$1:$V$10,4,0)</f>
        <v>2333</v>
      </c>
      <c r="G17851" s="51">
        <f>ROUNDUP(F17851*((E17851/21)/E17824),0)</f>
        <v>223</v>
      </c>
    </row>
    <row r="17852" spans="1:7" x14ac:dyDescent="0.25">
      <c r="A17852" s="50" t="s">
        <v>327</v>
      </c>
      <c r="B17852" s="220" t="str">
        <f>VLOOKUP(A17852,'Componentes APUs'!$S$1:$V$10,2,0)</f>
        <v>Tula portaherramientas</v>
      </c>
      <c r="C17852" s="220"/>
      <c r="D17852" s="50" t="s">
        <v>18</v>
      </c>
      <c r="E17852" s="50">
        <v>2</v>
      </c>
      <c r="F17852" s="51">
        <f>VLOOKUP(A17852,'Componentes APUs'!$S$1:$V$10,4,0)</f>
        <v>1250</v>
      </c>
      <c r="G17852" s="51">
        <f>ROUNDUP(F17852*((E17852/21)/E17824),0)</f>
        <v>120</v>
      </c>
    </row>
    <row r="17853" spans="1:7" x14ac:dyDescent="0.25">
      <c r="A17853" s="50" t="s">
        <v>60</v>
      </c>
      <c r="B17853" s="220" t="str">
        <f>VLOOKUP(A17853,'Componentes APUs'!$S$1:$V$10,2,0)</f>
        <v>Agarradoras</v>
      </c>
      <c r="C17853" s="220"/>
      <c r="D17853" s="50" t="s">
        <v>18</v>
      </c>
      <c r="E17853" s="50">
        <v>0</v>
      </c>
      <c r="F17853" s="51">
        <f>VLOOKUP(A17853,'Componentes APUs'!$S$1:$V$10,4,0)</f>
        <v>125000</v>
      </c>
      <c r="G17853" s="51">
        <f>ROUNDUP(F17853*((E17853/21)/E17824),0)</f>
        <v>0</v>
      </c>
    </row>
    <row r="17854" spans="1:7" x14ac:dyDescent="0.25">
      <c r="A17854" s="50" t="s">
        <v>62</v>
      </c>
      <c r="B17854" s="220" t="str">
        <f>VLOOKUP(A17854,'Componentes APUs'!$S$1:$V$10,2,0)</f>
        <v>Templadoras</v>
      </c>
      <c r="C17854" s="220"/>
      <c r="D17854" s="50" t="s">
        <v>18</v>
      </c>
      <c r="E17854" s="50">
        <v>0</v>
      </c>
      <c r="F17854" s="51">
        <f>VLOOKUP(A17854,'Componentes APUs'!$S$1:$V$10,4,0)</f>
        <v>250000</v>
      </c>
      <c r="G17854" s="51">
        <f>ROUNDUP(F17854*((E17854/21)/E17824),0)</f>
        <v>0</v>
      </c>
    </row>
    <row r="17855" spans="1:7" x14ac:dyDescent="0.25">
      <c r="A17855" s="50" t="s">
        <v>328</v>
      </c>
      <c r="B17855" s="220" t="str">
        <f>VLOOKUP(A17855,'Componentes APUs'!$S$1:$V$10,2,0)</f>
        <v>Herramienta Menor</v>
      </c>
      <c r="C17855" s="220"/>
      <c r="D17855" s="50" t="s">
        <v>18</v>
      </c>
      <c r="E17855" s="50">
        <v>2</v>
      </c>
      <c r="F17855" s="51">
        <f>VLOOKUP(A17855,'Componentes APUs'!$S$1:$V$10,4,0)</f>
        <v>75758</v>
      </c>
      <c r="G17855" s="51">
        <f>ROUNDUP(F17855*((E17855/21)/E17824),0)</f>
        <v>7216</v>
      </c>
    </row>
    <row r="17856" spans="1:7" x14ac:dyDescent="0.25">
      <c r="A17856" s="219" t="s">
        <v>69</v>
      </c>
      <c r="B17856" s="219"/>
      <c r="C17856" s="219"/>
      <c r="D17856" s="219"/>
      <c r="E17856" s="219"/>
      <c r="F17856" s="219"/>
      <c r="G17856" s="52">
        <f>SUM(G17850:G17855)</f>
        <v>8433</v>
      </c>
    </row>
    <row r="17857" spans="1:7" x14ac:dyDescent="0.25">
      <c r="A17857" s="56"/>
      <c r="B17857" s="57"/>
      <c r="C17857" s="57"/>
      <c r="D17857" s="57"/>
      <c r="E17857" s="57"/>
      <c r="F17857" s="57"/>
      <c r="G17857" s="58"/>
    </row>
    <row r="17858" spans="1:7" x14ac:dyDescent="0.25">
      <c r="A17858" s="219" t="s">
        <v>70</v>
      </c>
      <c r="B17858" s="219"/>
      <c r="C17858" s="219"/>
      <c r="D17858" s="219"/>
      <c r="E17858" s="219"/>
      <c r="F17858" s="219"/>
      <c r="G17858" s="219"/>
    </row>
    <row r="17859" spans="1:7" x14ac:dyDescent="0.25">
      <c r="A17859" s="49" t="s">
        <v>35</v>
      </c>
      <c r="B17859" s="219" t="s">
        <v>36</v>
      </c>
      <c r="C17859" s="219"/>
      <c r="D17859" s="49" t="s">
        <v>37</v>
      </c>
      <c r="E17859" s="49" t="s">
        <v>38</v>
      </c>
      <c r="F17859" s="49" t="s">
        <v>39</v>
      </c>
      <c r="G17859" s="49" t="s">
        <v>40</v>
      </c>
    </row>
    <row r="17860" spans="1:7" x14ac:dyDescent="0.25">
      <c r="A17860" s="50" t="s">
        <v>71</v>
      </c>
      <c r="B17860" s="71" t="str">
        <f>VLOOKUP(A17860,'Componentes APUs'!$A$1:$D$14,2,0)</f>
        <v>Camisa indigo sin partes metalicas</v>
      </c>
      <c r="C17860" s="71"/>
      <c r="D17860" s="50" t="str">
        <f>VLOOKUP(A17860,'Componentes APUs'!$A$1:$D$14,3,0)</f>
        <v>U</v>
      </c>
      <c r="E17860" s="50">
        <f>SUM(C17839:C17845)</f>
        <v>3.75</v>
      </c>
      <c r="F17860" s="51">
        <f>VLOOKUP(A17860,'Componentes APUs'!$A$1:$D$14,4,0)</f>
        <v>8585.8585858585866</v>
      </c>
      <c r="G17860" s="51">
        <f>ROUNDUP(F17860*(E17860/21)/E17824,0)</f>
        <v>1534</v>
      </c>
    </row>
    <row r="17861" spans="1:7" x14ac:dyDescent="0.25">
      <c r="A17861" s="69" t="s">
        <v>73</v>
      </c>
      <c r="B17861" s="72" t="str">
        <f>VLOOKUP(A17861,'Componentes APUs'!$A$1:$D$14,2,0)</f>
        <v>Bota de seguridad dielectrica</v>
      </c>
      <c r="C17861" s="73"/>
      <c r="D17861" s="70" t="str">
        <f>VLOOKUP(A17861,'Componentes APUs'!$A$1:$D$14,3,0)</f>
        <v>Par</v>
      </c>
      <c r="E17861" s="50">
        <f>SUM(C17839:C17845)</f>
        <v>3.75</v>
      </c>
      <c r="F17861" s="51">
        <f>VLOOKUP(A17861,'Componentes APUs'!$A$1:$D$14,4,0)</f>
        <v>7500</v>
      </c>
      <c r="G17861" s="51">
        <f>ROUNDUP(F17861*(E17861/21)/E17824,0)</f>
        <v>1340</v>
      </c>
    </row>
    <row r="17862" spans="1:7" x14ac:dyDescent="0.25">
      <c r="A17862" s="50" t="s">
        <v>76</v>
      </c>
      <c r="B17862" s="72" t="str">
        <f>VLOOKUP(A17862,'Componentes APUs'!$A$1:$D$14,2,0)</f>
        <v>Casco dielectrico Tipo 1 Clase E con barbuquejo</v>
      </c>
      <c r="C17862" s="73"/>
      <c r="D17862" s="50" t="str">
        <f>VLOOKUP(A17862,'Componentes APUs'!$A$1:$D$14,3,0)</f>
        <v>U</v>
      </c>
      <c r="E17862" s="50">
        <f>C17839+C17845+C17840+C17843+C17844+C17842+IF(A17841&lt;&gt;"MO-3",C17841,0)</f>
        <v>3.75</v>
      </c>
      <c r="F17862" s="51">
        <f>VLOOKUP(A17862,'Componentes APUs'!$A$1:$D$14,4,0)</f>
        <v>10101.010101010101</v>
      </c>
      <c r="G17862" s="51">
        <f>ROUNDUP(F17862*(E17862/21)/E17824,0)</f>
        <v>1804</v>
      </c>
    </row>
    <row r="17863" spans="1:7" x14ac:dyDescent="0.25">
      <c r="A17863" s="69" t="s">
        <v>77</v>
      </c>
      <c r="B17863" s="72" t="str">
        <f>VLOOKUP(A17863,'Componentes APUs'!$A$1:$D$14,2,0)</f>
        <v>Correa plastica y antiflama</v>
      </c>
      <c r="C17863" s="73"/>
      <c r="D17863" s="50" t="str">
        <f>VLOOKUP(A17863,'Componentes APUs'!$A$1:$D$14,3,0)</f>
        <v>U</v>
      </c>
      <c r="E17863" s="50">
        <f>SUM(C17839:C17845)</f>
        <v>3.75</v>
      </c>
      <c r="F17863" s="51">
        <f>VLOOKUP(A17863,'Componentes APUs'!$A$1:$D$14,4,0)</f>
        <v>3787.878787878788</v>
      </c>
      <c r="G17863" s="51">
        <f>ROUNDUP(F17863*(E17863/21)/E17824,0)</f>
        <v>677</v>
      </c>
    </row>
    <row r="17864" spans="1:7" x14ac:dyDescent="0.25">
      <c r="A17864" s="50" t="s">
        <v>79</v>
      </c>
      <c r="B17864" s="72" t="str">
        <f>VLOOKUP(A17864,'Componentes APUs'!$A$1:$D$14,2,0)</f>
        <v>Gafas protectoras filtro UV</v>
      </c>
      <c r="C17864" s="73"/>
      <c r="D17864" s="50" t="str">
        <f>VLOOKUP(A17864,'Componentes APUs'!$A$1:$D$14,3,0)</f>
        <v>U</v>
      </c>
      <c r="E17864" s="50">
        <f>SUM(C17839:C17845)</f>
        <v>3.75</v>
      </c>
      <c r="F17864" s="51">
        <f>VLOOKUP(A17864,'Componentes APUs'!$A$1:$D$14,4,0)</f>
        <v>2777.7777777777778</v>
      </c>
      <c r="G17864" s="51">
        <f>ROUNDUP(F17864*(E17864/21)/E17824,0)</f>
        <v>497</v>
      </c>
    </row>
    <row r="17865" spans="1:7" x14ac:dyDescent="0.25">
      <c r="A17865" s="69" t="s">
        <v>402</v>
      </c>
      <c r="B17865" s="72" t="str">
        <f>VLOOKUP(A17865,'Componentes APUs'!$A$1:$D$14,2,0)</f>
        <v>Bota de seguridad PVC dielectrica</v>
      </c>
      <c r="C17865" s="73"/>
      <c r="D17865" s="50" t="str">
        <f>VLOOKUP(A17865,'Componentes APUs'!$A$1:$D$14,3,0)</f>
        <v>Par</v>
      </c>
      <c r="E17865" s="50">
        <f>SUM(C17839:C17845)</f>
        <v>3.75</v>
      </c>
      <c r="F17865" s="51">
        <f>VLOOKUP(A17865,'Componentes APUs'!$A$1:$D$14,4,0)</f>
        <v>2916.6666666666665</v>
      </c>
      <c r="G17865" s="51">
        <f>ROUNDUP(F17865*(E17865/21)/E17824,0)</f>
        <v>521</v>
      </c>
    </row>
    <row r="17866" spans="1:7" x14ac:dyDescent="0.25">
      <c r="A17866" s="50" t="s">
        <v>403</v>
      </c>
      <c r="B17866" s="72" t="str">
        <f>VLOOKUP(A17866,'Componentes APUs'!$A$1:$D$14,2,0)</f>
        <v>Capuchon</v>
      </c>
      <c r="C17866" s="73"/>
      <c r="D17866" s="50" t="str">
        <f>VLOOKUP(A17866,'Componentes APUs'!$A$1:$D$14,3,0)</f>
        <v>U</v>
      </c>
      <c r="E17866" s="50">
        <f>SUM(C17839:C17845)</f>
        <v>3.75</v>
      </c>
      <c r="F17866" s="51">
        <f>VLOOKUP(A17866,'Componentes APUs'!$A$1:$D$14,4,0)</f>
        <v>2525.2525252525252</v>
      </c>
      <c r="G17866" s="51">
        <f>ROUNDUP(F17866*(E17866/21)/E17824,0)</f>
        <v>451</v>
      </c>
    </row>
    <row r="17867" spans="1:7" x14ac:dyDescent="0.25">
      <c r="A17867" s="69" t="s">
        <v>81</v>
      </c>
      <c r="B17867" s="72" t="str">
        <f>VLOOKUP(A17867,'Componentes APUs'!$A$1:$D$14,2,0)</f>
        <v>Guantes Protectores  - ingeniero reforzados</v>
      </c>
      <c r="C17867" s="73"/>
      <c r="D17867" s="50" t="str">
        <f>VLOOKUP(A17867,'Componentes APUs'!$A$1:$D$14,3,0)</f>
        <v>Par</v>
      </c>
      <c r="E17867" s="50">
        <f>C17841+C17842+C17844+C17845</f>
        <v>3</v>
      </c>
      <c r="F17867" s="51">
        <f>VLOOKUP(A17867,'Componentes APUs'!$A$1:$D$14,4,0)</f>
        <v>2525.2525252525252</v>
      </c>
      <c r="G17867" s="51">
        <f>ROUNDUP(F17867*(E17867/21)/E17824,0)</f>
        <v>361</v>
      </c>
    </row>
    <row r="17868" spans="1:7" x14ac:dyDescent="0.25">
      <c r="A17868" s="50" t="s">
        <v>83</v>
      </c>
      <c r="B17868" s="72" t="str">
        <f>VLOOKUP(A17868,'Componentes APUs'!$A$1:$D$14,2,0)</f>
        <v>Impermeable (pantalon camisa)</v>
      </c>
      <c r="C17868" s="73"/>
      <c r="D17868" s="50" t="str">
        <f>VLOOKUP(A17868,'Componentes APUs'!$A$1:$D$14,3,0)</f>
        <v>U</v>
      </c>
      <c r="E17868" s="50">
        <f>SUM(C17839:C17845)</f>
        <v>3.75</v>
      </c>
      <c r="F17868" s="51">
        <f>VLOOKUP(A17868,'Componentes APUs'!$A$1:$D$14,4,0)</f>
        <v>3750</v>
      </c>
      <c r="G17868" s="51">
        <f>ROUNDUP(F17868*(E17868/21)/E17824,0)</f>
        <v>670</v>
      </c>
    </row>
    <row r="17869" spans="1:7" x14ac:dyDescent="0.25">
      <c r="A17869" s="69" t="s">
        <v>85</v>
      </c>
      <c r="B17869" s="72" t="str">
        <f>VLOOKUP(A17869,'Componentes APUs'!$A$1:$D$14,2,0)</f>
        <v>Jean Dielectrico</v>
      </c>
      <c r="C17869" s="73"/>
      <c r="D17869" s="50" t="str">
        <f>VLOOKUP(A17869,'Componentes APUs'!$A$1:$D$14,3,0)</f>
        <v>U</v>
      </c>
      <c r="E17869" s="50">
        <f>SUM(C17839:C17845)</f>
        <v>3.75</v>
      </c>
      <c r="F17869" s="51">
        <f>VLOOKUP(A17869,'Componentes APUs'!$A$1:$D$14,4,0)</f>
        <v>7575.757575757576</v>
      </c>
      <c r="G17869" s="51">
        <f>ROUNDUP(F17869*(E17869/21)/E17824,0)</f>
        <v>1353</v>
      </c>
    </row>
    <row r="17870" spans="1:7" x14ac:dyDescent="0.25">
      <c r="A17870" s="50" t="s">
        <v>87</v>
      </c>
      <c r="B17870" s="72" t="str">
        <f>VLOOKUP(A17870,'Componentes APUs'!$A$1:$D$14,2,0)</f>
        <v>Casco dielectrico Tipo 2 Clase E con barboquejo</v>
      </c>
      <c r="C17870" s="73"/>
      <c r="D17870" s="50" t="str">
        <f>VLOOKUP(A17870,'Componentes APUs'!$A$1:$D$14,3,0)</f>
        <v>U</v>
      </c>
      <c r="E17870" s="53">
        <f>IF(A17841="MO-3",C17841,0)</f>
        <v>0</v>
      </c>
      <c r="F17870" s="51">
        <f>VLOOKUP(A17870,'Componentes APUs'!$A$1:$D$14,4,0)</f>
        <v>7500</v>
      </c>
      <c r="G17870" s="51">
        <f>ROUNDUP(F17870*(E17870/21)/E17824,0)</f>
        <v>0</v>
      </c>
    </row>
    <row r="17871" spans="1:7" x14ac:dyDescent="0.25">
      <c r="A17871" s="69" t="s">
        <v>89</v>
      </c>
      <c r="B17871" s="72" t="str">
        <f>VLOOKUP(A17871,'Componentes APUs'!$A$1:$D$14,2,0)</f>
        <v>Kit de rescate para trabajo en alturas</v>
      </c>
      <c r="C17871" s="73"/>
      <c r="D17871" s="50" t="str">
        <f>VLOOKUP(A17871,'Componentes APUs'!$A$1:$D$14,3,0)</f>
        <v>U</v>
      </c>
      <c r="E17871" s="50">
        <f>IF(AND(A17841="MO-3",C17841=2),1,0)</f>
        <v>0</v>
      </c>
      <c r="F17871" s="51">
        <f>VLOOKUP(A17871,'Componentes APUs'!$A$1:$D$14,4,0)</f>
        <v>37500</v>
      </c>
      <c r="G17871" s="51">
        <f>ROUNDUP(F17871*(E17871/21)/E17824,0)</f>
        <v>0</v>
      </c>
    </row>
    <row r="17872" spans="1:7" x14ac:dyDescent="0.25">
      <c r="A17872" s="50" t="s">
        <v>91</v>
      </c>
      <c r="B17872" s="72" t="str">
        <f>VLOOKUP(A17872,'Componentes APUs'!$A$1:$D$14,2,0)</f>
        <v>Equipo completo para trabajo en alturas con pretales (Arnes dielectrico, 1 mosqueton de seguridad, tie off dielectrico, eslinga de posicionamiento, juego de pretales)</v>
      </c>
      <c r="C17872" s="73"/>
      <c r="D17872" s="50" t="str">
        <f>VLOOKUP(A17872,'Componentes APUs'!$A$1:$D$14,3,0)</f>
        <v>U</v>
      </c>
      <c r="E17872" s="50">
        <f>IF(A17841="MO-3",C17841,0)</f>
        <v>0</v>
      </c>
      <c r="F17872" s="51">
        <f>VLOOKUP(A17872,'Componentes APUs'!$A$1:$D$14,4,0)</f>
        <v>26041.666666666668</v>
      </c>
      <c r="G17872" s="51">
        <f>ROUNDUP(F17872*(E17872/21)/E17824,0)</f>
        <v>0</v>
      </c>
    </row>
    <row r="17873" spans="1:7" x14ac:dyDescent="0.25">
      <c r="A17873" s="219" t="s">
        <v>95</v>
      </c>
      <c r="B17873" s="219"/>
      <c r="C17873" s="219"/>
      <c r="D17873" s="219"/>
      <c r="E17873" s="219"/>
      <c r="F17873" s="219"/>
      <c r="G17873" s="52">
        <f>SUM(G17860:G17872)</f>
        <v>9208</v>
      </c>
    </row>
    <row r="17874" spans="1:7" x14ac:dyDescent="0.25">
      <c r="A17874" s="56"/>
      <c r="B17874" s="57"/>
      <c r="C17874" s="57"/>
      <c r="D17874" s="57"/>
      <c r="E17874" s="57"/>
      <c r="F17874" s="57"/>
      <c r="G17874" s="58"/>
    </row>
    <row r="17875" spans="1:7" x14ac:dyDescent="0.25">
      <c r="A17875" s="219" t="s">
        <v>96</v>
      </c>
      <c r="B17875" s="219"/>
      <c r="C17875" s="219"/>
      <c r="D17875" s="219"/>
      <c r="E17875" s="219"/>
      <c r="F17875" s="219"/>
      <c r="G17875" s="219"/>
    </row>
    <row r="17876" spans="1:7" x14ac:dyDescent="0.25">
      <c r="A17876" s="49" t="s">
        <v>35</v>
      </c>
      <c r="B17876" s="225" t="s">
        <v>36</v>
      </c>
      <c r="C17876" s="225"/>
      <c r="D17876" s="49" t="s">
        <v>37</v>
      </c>
      <c r="E17876" s="49" t="s">
        <v>38</v>
      </c>
      <c r="F17876" s="49" t="s">
        <v>39</v>
      </c>
      <c r="G17876" s="49" t="s">
        <v>40</v>
      </c>
    </row>
    <row r="17877" spans="1:7" x14ac:dyDescent="0.25">
      <c r="A17877" s="69" t="s">
        <v>97</v>
      </c>
      <c r="B17877" s="72" t="str">
        <f>VLOOKUP(A17877,'Componentes APUs'!$N$1:$Q$30,2,0)</f>
        <v>Camioneta</v>
      </c>
      <c r="C17877" s="73"/>
      <c r="D17877" s="70" t="str">
        <f>VLOOKUP(A17877,'Componentes APUs'!$N$1:$Q$30,3,0)</f>
        <v>U</v>
      </c>
      <c r="E17877" s="50">
        <v>1</v>
      </c>
      <c r="F17877" s="51">
        <f>VLOOKUP(A17877,'Componentes APUs'!$N$1:$Q$30,4,0)</f>
        <v>5500000</v>
      </c>
      <c r="G17877" s="51">
        <f>IFERROR(ROUNDUP(F17877*(E17877/21)/E17824,0),0)</f>
        <v>261905</v>
      </c>
    </row>
    <row r="17878" spans="1:7" x14ac:dyDescent="0.25">
      <c r="A17878" s="50" t="s">
        <v>321</v>
      </c>
      <c r="B17878" s="72" t="str">
        <f>VLOOKUP(A17878,'Componentes APUs'!$N$1:$Q$30,2,0)</f>
        <v>Grúa Hidráulica</v>
      </c>
      <c r="C17878" s="73"/>
      <c r="D17878" s="70" t="str">
        <f>VLOOKUP(A17878,'Componentes APUs'!$N$1:$Q$30,3,0)</f>
        <v>U</v>
      </c>
      <c r="E17878" s="50">
        <v>0</v>
      </c>
      <c r="F17878" s="51">
        <f>VLOOKUP(A17878,'Componentes APUs'!$N$1:$Q$30,4,0)</f>
        <v>21000000</v>
      </c>
      <c r="G17878" s="51">
        <f>IFERROR(ROUNDUP(F17878*(E17878/21)/E17824,0),0)</f>
        <v>0</v>
      </c>
    </row>
    <row r="17879" spans="1:7" x14ac:dyDescent="0.25">
      <c r="A17879" s="69" t="s">
        <v>322</v>
      </c>
      <c r="B17879" s="72" t="str">
        <f>VLOOKUP(A17879,'Componentes APUs'!$N$1:$Q$30,2,0)</f>
        <v>Camabaja</v>
      </c>
      <c r="C17879" s="73"/>
      <c r="D17879" s="70" t="str">
        <f>VLOOKUP(A17879,'Componentes APUs'!$N$1:$Q$30,3,0)</f>
        <v>TON/KM</v>
      </c>
      <c r="E17879" s="50">
        <v>0</v>
      </c>
      <c r="F17879" s="51">
        <f>VLOOKUP(A17879,'Componentes APUs'!$N$1:$Q$30,4,0)</f>
        <v>611</v>
      </c>
      <c r="G17879" s="51">
        <f>IFERROR(ROUNDUP(F17879*(E17879/21)/E17824,0),0)</f>
        <v>0</v>
      </c>
    </row>
    <row r="17880" spans="1:7" x14ac:dyDescent="0.25">
      <c r="A17880" s="50" t="s">
        <v>323</v>
      </c>
      <c r="B17880" s="72" t="str">
        <f>VLOOKUP(A17880,'Componentes APUs'!$N$1:$Q$30,2,0)</f>
        <v>Volqueta</v>
      </c>
      <c r="C17880" s="73"/>
      <c r="D17880" s="70" t="str">
        <f>VLOOKUP(A17880,'Componentes APUs'!$N$1:$Q$30,3,0)</f>
        <v>U</v>
      </c>
      <c r="E17880" s="50">
        <v>0</v>
      </c>
      <c r="F17880" s="51">
        <f>VLOOKUP(A17880,'Componentes APUs'!$N$1:$Q$30,4,0)</f>
        <v>14828184</v>
      </c>
      <c r="G17880" s="51">
        <f>IFERROR(ROUNDUP(F17880*(E17880/21)/E17824,0),0)</f>
        <v>0</v>
      </c>
    </row>
    <row r="17881" spans="1:7" x14ac:dyDescent="0.25">
      <c r="A17881" s="219" t="s">
        <v>99</v>
      </c>
      <c r="B17881" s="219"/>
      <c r="C17881" s="219"/>
      <c r="D17881" s="219"/>
      <c r="E17881" s="219"/>
      <c r="F17881" s="219"/>
      <c r="G17881" s="52">
        <f>SUM(G17877:G17880)</f>
        <v>261905</v>
      </c>
    </row>
    <row r="17882" spans="1:7" x14ac:dyDescent="0.25">
      <c r="A17882" s="56"/>
      <c r="B17882" s="57"/>
      <c r="C17882" s="57"/>
      <c r="D17882" s="57"/>
      <c r="E17882" s="57"/>
      <c r="F17882" s="57"/>
      <c r="G17882" s="58"/>
    </row>
    <row r="17883" spans="1:7" x14ac:dyDescent="0.25">
      <c r="A17883" s="219" t="s">
        <v>1516</v>
      </c>
      <c r="B17883" s="219"/>
      <c r="C17883" s="219"/>
      <c r="D17883" s="219"/>
      <c r="E17883" s="219"/>
      <c r="F17883" s="219"/>
      <c r="G17883" s="52">
        <f>G17881+G17873+G17856+G17846+G17835</f>
        <v>27251961</v>
      </c>
    </row>
    <row r="17884" spans="1:7" x14ac:dyDescent="0.25">
      <c r="A17884" s="59"/>
      <c r="B17884" s="60"/>
      <c r="C17884" s="60"/>
      <c r="D17884" s="60"/>
      <c r="E17884" s="57"/>
      <c r="F17884" s="57"/>
      <c r="G17884" s="58"/>
    </row>
    <row r="17885" spans="1:7" x14ac:dyDescent="0.25">
      <c r="A17885" s="64"/>
      <c r="D17885" s="55"/>
      <c r="E17885" s="49" t="s">
        <v>25</v>
      </c>
      <c r="F17885" s="54">
        <v>0.15</v>
      </c>
      <c r="G17885" s="51">
        <f>G17883*F17885</f>
        <v>4087794.15</v>
      </c>
    </row>
    <row r="17886" spans="1:7" x14ac:dyDescent="0.25">
      <c r="A17886" s="64"/>
      <c r="D17886" s="55"/>
      <c r="E17886" s="49" t="s">
        <v>26</v>
      </c>
      <c r="F17886" s="54">
        <v>0.05</v>
      </c>
      <c r="G17886" s="51">
        <f>G17883*F17886</f>
        <v>1362598.05</v>
      </c>
    </row>
    <row r="17887" spans="1:7" x14ac:dyDescent="0.25">
      <c r="A17887" s="61"/>
      <c r="B17887" s="65"/>
      <c r="C17887" s="65"/>
      <c r="D17887" s="62"/>
      <c r="E17887" s="49" t="s">
        <v>27</v>
      </c>
      <c r="F17887" s="54">
        <v>0.05</v>
      </c>
      <c r="G17887" s="51">
        <f>G17883*F17887</f>
        <v>1362598.05</v>
      </c>
    </row>
    <row r="17888" spans="1:7" x14ac:dyDescent="0.25">
      <c r="A17888" s="61"/>
      <c r="B17888" s="62"/>
      <c r="C17888" s="62"/>
      <c r="D17888" s="62"/>
      <c r="E17888" s="62"/>
      <c r="F17888" s="62"/>
      <c r="G17888" s="63"/>
    </row>
    <row r="17889" spans="1:7" x14ac:dyDescent="0.25">
      <c r="A17889" s="219" t="s">
        <v>1517</v>
      </c>
      <c r="B17889" s="219"/>
      <c r="C17889" s="219"/>
      <c r="D17889" s="219"/>
      <c r="E17889" s="219"/>
      <c r="F17889" s="219"/>
      <c r="G17889" s="52">
        <f>G17883+G17885+G17886+G17887</f>
        <v>34064951.25</v>
      </c>
    </row>
    <row r="17890" spans="1:7" x14ac:dyDescent="0.25">
      <c r="A17890" s="59"/>
      <c r="B17890" s="60"/>
      <c r="C17890" s="60"/>
      <c r="D17890" s="60"/>
      <c r="E17890" s="57"/>
      <c r="F17890" s="57"/>
      <c r="G17890" s="58"/>
    </row>
    <row r="17891" spans="1:7" x14ac:dyDescent="0.25">
      <c r="A17891" s="64"/>
      <c r="D17891" s="55"/>
      <c r="E17891" s="49" t="s">
        <v>102</v>
      </c>
      <c r="F17891" s="49" t="s">
        <v>103</v>
      </c>
      <c r="G17891" s="51">
        <f>G17887*19%</f>
        <v>258893.62950000001</v>
      </c>
    </row>
    <row r="17892" spans="1:7" x14ac:dyDescent="0.25">
      <c r="A17892" s="61"/>
      <c r="B17892" s="62"/>
      <c r="C17892" s="62"/>
      <c r="D17892" s="62"/>
      <c r="E17892" s="57"/>
      <c r="F17892" s="57"/>
      <c r="G17892" s="58"/>
    </row>
    <row r="17893" spans="1:7" x14ac:dyDescent="0.25">
      <c r="A17893" s="219" t="s">
        <v>104</v>
      </c>
      <c r="B17893" s="219"/>
      <c r="C17893" s="219"/>
      <c r="D17893" s="219"/>
      <c r="E17893" s="219"/>
      <c r="F17893" s="219"/>
      <c r="G17893" s="52">
        <f>G17891+G17889</f>
        <v>34323844.879500002</v>
      </c>
    </row>
    <row r="17895" spans="1:7" x14ac:dyDescent="0.25">
      <c r="A17895" s="74" t="s">
        <v>29</v>
      </c>
      <c r="B17895" s="237" t="s">
        <v>30</v>
      </c>
      <c r="C17895" s="238"/>
      <c r="D17895" s="74" t="s">
        <v>31</v>
      </c>
      <c r="E17895" s="74" t="s">
        <v>32</v>
      </c>
      <c r="F17895" s="74" t="s">
        <v>189</v>
      </c>
      <c r="G17895" s="74" t="s">
        <v>33</v>
      </c>
    </row>
    <row r="17896" spans="1:7" ht="27.75" customHeight="1" x14ac:dyDescent="0.25">
      <c r="A17896" s="50" t="str">
        <f>Presupuesto!B350</f>
        <v>022_AUX</v>
      </c>
      <c r="B17896" s="220" t="str">
        <f>Presupuesto!C350</f>
        <v>SUMINISTRO E INSTALACIÓN DE CABLE 3X350F+1X350N + 1X4 T AWG Cu- TC-THHN - 600 V. INCLUYE TERMINALES. (TRANSFERENCIA - DISTRIBUCIÓN AC)</v>
      </c>
      <c r="C17896" s="239"/>
      <c r="D17896" s="50" t="s">
        <v>108</v>
      </c>
      <c r="E17896" s="50">
        <v>40</v>
      </c>
      <c r="F17896" s="50"/>
      <c r="G17896" s="51">
        <f>G17963</f>
        <v>1207842.8670000001</v>
      </c>
    </row>
    <row r="17897" spans="1:7" x14ac:dyDescent="0.25">
      <c r="A17897" s="219" t="s">
        <v>34</v>
      </c>
      <c r="B17897" s="219"/>
      <c r="C17897" s="219"/>
      <c r="D17897" s="219"/>
      <c r="E17897" s="219"/>
      <c r="F17897" s="219"/>
      <c r="G17897" s="219"/>
    </row>
    <row r="17898" spans="1:7" x14ac:dyDescent="0.25">
      <c r="A17898" s="49" t="s">
        <v>35</v>
      </c>
      <c r="B17898" s="234" t="s">
        <v>36</v>
      </c>
      <c r="C17898" s="235"/>
      <c r="D17898" s="49" t="s">
        <v>37</v>
      </c>
      <c r="E17898" s="49" t="s">
        <v>38</v>
      </c>
      <c r="F17898" s="49" t="s">
        <v>39</v>
      </c>
      <c r="G17898" s="49" t="s">
        <v>40</v>
      </c>
    </row>
    <row r="17899" spans="1:7" x14ac:dyDescent="0.25">
      <c r="A17899" s="17" t="str">
        <f>Material!A427</f>
        <v>MA-426</v>
      </c>
      <c r="B17899" s="72" t="str">
        <f>IFERROR(VLOOKUP(A17899,Material!$A:$H,2,0),"-")</f>
        <v>CABLE 350 MCM KCMIL THHN/THWN-2 Cobre</v>
      </c>
      <c r="C17899" s="76"/>
      <c r="D17899" s="50" t="str">
        <f>IFERROR(VLOOKUP(A17899,Material!$A:$H,4,0),"-")</f>
        <v>ML</v>
      </c>
      <c r="E17899" s="50">
        <v>4</v>
      </c>
      <c r="F17899" s="51">
        <f>IFERROR(VLOOKUP(A17899,Material!$A:$H,3,0),"-")</f>
        <v>224330.6</v>
      </c>
      <c r="G17899" s="51">
        <f t="shared" ref="G17899:G17904" si="250">IFERROR(ROUNDUP(F17899*E17899,0),"-")</f>
        <v>897323</v>
      </c>
    </row>
    <row r="17900" spans="1:7" x14ac:dyDescent="0.25">
      <c r="A17900" s="17" t="str">
        <f>Material!A428</f>
        <v>MA-427</v>
      </c>
      <c r="B17900" s="72" t="str">
        <f>IFERROR(VLOOKUP(A17900,Material!$A:$H,2,0),"-")</f>
        <v>CONECTOR TERMINAL CU PARA CABLE N 350 KCMIL</v>
      </c>
      <c r="C17900" s="76"/>
      <c r="D17900" s="50" t="str">
        <f>IFERROR(VLOOKUP(A17900,Material!$A:$H,4,0),"-")</f>
        <v>UN</v>
      </c>
      <c r="E17900" s="50">
        <f>4/5</f>
        <v>0.8</v>
      </c>
      <c r="F17900" s="51">
        <f>IFERROR(VLOOKUP(A17900,Material!$A:$H,3,0),"-")</f>
        <v>17875</v>
      </c>
      <c r="G17900" s="51">
        <f t="shared" si="250"/>
        <v>14300</v>
      </c>
    </row>
    <row r="17901" spans="1:7" x14ac:dyDescent="0.25">
      <c r="A17901" s="17" t="str">
        <f>Material!A424</f>
        <v>MA-423</v>
      </c>
      <c r="B17901" s="72" t="str">
        <f>IFERROR(VLOOKUP(A17901,Material!$A:$H,2,0),"-")</f>
        <v xml:space="preserve">CABLE AISLADO NO 4 AWG COBRE THHN </v>
      </c>
      <c r="C17901" s="76"/>
      <c r="D17901" s="50" t="str">
        <f>IFERROR(VLOOKUP(A17901,Material!$A:$H,4,0),"-")</f>
        <v>ML</v>
      </c>
      <c r="E17901" s="53">
        <v>1</v>
      </c>
      <c r="F17901" s="51">
        <f>IFERROR(VLOOKUP(A17901,Material!$A:$H,3,0),"-")</f>
        <v>21710</v>
      </c>
      <c r="G17901" s="51">
        <f t="shared" si="250"/>
        <v>21710</v>
      </c>
    </row>
    <row r="17902" spans="1:7" x14ac:dyDescent="0.25">
      <c r="A17902" s="17" t="str">
        <f>Material!A276</f>
        <v>MA-275</v>
      </c>
      <c r="B17902" s="72" t="str">
        <f>IFERROR(VLOOKUP(A17902,Material!$A:$H,2,0),"-")</f>
        <v>AMARRA PLASTICA</v>
      </c>
      <c r="C17902" s="76"/>
      <c r="D17902" s="50" t="str">
        <f>IFERROR(VLOOKUP(A17902,Material!$A:$H,4,0),"-")</f>
        <v>UN</v>
      </c>
      <c r="E17902" s="50">
        <f>20/5</f>
        <v>4</v>
      </c>
      <c r="F17902" s="51">
        <f>IFERROR(VLOOKUP(A17902,Material!$A:$H,3,0),"-")</f>
        <v>167.70000000000002</v>
      </c>
      <c r="G17902" s="51">
        <f t="shared" si="250"/>
        <v>671</v>
      </c>
    </row>
    <row r="17903" spans="1:7" x14ac:dyDescent="0.25">
      <c r="A17903" s="17" t="str">
        <f>Material!A235</f>
        <v>MA-234</v>
      </c>
      <c r="B17903" s="72" t="str">
        <f>IFERROR(VLOOKUP(A17903,Material!$A:$H,2,0),"-")</f>
        <v>CINTA AISLANTE 23</v>
      </c>
      <c r="C17903" s="76"/>
      <c r="D17903" s="50" t="str">
        <f>IFERROR(VLOOKUP(A17903,Material!$A:$H,4,0),"-")</f>
        <v>ML</v>
      </c>
      <c r="E17903" s="50">
        <v>0.04</v>
      </c>
      <c r="F17903" s="51">
        <f>IFERROR(VLOOKUP(A17903,Material!$A:$H,3,0),"-")</f>
        <v>29683.333333333332</v>
      </c>
      <c r="G17903" s="51">
        <f t="shared" si="250"/>
        <v>1188</v>
      </c>
    </row>
    <row r="17904" spans="1:7" x14ac:dyDescent="0.25">
      <c r="A17904" s="17" t="str">
        <f>Material!A236</f>
        <v>MA-235</v>
      </c>
      <c r="B17904" s="72" t="str">
        <f>IFERROR(VLOOKUP(A17904,Material!$A:$H,2,0),"-")</f>
        <v>CINTA AISLANTE 33</v>
      </c>
      <c r="C17904" s="76"/>
      <c r="D17904" s="50" t="str">
        <f>IFERROR(VLOOKUP(A17904,Material!$A:$H,4,0),"-")</f>
        <v>ML</v>
      </c>
      <c r="E17904" s="50">
        <v>0.04</v>
      </c>
      <c r="F17904" s="51">
        <f>IFERROR(VLOOKUP(A17904,Material!$A:$H,3,0),"-")</f>
        <v>1826.5</v>
      </c>
      <c r="G17904" s="51">
        <f t="shared" si="250"/>
        <v>74</v>
      </c>
    </row>
    <row r="17905" spans="1:7" x14ac:dyDescent="0.25">
      <c r="A17905" s="234" t="s">
        <v>41</v>
      </c>
      <c r="B17905" s="236"/>
      <c r="C17905" s="236"/>
      <c r="D17905" s="236"/>
      <c r="E17905" s="236"/>
      <c r="F17905" s="235"/>
      <c r="G17905" s="52">
        <f>SUM(G17899:G17904)</f>
        <v>935266</v>
      </c>
    </row>
    <row r="17906" spans="1:7" x14ac:dyDescent="0.25">
      <c r="A17906" s="56"/>
      <c r="B17906" s="57"/>
      <c r="C17906" s="57"/>
      <c r="D17906" s="57"/>
      <c r="E17906" s="57"/>
      <c r="F17906" s="57"/>
      <c r="G17906" s="58"/>
    </row>
    <row r="17907" spans="1:7" x14ac:dyDescent="0.25">
      <c r="A17907" s="219" t="s">
        <v>42</v>
      </c>
      <c r="B17907" s="219"/>
      <c r="C17907" s="219"/>
      <c r="D17907" s="219"/>
      <c r="E17907" s="219"/>
      <c r="F17907" s="219"/>
      <c r="G17907" s="219"/>
    </row>
    <row r="17908" spans="1:7" x14ac:dyDescent="0.25">
      <c r="A17908" s="49" t="s">
        <v>35</v>
      </c>
      <c r="B17908" s="49" t="s">
        <v>36</v>
      </c>
      <c r="C17908" s="49" t="s">
        <v>38</v>
      </c>
      <c r="D17908" s="49" t="s">
        <v>43</v>
      </c>
      <c r="E17908" s="49" t="s">
        <v>44</v>
      </c>
      <c r="F17908" s="49" t="s">
        <v>45</v>
      </c>
      <c r="G17908" s="49" t="s">
        <v>40</v>
      </c>
    </row>
    <row r="17909" spans="1:7" x14ac:dyDescent="0.25">
      <c r="A17909" s="50" t="s">
        <v>319</v>
      </c>
      <c r="B17909" s="68" t="str">
        <f>VLOOKUP(A17909,'Componentes APUs'!$H$1:$L$25,2,0)</f>
        <v>Ingeniero Residente de Obra</v>
      </c>
      <c r="C17909" s="93">
        <v>0.25</v>
      </c>
      <c r="D17909" s="50">
        <f>VLOOKUP(A17909,'Componentes APUs'!$H$1:$L$25,3,0)</f>
        <v>4</v>
      </c>
      <c r="E17909" s="51">
        <f>VLOOKUP(A17909,'Componentes APUs'!$H$1:$L$25,4,0)</f>
        <v>271142.85714285716</v>
      </c>
      <c r="F17909" s="51">
        <f>VLOOKUP(A17909,'Componentes APUs'!$H$1:$L$25,5,0)</f>
        <v>162685.71428571429</v>
      </c>
      <c r="G17909" s="51">
        <f>ROUNDUP((E17909+F17909)*C17909/E17896,0)</f>
        <v>2712</v>
      </c>
    </row>
    <row r="17910" spans="1:7" x14ac:dyDescent="0.25">
      <c r="A17910" s="50" t="s">
        <v>320</v>
      </c>
      <c r="B17910" s="68" t="str">
        <f>VLOOKUP(A17910,'Componentes APUs'!$H$1:$L$25,2,0)</f>
        <v>Tecnico Supervisor</v>
      </c>
      <c r="C17910" s="93">
        <v>0.25</v>
      </c>
      <c r="D17910" s="50">
        <f>VLOOKUP(A17910,'Componentes APUs'!$H$1:$L$25,3,0)</f>
        <v>2.2999999999999998</v>
      </c>
      <c r="E17910" s="51">
        <f>VLOOKUP(A17910,'Componentes APUs'!$H$1:$L$25,4,0)</f>
        <v>155907.14285714284</v>
      </c>
      <c r="F17910" s="51">
        <f>VLOOKUP(A17910,'Componentes APUs'!$H$1:$L$25,5,0)</f>
        <v>93544.285714285696</v>
      </c>
      <c r="G17910" s="51">
        <f>ROUNDUP((E17910+F17910)*C17910/E17896,0)</f>
        <v>1560</v>
      </c>
    </row>
    <row r="17911" spans="1:7" x14ac:dyDescent="0.25">
      <c r="A17911" s="50" t="s">
        <v>1160</v>
      </c>
      <c r="B17911" s="68" t="str">
        <f>VLOOKUP(A17911,'Componentes APUs'!$H$1:$L$25,2,0)</f>
        <v>Oficial Eléctrico</v>
      </c>
      <c r="C17911" s="93">
        <v>1</v>
      </c>
      <c r="D17911" s="50">
        <f>VLOOKUP(A17911,'Componentes APUs'!$H$1:$L$25,3,0)</f>
        <v>2</v>
      </c>
      <c r="E17911" s="51">
        <f>VLOOKUP(A17911,'Componentes APUs'!$H$1:$L$25,4,0)</f>
        <v>154619.04761904763</v>
      </c>
      <c r="F17911" s="51">
        <f>VLOOKUP(A17911,'Componentes APUs'!$H$1:$L$25,5,0)</f>
        <v>92771.42857142858</v>
      </c>
      <c r="G17911" s="51">
        <f>ROUNDUP((E17911+F17911)*C17911/E17896,0)</f>
        <v>6185</v>
      </c>
    </row>
    <row r="17912" spans="1:7" x14ac:dyDescent="0.25">
      <c r="A17912" s="50" t="s">
        <v>48</v>
      </c>
      <c r="B17912" s="68" t="str">
        <f>VLOOKUP(A17912,'Componentes APUs'!$H$1:$L$25,2,0)</f>
        <v>Ayudante Calificado</v>
      </c>
      <c r="C17912" s="93">
        <v>1</v>
      </c>
      <c r="D17912" s="50">
        <f>VLOOKUP(A17912,'Componentes APUs'!$H$1:$L$25,3,0)</f>
        <v>1.5</v>
      </c>
      <c r="E17912" s="51">
        <f>VLOOKUP(A17912,'Componentes APUs'!$H$1:$L$25,4,0)</f>
        <v>115964.28571428571</v>
      </c>
      <c r="F17912" s="51">
        <f>VLOOKUP(A17912,'Componentes APUs'!$H$1:$L$25,5,0)</f>
        <v>69578.57142857142</v>
      </c>
      <c r="G17912" s="51">
        <f>ROUNDUP((E17912+F17912)*C17912/E17896,0)</f>
        <v>4639</v>
      </c>
    </row>
    <row r="17913" spans="1:7" x14ac:dyDescent="0.25">
      <c r="A17913" s="50" t="s">
        <v>50</v>
      </c>
      <c r="B17913" s="68" t="str">
        <f>VLOOKUP(A17913,'Componentes APUs'!$H$1:$L$25,2,0)</f>
        <v>Profesional en SST</v>
      </c>
      <c r="C17913" s="93">
        <v>0.25</v>
      </c>
      <c r="D17913" s="50">
        <f>VLOOKUP(A17913,'Componentes APUs'!$H$1:$L$25,3,0)</f>
        <v>2.5</v>
      </c>
      <c r="E17913" s="51">
        <f>VLOOKUP(A17913,'Componentes APUs'!$H$1:$L$25,4,0)</f>
        <v>169464.28571428571</v>
      </c>
      <c r="F17913" s="51">
        <f>VLOOKUP(A17913,'Componentes APUs'!$H$1:$L$25,5,0)</f>
        <v>101678.57142857142</v>
      </c>
      <c r="G17913" s="51">
        <f>ROUNDUP((E17913+F17913)*C17913/E17896,0)</f>
        <v>1695</v>
      </c>
    </row>
    <row r="17914" spans="1:7" x14ac:dyDescent="0.25">
      <c r="A17914" s="50" t="s">
        <v>52</v>
      </c>
      <c r="B17914" s="68" t="str">
        <f>VLOOKUP(A17914,'Componentes APUs'!$H$1:$L$25,2,0)</f>
        <v>Ayudante No Calificado</v>
      </c>
      <c r="C17914" s="93">
        <v>0</v>
      </c>
      <c r="D17914" s="50">
        <f>VLOOKUP(A17914,'Componentes APUs'!$H$1:$L$25,3,0)</f>
        <v>1</v>
      </c>
      <c r="E17914" s="51">
        <f>VLOOKUP(A17914,'Componentes APUs'!$H$1:$L$25,4,0)</f>
        <v>77309.523809523816</v>
      </c>
      <c r="F17914" s="51">
        <f>VLOOKUP(A17914,'Componentes APUs'!$H$1:$L$25,5,0)</f>
        <v>46385.71428571429</v>
      </c>
      <c r="G17914" s="51">
        <f>ROUNDUP((E17914+F17914)*C17914/E17896,0)</f>
        <v>0</v>
      </c>
    </row>
    <row r="17915" spans="1:7" x14ac:dyDescent="0.25">
      <c r="A17915" s="219" t="s">
        <v>56</v>
      </c>
      <c r="B17915" s="219"/>
      <c r="C17915" s="219"/>
      <c r="D17915" s="219"/>
      <c r="E17915" s="219"/>
      <c r="F17915" s="219"/>
      <c r="G17915" s="52">
        <f>SUM(G17909:G17914)</f>
        <v>16791</v>
      </c>
    </row>
    <row r="17916" spans="1:7" x14ac:dyDescent="0.25">
      <c r="A17916" s="56"/>
      <c r="B17916" s="57"/>
      <c r="C17916" s="57"/>
      <c r="D17916" s="57"/>
      <c r="E17916" s="57"/>
      <c r="F17916" s="57"/>
      <c r="G17916" s="58"/>
    </row>
    <row r="17917" spans="1:7" x14ac:dyDescent="0.25">
      <c r="A17917" s="219" t="s">
        <v>57</v>
      </c>
      <c r="B17917" s="219"/>
      <c r="C17917" s="219"/>
      <c r="D17917" s="219"/>
      <c r="E17917" s="219"/>
      <c r="F17917" s="219"/>
      <c r="G17917" s="219"/>
    </row>
    <row r="17918" spans="1:7" x14ac:dyDescent="0.25">
      <c r="A17918" s="49" t="s">
        <v>35</v>
      </c>
      <c r="B17918" s="219" t="s">
        <v>36</v>
      </c>
      <c r="C17918" s="219"/>
      <c r="D17918" s="49" t="s">
        <v>37</v>
      </c>
      <c r="E17918" s="49" t="s">
        <v>38</v>
      </c>
      <c r="F17918" s="49" t="s">
        <v>39</v>
      </c>
      <c r="G17918" s="49" t="s">
        <v>40</v>
      </c>
    </row>
    <row r="17919" spans="1:7" x14ac:dyDescent="0.25">
      <c r="A17919" s="50" t="s">
        <v>326</v>
      </c>
      <c r="B17919" s="220" t="str">
        <f>VLOOKUP(A17919,'Componentes APUs'!$S$1:$V$10,2,0)</f>
        <v>Juego Llaves</v>
      </c>
      <c r="C17919" s="220"/>
      <c r="D17919" s="50" t="s">
        <v>18</v>
      </c>
      <c r="E17919" s="50">
        <v>2</v>
      </c>
      <c r="F17919" s="51">
        <f>VLOOKUP(A17919,'Componentes APUs'!$S$1:$V$10,4,0)</f>
        <v>9167</v>
      </c>
      <c r="G17919" s="51">
        <f>ROUNDUP(F17919*((E17919/21)/E17896),0)</f>
        <v>22</v>
      </c>
    </row>
    <row r="17920" spans="1:7" x14ac:dyDescent="0.25">
      <c r="A17920" s="50" t="s">
        <v>58</v>
      </c>
      <c r="B17920" s="220" t="str">
        <f>VLOOKUP(A17920,'Componentes APUs'!$S$1:$V$10,2,0)</f>
        <v>Manila de servicio</v>
      </c>
      <c r="C17920" s="220"/>
      <c r="D17920" s="50" t="s">
        <v>18</v>
      </c>
      <c r="E17920" s="50">
        <v>0</v>
      </c>
      <c r="F17920" s="51">
        <f>VLOOKUP(A17920,'Componentes APUs'!$S$1:$V$10,4,0)</f>
        <v>2333</v>
      </c>
      <c r="G17920" s="51">
        <f>ROUNDUP(F17920*((E17920/21)/E17896),0)</f>
        <v>0</v>
      </c>
    </row>
    <row r="17921" spans="1:7" x14ac:dyDescent="0.25">
      <c r="A17921" s="50" t="s">
        <v>327</v>
      </c>
      <c r="B17921" s="220" t="str">
        <f>VLOOKUP(A17921,'Componentes APUs'!$S$1:$V$10,2,0)</f>
        <v>Tula portaherramientas</v>
      </c>
      <c r="C17921" s="220"/>
      <c r="D17921" s="50" t="s">
        <v>18</v>
      </c>
      <c r="E17921" s="50">
        <v>2</v>
      </c>
      <c r="F17921" s="51">
        <f>VLOOKUP(A17921,'Componentes APUs'!$S$1:$V$10,4,0)</f>
        <v>1250</v>
      </c>
      <c r="G17921" s="51">
        <f>ROUNDUP(F17921*((E17921/21)/E17896),0)</f>
        <v>3</v>
      </c>
    </row>
    <row r="17922" spans="1:7" x14ac:dyDescent="0.25">
      <c r="A17922" s="50" t="s">
        <v>60</v>
      </c>
      <c r="B17922" s="220" t="str">
        <f>VLOOKUP(A17922,'Componentes APUs'!$S$1:$V$10,2,0)</f>
        <v>Agarradoras</v>
      </c>
      <c r="C17922" s="220"/>
      <c r="D17922" s="50" t="s">
        <v>18</v>
      </c>
      <c r="E17922" s="50">
        <v>0</v>
      </c>
      <c r="F17922" s="51">
        <f>VLOOKUP(A17922,'Componentes APUs'!$S$1:$V$10,4,0)</f>
        <v>125000</v>
      </c>
      <c r="G17922" s="51">
        <f>ROUNDUP(F17922*((E17922/21)/E17896),0)</f>
        <v>0</v>
      </c>
    </row>
    <row r="17923" spans="1:7" x14ac:dyDescent="0.25">
      <c r="A17923" s="50" t="s">
        <v>62</v>
      </c>
      <c r="B17923" s="220" t="str">
        <f>VLOOKUP(A17923,'Componentes APUs'!$S$1:$V$10,2,0)</f>
        <v>Templadoras</v>
      </c>
      <c r="C17923" s="220"/>
      <c r="D17923" s="50" t="s">
        <v>18</v>
      </c>
      <c r="E17923" s="50">
        <v>0</v>
      </c>
      <c r="F17923" s="51">
        <f>VLOOKUP(A17923,'Componentes APUs'!$S$1:$V$10,4,0)</f>
        <v>250000</v>
      </c>
      <c r="G17923" s="51">
        <f>ROUNDUP(F17923*((E17923/21)/E17896),0)</f>
        <v>0</v>
      </c>
    </row>
    <row r="17924" spans="1:7" x14ac:dyDescent="0.25">
      <c r="A17924" s="50" t="s">
        <v>328</v>
      </c>
      <c r="B17924" s="220" t="str">
        <f>VLOOKUP(A17924,'Componentes APUs'!$S$1:$V$10,2,0)</f>
        <v>Herramienta Menor</v>
      </c>
      <c r="C17924" s="220"/>
      <c r="D17924" s="50" t="s">
        <v>18</v>
      </c>
      <c r="E17924" s="50">
        <v>2</v>
      </c>
      <c r="F17924" s="51">
        <f>VLOOKUP(A17924,'Componentes APUs'!$S$1:$V$10,4,0)</f>
        <v>75758</v>
      </c>
      <c r="G17924" s="51">
        <f>ROUNDUP(F17924*((E17924/21)/E17896),0)</f>
        <v>181</v>
      </c>
    </row>
    <row r="17925" spans="1:7" x14ac:dyDescent="0.25">
      <c r="A17925" s="219" t="s">
        <v>69</v>
      </c>
      <c r="B17925" s="219"/>
      <c r="C17925" s="219"/>
      <c r="D17925" s="219"/>
      <c r="E17925" s="219"/>
      <c r="F17925" s="219"/>
      <c r="G17925" s="52">
        <f>SUM(G17919:G17924)</f>
        <v>206</v>
      </c>
    </row>
    <row r="17926" spans="1:7" x14ac:dyDescent="0.25">
      <c r="A17926" s="56"/>
      <c r="B17926" s="57"/>
      <c r="C17926" s="57"/>
      <c r="D17926" s="57"/>
      <c r="E17926" s="57"/>
      <c r="F17926" s="57"/>
      <c r="G17926" s="58"/>
    </row>
    <row r="17927" spans="1:7" x14ac:dyDescent="0.25">
      <c r="A17927" s="219" t="s">
        <v>70</v>
      </c>
      <c r="B17927" s="219"/>
      <c r="C17927" s="219"/>
      <c r="D17927" s="219"/>
      <c r="E17927" s="219"/>
      <c r="F17927" s="219"/>
      <c r="G17927" s="219"/>
    </row>
    <row r="17928" spans="1:7" x14ac:dyDescent="0.25">
      <c r="A17928" s="49" t="s">
        <v>35</v>
      </c>
      <c r="B17928" s="219" t="s">
        <v>36</v>
      </c>
      <c r="C17928" s="219"/>
      <c r="D17928" s="49" t="s">
        <v>37</v>
      </c>
      <c r="E17928" s="49" t="s">
        <v>38</v>
      </c>
      <c r="F17928" s="49" t="s">
        <v>39</v>
      </c>
      <c r="G17928" s="49" t="s">
        <v>40</v>
      </c>
    </row>
    <row r="17929" spans="1:7" x14ac:dyDescent="0.25">
      <c r="A17929" s="50" t="s">
        <v>71</v>
      </c>
      <c r="B17929" s="71" t="str">
        <f>VLOOKUP(A17929,'Componentes APUs'!$A$1:$D$14,2,0)</f>
        <v>Camisa indigo sin partes metalicas</v>
      </c>
      <c r="C17929" s="71"/>
      <c r="D17929" s="50" t="str">
        <f>VLOOKUP(A17929,'Componentes APUs'!$A$1:$D$14,3,0)</f>
        <v>U</v>
      </c>
      <c r="E17929" s="50">
        <f>SUM(C17909:C17914)</f>
        <v>2.75</v>
      </c>
      <c r="F17929" s="51">
        <f>VLOOKUP(A17929,'Componentes APUs'!$A$1:$D$14,4,0)</f>
        <v>8585.8585858585866</v>
      </c>
      <c r="G17929" s="51">
        <f>ROUNDUP(F17929*(E17929/21)/E17896,0)</f>
        <v>29</v>
      </c>
    </row>
    <row r="17930" spans="1:7" x14ac:dyDescent="0.25">
      <c r="A17930" s="69" t="s">
        <v>73</v>
      </c>
      <c r="B17930" s="72" t="str">
        <f>VLOOKUP(A17930,'Componentes APUs'!$A$1:$D$14,2,0)</f>
        <v>Bota de seguridad dielectrica</v>
      </c>
      <c r="C17930" s="73"/>
      <c r="D17930" s="70" t="str">
        <f>VLOOKUP(A17930,'Componentes APUs'!$A$1:$D$14,3,0)</f>
        <v>Par</v>
      </c>
      <c r="E17930" s="50">
        <f>SUM(C17909:C17914)</f>
        <v>2.75</v>
      </c>
      <c r="F17930" s="51">
        <f>VLOOKUP(A17930,'Componentes APUs'!$A$1:$D$14,4,0)</f>
        <v>7500</v>
      </c>
      <c r="G17930" s="51">
        <f>ROUNDUP(F17930*(E17930/21)/E17896,0)</f>
        <v>25</v>
      </c>
    </row>
    <row r="17931" spans="1:7" x14ac:dyDescent="0.25">
      <c r="A17931" s="50" t="s">
        <v>76</v>
      </c>
      <c r="B17931" s="72" t="str">
        <f>VLOOKUP(A17931,'Componentes APUs'!$A$1:$D$14,2,0)</f>
        <v>Casco dielectrico Tipo 1 Clase E con barbuquejo</v>
      </c>
      <c r="C17931" s="73"/>
      <c r="D17931" s="50" t="str">
        <f>VLOOKUP(A17931,'Componentes APUs'!$A$1:$D$14,3,0)</f>
        <v>U</v>
      </c>
      <c r="E17931" s="50">
        <f>C17914+C17909+C17912+C17913+C17910+IF(A17911&lt;&gt;"MO-3",C17911,0)</f>
        <v>2.75</v>
      </c>
      <c r="F17931" s="51">
        <f>VLOOKUP(A17931,'Componentes APUs'!$A$1:$D$14,4,0)</f>
        <v>10101.010101010101</v>
      </c>
      <c r="G17931" s="51">
        <f>ROUNDUP(F17931*(E17931/21)/E17896,0)</f>
        <v>34</v>
      </c>
    </row>
    <row r="17932" spans="1:7" x14ac:dyDescent="0.25">
      <c r="A17932" s="69" t="s">
        <v>77</v>
      </c>
      <c r="B17932" s="72" t="str">
        <f>VLOOKUP(A17932,'Componentes APUs'!$A$1:$D$14,2,0)</f>
        <v>Correa plastica y antiflama</v>
      </c>
      <c r="C17932" s="73"/>
      <c r="D17932" s="50" t="str">
        <f>VLOOKUP(A17932,'Componentes APUs'!$A$1:$D$14,3,0)</f>
        <v>U</v>
      </c>
      <c r="E17932" s="50">
        <f>SUM(C17909:C17914)</f>
        <v>2.75</v>
      </c>
      <c r="F17932" s="51">
        <f>VLOOKUP(A17932,'Componentes APUs'!$A$1:$D$14,4,0)</f>
        <v>3787.878787878788</v>
      </c>
      <c r="G17932" s="51">
        <f>ROUNDUP(F17932*(E17932/21)/E17896,0)</f>
        <v>13</v>
      </c>
    </row>
    <row r="17933" spans="1:7" x14ac:dyDescent="0.25">
      <c r="A17933" s="50" t="s">
        <v>79</v>
      </c>
      <c r="B17933" s="72" t="str">
        <f>VLOOKUP(A17933,'Componentes APUs'!$A$1:$D$14,2,0)</f>
        <v>Gafas protectoras filtro UV</v>
      </c>
      <c r="C17933" s="73"/>
      <c r="D17933" s="50" t="str">
        <f>VLOOKUP(A17933,'Componentes APUs'!$A$1:$D$14,3,0)</f>
        <v>U</v>
      </c>
      <c r="E17933" s="50">
        <f>SUM(C17909:C17914)</f>
        <v>2.75</v>
      </c>
      <c r="F17933" s="51">
        <f>VLOOKUP(A17933,'Componentes APUs'!$A$1:$D$14,4,0)</f>
        <v>2777.7777777777778</v>
      </c>
      <c r="G17933" s="51">
        <f>ROUNDUP(F17933*(E17933/21)/E17896,0)</f>
        <v>10</v>
      </c>
    </row>
    <row r="17934" spans="1:7" x14ac:dyDescent="0.25">
      <c r="A17934" s="69" t="s">
        <v>402</v>
      </c>
      <c r="B17934" s="72" t="str">
        <f>VLOOKUP(A17934,'Componentes APUs'!$A$1:$D$14,2,0)</f>
        <v>Bota de seguridad PVC dielectrica</v>
      </c>
      <c r="C17934" s="73"/>
      <c r="D17934" s="50" t="str">
        <f>VLOOKUP(A17934,'Componentes APUs'!$A$1:$D$14,3,0)</f>
        <v>Par</v>
      </c>
      <c r="E17934" s="50">
        <f>SUM(C17909:C17914)</f>
        <v>2.75</v>
      </c>
      <c r="F17934" s="51">
        <f>VLOOKUP(A17934,'Componentes APUs'!$A$1:$D$14,4,0)</f>
        <v>2916.6666666666665</v>
      </c>
      <c r="G17934" s="51">
        <f>ROUNDUP(F17934*(E17934/21)/E17896,0)</f>
        <v>10</v>
      </c>
    </row>
    <row r="17935" spans="1:7" x14ac:dyDescent="0.25">
      <c r="A17935" s="50" t="s">
        <v>403</v>
      </c>
      <c r="B17935" s="72" t="str">
        <f>VLOOKUP(A17935,'Componentes APUs'!$A$1:$D$14,2,0)</f>
        <v>Capuchon</v>
      </c>
      <c r="C17935" s="73"/>
      <c r="D17935" s="50" t="str">
        <f>VLOOKUP(A17935,'Componentes APUs'!$A$1:$D$14,3,0)</f>
        <v>U</v>
      </c>
      <c r="E17935" s="50">
        <f>SUM(C17909:C17914)</f>
        <v>2.75</v>
      </c>
      <c r="F17935" s="51">
        <f>VLOOKUP(A17935,'Componentes APUs'!$A$1:$D$14,4,0)</f>
        <v>2525.2525252525252</v>
      </c>
      <c r="G17935" s="51">
        <f>ROUNDUP(F17935*(E17935/21)/E17896,0)</f>
        <v>9</v>
      </c>
    </row>
    <row r="17936" spans="1:7" x14ac:dyDescent="0.25">
      <c r="A17936" s="69" t="s">
        <v>81</v>
      </c>
      <c r="B17936" s="72" t="str">
        <f>VLOOKUP(A17936,'Componentes APUs'!$A$1:$D$14,2,0)</f>
        <v>Guantes Protectores  - ingeniero reforzados</v>
      </c>
      <c r="C17936" s="73"/>
      <c r="D17936" s="50" t="str">
        <f>VLOOKUP(A17936,'Componentes APUs'!$A$1:$D$14,3,0)</f>
        <v>Par</v>
      </c>
      <c r="E17936" s="50">
        <f>C17911+C17912+C17914</f>
        <v>2</v>
      </c>
      <c r="F17936" s="51">
        <f>VLOOKUP(A17936,'Componentes APUs'!$A$1:$D$14,4,0)</f>
        <v>2525.2525252525252</v>
      </c>
      <c r="G17936" s="51">
        <f>ROUNDUP(F17936*(E17936/21)/E17896,0)</f>
        <v>7</v>
      </c>
    </row>
    <row r="17937" spans="1:7" x14ac:dyDescent="0.25">
      <c r="A17937" s="50" t="s">
        <v>83</v>
      </c>
      <c r="B17937" s="72" t="str">
        <f>VLOOKUP(A17937,'Componentes APUs'!$A$1:$D$14,2,0)</f>
        <v>Impermeable (pantalon camisa)</v>
      </c>
      <c r="C17937" s="73"/>
      <c r="D17937" s="50" t="str">
        <f>VLOOKUP(A17937,'Componentes APUs'!$A$1:$D$14,3,0)</f>
        <v>U</v>
      </c>
      <c r="E17937" s="50">
        <f>SUM(C17909:C17914)</f>
        <v>2.75</v>
      </c>
      <c r="F17937" s="51">
        <f>VLOOKUP(A17937,'Componentes APUs'!$A$1:$D$14,4,0)</f>
        <v>3750</v>
      </c>
      <c r="G17937" s="51">
        <f>ROUNDUP(F17937*(E17937/21)/E17896,0)</f>
        <v>13</v>
      </c>
    </row>
    <row r="17938" spans="1:7" x14ac:dyDescent="0.25">
      <c r="A17938" s="69" t="s">
        <v>85</v>
      </c>
      <c r="B17938" s="72" t="str">
        <f>VLOOKUP(A17938,'Componentes APUs'!$A$1:$D$14,2,0)</f>
        <v>Jean Dielectrico</v>
      </c>
      <c r="C17938" s="73"/>
      <c r="D17938" s="50" t="str">
        <f>VLOOKUP(A17938,'Componentes APUs'!$A$1:$D$14,3,0)</f>
        <v>U</v>
      </c>
      <c r="E17938" s="50">
        <f>SUM(C17909:C17914)</f>
        <v>2.75</v>
      </c>
      <c r="F17938" s="51">
        <f>VLOOKUP(A17938,'Componentes APUs'!$A$1:$D$14,4,0)</f>
        <v>7575.757575757576</v>
      </c>
      <c r="G17938" s="51">
        <f>ROUNDUP(F17938*(E17938/21)/E17896,0)</f>
        <v>25</v>
      </c>
    </row>
    <row r="17939" spans="1:7" x14ac:dyDescent="0.25">
      <c r="A17939" s="50" t="s">
        <v>87</v>
      </c>
      <c r="B17939" s="72" t="str">
        <f>VLOOKUP(A17939,'Componentes APUs'!$A$1:$D$14,2,0)</f>
        <v>Casco dielectrico Tipo 2 Clase E con barboquejo</v>
      </c>
      <c r="C17939" s="73"/>
      <c r="D17939" s="50" t="str">
        <f>VLOOKUP(A17939,'Componentes APUs'!$A$1:$D$14,3,0)</f>
        <v>U</v>
      </c>
      <c r="E17939" s="53">
        <f>IF(A17911="MO-3",C17911,0)</f>
        <v>0</v>
      </c>
      <c r="F17939" s="51">
        <f>VLOOKUP(A17939,'Componentes APUs'!$A$1:$D$14,4,0)</f>
        <v>7500</v>
      </c>
      <c r="G17939" s="51">
        <f>ROUNDUP(F17939*(E17939/21)/E17896,0)</f>
        <v>0</v>
      </c>
    </row>
    <row r="17940" spans="1:7" x14ac:dyDescent="0.25">
      <c r="A17940" s="69" t="s">
        <v>89</v>
      </c>
      <c r="B17940" s="72" t="str">
        <f>VLOOKUP(A17940,'Componentes APUs'!$A$1:$D$14,2,0)</f>
        <v>Kit de rescate para trabajo en alturas</v>
      </c>
      <c r="C17940" s="73"/>
      <c r="D17940" s="50" t="str">
        <f>VLOOKUP(A17940,'Componentes APUs'!$A$1:$D$14,3,0)</f>
        <v>U</v>
      </c>
      <c r="E17940" s="50">
        <f>IF(AND(A17911="MO-3",C17911=2),1,0)</f>
        <v>0</v>
      </c>
      <c r="F17940" s="51">
        <f>VLOOKUP(A17940,'Componentes APUs'!$A$1:$D$14,4,0)</f>
        <v>37500</v>
      </c>
      <c r="G17940" s="51">
        <f>ROUNDUP(F17940*(E17940/21)/E17896,0)</f>
        <v>0</v>
      </c>
    </row>
    <row r="17941" spans="1:7" x14ac:dyDescent="0.25">
      <c r="A17941" s="50" t="s">
        <v>91</v>
      </c>
      <c r="B17941" s="72" t="str">
        <f>VLOOKUP(A17941,'Componentes APUs'!$A$1:$D$14,2,0)</f>
        <v>Equipo completo para trabajo en alturas con pretales (Arnes dielectrico, 1 mosqueton de seguridad, tie off dielectrico, eslinga de posicionamiento, juego de pretales)</v>
      </c>
      <c r="C17941" s="73"/>
      <c r="D17941" s="50" t="str">
        <f>VLOOKUP(A17941,'Componentes APUs'!$A$1:$D$14,3,0)</f>
        <v>U</v>
      </c>
      <c r="E17941" s="50">
        <f>IF(A17911="MO-3",C17911,0)</f>
        <v>0</v>
      </c>
      <c r="F17941" s="51">
        <f>VLOOKUP(A17941,'Componentes APUs'!$A$1:$D$14,4,0)</f>
        <v>26041.666666666668</v>
      </c>
      <c r="G17941" s="51">
        <f>ROUNDUP(F17941*(E17941/21)/E17896,0)</f>
        <v>0</v>
      </c>
    </row>
    <row r="17942" spans="1:7" x14ac:dyDescent="0.25">
      <c r="A17942" s="219" t="s">
        <v>95</v>
      </c>
      <c r="B17942" s="219"/>
      <c r="C17942" s="219"/>
      <c r="D17942" s="219"/>
      <c r="E17942" s="219"/>
      <c r="F17942" s="219"/>
      <c r="G17942" s="52">
        <f>SUM(G17929:G17941)</f>
        <v>175</v>
      </c>
    </row>
    <row r="17943" spans="1:7" x14ac:dyDescent="0.25">
      <c r="A17943" s="56"/>
      <c r="B17943" s="57"/>
      <c r="C17943" s="57"/>
      <c r="D17943" s="57"/>
      <c r="E17943" s="57"/>
      <c r="F17943" s="57"/>
      <c r="G17943" s="58"/>
    </row>
    <row r="17944" spans="1:7" x14ac:dyDescent="0.25">
      <c r="A17944" s="219" t="s">
        <v>96</v>
      </c>
      <c r="B17944" s="219"/>
      <c r="C17944" s="219"/>
      <c r="D17944" s="219"/>
      <c r="E17944" s="219"/>
      <c r="F17944" s="219"/>
      <c r="G17944" s="219"/>
    </row>
    <row r="17945" spans="1:7" x14ac:dyDescent="0.25">
      <c r="A17945" s="49" t="s">
        <v>35</v>
      </c>
      <c r="B17945" s="225" t="s">
        <v>36</v>
      </c>
      <c r="C17945" s="225"/>
      <c r="D17945" s="49" t="s">
        <v>37</v>
      </c>
      <c r="E17945" s="49" t="s">
        <v>38</v>
      </c>
      <c r="F17945" s="49" t="s">
        <v>39</v>
      </c>
      <c r="G17945" s="49" t="s">
        <v>40</v>
      </c>
    </row>
    <row r="17946" spans="1:7" x14ac:dyDescent="0.25">
      <c r="A17946" s="69" t="s">
        <v>97</v>
      </c>
      <c r="B17946" s="72" t="str">
        <f>VLOOKUP(A17946,'Componentes APUs'!$N$1:$Q$30,2,0)</f>
        <v>Camioneta</v>
      </c>
      <c r="C17946" s="73"/>
      <c r="D17946" s="70" t="str">
        <f>VLOOKUP(A17946,'Componentes APUs'!$N$1:$Q$30,3,0)</f>
        <v>U</v>
      </c>
      <c r="E17946" s="50">
        <v>1</v>
      </c>
      <c r="F17946" s="51">
        <f>VLOOKUP(A17946,'Componentes APUs'!$N$1:$Q$30,4,0)</f>
        <v>5500000</v>
      </c>
      <c r="G17946" s="51">
        <f>IFERROR(ROUNDUP(F17946*(E17946/21)/E17896,0),0)</f>
        <v>6548</v>
      </c>
    </row>
    <row r="17947" spans="1:7" x14ac:dyDescent="0.25">
      <c r="A17947" s="50" t="s">
        <v>321</v>
      </c>
      <c r="B17947" s="72" t="str">
        <f>VLOOKUP(A17947,'Componentes APUs'!$N$1:$Q$30,2,0)</f>
        <v>Grúa Hidráulica</v>
      </c>
      <c r="C17947" s="73"/>
      <c r="D17947" s="70" t="str">
        <f>VLOOKUP(A17947,'Componentes APUs'!$N$1:$Q$30,3,0)</f>
        <v>U</v>
      </c>
      <c r="E17947" s="50">
        <v>0</v>
      </c>
      <c r="F17947" s="51">
        <f>VLOOKUP(A17947,'Componentes APUs'!$N$1:$Q$30,4,0)</f>
        <v>21000000</v>
      </c>
      <c r="G17947" s="51">
        <f>IFERROR(ROUNDUP(F17947*(E17947/21)/E17896,0),0)</f>
        <v>0</v>
      </c>
    </row>
    <row r="17948" spans="1:7" x14ac:dyDescent="0.25">
      <c r="A17948" s="69" t="s">
        <v>322</v>
      </c>
      <c r="B17948" s="72" t="str">
        <f>VLOOKUP(A17948,'Componentes APUs'!$N$1:$Q$30,2,0)</f>
        <v>Camabaja</v>
      </c>
      <c r="C17948" s="73"/>
      <c r="D17948" s="70" t="str">
        <f>VLOOKUP(A17948,'Componentes APUs'!$N$1:$Q$30,3,0)</f>
        <v>TON/KM</v>
      </c>
      <c r="E17948" s="50">
        <v>0</v>
      </c>
      <c r="F17948" s="51">
        <f>VLOOKUP(A17948,'Componentes APUs'!$N$1:$Q$30,4,0)</f>
        <v>611</v>
      </c>
      <c r="G17948" s="51">
        <f>IFERROR(ROUNDUP(F17948*(E17948/21)/E17896,0),0)</f>
        <v>0</v>
      </c>
    </row>
    <row r="17949" spans="1:7" x14ac:dyDescent="0.25">
      <c r="A17949" s="50" t="s">
        <v>323</v>
      </c>
      <c r="B17949" s="72" t="str">
        <f>VLOOKUP(A17949,'Componentes APUs'!$N$1:$Q$30,2,0)</f>
        <v>Volqueta</v>
      </c>
      <c r="C17949" s="73"/>
      <c r="D17949" s="70" t="str">
        <f>VLOOKUP(A17949,'Componentes APUs'!$N$1:$Q$30,3,0)</f>
        <v>U</v>
      </c>
      <c r="E17949" s="50">
        <v>0</v>
      </c>
      <c r="F17949" s="51">
        <f>VLOOKUP(A17949,'Componentes APUs'!$N$1:$Q$30,4,0)</f>
        <v>14828184</v>
      </c>
      <c r="G17949" s="51">
        <f>IFERROR(ROUNDUP(F17949*(E17949/21)/E17896,0),0)</f>
        <v>0</v>
      </c>
    </row>
    <row r="17950" spans="1:7" x14ac:dyDescent="0.25">
      <c r="A17950" s="69" t="s">
        <v>324</v>
      </c>
      <c r="B17950" s="72" t="str">
        <f>VLOOKUP(A17950,'Componentes APUs'!$N$1:$Q$30,2,0)</f>
        <v>Retroexcavadora</v>
      </c>
      <c r="C17950" s="73"/>
      <c r="D17950" s="70" t="str">
        <f>VLOOKUP(A17950,'Componentes APUs'!$N$1:$Q$30,3,0)</f>
        <v>U</v>
      </c>
      <c r="E17950" s="50">
        <v>0</v>
      </c>
      <c r="F17950" s="51">
        <f>VLOOKUP(A17950,'Componentes APUs'!$N$1:$Q$30,4,0)</f>
        <v>46030656</v>
      </c>
      <c r="G17950" s="51">
        <f>IFERROR(ROUNDUP(F17950*(E17950/21)/E17896,0),0)</f>
        <v>0</v>
      </c>
    </row>
    <row r="17951" spans="1:7" x14ac:dyDescent="0.25">
      <c r="A17951" s="219" t="s">
        <v>99</v>
      </c>
      <c r="B17951" s="219"/>
      <c r="C17951" s="219"/>
      <c r="D17951" s="219"/>
      <c r="E17951" s="219"/>
      <c r="F17951" s="219"/>
      <c r="G17951" s="52">
        <f>SUM(G17946:G17950)</f>
        <v>6548</v>
      </c>
    </row>
    <row r="17952" spans="1:7" x14ac:dyDescent="0.25">
      <c r="A17952" s="56"/>
      <c r="B17952" s="57"/>
      <c r="C17952" s="57"/>
      <c r="D17952" s="57"/>
      <c r="E17952" s="57"/>
      <c r="F17952" s="57"/>
      <c r="G17952" s="58"/>
    </row>
    <row r="17953" spans="1:7" x14ac:dyDescent="0.25">
      <c r="A17953" s="219" t="s">
        <v>1516</v>
      </c>
      <c r="B17953" s="219"/>
      <c r="C17953" s="219"/>
      <c r="D17953" s="219"/>
      <c r="E17953" s="219"/>
      <c r="F17953" s="219"/>
      <c r="G17953" s="52">
        <f>G17951+G17942+G17925+G17915+G17905</f>
        <v>958986</v>
      </c>
    </row>
    <row r="17954" spans="1:7" x14ac:dyDescent="0.25">
      <c r="A17954" s="59"/>
      <c r="B17954" s="60"/>
      <c r="C17954" s="60"/>
      <c r="D17954" s="60"/>
      <c r="E17954" s="57"/>
      <c r="F17954" s="57"/>
      <c r="G17954" s="58"/>
    </row>
    <row r="17955" spans="1:7" x14ac:dyDescent="0.25">
      <c r="A17955" s="64"/>
      <c r="D17955" s="55"/>
      <c r="E17955" s="49" t="s">
        <v>25</v>
      </c>
      <c r="F17955" s="54">
        <v>0.15</v>
      </c>
      <c r="G17955" s="51">
        <f>G17953*F17955</f>
        <v>143847.9</v>
      </c>
    </row>
    <row r="17956" spans="1:7" x14ac:dyDescent="0.25">
      <c r="A17956" s="64"/>
      <c r="D17956" s="55"/>
      <c r="E17956" s="49" t="s">
        <v>26</v>
      </c>
      <c r="F17956" s="54">
        <v>0.05</v>
      </c>
      <c r="G17956" s="51">
        <f>G17953*F17956</f>
        <v>47949.3</v>
      </c>
    </row>
    <row r="17957" spans="1:7" x14ac:dyDescent="0.25">
      <c r="A17957" s="61"/>
      <c r="B17957" s="65"/>
      <c r="C17957" s="65"/>
      <c r="D17957" s="62"/>
      <c r="E17957" s="49" t="s">
        <v>27</v>
      </c>
      <c r="F17957" s="54">
        <v>0.05</v>
      </c>
      <c r="G17957" s="51">
        <f>G17953*F17957</f>
        <v>47949.3</v>
      </c>
    </row>
    <row r="17958" spans="1:7" x14ac:dyDescent="0.25">
      <c r="A17958" s="61"/>
      <c r="B17958" s="62"/>
      <c r="C17958" s="62"/>
      <c r="D17958" s="62"/>
      <c r="E17958" s="62"/>
      <c r="F17958" s="62"/>
      <c r="G17958" s="63"/>
    </row>
    <row r="17959" spans="1:7" x14ac:dyDescent="0.25">
      <c r="A17959" s="219" t="s">
        <v>1517</v>
      </c>
      <c r="B17959" s="219"/>
      <c r="C17959" s="219"/>
      <c r="D17959" s="219"/>
      <c r="E17959" s="219"/>
      <c r="F17959" s="219"/>
      <c r="G17959" s="52">
        <f>G17953+G17955+G17956+G17957</f>
        <v>1198732.5</v>
      </c>
    </row>
    <row r="17960" spans="1:7" x14ac:dyDescent="0.25">
      <c r="A17960" s="59"/>
      <c r="B17960" s="60"/>
      <c r="C17960" s="60"/>
      <c r="D17960" s="60"/>
      <c r="E17960" s="57"/>
      <c r="F17960" s="57"/>
      <c r="G17960" s="58"/>
    </row>
    <row r="17961" spans="1:7" x14ac:dyDescent="0.25">
      <c r="A17961" s="64"/>
      <c r="D17961" s="55"/>
      <c r="E17961" s="49" t="s">
        <v>102</v>
      </c>
      <c r="F17961" s="49" t="s">
        <v>103</v>
      </c>
      <c r="G17961" s="51">
        <f>G17957*19%</f>
        <v>9110.3670000000002</v>
      </c>
    </row>
    <row r="17962" spans="1:7" x14ac:dyDescent="0.25">
      <c r="A17962" s="61"/>
      <c r="B17962" s="62"/>
      <c r="C17962" s="62"/>
      <c r="D17962" s="62"/>
      <c r="E17962" s="57"/>
      <c r="F17962" s="57"/>
      <c r="G17962" s="58"/>
    </row>
    <row r="17963" spans="1:7" x14ac:dyDescent="0.25">
      <c r="A17963" s="219" t="s">
        <v>104</v>
      </c>
      <c r="B17963" s="219"/>
      <c r="C17963" s="219"/>
      <c r="D17963" s="219"/>
      <c r="E17963" s="219"/>
      <c r="F17963" s="219"/>
      <c r="G17963" s="52">
        <f>G17961+G17959</f>
        <v>1207842.8670000001</v>
      </c>
    </row>
    <row r="17965" spans="1:7" x14ac:dyDescent="0.25">
      <c r="A17965" s="74" t="s">
        <v>29</v>
      </c>
      <c r="B17965" s="226" t="s">
        <v>30</v>
      </c>
      <c r="C17965" s="226"/>
      <c r="D17965" s="74" t="s">
        <v>31</v>
      </c>
      <c r="E17965" s="74" t="s">
        <v>32</v>
      </c>
      <c r="F17965" s="74" t="s">
        <v>189</v>
      </c>
      <c r="G17965" s="74" t="s">
        <v>33</v>
      </c>
    </row>
    <row r="17966" spans="1:7" ht="40.5" customHeight="1" x14ac:dyDescent="0.25">
      <c r="A17966" s="50" t="str">
        <f>Presupuesto!B352</f>
        <v>023_AUX</v>
      </c>
      <c r="B17966" s="220" t="str">
        <f>Presupuesto!C352</f>
        <v>SUMINISTRO E INSTALACIÓN DE INSTALACIÓN DE TABLERO DE SERVICIOS AUXILIARES. INCLUYE: 5 BREAKERS 2X15A AC, 6 BREAKER 1X15A AC, 5 BREAKER 1X20 A AC</v>
      </c>
      <c r="C17966" s="220"/>
      <c r="D17966" s="50" t="s">
        <v>8</v>
      </c>
      <c r="E17966" s="50">
        <v>1</v>
      </c>
      <c r="F17966" s="50"/>
      <c r="G17966" s="51">
        <f>G18035</f>
        <v>4195087.1819999991</v>
      </c>
    </row>
    <row r="17967" spans="1:7" x14ac:dyDescent="0.25">
      <c r="A17967" s="219"/>
      <c r="B17967" s="219"/>
      <c r="C17967" s="219"/>
      <c r="D17967" s="219"/>
      <c r="E17967" s="219"/>
      <c r="F17967" s="219"/>
      <c r="G17967" s="219"/>
    </row>
    <row r="17968" spans="1:7" x14ac:dyDescent="0.25">
      <c r="A17968" s="49" t="s">
        <v>35</v>
      </c>
      <c r="B17968" s="219" t="s">
        <v>36</v>
      </c>
      <c r="C17968" s="219"/>
      <c r="D17968" s="49" t="s">
        <v>37</v>
      </c>
      <c r="E17968" s="49" t="s">
        <v>38</v>
      </c>
      <c r="F17968" s="49" t="s">
        <v>39</v>
      </c>
      <c r="G17968" s="49" t="s">
        <v>40</v>
      </c>
    </row>
    <row r="17969" spans="1:7" x14ac:dyDescent="0.25">
      <c r="A17969" s="17" t="str">
        <f>Material!A566</f>
        <v>MA-565</v>
      </c>
      <c r="B17969" s="72" t="str">
        <f>IFERROR(VLOOKUP(A17969,Material!$A:$J,2,0),"-")</f>
        <v>TOTALIZADOR 3x35-50 A 25 kA TIPO INDUSTRIAL</v>
      </c>
      <c r="C17969" s="73"/>
      <c r="D17969" s="93" t="str">
        <f>IFERROR(VLOOKUP(A17969,Material!$A:$J,4,0),"-")</f>
        <v>UN</v>
      </c>
      <c r="E17969" s="93">
        <v>1</v>
      </c>
      <c r="F17969" s="51">
        <f>IFERROR(VLOOKUP(A17969,Material!$A:$J,3,0),"-")</f>
        <v>512005</v>
      </c>
      <c r="G17969" s="51">
        <f>IFERROR(ROUNDUP(F17969*E17969,0),"-")</f>
        <v>512005</v>
      </c>
    </row>
    <row r="17970" spans="1:7" x14ac:dyDescent="0.25">
      <c r="A17970" s="17" t="str">
        <f>Material!A187</f>
        <v>MA-186</v>
      </c>
      <c r="B17970" s="72" t="str">
        <f>IFERROR(VLOOKUP(A17970,Material!$A:$J,2,0),"-")</f>
        <v>INTERRUPTOR AC 2X15 25 kA</v>
      </c>
      <c r="C17970" s="73"/>
      <c r="D17970" s="93" t="str">
        <f>IFERROR(VLOOKUP(A17970,Material!$A:$J,4,0),"-")</f>
        <v>UN</v>
      </c>
      <c r="E17970" s="93">
        <f>5</f>
        <v>5</v>
      </c>
      <c r="F17970" s="51">
        <f>IFERROR(VLOOKUP(A17970,Material!$A:$J,3,0),"-")</f>
        <v>86286.2</v>
      </c>
      <c r="G17970" s="51">
        <f>IFERROR(ROUNDUP(F17970*E17970,0),"-")</f>
        <v>431431</v>
      </c>
    </row>
    <row r="17971" spans="1:7" x14ac:dyDescent="0.25">
      <c r="A17971" s="17" t="str">
        <f>Material!A183</f>
        <v>MA-182</v>
      </c>
      <c r="B17971" s="72" t="str">
        <f>IFERROR(VLOOKUP(A17971,Material!$A:$J,2,0),"-")</f>
        <v>INTERRUPTOR AC 1X15 25 kA</v>
      </c>
      <c r="C17971" s="76"/>
      <c r="D17971" s="93" t="str">
        <f>IFERROR(VLOOKUP(A17971,Material!$A:$J,4,0),"-")</f>
        <v>UN</v>
      </c>
      <c r="E17971" s="93">
        <v>7</v>
      </c>
      <c r="F17971" s="51">
        <f>IFERROR(VLOOKUP(A17971,Material!$A:$J,3,0),"-")</f>
        <v>87360</v>
      </c>
      <c r="G17971" s="51">
        <f>IFERROR(ROUNDUP(F17971*E17971,0),"-")</f>
        <v>611520</v>
      </c>
    </row>
    <row r="17972" spans="1:7" ht="29.25" customHeight="1" x14ac:dyDescent="0.25">
      <c r="A17972" s="17" t="str">
        <f>Material!A189</f>
        <v>MA-188</v>
      </c>
      <c r="B17972" s="232" t="str">
        <f>IFERROR(VLOOKUP(A17972,Material!$A:$J,2,0),"-")</f>
        <v xml:space="preserve">TABLERO DE SOBREPONER DE 30 CIRCUITOS CON PUERTA Y ESPACIO PARA TOTALIZADOR </v>
      </c>
      <c r="C17972" s="233"/>
      <c r="D17972" s="50" t="str">
        <f>IFERROR(VLOOKUP(A17972,Material!$A:$J,4,0),"-")</f>
        <v>UN</v>
      </c>
      <c r="E17972" s="50">
        <v>1</v>
      </c>
      <c r="F17972" s="51">
        <f>IFERROR(VLOOKUP(A17972,Material!$A:$J,3,0),"-")</f>
        <v>827190</v>
      </c>
      <c r="G17972" s="51">
        <f>IFERROR(ROUNDUP(F17972*E17972,0),"-")</f>
        <v>827190</v>
      </c>
    </row>
    <row r="17973" spans="1:7" x14ac:dyDescent="0.25">
      <c r="A17973" s="17"/>
      <c r="B17973" s="72"/>
      <c r="C17973" s="76"/>
      <c r="D17973" s="50"/>
      <c r="E17973" s="50"/>
      <c r="F17973" s="51"/>
      <c r="G17973" s="51"/>
    </row>
    <row r="17974" spans="1:7" x14ac:dyDescent="0.25">
      <c r="A17974" s="17"/>
      <c r="B17974" s="72"/>
      <c r="C17974" s="76"/>
      <c r="D17974" s="50"/>
      <c r="E17974" s="50"/>
      <c r="F17974" s="51"/>
      <c r="G17974" s="51"/>
    </row>
    <row r="17975" spans="1:7" x14ac:dyDescent="0.25">
      <c r="A17975" s="17"/>
      <c r="B17975" s="72"/>
      <c r="C17975" s="76"/>
      <c r="D17975" s="50"/>
      <c r="E17975" s="50"/>
      <c r="F17975" s="51"/>
      <c r="G17975" s="51"/>
    </row>
    <row r="17976" spans="1:7" x14ac:dyDescent="0.25">
      <c r="A17976" s="17"/>
      <c r="B17976" s="72"/>
      <c r="C17976" s="76"/>
      <c r="D17976" s="50"/>
      <c r="E17976" s="50"/>
      <c r="F17976" s="51"/>
      <c r="G17976" s="51"/>
    </row>
    <row r="17977" spans="1:7" x14ac:dyDescent="0.25">
      <c r="A17977" s="219" t="s">
        <v>41</v>
      </c>
      <c r="B17977" s="219"/>
      <c r="C17977" s="219"/>
      <c r="D17977" s="219"/>
      <c r="E17977" s="219"/>
      <c r="F17977" s="219"/>
      <c r="G17977" s="52">
        <f>SUM(G17969:G17976)</f>
        <v>2382146</v>
      </c>
    </row>
    <row r="17978" spans="1:7" x14ac:dyDescent="0.25">
      <c r="A17978" s="56"/>
      <c r="B17978" s="57"/>
      <c r="C17978" s="57"/>
      <c r="D17978" s="57"/>
      <c r="E17978" s="57"/>
      <c r="F17978" s="57"/>
      <c r="G17978" s="58"/>
    </row>
    <row r="17979" spans="1:7" x14ac:dyDescent="0.25">
      <c r="A17979" s="219" t="s">
        <v>42</v>
      </c>
      <c r="B17979" s="219"/>
      <c r="C17979" s="219"/>
      <c r="D17979" s="219"/>
      <c r="E17979" s="219"/>
      <c r="F17979" s="219"/>
      <c r="G17979" s="219"/>
    </row>
    <row r="17980" spans="1:7" x14ac:dyDescent="0.25">
      <c r="A17980" s="49" t="s">
        <v>35</v>
      </c>
      <c r="B17980" s="49" t="s">
        <v>36</v>
      </c>
      <c r="C17980" s="49" t="s">
        <v>38</v>
      </c>
      <c r="D17980" s="49" t="s">
        <v>43</v>
      </c>
      <c r="E17980" s="49" t="s">
        <v>44</v>
      </c>
      <c r="F17980" s="49" t="s">
        <v>45</v>
      </c>
      <c r="G17980" s="49" t="s">
        <v>40</v>
      </c>
    </row>
    <row r="17981" spans="1:7" x14ac:dyDescent="0.25">
      <c r="A17981" s="50" t="s">
        <v>319</v>
      </c>
      <c r="B17981" s="68" t="str">
        <f>VLOOKUP(A17981,'[1]Componentes APUs'!$H$1:$L$25,2,0)</f>
        <v>Ingeniero Residente de Obra</v>
      </c>
      <c r="C17981" s="93">
        <v>0.25</v>
      </c>
      <c r="D17981" s="50">
        <f>VLOOKUP(A17981,'[1]Componentes APUs'!$H$1:$L$25,3,0)</f>
        <v>4</v>
      </c>
      <c r="E17981" s="51">
        <f>VLOOKUP(A17981,'[1]Componentes APUs'!$H$1:$L$25,4,0)</f>
        <v>271142.85714285716</v>
      </c>
      <c r="F17981" s="51">
        <f>VLOOKUP(A17981,'[1]Componentes APUs'!$H$1:$L$25,5,0)</f>
        <v>162685.71428571429</v>
      </c>
      <c r="G17981" s="51">
        <f>ROUNDUP((E17981+F17981)*C17981/E17966,0)</f>
        <v>108458</v>
      </c>
    </row>
    <row r="17982" spans="1:7" x14ac:dyDescent="0.25">
      <c r="A17982" s="50" t="s">
        <v>320</v>
      </c>
      <c r="B17982" s="68" t="str">
        <f>VLOOKUP(A17982,'[1]Componentes APUs'!$H$1:$L$25,2,0)</f>
        <v>Tecnico Supervisor</v>
      </c>
      <c r="C17982" s="93">
        <v>0.25</v>
      </c>
      <c r="D17982" s="50">
        <f>VLOOKUP(A17982,'[1]Componentes APUs'!$H$1:$L$25,3,0)</f>
        <v>2.2999999999999998</v>
      </c>
      <c r="E17982" s="51">
        <f>VLOOKUP(A17982,'[1]Componentes APUs'!$H$1:$L$25,4,0)</f>
        <v>155907.14285714284</v>
      </c>
      <c r="F17982" s="51">
        <f>VLOOKUP(A17982,'[1]Componentes APUs'!$H$1:$L$25,5,0)</f>
        <v>93544.285714285696</v>
      </c>
      <c r="G17982" s="51">
        <f>ROUNDUP((E17982+F17982)*C17982/E17966,0)</f>
        <v>62363</v>
      </c>
    </row>
    <row r="17983" spans="1:7" x14ac:dyDescent="0.25">
      <c r="A17983" s="50" t="s">
        <v>1160</v>
      </c>
      <c r="B17983" s="68" t="str">
        <f>VLOOKUP(A17983,'[1]Componentes APUs'!$H$1:$L$25,2,0)</f>
        <v>Oficial Eléctrico</v>
      </c>
      <c r="C17983" s="93">
        <v>1</v>
      </c>
      <c r="D17983" s="50">
        <f>VLOOKUP(A17983,'[1]Componentes APUs'!$H$1:$L$25,3,0)</f>
        <v>2</v>
      </c>
      <c r="E17983" s="51">
        <f>VLOOKUP(A17983,'[1]Componentes APUs'!$H$1:$L$25,4,0)</f>
        <v>154619.04761904763</v>
      </c>
      <c r="F17983" s="51">
        <f>VLOOKUP(A17983,'[1]Componentes APUs'!$H$1:$L$25,5,0)</f>
        <v>92771.42857142858</v>
      </c>
      <c r="G17983" s="51">
        <f>ROUNDUP((E17983+F17983)*C17983/E17966,0)</f>
        <v>247391</v>
      </c>
    </row>
    <row r="17984" spans="1:7" x14ac:dyDescent="0.25">
      <c r="A17984" s="50" t="s">
        <v>48</v>
      </c>
      <c r="B17984" s="68" t="str">
        <f>VLOOKUP(A17984,'[1]Componentes APUs'!$H$1:$L$25,2,0)</f>
        <v>Ayudante Calificado</v>
      </c>
      <c r="C17984" s="93">
        <v>1</v>
      </c>
      <c r="D17984" s="50">
        <f>VLOOKUP(A17984,'[1]Componentes APUs'!$H$1:$L$25,3,0)</f>
        <v>1.5</v>
      </c>
      <c r="E17984" s="51">
        <f>VLOOKUP(A17984,'[1]Componentes APUs'!$H$1:$L$25,4,0)</f>
        <v>115964.28571428571</v>
      </c>
      <c r="F17984" s="51">
        <f>VLOOKUP(A17984,'[1]Componentes APUs'!$H$1:$L$25,5,0)</f>
        <v>69578.57142857142</v>
      </c>
      <c r="G17984" s="51">
        <f>ROUNDUP((E17984+F17984)*C17984/E17966,0)</f>
        <v>185543</v>
      </c>
    </row>
    <row r="17985" spans="1:7" x14ac:dyDescent="0.25">
      <c r="A17985" s="50" t="s">
        <v>50</v>
      </c>
      <c r="B17985" s="68" t="str">
        <f>VLOOKUP(A17985,'[1]Componentes APUs'!$H$1:$L$25,2,0)</f>
        <v>Profesional en SST</v>
      </c>
      <c r="C17985" s="93">
        <v>0.25</v>
      </c>
      <c r="D17985" s="50">
        <f>VLOOKUP(A17985,'[1]Componentes APUs'!$H$1:$L$25,3,0)</f>
        <v>2.5</v>
      </c>
      <c r="E17985" s="51">
        <f>VLOOKUP(A17985,'[1]Componentes APUs'!$H$1:$L$25,4,0)</f>
        <v>169464.28571428571</v>
      </c>
      <c r="F17985" s="51">
        <f>VLOOKUP(A17985,'[1]Componentes APUs'!$H$1:$L$25,5,0)</f>
        <v>101678.57142857142</v>
      </c>
      <c r="G17985" s="51">
        <f>ROUNDUP((E17985+F17985)*C17985/E17966,0)</f>
        <v>67786</v>
      </c>
    </row>
    <row r="17986" spans="1:7" x14ac:dyDescent="0.25">
      <c r="A17986" s="50" t="s">
        <v>52</v>
      </c>
      <c r="B17986" s="68" t="str">
        <f>VLOOKUP(A17986,'[1]Componentes APUs'!$H$1:$L$25,2,0)</f>
        <v>Ayudante No Calificado</v>
      </c>
      <c r="C17986" s="93">
        <v>0</v>
      </c>
      <c r="D17986" s="50">
        <f>VLOOKUP(A17986,'[1]Componentes APUs'!$H$1:$L$25,3,0)</f>
        <v>1</v>
      </c>
      <c r="E17986" s="51">
        <f>VLOOKUP(A17986,'[1]Componentes APUs'!$H$1:$L$25,4,0)</f>
        <v>77309.523809523816</v>
      </c>
      <c r="F17986" s="51">
        <f>VLOOKUP(A17986,'[1]Componentes APUs'!$H$1:$L$25,5,0)</f>
        <v>46385.71428571429</v>
      </c>
      <c r="G17986" s="51">
        <f>ROUNDUP((E17986+F17986)*C17986/E17966,0)</f>
        <v>0</v>
      </c>
    </row>
    <row r="17987" spans="1:7" x14ac:dyDescent="0.25">
      <c r="A17987" s="219" t="s">
        <v>56</v>
      </c>
      <c r="B17987" s="219"/>
      <c r="C17987" s="219"/>
      <c r="D17987" s="219"/>
      <c r="E17987" s="219"/>
      <c r="F17987" s="219"/>
      <c r="G17987" s="52">
        <f>SUM(G17981:G17986)</f>
        <v>671541</v>
      </c>
    </row>
    <row r="17988" spans="1:7" x14ac:dyDescent="0.25">
      <c r="A17988" s="56"/>
      <c r="B17988" s="57"/>
      <c r="C17988" s="57"/>
      <c r="D17988" s="57"/>
      <c r="E17988" s="57"/>
      <c r="F17988" s="57"/>
      <c r="G17988" s="58"/>
    </row>
    <row r="17989" spans="1:7" x14ac:dyDescent="0.25">
      <c r="A17989" s="219" t="s">
        <v>57</v>
      </c>
      <c r="B17989" s="219"/>
      <c r="C17989" s="219"/>
      <c r="D17989" s="219"/>
      <c r="E17989" s="219"/>
      <c r="F17989" s="219"/>
      <c r="G17989" s="219"/>
    </row>
    <row r="17990" spans="1:7" x14ac:dyDescent="0.25">
      <c r="A17990" s="49" t="s">
        <v>35</v>
      </c>
      <c r="B17990" s="219" t="s">
        <v>36</v>
      </c>
      <c r="C17990" s="219"/>
      <c r="D17990" s="49" t="s">
        <v>37</v>
      </c>
      <c r="E17990" s="49" t="s">
        <v>38</v>
      </c>
      <c r="F17990" s="49" t="s">
        <v>39</v>
      </c>
      <c r="G17990" s="49" t="s">
        <v>40</v>
      </c>
    </row>
    <row r="17991" spans="1:7" x14ac:dyDescent="0.25">
      <c r="A17991" s="50" t="s">
        <v>326</v>
      </c>
      <c r="B17991" s="220" t="str">
        <f>VLOOKUP(A17991,'[1]Componentes APUs'!$S$1:$V$10,2,0)</f>
        <v>Juego Llaves</v>
      </c>
      <c r="C17991" s="220"/>
      <c r="D17991" s="50" t="s">
        <v>18</v>
      </c>
      <c r="E17991" s="50">
        <v>2</v>
      </c>
      <c r="F17991" s="51">
        <f>VLOOKUP(A17991,'[1]Componentes APUs'!$S$1:$V$10,4,0)</f>
        <v>9167</v>
      </c>
      <c r="G17991" s="51">
        <f>ROUNDUP(F17991*((E17991/21)/E17966),0)</f>
        <v>874</v>
      </c>
    </row>
    <row r="17992" spans="1:7" x14ac:dyDescent="0.25">
      <c r="A17992" s="50" t="s">
        <v>58</v>
      </c>
      <c r="B17992" s="220" t="str">
        <f>VLOOKUP(A17992,'[1]Componentes APUs'!$S$1:$V$10,2,0)</f>
        <v>Manila de servicio</v>
      </c>
      <c r="C17992" s="220"/>
      <c r="D17992" s="50" t="s">
        <v>18</v>
      </c>
      <c r="E17992" s="50">
        <v>2</v>
      </c>
      <c r="F17992" s="51">
        <f>VLOOKUP(A17992,'[1]Componentes APUs'!$S$1:$V$10,4,0)</f>
        <v>2333</v>
      </c>
      <c r="G17992" s="51">
        <f>ROUNDUP(F17992*((E17992/21)/E17966),0)</f>
        <v>223</v>
      </c>
    </row>
    <row r="17993" spans="1:7" x14ac:dyDescent="0.25">
      <c r="A17993" s="50" t="s">
        <v>327</v>
      </c>
      <c r="B17993" s="220" t="str">
        <f>VLOOKUP(A17993,'[1]Componentes APUs'!$S$1:$V$10,2,0)</f>
        <v>Tula portaherramientas</v>
      </c>
      <c r="C17993" s="220"/>
      <c r="D17993" s="50" t="s">
        <v>18</v>
      </c>
      <c r="E17993" s="50">
        <v>2</v>
      </c>
      <c r="F17993" s="51">
        <f>VLOOKUP(A17993,'[1]Componentes APUs'!$S$1:$V$10,4,0)</f>
        <v>1250</v>
      </c>
      <c r="G17993" s="51">
        <f>ROUNDUP(F17993*((E17993/21)/E17966),0)</f>
        <v>120</v>
      </c>
    </row>
    <row r="17994" spans="1:7" x14ac:dyDescent="0.25">
      <c r="A17994" s="50" t="s">
        <v>60</v>
      </c>
      <c r="B17994" s="220" t="str">
        <f>VLOOKUP(A17994,'[1]Componentes APUs'!$S$1:$V$10,2,0)</f>
        <v>Agarradoras</v>
      </c>
      <c r="C17994" s="220"/>
      <c r="D17994" s="50" t="s">
        <v>18</v>
      </c>
      <c r="E17994" s="50">
        <v>0</v>
      </c>
      <c r="F17994" s="51">
        <f>VLOOKUP(A17994,'[1]Componentes APUs'!$S$1:$V$10,4,0)</f>
        <v>125000</v>
      </c>
      <c r="G17994" s="51">
        <f>ROUNDUP(F17994*((E17994/21)/E17966),0)</f>
        <v>0</v>
      </c>
    </row>
    <row r="17995" spans="1:7" x14ac:dyDescent="0.25">
      <c r="A17995" s="50" t="s">
        <v>62</v>
      </c>
      <c r="B17995" s="220" t="str">
        <f>VLOOKUP(A17995,'[1]Componentes APUs'!$S$1:$V$10,2,0)</f>
        <v>Templadoras</v>
      </c>
      <c r="C17995" s="220"/>
      <c r="D17995" s="50" t="s">
        <v>18</v>
      </c>
      <c r="E17995" s="50">
        <v>0</v>
      </c>
      <c r="F17995" s="51">
        <f>VLOOKUP(A17995,'[1]Componentes APUs'!$S$1:$V$10,4,0)</f>
        <v>250000</v>
      </c>
      <c r="G17995" s="51">
        <f>ROUNDUP(F17995*((E17995/21)/E17966),0)</f>
        <v>0</v>
      </c>
    </row>
    <row r="17996" spans="1:7" x14ac:dyDescent="0.25">
      <c r="A17996" s="50" t="s">
        <v>328</v>
      </c>
      <c r="B17996" s="220" t="str">
        <f>VLOOKUP(A17996,'[1]Componentes APUs'!$S$1:$V$10,2,0)</f>
        <v>Herramienta Menor</v>
      </c>
      <c r="C17996" s="220"/>
      <c r="D17996" s="50" t="s">
        <v>18</v>
      </c>
      <c r="E17996" s="50">
        <v>2</v>
      </c>
      <c r="F17996" s="51">
        <f>VLOOKUP(A17996,'[1]Componentes APUs'!$S$1:$V$10,4,0)</f>
        <v>75758</v>
      </c>
      <c r="G17996" s="51">
        <f>ROUNDUP(F17996*((E17996/21)/E17966),0)</f>
        <v>7216</v>
      </c>
    </row>
    <row r="17997" spans="1:7" x14ac:dyDescent="0.25">
      <c r="A17997" s="219" t="s">
        <v>69</v>
      </c>
      <c r="B17997" s="219"/>
      <c r="C17997" s="219"/>
      <c r="D17997" s="219"/>
      <c r="E17997" s="219"/>
      <c r="F17997" s="219"/>
      <c r="G17997" s="52">
        <f>SUM(G17991:G17996)</f>
        <v>8433</v>
      </c>
    </row>
    <row r="17998" spans="1:7" x14ac:dyDescent="0.25">
      <c r="A17998" s="56"/>
      <c r="B17998" s="57"/>
      <c r="C17998" s="57"/>
      <c r="D17998" s="57"/>
      <c r="E17998" s="57"/>
      <c r="F17998" s="57"/>
      <c r="G17998" s="58"/>
    </row>
    <row r="17999" spans="1:7" x14ac:dyDescent="0.25">
      <c r="A17999" s="219" t="s">
        <v>70</v>
      </c>
      <c r="B17999" s="219"/>
      <c r="C17999" s="219"/>
      <c r="D17999" s="219"/>
      <c r="E17999" s="219"/>
      <c r="F17999" s="219"/>
      <c r="G17999" s="219"/>
    </row>
    <row r="18000" spans="1:7" x14ac:dyDescent="0.25">
      <c r="A18000" s="49" t="s">
        <v>35</v>
      </c>
      <c r="B18000" s="219" t="s">
        <v>36</v>
      </c>
      <c r="C18000" s="219"/>
      <c r="D18000" s="49" t="s">
        <v>37</v>
      </c>
      <c r="E18000" s="49" t="s">
        <v>38</v>
      </c>
      <c r="F18000" s="49" t="s">
        <v>39</v>
      </c>
      <c r="G18000" s="49" t="s">
        <v>40</v>
      </c>
    </row>
    <row r="18001" spans="1:7" x14ac:dyDescent="0.25">
      <c r="A18001" s="50" t="s">
        <v>71</v>
      </c>
      <c r="B18001" s="71" t="str">
        <f>VLOOKUP(A18001,'[1]Componentes APUs'!$A$1:$D$14,2,0)</f>
        <v>Camisa indigo sin partes metalicas</v>
      </c>
      <c r="C18001" s="71"/>
      <c r="D18001" s="50" t="str">
        <f>VLOOKUP(A18001,'[1]Componentes APUs'!$A$1:$D$14,3,0)</f>
        <v>U</v>
      </c>
      <c r="E18001" s="50">
        <f>SUM(C17981:C17986)</f>
        <v>2.75</v>
      </c>
      <c r="F18001" s="51">
        <f>VLOOKUP(A18001,'[1]Componentes APUs'!$A$1:$D$14,4,0)</f>
        <v>8585.8585858585866</v>
      </c>
      <c r="G18001" s="51">
        <f>ROUNDUP(F18001*(E18001/21)/E17966,0)</f>
        <v>1125</v>
      </c>
    </row>
    <row r="18002" spans="1:7" x14ac:dyDescent="0.25">
      <c r="A18002" s="69" t="s">
        <v>73</v>
      </c>
      <c r="B18002" s="72" t="str">
        <f>VLOOKUP(A18002,'[1]Componentes APUs'!$A$1:$D$14,2,0)</f>
        <v>Bota de seguridad dielectrica</v>
      </c>
      <c r="C18002" s="73"/>
      <c r="D18002" s="70" t="str">
        <f>VLOOKUP(A18002,'[1]Componentes APUs'!$A$1:$D$14,3,0)</f>
        <v>Par</v>
      </c>
      <c r="E18002" s="50">
        <f>SUM(C17981:C17986)</f>
        <v>2.75</v>
      </c>
      <c r="F18002" s="51">
        <f>VLOOKUP(A18002,'[1]Componentes APUs'!$A$1:$D$14,4,0)</f>
        <v>7500</v>
      </c>
      <c r="G18002" s="51">
        <f>ROUNDUP(F18002*(E18002/21)/E17966,0)</f>
        <v>983</v>
      </c>
    </row>
    <row r="18003" spans="1:7" x14ac:dyDescent="0.25">
      <c r="A18003" s="50" t="s">
        <v>76</v>
      </c>
      <c r="B18003" s="72" t="str">
        <f>VLOOKUP(A18003,'[1]Componentes APUs'!$A$1:$D$14,2,0)</f>
        <v>Casco dielectrico Tipo 1 Clase E con barbuquejo</v>
      </c>
      <c r="C18003" s="73"/>
      <c r="D18003" s="50" t="str">
        <f>VLOOKUP(A18003,'[1]Componentes APUs'!$A$1:$D$14,3,0)</f>
        <v>U</v>
      </c>
      <c r="E18003" s="50">
        <f>C17981+C17982+C17984+C17985+C17986+C17983</f>
        <v>2.75</v>
      </c>
      <c r="F18003" s="51">
        <f>VLOOKUP(A18003,'[1]Componentes APUs'!$A$1:$D$14,4,0)</f>
        <v>10101.010101010101</v>
      </c>
      <c r="G18003" s="51">
        <f>ROUNDUP(F18003*(E18003/21)/E17966,0)</f>
        <v>1323</v>
      </c>
    </row>
    <row r="18004" spans="1:7" x14ac:dyDescent="0.25">
      <c r="A18004" s="69" t="s">
        <v>77</v>
      </c>
      <c r="B18004" s="72" t="str">
        <f>VLOOKUP(A18004,'[1]Componentes APUs'!$A$1:$D$14,2,0)</f>
        <v>Correa plastica y antiflama</v>
      </c>
      <c r="C18004" s="73"/>
      <c r="D18004" s="50" t="str">
        <f>VLOOKUP(A18004,'[1]Componentes APUs'!$A$1:$D$14,3,0)</f>
        <v>U</v>
      </c>
      <c r="E18004" s="50">
        <f>SUM(C17981:C17986)</f>
        <v>2.75</v>
      </c>
      <c r="F18004" s="51">
        <f>VLOOKUP(A18004,'[1]Componentes APUs'!$A$1:$D$14,4,0)</f>
        <v>3787.878787878788</v>
      </c>
      <c r="G18004" s="51">
        <f>ROUNDUP(F18004*(E18004/21)/E17966,0)</f>
        <v>497</v>
      </c>
    </row>
    <row r="18005" spans="1:7" x14ac:dyDescent="0.25">
      <c r="A18005" s="50" t="s">
        <v>79</v>
      </c>
      <c r="B18005" s="72" t="str">
        <f>VLOOKUP(A18005,'[1]Componentes APUs'!$A$1:$D$14,2,0)</f>
        <v>Gafas protectoras filtro UV</v>
      </c>
      <c r="C18005" s="73"/>
      <c r="D18005" s="50" t="str">
        <f>VLOOKUP(A18005,'[1]Componentes APUs'!$A$1:$D$14,3,0)</f>
        <v>U</v>
      </c>
      <c r="E18005" s="50">
        <f>SUM(C17981:C17986)</f>
        <v>2.75</v>
      </c>
      <c r="F18005" s="51">
        <f>VLOOKUP(A18005,'[1]Componentes APUs'!$A$1:$D$14,4,0)</f>
        <v>2777.7777777777778</v>
      </c>
      <c r="G18005" s="51">
        <f>ROUNDUP(F18005*(E18005/21)/E17966,0)</f>
        <v>364</v>
      </c>
    </row>
    <row r="18006" spans="1:7" x14ac:dyDescent="0.25">
      <c r="A18006" s="69" t="s">
        <v>402</v>
      </c>
      <c r="B18006" s="72" t="str">
        <f>VLOOKUP(A18006,'[1]Componentes APUs'!$A$1:$D$14,2,0)</f>
        <v>Bota de seguridad PVC dielectrica</v>
      </c>
      <c r="C18006" s="73"/>
      <c r="D18006" s="50" t="str">
        <f>VLOOKUP(A18006,'[1]Componentes APUs'!$A$1:$D$14,3,0)</f>
        <v>Par</v>
      </c>
      <c r="E18006" s="50">
        <f>SUM(C17981:C17986)</f>
        <v>2.75</v>
      </c>
      <c r="F18006" s="51">
        <f>VLOOKUP(A18006,'[1]Componentes APUs'!$A$1:$D$14,4,0)</f>
        <v>2916.6666666666665</v>
      </c>
      <c r="G18006" s="51">
        <f>ROUNDUP(F18006*(E18006/21)/E17966,0)</f>
        <v>382</v>
      </c>
    </row>
    <row r="18007" spans="1:7" x14ac:dyDescent="0.25">
      <c r="A18007" s="50" t="s">
        <v>403</v>
      </c>
      <c r="B18007" s="72" t="str">
        <f>VLOOKUP(A18007,'[1]Componentes APUs'!$A$1:$D$14,2,0)</f>
        <v>Capuchon</v>
      </c>
      <c r="C18007" s="73"/>
      <c r="D18007" s="50" t="str">
        <f>VLOOKUP(A18007,'[1]Componentes APUs'!$A$1:$D$14,3,0)</f>
        <v>U</v>
      </c>
      <c r="E18007" s="50">
        <f>SUM(C17981:C17986)</f>
        <v>2.75</v>
      </c>
      <c r="F18007" s="51">
        <f>VLOOKUP(A18007,'[1]Componentes APUs'!$A$1:$D$14,4,0)</f>
        <v>2525.2525252525252</v>
      </c>
      <c r="G18007" s="51">
        <f>ROUNDUP(F18007*(E18007/21)/E17966,0)</f>
        <v>331</v>
      </c>
    </row>
    <row r="18008" spans="1:7" x14ac:dyDescent="0.25">
      <c r="A18008" s="69" t="s">
        <v>81</v>
      </c>
      <c r="B18008" s="72" t="str">
        <f>VLOOKUP(A18008,'[1]Componentes APUs'!$A$1:$D$14,2,0)</f>
        <v>Guantes Protectores  - ingeniero reforzados</v>
      </c>
      <c r="C18008" s="73"/>
      <c r="D18008" s="50" t="str">
        <f>VLOOKUP(A18008,'[1]Componentes APUs'!$A$1:$D$14,3,0)</f>
        <v>Par</v>
      </c>
      <c r="E18008" s="50">
        <f>C17983+C17984+C17986</f>
        <v>2</v>
      </c>
      <c r="F18008" s="51">
        <f>VLOOKUP(A18008,'[1]Componentes APUs'!$A$1:$D$14,4,0)</f>
        <v>2525.2525252525252</v>
      </c>
      <c r="G18008" s="51">
        <f>ROUNDUP(F18008*(E18008/21)/E17966,0)</f>
        <v>241</v>
      </c>
    </row>
    <row r="18009" spans="1:7" x14ac:dyDescent="0.25">
      <c r="A18009" s="50" t="s">
        <v>83</v>
      </c>
      <c r="B18009" s="72" t="str">
        <f>VLOOKUP(A18009,'[1]Componentes APUs'!$A$1:$D$14,2,0)</f>
        <v>Impermeable (pantalon camisa)</v>
      </c>
      <c r="C18009" s="73"/>
      <c r="D18009" s="50" t="str">
        <f>VLOOKUP(A18009,'[1]Componentes APUs'!$A$1:$D$14,3,0)</f>
        <v>U</v>
      </c>
      <c r="E18009" s="50">
        <f>SUM(C17981:C17986)</f>
        <v>2.75</v>
      </c>
      <c r="F18009" s="51">
        <f>VLOOKUP(A18009,'[1]Componentes APUs'!$A$1:$D$14,4,0)</f>
        <v>3750</v>
      </c>
      <c r="G18009" s="51">
        <f>ROUNDUP(F18009*(E18009/21)/E17966,0)</f>
        <v>492</v>
      </c>
    </row>
    <row r="18010" spans="1:7" x14ac:dyDescent="0.25">
      <c r="A18010" s="69" t="s">
        <v>85</v>
      </c>
      <c r="B18010" s="72" t="str">
        <f>VLOOKUP(A18010,'[1]Componentes APUs'!$A$1:$D$14,2,0)</f>
        <v>Jean Dielectrico</v>
      </c>
      <c r="C18010" s="73"/>
      <c r="D18010" s="50" t="str">
        <f>VLOOKUP(A18010,'[1]Componentes APUs'!$A$1:$D$14,3,0)</f>
        <v>U</v>
      </c>
      <c r="E18010" s="50">
        <f>SUM(C17981:C17986)</f>
        <v>2.75</v>
      </c>
      <c r="F18010" s="51">
        <f>VLOOKUP(A18010,'[1]Componentes APUs'!$A$1:$D$14,4,0)</f>
        <v>7575.757575757576</v>
      </c>
      <c r="G18010" s="51">
        <f>ROUNDUP(F18010*(E18010/21)/E17966,0)</f>
        <v>993</v>
      </c>
    </row>
    <row r="18011" spans="1:7" x14ac:dyDescent="0.25">
      <c r="A18011" s="50" t="s">
        <v>87</v>
      </c>
      <c r="B18011" s="72" t="str">
        <f>VLOOKUP(A18011,'[1]Componentes APUs'!$A$1:$D$14,2,0)</f>
        <v>Casco dielectrico Tipo 2 Clase E con barboquejo</v>
      </c>
      <c r="C18011" s="73"/>
      <c r="D18011" s="50" t="str">
        <f>VLOOKUP(A18011,'[1]Componentes APUs'!$A$1:$D$14,3,0)</f>
        <v>U</v>
      </c>
      <c r="E18011" s="53">
        <f>IF(A17983="MO-3",C17983,0)</f>
        <v>0</v>
      </c>
      <c r="F18011" s="51">
        <f>VLOOKUP(A18011,'[1]Componentes APUs'!$A$1:$D$14,4,0)</f>
        <v>7500</v>
      </c>
      <c r="G18011" s="51">
        <f>ROUNDUP(F18011*(E18011/21)/E17966,0)</f>
        <v>0</v>
      </c>
    </row>
    <row r="18012" spans="1:7" x14ac:dyDescent="0.25">
      <c r="A18012" s="69" t="s">
        <v>89</v>
      </c>
      <c r="B18012" s="72" t="str">
        <f>VLOOKUP(A18012,'[1]Componentes APUs'!$A$1:$D$14,2,0)</f>
        <v>Kit de rescate para trabajo en alturas</v>
      </c>
      <c r="C18012" s="73"/>
      <c r="D18012" s="50" t="str">
        <f>VLOOKUP(A18012,'[1]Componentes APUs'!$A$1:$D$14,3,0)</f>
        <v>U</v>
      </c>
      <c r="E18012" s="50">
        <f>IF(AND(A17983="MO-3",C17983=2),1,0)</f>
        <v>0</v>
      </c>
      <c r="F18012" s="51">
        <f>VLOOKUP(A18012,'[1]Componentes APUs'!$A$1:$D$14,4,0)</f>
        <v>37500</v>
      </c>
      <c r="G18012" s="51">
        <f>ROUNDUP(F18012*(E18012/21)/E17966,0)</f>
        <v>0</v>
      </c>
    </row>
    <row r="18013" spans="1:7" x14ac:dyDescent="0.25">
      <c r="A18013" s="50" t="s">
        <v>91</v>
      </c>
      <c r="B18013" s="72" t="str">
        <f>VLOOKUP(A18013,'[1]Componentes APUs'!$A$1:$D$14,2,0)</f>
        <v>Equipo completo para trabajo en alturas con pretales (Arnes dielectrico, 1 mosqueton de seguridad, tie off dielectrico, eslinga de posicionamiento, juego de pretales)</v>
      </c>
      <c r="C18013" s="73"/>
      <c r="D18013" s="50" t="str">
        <f>VLOOKUP(A18013,'[1]Componentes APUs'!$A$1:$D$14,3,0)</f>
        <v>U</v>
      </c>
      <c r="E18013" s="50">
        <f>IF(A17983="MO-3",C17983,0)</f>
        <v>0</v>
      </c>
      <c r="F18013" s="51">
        <f>VLOOKUP(A18013,'[1]Componentes APUs'!$A$1:$D$14,4,0)</f>
        <v>26041.666666666668</v>
      </c>
      <c r="G18013" s="51">
        <f>ROUNDUP(F18013*(E18013/21)/E17966,0)</f>
        <v>0</v>
      </c>
    </row>
    <row r="18014" spans="1:7" x14ac:dyDescent="0.25">
      <c r="A18014" s="219" t="s">
        <v>95</v>
      </c>
      <c r="B18014" s="219"/>
      <c r="C18014" s="219"/>
      <c r="D18014" s="219"/>
      <c r="E18014" s="219"/>
      <c r="F18014" s="219"/>
      <c r="G18014" s="52">
        <f>SUM(G18001:G18013)</f>
        <v>6731</v>
      </c>
    </row>
    <row r="18015" spans="1:7" x14ac:dyDescent="0.25">
      <c r="A18015" s="56"/>
      <c r="B18015" s="57"/>
      <c r="C18015" s="57"/>
      <c r="D18015" s="57"/>
      <c r="E18015" s="57"/>
      <c r="F18015" s="57"/>
      <c r="G18015" s="58"/>
    </row>
    <row r="18016" spans="1:7" x14ac:dyDescent="0.25">
      <c r="A18016" s="219" t="s">
        <v>96</v>
      </c>
      <c r="B18016" s="219"/>
      <c r="C18016" s="219"/>
      <c r="D18016" s="219"/>
      <c r="E18016" s="219"/>
      <c r="F18016" s="219"/>
      <c r="G18016" s="219"/>
    </row>
    <row r="18017" spans="1:7" x14ac:dyDescent="0.25">
      <c r="A18017" s="49" t="s">
        <v>35</v>
      </c>
      <c r="B18017" s="225" t="s">
        <v>36</v>
      </c>
      <c r="C18017" s="225"/>
      <c r="D18017" s="49" t="s">
        <v>37</v>
      </c>
      <c r="E18017" s="49" t="s">
        <v>38</v>
      </c>
      <c r="F18017" s="49" t="s">
        <v>39</v>
      </c>
      <c r="G18017" s="49" t="s">
        <v>40</v>
      </c>
    </row>
    <row r="18018" spans="1:7" x14ac:dyDescent="0.25">
      <c r="A18018" s="69" t="s">
        <v>97</v>
      </c>
      <c r="B18018" s="72" t="str">
        <f>VLOOKUP(A18018,'[1]Componentes APUs'!$N$1:$Q$30,2,0)</f>
        <v>Camioneta</v>
      </c>
      <c r="C18018" s="73"/>
      <c r="D18018" s="70" t="str">
        <f>VLOOKUP(A18018,'[1]Componentes APUs'!$N$1:$Q$30,3,0)</f>
        <v>U</v>
      </c>
      <c r="E18018" s="50">
        <v>1</v>
      </c>
      <c r="F18018" s="51">
        <f>VLOOKUP(A18018,'[1]Componentes APUs'!$N$1:$Q$30,4,0)</f>
        <v>5500000</v>
      </c>
      <c r="G18018" s="51">
        <f>IFERROR(ROUNDUP(F18018*(E18018/21)/E17966,0),0)</f>
        <v>261905</v>
      </c>
    </row>
    <row r="18019" spans="1:7" x14ac:dyDescent="0.25">
      <c r="A18019" s="50" t="s">
        <v>321</v>
      </c>
      <c r="B18019" s="72" t="str">
        <f>VLOOKUP(A18019,'[1]Componentes APUs'!$N$1:$Q$30,2,0)</f>
        <v>Grúa Hidráulica</v>
      </c>
      <c r="C18019" s="73"/>
      <c r="D18019" s="70" t="str">
        <f>VLOOKUP(A18019,'[1]Componentes APUs'!$N$1:$Q$30,3,0)</f>
        <v>U</v>
      </c>
      <c r="E18019" s="50">
        <v>0</v>
      </c>
      <c r="F18019" s="51">
        <f>VLOOKUP(A18019,'[1]Componentes APUs'!$N$1:$Q$30,4,0)</f>
        <v>21000000</v>
      </c>
      <c r="G18019" s="51">
        <f>IFERROR(ROUNDUP(F18019*(E18019/21)/E17966,0),0)</f>
        <v>0</v>
      </c>
    </row>
    <row r="18020" spans="1:7" x14ac:dyDescent="0.25">
      <c r="A18020" s="69" t="s">
        <v>322</v>
      </c>
      <c r="B18020" s="72" t="str">
        <f>VLOOKUP(A18020,'[1]Componentes APUs'!$N$1:$Q$30,2,0)</f>
        <v>Camabaja</v>
      </c>
      <c r="C18020" s="73"/>
      <c r="D18020" s="70" t="str">
        <f>VLOOKUP(A18020,'[1]Componentes APUs'!$N$1:$Q$30,3,0)</f>
        <v>TON/KM</v>
      </c>
      <c r="E18020" s="50">
        <v>0</v>
      </c>
      <c r="F18020" s="51">
        <f>VLOOKUP(A18020,'[1]Componentes APUs'!$N$1:$Q$30,4,0)</f>
        <v>611</v>
      </c>
      <c r="G18020" s="51">
        <f>IFERROR(ROUNDUP(F18020*(E18020/21)/E17966,0),0)</f>
        <v>0</v>
      </c>
    </row>
    <row r="18021" spans="1:7" x14ac:dyDescent="0.25">
      <c r="A18021" s="50" t="s">
        <v>323</v>
      </c>
      <c r="B18021" s="72" t="str">
        <f>VLOOKUP(A18021,'[1]Componentes APUs'!$N$1:$Q$30,2,0)</f>
        <v>Volqueta</v>
      </c>
      <c r="C18021" s="73"/>
      <c r="D18021" s="70" t="str">
        <f>VLOOKUP(A18021,'[1]Componentes APUs'!$N$1:$Q$30,3,0)</f>
        <v>U</v>
      </c>
      <c r="E18021" s="50">
        <v>0</v>
      </c>
      <c r="F18021" s="51">
        <f>VLOOKUP(A18021,'[1]Componentes APUs'!$N$1:$Q$30,4,0)</f>
        <v>18900000</v>
      </c>
      <c r="G18021" s="51">
        <f>IFERROR(ROUNDUP(F18021*(E18021/21)/E17966,0),0)</f>
        <v>0</v>
      </c>
    </row>
    <row r="18022" spans="1:7" x14ac:dyDescent="0.25">
      <c r="A18022" s="69" t="s">
        <v>324</v>
      </c>
      <c r="B18022" s="72" t="str">
        <f>VLOOKUP(A18022,'[1]Componentes APUs'!$N$1:$Q$30,2,0)</f>
        <v>Retroexcavadora</v>
      </c>
      <c r="C18022" s="73"/>
      <c r="D18022" s="70" t="str">
        <f>VLOOKUP(A18022,'[1]Componentes APUs'!$N$1:$Q$30,3,0)</f>
        <v>U</v>
      </c>
      <c r="E18022" s="50">
        <v>0</v>
      </c>
      <c r="F18022" s="51">
        <f>VLOOKUP(A18022,'[1]Componentes APUs'!$N$1:$Q$30,4,0)</f>
        <v>1494459.54</v>
      </c>
      <c r="G18022" s="51">
        <f>IFERROR(ROUNDUP(F18022*(E18022/21)/E17966,0),0)</f>
        <v>0</v>
      </c>
    </row>
    <row r="18023" spans="1:7" x14ac:dyDescent="0.25">
      <c r="A18023" s="219" t="s">
        <v>99</v>
      </c>
      <c r="B18023" s="219"/>
      <c r="C18023" s="219"/>
      <c r="D18023" s="219"/>
      <c r="E18023" s="219"/>
      <c r="F18023" s="219"/>
      <c r="G18023" s="52">
        <f>SUM(G18018:G18022)</f>
        <v>261905</v>
      </c>
    </row>
    <row r="18024" spans="1:7" x14ac:dyDescent="0.25">
      <c r="A18024" s="56"/>
      <c r="B18024" s="57"/>
      <c r="C18024" s="57"/>
      <c r="D18024" s="57"/>
      <c r="E18024" s="57"/>
      <c r="F18024" s="57"/>
      <c r="G18024" s="58"/>
    </row>
    <row r="18025" spans="1:7" x14ac:dyDescent="0.25">
      <c r="A18025" s="219" t="s">
        <v>1516</v>
      </c>
      <c r="B18025" s="219"/>
      <c r="C18025" s="219"/>
      <c r="D18025" s="219"/>
      <c r="E18025" s="219"/>
      <c r="F18025" s="219"/>
      <c r="G18025" s="52">
        <f>G18023+G18014+G17997+G17987+G17977</f>
        <v>3330756</v>
      </c>
    </row>
    <row r="18026" spans="1:7" x14ac:dyDescent="0.25">
      <c r="A18026" s="59"/>
      <c r="B18026" s="60"/>
      <c r="C18026" s="60"/>
      <c r="D18026" s="60"/>
      <c r="E18026" s="57"/>
      <c r="F18026" s="57"/>
      <c r="G18026" s="58"/>
    </row>
    <row r="18027" spans="1:7" x14ac:dyDescent="0.25">
      <c r="A18027" s="64"/>
      <c r="D18027" s="55"/>
      <c r="E18027" s="49" t="s">
        <v>25</v>
      </c>
      <c r="F18027" s="54">
        <v>0.15</v>
      </c>
      <c r="G18027" s="51">
        <f>G18025*F18027</f>
        <v>499613.39999999997</v>
      </c>
    </row>
    <row r="18028" spans="1:7" x14ac:dyDescent="0.25">
      <c r="A18028" s="64"/>
      <c r="D18028" s="55"/>
      <c r="E18028" s="49" t="s">
        <v>26</v>
      </c>
      <c r="F18028" s="54">
        <v>0.05</v>
      </c>
      <c r="G18028" s="51">
        <f>G18025*F18028</f>
        <v>166537.80000000002</v>
      </c>
    </row>
    <row r="18029" spans="1:7" x14ac:dyDescent="0.25">
      <c r="A18029" s="61"/>
      <c r="B18029" s="65"/>
      <c r="C18029" s="65"/>
      <c r="D18029" s="62"/>
      <c r="E18029" s="49" t="s">
        <v>27</v>
      </c>
      <c r="F18029" s="54">
        <v>0.05</v>
      </c>
      <c r="G18029" s="51">
        <f>G18025*F18029</f>
        <v>166537.80000000002</v>
      </c>
    </row>
    <row r="18030" spans="1:7" x14ac:dyDescent="0.25">
      <c r="A18030" s="61"/>
      <c r="B18030" s="62"/>
      <c r="C18030" s="62"/>
      <c r="D18030" s="62"/>
      <c r="E18030" s="62"/>
      <c r="F18030" s="62"/>
      <c r="G18030" s="63"/>
    </row>
    <row r="18031" spans="1:7" x14ac:dyDescent="0.25">
      <c r="A18031" s="219" t="s">
        <v>1517</v>
      </c>
      <c r="B18031" s="219"/>
      <c r="C18031" s="219"/>
      <c r="D18031" s="219"/>
      <c r="E18031" s="219"/>
      <c r="F18031" s="219"/>
      <c r="G18031" s="52">
        <f>G18025+G18027+G18028+G18029</f>
        <v>4163444.9999999995</v>
      </c>
    </row>
    <row r="18032" spans="1:7" x14ac:dyDescent="0.25">
      <c r="A18032" s="59"/>
      <c r="B18032" s="60"/>
      <c r="C18032" s="60"/>
      <c r="D18032" s="60"/>
      <c r="E18032" s="57"/>
      <c r="F18032" s="57"/>
      <c r="G18032" s="58"/>
    </row>
    <row r="18033" spans="1:7" x14ac:dyDescent="0.25">
      <c r="A18033" s="64"/>
      <c r="D18033" s="55"/>
      <c r="E18033" s="49" t="s">
        <v>102</v>
      </c>
      <c r="F18033" s="49" t="s">
        <v>103</v>
      </c>
      <c r="G18033" s="51">
        <f>G18029*19%</f>
        <v>31642.182000000004</v>
      </c>
    </row>
    <row r="18034" spans="1:7" x14ac:dyDescent="0.25">
      <c r="A18034" s="61"/>
      <c r="B18034" s="62"/>
      <c r="C18034" s="62"/>
      <c r="D18034" s="62"/>
      <c r="E18034" s="57"/>
      <c r="F18034" s="57"/>
      <c r="G18034" s="58"/>
    </row>
    <row r="18035" spans="1:7" x14ac:dyDescent="0.25">
      <c r="A18035" s="219" t="s">
        <v>104</v>
      </c>
      <c r="B18035" s="219"/>
      <c r="C18035" s="219"/>
      <c r="D18035" s="219"/>
      <c r="E18035" s="219"/>
      <c r="F18035" s="219"/>
      <c r="G18035" s="52">
        <f>G18033+G18031</f>
        <v>4195087.1819999991</v>
      </c>
    </row>
    <row r="18037" spans="1:7" x14ac:dyDescent="0.25">
      <c r="A18037" s="74" t="s">
        <v>29</v>
      </c>
      <c r="B18037" s="226" t="s">
        <v>30</v>
      </c>
      <c r="C18037" s="226"/>
      <c r="D18037" s="74" t="s">
        <v>31</v>
      </c>
      <c r="E18037" s="74" t="s">
        <v>32</v>
      </c>
      <c r="F18037" s="74" t="s">
        <v>189</v>
      </c>
      <c r="G18037" s="74" t="s">
        <v>33</v>
      </c>
    </row>
    <row r="18038" spans="1:7" ht="42" customHeight="1" x14ac:dyDescent="0.25">
      <c r="A18038" s="50" t="str">
        <f>Presupuesto!B353</f>
        <v>024_AUX</v>
      </c>
      <c r="B18038" s="220" t="str">
        <f>Presupuesto!C353</f>
        <v>SUMINISTRO E INSTALACIÓN DE INSTALACIÓN DE TABLERO DE SERVICIOS AUXILIARES. INCLUYE TOTALIZADOR 3X80 A, 5 BREAKERS 2X15A AC, 7 BREAKER 1X15A AC, 4 BREAKERS  1X20A AC.</v>
      </c>
      <c r="C18038" s="220"/>
      <c r="D18038" s="50" t="s">
        <v>8</v>
      </c>
      <c r="E18038" s="50">
        <v>1</v>
      </c>
      <c r="F18038" s="50"/>
      <c r="G18038" s="51">
        <f>G18108</f>
        <v>4635206.8619999997</v>
      </c>
    </row>
    <row r="18039" spans="1:7" x14ac:dyDescent="0.25">
      <c r="A18039" s="219" t="s">
        <v>34</v>
      </c>
      <c r="B18039" s="219"/>
      <c r="C18039" s="219"/>
      <c r="D18039" s="219"/>
      <c r="E18039" s="219"/>
      <c r="F18039" s="219"/>
      <c r="G18039" s="219"/>
    </row>
    <row r="18040" spans="1:7" x14ac:dyDescent="0.25">
      <c r="A18040" s="49" t="s">
        <v>35</v>
      </c>
      <c r="B18040" s="219" t="s">
        <v>36</v>
      </c>
      <c r="C18040" s="219"/>
      <c r="D18040" s="49" t="s">
        <v>37</v>
      </c>
      <c r="E18040" s="49" t="s">
        <v>38</v>
      </c>
      <c r="F18040" s="49" t="s">
        <v>39</v>
      </c>
      <c r="G18040" s="49" t="s">
        <v>40</v>
      </c>
    </row>
    <row r="18041" spans="1:7" x14ac:dyDescent="0.25">
      <c r="A18041" s="17" t="str">
        <f>Material!A566</f>
        <v>MA-565</v>
      </c>
      <c r="B18041" s="72" t="str">
        <f>IFERROR(VLOOKUP(A18041,Material!$A:$H,2,0),"-")</f>
        <v>TOTALIZADOR 3x35-50 A 25 kA TIPO INDUSTRIAL</v>
      </c>
      <c r="C18041" s="73"/>
      <c r="D18041" s="50" t="str">
        <f>IFERROR(VLOOKUP(A18041,Material!$A:$H,4,0),"-")</f>
        <v>UN</v>
      </c>
      <c r="E18041" s="93">
        <v>1</v>
      </c>
      <c r="F18041" s="51">
        <f>IFERROR(VLOOKUP(A18041,Material!$A:$H,3,0),"-")</f>
        <v>512005</v>
      </c>
      <c r="G18041" s="51">
        <f>IFERROR(ROUNDUP(F18041*E18041,0),"-")</f>
        <v>512005</v>
      </c>
    </row>
    <row r="18042" spans="1:7" x14ac:dyDescent="0.25">
      <c r="A18042" s="17" t="str">
        <f>Material!A187</f>
        <v>MA-186</v>
      </c>
      <c r="B18042" s="72" t="str">
        <f>IFERROR(VLOOKUP(A18042,Material!$A:$H,2,0),"-")</f>
        <v>INTERRUPTOR AC 2X15 25 kA</v>
      </c>
      <c r="C18042" s="73"/>
      <c r="D18042" s="93" t="str">
        <f>IFERROR(VLOOKUP(A18042,Material!$A:$H,4,0),"-")</f>
        <v>UN</v>
      </c>
      <c r="E18042" s="93">
        <v>5</v>
      </c>
      <c r="F18042" s="51">
        <f>IFERROR(VLOOKUP(A18042,Material!$A:$H,3,0),"-")</f>
        <v>86286.2</v>
      </c>
      <c r="G18042" s="51">
        <f>IFERROR(ROUNDUP(F18042*E18042,0),"-")</f>
        <v>431431</v>
      </c>
    </row>
    <row r="18043" spans="1:7" x14ac:dyDescent="0.25">
      <c r="A18043" s="17" t="str">
        <f>Material!A183</f>
        <v>MA-182</v>
      </c>
      <c r="B18043" s="72" t="str">
        <f>IFERROR(VLOOKUP(A18043,Material!$A:$H,2,0),"-")</f>
        <v>INTERRUPTOR AC 1X15 25 kA</v>
      </c>
      <c r="C18043" s="76"/>
      <c r="D18043" s="93" t="str">
        <f>IFERROR(VLOOKUP(A18043,Material!$A:$H,4,0),"-")</f>
        <v>UN</v>
      </c>
      <c r="E18043" s="93">
        <v>6</v>
      </c>
      <c r="F18043" s="51">
        <f>IFERROR(VLOOKUP(A18043,Material!$A:$H,3,0),"-")</f>
        <v>87360</v>
      </c>
      <c r="G18043" s="51">
        <f>IFERROR(ROUNDUP(F18043*E18043,0),"-")</f>
        <v>524160</v>
      </c>
    </row>
    <row r="18044" spans="1:7" x14ac:dyDescent="0.25">
      <c r="A18044" s="17" t="str">
        <f>Material!A395</f>
        <v>MA-394</v>
      </c>
      <c r="B18044" s="72" t="str">
        <f>IFERROR(VLOOKUP(A18044,Material!$A:$H,2,0),"-")</f>
        <v>INTERRUPTOR AC 1X20 25 kA</v>
      </c>
      <c r="C18044" s="76"/>
      <c r="D18044" s="93" t="str">
        <f>IFERROR(VLOOKUP(A18044,Material!$A:$H,4,0),"-")</f>
        <v>UN</v>
      </c>
      <c r="E18044" s="93">
        <v>5</v>
      </c>
      <c r="F18044" s="51">
        <f>IFERROR(VLOOKUP(A18044,Material!$A:$H,3,0),"-")</f>
        <v>87360</v>
      </c>
      <c r="G18044" s="51">
        <f>IFERROR(ROUNDUP(F18044*E18044,0),"-")</f>
        <v>436800</v>
      </c>
    </row>
    <row r="18045" spans="1:7" ht="25.5" customHeight="1" x14ac:dyDescent="0.25">
      <c r="A18045" s="17" t="str">
        <f>Material!A189</f>
        <v>MA-188</v>
      </c>
      <c r="B18045" s="221" t="str">
        <f>IFERROR(VLOOKUP(A18045,Material!$A:$H,2,0),"-")</f>
        <v xml:space="preserve">TABLERO DE SOBREPONER DE 30 CIRCUITOS CON PUERTA Y ESPACIO PARA TOTALIZADOR </v>
      </c>
      <c r="C18045" s="222"/>
      <c r="D18045" s="50" t="str">
        <f>IFERROR(VLOOKUP(A18045,Material!$A:$H,4,0),"-")</f>
        <v>UN</v>
      </c>
      <c r="E18045" s="93">
        <v>1</v>
      </c>
      <c r="F18045" s="51">
        <f>IFERROR(VLOOKUP(A18045,Material!$A:$H,3,0),"-")</f>
        <v>827190</v>
      </c>
      <c r="G18045" s="51">
        <f>IFERROR(ROUNDUP(F18045*E18045,0),"-")</f>
        <v>827190</v>
      </c>
    </row>
    <row r="18046" spans="1:7" x14ac:dyDescent="0.25">
      <c r="A18046" s="17"/>
      <c r="B18046" s="72"/>
      <c r="C18046" s="76"/>
      <c r="D18046" s="50"/>
      <c r="E18046" s="50"/>
      <c r="F18046" s="51"/>
      <c r="G18046" s="51"/>
    </row>
    <row r="18047" spans="1:7" x14ac:dyDescent="0.25">
      <c r="A18047" s="17"/>
      <c r="B18047" s="72"/>
      <c r="C18047" s="76"/>
      <c r="D18047" s="50"/>
      <c r="E18047" s="50"/>
      <c r="F18047" s="51"/>
      <c r="G18047" s="51"/>
    </row>
    <row r="18048" spans="1:7" x14ac:dyDescent="0.25">
      <c r="A18048" s="17"/>
      <c r="B18048" s="72"/>
      <c r="C18048" s="76"/>
      <c r="D18048" s="50"/>
      <c r="E18048" s="50"/>
      <c r="F18048" s="51"/>
      <c r="G18048" s="51"/>
    </row>
    <row r="18049" spans="1:7" x14ac:dyDescent="0.25">
      <c r="A18049" s="17"/>
      <c r="B18049" s="72"/>
      <c r="C18049" s="76"/>
      <c r="D18049" s="50"/>
      <c r="E18049" s="50"/>
      <c r="F18049" s="51"/>
      <c r="G18049" s="51"/>
    </row>
    <row r="18050" spans="1:7" x14ac:dyDescent="0.25">
      <c r="A18050" s="219" t="s">
        <v>41</v>
      </c>
      <c r="B18050" s="219"/>
      <c r="C18050" s="219"/>
      <c r="D18050" s="219"/>
      <c r="E18050" s="219"/>
      <c r="F18050" s="219"/>
      <c r="G18050" s="52">
        <f>SUM(G18041:G18049)</f>
        <v>2731586</v>
      </c>
    </row>
    <row r="18051" spans="1:7" x14ac:dyDescent="0.25">
      <c r="A18051" s="56"/>
      <c r="B18051" s="57"/>
      <c r="C18051" s="57"/>
      <c r="D18051" s="57"/>
      <c r="E18051" s="57"/>
      <c r="F18051" s="57"/>
      <c r="G18051" s="58"/>
    </row>
    <row r="18052" spans="1:7" x14ac:dyDescent="0.25">
      <c r="A18052" s="219" t="s">
        <v>42</v>
      </c>
      <c r="B18052" s="219"/>
      <c r="C18052" s="219"/>
      <c r="D18052" s="219"/>
      <c r="E18052" s="219"/>
      <c r="F18052" s="219"/>
      <c r="G18052" s="219"/>
    </row>
    <row r="18053" spans="1:7" x14ac:dyDescent="0.25">
      <c r="A18053" s="49" t="s">
        <v>35</v>
      </c>
      <c r="B18053" s="49" t="s">
        <v>36</v>
      </c>
      <c r="C18053" s="49" t="s">
        <v>38</v>
      </c>
      <c r="D18053" s="49" t="s">
        <v>43</v>
      </c>
      <c r="E18053" s="49" t="s">
        <v>44</v>
      </c>
      <c r="F18053" s="49" t="s">
        <v>45</v>
      </c>
      <c r="G18053" s="49" t="s">
        <v>40</v>
      </c>
    </row>
    <row r="18054" spans="1:7" x14ac:dyDescent="0.25">
      <c r="A18054" s="50" t="s">
        <v>319</v>
      </c>
      <c r="B18054" s="68" t="str">
        <f>VLOOKUP(A18054,'Componentes APUs'!$H$1:$L$25,2,0)</f>
        <v>Ingeniero Residente de Obra</v>
      </c>
      <c r="C18054" s="93">
        <v>0.25</v>
      </c>
      <c r="D18054" s="50">
        <f>VLOOKUP(A18054,'Componentes APUs'!$H$1:$L$25,3,0)</f>
        <v>4</v>
      </c>
      <c r="E18054" s="51">
        <f>VLOOKUP(A18054,'Componentes APUs'!$H$1:$L$25,4,0)</f>
        <v>271142.85714285716</v>
      </c>
      <c r="F18054" s="51">
        <f>VLOOKUP(A18054,'Componentes APUs'!$H$1:$L$25,5,0)</f>
        <v>162685.71428571429</v>
      </c>
      <c r="G18054" s="51">
        <f>ROUNDUP((E18054+F18054)*C18054/E18038,0)</f>
        <v>108458</v>
      </c>
    </row>
    <row r="18055" spans="1:7" x14ac:dyDescent="0.25">
      <c r="A18055" s="50" t="s">
        <v>320</v>
      </c>
      <c r="B18055" s="68" t="str">
        <f>VLOOKUP(A18055,'Componentes APUs'!$H$1:$L$25,2,0)</f>
        <v>Tecnico Supervisor</v>
      </c>
      <c r="C18055" s="93">
        <v>0.25</v>
      </c>
      <c r="D18055" s="50">
        <f>VLOOKUP(A18055,'Componentes APUs'!$H$1:$L$25,3,0)</f>
        <v>2.2999999999999998</v>
      </c>
      <c r="E18055" s="51">
        <f>VLOOKUP(A18055,'Componentes APUs'!$H$1:$L$25,4,0)</f>
        <v>155907.14285714284</v>
      </c>
      <c r="F18055" s="51">
        <f>VLOOKUP(A18055,'Componentes APUs'!$H$1:$L$25,5,0)</f>
        <v>93544.285714285696</v>
      </c>
      <c r="G18055" s="51">
        <f>ROUNDUP((E18055+F18055)*C18055/E18038,0)</f>
        <v>62363</v>
      </c>
    </row>
    <row r="18056" spans="1:7" x14ac:dyDescent="0.25">
      <c r="A18056" s="50" t="s">
        <v>1160</v>
      </c>
      <c r="B18056" s="68" t="str">
        <f>VLOOKUP(A18056,'Componentes APUs'!$H$1:$L$25,2,0)</f>
        <v>Oficial Eléctrico</v>
      </c>
      <c r="C18056" s="93">
        <v>1</v>
      </c>
      <c r="D18056" s="50">
        <f>VLOOKUP(A18056,'Componentes APUs'!$H$1:$L$25,3,0)</f>
        <v>2</v>
      </c>
      <c r="E18056" s="51">
        <f>VLOOKUP(A18056,'Componentes APUs'!$H$1:$L$25,4,0)</f>
        <v>154619.04761904763</v>
      </c>
      <c r="F18056" s="51">
        <f>VLOOKUP(A18056,'Componentes APUs'!$H$1:$L$25,5,0)</f>
        <v>92771.42857142858</v>
      </c>
      <c r="G18056" s="51">
        <f>ROUNDUP((E18056+F18056)*C18056/E18038,0)</f>
        <v>247391</v>
      </c>
    </row>
    <row r="18057" spans="1:7" x14ac:dyDescent="0.25">
      <c r="A18057" s="50" t="s">
        <v>48</v>
      </c>
      <c r="B18057" s="68" t="str">
        <f>VLOOKUP(A18057,'Componentes APUs'!$H$1:$L$25,2,0)</f>
        <v>Ayudante Calificado</v>
      </c>
      <c r="C18057" s="93">
        <v>1</v>
      </c>
      <c r="D18057" s="50">
        <f>VLOOKUP(A18057,'Componentes APUs'!$H$1:$L$25,3,0)</f>
        <v>1.5</v>
      </c>
      <c r="E18057" s="51">
        <f>VLOOKUP(A18057,'Componentes APUs'!$H$1:$L$25,4,0)</f>
        <v>115964.28571428571</v>
      </c>
      <c r="F18057" s="51">
        <f>VLOOKUP(A18057,'Componentes APUs'!$H$1:$L$25,5,0)</f>
        <v>69578.57142857142</v>
      </c>
      <c r="G18057" s="51">
        <f>ROUNDUP((E18057+F18057)*C18057/E18038,0)</f>
        <v>185543</v>
      </c>
    </row>
    <row r="18058" spans="1:7" x14ac:dyDescent="0.25">
      <c r="A18058" s="50" t="s">
        <v>50</v>
      </c>
      <c r="B18058" s="68" t="str">
        <f>VLOOKUP(A18058,'Componentes APUs'!$H$1:$L$25,2,0)</f>
        <v>Profesional en SST</v>
      </c>
      <c r="C18058" s="93">
        <v>0.25</v>
      </c>
      <c r="D18058" s="50">
        <f>VLOOKUP(A18058,'Componentes APUs'!$H$1:$L$25,3,0)</f>
        <v>2.5</v>
      </c>
      <c r="E18058" s="51">
        <f>VLOOKUP(A18058,'Componentes APUs'!$H$1:$L$25,4,0)</f>
        <v>169464.28571428571</v>
      </c>
      <c r="F18058" s="51">
        <f>VLOOKUP(A18058,'Componentes APUs'!$H$1:$L$25,5,0)</f>
        <v>101678.57142857142</v>
      </c>
      <c r="G18058" s="51">
        <f>ROUNDUP((E18058+F18058)*C18058/E18038,0)</f>
        <v>67786</v>
      </c>
    </row>
    <row r="18059" spans="1:7" x14ac:dyDescent="0.25">
      <c r="A18059" s="50" t="s">
        <v>52</v>
      </c>
      <c r="B18059" s="68" t="str">
        <f>VLOOKUP(A18059,'Componentes APUs'!$H$1:$L$25,2,0)</f>
        <v>Ayudante No Calificado</v>
      </c>
      <c r="C18059" s="93">
        <v>0</v>
      </c>
      <c r="D18059" s="50">
        <f>VLOOKUP(A18059,'Componentes APUs'!$H$1:$L$25,3,0)</f>
        <v>1</v>
      </c>
      <c r="E18059" s="51">
        <f>VLOOKUP(A18059,'Componentes APUs'!$H$1:$L$25,4,0)</f>
        <v>77309.523809523816</v>
      </c>
      <c r="F18059" s="51">
        <f>VLOOKUP(A18059,'Componentes APUs'!$H$1:$L$25,5,0)</f>
        <v>46385.71428571429</v>
      </c>
      <c r="G18059" s="51">
        <f>ROUNDUP((E18059+F18059)*C18059/E18038,0)</f>
        <v>0</v>
      </c>
    </row>
    <row r="18060" spans="1:7" x14ac:dyDescent="0.25">
      <c r="A18060" s="219" t="s">
        <v>56</v>
      </c>
      <c r="B18060" s="219"/>
      <c r="C18060" s="219"/>
      <c r="D18060" s="219"/>
      <c r="E18060" s="219"/>
      <c r="F18060" s="219"/>
      <c r="G18060" s="52">
        <f>SUM(G18054:G18059)</f>
        <v>671541</v>
      </c>
    </row>
    <row r="18061" spans="1:7" x14ac:dyDescent="0.25">
      <c r="A18061" s="56"/>
      <c r="B18061" s="57"/>
      <c r="C18061" s="57"/>
      <c r="D18061" s="57"/>
      <c r="E18061" s="57"/>
      <c r="F18061" s="57"/>
      <c r="G18061" s="58"/>
    </row>
    <row r="18062" spans="1:7" x14ac:dyDescent="0.25">
      <c r="A18062" s="219" t="s">
        <v>57</v>
      </c>
      <c r="B18062" s="219"/>
      <c r="C18062" s="219"/>
      <c r="D18062" s="219"/>
      <c r="E18062" s="219"/>
      <c r="F18062" s="219"/>
      <c r="G18062" s="219"/>
    </row>
    <row r="18063" spans="1:7" x14ac:dyDescent="0.25">
      <c r="A18063" s="49" t="s">
        <v>35</v>
      </c>
      <c r="B18063" s="219" t="s">
        <v>36</v>
      </c>
      <c r="C18063" s="219"/>
      <c r="D18063" s="49" t="s">
        <v>37</v>
      </c>
      <c r="E18063" s="49" t="s">
        <v>38</v>
      </c>
      <c r="F18063" s="49" t="s">
        <v>39</v>
      </c>
      <c r="G18063" s="49" t="s">
        <v>40</v>
      </c>
    </row>
    <row r="18064" spans="1:7" x14ac:dyDescent="0.25">
      <c r="A18064" s="50" t="s">
        <v>326</v>
      </c>
      <c r="B18064" s="220" t="str">
        <f>VLOOKUP(A18064,'Componentes APUs'!$S$1:$V$10,2,0)</f>
        <v>Juego Llaves</v>
      </c>
      <c r="C18064" s="220"/>
      <c r="D18064" s="50" t="s">
        <v>18</v>
      </c>
      <c r="E18064" s="50">
        <v>2</v>
      </c>
      <c r="F18064" s="51">
        <f>VLOOKUP(A18064,'Componentes APUs'!$S$1:$V$10,4,0)</f>
        <v>9167</v>
      </c>
      <c r="G18064" s="51">
        <f>ROUNDUP(F18064*((E18064/21)/E18038),0)</f>
        <v>874</v>
      </c>
    </row>
    <row r="18065" spans="1:7" x14ac:dyDescent="0.25">
      <c r="A18065" s="50" t="s">
        <v>58</v>
      </c>
      <c r="B18065" s="220" t="str">
        <f>VLOOKUP(A18065,'Componentes APUs'!$S$1:$V$10,2,0)</f>
        <v>Manila de servicio</v>
      </c>
      <c r="C18065" s="220"/>
      <c r="D18065" s="50" t="s">
        <v>18</v>
      </c>
      <c r="E18065" s="50">
        <v>2</v>
      </c>
      <c r="F18065" s="51">
        <f>VLOOKUP(A18065,'Componentes APUs'!$S$1:$V$10,4,0)</f>
        <v>2333</v>
      </c>
      <c r="G18065" s="51">
        <f>ROUNDUP(F18065*((E18065/21)/E18038),0)</f>
        <v>223</v>
      </c>
    </row>
    <row r="18066" spans="1:7" x14ac:dyDescent="0.25">
      <c r="A18066" s="50" t="s">
        <v>327</v>
      </c>
      <c r="B18066" s="220" t="str">
        <f>VLOOKUP(A18066,'Componentes APUs'!$S$1:$V$10,2,0)</f>
        <v>Tula portaherramientas</v>
      </c>
      <c r="C18066" s="220"/>
      <c r="D18066" s="50" t="s">
        <v>18</v>
      </c>
      <c r="E18066" s="50">
        <v>2</v>
      </c>
      <c r="F18066" s="51">
        <f>VLOOKUP(A18066,'Componentes APUs'!$S$1:$V$10,4,0)</f>
        <v>1250</v>
      </c>
      <c r="G18066" s="51">
        <f>ROUNDUP(F18066*((E18066/21)/E18038),0)</f>
        <v>120</v>
      </c>
    </row>
    <row r="18067" spans="1:7" x14ac:dyDescent="0.25">
      <c r="A18067" s="50" t="s">
        <v>60</v>
      </c>
      <c r="B18067" s="220" t="str">
        <f>VLOOKUP(A18067,'Componentes APUs'!$S$1:$V$10,2,0)</f>
        <v>Agarradoras</v>
      </c>
      <c r="C18067" s="220"/>
      <c r="D18067" s="50" t="s">
        <v>18</v>
      </c>
      <c r="E18067" s="50">
        <v>0</v>
      </c>
      <c r="F18067" s="51">
        <f>VLOOKUP(A18067,'Componentes APUs'!$S$1:$V$10,4,0)</f>
        <v>125000</v>
      </c>
      <c r="G18067" s="51">
        <f>ROUNDUP(F18067*((E18067/21)/E18038),0)</f>
        <v>0</v>
      </c>
    </row>
    <row r="18068" spans="1:7" x14ac:dyDescent="0.25">
      <c r="A18068" s="50" t="s">
        <v>62</v>
      </c>
      <c r="B18068" s="220" t="str">
        <f>VLOOKUP(A18068,'Componentes APUs'!$S$1:$V$10,2,0)</f>
        <v>Templadoras</v>
      </c>
      <c r="C18068" s="220"/>
      <c r="D18068" s="50" t="s">
        <v>18</v>
      </c>
      <c r="E18068" s="50">
        <v>0</v>
      </c>
      <c r="F18068" s="51">
        <f>VLOOKUP(A18068,'Componentes APUs'!$S$1:$V$10,4,0)</f>
        <v>250000</v>
      </c>
      <c r="G18068" s="51">
        <f>ROUNDUP(F18068*((E18068/21)/E18038),0)</f>
        <v>0</v>
      </c>
    </row>
    <row r="18069" spans="1:7" x14ac:dyDescent="0.25">
      <c r="A18069" s="50" t="s">
        <v>328</v>
      </c>
      <c r="B18069" s="220" t="str">
        <f>VLOOKUP(A18069,'Componentes APUs'!$S$1:$V$10,2,0)</f>
        <v>Herramienta Menor</v>
      </c>
      <c r="C18069" s="220"/>
      <c r="D18069" s="50" t="s">
        <v>18</v>
      </c>
      <c r="E18069" s="50">
        <v>2</v>
      </c>
      <c r="F18069" s="51">
        <f>VLOOKUP(A18069,'Componentes APUs'!$S$1:$V$10,4,0)</f>
        <v>75758</v>
      </c>
      <c r="G18069" s="51">
        <f>ROUNDUP(F18069*((E18069/21)/E18038),0)</f>
        <v>7216</v>
      </c>
    </row>
    <row r="18070" spans="1:7" x14ac:dyDescent="0.25">
      <c r="A18070" s="219" t="s">
        <v>69</v>
      </c>
      <c r="B18070" s="219"/>
      <c r="C18070" s="219"/>
      <c r="D18070" s="219"/>
      <c r="E18070" s="219"/>
      <c r="F18070" s="219"/>
      <c r="G18070" s="52">
        <f>SUM(G18064:G18069)</f>
        <v>8433</v>
      </c>
    </row>
    <row r="18071" spans="1:7" x14ac:dyDescent="0.25">
      <c r="A18071" s="56"/>
      <c r="B18071" s="57"/>
      <c r="C18071" s="57"/>
      <c r="D18071" s="57"/>
      <c r="E18071" s="57"/>
      <c r="F18071" s="57"/>
      <c r="G18071" s="58"/>
    </row>
    <row r="18072" spans="1:7" x14ac:dyDescent="0.25">
      <c r="A18072" s="219" t="s">
        <v>70</v>
      </c>
      <c r="B18072" s="219"/>
      <c r="C18072" s="219"/>
      <c r="D18072" s="219"/>
      <c r="E18072" s="219"/>
      <c r="F18072" s="219"/>
      <c r="G18072" s="219"/>
    </row>
    <row r="18073" spans="1:7" x14ac:dyDescent="0.25">
      <c r="A18073" s="49" t="s">
        <v>35</v>
      </c>
      <c r="B18073" s="219" t="s">
        <v>36</v>
      </c>
      <c r="C18073" s="219"/>
      <c r="D18073" s="49" t="s">
        <v>37</v>
      </c>
      <c r="E18073" s="49" t="s">
        <v>38</v>
      </c>
      <c r="F18073" s="49" t="s">
        <v>39</v>
      </c>
      <c r="G18073" s="49" t="s">
        <v>40</v>
      </c>
    </row>
    <row r="18074" spans="1:7" x14ac:dyDescent="0.25">
      <c r="A18074" s="50" t="s">
        <v>71</v>
      </c>
      <c r="B18074" s="71" t="str">
        <f>VLOOKUP(A18074,'Componentes APUs'!$A$1:$D$14,2,0)</f>
        <v>Camisa indigo sin partes metalicas</v>
      </c>
      <c r="C18074" s="71"/>
      <c r="D18074" s="50" t="str">
        <f>VLOOKUP(A18074,'Componentes APUs'!$A$1:$D$14,3,0)</f>
        <v>U</v>
      </c>
      <c r="E18074" s="50">
        <f>SUM(C18054:C18059)</f>
        <v>2.75</v>
      </c>
      <c r="F18074" s="51">
        <f>VLOOKUP(A18074,'Componentes APUs'!$A$1:$D$14,4,0)</f>
        <v>8585.8585858585866</v>
      </c>
      <c r="G18074" s="51">
        <f>ROUNDUP(F18074*(E18074/21)/E18038,0)</f>
        <v>1125</v>
      </c>
    </row>
    <row r="18075" spans="1:7" x14ac:dyDescent="0.25">
      <c r="A18075" s="69" t="s">
        <v>73</v>
      </c>
      <c r="B18075" s="72" t="str">
        <f>VLOOKUP(A18075,'Componentes APUs'!$A$1:$D$14,2,0)</f>
        <v>Bota de seguridad dielectrica</v>
      </c>
      <c r="C18075" s="73"/>
      <c r="D18075" s="70" t="str">
        <f>VLOOKUP(A18075,'Componentes APUs'!$A$1:$D$14,3,0)</f>
        <v>Par</v>
      </c>
      <c r="E18075" s="50">
        <f>SUM(C18054:C18059)</f>
        <v>2.75</v>
      </c>
      <c r="F18075" s="51">
        <f>VLOOKUP(A18075,'Componentes APUs'!$A$1:$D$14,4,0)</f>
        <v>7500</v>
      </c>
      <c r="G18075" s="51">
        <f>ROUNDUP(F18075*(E18075/21)/E18038,0)</f>
        <v>983</v>
      </c>
    </row>
    <row r="18076" spans="1:7" x14ac:dyDescent="0.25">
      <c r="A18076" s="50" t="s">
        <v>76</v>
      </c>
      <c r="B18076" s="72" t="str">
        <f>VLOOKUP(A18076,'Componentes APUs'!$A$1:$D$14,2,0)</f>
        <v>Casco dielectrico Tipo 1 Clase E con barbuquejo</v>
      </c>
      <c r="C18076" s="73"/>
      <c r="D18076" s="50" t="str">
        <f>VLOOKUP(A18076,'Componentes APUs'!$A$1:$D$14,3,0)</f>
        <v>U</v>
      </c>
      <c r="E18076" s="50">
        <f>C18054+C18055+C18057+C18058+C18059+C18056</f>
        <v>2.75</v>
      </c>
      <c r="F18076" s="51">
        <f>VLOOKUP(A18076,'Componentes APUs'!$A$1:$D$14,4,0)</f>
        <v>10101.010101010101</v>
      </c>
      <c r="G18076" s="51">
        <f>ROUNDUP(F18076*(E18076/21)/E18038,0)</f>
        <v>1323</v>
      </c>
    </row>
    <row r="18077" spans="1:7" x14ac:dyDescent="0.25">
      <c r="A18077" s="69" t="s">
        <v>77</v>
      </c>
      <c r="B18077" s="72" t="str">
        <f>VLOOKUP(A18077,'Componentes APUs'!$A$1:$D$14,2,0)</f>
        <v>Correa plastica y antiflama</v>
      </c>
      <c r="C18077" s="73"/>
      <c r="D18077" s="50" t="str">
        <f>VLOOKUP(A18077,'Componentes APUs'!$A$1:$D$14,3,0)</f>
        <v>U</v>
      </c>
      <c r="E18077" s="50">
        <f>SUM(C18054:C18059)</f>
        <v>2.75</v>
      </c>
      <c r="F18077" s="51">
        <f>VLOOKUP(A18077,'Componentes APUs'!$A$1:$D$14,4,0)</f>
        <v>3787.878787878788</v>
      </c>
      <c r="G18077" s="51">
        <f>ROUNDUP(F18077*(E18077/21)/E18038,0)</f>
        <v>497</v>
      </c>
    </row>
    <row r="18078" spans="1:7" x14ac:dyDescent="0.25">
      <c r="A18078" s="50" t="s">
        <v>79</v>
      </c>
      <c r="B18078" s="72" t="str">
        <f>VLOOKUP(A18078,'Componentes APUs'!$A$1:$D$14,2,0)</f>
        <v>Gafas protectoras filtro UV</v>
      </c>
      <c r="C18078" s="73"/>
      <c r="D18078" s="50" t="str">
        <f>VLOOKUP(A18078,'Componentes APUs'!$A$1:$D$14,3,0)</f>
        <v>U</v>
      </c>
      <c r="E18078" s="50">
        <f>SUM(C18054:C18059)</f>
        <v>2.75</v>
      </c>
      <c r="F18078" s="51">
        <f>VLOOKUP(A18078,'Componentes APUs'!$A$1:$D$14,4,0)</f>
        <v>2777.7777777777778</v>
      </c>
      <c r="G18078" s="51">
        <f>ROUNDUP(F18078*(E18078/21)/E18038,0)</f>
        <v>364</v>
      </c>
    </row>
    <row r="18079" spans="1:7" x14ac:dyDescent="0.25">
      <c r="A18079" s="69" t="s">
        <v>402</v>
      </c>
      <c r="B18079" s="72" t="str">
        <f>VLOOKUP(A18079,'Componentes APUs'!$A$1:$D$14,2,0)</f>
        <v>Bota de seguridad PVC dielectrica</v>
      </c>
      <c r="C18079" s="73"/>
      <c r="D18079" s="50" t="str">
        <f>VLOOKUP(A18079,'Componentes APUs'!$A$1:$D$14,3,0)</f>
        <v>Par</v>
      </c>
      <c r="E18079" s="50">
        <f>SUM(C18054:C18059)</f>
        <v>2.75</v>
      </c>
      <c r="F18079" s="51">
        <f>VLOOKUP(A18079,'Componentes APUs'!$A$1:$D$14,4,0)</f>
        <v>2916.6666666666665</v>
      </c>
      <c r="G18079" s="51">
        <f>ROUNDUP(F18079*(E18079/21)/E18038,0)</f>
        <v>382</v>
      </c>
    </row>
    <row r="18080" spans="1:7" x14ac:dyDescent="0.25">
      <c r="A18080" s="50" t="s">
        <v>403</v>
      </c>
      <c r="B18080" s="72" t="str">
        <f>VLOOKUP(A18080,'Componentes APUs'!$A$1:$D$14,2,0)</f>
        <v>Capuchon</v>
      </c>
      <c r="C18080" s="73"/>
      <c r="D18080" s="50" t="str">
        <f>VLOOKUP(A18080,'Componentes APUs'!$A$1:$D$14,3,0)</f>
        <v>U</v>
      </c>
      <c r="E18080" s="50">
        <f>SUM(C18054:C18059)</f>
        <v>2.75</v>
      </c>
      <c r="F18080" s="51">
        <f>VLOOKUP(A18080,'Componentes APUs'!$A$1:$D$14,4,0)</f>
        <v>2525.2525252525252</v>
      </c>
      <c r="G18080" s="51">
        <f>ROUNDUP(F18080*(E18080/21)/E18038,0)</f>
        <v>331</v>
      </c>
    </row>
    <row r="18081" spans="1:7" x14ac:dyDescent="0.25">
      <c r="A18081" s="69" t="s">
        <v>81</v>
      </c>
      <c r="B18081" s="72" t="str">
        <f>VLOOKUP(A18081,'Componentes APUs'!$A$1:$D$14,2,0)</f>
        <v>Guantes Protectores  - ingeniero reforzados</v>
      </c>
      <c r="C18081" s="73"/>
      <c r="D18081" s="50" t="str">
        <f>VLOOKUP(A18081,'Componentes APUs'!$A$1:$D$14,3,0)</f>
        <v>Par</v>
      </c>
      <c r="E18081" s="50">
        <f>C18056+C18057+C18059</f>
        <v>2</v>
      </c>
      <c r="F18081" s="51">
        <f>VLOOKUP(A18081,'Componentes APUs'!$A$1:$D$14,4,0)</f>
        <v>2525.2525252525252</v>
      </c>
      <c r="G18081" s="51">
        <f>ROUNDUP(F18081*(E18081/21)/E18038,0)</f>
        <v>241</v>
      </c>
    </row>
    <row r="18082" spans="1:7" x14ac:dyDescent="0.25">
      <c r="A18082" s="50" t="s">
        <v>83</v>
      </c>
      <c r="B18082" s="72" t="str">
        <f>VLOOKUP(A18082,'Componentes APUs'!$A$1:$D$14,2,0)</f>
        <v>Impermeable (pantalon camisa)</v>
      </c>
      <c r="C18082" s="73"/>
      <c r="D18082" s="50" t="str">
        <f>VLOOKUP(A18082,'Componentes APUs'!$A$1:$D$14,3,0)</f>
        <v>U</v>
      </c>
      <c r="E18082" s="50">
        <f>SUM(C18054:C18059)</f>
        <v>2.75</v>
      </c>
      <c r="F18082" s="51">
        <f>VLOOKUP(A18082,'Componentes APUs'!$A$1:$D$14,4,0)</f>
        <v>3750</v>
      </c>
      <c r="G18082" s="51">
        <f>ROUNDUP(F18082*(E18082/21)/E18038,0)</f>
        <v>492</v>
      </c>
    </row>
    <row r="18083" spans="1:7" x14ac:dyDescent="0.25">
      <c r="A18083" s="69" t="s">
        <v>85</v>
      </c>
      <c r="B18083" s="72" t="str">
        <f>VLOOKUP(A18083,'Componentes APUs'!$A$1:$D$14,2,0)</f>
        <v>Jean Dielectrico</v>
      </c>
      <c r="C18083" s="73"/>
      <c r="D18083" s="50" t="str">
        <f>VLOOKUP(A18083,'Componentes APUs'!$A$1:$D$14,3,0)</f>
        <v>U</v>
      </c>
      <c r="E18083" s="50">
        <f>SUM(C18054:C18059)</f>
        <v>2.75</v>
      </c>
      <c r="F18083" s="51">
        <f>VLOOKUP(A18083,'Componentes APUs'!$A$1:$D$14,4,0)</f>
        <v>7575.757575757576</v>
      </c>
      <c r="G18083" s="51">
        <f>ROUNDUP(F18083*(E18083/21)/E18038,0)</f>
        <v>993</v>
      </c>
    </row>
    <row r="18084" spans="1:7" x14ac:dyDescent="0.25">
      <c r="A18084" s="50" t="s">
        <v>87</v>
      </c>
      <c r="B18084" s="72" t="str">
        <f>VLOOKUP(A18084,'Componentes APUs'!$A$1:$D$14,2,0)</f>
        <v>Casco dielectrico Tipo 2 Clase E con barboquejo</v>
      </c>
      <c r="C18084" s="73"/>
      <c r="D18084" s="50" t="str">
        <f>VLOOKUP(A18084,'Componentes APUs'!$A$1:$D$14,3,0)</f>
        <v>U</v>
      </c>
      <c r="E18084" s="53">
        <f>IF(A18056="MO-3",C18056,0)</f>
        <v>0</v>
      </c>
      <c r="F18084" s="51">
        <f>VLOOKUP(A18084,'Componentes APUs'!$A$1:$D$14,4,0)</f>
        <v>7500</v>
      </c>
      <c r="G18084" s="51">
        <f>ROUNDUP(F18084*(E18084/21)/E18038,0)</f>
        <v>0</v>
      </c>
    </row>
    <row r="18085" spans="1:7" x14ac:dyDescent="0.25">
      <c r="A18085" s="69" t="s">
        <v>89</v>
      </c>
      <c r="B18085" s="72" t="str">
        <f>VLOOKUP(A18085,'Componentes APUs'!$A$1:$D$14,2,0)</f>
        <v>Kit de rescate para trabajo en alturas</v>
      </c>
      <c r="C18085" s="73"/>
      <c r="D18085" s="50" t="str">
        <f>VLOOKUP(A18085,'Componentes APUs'!$A$1:$D$14,3,0)</f>
        <v>U</v>
      </c>
      <c r="E18085" s="50">
        <f>IF(AND(A18056="MO-3",C18056=2),1,0)</f>
        <v>0</v>
      </c>
      <c r="F18085" s="51">
        <f>VLOOKUP(A18085,'Componentes APUs'!$A$1:$D$14,4,0)</f>
        <v>37500</v>
      </c>
      <c r="G18085" s="51">
        <f>ROUNDUP(F18085*(E18085/21)/E18038,0)</f>
        <v>0</v>
      </c>
    </row>
    <row r="18086" spans="1:7" x14ac:dyDescent="0.25">
      <c r="A18086" s="50" t="s">
        <v>91</v>
      </c>
      <c r="B18086" s="72" t="str">
        <f>VLOOKUP(A18086,'Componentes APUs'!$A$1:$D$14,2,0)</f>
        <v>Equipo completo para trabajo en alturas con pretales (Arnes dielectrico, 1 mosqueton de seguridad, tie off dielectrico, eslinga de posicionamiento, juego de pretales)</v>
      </c>
      <c r="C18086" s="73"/>
      <c r="D18086" s="50" t="str">
        <f>VLOOKUP(A18086,'Componentes APUs'!$A$1:$D$14,3,0)</f>
        <v>U</v>
      </c>
      <c r="E18086" s="50">
        <f>IF(A18056="MO-3",C18056,0)</f>
        <v>0</v>
      </c>
      <c r="F18086" s="51">
        <f>VLOOKUP(A18086,'Componentes APUs'!$A$1:$D$14,4,0)</f>
        <v>26041.666666666668</v>
      </c>
      <c r="G18086" s="51">
        <f>ROUNDUP(F18086*(E18086/21)/E18038,0)</f>
        <v>0</v>
      </c>
    </row>
    <row r="18087" spans="1:7" x14ac:dyDescent="0.25">
      <c r="A18087" s="219" t="s">
        <v>95</v>
      </c>
      <c r="B18087" s="219"/>
      <c r="C18087" s="219"/>
      <c r="D18087" s="219"/>
      <c r="E18087" s="219"/>
      <c r="F18087" s="219"/>
      <c r="G18087" s="52">
        <f>SUM(G18074:G18086)</f>
        <v>6731</v>
      </c>
    </row>
    <row r="18088" spans="1:7" x14ac:dyDescent="0.25">
      <c r="A18088" s="56"/>
      <c r="B18088" s="57"/>
      <c r="C18088" s="57"/>
      <c r="D18088" s="57"/>
      <c r="E18088" s="57"/>
      <c r="F18088" s="57"/>
      <c r="G18088" s="58"/>
    </row>
    <row r="18089" spans="1:7" x14ac:dyDescent="0.25">
      <c r="A18089" s="219" t="s">
        <v>96</v>
      </c>
      <c r="B18089" s="219"/>
      <c r="C18089" s="219"/>
      <c r="D18089" s="219"/>
      <c r="E18089" s="219"/>
      <c r="F18089" s="219"/>
      <c r="G18089" s="219"/>
    </row>
    <row r="18090" spans="1:7" x14ac:dyDescent="0.25">
      <c r="A18090" s="49" t="s">
        <v>35</v>
      </c>
      <c r="B18090" s="225" t="s">
        <v>36</v>
      </c>
      <c r="C18090" s="225"/>
      <c r="D18090" s="49" t="s">
        <v>37</v>
      </c>
      <c r="E18090" s="49" t="s">
        <v>38</v>
      </c>
      <c r="F18090" s="49" t="s">
        <v>39</v>
      </c>
      <c r="G18090" s="49" t="s">
        <v>40</v>
      </c>
    </row>
    <row r="18091" spans="1:7" x14ac:dyDescent="0.25">
      <c r="A18091" s="69" t="s">
        <v>97</v>
      </c>
      <c r="B18091" s="72" t="str">
        <f>VLOOKUP(A18091,'Componentes APUs'!$N$1:$Q$30,2,0)</f>
        <v>Camioneta</v>
      </c>
      <c r="C18091" s="73"/>
      <c r="D18091" s="70" t="str">
        <f>VLOOKUP(A18091,'Componentes APUs'!$N$1:$Q$30,3,0)</f>
        <v>U</v>
      </c>
      <c r="E18091" s="50">
        <v>1</v>
      </c>
      <c r="F18091" s="51">
        <f>VLOOKUP(A18091,'Componentes APUs'!$N$1:$Q$30,4,0)</f>
        <v>5500000</v>
      </c>
      <c r="G18091" s="51">
        <f>IFERROR(ROUNDUP(F18091*(E18091/21)/E18038,0),0)</f>
        <v>261905</v>
      </c>
    </row>
    <row r="18092" spans="1:7" x14ac:dyDescent="0.25">
      <c r="A18092" s="50" t="s">
        <v>321</v>
      </c>
      <c r="B18092" s="72" t="str">
        <f>VLOOKUP(A18092,'Componentes APUs'!$N$1:$Q$30,2,0)</f>
        <v>Grúa Hidráulica</v>
      </c>
      <c r="C18092" s="73"/>
      <c r="D18092" s="70" t="str">
        <f>VLOOKUP(A18092,'Componentes APUs'!$N$1:$Q$30,3,0)</f>
        <v>U</v>
      </c>
      <c r="E18092" s="50">
        <v>0</v>
      </c>
      <c r="F18092" s="51">
        <f>VLOOKUP(A18092,'Componentes APUs'!$N$1:$Q$30,4,0)</f>
        <v>21000000</v>
      </c>
      <c r="G18092" s="51">
        <f>IFERROR(ROUNDUP(F18092*(E18092/21)/E18038,0),0)</f>
        <v>0</v>
      </c>
    </row>
    <row r="18093" spans="1:7" x14ac:dyDescent="0.25">
      <c r="A18093" s="69" t="s">
        <v>322</v>
      </c>
      <c r="B18093" s="72" t="str">
        <f>VLOOKUP(A18093,'Componentes APUs'!$N$1:$Q$30,2,0)</f>
        <v>Camabaja</v>
      </c>
      <c r="C18093" s="73"/>
      <c r="D18093" s="70" t="str">
        <f>VLOOKUP(A18093,'Componentes APUs'!$N$1:$Q$30,3,0)</f>
        <v>TON/KM</v>
      </c>
      <c r="E18093" s="50">
        <v>0</v>
      </c>
      <c r="F18093" s="51">
        <f>VLOOKUP(A18093,'Componentes APUs'!$N$1:$Q$30,4,0)</f>
        <v>611</v>
      </c>
      <c r="G18093" s="51">
        <f>IFERROR(ROUNDUP(F18093*(E18093/21)/E18038,0),0)</f>
        <v>0</v>
      </c>
    </row>
    <row r="18094" spans="1:7" x14ac:dyDescent="0.25">
      <c r="A18094" s="50" t="s">
        <v>323</v>
      </c>
      <c r="B18094" s="72" t="str">
        <f>VLOOKUP(A18094,'Componentes APUs'!$N$1:$Q$30,2,0)</f>
        <v>Volqueta</v>
      </c>
      <c r="C18094" s="73"/>
      <c r="D18094" s="70" t="str">
        <f>VLOOKUP(A18094,'Componentes APUs'!$N$1:$Q$30,3,0)</f>
        <v>U</v>
      </c>
      <c r="E18094" s="50">
        <v>0</v>
      </c>
      <c r="F18094" s="51">
        <f>VLOOKUP(A18094,'Componentes APUs'!$N$1:$Q$30,4,0)</f>
        <v>14828184</v>
      </c>
      <c r="G18094" s="51">
        <f>IFERROR(ROUNDUP(F18094*(E18094/21)/E18038,0),0)</f>
        <v>0</v>
      </c>
    </row>
    <row r="18095" spans="1:7" x14ac:dyDescent="0.25">
      <c r="A18095" s="69" t="s">
        <v>324</v>
      </c>
      <c r="B18095" s="72" t="str">
        <f>VLOOKUP(A18095,'Componentes APUs'!$N$1:$Q$30,2,0)</f>
        <v>Retroexcavadora</v>
      </c>
      <c r="C18095" s="73"/>
      <c r="D18095" s="70" t="str">
        <f>VLOOKUP(A18095,'Componentes APUs'!$N$1:$Q$30,3,0)</f>
        <v>U</v>
      </c>
      <c r="E18095" s="50">
        <v>0</v>
      </c>
      <c r="F18095" s="51">
        <f>VLOOKUP(A18095,'Componentes APUs'!$N$1:$Q$30,4,0)</f>
        <v>46030656</v>
      </c>
      <c r="G18095" s="51">
        <f>IFERROR(ROUNDUP(F18095*(E18095/21)/E18038,0),0)</f>
        <v>0</v>
      </c>
    </row>
    <row r="18096" spans="1:7" x14ac:dyDescent="0.25">
      <c r="A18096" s="219" t="s">
        <v>99</v>
      </c>
      <c r="B18096" s="219"/>
      <c r="C18096" s="219"/>
      <c r="D18096" s="219"/>
      <c r="E18096" s="219"/>
      <c r="F18096" s="219"/>
      <c r="G18096" s="52">
        <f>SUM(G18091:G18095)</f>
        <v>261905</v>
      </c>
    </row>
    <row r="18097" spans="1:7" x14ac:dyDescent="0.25">
      <c r="A18097" s="56"/>
      <c r="B18097" s="57"/>
      <c r="C18097" s="57"/>
      <c r="D18097" s="57"/>
      <c r="E18097" s="57"/>
      <c r="F18097" s="57"/>
      <c r="G18097" s="58"/>
    </row>
    <row r="18098" spans="1:7" x14ac:dyDescent="0.25">
      <c r="A18098" s="219" t="s">
        <v>1516</v>
      </c>
      <c r="B18098" s="219"/>
      <c r="C18098" s="219"/>
      <c r="D18098" s="219"/>
      <c r="E18098" s="219"/>
      <c r="F18098" s="219"/>
      <c r="G18098" s="52">
        <f>G18096+G18087+G18070+G18060+G18050</f>
        <v>3680196</v>
      </c>
    </row>
    <row r="18099" spans="1:7" x14ac:dyDescent="0.25">
      <c r="A18099" s="59"/>
      <c r="B18099" s="60"/>
      <c r="C18099" s="60"/>
      <c r="D18099" s="60"/>
      <c r="E18099" s="57"/>
      <c r="F18099" s="57"/>
      <c r="G18099" s="58"/>
    </row>
    <row r="18100" spans="1:7" x14ac:dyDescent="0.25">
      <c r="A18100" s="64"/>
      <c r="D18100" s="55"/>
      <c r="E18100" s="49" t="s">
        <v>25</v>
      </c>
      <c r="F18100" s="54">
        <v>0.15</v>
      </c>
      <c r="G18100" s="51">
        <f>G18098*F18100</f>
        <v>552029.4</v>
      </c>
    </row>
    <row r="18101" spans="1:7" x14ac:dyDescent="0.25">
      <c r="A18101" s="64"/>
      <c r="D18101" s="55"/>
      <c r="E18101" s="49" t="s">
        <v>26</v>
      </c>
      <c r="F18101" s="54">
        <v>0.05</v>
      </c>
      <c r="G18101" s="51">
        <f>G18098*F18101</f>
        <v>184009.80000000002</v>
      </c>
    </row>
    <row r="18102" spans="1:7" x14ac:dyDescent="0.25">
      <c r="A18102" s="61"/>
      <c r="B18102" s="65"/>
      <c r="C18102" s="65"/>
      <c r="D18102" s="62"/>
      <c r="E18102" s="49" t="s">
        <v>27</v>
      </c>
      <c r="F18102" s="54">
        <v>0.05</v>
      </c>
      <c r="G18102" s="51">
        <f>G18098*F18102</f>
        <v>184009.80000000002</v>
      </c>
    </row>
    <row r="18103" spans="1:7" x14ac:dyDescent="0.25">
      <c r="A18103" s="61"/>
      <c r="B18103" s="62"/>
      <c r="C18103" s="62"/>
      <c r="D18103" s="62"/>
      <c r="E18103" s="62"/>
      <c r="F18103" s="62"/>
      <c r="G18103" s="63"/>
    </row>
    <row r="18104" spans="1:7" x14ac:dyDescent="0.25">
      <c r="A18104" s="219" t="s">
        <v>1517</v>
      </c>
      <c r="B18104" s="219"/>
      <c r="C18104" s="219"/>
      <c r="D18104" s="219"/>
      <c r="E18104" s="219"/>
      <c r="F18104" s="219"/>
      <c r="G18104" s="52">
        <f>G18098+G18100+G18101+G18102</f>
        <v>4600245</v>
      </c>
    </row>
    <row r="18105" spans="1:7" x14ac:dyDescent="0.25">
      <c r="A18105" s="59"/>
      <c r="B18105" s="60"/>
      <c r="C18105" s="60"/>
      <c r="D18105" s="60"/>
      <c r="E18105" s="57"/>
      <c r="F18105" s="57"/>
      <c r="G18105" s="58"/>
    </row>
    <row r="18106" spans="1:7" x14ac:dyDescent="0.25">
      <c r="A18106" s="64"/>
      <c r="D18106" s="55"/>
      <c r="E18106" s="49" t="s">
        <v>102</v>
      </c>
      <c r="F18106" s="49" t="s">
        <v>103</v>
      </c>
      <c r="G18106" s="51">
        <f>G18102*19%</f>
        <v>34961.862000000001</v>
      </c>
    </row>
    <row r="18107" spans="1:7" x14ac:dyDescent="0.25">
      <c r="A18107" s="61"/>
      <c r="B18107" s="62"/>
      <c r="C18107" s="62"/>
      <c r="D18107" s="62"/>
      <c r="E18107" s="57"/>
      <c r="F18107" s="57"/>
      <c r="G18107" s="58"/>
    </row>
    <row r="18108" spans="1:7" x14ac:dyDescent="0.25">
      <c r="A18108" s="219" t="s">
        <v>104</v>
      </c>
      <c r="B18108" s="219"/>
      <c r="C18108" s="219"/>
      <c r="D18108" s="219"/>
      <c r="E18108" s="219"/>
      <c r="F18108" s="219"/>
      <c r="G18108" s="52">
        <f>G18106+G18104</f>
        <v>4635206.8619999997</v>
      </c>
    </row>
    <row r="18110" spans="1:7" x14ac:dyDescent="0.25">
      <c r="A18110" s="74" t="s">
        <v>29</v>
      </c>
      <c r="B18110" s="237" t="s">
        <v>30</v>
      </c>
      <c r="C18110" s="238"/>
      <c r="D18110" s="74" t="s">
        <v>31</v>
      </c>
      <c r="E18110" s="74" t="s">
        <v>32</v>
      </c>
      <c r="F18110" s="74" t="s">
        <v>189</v>
      </c>
      <c r="G18110" s="74" t="s">
        <v>33</v>
      </c>
    </row>
    <row r="18111" spans="1:7" ht="41.25" customHeight="1" x14ac:dyDescent="0.25">
      <c r="A18111" s="50" t="str">
        <f>Presupuesto!B421</f>
        <v>025_AUX</v>
      </c>
      <c r="B18111" s="220" t="str">
        <f>Presupuesto!C421</f>
        <v>SUMINISTRO E INSTALACIÓN DE CABLE 3x8F+1X8N+10T AWG Cu- TC-THHN - 600 V PARA TABLEROS. INCLUYE TERMINALES. (DISTRIBUCIÓN AC - RECTIFICADOR)  (+NE01) - (+NK01)</v>
      </c>
      <c r="C18111" s="239"/>
      <c r="D18111" s="50" t="s">
        <v>108</v>
      </c>
      <c r="E18111" s="50">
        <v>60</v>
      </c>
      <c r="F18111" s="50"/>
      <c r="G18111" s="51">
        <f>G18178</f>
        <v>73001.879499999995</v>
      </c>
    </row>
    <row r="18112" spans="1:7" x14ac:dyDescent="0.25">
      <c r="A18112" s="219" t="s">
        <v>34</v>
      </c>
      <c r="B18112" s="219"/>
      <c r="C18112" s="219"/>
      <c r="D18112" s="219"/>
      <c r="E18112" s="219"/>
      <c r="F18112" s="219"/>
      <c r="G18112" s="219"/>
    </row>
    <row r="18113" spans="1:7" x14ac:dyDescent="0.25">
      <c r="A18113" s="49" t="s">
        <v>35</v>
      </c>
      <c r="B18113" s="234" t="s">
        <v>36</v>
      </c>
      <c r="C18113" s="235"/>
      <c r="D18113" s="49" t="s">
        <v>37</v>
      </c>
      <c r="E18113" s="49" t="s">
        <v>38</v>
      </c>
      <c r="F18113" s="49" t="s">
        <v>39</v>
      </c>
      <c r="G18113" s="49" t="s">
        <v>40</v>
      </c>
    </row>
    <row r="18114" spans="1:7" x14ac:dyDescent="0.25">
      <c r="A18114" s="17" t="str">
        <f>Material!A275</f>
        <v>MA-274</v>
      </c>
      <c r="B18114" s="72" t="str">
        <f>IFERROR(VLOOKUP(A18114,Material!$A:$H,2,0),"-")</f>
        <v>CABLE AISLADO NO 8 AWG COBRE THHN</v>
      </c>
      <c r="C18114" s="76"/>
      <c r="D18114" s="50" t="str">
        <f>IFERROR(VLOOKUP(A18114,Material!$A:$H,4,0),"-")</f>
        <v>ML</v>
      </c>
      <c r="E18114" s="50">
        <v>4</v>
      </c>
      <c r="F18114" s="51">
        <f>IFERROR(VLOOKUP(A18114,Material!$A:$H,3,0),"-")</f>
        <v>8645</v>
      </c>
      <c r="G18114" s="51">
        <f t="shared" ref="G18114:G18119" si="251">IFERROR(ROUNDUP(F18114*E18114,0),"-")</f>
        <v>34580</v>
      </c>
    </row>
    <row r="18115" spans="1:7" x14ac:dyDescent="0.25">
      <c r="A18115" s="17" t="str">
        <f>Material!A390</f>
        <v>MA-389</v>
      </c>
      <c r="B18115" s="72" t="str">
        <f>IFERROR(VLOOKUP(A18115,Material!$A:$H,2,0),"-")</f>
        <v>CABLE AISLADO NO 10 AWG COBRE THHN</v>
      </c>
      <c r="C18115" s="76"/>
      <c r="D18115" s="50" t="str">
        <f>IFERROR(VLOOKUP(A18115,Material!$A:$H,4,0),"-")</f>
        <v>ML</v>
      </c>
      <c r="E18115" s="50">
        <v>1</v>
      </c>
      <c r="F18115" s="51">
        <f>IFERROR(VLOOKUP(A18115,Material!$A:$H,3,0),"-")</f>
        <v>5200</v>
      </c>
      <c r="G18115" s="51">
        <f t="shared" si="251"/>
        <v>5200</v>
      </c>
    </row>
    <row r="18116" spans="1:7" x14ac:dyDescent="0.25">
      <c r="A18116" s="17" t="str">
        <f>Material!A263</f>
        <v>MA-262</v>
      </c>
      <c r="B18116" s="72" t="str">
        <f>IFERROR(VLOOKUP(A18116,Material!$A:$H,2,0),"-")</f>
        <v>CONECTOR TERMINAL CU PARA CABLE 8 AWG</v>
      </c>
      <c r="C18116" s="76"/>
      <c r="D18116" s="50" t="str">
        <f>IFERROR(VLOOKUP(A18116,Material!$A:$H,4,0),"-")</f>
        <v>UN</v>
      </c>
      <c r="E18116" s="107">
        <f>4/15</f>
        <v>0.26666666666666666</v>
      </c>
      <c r="F18116" s="51">
        <f>IFERROR(VLOOKUP(A18116,Material!$A:$H,3,0),"-")</f>
        <v>1235</v>
      </c>
      <c r="G18116" s="51">
        <f t="shared" si="251"/>
        <v>330</v>
      </c>
    </row>
    <row r="18117" spans="1:7" x14ac:dyDescent="0.25">
      <c r="A18117" s="17" t="str">
        <f>Material!A276</f>
        <v>MA-275</v>
      </c>
      <c r="B18117" s="72" t="str">
        <f>IFERROR(VLOOKUP(A18117,Material!$A:$H,2,0),"-")</f>
        <v>AMARRA PLASTICA</v>
      </c>
      <c r="C18117" s="76"/>
      <c r="D18117" s="50" t="str">
        <f>IFERROR(VLOOKUP(A18117,Material!$A:$H,4,0),"-")</f>
        <v>UN</v>
      </c>
      <c r="E18117" s="50">
        <v>5</v>
      </c>
      <c r="F18117" s="51">
        <f>IFERROR(VLOOKUP(A18117,Material!$A:$H,3,0),"-")</f>
        <v>167.70000000000002</v>
      </c>
      <c r="G18117" s="51">
        <f t="shared" si="251"/>
        <v>839</v>
      </c>
    </row>
    <row r="18118" spans="1:7" x14ac:dyDescent="0.25">
      <c r="A18118" s="17" t="str">
        <f>Material!A235</f>
        <v>MA-234</v>
      </c>
      <c r="B18118" s="72" t="str">
        <f>IFERROR(VLOOKUP(A18118,Material!$A:$H,2,0),"-")</f>
        <v>CINTA AISLANTE 23</v>
      </c>
      <c r="C18118" s="76"/>
      <c r="D18118" s="50" t="str">
        <f>IFERROR(VLOOKUP(A18118,Material!$A:$H,4,0),"-")</f>
        <v>ML</v>
      </c>
      <c r="E18118" s="50">
        <v>0.04</v>
      </c>
      <c r="F18118" s="51">
        <f>IFERROR(VLOOKUP(A18118,Material!$A:$H,3,0),"-")</f>
        <v>29683.333333333332</v>
      </c>
      <c r="G18118" s="51">
        <f t="shared" si="251"/>
        <v>1188</v>
      </c>
    </row>
    <row r="18119" spans="1:7" x14ac:dyDescent="0.25">
      <c r="A18119" s="17" t="str">
        <f>Material!A236</f>
        <v>MA-235</v>
      </c>
      <c r="B18119" s="72" t="str">
        <f>IFERROR(VLOOKUP(A18119,Material!$A:$H,2,0),"-")</f>
        <v>CINTA AISLANTE 33</v>
      </c>
      <c r="C18119" s="76"/>
      <c r="D18119" s="50" t="str">
        <f>IFERROR(VLOOKUP(A18119,Material!$A:$H,4,0),"-")</f>
        <v>ML</v>
      </c>
      <c r="E18119" s="50">
        <v>0.04</v>
      </c>
      <c r="F18119" s="51">
        <f>IFERROR(VLOOKUP(A18119,Material!$A:$H,3,0),"-")</f>
        <v>1826.5</v>
      </c>
      <c r="G18119" s="51">
        <f t="shared" si="251"/>
        <v>74</v>
      </c>
    </row>
    <row r="18120" spans="1:7" x14ac:dyDescent="0.25">
      <c r="A18120" s="234" t="s">
        <v>41</v>
      </c>
      <c r="B18120" s="236"/>
      <c r="C18120" s="236"/>
      <c r="D18120" s="236"/>
      <c r="E18120" s="236"/>
      <c r="F18120" s="235"/>
      <c r="G18120" s="52">
        <f>SUM(G18114:G18119)</f>
        <v>42211</v>
      </c>
    </row>
    <row r="18121" spans="1:7" x14ac:dyDescent="0.25">
      <c r="A18121" s="56"/>
      <c r="B18121" s="57"/>
      <c r="C18121" s="57"/>
      <c r="D18121" s="57"/>
      <c r="E18121" s="57"/>
      <c r="F18121" s="57"/>
      <c r="G18121" s="58"/>
    </row>
    <row r="18122" spans="1:7" x14ac:dyDescent="0.25">
      <c r="A18122" s="219" t="s">
        <v>42</v>
      </c>
      <c r="B18122" s="219"/>
      <c r="C18122" s="219"/>
      <c r="D18122" s="219"/>
      <c r="E18122" s="219"/>
      <c r="F18122" s="219"/>
      <c r="G18122" s="219"/>
    </row>
    <row r="18123" spans="1:7" x14ac:dyDescent="0.25">
      <c r="A18123" s="49" t="s">
        <v>35</v>
      </c>
      <c r="B18123" s="49" t="s">
        <v>36</v>
      </c>
      <c r="C18123" s="49" t="s">
        <v>38</v>
      </c>
      <c r="D18123" s="49" t="s">
        <v>43</v>
      </c>
      <c r="E18123" s="49" t="s">
        <v>44</v>
      </c>
      <c r="F18123" s="49" t="s">
        <v>45</v>
      </c>
      <c r="G18123" s="49" t="s">
        <v>40</v>
      </c>
    </row>
    <row r="18124" spans="1:7" x14ac:dyDescent="0.25">
      <c r="A18124" s="50" t="s">
        <v>319</v>
      </c>
      <c r="B18124" s="68" t="str">
        <f>VLOOKUP(A18124,'Componentes APUs'!$H$1:$L$25,2,0)</f>
        <v>Ingeniero Residente de Obra</v>
      </c>
      <c r="C18124" s="93">
        <v>0.25</v>
      </c>
      <c r="D18124" s="50">
        <f>VLOOKUP(A18124,'Componentes APUs'!$H$1:$L$25,3,0)</f>
        <v>4</v>
      </c>
      <c r="E18124" s="51">
        <f>VLOOKUP(A18124,'Componentes APUs'!$H$1:$L$25,4,0)</f>
        <v>271142.85714285716</v>
      </c>
      <c r="F18124" s="51">
        <f>VLOOKUP(A18124,'Componentes APUs'!$H$1:$L$25,5,0)</f>
        <v>162685.71428571429</v>
      </c>
      <c r="G18124" s="51">
        <f>ROUNDUP((E18124+F18124)*C18124/E18111,0)</f>
        <v>1808</v>
      </c>
    </row>
    <row r="18125" spans="1:7" x14ac:dyDescent="0.25">
      <c r="A18125" s="50" t="s">
        <v>320</v>
      </c>
      <c r="B18125" s="68" t="str">
        <f>VLOOKUP(A18125,'Componentes APUs'!$H$1:$L$25,2,0)</f>
        <v>Tecnico Supervisor</v>
      </c>
      <c r="C18125" s="93">
        <v>0.25</v>
      </c>
      <c r="D18125" s="50">
        <f>VLOOKUP(A18125,'Componentes APUs'!$H$1:$L$25,3,0)</f>
        <v>2.2999999999999998</v>
      </c>
      <c r="E18125" s="51">
        <f>VLOOKUP(A18125,'Componentes APUs'!$H$1:$L$25,4,0)</f>
        <v>155907.14285714284</v>
      </c>
      <c r="F18125" s="51">
        <f>VLOOKUP(A18125,'Componentes APUs'!$H$1:$L$25,5,0)</f>
        <v>93544.285714285696</v>
      </c>
      <c r="G18125" s="51">
        <f>ROUNDUP((E18125+F18125)*C18125/E18111,0)</f>
        <v>1040</v>
      </c>
    </row>
    <row r="18126" spans="1:7" x14ac:dyDescent="0.25">
      <c r="A18126" s="50" t="s">
        <v>1160</v>
      </c>
      <c r="B18126" s="68" t="str">
        <f>VLOOKUP(A18126,'Componentes APUs'!$H$1:$L$25,2,0)</f>
        <v>Oficial Eléctrico</v>
      </c>
      <c r="C18126" s="93">
        <v>1</v>
      </c>
      <c r="D18126" s="50">
        <f>VLOOKUP(A18126,'Componentes APUs'!$H$1:$L$25,3,0)</f>
        <v>2</v>
      </c>
      <c r="E18126" s="51">
        <f>VLOOKUP(A18126,'Componentes APUs'!$H$1:$L$25,4,0)</f>
        <v>154619.04761904763</v>
      </c>
      <c r="F18126" s="51">
        <f>VLOOKUP(A18126,'Componentes APUs'!$H$1:$L$25,5,0)</f>
        <v>92771.42857142858</v>
      </c>
      <c r="G18126" s="51">
        <f>ROUNDUP((E18126+F18126)*C18126/E18111,0)</f>
        <v>4124</v>
      </c>
    </row>
    <row r="18127" spans="1:7" x14ac:dyDescent="0.25">
      <c r="A18127" s="50" t="s">
        <v>48</v>
      </c>
      <c r="B18127" s="68" t="str">
        <f>VLOOKUP(A18127,'Componentes APUs'!$H$1:$L$25,2,0)</f>
        <v>Ayudante Calificado</v>
      </c>
      <c r="C18127" s="93">
        <v>1</v>
      </c>
      <c r="D18127" s="50">
        <f>VLOOKUP(A18127,'Componentes APUs'!$H$1:$L$25,3,0)</f>
        <v>1.5</v>
      </c>
      <c r="E18127" s="51">
        <f>VLOOKUP(A18127,'Componentes APUs'!$H$1:$L$25,4,0)</f>
        <v>115964.28571428571</v>
      </c>
      <c r="F18127" s="51">
        <f>VLOOKUP(A18127,'Componentes APUs'!$H$1:$L$25,5,0)</f>
        <v>69578.57142857142</v>
      </c>
      <c r="G18127" s="51">
        <f>ROUNDUP((E18127+F18127)*C18127/E18111,0)</f>
        <v>3093</v>
      </c>
    </row>
    <row r="18128" spans="1:7" x14ac:dyDescent="0.25">
      <c r="A18128" s="50" t="s">
        <v>50</v>
      </c>
      <c r="B18128" s="68" t="str">
        <f>VLOOKUP(A18128,'Componentes APUs'!$H$1:$L$25,2,0)</f>
        <v>Profesional en SST</v>
      </c>
      <c r="C18128" s="93">
        <v>0.25</v>
      </c>
      <c r="D18128" s="50">
        <f>VLOOKUP(A18128,'Componentes APUs'!$H$1:$L$25,3,0)</f>
        <v>2.5</v>
      </c>
      <c r="E18128" s="51">
        <f>VLOOKUP(A18128,'Componentes APUs'!$H$1:$L$25,4,0)</f>
        <v>169464.28571428571</v>
      </c>
      <c r="F18128" s="51">
        <f>VLOOKUP(A18128,'Componentes APUs'!$H$1:$L$25,5,0)</f>
        <v>101678.57142857142</v>
      </c>
      <c r="G18128" s="51">
        <f>ROUNDUP((E18128+F18128)*C18128/E18111,0)</f>
        <v>1130</v>
      </c>
    </row>
    <row r="18129" spans="1:7" x14ac:dyDescent="0.25">
      <c r="A18129" s="50" t="s">
        <v>52</v>
      </c>
      <c r="B18129" s="68" t="str">
        <f>VLOOKUP(A18129,'Componentes APUs'!$H$1:$L$25,2,0)</f>
        <v>Ayudante No Calificado</v>
      </c>
      <c r="C18129" s="93">
        <v>0</v>
      </c>
      <c r="D18129" s="50">
        <f>VLOOKUP(A18129,'Componentes APUs'!$H$1:$L$25,3,0)</f>
        <v>1</v>
      </c>
      <c r="E18129" s="51">
        <f>VLOOKUP(A18129,'Componentes APUs'!$H$1:$L$25,4,0)</f>
        <v>77309.523809523816</v>
      </c>
      <c r="F18129" s="51">
        <f>VLOOKUP(A18129,'Componentes APUs'!$H$1:$L$25,5,0)</f>
        <v>46385.71428571429</v>
      </c>
      <c r="G18129" s="51">
        <f>ROUNDUP((E18129+F18129)*C18129/E18111,0)</f>
        <v>0</v>
      </c>
    </row>
    <row r="18130" spans="1:7" x14ac:dyDescent="0.25">
      <c r="A18130" s="219" t="s">
        <v>56</v>
      </c>
      <c r="B18130" s="219"/>
      <c r="C18130" s="219"/>
      <c r="D18130" s="219"/>
      <c r="E18130" s="219"/>
      <c r="F18130" s="219"/>
      <c r="G18130" s="52">
        <f>SUM(G18124:G18129)</f>
        <v>11195</v>
      </c>
    </row>
    <row r="18131" spans="1:7" x14ac:dyDescent="0.25">
      <c r="A18131" s="56"/>
      <c r="B18131" s="57"/>
      <c r="C18131" s="57"/>
      <c r="D18131" s="57"/>
      <c r="E18131" s="57"/>
      <c r="F18131" s="57"/>
      <c r="G18131" s="58"/>
    </row>
    <row r="18132" spans="1:7" x14ac:dyDescent="0.25">
      <c r="A18132" s="219" t="s">
        <v>57</v>
      </c>
      <c r="B18132" s="219"/>
      <c r="C18132" s="219"/>
      <c r="D18132" s="219"/>
      <c r="E18132" s="219"/>
      <c r="F18132" s="219"/>
      <c r="G18132" s="219"/>
    </row>
    <row r="18133" spans="1:7" x14ac:dyDescent="0.25">
      <c r="A18133" s="49" t="s">
        <v>35</v>
      </c>
      <c r="B18133" s="219" t="s">
        <v>36</v>
      </c>
      <c r="C18133" s="219"/>
      <c r="D18133" s="49" t="s">
        <v>37</v>
      </c>
      <c r="E18133" s="49" t="s">
        <v>38</v>
      </c>
      <c r="F18133" s="49" t="s">
        <v>39</v>
      </c>
      <c r="G18133" s="49" t="s">
        <v>40</v>
      </c>
    </row>
    <row r="18134" spans="1:7" x14ac:dyDescent="0.25">
      <c r="A18134" s="50" t="s">
        <v>326</v>
      </c>
      <c r="B18134" s="220" t="str">
        <f>VLOOKUP(A18134,'Componentes APUs'!$S$1:$V$10,2,0)</f>
        <v>Juego Llaves</v>
      </c>
      <c r="C18134" s="220"/>
      <c r="D18134" s="50" t="s">
        <v>18</v>
      </c>
      <c r="E18134" s="50">
        <v>1</v>
      </c>
      <c r="F18134" s="51">
        <f>VLOOKUP(A18134,'Componentes APUs'!$S$1:$V$10,4,0)</f>
        <v>9167</v>
      </c>
      <c r="G18134" s="51">
        <f>ROUNDUP(F18134*((E18134/21)/E18111),0)</f>
        <v>8</v>
      </c>
    </row>
    <row r="18135" spans="1:7" x14ac:dyDescent="0.25">
      <c r="A18135" s="50" t="s">
        <v>58</v>
      </c>
      <c r="B18135" s="220" t="str">
        <f>VLOOKUP(A18135,'Componentes APUs'!$S$1:$V$10,2,0)</f>
        <v>Manila de servicio</v>
      </c>
      <c r="C18135" s="220"/>
      <c r="D18135" s="50" t="s">
        <v>18</v>
      </c>
      <c r="E18135" s="50">
        <v>0</v>
      </c>
      <c r="F18135" s="51">
        <f>VLOOKUP(A18135,'Componentes APUs'!$S$1:$V$10,4,0)</f>
        <v>2333</v>
      </c>
      <c r="G18135" s="51">
        <f>ROUNDUP(F18135*((E18135/21)/E18111),0)</f>
        <v>0</v>
      </c>
    </row>
    <row r="18136" spans="1:7" x14ac:dyDescent="0.25">
      <c r="A18136" s="50" t="s">
        <v>327</v>
      </c>
      <c r="B18136" s="220" t="str">
        <f>VLOOKUP(A18136,'Componentes APUs'!$S$1:$V$10,2,0)</f>
        <v>Tula portaherramientas</v>
      </c>
      <c r="C18136" s="220"/>
      <c r="D18136" s="50" t="s">
        <v>18</v>
      </c>
      <c r="E18136" s="50">
        <v>1</v>
      </c>
      <c r="F18136" s="51">
        <f>VLOOKUP(A18136,'Componentes APUs'!$S$1:$V$10,4,0)</f>
        <v>1250</v>
      </c>
      <c r="G18136" s="51">
        <f>ROUNDUP(F18136*((E18136/21)/E18111),0)</f>
        <v>1</v>
      </c>
    </row>
    <row r="18137" spans="1:7" x14ac:dyDescent="0.25">
      <c r="A18137" s="50" t="s">
        <v>60</v>
      </c>
      <c r="B18137" s="220" t="str">
        <f>VLOOKUP(A18137,'Componentes APUs'!$S$1:$V$10,2,0)</f>
        <v>Agarradoras</v>
      </c>
      <c r="C18137" s="220"/>
      <c r="D18137" s="50" t="s">
        <v>18</v>
      </c>
      <c r="E18137" s="50">
        <v>0</v>
      </c>
      <c r="F18137" s="51">
        <f>VLOOKUP(A18137,'Componentes APUs'!$S$1:$V$10,4,0)</f>
        <v>125000</v>
      </c>
      <c r="G18137" s="51">
        <f>ROUNDUP(F18137*((E18137/21)/E18111),0)</f>
        <v>0</v>
      </c>
    </row>
    <row r="18138" spans="1:7" x14ac:dyDescent="0.25">
      <c r="A18138" s="50" t="s">
        <v>62</v>
      </c>
      <c r="B18138" s="220" t="str">
        <f>VLOOKUP(A18138,'Componentes APUs'!$S$1:$V$10,2,0)</f>
        <v>Templadoras</v>
      </c>
      <c r="C18138" s="220"/>
      <c r="D18138" s="50" t="s">
        <v>18</v>
      </c>
      <c r="E18138" s="50">
        <v>0</v>
      </c>
      <c r="F18138" s="51">
        <f>VLOOKUP(A18138,'Componentes APUs'!$S$1:$V$10,4,0)</f>
        <v>250000</v>
      </c>
      <c r="G18138" s="51">
        <f>ROUNDUP(F18138*((E18138/21)/E18111),0)</f>
        <v>0</v>
      </c>
    </row>
    <row r="18139" spans="1:7" x14ac:dyDescent="0.25">
      <c r="A18139" s="50" t="s">
        <v>328</v>
      </c>
      <c r="B18139" s="220" t="str">
        <f>VLOOKUP(A18139,'Componentes APUs'!$S$1:$V$10,2,0)</f>
        <v>Herramienta Menor</v>
      </c>
      <c r="C18139" s="220"/>
      <c r="D18139" s="50" t="s">
        <v>18</v>
      </c>
      <c r="E18139" s="50">
        <v>1</v>
      </c>
      <c r="F18139" s="51">
        <f>VLOOKUP(A18139,'Componentes APUs'!$S$1:$V$10,4,0)</f>
        <v>75758</v>
      </c>
      <c r="G18139" s="51">
        <f>ROUNDUP(F18139*((E18139/21)/E18111),0)</f>
        <v>61</v>
      </c>
    </row>
    <row r="18140" spans="1:7" x14ac:dyDescent="0.25">
      <c r="A18140" s="219" t="s">
        <v>69</v>
      </c>
      <c r="B18140" s="219"/>
      <c r="C18140" s="219"/>
      <c r="D18140" s="219"/>
      <c r="E18140" s="219"/>
      <c r="F18140" s="219"/>
      <c r="G18140" s="52">
        <f>SUM(G18134:G18139)</f>
        <v>70</v>
      </c>
    </row>
    <row r="18141" spans="1:7" x14ac:dyDescent="0.25">
      <c r="A18141" s="56"/>
      <c r="B18141" s="57"/>
      <c r="C18141" s="57"/>
      <c r="D18141" s="57"/>
      <c r="E18141" s="57"/>
      <c r="F18141" s="57"/>
      <c r="G18141" s="58"/>
    </row>
    <row r="18142" spans="1:7" x14ac:dyDescent="0.25">
      <c r="A18142" s="219" t="s">
        <v>70</v>
      </c>
      <c r="B18142" s="219"/>
      <c r="C18142" s="219"/>
      <c r="D18142" s="219"/>
      <c r="E18142" s="219"/>
      <c r="F18142" s="219"/>
      <c r="G18142" s="219"/>
    </row>
    <row r="18143" spans="1:7" x14ac:dyDescent="0.25">
      <c r="A18143" s="49" t="s">
        <v>35</v>
      </c>
      <c r="B18143" s="219" t="s">
        <v>36</v>
      </c>
      <c r="C18143" s="219"/>
      <c r="D18143" s="49" t="s">
        <v>37</v>
      </c>
      <c r="E18143" s="49" t="s">
        <v>38</v>
      </c>
      <c r="F18143" s="49" t="s">
        <v>39</v>
      </c>
      <c r="G18143" s="49" t="s">
        <v>40</v>
      </c>
    </row>
    <row r="18144" spans="1:7" x14ac:dyDescent="0.25">
      <c r="A18144" s="50" t="s">
        <v>71</v>
      </c>
      <c r="B18144" s="71" t="str">
        <f>VLOOKUP(A18144,'Componentes APUs'!$A$1:$D$14,2,0)</f>
        <v>Camisa indigo sin partes metalicas</v>
      </c>
      <c r="C18144" s="71"/>
      <c r="D18144" s="50" t="str">
        <f>VLOOKUP(A18144,'Componentes APUs'!$A$1:$D$14,3,0)</f>
        <v>U</v>
      </c>
      <c r="E18144" s="50">
        <f>SUM(C18124:C18129)</f>
        <v>2.75</v>
      </c>
      <c r="F18144" s="51">
        <f>VLOOKUP(A18144,'Componentes APUs'!$A$1:$D$14,4,0)</f>
        <v>8585.8585858585866</v>
      </c>
      <c r="G18144" s="51">
        <f>ROUNDUP(F18144*(E18144/21)/E18111,0)</f>
        <v>19</v>
      </c>
    </row>
    <row r="18145" spans="1:7" x14ac:dyDescent="0.25">
      <c r="A18145" s="69" t="s">
        <v>73</v>
      </c>
      <c r="B18145" s="72" t="str">
        <f>VLOOKUP(A18145,'Componentes APUs'!$A$1:$D$14,2,0)</f>
        <v>Bota de seguridad dielectrica</v>
      </c>
      <c r="C18145" s="73"/>
      <c r="D18145" s="70" t="str">
        <f>VLOOKUP(A18145,'Componentes APUs'!$A$1:$D$14,3,0)</f>
        <v>Par</v>
      </c>
      <c r="E18145" s="50">
        <f>SUM(C18124:C18129)</f>
        <v>2.75</v>
      </c>
      <c r="F18145" s="51">
        <f>VLOOKUP(A18145,'Componentes APUs'!$A$1:$D$14,4,0)</f>
        <v>7500</v>
      </c>
      <c r="G18145" s="51">
        <f>ROUNDUP(F18145*(E18145/21)/E18111,0)</f>
        <v>17</v>
      </c>
    </row>
    <row r="18146" spans="1:7" x14ac:dyDescent="0.25">
      <c r="A18146" s="50" t="s">
        <v>76</v>
      </c>
      <c r="B18146" s="72" t="str">
        <f>VLOOKUP(A18146,'Componentes APUs'!$A$1:$D$14,2,0)</f>
        <v>Casco dielectrico Tipo 1 Clase E con barbuquejo</v>
      </c>
      <c r="C18146" s="73"/>
      <c r="D18146" s="50" t="str">
        <f>VLOOKUP(A18146,'Componentes APUs'!$A$1:$D$14,3,0)</f>
        <v>U</v>
      </c>
      <c r="E18146" s="50">
        <f>C18129+C18124+C18127+C18128+C18125+IF(A18126&lt;&gt;"MO-3",C18126,0)</f>
        <v>2.75</v>
      </c>
      <c r="F18146" s="51">
        <f>VLOOKUP(A18146,'Componentes APUs'!$A$1:$D$14,4,0)</f>
        <v>10101.010101010101</v>
      </c>
      <c r="G18146" s="51">
        <f>ROUNDUP(F18146*(E18146/21)/E18111,0)</f>
        <v>23</v>
      </c>
    </row>
    <row r="18147" spans="1:7" x14ac:dyDescent="0.25">
      <c r="A18147" s="69" t="s">
        <v>77</v>
      </c>
      <c r="B18147" s="72" t="str">
        <f>VLOOKUP(A18147,'Componentes APUs'!$A$1:$D$14,2,0)</f>
        <v>Correa plastica y antiflama</v>
      </c>
      <c r="C18147" s="73"/>
      <c r="D18147" s="50" t="str">
        <f>VLOOKUP(A18147,'Componentes APUs'!$A$1:$D$14,3,0)</f>
        <v>U</v>
      </c>
      <c r="E18147" s="50">
        <f>SUM(C18124:C18129)</f>
        <v>2.75</v>
      </c>
      <c r="F18147" s="51">
        <f>VLOOKUP(A18147,'Componentes APUs'!$A$1:$D$14,4,0)</f>
        <v>3787.878787878788</v>
      </c>
      <c r="G18147" s="51">
        <f>ROUNDUP(F18147*(E18147/21)/E18111,0)</f>
        <v>9</v>
      </c>
    </row>
    <row r="18148" spans="1:7" x14ac:dyDescent="0.25">
      <c r="A18148" s="50" t="s">
        <v>79</v>
      </c>
      <c r="B18148" s="72" t="str">
        <f>VLOOKUP(A18148,'Componentes APUs'!$A$1:$D$14,2,0)</f>
        <v>Gafas protectoras filtro UV</v>
      </c>
      <c r="C18148" s="73"/>
      <c r="D18148" s="50" t="str">
        <f>VLOOKUP(A18148,'Componentes APUs'!$A$1:$D$14,3,0)</f>
        <v>U</v>
      </c>
      <c r="E18148" s="50">
        <f>SUM(C18124:C18129)</f>
        <v>2.75</v>
      </c>
      <c r="F18148" s="51">
        <f>VLOOKUP(A18148,'Componentes APUs'!$A$1:$D$14,4,0)</f>
        <v>2777.7777777777778</v>
      </c>
      <c r="G18148" s="51">
        <f>ROUNDUP(F18148*(E18148/21)/E18111,0)</f>
        <v>7</v>
      </c>
    </row>
    <row r="18149" spans="1:7" x14ac:dyDescent="0.25">
      <c r="A18149" s="69" t="s">
        <v>402</v>
      </c>
      <c r="B18149" s="72" t="str">
        <f>VLOOKUP(A18149,'Componentes APUs'!$A$1:$D$14,2,0)</f>
        <v>Bota de seguridad PVC dielectrica</v>
      </c>
      <c r="C18149" s="73"/>
      <c r="D18149" s="50" t="str">
        <f>VLOOKUP(A18149,'Componentes APUs'!$A$1:$D$14,3,0)</f>
        <v>Par</v>
      </c>
      <c r="E18149" s="50">
        <f>SUM(C18124:C18129)</f>
        <v>2.75</v>
      </c>
      <c r="F18149" s="51">
        <f>VLOOKUP(A18149,'Componentes APUs'!$A$1:$D$14,4,0)</f>
        <v>2916.6666666666665</v>
      </c>
      <c r="G18149" s="51">
        <f>ROUNDUP(F18149*(E18149/21)/E18111,0)</f>
        <v>7</v>
      </c>
    </row>
    <row r="18150" spans="1:7" x14ac:dyDescent="0.25">
      <c r="A18150" s="50" t="s">
        <v>403</v>
      </c>
      <c r="B18150" s="72" t="str">
        <f>VLOOKUP(A18150,'Componentes APUs'!$A$1:$D$14,2,0)</f>
        <v>Capuchon</v>
      </c>
      <c r="C18150" s="73"/>
      <c r="D18150" s="50" t="str">
        <f>VLOOKUP(A18150,'Componentes APUs'!$A$1:$D$14,3,0)</f>
        <v>U</v>
      </c>
      <c r="E18150" s="50">
        <f>SUM(C18124:C18129)</f>
        <v>2.75</v>
      </c>
      <c r="F18150" s="51">
        <f>VLOOKUP(A18150,'Componentes APUs'!$A$1:$D$14,4,0)</f>
        <v>2525.2525252525252</v>
      </c>
      <c r="G18150" s="51">
        <f>ROUNDUP(F18150*(E18150/21)/E18111,0)</f>
        <v>6</v>
      </c>
    </row>
    <row r="18151" spans="1:7" x14ac:dyDescent="0.25">
      <c r="A18151" s="69" t="s">
        <v>81</v>
      </c>
      <c r="B18151" s="72" t="str">
        <f>VLOOKUP(A18151,'Componentes APUs'!$A$1:$D$14,2,0)</f>
        <v>Guantes Protectores  - ingeniero reforzados</v>
      </c>
      <c r="C18151" s="73"/>
      <c r="D18151" s="50" t="str">
        <f>VLOOKUP(A18151,'Componentes APUs'!$A$1:$D$14,3,0)</f>
        <v>Par</v>
      </c>
      <c r="E18151" s="50">
        <f>C18126+C18127+C18129</f>
        <v>2</v>
      </c>
      <c r="F18151" s="51">
        <f>VLOOKUP(A18151,'Componentes APUs'!$A$1:$D$14,4,0)</f>
        <v>2525.2525252525252</v>
      </c>
      <c r="G18151" s="51">
        <f>ROUNDUP(F18151*(E18151/21)/E18111,0)</f>
        <v>5</v>
      </c>
    </row>
    <row r="18152" spans="1:7" x14ac:dyDescent="0.25">
      <c r="A18152" s="50" t="s">
        <v>83</v>
      </c>
      <c r="B18152" s="72" t="str">
        <f>VLOOKUP(A18152,'Componentes APUs'!$A$1:$D$14,2,0)</f>
        <v>Impermeable (pantalon camisa)</v>
      </c>
      <c r="C18152" s="73"/>
      <c r="D18152" s="50" t="str">
        <f>VLOOKUP(A18152,'Componentes APUs'!$A$1:$D$14,3,0)</f>
        <v>U</v>
      </c>
      <c r="E18152" s="50">
        <f>SUM(C18124:C18129)</f>
        <v>2.75</v>
      </c>
      <c r="F18152" s="51">
        <f>VLOOKUP(A18152,'Componentes APUs'!$A$1:$D$14,4,0)</f>
        <v>3750</v>
      </c>
      <c r="G18152" s="51">
        <f>ROUNDUP(F18152*(E18152/21)/E18111,0)</f>
        <v>9</v>
      </c>
    </row>
    <row r="18153" spans="1:7" x14ac:dyDescent="0.25">
      <c r="A18153" s="69" t="s">
        <v>85</v>
      </c>
      <c r="B18153" s="72" t="str">
        <f>VLOOKUP(A18153,'Componentes APUs'!$A$1:$D$14,2,0)</f>
        <v>Jean Dielectrico</v>
      </c>
      <c r="C18153" s="73"/>
      <c r="D18153" s="50" t="str">
        <f>VLOOKUP(A18153,'Componentes APUs'!$A$1:$D$14,3,0)</f>
        <v>U</v>
      </c>
      <c r="E18153" s="50">
        <f>SUM(C18124:C18129)</f>
        <v>2.75</v>
      </c>
      <c r="F18153" s="51">
        <f>VLOOKUP(A18153,'Componentes APUs'!$A$1:$D$14,4,0)</f>
        <v>7575.757575757576</v>
      </c>
      <c r="G18153" s="51">
        <f>ROUNDUP(F18153*(E18153/21)/E18111,0)</f>
        <v>17</v>
      </c>
    </row>
    <row r="18154" spans="1:7" x14ac:dyDescent="0.25">
      <c r="A18154" s="50" t="s">
        <v>87</v>
      </c>
      <c r="B18154" s="72" t="str">
        <f>VLOOKUP(A18154,'Componentes APUs'!$A$1:$D$14,2,0)</f>
        <v>Casco dielectrico Tipo 2 Clase E con barboquejo</v>
      </c>
      <c r="C18154" s="73"/>
      <c r="D18154" s="50" t="str">
        <f>VLOOKUP(A18154,'Componentes APUs'!$A$1:$D$14,3,0)</f>
        <v>U</v>
      </c>
      <c r="E18154" s="53">
        <f>IF(A18126="MO-3",C18126,0)</f>
        <v>0</v>
      </c>
      <c r="F18154" s="51">
        <f>VLOOKUP(A18154,'Componentes APUs'!$A$1:$D$14,4,0)</f>
        <v>7500</v>
      </c>
      <c r="G18154" s="51">
        <f>ROUNDUP(F18154*(E18154/21)/E18111,0)</f>
        <v>0</v>
      </c>
    </row>
    <row r="18155" spans="1:7" x14ac:dyDescent="0.25">
      <c r="A18155" s="69" t="s">
        <v>89</v>
      </c>
      <c r="B18155" s="72" t="str">
        <f>VLOOKUP(A18155,'Componentes APUs'!$A$1:$D$14,2,0)</f>
        <v>Kit de rescate para trabajo en alturas</v>
      </c>
      <c r="C18155" s="73"/>
      <c r="D18155" s="50" t="str">
        <f>VLOOKUP(A18155,'Componentes APUs'!$A$1:$D$14,3,0)</f>
        <v>U</v>
      </c>
      <c r="E18155" s="50">
        <f>IF(AND(A18126="MO-3",C18126=2),1,0)</f>
        <v>0</v>
      </c>
      <c r="F18155" s="51">
        <f>VLOOKUP(A18155,'Componentes APUs'!$A$1:$D$14,4,0)</f>
        <v>37500</v>
      </c>
      <c r="G18155" s="51">
        <f>ROUNDUP(F18155*(E18155/21)/E18111,0)</f>
        <v>0</v>
      </c>
    </row>
    <row r="18156" spans="1:7" x14ac:dyDescent="0.25">
      <c r="A18156" s="50" t="s">
        <v>91</v>
      </c>
      <c r="B18156" s="72" t="str">
        <f>VLOOKUP(A18156,'Componentes APUs'!$A$1:$D$14,2,0)</f>
        <v>Equipo completo para trabajo en alturas con pretales (Arnes dielectrico, 1 mosqueton de seguridad, tie off dielectrico, eslinga de posicionamiento, juego de pretales)</v>
      </c>
      <c r="C18156" s="73"/>
      <c r="D18156" s="50" t="str">
        <f>VLOOKUP(A18156,'Componentes APUs'!$A$1:$D$14,3,0)</f>
        <v>U</v>
      </c>
      <c r="E18156" s="50">
        <f>IF(A18126="MO-3",C18126,0)</f>
        <v>0</v>
      </c>
      <c r="F18156" s="51">
        <f>VLOOKUP(A18156,'Componentes APUs'!$A$1:$D$14,4,0)</f>
        <v>26041.666666666668</v>
      </c>
      <c r="G18156" s="51">
        <f>ROUNDUP(F18156*(E18156/21)/E18111,0)</f>
        <v>0</v>
      </c>
    </row>
    <row r="18157" spans="1:7" x14ac:dyDescent="0.25">
      <c r="A18157" s="219" t="s">
        <v>95</v>
      </c>
      <c r="B18157" s="219"/>
      <c r="C18157" s="219"/>
      <c r="D18157" s="219"/>
      <c r="E18157" s="219"/>
      <c r="F18157" s="219"/>
      <c r="G18157" s="52">
        <f>SUM(G18144:G18156)</f>
        <v>119</v>
      </c>
    </row>
    <row r="18158" spans="1:7" x14ac:dyDescent="0.25">
      <c r="A18158" s="56"/>
      <c r="B18158" s="57"/>
      <c r="C18158" s="57"/>
      <c r="D18158" s="57"/>
      <c r="E18158" s="57"/>
      <c r="F18158" s="57"/>
      <c r="G18158" s="58"/>
    </row>
    <row r="18159" spans="1:7" x14ac:dyDescent="0.25">
      <c r="A18159" s="219" t="s">
        <v>96</v>
      </c>
      <c r="B18159" s="219"/>
      <c r="C18159" s="219"/>
      <c r="D18159" s="219"/>
      <c r="E18159" s="219"/>
      <c r="F18159" s="219"/>
      <c r="G18159" s="219"/>
    </row>
    <row r="18160" spans="1:7" x14ac:dyDescent="0.25">
      <c r="A18160" s="49" t="s">
        <v>35</v>
      </c>
      <c r="B18160" s="225" t="s">
        <v>36</v>
      </c>
      <c r="C18160" s="225"/>
      <c r="D18160" s="49" t="s">
        <v>37</v>
      </c>
      <c r="E18160" s="49" t="s">
        <v>38</v>
      </c>
      <c r="F18160" s="49" t="s">
        <v>39</v>
      </c>
      <c r="G18160" s="49" t="s">
        <v>40</v>
      </c>
    </row>
    <row r="18161" spans="1:7" x14ac:dyDescent="0.25">
      <c r="A18161" s="69" t="s">
        <v>97</v>
      </c>
      <c r="B18161" s="72" t="str">
        <f>VLOOKUP(A18161,'Componentes APUs'!$N$1:$Q$30,2,0)</f>
        <v>Camioneta</v>
      </c>
      <c r="C18161" s="73"/>
      <c r="D18161" s="70" t="str">
        <f>VLOOKUP(A18161,'Componentes APUs'!$N$1:$Q$30,3,0)</f>
        <v>U</v>
      </c>
      <c r="E18161" s="50">
        <v>1</v>
      </c>
      <c r="F18161" s="51">
        <f>VLOOKUP(A18161,'Componentes APUs'!$N$1:$Q$30,4,0)</f>
        <v>5500000</v>
      </c>
      <c r="G18161" s="51">
        <f>IFERROR(ROUNDUP(F18161*(E18161/21)/E18111,0),0)</f>
        <v>4366</v>
      </c>
    </row>
    <row r="18162" spans="1:7" x14ac:dyDescent="0.25">
      <c r="A18162" s="50" t="s">
        <v>321</v>
      </c>
      <c r="B18162" s="72" t="str">
        <f>VLOOKUP(A18162,'Componentes APUs'!$N$1:$Q$30,2,0)</f>
        <v>Grúa Hidráulica</v>
      </c>
      <c r="C18162" s="73"/>
      <c r="D18162" s="70" t="str">
        <f>VLOOKUP(A18162,'Componentes APUs'!$N$1:$Q$30,3,0)</f>
        <v>U</v>
      </c>
      <c r="E18162" s="50">
        <v>0</v>
      </c>
      <c r="F18162" s="51">
        <f>VLOOKUP(A18162,'Componentes APUs'!$N$1:$Q$30,4,0)</f>
        <v>21000000</v>
      </c>
      <c r="G18162" s="51">
        <f>IFERROR(ROUNDUP(F18162*(E18162/21)/E18111,0),0)</f>
        <v>0</v>
      </c>
    </row>
    <row r="18163" spans="1:7" x14ac:dyDescent="0.25">
      <c r="A18163" s="69" t="s">
        <v>322</v>
      </c>
      <c r="B18163" s="72" t="str">
        <f>VLOOKUP(A18163,'Componentes APUs'!$N$1:$Q$30,2,0)</f>
        <v>Camabaja</v>
      </c>
      <c r="C18163" s="73"/>
      <c r="D18163" s="70" t="str">
        <f>VLOOKUP(A18163,'Componentes APUs'!$N$1:$Q$30,3,0)</f>
        <v>TON/KM</v>
      </c>
      <c r="E18163" s="50">
        <v>0</v>
      </c>
      <c r="F18163" s="51">
        <f>VLOOKUP(A18163,'Componentes APUs'!$N$1:$Q$30,4,0)</f>
        <v>611</v>
      </c>
      <c r="G18163" s="51">
        <f>IFERROR(ROUNDUP(F18163*(E18163/21)/E18111,0),0)</f>
        <v>0</v>
      </c>
    </row>
    <row r="18164" spans="1:7" x14ac:dyDescent="0.25">
      <c r="A18164" s="50" t="s">
        <v>323</v>
      </c>
      <c r="B18164" s="72" t="str">
        <f>VLOOKUP(A18164,'Componentes APUs'!$N$1:$Q$30,2,0)</f>
        <v>Volqueta</v>
      </c>
      <c r="C18164" s="73"/>
      <c r="D18164" s="70" t="str">
        <f>VLOOKUP(A18164,'Componentes APUs'!$N$1:$Q$30,3,0)</f>
        <v>U</v>
      </c>
      <c r="E18164" s="50">
        <v>0</v>
      </c>
      <c r="F18164" s="51">
        <f>VLOOKUP(A18164,'Componentes APUs'!$N$1:$Q$30,4,0)</f>
        <v>14828184</v>
      </c>
      <c r="G18164" s="51">
        <f>IFERROR(ROUNDUP(F18164*(E18164/21)/E18111,0),0)</f>
        <v>0</v>
      </c>
    </row>
    <row r="18165" spans="1:7" x14ac:dyDescent="0.25">
      <c r="A18165" s="69" t="s">
        <v>324</v>
      </c>
      <c r="B18165" s="72" t="str">
        <f>VLOOKUP(A18165,'Componentes APUs'!$N$1:$Q$30,2,0)</f>
        <v>Retroexcavadora</v>
      </c>
      <c r="C18165" s="73"/>
      <c r="D18165" s="70" t="str">
        <f>VLOOKUP(A18165,'Componentes APUs'!$N$1:$Q$30,3,0)</f>
        <v>U</v>
      </c>
      <c r="E18165" s="50">
        <v>0</v>
      </c>
      <c r="F18165" s="51">
        <f>VLOOKUP(A18165,'Componentes APUs'!$N$1:$Q$30,4,0)</f>
        <v>46030656</v>
      </c>
      <c r="G18165" s="51">
        <f>IFERROR(ROUNDUP(F18165*(E18165/21)/E18111,0),0)</f>
        <v>0</v>
      </c>
    </row>
    <row r="18166" spans="1:7" x14ac:dyDescent="0.25">
      <c r="A18166" s="219" t="s">
        <v>99</v>
      </c>
      <c r="B18166" s="219"/>
      <c r="C18166" s="219"/>
      <c r="D18166" s="219"/>
      <c r="E18166" s="219"/>
      <c r="F18166" s="219"/>
      <c r="G18166" s="52">
        <f>SUM(G18161:G18165)</f>
        <v>4366</v>
      </c>
    </row>
    <row r="18167" spans="1:7" x14ac:dyDescent="0.25">
      <c r="A18167" s="56"/>
      <c r="B18167" s="57"/>
      <c r="C18167" s="57"/>
      <c r="D18167" s="57"/>
      <c r="E18167" s="57"/>
      <c r="F18167" s="57"/>
      <c r="G18167" s="58"/>
    </row>
    <row r="18168" spans="1:7" x14ac:dyDescent="0.25">
      <c r="A18168" s="219" t="s">
        <v>1516</v>
      </c>
      <c r="B18168" s="219"/>
      <c r="C18168" s="219"/>
      <c r="D18168" s="219"/>
      <c r="E18168" s="219"/>
      <c r="F18168" s="219"/>
      <c r="G18168" s="52">
        <f>G18166+G18157+G18140+G18130+G18120</f>
        <v>57961</v>
      </c>
    </row>
    <row r="18169" spans="1:7" x14ac:dyDescent="0.25">
      <c r="A18169" s="59"/>
      <c r="B18169" s="60"/>
      <c r="C18169" s="60"/>
      <c r="D18169" s="60"/>
      <c r="E18169" s="57"/>
      <c r="F18169" s="57"/>
      <c r="G18169" s="58"/>
    </row>
    <row r="18170" spans="1:7" x14ac:dyDescent="0.25">
      <c r="A18170" s="64"/>
      <c r="D18170" s="55"/>
      <c r="E18170" s="49" t="s">
        <v>25</v>
      </c>
      <c r="F18170" s="54">
        <v>0.15</v>
      </c>
      <c r="G18170" s="51">
        <f>G18168*F18170</f>
        <v>8694.15</v>
      </c>
    </row>
    <row r="18171" spans="1:7" x14ac:dyDescent="0.25">
      <c r="A18171" s="64"/>
      <c r="D18171" s="55"/>
      <c r="E18171" s="49" t="s">
        <v>26</v>
      </c>
      <c r="F18171" s="54">
        <v>0.05</v>
      </c>
      <c r="G18171" s="51">
        <f>G18168*F18171</f>
        <v>2898.05</v>
      </c>
    </row>
    <row r="18172" spans="1:7" x14ac:dyDescent="0.25">
      <c r="A18172" s="61"/>
      <c r="B18172" s="65"/>
      <c r="C18172" s="65"/>
      <c r="D18172" s="62"/>
      <c r="E18172" s="49" t="s">
        <v>27</v>
      </c>
      <c r="F18172" s="54">
        <v>0.05</v>
      </c>
      <c r="G18172" s="51">
        <f>G18168*F18172</f>
        <v>2898.05</v>
      </c>
    </row>
    <row r="18173" spans="1:7" x14ac:dyDescent="0.25">
      <c r="A18173" s="61"/>
      <c r="B18173" s="62"/>
      <c r="C18173" s="62"/>
      <c r="D18173" s="62"/>
      <c r="E18173" s="62"/>
      <c r="F18173" s="62"/>
      <c r="G18173" s="63"/>
    </row>
    <row r="18174" spans="1:7" x14ac:dyDescent="0.25">
      <c r="A18174" s="219" t="s">
        <v>1517</v>
      </c>
      <c r="B18174" s="219"/>
      <c r="C18174" s="219"/>
      <c r="D18174" s="219"/>
      <c r="E18174" s="219"/>
      <c r="F18174" s="219"/>
      <c r="G18174" s="52">
        <f>G18168+G18170+G18171+G18172</f>
        <v>72451.25</v>
      </c>
    </row>
    <row r="18175" spans="1:7" x14ac:dyDescent="0.25">
      <c r="A18175" s="59"/>
      <c r="B18175" s="60"/>
      <c r="C18175" s="60"/>
      <c r="D18175" s="60"/>
      <c r="E18175" s="57"/>
      <c r="F18175" s="57"/>
      <c r="G18175" s="58"/>
    </row>
    <row r="18176" spans="1:7" x14ac:dyDescent="0.25">
      <c r="A18176" s="64"/>
      <c r="D18176" s="55"/>
      <c r="E18176" s="49" t="s">
        <v>102</v>
      </c>
      <c r="F18176" s="49" t="s">
        <v>103</v>
      </c>
      <c r="G18176" s="51">
        <f>G18172*19%</f>
        <v>550.62950000000001</v>
      </c>
    </row>
    <row r="18177" spans="1:8" x14ac:dyDescent="0.25">
      <c r="A18177" s="61"/>
      <c r="B18177" s="62"/>
      <c r="C18177" s="62"/>
      <c r="D18177" s="62"/>
      <c r="E18177" s="57"/>
      <c r="F18177" s="57"/>
      <c r="G18177" s="58"/>
    </row>
    <row r="18178" spans="1:8" x14ac:dyDescent="0.25">
      <c r="A18178" s="219" t="s">
        <v>104</v>
      </c>
      <c r="B18178" s="219"/>
      <c r="C18178" s="219"/>
      <c r="D18178" s="219"/>
      <c r="E18178" s="219"/>
      <c r="F18178" s="219"/>
      <c r="G18178" s="52">
        <f>G18176+G18174</f>
        <v>73001.879499999995</v>
      </c>
    </row>
    <row r="18180" spans="1:8" x14ac:dyDescent="0.25">
      <c r="A18180" s="74" t="s">
        <v>29</v>
      </c>
      <c r="B18180" s="226" t="s">
        <v>30</v>
      </c>
      <c r="C18180" s="226"/>
      <c r="D18180" s="74" t="s">
        <v>31</v>
      </c>
      <c r="E18180" s="74" t="s">
        <v>32</v>
      </c>
      <c r="F18180" s="74" t="s">
        <v>189</v>
      </c>
      <c r="G18180" s="74" t="s">
        <v>33</v>
      </c>
      <c r="H18180" s="100"/>
    </row>
    <row r="18181" spans="1:8" ht="32.25" customHeight="1" x14ac:dyDescent="0.25">
      <c r="A18181" s="50" t="str">
        <f>Presupuesto!B423</f>
        <v>026_AUX</v>
      </c>
      <c r="B18181" s="220" t="str">
        <f>Presupuesto!C423</f>
        <v>SUMINISTRO E INSTALACIÓN DE CANALIZACIÓN  EN TUBO CONDUIT METALICO GALVANIZADO EMT DE 1". INCLUYE CURVAS Y ELEMENTOS DE SUJECIÓN</v>
      </c>
      <c r="C18181" s="220"/>
      <c r="D18181" s="50" t="s">
        <v>108</v>
      </c>
      <c r="E18181" s="50">
        <v>50</v>
      </c>
      <c r="F18181" s="50"/>
      <c r="G18181" s="51">
        <f>G18248</f>
        <v>46815.614999999998</v>
      </c>
    </row>
    <row r="18182" spans="1:8" x14ac:dyDescent="0.25">
      <c r="A18182" s="219" t="s">
        <v>34</v>
      </c>
      <c r="B18182" s="219"/>
      <c r="C18182" s="219"/>
      <c r="D18182" s="219"/>
      <c r="E18182" s="219"/>
      <c r="F18182" s="219"/>
      <c r="G18182" s="219"/>
    </row>
    <row r="18183" spans="1:8" x14ac:dyDescent="0.25">
      <c r="A18183" s="49" t="s">
        <v>35</v>
      </c>
      <c r="B18183" s="219" t="s">
        <v>36</v>
      </c>
      <c r="C18183" s="219"/>
      <c r="D18183" s="49" t="s">
        <v>37</v>
      </c>
      <c r="E18183" s="49" t="s">
        <v>38</v>
      </c>
      <c r="F18183" s="49" t="s">
        <v>39</v>
      </c>
      <c r="G18183" s="49" t="s">
        <v>40</v>
      </c>
    </row>
    <row r="18184" spans="1:8" x14ac:dyDescent="0.25">
      <c r="A18184" s="17" t="str">
        <f>Material!A371</f>
        <v>MA-370</v>
      </c>
      <c r="B18184" s="72" t="str">
        <f>IFERROR(VLOOKUP(A18184,Material!$A:$H,2,0),"-")</f>
        <v>TUBO METALICO EMT CONDUIT GALVANIZADO DE 1"</v>
      </c>
      <c r="C18184" s="73"/>
      <c r="D18184" s="50" t="str">
        <f>IFERROR(VLOOKUP(A18184,Material!$A:$H,4,0),"-")</f>
        <v>ML</v>
      </c>
      <c r="E18184" s="50">
        <v>1</v>
      </c>
      <c r="F18184" s="51">
        <f>IFERROR(VLOOKUP(A18184,Material!$A:$H,3,0),"-")</f>
        <v>16748.333333333336</v>
      </c>
      <c r="G18184" s="51">
        <f t="shared" ref="G18184:G18189" si="252">IFERROR(ROUNDUP(F18184*E18184,0),"-")</f>
        <v>16749</v>
      </c>
    </row>
    <row r="18185" spans="1:8" x14ac:dyDescent="0.25">
      <c r="A18185" s="17" t="str">
        <f>Material!A374</f>
        <v>MA-373</v>
      </c>
      <c r="B18185" s="72" t="str">
        <f>IFERROR(VLOOKUP(A18185,Material!$A:$H,2,0),"-")</f>
        <v>CURVA 90 GRADOS EMT DE 1"</v>
      </c>
      <c r="C18185" s="73"/>
      <c r="D18185" s="50" t="str">
        <f>IFERROR(VLOOKUP(A18185,Material!$A:$H,4,0),"-")</f>
        <v>UN</v>
      </c>
      <c r="E18185" s="50">
        <v>0.1</v>
      </c>
      <c r="F18185" s="51">
        <f>IFERROR(VLOOKUP(A18185,Material!$A:$H,3,0),"-")</f>
        <v>4095</v>
      </c>
      <c r="G18185" s="51">
        <f t="shared" si="252"/>
        <v>410</v>
      </c>
    </row>
    <row r="18186" spans="1:8" x14ac:dyDescent="0.25">
      <c r="A18186" s="17" t="str">
        <f>Material!A373</f>
        <v>MA-372</v>
      </c>
      <c r="B18186" s="72" t="str">
        <f>IFERROR(VLOOKUP(A18186,Material!$A:$H,2,0),"-")</f>
        <v>UNION EMT DE 1 "</v>
      </c>
      <c r="C18186" s="73"/>
      <c r="D18186" s="50" t="str">
        <f>IFERROR(VLOOKUP(A18186,Material!$A:$H,4,0),"-")</f>
        <v>UN</v>
      </c>
      <c r="E18186" s="50">
        <v>0.33</v>
      </c>
      <c r="F18186" s="51">
        <f>IFERROR(VLOOKUP(A18186,Material!$A:$H,3,0),"-")</f>
        <v>1495</v>
      </c>
      <c r="G18186" s="51">
        <f t="shared" si="252"/>
        <v>494</v>
      </c>
    </row>
    <row r="18187" spans="1:8" x14ac:dyDescent="0.25">
      <c r="A18187" s="17" t="str">
        <f>Material!A372</f>
        <v>MA-371</v>
      </c>
      <c r="B18187" s="72" t="str">
        <f>IFERROR(VLOOKUP(A18187,Material!$A:$H,2,0),"-")</f>
        <v>TERMINAL-CONECTOR EMT DE 1"</v>
      </c>
      <c r="C18187" s="73"/>
      <c r="D18187" s="50" t="str">
        <f>IFERROR(VLOOKUP(A18187,Material!$A:$H,4,0),"-")</f>
        <v>UN</v>
      </c>
      <c r="E18187" s="50">
        <f>2/10</f>
        <v>0.2</v>
      </c>
      <c r="F18187" s="51">
        <f>IFERROR(VLOOKUP(A18187,Material!$A:$H,3,0),"-")</f>
        <v>2470</v>
      </c>
      <c r="G18187" s="51">
        <f t="shared" si="252"/>
        <v>494</v>
      </c>
    </row>
    <row r="18188" spans="1:8" ht="25.5" customHeight="1" x14ac:dyDescent="0.25">
      <c r="A18188" s="17" t="str">
        <f>Material!A274</f>
        <v>MA-273</v>
      </c>
      <c r="B18188" s="221" t="str">
        <f>IFERROR(VLOOKUP(A18188,Material!$A:$H,2,0),"-")</f>
        <v>ABRAZADERA GRAPA METALICA 1 PULGADA ALETA DOBLE PARA TUBERIA METALICA</v>
      </c>
      <c r="C18188" s="222"/>
      <c r="D18188" s="50" t="str">
        <f>IFERROR(VLOOKUP(A18188,Material!$A:$H,4,0),"-")</f>
        <v>UN</v>
      </c>
      <c r="E18188" s="50">
        <v>0.33</v>
      </c>
      <c r="F18188" s="51">
        <f>IFERROR(VLOOKUP(A18188,Material!$A:$H,3,0),"-")</f>
        <v>390</v>
      </c>
      <c r="G18188" s="51">
        <f t="shared" si="252"/>
        <v>129</v>
      </c>
    </row>
    <row r="18189" spans="1:8" x14ac:dyDescent="0.25">
      <c r="A18189" s="17"/>
      <c r="B18189" s="72" t="str">
        <f>IFERROR(VLOOKUP(A18189,Material!$A:$H,2,0),"-")</f>
        <v>-</v>
      </c>
      <c r="C18189" s="73"/>
      <c r="D18189" s="50" t="str">
        <f>IFERROR(VLOOKUP(A18189,Material!$A:$H,4,0),"-")</f>
        <v>-</v>
      </c>
      <c r="E18189" s="50"/>
      <c r="F18189" s="51" t="str">
        <f>IFERROR(VLOOKUP(A18189,Material!$A:$H,3,0),"-")</f>
        <v>-</v>
      </c>
      <c r="G18189" s="51" t="str">
        <f t="shared" si="252"/>
        <v>-</v>
      </c>
    </row>
    <row r="18190" spans="1:8" x14ac:dyDescent="0.25">
      <c r="A18190" s="219" t="s">
        <v>41</v>
      </c>
      <c r="B18190" s="219"/>
      <c r="C18190" s="219"/>
      <c r="D18190" s="219"/>
      <c r="E18190" s="219"/>
      <c r="F18190" s="219"/>
      <c r="G18190" s="52">
        <f>SUM(G18184:G18189)</f>
        <v>18276</v>
      </c>
    </row>
    <row r="18191" spans="1:8" x14ac:dyDescent="0.25">
      <c r="A18191" s="56"/>
      <c r="B18191" s="57"/>
      <c r="C18191" s="57"/>
      <c r="D18191" s="57"/>
      <c r="E18191" s="57"/>
      <c r="F18191" s="57"/>
      <c r="G18191" s="58"/>
    </row>
    <row r="18192" spans="1:8" x14ac:dyDescent="0.25">
      <c r="A18192" s="219" t="s">
        <v>42</v>
      </c>
      <c r="B18192" s="219"/>
      <c r="C18192" s="219"/>
      <c r="D18192" s="219"/>
      <c r="E18192" s="219"/>
      <c r="F18192" s="219"/>
      <c r="G18192" s="219"/>
    </row>
    <row r="18193" spans="1:7" x14ac:dyDescent="0.25">
      <c r="A18193" s="49" t="s">
        <v>35</v>
      </c>
      <c r="B18193" s="49" t="s">
        <v>36</v>
      </c>
      <c r="C18193" s="49" t="s">
        <v>38</v>
      </c>
      <c r="D18193" s="49" t="s">
        <v>43</v>
      </c>
      <c r="E18193" s="49" t="s">
        <v>44</v>
      </c>
      <c r="F18193" s="49" t="s">
        <v>45</v>
      </c>
      <c r="G18193" s="49" t="s">
        <v>40</v>
      </c>
    </row>
    <row r="18194" spans="1:7" x14ac:dyDescent="0.25">
      <c r="A18194" s="50" t="s">
        <v>319</v>
      </c>
      <c r="B18194" s="68" t="str">
        <f>VLOOKUP(A18194,'Componentes APUs'!$H$1:$L$25,2,0)</f>
        <v>Ingeniero Residente de Obra</v>
      </c>
      <c r="C18194" s="93">
        <v>0.25</v>
      </c>
      <c r="D18194" s="50">
        <f>VLOOKUP(A18194,'Componentes APUs'!$H$1:$L$25,3,0)</f>
        <v>4</v>
      </c>
      <c r="E18194" s="51">
        <f>VLOOKUP(A18194,'Componentes APUs'!$H$1:$L$25,4,0)</f>
        <v>271142.85714285716</v>
      </c>
      <c r="F18194" s="51">
        <f>VLOOKUP(A18194,'Componentes APUs'!$H$1:$L$25,5,0)</f>
        <v>162685.71428571429</v>
      </c>
      <c r="G18194" s="51">
        <f>ROUNDUP((E18194+F18194)*C18194/E18181,0)</f>
        <v>2170</v>
      </c>
    </row>
    <row r="18195" spans="1:7" x14ac:dyDescent="0.25">
      <c r="A18195" s="50" t="s">
        <v>320</v>
      </c>
      <c r="B18195" s="68" t="str">
        <f>VLOOKUP(A18195,'Componentes APUs'!$H$1:$L$25,2,0)</f>
        <v>Tecnico Supervisor</v>
      </c>
      <c r="C18195" s="93">
        <v>0.25</v>
      </c>
      <c r="D18195" s="50">
        <f>VLOOKUP(A18195,'Componentes APUs'!$H$1:$L$25,3,0)</f>
        <v>2.2999999999999998</v>
      </c>
      <c r="E18195" s="51">
        <f>VLOOKUP(A18195,'Componentes APUs'!$H$1:$L$25,4,0)</f>
        <v>155907.14285714284</v>
      </c>
      <c r="F18195" s="51">
        <f>VLOOKUP(A18195,'Componentes APUs'!$H$1:$L$25,5,0)</f>
        <v>93544.285714285696</v>
      </c>
      <c r="G18195" s="51">
        <f>ROUNDUP((E18195+F18195)*C18195/E18181,0)</f>
        <v>1248</v>
      </c>
    </row>
    <row r="18196" spans="1:7" x14ac:dyDescent="0.25">
      <c r="A18196" s="50" t="s">
        <v>1160</v>
      </c>
      <c r="B18196" s="68" t="str">
        <f>VLOOKUP(A18196,'Componentes APUs'!$H$1:$L$25,2,0)</f>
        <v>Oficial Eléctrico</v>
      </c>
      <c r="C18196" s="93">
        <v>1</v>
      </c>
      <c r="D18196" s="50">
        <f>VLOOKUP(A18196,'Componentes APUs'!$H$1:$L$25,3,0)</f>
        <v>2</v>
      </c>
      <c r="E18196" s="51">
        <f>VLOOKUP(A18196,'Componentes APUs'!$H$1:$L$25,4,0)</f>
        <v>154619.04761904763</v>
      </c>
      <c r="F18196" s="51">
        <f>VLOOKUP(A18196,'Componentes APUs'!$H$1:$L$25,5,0)</f>
        <v>92771.42857142858</v>
      </c>
      <c r="G18196" s="51">
        <f>ROUNDUP((E18196+F18196)*C18196/E18181,0)</f>
        <v>4948</v>
      </c>
    </row>
    <row r="18197" spans="1:7" x14ac:dyDescent="0.25">
      <c r="A18197" s="50" t="s">
        <v>48</v>
      </c>
      <c r="B18197" s="68" t="str">
        <f>VLOOKUP(A18197,'Componentes APUs'!$H$1:$L$25,2,0)</f>
        <v>Ayudante Calificado</v>
      </c>
      <c r="C18197" s="93">
        <v>1</v>
      </c>
      <c r="D18197" s="50">
        <f>VLOOKUP(A18197,'Componentes APUs'!$H$1:$L$25,3,0)</f>
        <v>1.5</v>
      </c>
      <c r="E18197" s="51">
        <f>VLOOKUP(A18197,'Componentes APUs'!$H$1:$L$25,4,0)</f>
        <v>115964.28571428571</v>
      </c>
      <c r="F18197" s="51">
        <f>VLOOKUP(A18197,'Componentes APUs'!$H$1:$L$25,5,0)</f>
        <v>69578.57142857142</v>
      </c>
      <c r="G18197" s="51">
        <f>ROUNDUP((E18197+F18197)*C18197/E18181,0)</f>
        <v>3711</v>
      </c>
    </row>
    <row r="18198" spans="1:7" x14ac:dyDescent="0.25">
      <c r="A18198" s="50" t="s">
        <v>50</v>
      </c>
      <c r="B18198" s="68" t="str">
        <f>VLOOKUP(A18198,'Componentes APUs'!$H$1:$L$25,2,0)</f>
        <v>Profesional en SST</v>
      </c>
      <c r="C18198" s="93">
        <v>0.25</v>
      </c>
      <c r="D18198" s="50">
        <f>VLOOKUP(A18198,'Componentes APUs'!$H$1:$L$25,3,0)</f>
        <v>2.5</v>
      </c>
      <c r="E18198" s="51">
        <f>VLOOKUP(A18198,'Componentes APUs'!$H$1:$L$25,4,0)</f>
        <v>169464.28571428571</v>
      </c>
      <c r="F18198" s="51">
        <f>VLOOKUP(A18198,'Componentes APUs'!$H$1:$L$25,5,0)</f>
        <v>101678.57142857142</v>
      </c>
      <c r="G18198" s="51">
        <f>ROUNDUP((E18198+F18198)*C18198/E18181,0)</f>
        <v>1356</v>
      </c>
    </row>
    <row r="18199" spans="1:7" x14ac:dyDescent="0.25">
      <c r="A18199" s="50" t="s">
        <v>52</v>
      </c>
      <c r="B18199" s="68" t="str">
        <f>VLOOKUP(A18199,'Componentes APUs'!$H$1:$L$25,2,0)</f>
        <v>Ayudante No Calificado</v>
      </c>
      <c r="C18199" s="93">
        <v>0</v>
      </c>
      <c r="D18199" s="50">
        <f>VLOOKUP(A18199,'Componentes APUs'!$H$1:$L$25,3,0)</f>
        <v>1</v>
      </c>
      <c r="E18199" s="51">
        <f>VLOOKUP(A18199,'Componentes APUs'!$H$1:$L$25,4,0)</f>
        <v>77309.523809523816</v>
      </c>
      <c r="F18199" s="51">
        <f>VLOOKUP(A18199,'Componentes APUs'!$H$1:$L$25,5,0)</f>
        <v>46385.71428571429</v>
      </c>
      <c r="G18199" s="51">
        <f>ROUNDUP((E18199+F18199)*C18199/E18181,0)</f>
        <v>0</v>
      </c>
    </row>
    <row r="18200" spans="1:7" x14ac:dyDescent="0.25">
      <c r="A18200" s="219" t="s">
        <v>56</v>
      </c>
      <c r="B18200" s="219"/>
      <c r="C18200" s="219"/>
      <c r="D18200" s="219"/>
      <c r="E18200" s="219"/>
      <c r="F18200" s="219"/>
      <c r="G18200" s="52">
        <f>SUM(G18194:G18199)</f>
        <v>13433</v>
      </c>
    </row>
    <row r="18201" spans="1:7" x14ac:dyDescent="0.25">
      <c r="A18201" s="56"/>
      <c r="B18201" s="57"/>
      <c r="C18201" s="57"/>
      <c r="D18201" s="57"/>
      <c r="E18201" s="57"/>
      <c r="F18201" s="57"/>
      <c r="G18201" s="58"/>
    </row>
    <row r="18202" spans="1:7" x14ac:dyDescent="0.25">
      <c r="A18202" s="219" t="s">
        <v>57</v>
      </c>
      <c r="B18202" s="219"/>
      <c r="C18202" s="219"/>
      <c r="D18202" s="219"/>
      <c r="E18202" s="219"/>
      <c r="F18202" s="219"/>
      <c r="G18202" s="219"/>
    </row>
    <row r="18203" spans="1:7" x14ac:dyDescent="0.25">
      <c r="A18203" s="49" t="s">
        <v>35</v>
      </c>
      <c r="B18203" s="219" t="s">
        <v>36</v>
      </c>
      <c r="C18203" s="219"/>
      <c r="D18203" s="49" t="s">
        <v>37</v>
      </c>
      <c r="E18203" s="49" t="s">
        <v>38</v>
      </c>
      <c r="F18203" s="49" t="s">
        <v>39</v>
      </c>
      <c r="G18203" s="49" t="s">
        <v>40</v>
      </c>
    </row>
    <row r="18204" spans="1:7" x14ac:dyDescent="0.25">
      <c r="A18204" s="50" t="s">
        <v>326</v>
      </c>
      <c r="B18204" s="220" t="str">
        <f>VLOOKUP(A18204,'Componentes APUs'!$S$1:$V$10,2,0)</f>
        <v>Juego Llaves</v>
      </c>
      <c r="C18204" s="220"/>
      <c r="D18204" s="50" t="s">
        <v>18</v>
      </c>
      <c r="E18204" s="50">
        <v>1</v>
      </c>
      <c r="F18204" s="51">
        <f>VLOOKUP(A18204,'Componentes APUs'!$S$1:$V$10,4,0)</f>
        <v>9167</v>
      </c>
      <c r="G18204" s="51">
        <f>ROUNDUP(F18204*((E18204/21)/E18181),0)</f>
        <v>9</v>
      </c>
    </row>
    <row r="18205" spans="1:7" x14ac:dyDescent="0.25">
      <c r="A18205" s="50" t="s">
        <v>58</v>
      </c>
      <c r="B18205" s="220" t="str">
        <f>VLOOKUP(A18205,'Componentes APUs'!$S$1:$V$10,2,0)</f>
        <v>Manila de servicio</v>
      </c>
      <c r="C18205" s="220"/>
      <c r="D18205" s="50" t="s">
        <v>18</v>
      </c>
      <c r="E18205" s="50">
        <v>0</v>
      </c>
      <c r="F18205" s="51">
        <f>VLOOKUP(A18205,'Componentes APUs'!$S$1:$V$10,4,0)</f>
        <v>2333</v>
      </c>
      <c r="G18205" s="51">
        <f>ROUNDUP(F18205*((E18205/21)/E18181),0)</f>
        <v>0</v>
      </c>
    </row>
    <row r="18206" spans="1:7" x14ac:dyDescent="0.25">
      <c r="A18206" s="50" t="s">
        <v>327</v>
      </c>
      <c r="B18206" s="220" t="str">
        <f>VLOOKUP(A18206,'Componentes APUs'!$S$1:$V$10,2,0)</f>
        <v>Tula portaherramientas</v>
      </c>
      <c r="C18206" s="220"/>
      <c r="D18206" s="50" t="s">
        <v>18</v>
      </c>
      <c r="E18206" s="50">
        <v>1</v>
      </c>
      <c r="F18206" s="51">
        <f>VLOOKUP(A18206,'Componentes APUs'!$S$1:$V$10,4,0)</f>
        <v>1250</v>
      </c>
      <c r="G18206" s="51">
        <f>ROUNDUP(F18206*((E18206/21)/E18181),0)</f>
        <v>2</v>
      </c>
    </row>
    <row r="18207" spans="1:7" x14ac:dyDescent="0.25">
      <c r="A18207" s="50" t="s">
        <v>60</v>
      </c>
      <c r="B18207" s="220" t="str">
        <f>VLOOKUP(A18207,'Componentes APUs'!$S$1:$V$10,2,0)</f>
        <v>Agarradoras</v>
      </c>
      <c r="C18207" s="220"/>
      <c r="D18207" s="50" t="s">
        <v>18</v>
      </c>
      <c r="E18207" s="50">
        <v>0</v>
      </c>
      <c r="F18207" s="51">
        <f>VLOOKUP(A18207,'Componentes APUs'!$S$1:$V$10,4,0)</f>
        <v>125000</v>
      </c>
      <c r="G18207" s="51">
        <f>ROUNDUP(F18207*((E18207/21)/E18181),0)</f>
        <v>0</v>
      </c>
    </row>
    <row r="18208" spans="1:7" x14ac:dyDescent="0.25">
      <c r="A18208" s="50" t="s">
        <v>62</v>
      </c>
      <c r="B18208" s="220" t="str">
        <f>VLOOKUP(A18208,'Componentes APUs'!$S$1:$V$10,2,0)</f>
        <v>Templadoras</v>
      </c>
      <c r="C18208" s="220"/>
      <c r="D18208" s="50" t="s">
        <v>18</v>
      </c>
      <c r="E18208" s="50">
        <v>0</v>
      </c>
      <c r="F18208" s="51">
        <f>VLOOKUP(A18208,'Componentes APUs'!$S$1:$V$10,4,0)</f>
        <v>250000</v>
      </c>
      <c r="G18208" s="51">
        <f>ROUNDUP(F18208*((E18208/21)/E18181),0)</f>
        <v>0</v>
      </c>
    </row>
    <row r="18209" spans="1:7" x14ac:dyDescent="0.25">
      <c r="A18209" s="50" t="s">
        <v>328</v>
      </c>
      <c r="B18209" s="220" t="str">
        <f>VLOOKUP(A18209,'Componentes APUs'!$S$1:$V$10,2,0)</f>
        <v>Herramienta Menor</v>
      </c>
      <c r="C18209" s="220"/>
      <c r="D18209" s="50" t="s">
        <v>18</v>
      </c>
      <c r="E18209" s="50">
        <v>1</v>
      </c>
      <c r="F18209" s="51">
        <f>VLOOKUP(A18209,'Componentes APUs'!$S$1:$V$10,4,0)</f>
        <v>75758</v>
      </c>
      <c r="G18209" s="51">
        <f>ROUNDUP(F18209*((E18209/21)/E18181),0)</f>
        <v>73</v>
      </c>
    </row>
    <row r="18210" spans="1:7" x14ac:dyDescent="0.25">
      <c r="A18210" s="219" t="s">
        <v>69</v>
      </c>
      <c r="B18210" s="219"/>
      <c r="C18210" s="219"/>
      <c r="D18210" s="219"/>
      <c r="E18210" s="219"/>
      <c r="F18210" s="219"/>
      <c r="G18210" s="52">
        <f>SUM(G18204:G18209)</f>
        <v>84</v>
      </c>
    </row>
    <row r="18211" spans="1:7" x14ac:dyDescent="0.25">
      <c r="A18211" s="56"/>
      <c r="B18211" s="57"/>
      <c r="C18211" s="57"/>
      <c r="D18211" s="57"/>
      <c r="E18211" s="57"/>
      <c r="F18211" s="57"/>
      <c r="G18211" s="58"/>
    </row>
    <row r="18212" spans="1:7" x14ac:dyDescent="0.25">
      <c r="A18212" s="219" t="s">
        <v>70</v>
      </c>
      <c r="B18212" s="219"/>
      <c r="C18212" s="219"/>
      <c r="D18212" s="219"/>
      <c r="E18212" s="219"/>
      <c r="F18212" s="219"/>
      <c r="G18212" s="219"/>
    </row>
    <row r="18213" spans="1:7" x14ac:dyDescent="0.25">
      <c r="A18213" s="49" t="s">
        <v>35</v>
      </c>
      <c r="B18213" s="219" t="s">
        <v>36</v>
      </c>
      <c r="C18213" s="219"/>
      <c r="D18213" s="49" t="s">
        <v>37</v>
      </c>
      <c r="E18213" s="49" t="s">
        <v>38</v>
      </c>
      <c r="F18213" s="49" t="s">
        <v>39</v>
      </c>
      <c r="G18213" s="49" t="s">
        <v>40</v>
      </c>
    </row>
    <row r="18214" spans="1:7" x14ac:dyDescent="0.25">
      <c r="A18214" s="50" t="s">
        <v>71</v>
      </c>
      <c r="B18214" s="71" t="str">
        <f>VLOOKUP(A18214,'Componentes APUs'!$A$1:$D$14,2,0)</f>
        <v>Camisa indigo sin partes metalicas</v>
      </c>
      <c r="C18214" s="71"/>
      <c r="D18214" s="50" t="str">
        <f>VLOOKUP(A18214,'Componentes APUs'!$A$1:$D$14,3,0)</f>
        <v>U</v>
      </c>
      <c r="E18214" s="50">
        <f>SUM(C18194:C18199)</f>
        <v>2.75</v>
      </c>
      <c r="F18214" s="51">
        <f>VLOOKUP(A18214,'Componentes APUs'!$A$1:$D$14,4,0)</f>
        <v>8585.8585858585866</v>
      </c>
      <c r="G18214" s="51">
        <f>ROUNDUP(F18214*(E18214/21)/E18181,0)</f>
        <v>23</v>
      </c>
    </row>
    <row r="18215" spans="1:7" x14ac:dyDescent="0.25">
      <c r="A18215" s="69" t="s">
        <v>73</v>
      </c>
      <c r="B18215" s="72" t="str">
        <f>VLOOKUP(A18215,'Componentes APUs'!$A$1:$D$14,2,0)</f>
        <v>Bota de seguridad dielectrica</v>
      </c>
      <c r="C18215" s="73"/>
      <c r="D18215" s="70" t="str">
        <f>VLOOKUP(A18215,'Componentes APUs'!$A$1:$D$14,3,0)</f>
        <v>Par</v>
      </c>
      <c r="E18215" s="50">
        <f>SUM(C18194:C18199)</f>
        <v>2.75</v>
      </c>
      <c r="F18215" s="51">
        <f>VLOOKUP(A18215,'Componentes APUs'!$A$1:$D$14,4,0)</f>
        <v>7500</v>
      </c>
      <c r="G18215" s="51">
        <f>ROUNDUP(F18215*(E18215/21)/E18181,0)</f>
        <v>20</v>
      </c>
    </row>
    <row r="18216" spans="1:7" x14ac:dyDescent="0.25">
      <c r="A18216" s="50" t="s">
        <v>76</v>
      </c>
      <c r="B18216" s="72" t="str">
        <f>VLOOKUP(A18216,'Componentes APUs'!$A$1:$D$14,2,0)</f>
        <v>Casco dielectrico Tipo 1 Clase E con barbuquejo</v>
      </c>
      <c r="C18216" s="73"/>
      <c r="D18216" s="50" t="str">
        <f>VLOOKUP(A18216,'Componentes APUs'!$A$1:$D$14,3,0)</f>
        <v>U</v>
      </c>
      <c r="E18216" s="50">
        <f>C18199+C18194+C18197+C18198+C18195+IF(A18196&lt;&gt;"MO-3",C18196,0)</f>
        <v>2.75</v>
      </c>
      <c r="F18216" s="51">
        <f>VLOOKUP(A18216,'Componentes APUs'!$A$1:$D$14,4,0)</f>
        <v>10101.010101010101</v>
      </c>
      <c r="G18216" s="51">
        <f>ROUNDUP(F18216*(E18216/21)/E18181,0)</f>
        <v>27</v>
      </c>
    </row>
    <row r="18217" spans="1:7" x14ac:dyDescent="0.25">
      <c r="A18217" s="69" t="s">
        <v>77</v>
      </c>
      <c r="B18217" s="72" t="str">
        <f>VLOOKUP(A18217,'Componentes APUs'!$A$1:$D$14,2,0)</f>
        <v>Correa plastica y antiflama</v>
      </c>
      <c r="C18217" s="73"/>
      <c r="D18217" s="50" t="str">
        <f>VLOOKUP(A18217,'Componentes APUs'!$A$1:$D$14,3,0)</f>
        <v>U</v>
      </c>
      <c r="E18217" s="50">
        <f>SUM(C18194:C18199)</f>
        <v>2.75</v>
      </c>
      <c r="F18217" s="51">
        <f>VLOOKUP(A18217,'Componentes APUs'!$A$1:$D$14,4,0)</f>
        <v>3787.878787878788</v>
      </c>
      <c r="G18217" s="51">
        <f>ROUNDUP(F18217*(E18217/21)/E18181,0)</f>
        <v>10</v>
      </c>
    </row>
    <row r="18218" spans="1:7" x14ac:dyDescent="0.25">
      <c r="A18218" s="50" t="s">
        <v>79</v>
      </c>
      <c r="B18218" s="72" t="str">
        <f>VLOOKUP(A18218,'Componentes APUs'!$A$1:$D$14,2,0)</f>
        <v>Gafas protectoras filtro UV</v>
      </c>
      <c r="C18218" s="73"/>
      <c r="D18218" s="50" t="str">
        <f>VLOOKUP(A18218,'Componentes APUs'!$A$1:$D$14,3,0)</f>
        <v>U</v>
      </c>
      <c r="E18218" s="50">
        <f>SUM(C18194:C18199)</f>
        <v>2.75</v>
      </c>
      <c r="F18218" s="51">
        <f>VLOOKUP(A18218,'Componentes APUs'!$A$1:$D$14,4,0)</f>
        <v>2777.7777777777778</v>
      </c>
      <c r="G18218" s="51">
        <f>ROUNDUP(F18218*(E18218/21)/E18181,0)</f>
        <v>8</v>
      </c>
    </row>
    <row r="18219" spans="1:7" x14ac:dyDescent="0.25">
      <c r="A18219" s="69" t="s">
        <v>402</v>
      </c>
      <c r="B18219" s="72" t="str">
        <f>VLOOKUP(A18219,'Componentes APUs'!$A$1:$D$14,2,0)</f>
        <v>Bota de seguridad PVC dielectrica</v>
      </c>
      <c r="C18219" s="73"/>
      <c r="D18219" s="50" t="str">
        <f>VLOOKUP(A18219,'Componentes APUs'!$A$1:$D$14,3,0)</f>
        <v>Par</v>
      </c>
      <c r="E18219" s="50">
        <f>SUM(C18194:C18199)</f>
        <v>2.75</v>
      </c>
      <c r="F18219" s="51">
        <f>VLOOKUP(A18219,'Componentes APUs'!$A$1:$D$14,4,0)</f>
        <v>2916.6666666666665</v>
      </c>
      <c r="G18219" s="51">
        <f>ROUNDUP(F18219*(E18219/21)/E18181,0)</f>
        <v>8</v>
      </c>
    </row>
    <row r="18220" spans="1:7" x14ac:dyDescent="0.25">
      <c r="A18220" s="50" t="s">
        <v>403</v>
      </c>
      <c r="B18220" s="72" t="str">
        <f>VLOOKUP(A18220,'Componentes APUs'!$A$1:$D$14,2,0)</f>
        <v>Capuchon</v>
      </c>
      <c r="C18220" s="73"/>
      <c r="D18220" s="50" t="str">
        <f>VLOOKUP(A18220,'Componentes APUs'!$A$1:$D$14,3,0)</f>
        <v>U</v>
      </c>
      <c r="E18220" s="50">
        <f>SUM(C18194:C18199)</f>
        <v>2.75</v>
      </c>
      <c r="F18220" s="51">
        <f>VLOOKUP(A18220,'Componentes APUs'!$A$1:$D$14,4,0)</f>
        <v>2525.2525252525252</v>
      </c>
      <c r="G18220" s="51">
        <f>ROUNDUP(F18220*(E18220/21)/E18181,0)</f>
        <v>7</v>
      </c>
    </row>
    <row r="18221" spans="1:7" x14ac:dyDescent="0.25">
      <c r="A18221" s="69" t="s">
        <v>81</v>
      </c>
      <c r="B18221" s="72" t="str">
        <f>VLOOKUP(A18221,'Componentes APUs'!$A$1:$D$14,2,0)</f>
        <v>Guantes Protectores  - ingeniero reforzados</v>
      </c>
      <c r="C18221" s="73"/>
      <c r="D18221" s="50" t="str">
        <f>VLOOKUP(A18221,'Componentes APUs'!$A$1:$D$14,3,0)</f>
        <v>Par</v>
      </c>
      <c r="E18221" s="50">
        <f>C18196+C18197+C18199</f>
        <v>2</v>
      </c>
      <c r="F18221" s="51">
        <f>VLOOKUP(A18221,'Componentes APUs'!$A$1:$D$14,4,0)</f>
        <v>2525.2525252525252</v>
      </c>
      <c r="G18221" s="51">
        <f>ROUNDUP(F18221*(E18221/21)/E18181,0)</f>
        <v>5</v>
      </c>
    </row>
    <row r="18222" spans="1:7" x14ac:dyDescent="0.25">
      <c r="A18222" s="50" t="s">
        <v>83</v>
      </c>
      <c r="B18222" s="72" t="str">
        <f>VLOOKUP(A18222,'Componentes APUs'!$A$1:$D$14,2,0)</f>
        <v>Impermeable (pantalon camisa)</v>
      </c>
      <c r="C18222" s="73"/>
      <c r="D18222" s="50" t="str">
        <f>VLOOKUP(A18222,'Componentes APUs'!$A$1:$D$14,3,0)</f>
        <v>U</v>
      </c>
      <c r="E18222" s="50">
        <f>SUM(C18194:C18199)</f>
        <v>2.75</v>
      </c>
      <c r="F18222" s="51">
        <f>VLOOKUP(A18222,'Componentes APUs'!$A$1:$D$14,4,0)</f>
        <v>3750</v>
      </c>
      <c r="G18222" s="51">
        <f>ROUNDUP(F18222*(E18222/21)/E18181,0)</f>
        <v>10</v>
      </c>
    </row>
    <row r="18223" spans="1:7" x14ac:dyDescent="0.25">
      <c r="A18223" s="69" t="s">
        <v>85</v>
      </c>
      <c r="B18223" s="72" t="str">
        <f>VLOOKUP(A18223,'Componentes APUs'!$A$1:$D$14,2,0)</f>
        <v>Jean Dielectrico</v>
      </c>
      <c r="C18223" s="73"/>
      <c r="D18223" s="50" t="str">
        <f>VLOOKUP(A18223,'Componentes APUs'!$A$1:$D$14,3,0)</f>
        <v>U</v>
      </c>
      <c r="E18223" s="50">
        <f>SUM(C18194:C18199)</f>
        <v>2.75</v>
      </c>
      <c r="F18223" s="51">
        <f>VLOOKUP(A18223,'Componentes APUs'!$A$1:$D$14,4,0)</f>
        <v>7575.757575757576</v>
      </c>
      <c r="G18223" s="51">
        <f>ROUNDUP(F18223*(E18223/21)/E18181,0)</f>
        <v>20</v>
      </c>
    </row>
    <row r="18224" spans="1:7" x14ac:dyDescent="0.25">
      <c r="A18224" s="50" t="s">
        <v>87</v>
      </c>
      <c r="B18224" s="72" t="str">
        <f>VLOOKUP(A18224,'Componentes APUs'!$A$1:$D$14,2,0)</f>
        <v>Casco dielectrico Tipo 2 Clase E con barboquejo</v>
      </c>
      <c r="C18224" s="73"/>
      <c r="D18224" s="50" t="str">
        <f>VLOOKUP(A18224,'Componentes APUs'!$A$1:$D$14,3,0)</f>
        <v>U</v>
      </c>
      <c r="E18224" s="53">
        <f>IF(A18196="MO-3",C18196,0)</f>
        <v>0</v>
      </c>
      <c r="F18224" s="51">
        <f>VLOOKUP(A18224,'Componentes APUs'!$A$1:$D$14,4,0)</f>
        <v>7500</v>
      </c>
      <c r="G18224" s="51">
        <f>ROUNDUP(F18224*(E18224/21)/E18181,0)</f>
        <v>0</v>
      </c>
    </row>
    <row r="18225" spans="1:7" x14ac:dyDescent="0.25">
      <c r="A18225" s="69" t="s">
        <v>89</v>
      </c>
      <c r="B18225" s="72" t="str">
        <f>VLOOKUP(A18225,'Componentes APUs'!$A$1:$D$14,2,0)</f>
        <v>Kit de rescate para trabajo en alturas</v>
      </c>
      <c r="C18225" s="73"/>
      <c r="D18225" s="50" t="str">
        <f>VLOOKUP(A18225,'Componentes APUs'!$A$1:$D$14,3,0)</f>
        <v>U</v>
      </c>
      <c r="E18225" s="50">
        <f>IF(AND(A18196="MO-3",C18196=2),1,0)</f>
        <v>0</v>
      </c>
      <c r="F18225" s="51">
        <f>VLOOKUP(A18225,'Componentes APUs'!$A$1:$D$14,4,0)</f>
        <v>37500</v>
      </c>
      <c r="G18225" s="51">
        <f>ROUNDUP(F18225*(E18225/21)/E18181,0)</f>
        <v>0</v>
      </c>
    </row>
    <row r="18226" spans="1:7" x14ac:dyDescent="0.25">
      <c r="A18226" s="50" t="s">
        <v>91</v>
      </c>
      <c r="B18226" s="72" t="str">
        <f>VLOOKUP(A18226,'Componentes APUs'!$A$1:$D$14,2,0)</f>
        <v>Equipo completo para trabajo en alturas con pretales (Arnes dielectrico, 1 mosqueton de seguridad, tie off dielectrico, eslinga de posicionamiento, juego de pretales)</v>
      </c>
      <c r="C18226" s="73"/>
      <c r="D18226" s="50" t="str">
        <f>VLOOKUP(A18226,'Componentes APUs'!$A$1:$D$14,3,0)</f>
        <v>U</v>
      </c>
      <c r="E18226" s="50">
        <f>IF(A18196="MO-3",C18196,0)</f>
        <v>0</v>
      </c>
      <c r="F18226" s="51">
        <f>VLOOKUP(A18226,'Componentes APUs'!$A$1:$D$14,4,0)</f>
        <v>26041.666666666668</v>
      </c>
      <c r="G18226" s="51">
        <f>ROUNDUP(F18226*(E18226/21)/E18181,0)</f>
        <v>0</v>
      </c>
    </row>
    <row r="18227" spans="1:7" x14ac:dyDescent="0.25">
      <c r="A18227" s="219" t="s">
        <v>95</v>
      </c>
      <c r="B18227" s="219"/>
      <c r="C18227" s="219"/>
      <c r="D18227" s="219"/>
      <c r="E18227" s="219"/>
      <c r="F18227" s="219"/>
      <c r="G18227" s="52">
        <f>SUM(G18214:G18226)</f>
        <v>138</v>
      </c>
    </row>
    <row r="18228" spans="1:7" x14ac:dyDescent="0.25">
      <c r="A18228" s="56"/>
      <c r="B18228" s="57"/>
      <c r="C18228" s="57"/>
      <c r="D18228" s="57"/>
      <c r="E18228" s="57"/>
      <c r="F18228" s="57"/>
      <c r="G18228" s="58"/>
    </row>
    <row r="18229" spans="1:7" x14ac:dyDescent="0.25">
      <c r="A18229" s="219" t="s">
        <v>96</v>
      </c>
      <c r="B18229" s="219"/>
      <c r="C18229" s="219"/>
      <c r="D18229" s="219"/>
      <c r="E18229" s="219"/>
      <c r="F18229" s="219"/>
      <c r="G18229" s="219"/>
    </row>
    <row r="18230" spans="1:7" x14ac:dyDescent="0.25">
      <c r="A18230" s="49" t="s">
        <v>35</v>
      </c>
      <c r="B18230" s="225" t="s">
        <v>36</v>
      </c>
      <c r="C18230" s="225"/>
      <c r="D18230" s="49" t="s">
        <v>37</v>
      </c>
      <c r="E18230" s="49" t="s">
        <v>38</v>
      </c>
      <c r="F18230" s="49" t="s">
        <v>39</v>
      </c>
      <c r="G18230" s="49" t="s">
        <v>40</v>
      </c>
    </row>
    <row r="18231" spans="1:7" x14ac:dyDescent="0.25">
      <c r="A18231" s="69" t="s">
        <v>97</v>
      </c>
      <c r="B18231" s="72" t="str">
        <f>VLOOKUP(A18231,'Componentes APUs'!$N$1:$Q$30,2,0)</f>
        <v>Camioneta</v>
      </c>
      <c r="C18231" s="73"/>
      <c r="D18231" s="70" t="str">
        <f>VLOOKUP(A18231,'Componentes APUs'!$N$1:$Q$30,3,0)</f>
        <v>U</v>
      </c>
      <c r="E18231" s="50">
        <v>1</v>
      </c>
      <c r="F18231" s="51">
        <f>VLOOKUP(A18231,'Componentes APUs'!$N$1:$Q$30,4,0)</f>
        <v>5500000</v>
      </c>
      <c r="G18231" s="51">
        <f>IFERROR(ROUNDUP(F18231*(E18231/21)/E18181,0),0)</f>
        <v>5239</v>
      </c>
    </row>
    <row r="18232" spans="1:7" x14ac:dyDescent="0.25">
      <c r="A18232" s="50" t="s">
        <v>321</v>
      </c>
      <c r="B18232" s="72" t="str">
        <f>VLOOKUP(A18232,'Componentes APUs'!$N$1:$Q$30,2,0)</f>
        <v>Grúa Hidráulica</v>
      </c>
      <c r="C18232" s="73"/>
      <c r="D18232" s="70" t="str">
        <f>VLOOKUP(A18232,'Componentes APUs'!$N$1:$Q$30,3,0)</f>
        <v>U</v>
      </c>
      <c r="E18232" s="50">
        <v>0</v>
      </c>
      <c r="F18232" s="51">
        <f>VLOOKUP(A18232,'Componentes APUs'!$N$1:$Q$30,4,0)</f>
        <v>21000000</v>
      </c>
      <c r="G18232" s="51">
        <f>IFERROR(ROUNDUP(F18232*(E18232/21)/E18181,0),0)</f>
        <v>0</v>
      </c>
    </row>
    <row r="18233" spans="1:7" x14ac:dyDescent="0.25">
      <c r="A18233" s="69" t="s">
        <v>322</v>
      </c>
      <c r="B18233" s="72" t="str">
        <f>VLOOKUP(A18233,'Componentes APUs'!$N$1:$Q$30,2,0)</f>
        <v>Camabaja</v>
      </c>
      <c r="C18233" s="73"/>
      <c r="D18233" s="70" t="str">
        <f>VLOOKUP(A18233,'Componentes APUs'!$N$1:$Q$30,3,0)</f>
        <v>TON/KM</v>
      </c>
      <c r="E18233" s="50">
        <v>0</v>
      </c>
      <c r="F18233" s="51">
        <f>VLOOKUP(A18233,'Componentes APUs'!$N$1:$Q$30,4,0)</f>
        <v>611</v>
      </c>
      <c r="G18233" s="51">
        <f>IFERROR(ROUNDUP(F18233*(E18233/21)/E18181,0),0)</f>
        <v>0</v>
      </c>
    </row>
    <row r="18234" spans="1:7" x14ac:dyDescent="0.25">
      <c r="A18234" s="50" t="s">
        <v>323</v>
      </c>
      <c r="B18234" s="72" t="str">
        <f>VLOOKUP(A18234,'Componentes APUs'!$N$1:$Q$30,2,0)</f>
        <v>Volqueta</v>
      </c>
      <c r="C18234" s="73"/>
      <c r="D18234" s="70" t="str">
        <f>VLOOKUP(A18234,'Componentes APUs'!$N$1:$Q$30,3,0)</f>
        <v>U</v>
      </c>
      <c r="E18234" s="50">
        <v>0</v>
      </c>
      <c r="F18234" s="51">
        <f>VLOOKUP(A18234,'Componentes APUs'!$N$1:$Q$30,4,0)</f>
        <v>14828184</v>
      </c>
      <c r="G18234" s="51">
        <f>IFERROR(ROUNDUP(F18234*(E18234/21)/E18181,0),0)</f>
        <v>0</v>
      </c>
    </row>
    <row r="18235" spans="1:7" x14ac:dyDescent="0.25">
      <c r="A18235" s="69" t="s">
        <v>324</v>
      </c>
      <c r="B18235" s="72" t="str">
        <f>VLOOKUP(A18235,'Componentes APUs'!$N$1:$Q$30,2,0)</f>
        <v>Retroexcavadora</v>
      </c>
      <c r="C18235" s="73"/>
      <c r="D18235" s="70" t="str">
        <f>VLOOKUP(A18235,'Componentes APUs'!$N$1:$Q$30,3,0)</f>
        <v>U</v>
      </c>
      <c r="E18235" s="50">
        <v>0</v>
      </c>
      <c r="F18235" s="51">
        <f>VLOOKUP(A18235,'Componentes APUs'!$N$1:$Q$30,4,0)</f>
        <v>46030656</v>
      </c>
      <c r="G18235" s="51">
        <f>IFERROR(ROUNDUP(F18235*(E18235/21)/E18181,0),0)</f>
        <v>0</v>
      </c>
    </row>
    <row r="18236" spans="1:7" x14ac:dyDescent="0.25">
      <c r="A18236" s="219" t="s">
        <v>99</v>
      </c>
      <c r="B18236" s="219"/>
      <c r="C18236" s="219"/>
      <c r="D18236" s="219"/>
      <c r="E18236" s="219"/>
      <c r="F18236" s="219"/>
      <c r="G18236" s="52">
        <f>SUM(G18231:G18235)</f>
        <v>5239</v>
      </c>
    </row>
    <row r="18237" spans="1:7" x14ac:dyDescent="0.25">
      <c r="A18237" s="56"/>
      <c r="B18237" s="57"/>
      <c r="C18237" s="57"/>
      <c r="D18237" s="57"/>
      <c r="E18237" s="57"/>
      <c r="F18237" s="57"/>
      <c r="G18237" s="58"/>
    </row>
    <row r="18238" spans="1:7" x14ac:dyDescent="0.25">
      <c r="A18238" s="219" t="s">
        <v>1516</v>
      </c>
      <c r="B18238" s="219"/>
      <c r="C18238" s="219"/>
      <c r="D18238" s="219"/>
      <c r="E18238" s="219"/>
      <c r="F18238" s="219"/>
      <c r="G18238" s="52">
        <f>G18236+G18227+G18210+G18200+G18190</f>
        <v>37170</v>
      </c>
    </row>
    <row r="18239" spans="1:7" x14ac:dyDescent="0.25">
      <c r="A18239" s="59"/>
      <c r="B18239" s="60"/>
      <c r="C18239" s="60"/>
      <c r="D18239" s="60"/>
      <c r="E18239" s="57"/>
      <c r="F18239" s="57"/>
      <c r="G18239" s="58"/>
    </row>
    <row r="18240" spans="1:7" x14ac:dyDescent="0.25">
      <c r="A18240" s="64"/>
      <c r="D18240" s="55"/>
      <c r="E18240" s="49" t="s">
        <v>25</v>
      </c>
      <c r="F18240" s="54">
        <v>0.15</v>
      </c>
      <c r="G18240" s="51">
        <f>G18238*F18240</f>
        <v>5575.5</v>
      </c>
    </row>
    <row r="18241" spans="1:7" x14ac:dyDescent="0.25">
      <c r="A18241" s="64"/>
      <c r="D18241" s="55"/>
      <c r="E18241" s="49" t="s">
        <v>26</v>
      </c>
      <c r="F18241" s="54">
        <v>0.05</v>
      </c>
      <c r="G18241" s="51">
        <f>G18238*F18241</f>
        <v>1858.5</v>
      </c>
    </row>
    <row r="18242" spans="1:7" x14ac:dyDescent="0.25">
      <c r="A18242" s="61"/>
      <c r="B18242" s="65"/>
      <c r="C18242" s="65"/>
      <c r="D18242" s="62"/>
      <c r="E18242" s="49" t="s">
        <v>27</v>
      </c>
      <c r="F18242" s="54">
        <v>0.05</v>
      </c>
      <c r="G18242" s="51">
        <f>G18238*F18242</f>
        <v>1858.5</v>
      </c>
    </row>
    <row r="18243" spans="1:7" x14ac:dyDescent="0.25">
      <c r="A18243" s="61"/>
      <c r="B18243" s="62"/>
      <c r="C18243" s="62"/>
      <c r="D18243" s="62"/>
      <c r="E18243" s="62"/>
      <c r="F18243" s="62"/>
      <c r="G18243" s="63"/>
    </row>
    <row r="18244" spans="1:7" x14ac:dyDescent="0.25">
      <c r="A18244" s="219" t="s">
        <v>1517</v>
      </c>
      <c r="B18244" s="219"/>
      <c r="C18244" s="219"/>
      <c r="D18244" s="219"/>
      <c r="E18244" s="219"/>
      <c r="F18244" s="219"/>
      <c r="G18244" s="52">
        <f>G18238+G18240+G18241+G18242</f>
        <v>46462.5</v>
      </c>
    </row>
    <row r="18245" spans="1:7" x14ac:dyDescent="0.25">
      <c r="A18245" s="59"/>
      <c r="B18245" s="60"/>
      <c r="C18245" s="60"/>
      <c r="D18245" s="60"/>
      <c r="E18245" s="57"/>
      <c r="F18245" s="57"/>
      <c r="G18245" s="58"/>
    </row>
    <row r="18246" spans="1:7" x14ac:dyDescent="0.25">
      <c r="A18246" s="64"/>
      <c r="D18246" s="55"/>
      <c r="E18246" s="49" t="s">
        <v>102</v>
      </c>
      <c r="F18246" s="49" t="s">
        <v>103</v>
      </c>
      <c r="G18246" s="51">
        <f>G18242*19%</f>
        <v>353.11500000000001</v>
      </c>
    </row>
    <row r="18247" spans="1:7" x14ac:dyDescent="0.25">
      <c r="A18247" s="61"/>
      <c r="B18247" s="62"/>
      <c r="C18247" s="62"/>
      <c r="D18247" s="62"/>
      <c r="E18247" s="57"/>
      <c r="F18247" s="57"/>
      <c r="G18247" s="58"/>
    </row>
    <row r="18248" spans="1:7" x14ac:dyDescent="0.25">
      <c r="A18248" s="219" t="s">
        <v>104</v>
      </c>
      <c r="B18248" s="219"/>
      <c r="C18248" s="219"/>
      <c r="D18248" s="219"/>
      <c r="E18248" s="219"/>
      <c r="F18248" s="219"/>
      <c r="G18248" s="52">
        <f>G18246+G18244</f>
        <v>46815.614999999998</v>
      </c>
    </row>
    <row r="18250" spans="1:7" x14ac:dyDescent="0.25">
      <c r="A18250" s="74" t="s">
        <v>29</v>
      </c>
      <c r="B18250" s="237" t="s">
        <v>30</v>
      </c>
      <c r="C18250" s="238"/>
      <c r="D18250" s="74" t="s">
        <v>31</v>
      </c>
      <c r="E18250" s="74" t="s">
        <v>32</v>
      </c>
      <c r="F18250" s="74" t="s">
        <v>189</v>
      </c>
      <c r="G18250" s="74" t="s">
        <v>33</v>
      </c>
    </row>
    <row r="18251" spans="1:7" ht="36.75" customHeight="1" x14ac:dyDescent="0.25">
      <c r="A18251" s="50" t="str">
        <f>Presupuesto!B356</f>
        <v>027_AUX</v>
      </c>
      <c r="B18251" s="220" t="str">
        <f>Presupuesto!C356</f>
        <v xml:space="preserve">SUMINISTRO E INSTALACIÓN DE CABLE 3X2F+1X2N + 1X6 T AWG Cu- TC-THHN - 600 V. en 1 1/2" INCLUYE TERMINALES. (CONEXIÓN DISTRIBUCIÓN AC - T AUXILIAR)(+NE01) - (T AUX) </v>
      </c>
      <c r="C18251" s="239"/>
      <c r="D18251" s="50" t="s">
        <v>108</v>
      </c>
      <c r="E18251" s="50">
        <v>80</v>
      </c>
      <c r="F18251" s="50"/>
      <c r="G18251" s="51">
        <f>G18318</f>
        <v>194267.799</v>
      </c>
    </row>
    <row r="18252" spans="1:7" x14ac:dyDescent="0.25">
      <c r="A18252" s="219" t="s">
        <v>34</v>
      </c>
      <c r="B18252" s="219"/>
      <c r="C18252" s="219"/>
      <c r="D18252" s="219"/>
      <c r="E18252" s="219"/>
      <c r="F18252" s="219"/>
      <c r="G18252" s="219"/>
    </row>
    <row r="18253" spans="1:7" x14ac:dyDescent="0.25">
      <c r="A18253" s="49" t="s">
        <v>35</v>
      </c>
      <c r="B18253" s="234" t="s">
        <v>36</v>
      </c>
      <c r="C18253" s="235"/>
      <c r="D18253" s="49" t="s">
        <v>37</v>
      </c>
      <c r="E18253" s="49" t="s">
        <v>38</v>
      </c>
      <c r="F18253" s="49" t="s">
        <v>39</v>
      </c>
      <c r="G18253" s="49" t="s">
        <v>40</v>
      </c>
    </row>
    <row r="18254" spans="1:7" x14ac:dyDescent="0.25">
      <c r="A18254" s="17" t="str">
        <f>Material!A572</f>
        <v>MA-571</v>
      </c>
      <c r="B18254" s="72" t="str">
        <f>IFERROR(VLOOKUP(A18254,Material!$A:$H,2,0),"-")</f>
        <v>CABLE DE COBRE AISLADO N2 AWG THWN</v>
      </c>
      <c r="C18254" s="76"/>
      <c r="D18254" s="50" t="str">
        <f>IFERROR(VLOOKUP(A18254,Material!$A:$H,4,0),"-")</f>
        <v>UN</v>
      </c>
      <c r="E18254" s="50">
        <v>4</v>
      </c>
      <c r="F18254" s="51">
        <f>IFERROR(VLOOKUP(A18254,Material!$A:$H,3,0),"-")</f>
        <v>31525</v>
      </c>
      <c r="G18254" s="51">
        <f t="shared" ref="G18254:G18259" si="253">IFERROR(ROUNDUP(F18254*E18254,0),"-")</f>
        <v>126100</v>
      </c>
    </row>
    <row r="18255" spans="1:7" x14ac:dyDescent="0.25">
      <c r="A18255" s="17" t="str">
        <f>Material!A376</f>
        <v>MA-375</v>
      </c>
      <c r="B18255" s="72" t="str">
        <f>IFERROR(VLOOKUP(A18255,Material!$A:$H,2,0),"-")</f>
        <v xml:space="preserve">CABLE AISLADO NO 6 AWG COBRE THHN </v>
      </c>
      <c r="C18255" s="76"/>
      <c r="D18255" s="50" t="str">
        <f>IFERROR(VLOOKUP(A18255,Material!$A:$H,4,0),"-")</f>
        <v>ML</v>
      </c>
      <c r="E18255" s="50">
        <v>1</v>
      </c>
      <c r="F18255" s="51">
        <f>IFERROR(VLOOKUP(A18255,Material!$A:$H,3,0),"-")</f>
        <v>13260</v>
      </c>
      <c r="G18255" s="51">
        <f t="shared" si="253"/>
        <v>13260</v>
      </c>
    </row>
    <row r="18256" spans="1:7" x14ac:dyDescent="0.25">
      <c r="A18256" s="17" t="str">
        <f>Material!A573</f>
        <v>MA-572</v>
      </c>
      <c r="B18256" s="72" t="str">
        <f>IFERROR(VLOOKUP(A18256,Material!$A:$H,2,0),"-")</f>
        <v>CONECTOR TERMINAL CU PARA CABLE 2 AWG</v>
      </c>
      <c r="C18256" s="76"/>
      <c r="D18256" s="50" t="str">
        <f>IFERROR(VLOOKUP(A18256,Material!$A:$H,4,0),"-")</f>
        <v>UN</v>
      </c>
      <c r="E18256" s="107">
        <f>0.27</f>
        <v>0.27</v>
      </c>
      <c r="F18256" s="51">
        <f>IFERROR(VLOOKUP(A18256,Material!$A:$H,3,0),"-")</f>
        <v>3575</v>
      </c>
      <c r="G18256" s="51">
        <f t="shared" si="253"/>
        <v>966</v>
      </c>
    </row>
    <row r="18257" spans="1:7" x14ac:dyDescent="0.25">
      <c r="A18257" s="17" t="str">
        <f>Material!A276</f>
        <v>MA-275</v>
      </c>
      <c r="B18257" s="72" t="str">
        <f>IFERROR(VLOOKUP(A18257,Material!$A:$H,2,0),"-")</f>
        <v>AMARRA PLASTICA</v>
      </c>
      <c r="C18257" s="76"/>
      <c r="D18257" s="50" t="str">
        <f>IFERROR(VLOOKUP(A18257,Material!$A:$H,4,0),"-")</f>
        <v>UN</v>
      </c>
      <c r="E18257" s="50">
        <v>5</v>
      </c>
      <c r="F18257" s="51">
        <f>IFERROR(VLOOKUP(A18257,Material!$A:$H,3,0),"-")</f>
        <v>167.70000000000002</v>
      </c>
      <c r="G18257" s="51">
        <f t="shared" si="253"/>
        <v>839</v>
      </c>
    </row>
    <row r="18258" spans="1:7" x14ac:dyDescent="0.25">
      <c r="A18258" s="17" t="str">
        <f>Material!A235</f>
        <v>MA-234</v>
      </c>
      <c r="B18258" s="72" t="str">
        <f>IFERROR(VLOOKUP(A18258,Material!$A:$H,2,0),"-")</f>
        <v>CINTA AISLANTE 23</v>
      </c>
      <c r="C18258" s="76"/>
      <c r="D18258" s="50" t="str">
        <f>IFERROR(VLOOKUP(A18258,Material!$A:$H,4,0),"-")</f>
        <v>ML</v>
      </c>
      <c r="E18258" s="50">
        <v>0.04</v>
      </c>
      <c r="F18258" s="51">
        <f>IFERROR(VLOOKUP(A18258,Material!$A:$H,3,0),"-")</f>
        <v>29683.333333333332</v>
      </c>
      <c r="G18258" s="51">
        <f t="shared" si="253"/>
        <v>1188</v>
      </c>
    </row>
    <row r="18259" spans="1:7" x14ac:dyDescent="0.25">
      <c r="A18259" s="17" t="str">
        <f>Material!A236</f>
        <v>MA-235</v>
      </c>
      <c r="B18259" s="72" t="str">
        <f>IFERROR(VLOOKUP(A18259,Material!$A:$H,2,0),"-")</f>
        <v>CINTA AISLANTE 33</v>
      </c>
      <c r="C18259" s="76"/>
      <c r="D18259" s="50" t="str">
        <f>IFERROR(VLOOKUP(A18259,Material!$A:$H,4,0),"-")</f>
        <v>ML</v>
      </c>
      <c r="E18259" s="50">
        <v>0.04</v>
      </c>
      <c r="F18259" s="51">
        <f>IFERROR(VLOOKUP(A18259,Material!$A:$H,3,0),"-")</f>
        <v>1826.5</v>
      </c>
      <c r="G18259" s="51">
        <f t="shared" si="253"/>
        <v>74</v>
      </c>
    </row>
    <row r="18260" spans="1:7" x14ac:dyDescent="0.25">
      <c r="A18260" s="234" t="s">
        <v>41</v>
      </c>
      <c r="B18260" s="236"/>
      <c r="C18260" s="236"/>
      <c r="D18260" s="236"/>
      <c r="E18260" s="236"/>
      <c r="F18260" s="235"/>
      <c r="G18260" s="52">
        <f>SUM(G18254:G18259)</f>
        <v>142427</v>
      </c>
    </row>
    <row r="18261" spans="1:7" x14ac:dyDescent="0.25">
      <c r="A18261" s="56"/>
      <c r="B18261" s="57"/>
      <c r="C18261" s="57"/>
      <c r="D18261" s="57"/>
      <c r="E18261" s="57"/>
      <c r="F18261" s="57"/>
      <c r="G18261" s="58"/>
    </row>
    <row r="18262" spans="1:7" x14ac:dyDescent="0.25">
      <c r="A18262" s="219" t="s">
        <v>42</v>
      </c>
      <c r="B18262" s="219"/>
      <c r="C18262" s="219"/>
      <c r="D18262" s="219"/>
      <c r="E18262" s="219"/>
      <c r="F18262" s="219"/>
      <c r="G18262" s="219"/>
    </row>
    <row r="18263" spans="1:7" x14ac:dyDescent="0.25">
      <c r="A18263" s="49" t="s">
        <v>35</v>
      </c>
      <c r="B18263" s="49" t="s">
        <v>36</v>
      </c>
      <c r="C18263" s="49" t="s">
        <v>38</v>
      </c>
      <c r="D18263" s="49" t="s">
        <v>43</v>
      </c>
      <c r="E18263" s="49" t="s">
        <v>44</v>
      </c>
      <c r="F18263" s="49" t="s">
        <v>45</v>
      </c>
      <c r="G18263" s="49" t="s">
        <v>40</v>
      </c>
    </row>
    <row r="18264" spans="1:7" x14ac:dyDescent="0.25">
      <c r="A18264" s="50" t="s">
        <v>319</v>
      </c>
      <c r="B18264" s="68" t="str">
        <f>VLOOKUP(A18264,'Componentes APUs'!$H$1:$L$25,2,0)</f>
        <v>Ingeniero Residente de Obra</v>
      </c>
      <c r="C18264" s="93">
        <v>0.25</v>
      </c>
      <c r="D18264" s="50">
        <f>VLOOKUP(A18264,'Componentes APUs'!$H$1:$L$25,3,0)</f>
        <v>4</v>
      </c>
      <c r="E18264" s="51">
        <f>VLOOKUP(A18264,'Componentes APUs'!$H$1:$L$25,4,0)</f>
        <v>271142.85714285716</v>
      </c>
      <c r="F18264" s="51">
        <f>VLOOKUP(A18264,'Componentes APUs'!$H$1:$L$25,5,0)</f>
        <v>162685.71428571429</v>
      </c>
      <c r="G18264" s="51">
        <f>ROUNDUP((E18264+F18264)*C18264/E18251,0)</f>
        <v>1356</v>
      </c>
    </row>
    <row r="18265" spans="1:7" x14ac:dyDescent="0.25">
      <c r="A18265" s="50" t="s">
        <v>320</v>
      </c>
      <c r="B18265" s="68" t="str">
        <f>VLOOKUP(A18265,'Componentes APUs'!$H$1:$L$25,2,0)</f>
        <v>Tecnico Supervisor</v>
      </c>
      <c r="C18265" s="93">
        <v>0.25</v>
      </c>
      <c r="D18265" s="50">
        <f>VLOOKUP(A18265,'Componentes APUs'!$H$1:$L$25,3,0)</f>
        <v>2.2999999999999998</v>
      </c>
      <c r="E18265" s="51">
        <f>VLOOKUP(A18265,'Componentes APUs'!$H$1:$L$25,4,0)</f>
        <v>155907.14285714284</v>
      </c>
      <c r="F18265" s="51">
        <f>VLOOKUP(A18265,'Componentes APUs'!$H$1:$L$25,5,0)</f>
        <v>93544.285714285696</v>
      </c>
      <c r="G18265" s="51">
        <f>ROUNDUP((E18265+F18265)*C18265/E18251,0)</f>
        <v>780</v>
      </c>
    </row>
    <row r="18266" spans="1:7" x14ac:dyDescent="0.25">
      <c r="A18266" s="50" t="s">
        <v>1160</v>
      </c>
      <c r="B18266" s="68" t="str">
        <f>VLOOKUP(A18266,'Componentes APUs'!$H$1:$L$25,2,0)</f>
        <v>Oficial Eléctrico</v>
      </c>
      <c r="C18266" s="93">
        <v>1</v>
      </c>
      <c r="D18266" s="50">
        <f>VLOOKUP(A18266,'Componentes APUs'!$H$1:$L$25,3,0)</f>
        <v>2</v>
      </c>
      <c r="E18266" s="51">
        <f>VLOOKUP(A18266,'Componentes APUs'!$H$1:$L$25,4,0)</f>
        <v>154619.04761904763</v>
      </c>
      <c r="F18266" s="51">
        <f>VLOOKUP(A18266,'Componentes APUs'!$H$1:$L$25,5,0)</f>
        <v>92771.42857142858</v>
      </c>
      <c r="G18266" s="51">
        <f>ROUNDUP((E18266+F18266)*C18266/E18251,0)</f>
        <v>3093</v>
      </c>
    </row>
    <row r="18267" spans="1:7" x14ac:dyDescent="0.25">
      <c r="A18267" s="50" t="s">
        <v>48</v>
      </c>
      <c r="B18267" s="68" t="str">
        <f>VLOOKUP(A18267,'Componentes APUs'!$H$1:$L$25,2,0)</f>
        <v>Ayudante Calificado</v>
      </c>
      <c r="C18267" s="93">
        <v>1</v>
      </c>
      <c r="D18267" s="50">
        <f>VLOOKUP(A18267,'Componentes APUs'!$H$1:$L$25,3,0)</f>
        <v>1.5</v>
      </c>
      <c r="E18267" s="51">
        <f>VLOOKUP(A18267,'Componentes APUs'!$H$1:$L$25,4,0)</f>
        <v>115964.28571428571</v>
      </c>
      <c r="F18267" s="51">
        <f>VLOOKUP(A18267,'Componentes APUs'!$H$1:$L$25,5,0)</f>
        <v>69578.57142857142</v>
      </c>
      <c r="G18267" s="51">
        <f>ROUNDUP((E18267+F18267)*C18267/E18251,0)</f>
        <v>2320</v>
      </c>
    </row>
    <row r="18268" spans="1:7" x14ac:dyDescent="0.25">
      <c r="A18268" s="50" t="s">
        <v>50</v>
      </c>
      <c r="B18268" s="68" t="str">
        <f>VLOOKUP(A18268,'Componentes APUs'!$H$1:$L$25,2,0)</f>
        <v>Profesional en SST</v>
      </c>
      <c r="C18268" s="93">
        <v>0.25</v>
      </c>
      <c r="D18268" s="50">
        <f>VLOOKUP(A18268,'Componentes APUs'!$H$1:$L$25,3,0)</f>
        <v>2.5</v>
      </c>
      <c r="E18268" s="51">
        <f>VLOOKUP(A18268,'Componentes APUs'!$H$1:$L$25,4,0)</f>
        <v>169464.28571428571</v>
      </c>
      <c r="F18268" s="51">
        <f>VLOOKUP(A18268,'Componentes APUs'!$H$1:$L$25,5,0)</f>
        <v>101678.57142857142</v>
      </c>
      <c r="G18268" s="51">
        <f>ROUNDUP((E18268+F18268)*C18268/E18251,0)</f>
        <v>848</v>
      </c>
    </row>
    <row r="18269" spans="1:7" x14ac:dyDescent="0.25">
      <c r="A18269" s="50" t="s">
        <v>52</v>
      </c>
      <c r="B18269" s="68" t="str">
        <f>VLOOKUP(A18269,'Componentes APUs'!$H$1:$L$25,2,0)</f>
        <v>Ayudante No Calificado</v>
      </c>
      <c r="C18269" s="93">
        <v>0</v>
      </c>
      <c r="D18269" s="50">
        <f>VLOOKUP(A18269,'Componentes APUs'!$H$1:$L$25,3,0)</f>
        <v>1</v>
      </c>
      <c r="E18269" s="51">
        <f>VLOOKUP(A18269,'Componentes APUs'!$H$1:$L$25,4,0)</f>
        <v>77309.523809523816</v>
      </c>
      <c r="F18269" s="51">
        <f>VLOOKUP(A18269,'Componentes APUs'!$H$1:$L$25,5,0)</f>
        <v>46385.71428571429</v>
      </c>
      <c r="G18269" s="51">
        <f>ROUNDUP((E18269+F18269)*C18269/E18251,0)</f>
        <v>0</v>
      </c>
    </row>
    <row r="18270" spans="1:7" x14ac:dyDescent="0.25">
      <c r="A18270" s="219" t="s">
        <v>56</v>
      </c>
      <c r="B18270" s="219"/>
      <c r="C18270" s="219"/>
      <c r="D18270" s="219"/>
      <c r="E18270" s="219"/>
      <c r="F18270" s="219"/>
      <c r="G18270" s="52">
        <f>SUM(G18264:G18269)</f>
        <v>8397</v>
      </c>
    </row>
    <row r="18271" spans="1:7" x14ac:dyDescent="0.25">
      <c r="A18271" s="56"/>
      <c r="B18271" s="57"/>
      <c r="C18271" s="57"/>
      <c r="D18271" s="57"/>
      <c r="E18271" s="57"/>
      <c r="F18271" s="57"/>
      <c r="G18271" s="58"/>
    </row>
    <row r="18272" spans="1:7" x14ac:dyDescent="0.25">
      <c r="A18272" s="219" t="s">
        <v>57</v>
      </c>
      <c r="B18272" s="219"/>
      <c r="C18272" s="219"/>
      <c r="D18272" s="219"/>
      <c r="E18272" s="219"/>
      <c r="F18272" s="219"/>
      <c r="G18272" s="219"/>
    </row>
    <row r="18273" spans="1:7" x14ac:dyDescent="0.25">
      <c r="A18273" s="49" t="s">
        <v>35</v>
      </c>
      <c r="B18273" s="219" t="s">
        <v>36</v>
      </c>
      <c r="C18273" s="219"/>
      <c r="D18273" s="49" t="s">
        <v>37</v>
      </c>
      <c r="E18273" s="49" t="s">
        <v>38</v>
      </c>
      <c r="F18273" s="49" t="s">
        <v>39</v>
      </c>
      <c r="G18273" s="49" t="s">
        <v>40</v>
      </c>
    </row>
    <row r="18274" spans="1:7" x14ac:dyDescent="0.25">
      <c r="A18274" s="50" t="s">
        <v>326</v>
      </c>
      <c r="B18274" s="220" t="str">
        <f>VLOOKUP(A18274,'Componentes APUs'!$S$1:$V$10,2,0)</f>
        <v>Juego Llaves</v>
      </c>
      <c r="C18274" s="220"/>
      <c r="D18274" s="50" t="s">
        <v>18</v>
      </c>
      <c r="E18274" s="50">
        <v>1</v>
      </c>
      <c r="F18274" s="51">
        <f>VLOOKUP(A18274,'Componentes APUs'!$S$1:$V$10,4,0)</f>
        <v>9167</v>
      </c>
      <c r="G18274" s="51">
        <f>ROUNDUP(F18274*((E18274/21)/E18251),0)</f>
        <v>6</v>
      </c>
    </row>
    <row r="18275" spans="1:7" x14ac:dyDescent="0.25">
      <c r="A18275" s="50" t="s">
        <v>58</v>
      </c>
      <c r="B18275" s="220" t="str">
        <f>VLOOKUP(A18275,'Componentes APUs'!$S$1:$V$10,2,0)</f>
        <v>Manila de servicio</v>
      </c>
      <c r="C18275" s="220"/>
      <c r="D18275" s="50" t="s">
        <v>18</v>
      </c>
      <c r="E18275" s="50">
        <v>0</v>
      </c>
      <c r="F18275" s="51">
        <f>VLOOKUP(A18275,'Componentes APUs'!$S$1:$V$10,4,0)</f>
        <v>2333</v>
      </c>
      <c r="G18275" s="51">
        <f>ROUNDUP(F18275*((E18275/21)/E18251),0)</f>
        <v>0</v>
      </c>
    </row>
    <row r="18276" spans="1:7" x14ac:dyDescent="0.25">
      <c r="A18276" s="50" t="s">
        <v>327</v>
      </c>
      <c r="B18276" s="220" t="str">
        <f>VLOOKUP(A18276,'Componentes APUs'!$S$1:$V$10,2,0)</f>
        <v>Tula portaherramientas</v>
      </c>
      <c r="C18276" s="220"/>
      <c r="D18276" s="50" t="s">
        <v>18</v>
      </c>
      <c r="E18276" s="50">
        <v>1</v>
      </c>
      <c r="F18276" s="51">
        <f>VLOOKUP(A18276,'Componentes APUs'!$S$1:$V$10,4,0)</f>
        <v>1250</v>
      </c>
      <c r="G18276" s="51">
        <f>ROUNDUP(F18276*((E18276/21)/E18251),0)</f>
        <v>1</v>
      </c>
    </row>
    <row r="18277" spans="1:7" x14ac:dyDescent="0.25">
      <c r="A18277" s="50" t="s">
        <v>60</v>
      </c>
      <c r="B18277" s="220" t="str">
        <f>VLOOKUP(A18277,'Componentes APUs'!$S$1:$V$10,2,0)</f>
        <v>Agarradoras</v>
      </c>
      <c r="C18277" s="220"/>
      <c r="D18277" s="50" t="s">
        <v>18</v>
      </c>
      <c r="E18277" s="50">
        <v>0</v>
      </c>
      <c r="F18277" s="51">
        <f>VLOOKUP(A18277,'Componentes APUs'!$S$1:$V$10,4,0)</f>
        <v>125000</v>
      </c>
      <c r="G18277" s="51">
        <f>ROUNDUP(F18277*((E18277/21)/E18251),0)</f>
        <v>0</v>
      </c>
    </row>
    <row r="18278" spans="1:7" x14ac:dyDescent="0.25">
      <c r="A18278" s="50" t="s">
        <v>62</v>
      </c>
      <c r="B18278" s="220" t="str">
        <f>VLOOKUP(A18278,'Componentes APUs'!$S$1:$V$10,2,0)</f>
        <v>Templadoras</v>
      </c>
      <c r="C18278" s="220"/>
      <c r="D18278" s="50" t="s">
        <v>18</v>
      </c>
      <c r="E18278" s="50">
        <v>0</v>
      </c>
      <c r="F18278" s="51">
        <f>VLOOKUP(A18278,'Componentes APUs'!$S$1:$V$10,4,0)</f>
        <v>250000</v>
      </c>
      <c r="G18278" s="51">
        <f>ROUNDUP(F18278*((E18278/21)/E18251),0)</f>
        <v>0</v>
      </c>
    </row>
    <row r="18279" spans="1:7" x14ac:dyDescent="0.25">
      <c r="A18279" s="50" t="s">
        <v>328</v>
      </c>
      <c r="B18279" s="220" t="str">
        <f>VLOOKUP(A18279,'Componentes APUs'!$S$1:$V$10,2,0)</f>
        <v>Herramienta Menor</v>
      </c>
      <c r="C18279" s="220"/>
      <c r="D18279" s="50" t="s">
        <v>18</v>
      </c>
      <c r="E18279" s="50">
        <v>1</v>
      </c>
      <c r="F18279" s="51">
        <f>VLOOKUP(A18279,'Componentes APUs'!$S$1:$V$10,4,0)</f>
        <v>75758</v>
      </c>
      <c r="G18279" s="51">
        <f>ROUNDUP(F18279*((E18279/21)/E18251),0)</f>
        <v>46</v>
      </c>
    </row>
    <row r="18280" spans="1:7" x14ac:dyDescent="0.25">
      <c r="A18280" s="219" t="s">
        <v>69</v>
      </c>
      <c r="B18280" s="219"/>
      <c r="C18280" s="219"/>
      <c r="D18280" s="219"/>
      <c r="E18280" s="219"/>
      <c r="F18280" s="219"/>
      <c r="G18280" s="52">
        <f>SUM(G18274:G18279)</f>
        <v>53</v>
      </c>
    </row>
    <row r="18281" spans="1:7" x14ac:dyDescent="0.25">
      <c r="A18281" s="56"/>
      <c r="B18281" s="57"/>
      <c r="C18281" s="57"/>
      <c r="D18281" s="57"/>
      <c r="E18281" s="57"/>
      <c r="F18281" s="57"/>
      <c r="G18281" s="58"/>
    </row>
    <row r="18282" spans="1:7" x14ac:dyDescent="0.25">
      <c r="A18282" s="219" t="s">
        <v>70</v>
      </c>
      <c r="B18282" s="219"/>
      <c r="C18282" s="219"/>
      <c r="D18282" s="219"/>
      <c r="E18282" s="219"/>
      <c r="F18282" s="219"/>
      <c r="G18282" s="219"/>
    </row>
    <row r="18283" spans="1:7" x14ac:dyDescent="0.25">
      <c r="A18283" s="49" t="s">
        <v>35</v>
      </c>
      <c r="B18283" s="219" t="s">
        <v>36</v>
      </c>
      <c r="C18283" s="219"/>
      <c r="D18283" s="49" t="s">
        <v>37</v>
      </c>
      <c r="E18283" s="49" t="s">
        <v>38</v>
      </c>
      <c r="F18283" s="49" t="s">
        <v>39</v>
      </c>
      <c r="G18283" s="49" t="s">
        <v>40</v>
      </c>
    </row>
    <row r="18284" spans="1:7" x14ac:dyDescent="0.25">
      <c r="A18284" s="50" t="s">
        <v>71</v>
      </c>
      <c r="B18284" s="71" t="str">
        <f>VLOOKUP(A18284,'Componentes APUs'!$A$1:$D$14,2,0)</f>
        <v>Camisa indigo sin partes metalicas</v>
      </c>
      <c r="C18284" s="71"/>
      <c r="D18284" s="50" t="str">
        <f>VLOOKUP(A18284,'Componentes APUs'!$A$1:$D$14,3,0)</f>
        <v>U</v>
      </c>
      <c r="E18284" s="50">
        <f>SUM(C18264:C18269)</f>
        <v>2.75</v>
      </c>
      <c r="F18284" s="51">
        <f>VLOOKUP(A18284,'Componentes APUs'!$A$1:$D$14,4,0)</f>
        <v>8585.8585858585866</v>
      </c>
      <c r="G18284" s="51">
        <f>ROUNDUP(F18284*(E18284/21)/E18251,0)</f>
        <v>15</v>
      </c>
    </row>
    <row r="18285" spans="1:7" x14ac:dyDescent="0.25">
      <c r="A18285" s="69" t="s">
        <v>73</v>
      </c>
      <c r="B18285" s="72" t="str">
        <f>VLOOKUP(A18285,'Componentes APUs'!$A$1:$D$14,2,0)</f>
        <v>Bota de seguridad dielectrica</v>
      </c>
      <c r="C18285" s="73"/>
      <c r="D18285" s="70" t="str">
        <f>VLOOKUP(A18285,'Componentes APUs'!$A$1:$D$14,3,0)</f>
        <v>Par</v>
      </c>
      <c r="E18285" s="50">
        <f>SUM(C18264:C18269)</f>
        <v>2.75</v>
      </c>
      <c r="F18285" s="51">
        <f>VLOOKUP(A18285,'Componentes APUs'!$A$1:$D$14,4,0)</f>
        <v>7500</v>
      </c>
      <c r="G18285" s="51">
        <f>ROUNDUP(F18285*(E18285/21)/E18251,0)</f>
        <v>13</v>
      </c>
    </row>
    <row r="18286" spans="1:7" x14ac:dyDescent="0.25">
      <c r="A18286" s="50" t="s">
        <v>76</v>
      </c>
      <c r="B18286" s="72" t="str">
        <f>VLOOKUP(A18286,'Componentes APUs'!$A$1:$D$14,2,0)</f>
        <v>Casco dielectrico Tipo 1 Clase E con barbuquejo</v>
      </c>
      <c r="C18286" s="73"/>
      <c r="D18286" s="50" t="str">
        <f>VLOOKUP(A18286,'Componentes APUs'!$A$1:$D$14,3,0)</f>
        <v>U</v>
      </c>
      <c r="E18286" s="50">
        <f>C18269+C18264+C18267+C18268+C18265+IF(A18266&lt;&gt;"MO-3",C18266,0)</f>
        <v>2.75</v>
      </c>
      <c r="F18286" s="51">
        <f>VLOOKUP(A18286,'Componentes APUs'!$A$1:$D$14,4,0)</f>
        <v>10101.010101010101</v>
      </c>
      <c r="G18286" s="51">
        <f>ROUNDUP(F18286*(E18286/21)/E18251,0)</f>
        <v>17</v>
      </c>
    </row>
    <row r="18287" spans="1:7" x14ac:dyDescent="0.25">
      <c r="A18287" s="69" t="s">
        <v>77</v>
      </c>
      <c r="B18287" s="72" t="str">
        <f>VLOOKUP(A18287,'Componentes APUs'!$A$1:$D$14,2,0)</f>
        <v>Correa plastica y antiflama</v>
      </c>
      <c r="C18287" s="73"/>
      <c r="D18287" s="50" t="str">
        <f>VLOOKUP(A18287,'Componentes APUs'!$A$1:$D$14,3,0)</f>
        <v>U</v>
      </c>
      <c r="E18287" s="50">
        <f>SUM(C18264:C18269)</f>
        <v>2.75</v>
      </c>
      <c r="F18287" s="51">
        <f>VLOOKUP(A18287,'Componentes APUs'!$A$1:$D$14,4,0)</f>
        <v>3787.878787878788</v>
      </c>
      <c r="G18287" s="51">
        <f>ROUNDUP(F18287*(E18287/21)/E18251,0)</f>
        <v>7</v>
      </c>
    </row>
    <row r="18288" spans="1:7" x14ac:dyDescent="0.25">
      <c r="A18288" s="50" t="s">
        <v>79</v>
      </c>
      <c r="B18288" s="72" t="str">
        <f>VLOOKUP(A18288,'Componentes APUs'!$A$1:$D$14,2,0)</f>
        <v>Gafas protectoras filtro UV</v>
      </c>
      <c r="C18288" s="73"/>
      <c r="D18288" s="50" t="str">
        <f>VLOOKUP(A18288,'Componentes APUs'!$A$1:$D$14,3,0)</f>
        <v>U</v>
      </c>
      <c r="E18288" s="50">
        <f>SUM(C18264:C18269)</f>
        <v>2.75</v>
      </c>
      <c r="F18288" s="51">
        <f>VLOOKUP(A18288,'Componentes APUs'!$A$1:$D$14,4,0)</f>
        <v>2777.7777777777778</v>
      </c>
      <c r="G18288" s="51">
        <f>ROUNDUP(F18288*(E18288/21)/E18251,0)</f>
        <v>5</v>
      </c>
    </row>
    <row r="18289" spans="1:7" x14ac:dyDescent="0.25">
      <c r="A18289" s="69" t="s">
        <v>402</v>
      </c>
      <c r="B18289" s="72" t="str">
        <f>VLOOKUP(A18289,'Componentes APUs'!$A$1:$D$14,2,0)</f>
        <v>Bota de seguridad PVC dielectrica</v>
      </c>
      <c r="C18289" s="73"/>
      <c r="D18289" s="50" t="str">
        <f>VLOOKUP(A18289,'Componentes APUs'!$A$1:$D$14,3,0)</f>
        <v>Par</v>
      </c>
      <c r="E18289" s="50">
        <f>SUM(C18264:C18269)</f>
        <v>2.75</v>
      </c>
      <c r="F18289" s="51">
        <f>VLOOKUP(A18289,'Componentes APUs'!$A$1:$D$14,4,0)</f>
        <v>2916.6666666666665</v>
      </c>
      <c r="G18289" s="51">
        <f>ROUNDUP(F18289*(E18289/21)/E18251,0)</f>
        <v>5</v>
      </c>
    </row>
    <row r="18290" spans="1:7" x14ac:dyDescent="0.25">
      <c r="A18290" s="50" t="s">
        <v>403</v>
      </c>
      <c r="B18290" s="72" t="str">
        <f>VLOOKUP(A18290,'Componentes APUs'!$A$1:$D$14,2,0)</f>
        <v>Capuchon</v>
      </c>
      <c r="C18290" s="73"/>
      <c r="D18290" s="50" t="str">
        <f>VLOOKUP(A18290,'Componentes APUs'!$A$1:$D$14,3,0)</f>
        <v>U</v>
      </c>
      <c r="E18290" s="50">
        <f>SUM(C18264:C18269)</f>
        <v>2.75</v>
      </c>
      <c r="F18290" s="51">
        <f>VLOOKUP(A18290,'Componentes APUs'!$A$1:$D$14,4,0)</f>
        <v>2525.2525252525252</v>
      </c>
      <c r="G18290" s="51">
        <f>ROUNDUP(F18290*(E18290/21)/E18251,0)</f>
        <v>5</v>
      </c>
    </row>
    <row r="18291" spans="1:7" x14ac:dyDescent="0.25">
      <c r="A18291" s="69" t="s">
        <v>81</v>
      </c>
      <c r="B18291" s="72" t="str">
        <f>VLOOKUP(A18291,'Componentes APUs'!$A$1:$D$14,2,0)</f>
        <v>Guantes Protectores  - ingeniero reforzados</v>
      </c>
      <c r="C18291" s="73"/>
      <c r="D18291" s="50" t="str">
        <f>VLOOKUP(A18291,'Componentes APUs'!$A$1:$D$14,3,0)</f>
        <v>Par</v>
      </c>
      <c r="E18291" s="50">
        <f>C18266+C18267+C18269</f>
        <v>2</v>
      </c>
      <c r="F18291" s="51">
        <f>VLOOKUP(A18291,'Componentes APUs'!$A$1:$D$14,4,0)</f>
        <v>2525.2525252525252</v>
      </c>
      <c r="G18291" s="51">
        <f>ROUNDUP(F18291*(E18291/21)/E18251,0)</f>
        <v>4</v>
      </c>
    </row>
    <row r="18292" spans="1:7" x14ac:dyDescent="0.25">
      <c r="A18292" s="50" t="s">
        <v>83</v>
      </c>
      <c r="B18292" s="72" t="str">
        <f>VLOOKUP(A18292,'Componentes APUs'!$A$1:$D$14,2,0)</f>
        <v>Impermeable (pantalon camisa)</v>
      </c>
      <c r="C18292" s="73"/>
      <c r="D18292" s="50" t="str">
        <f>VLOOKUP(A18292,'Componentes APUs'!$A$1:$D$14,3,0)</f>
        <v>U</v>
      </c>
      <c r="E18292" s="50">
        <f>SUM(C18264:C18269)</f>
        <v>2.75</v>
      </c>
      <c r="F18292" s="51">
        <f>VLOOKUP(A18292,'Componentes APUs'!$A$1:$D$14,4,0)</f>
        <v>3750</v>
      </c>
      <c r="G18292" s="51">
        <f>ROUNDUP(F18292*(E18292/21)/E18251,0)</f>
        <v>7</v>
      </c>
    </row>
    <row r="18293" spans="1:7" x14ac:dyDescent="0.25">
      <c r="A18293" s="69" t="s">
        <v>85</v>
      </c>
      <c r="B18293" s="72" t="str">
        <f>VLOOKUP(A18293,'Componentes APUs'!$A$1:$D$14,2,0)</f>
        <v>Jean Dielectrico</v>
      </c>
      <c r="C18293" s="73"/>
      <c r="D18293" s="50" t="str">
        <f>VLOOKUP(A18293,'Componentes APUs'!$A$1:$D$14,3,0)</f>
        <v>U</v>
      </c>
      <c r="E18293" s="50">
        <f>SUM(C18264:C18269)</f>
        <v>2.75</v>
      </c>
      <c r="F18293" s="51">
        <f>VLOOKUP(A18293,'Componentes APUs'!$A$1:$D$14,4,0)</f>
        <v>7575.757575757576</v>
      </c>
      <c r="G18293" s="51">
        <f>ROUNDUP(F18293*(E18293/21)/E18251,0)</f>
        <v>13</v>
      </c>
    </row>
    <row r="18294" spans="1:7" x14ac:dyDescent="0.25">
      <c r="A18294" s="50" t="s">
        <v>87</v>
      </c>
      <c r="B18294" s="72" t="str">
        <f>VLOOKUP(A18294,'Componentes APUs'!$A$1:$D$14,2,0)</f>
        <v>Casco dielectrico Tipo 2 Clase E con barboquejo</v>
      </c>
      <c r="C18294" s="73"/>
      <c r="D18294" s="50" t="str">
        <f>VLOOKUP(A18294,'Componentes APUs'!$A$1:$D$14,3,0)</f>
        <v>U</v>
      </c>
      <c r="E18294" s="53">
        <f>IF(A18266="MO-3",C18266,0)</f>
        <v>0</v>
      </c>
      <c r="F18294" s="51">
        <f>VLOOKUP(A18294,'Componentes APUs'!$A$1:$D$14,4,0)</f>
        <v>7500</v>
      </c>
      <c r="G18294" s="51">
        <f>ROUNDUP(F18294*(E18294/21)/E18251,0)</f>
        <v>0</v>
      </c>
    </row>
    <row r="18295" spans="1:7" x14ac:dyDescent="0.25">
      <c r="A18295" s="69" t="s">
        <v>89</v>
      </c>
      <c r="B18295" s="72" t="str">
        <f>VLOOKUP(A18295,'Componentes APUs'!$A$1:$D$14,2,0)</f>
        <v>Kit de rescate para trabajo en alturas</v>
      </c>
      <c r="C18295" s="73"/>
      <c r="D18295" s="50" t="str">
        <f>VLOOKUP(A18295,'Componentes APUs'!$A$1:$D$14,3,0)</f>
        <v>U</v>
      </c>
      <c r="E18295" s="50">
        <f>IF(AND(A18266="MO-3",C18266=2),1,0)</f>
        <v>0</v>
      </c>
      <c r="F18295" s="51">
        <f>VLOOKUP(A18295,'Componentes APUs'!$A$1:$D$14,4,0)</f>
        <v>37500</v>
      </c>
      <c r="G18295" s="51">
        <f>ROUNDUP(F18295*(E18295/21)/E18251,0)</f>
        <v>0</v>
      </c>
    </row>
    <row r="18296" spans="1:7" x14ac:dyDescent="0.25">
      <c r="A18296" s="50" t="s">
        <v>91</v>
      </c>
      <c r="B18296" s="72" t="str">
        <f>VLOOKUP(A18296,'Componentes APUs'!$A$1:$D$14,2,0)</f>
        <v>Equipo completo para trabajo en alturas con pretales (Arnes dielectrico, 1 mosqueton de seguridad, tie off dielectrico, eslinga de posicionamiento, juego de pretales)</v>
      </c>
      <c r="C18296" s="73"/>
      <c r="D18296" s="50" t="str">
        <f>VLOOKUP(A18296,'Componentes APUs'!$A$1:$D$14,3,0)</f>
        <v>U</v>
      </c>
      <c r="E18296" s="50">
        <f>IF(A18266="MO-3",C18266,0)</f>
        <v>0</v>
      </c>
      <c r="F18296" s="51">
        <f>VLOOKUP(A18296,'Componentes APUs'!$A$1:$D$14,4,0)</f>
        <v>26041.666666666668</v>
      </c>
      <c r="G18296" s="51">
        <f>ROUNDUP(F18296*(E18296/21)/E18251,0)</f>
        <v>0</v>
      </c>
    </row>
    <row r="18297" spans="1:7" x14ac:dyDescent="0.25">
      <c r="A18297" s="219" t="s">
        <v>95</v>
      </c>
      <c r="B18297" s="219"/>
      <c r="C18297" s="219"/>
      <c r="D18297" s="219"/>
      <c r="E18297" s="219"/>
      <c r="F18297" s="219"/>
      <c r="G18297" s="52">
        <f>SUM(G18284:G18296)</f>
        <v>91</v>
      </c>
    </row>
    <row r="18298" spans="1:7" x14ac:dyDescent="0.25">
      <c r="A18298" s="56"/>
      <c r="B18298" s="57"/>
      <c r="C18298" s="57"/>
      <c r="D18298" s="57"/>
      <c r="E18298" s="57"/>
      <c r="F18298" s="57"/>
      <c r="G18298" s="58"/>
    </row>
    <row r="18299" spans="1:7" x14ac:dyDescent="0.25">
      <c r="A18299" s="219" t="s">
        <v>96</v>
      </c>
      <c r="B18299" s="219"/>
      <c r="C18299" s="219"/>
      <c r="D18299" s="219"/>
      <c r="E18299" s="219"/>
      <c r="F18299" s="219"/>
      <c r="G18299" s="219"/>
    </row>
    <row r="18300" spans="1:7" x14ac:dyDescent="0.25">
      <c r="A18300" s="49" t="s">
        <v>35</v>
      </c>
      <c r="B18300" s="225" t="s">
        <v>36</v>
      </c>
      <c r="C18300" s="225"/>
      <c r="D18300" s="49" t="s">
        <v>37</v>
      </c>
      <c r="E18300" s="49" t="s">
        <v>38</v>
      </c>
      <c r="F18300" s="49" t="s">
        <v>39</v>
      </c>
      <c r="G18300" s="49" t="s">
        <v>40</v>
      </c>
    </row>
    <row r="18301" spans="1:7" x14ac:dyDescent="0.25">
      <c r="A18301" s="69" t="s">
        <v>97</v>
      </c>
      <c r="B18301" s="72" t="str">
        <f>VLOOKUP(A18301,'Componentes APUs'!$N$1:$Q$30,2,0)</f>
        <v>Camioneta</v>
      </c>
      <c r="C18301" s="73"/>
      <c r="D18301" s="70" t="str">
        <f>VLOOKUP(A18301,'Componentes APUs'!$N$1:$Q$30,3,0)</f>
        <v>U</v>
      </c>
      <c r="E18301" s="50">
        <v>1</v>
      </c>
      <c r="F18301" s="51">
        <f>VLOOKUP(A18301,'Componentes APUs'!$N$1:$Q$30,4,0)</f>
        <v>5500000</v>
      </c>
      <c r="G18301" s="51">
        <f>IFERROR(ROUNDUP(F18301*(E18301/21)/E18251,0),0)</f>
        <v>3274</v>
      </c>
    </row>
    <row r="18302" spans="1:7" x14ac:dyDescent="0.25">
      <c r="A18302" s="50" t="s">
        <v>321</v>
      </c>
      <c r="B18302" s="72" t="str">
        <f>VLOOKUP(A18302,'Componentes APUs'!$N$1:$Q$30,2,0)</f>
        <v>Grúa Hidráulica</v>
      </c>
      <c r="C18302" s="73"/>
      <c r="D18302" s="70" t="str">
        <f>VLOOKUP(A18302,'Componentes APUs'!$N$1:$Q$30,3,0)</f>
        <v>U</v>
      </c>
      <c r="E18302" s="50">
        <v>0</v>
      </c>
      <c r="F18302" s="51">
        <f>VLOOKUP(A18302,'Componentes APUs'!$N$1:$Q$30,4,0)</f>
        <v>21000000</v>
      </c>
      <c r="G18302" s="51">
        <f>IFERROR(ROUNDUP(F18302*(E18302/21)/E18251,0),0)</f>
        <v>0</v>
      </c>
    </row>
    <row r="18303" spans="1:7" x14ac:dyDescent="0.25">
      <c r="A18303" s="69" t="s">
        <v>322</v>
      </c>
      <c r="B18303" s="72" t="str">
        <f>VLOOKUP(A18303,'Componentes APUs'!$N$1:$Q$30,2,0)</f>
        <v>Camabaja</v>
      </c>
      <c r="C18303" s="73"/>
      <c r="D18303" s="70" t="str">
        <f>VLOOKUP(A18303,'Componentes APUs'!$N$1:$Q$30,3,0)</f>
        <v>TON/KM</v>
      </c>
      <c r="E18303" s="50">
        <v>0</v>
      </c>
      <c r="F18303" s="51">
        <f>VLOOKUP(A18303,'Componentes APUs'!$N$1:$Q$30,4,0)</f>
        <v>611</v>
      </c>
      <c r="G18303" s="51">
        <f>IFERROR(ROUNDUP(F18303*(E18303/21)/E18251,0),0)</f>
        <v>0</v>
      </c>
    </row>
    <row r="18304" spans="1:7" x14ac:dyDescent="0.25">
      <c r="A18304" s="50" t="s">
        <v>323</v>
      </c>
      <c r="B18304" s="72" t="str">
        <f>VLOOKUP(A18304,'Componentes APUs'!$N$1:$Q$30,2,0)</f>
        <v>Volqueta</v>
      </c>
      <c r="C18304" s="73"/>
      <c r="D18304" s="70" t="str">
        <f>VLOOKUP(A18304,'Componentes APUs'!$N$1:$Q$30,3,0)</f>
        <v>U</v>
      </c>
      <c r="E18304" s="50">
        <v>0</v>
      </c>
      <c r="F18304" s="51">
        <f>VLOOKUP(A18304,'Componentes APUs'!$N$1:$Q$30,4,0)</f>
        <v>14828184</v>
      </c>
      <c r="G18304" s="51">
        <f>IFERROR(ROUNDUP(F18304*(E18304/21)/E18251,0),0)</f>
        <v>0</v>
      </c>
    </row>
    <row r="18305" spans="1:8" x14ac:dyDescent="0.25">
      <c r="A18305" s="69" t="s">
        <v>324</v>
      </c>
      <c r="B18305" s="72" t="str">
        <f>VLOOKUP(A18305,'Componentes APUs'!$N$1:$Q$30,2,0)</f>
        <v>Retroexcavadora</v>
      </c>
      <c r="C18305" s="73"/>
      <c r="D18305" s="70" t="str">
        <f>VLOOKUP(A18305,'Componentes APUs'!$N$1:$Q$30,3,0)</f>
        <v>U</v>
      </c>
      <c r="E18305" s="50">
        <v>0</v>
      </c>
      <c r="F18305" s="51">
        <f>VLOOKUP(A18305,'Componentes APUs'!$N$1:$Q$30,4,0)</f>
        <v>46030656</v>
      </c>
      <c r="G18305" s="51">
        <f>IFERROR(ROUNDUP(F18305*(E18305/21)/E18251,0),0)</f>
        <v>0</v>
      </c>
    </row>
    <row r="18306" spans="1:8" x14ac:dyDescent="0.25">
      <c r="A18306" s="219" t="s">
        <v>99</v>
      </c>
      <c r="B18306" s="219"/>
      <c r="C18306" s="219"/>
      <c r="D18306" s="219"/>
      <c r="E18306" s="219"/>
      <c r="F18306" s="219"/>
      <c r="G18306" s="52">
        <f>SUM(G18301:G18305)</f>
        <v>3274</v>
      </c>
    </row>
    <row r="18307" spans="1:8" x14ac:dyDescent="0.25">
      <c r="A18307" s="56"/>
      <c r="B18307" s="57"/>
      <c r="C18307" s="57"/>
      <c r="D18307" s="57"/>
      <c r="E18307" s="57"/>
      <c r="F18307" s="57"/>
      <c r="G18307" s="58"/>
    </row>
    <row r="18308" spans="1:8" x14ac:dyDescent="0.25">
      <c r="A18308" s="219" t="s">
        <v>1516</v>
      </c>
      <c r="B18308" s="219"/>
      <c r="C18308" s="219"/>
      <c r="D18308" s="219"/>
      <c r="E18308" s="219"/>
      <c r="F18308" s="219"/>
      <c r="G18308" s="52">
        <f>G18306+G18297+G18280+G18270+G18260</f>
        <v>154242</v>
      </c>
    </row>
    <row r="18309" spans="1:8" x14ac:dyDescent="0.25">
      <c r="A18309" s="59"/>
      <c r="B18309" s="60"/>
      <c r="C18309" s="60"/>
      <c r="D18309" s="60"/>
      <c r="E18309" s="57"/>
      <c r="F18309" s="57"/>
      <c r="G18309" s="58"/>
    </row>
    <row r="18310" spans="1:8" x14ac:dyDescent="0.25">
      <c r="A18310" s="64"/>
      <c r="D18310" s="55"/>
      <c r="E18310" s="49" t="s">
        <v>25</v>
      </c>
      <c r="F18310" s="54">
        <v>0.15</v>
      </c>
      <c r="G18310" s="51">
        <f>G18308*F18310</f>
        <v>23136.3</v>
      </c>
    </row>
    <row r="18311" spans="1:8" x14ac:dyDescent="0.25">
      <c r="A18311" s="64"/>
      <c r="D18311" s="55"/>
      <c r="E18311" s="49" t="s">
        <v>26</v>
      </c>
      <c r="F18311" s="54">
        <v>0.05</v>
      </c>
      <c r="G18311" s="51">
        <f>G18308*F18311</f>
        <v>7712.1</v>
      </c>
    </row>
    <row r="18312" spans="1:8" x14ac:dyDescent="0.25">
      <c r="A18312" s="61"/>
      <c r="B18312" s="65"/>
      <c r="C18312" s="65"/>
      <c r="D18312" s="62"/>
      <c r="E18312" s="49" t="s">
        <v>27</v>
      </c>
      <c r="F18312" s="54">
        <v>0.05</v>
      </c>
      <c r="G18312" s="51">
        <f>G18308*F18312</f>
        <v>7712.1</v>
      </c>
    </row>
    <row r="18313" spans="1:8" x14ac:dyDescent="0.25">
      <c r="A18313" s="61"/>
      <c r="B18313" s="62"/>
      <c r="C18313" s="62"/>
      <c r="D18313" s="62"/>
      <c r="E18313" s="62"/>
      <c r="F18313" s="62"/>
      <c r="G18313" s="63"/>
    </row>
    <row r="18314" spans="1:8" x14ac:dyDescent="0.25">
      <c r="A18314" s="219" t="s">
        <v>1517</v>
      </c>
      <c r="B18314" s="219"/>
      <c r="C18314" s="219"/>
      <c r="D18314" s="219"/>
      <c r="E18314" s="219"/>
      <c r="F18314" s="219"/>
      <c r="G18314" s="52">
        <f>G18308+G18310+G18311+G18312</f>
        <v>192802.5</v>
      </c>
    </row>
    <row r="18315" spans="1:8" x14ac:dyDescent="0.25">
      <c r="A18315" s="59"/>
      <c r="B18315" s="60"/>
      <c r="C18315" s="60"/>
      <c r="D18315" s="60"/>
      <c r="E18315" s="57"/>
      <c r="F18315" s="57"/>
      <c r="G18315" s="58"/>
    </row>
    <row r="18316" spans="1:8" x14ac:dyDescent="0.25">
      <c r="A18316" s="64"/>
      <c r="D18316" s="55"/>
      <c r="E18316" s="49" t="s">
        <v>102</v>
      </c>
      <c r="F18316" s="49" t="s">
        <v>103</v>
      </c>
      <c r="G18316" s="51">
        <f>G18312*19%</f>
        <v>1465.299</v>
      </c>
    </row>
    <row r="18317" spans="1:8" x14ac:dyDescent="0.25">
      <c r="A18317" s="61"/>
      <c r="B18317" s="62"/>
      <c r="C18317" s="62"/>
      <c r="D18317" s="62"/>
      <c r="E18317" s="57"/>
      <c r="F18317" s="57"/>
      <c r="G18317" s="58"/>
    </row>
    <row r="18318" spans="1:8" x14ac:dyDescent="0.25">
      <c r="A18318" s="219" t="s">
        <v>104</v>
      </c>
      <c r="B18318" s="219"/>
      <c r="C18318" s="219"/>
      <c r="D18318" s="219"/>
      <c r="E18318" s="219"/>
      <c r="F18318" s="219"/>
      <c r="G18318" s="52">
        <f>G18316+G18314</f>
        <v>194267.799</v>
      </c>
    </row>
    <row r="18320" spans="1:8" x14ac:dyDescent="0.25">
      <c r="A18320" s="74" t="s">
        <v>29</v>
      </c>
      <c r="B18320" s="226" t="s">
        <v>30</v>
      </c>
      <c r="C18320" s="226"/>
      <c r="D18320" s="74" t="s">
        <v>31</v>
      </c>
      <c r="E18320" s="74" t="s">
        <v>32</v>
      </c>
      <c r="F18320" s="74" t="s">
        <v>189</v>
      </c>
      <c r="G18320" s="74" t="s">
        <v>33</v>
      </c>
      <c r="H18320" s="100"/>
    </row>
    <row r="18321" spans="1:7" ht="25.5" customHeight="1" x14ac:dyDescent="0.25">
      <c r="A18321" s="50" t="str">
        <f>Presupuesto!B357</f>
        <v>028_AUX</v>
      </c>
      <c r="B18321" s="220" t="str">
        <f>Presupuesto!C357</f>
        <v>SUMINISTRO E INSTALACIÓN DE CANALIZACIÓN  EN TUBO CONDUIT METALICO GALVANIZADO EMT DE 1 1/2". INCLUYE CURVAS Y ELEMENTOS DE SUJECIÓN</v>
      </c>
      <c r="C18321" s="220"/>
      <c r="D18321" s="50" t="s">
        <v>108</v>
      </c>
      <c r="E18321" s="50">
        <v>50</v>
      </c>
      <c r="F18321" s="50"/>
      <c r="G18321" s="51">
        <f>G18388</f>
        <v>141582.91399999999</v>
      </c>
    </row>
    <row r="18322" spans="1:7" x14ac:dyDescent="0.25">
      <c r="A18322" s="219" t="s">
        <v>34</v>
      </c>
      <c r="B18322" s="219"/>
      <c r="C18322" s="219"/>
      <c r="D18322" s="219"/>
      <c r="E18322" s="219"/>
      <c r="F18322" s="219"/>
      <c r="G18322" s="219"/>
    </row>
    <row r="18323" spans="1:7" x14ac:dyDescent="0.25">
      <c r="A18323" s="49" t="s">
        <v>35</v>
      </c>
      <c r="B18323" s="219" t="s">
        <v>36</v>
      </c>
      <c r="C18323" s="219"/>
      <c r="D18323" s="49" t="s">
        <v>37</v>
      </c>
      <c r="E18323" s="49" t="s">
        <v>38</v>
      </c>
      <c r="F18323" s="49" t="s">
        <v>39</v>
      </c>
      <c r="G18323" s="49" t="s">
        <v>40</v>
      </c>
    </row>
    <row r="18324" spans="1:7" x14ac:dyDescent="0.25">
      <c r="A18324" s="17" t="str">
        <f>Material!A568</f>
        <v>MA-567</v>
      </c>
      <c r="B18324" s="72" t="str">
        <f>IFERROR(VLOOKUP(A18324,Material!$A:$H,2,0),"-")</f>
        <v xml:space="preserve">TUBERIA EMT 1 1/2" </v>
      </c>
      <c r="C18324" s="73"/>
      <c r="D18324" s="50" t="str">
        <f>IFERROR(VLOOKUP(A18324,Material!$A:$H,4,0),"-")</f>
        <v>ML</v>
      </c>
      <c r="E18324" s="50">
        <v>1</v>
      </c>
      <c r="F18324" s="51">
        <f>IFERROR(VLOOKUP(A18324,Material!$A:$H,3,0),"-")</f>
        <v>89895</v>
      </c>
      <c r="G18324" s="51">
        <f t="shared" ref="G18324:G18329" si="254">IFERROR(ROUNDUP(F18324*E18324,0),"-")</f>
        <v>89895</v>
      </c>
    </row>
    <row r="18325" spans="1:7" x14ac:dyDescent="0.25">
      <c r="A18325" s="17" t="str">
        <f>Material!A570</f>
        <v>MA-569</v>
      </c>
      <c r="B18325" s="72" t="str">
        <f>IFERROR(VLOOKUP(A18325,Material!$A:$H,2,0),"-")</f>
        <v>CURVA 90 GRADOS EMT DE 1 1/2"</v>
      </c>
      <c r="C18325" s="73"/>
      <c r="D18325" s="50" t="str">
        <f>IFERROR(VLOOKUP(A18325,Material!$A:$H,4,0),"-")</f>
        <v>UN</v>
      </c>
      <c r="E18325" s="50">
        <v>0.1</v>
      </c>
      <c r="F18325" s="51">
        <f>IFERROR(VLOOKUP(A18325,Material!$A:$H,3,0),"-")</f>
        <v>11440</v>
      </c>
      <c r="G18325" s="51">
        <f t="shared" si="254"/>
        <v>1144</v>
      </c>
    </row>
    <row r="18326" spans="1:7" x14ac:dyDescent="0.25">
      <c r="A18326" s="17" t="str">
        <f>Material!A569</f>
        <v>MA-568</v>
      </c>
      <c r="B18326" s="72" t="str">
        <f>IFERROR(VLOOKUP(A18326,Material!$A:$H,2,0),"-")</f>
        <v xml:space="preserve">UNION EMT 1 1/2" </v>
      </c>
      <c r="C18326" s="73"/>
      <c r="D18326" s="50" t="str">
        <f>IFERROR(VLOOKUP(A18326,Material!$A:$H,4,0),"-")</f>
        <v>UN</v>
      </c>
      <c r="E18326" s="50">
        <v>0.33</v>
      </c>
      <c r="F18326" s="51">
        <f>IFERROR(VLOOKUP(A18326,Material!$A:$H,3,0),"-")</f>
        <v>5070</v>
      </c>
      <c r="G18326" s="51">
        <f t="shared" si="254"/>
        <v>1674</v>
      </c>
    </row>
    <row r="18327" spans="1:7" x14ac:dyDescent="0.25">
      <c r="A18327" s="17" t="str">
        <f>Material!A571</f>
        <v>MA-570</v>
      </c>
      <c r="B18327" s="72" t="str">
        <f>IFERROR(VLOOKUP(A18327,Material!$A:$H,2,0),"-")</f>
        <v xml:space="preserve">TERMINAL-CONECTOR EMT DE 1 1/2" </v>
      </c>
      <c r="C18327" s="73"/>
      <c r="D18327" s="50" t="str">
        <f>IFERROR(VLOOKUP(A18327,Material!$A:$H,4,0),"-")</f>
        <v>UN</v>
      </c>
      <c r="E18327" s="50">
        <f>2/10</f>
        <v>0.2</v>
      </c>
      <c r="F18327" s="51">
        <f>IFERROR(VLOOKUP(A18327,Material!$A:$H,3,0),"-")</f>
        <v>3380</v>
      </c>
      <c r="G18327" s="51">
        <f t="shared" si="254"/>
        <v>676</v>
      </c>
    </row>
    <row r="18328" spans="1:7" ht="27.75" customHeight="1" x14ac:dyDescent="0.25">
      <c r="A18328" s="17" t="str">
        <f>Material!A274</f>
        <v>MA-273</v>
      </c>
      <c r="B18328" s="221" t="str">
        <f>IFERROR(VLOOKUP(A18328,Material!$A:$H,2,0),"-")</f>
        <v>ABRAZADERA GRAPA METALICA 1 PULGADA ALETA DOBLE PARA TUBERIA METALICA</v>
      </c>
      <c r="C18328" s="222"/>
      <c r="D18328" s="50" t="str">
        <f>IFERROR(VLOOKUP(A18328,Material!$A:$H,4,0),"-")</f>
        <v>UN</v>
      </c>
      <c r="E18328" s="50">
        <v>0.33</v>
      </c>
      <c r="F18328" s="51">
        <f>IFERROR(VLOOKUP(A18328,Material!$A:$H,3,0),"-")</f>
        <v>390</v>
      </c>
      <c r="G18328" s="51">
        <f t="shared" si="254"/>
        <v>129</v>
      </c>
    </row>
    <row r="18329" spans="1:7" x14ac:dyDescent="0.25">
      <c r="A18329" s="17"/>
      <c r="B18329" s="72" t="str">
        <f>IFERROR(VLOOKUP(A18329,Material!$A:$H,2,0),"-")</f>
        <v>-</v>
      </c>
      <c r="C18329" s="73"/>
      <c r="D18329" s="50" t="str">
        <f>IFERROR(VLOOKUP(A18329,Material!$A:$H,4,0),"-")</f>
        <v>-</v>
      </c>
      <c r="E18329" s="50"/>
      <c r="F18329" s="51" t="str">
        <f>IFERROR(VLOOKUP(A18329,Material!$A:$H,3,0),"-")</f>
        <v>-</v>
      </c>
      <c r="G18329" s="51" t="str">
        <f t="shared" si="254"/>
        <v>-</v>
      </c>
    </row>
    <row r="18330" spans="1:7" x14ac:dyDescent="0.25">
      <c r="A18330" s="219" t="s">
        <v>41</v>
      </c>
      <c r="B18330" s="219"/>
      <c r="C18330" s="219"/>
      <c r="D18330" s="219"/>
      <c r="E18330" s="219"/>
      <c r="F18330" s="219"/>
      <c r="G18330" s="52">
        <f>SUM(G18324:G18329)</f>
        <v>93518</v>
      </c>
    </row>
    <row r="18331" spans="1:7" x14ac:dyDescent="0.25">
      <c r="A18331" s="56"/>
      <c r="B18331" s="57"/>
      <c r="C18331" s="57"/>
      <c r="D18331" s="57"/>
      <c r="E18331" s="57"/>
      <c r="F18331" s="57"/>
      <c r="G18331" s="58"/>
    </row>
    <row r="18332" spans="1:7" x14ac:dyDescent="0.25">
      <c r="A18332" s="219" t="s">
        <v>42</v>
      </c>
      <c r="B18332" s="219"/>
      <c r="C18332" s="219"/>
      <c r="D18332" s="219"/>
      <c r="E18332" s="219"/>
      <c r="F18332" s="219"/>
      <c r="G18332" s="219"/>
    </row>
    <row r="18333" spans="1:7" x14ac:dyDescent="0.25">
      <c r="A18333" s="49" t="s">
        <v>35</v>
      </c>
      <c r="B18333" s="49" t="s">
        <v>36</v>
      </c>
      <c r="C18333" s="49" t="s">
        <v>38</v>
      </c>
      <c r="D18333" s="49" t="s">
        <v>43</v>
      </c>
      <c r="E18333" s="49" t="s">
        <v>44</v>
      </c>
      <c r="F18333" s="49" t="s">
        <v>45</v>
      </c>
      <c r="G18333" s="49" t="s">
        <v>40</v>
      </c>
    </row>
    <row r="18334" spans="1:7" x14ac:dyDescent="0.25">
      <c r="A18334" s="50" t="s">
        <v>319</v>
      </c>
      <c r="B18334" s="68" t="str">
        <f>VLOOKUP(A18334,'Componentes APUs'!$H$1:$L$25,2,0)</f>
        <v>Ingeniero Residente de Obra</v>
      </c>
      <c r="C18334" s="93">
        <v>0.25</v>
      </c>
      <c r="D18334" s="50">
        <f>VLOOKUP(A18334,'Componentes APUs'!$H$1:$L$25,3,0)</f>
        <v>4</v>
      </c>
      <c r="E18334" s="51">
        <f>VLOOKUP(A18334,'Componentes APUs'!$H$1:$L$25,4,0)</f>
        <v>271142.85714285716</v>
      </c>
      <c r="F18334" s="51">
        <f>VLOOKUP(A18334,'Componentes APUs'!$H$1:$L$25,5,0)</f>
        <v>162685.71428571429</v>
      </c>
      <c r="G18334" s="51">
        <f>ROUNDUP((E18334+F18334)*C18334/E18321,0)</f>
        <v>2170</v>
      </c>
    </row>
    <row r="18335" spans="1:7" x14ac:dyDescent="0.25">
      <c r="A18335" s="50" t="s">
        <v>320</v>
      </c>
      <c r="B18335" s="68" t="str">
        <f>VLOOKUP(A18335,'Componentes APUs'!$H$1:$L$25,2,0)</f>
        <v>Tecnico Supervisor</v>
      </c>
      <c r="C18335" s="93">
        <v>0.25</v>
      </c>
      <c r="D18335" s="50">
        <f>VLOOKUP(A18335,'Componentes APUs'!$H$1:$L$25,3,0)</f>
        <v>2.2999999999999998</v>
      </c>
      <c r="E18335" s="51">
        <f>VLOOKUP(A18335,'Componentes APUs'!$H$1:$L$25,4,0)</f>
        <v>155907.14285714284</v>
      </c>
      <c r="F18335" s="51">
        <f>VLOOKUP(A18335,'Componentes APUs'!$H$1:$L$25,5,0)</f>
        <v>93544.285714285696</v>
      </c>
      <c r="G18335" s="51">
        <f>ROUNDUP((E18335+F18335)*C18335/E18321,0)</f>
        <v>1248</v>
      </c>
    </row>
    <row r="18336" spans="1:7" x14ac:dyDescent="0.25">
      <c r="A18336" s="50" t="s">
        <v>1160</v>
      </c>
      <c r="B18336" s="68" t="str">
        <f>VLOOKUP(A18336,'Componentes APUs'!$H$1:$L$25,2,0)</f>
        <v>Oficial Eléctrico</v>
      </c>
      <c r="C18336" s="93">
        <v>1</v>
      </c>
      <c r="D18336" s="50">
        <f>VLOOKUP(A18336,'Componentes APUs'!$H$1:$L$25,3,0)</f>
        <v>2</v>
      </c>
      <c r="E18336" s="51">
        <f>VLOOKUP(A18336,'Componentes APUs'!$H$1:$L$25,4,0)</f>
        <v>154619.04761904763</v>
      </c>
      <c r="F18336" s="51">
        <f>VLOOKUP(A18336,'Componentes APUs'!$H$1:$L$25,5,0)</f>
        <v>92771.42857142858</v>
      </c>
      <c r="G18336" s="51">
        <f>ROUNDUP((E18336+F18336)*C18336/E18321,0)</f>
        <v>4948</v>
      </c>
    </row>
    <row r="18337" spans="1:7" x14ac:dyDescent="0.25">
      <c r="A18337" s="50" t="s">
        <v>48</v>
      </c>
      <c r="B18337" s="68" t="str">
        <f>VLOOKUP(A18337,'Componentes APUs'!$H$1:$L$25,2,0)</f>
        <v>Ayudante Calificado</v>
      </c>
      <c r="C18337" s="93">
        <v>1</v>
      </c>
      <c r="D18337" s="50">
        <f>VLOOKUP(A18337,'Componentes APUs'!$H$1:$L$25,3,0)</f>
        <v>1.5</v>
      </c>
      <c r="E18337" s="51">
        <f>VLOOKUP(A18337,'Componentes APUs'!$H$1:$L$25,4,0)</f>
        <v>115964.28571428571</v>
      </c>
      <c r="F18337" s="51">
        <f>VLOOKUP(A18337,'Componentes APUs'!$H$1:$L$25,5,0)</f>
        <v>69578.57142857142</v>
      </c>
      <c r="G18337" s="51">
        <f>ROUNDUP((E18337+F18337)*C18337/E18321,0)</f>
        <v>3711</v>
      </c>
    </row>
    <row r="18338" spans="1:7" x14ac:dyDescent="0.25">
      <c r="A18338" s="50" t="s">
        <v>50</v>
      </c>
      <c r="B18338" s="68" t="str">
        <f>VLOOKUP(A18338,'Componentes APUs'!$H$1:$L$25,2,0)</f>
        <v>Profesional en SST</v>
      </c>
      <c r="C18338" s="93">
        <v>0.25</v>
      </c>
      <c r="D18338" s="50">
        <f>VLOOKUP(A18338,'Componentes APUs'!$H$1:$L$25,3,0)</f>
        <v>2.5</v>
      </c>
      <c r="E18338" s="51">
        <f>VLOOKUP(A18338,'Componentes APUs'!$H$1:$L$25,4,0)</f>
        <v>169464.28571428571</v>
      </c>
      <c r="F18338" s="51">
        <f>VLOOKUP(A18338,'Componentes APUs'!$H$1:$L$25,5,0)</f>
        <v>101678.57142857142</v>
      </c>
      <c r="G18338" s="51">
        <f>ROUNDUP((E18338+F18338)*C18338/E18321,0)</f>
        <v>1356</v>
      </c>
    </row>
    <row r="18339" spans="1:7" x14ac:dyDescent="0.25">
      <c r="A18339" s="50" t="s">
        <v>52</v>
      </c>
      <c r="B18339" s="68" t="str">
        <f>VLOOKUP(A18339,'Componentes APUs'!$H$1:$L$25,2,0)</f>
        <v>Ayudante No Calificado</v>
      </c>
      <c r="C18339" s="93">
        <v>0</v>
      </c>
      <c r="D18339" s="50">
        <f>VLOOKUP(A18339,'Componentes APUs'!$H$1:$L$25,3,0)</f>
        <v>1</v>
      </c>
      <c r="E18339" s="51">
        <f>VLOOKUP(A18339,'Componentes APUs'!$H$1:$L$25,4,0)</f>
        <v>77309.523809523816</v>
      </c>
      <c r="F18339" s="51">
        <f>VLOOKUP(A18339,'Componentes APUs'!$H$1:$L$25,5,0)</f>
        <v>46385.71428571429</v>
      </c>
      <c r="G18339" s="51">
        <f>ROUNDUP((E18339+F18339)*C18339/E18321,0)</f>
        <v>0</v>
      </c>
    </row>
    <row r="18340" spans="1:7" x14ac:dyDescent="0.25">
      <c r="A18340" s="219" t="s">
        <v>56</v>
      </c>
      <c r="B18340" s="219"/>
      <c r="C18340" s="219"/>
      <c r="D18340" s="219"/>
      <c r="E18340" s="219"/>
      <c r="F18340" s="219"/>
      <c r="G18340" s="52">
        <f>SUM(G18334:G18339)</f>
        <v>13433</v>
      </c>
    </row>
    <row r="18341" spans="1:7" x14ac:dyDescent="0.25">
      <c r="A18341" s="56"/>
      <c r="B18341" s="57"/>
      <c r="C18341" s="57"/>
      <c r="D18341" s="57"/>
      <c r="E18341" s="57"/>
      <c r="F18341" s="57"/>
      <c r="G18341" s="58"/>
    </row>
    <row r="18342" spans="1:7" x14ac:dyDescent="0.25">
      <c r="A18342" s="219" t="s">
        <v>57</v>
      </c>
      <c r="B18342" s="219"/>
      <c r="C18342" s="219"/>
      <c r="D18342" s="219"/>
      <c r="E18342" s="219"/>
      <c r="F18342" s="219"/>
      <c r="G18342" s="219"/>
    </row>
    <row r="18343" spans="1:7" x14ac:dyDescent="0.25">
      <c r="A18343" s="49" t="s">
        <v>35</v>
      </c>
      <c r="B18343" s="219" t="s">
        <v>36</v>
      </c>
      <c r="C18343" s="219"/>
      <c r="D18343" s="49" t="s">
        <v>37</v>
      </c>
      <c r="E18343" s="49" t="s">
        <v>38</v>
      </c>
      <c r="F18343" s="49" t="s">
        <v>39</v>
      </c>
      <c r="G18343" s="49" t="s">
        <v>40</v>
      </c>
    </row>
    <row r="18344" spans="1:7" x14ac:dyDescent="0.25">
      <c r="A18344" s="50" t="s">
        <v>326</v>
      </c>
      <c r="B18344" s="220" t="str">
        <f>VLOOKUP(A18344,'Componentes APUs'!$S$1:$V$10,2,0)</f>
        <v>Juego Llaves</v>
      </c>
      <c r="C18344" s="220"/>
      <c r="D18344" s="50" t="s">
        <v>18</v>
      </c>
      <c r="E18344" s="50">
        <v>1</v>
      </c>
      <c r="F18344" s="51">
        <f>VLOOKUP(A18344,'Componentes APUs'!$S$1:$V$10,4,0)</f>
        <v>9167</v>
      </c>
      <c r="G18344" s="51">
        <f>ROUNDUP(F18344*((E18344/21)/E18321),0)</f>
        <v>9</v>
      </c>
    </row>
    <row r="18345" spans="1:7" x14ac:dyDescent="0.25">
      <c r="A18345" s="50" t="s">
        <v>58</v>
      </c>
      <c r="B18345" s="220" t="str">
        <f>VLOOKUP(A18345,'Componentes APUs'!$S$1:$V$10,2,0)</f>
        <v>Manila de servicio</v>
      </c>
      <c r="C18345" s="220"/>
      <c r="D18345" s="50" t="s">
        <v>18</v>
      </c>
      <c r="E18345" s="50">
        <v>0</v>
      </c>
      <c r="F18345" s="51">
        <f>VLOOKUP(A18345,'Componentes APUs'!$S$1:$V$10,4,0)</f>
        <v>2333</v>
      </c>
      <c r="G18345" s="51">
        <f>ROUNDUP(F18345*((E18345/21)/E18321),0)</f>
        <v>0</v>
      </c>
    </row>
    <row r="18346" spans="1:7" x14ac:dyDescent="0.25">
      <c r="A18346" s="50" t="s">
        <v>327</v>
      </c>
      <c r="B18346" s="220" t="str">
        <f>VLOOKUP(A18346,'Componentes APUs'!$S$1:$V$10,2,0)</f>
        <v>Tula portaherramientas</v>
      </c>
      <c r="C18346" s="220"/>
      <c r="D18346" s="50" t="s">
        <v>18</v>
      </c>
      <c r="E18346" s="50">
        <v>1</v>
      </c>
      <c r="F18346" s="51">
        <f>VLOOKUP(A18346,'Componentes APUs'!$S$1:$V$10,4,0)</f>
        <v>1250</v>
      </c>
      <c r="G18346" s="51">
        <f>ROUNDUP(F18346*((E18346/21)/E18321),0)</f>
        <v>2</v>
      </c>
    </row>
    <row r="18347" spans="1:7" x14ac:dyDescent="0.25">
      <c r="A18347" s="50" t="s">
        <v>60</v>
      </c>
      <c r="B18347" s="220" t="str">
        <f>VLOOKUP(A18347,'Componentes APUs'!$S$1:$V$10,2,0)</f>
        <v>Agarradoras</v>
      </c>
      <c r="C18347" s="220"/>
      <c r="D18347" s="50" t="s">
        <v>18</v>
      </c>
      <c r="E18347" s="50">
        <v>0</v>
      </c>
      <c r="F18347" s="51">
        <f>VLOOKUP(A18347,'Componentes APUs'!$S$1:$V$10,4,0)</f>
        <v>125000</v>
      </c>
      <c r="G18347" s="51">
        <f>ROUNDUP(F18347*((E18347/21)/E18321),0)</f>
        <v>0</v>
      </c>
    </row>
    <row r="18348" spans="1:7" x14ac:dyDescent="0.25">
      <c r="A18348" s="50" t="s">
        <v>62</v>
      </c>
      <c r="B18348" s="220" t="str">
        <f>VLOOKUP(A18348,'Componentes APUs'!$S$1:$V$10,2,0)</f>
        <v>Templadoras</v>
      </c>
      <c r="C18348" s="220"/>
      <c r="D18348" s="50" t="s">
        <v>18</v>
      </c>
      <c r="E18348" s="50">
        <v>0</v>
      </c>
      <c r="F18348" s="51">
        <f>VLOOKUP(A18348,'Componentes APUs'!$S$1:$V$10,4,0)</f>
        <v>250000</v>
      </c>
      <c r="G18348" s="51">
        <f>ROUNDUP(F18348*((E18348/21)/E18321),0)</f>
        <v>0</v>
      </c>
    </row>
    <row r="18349" spans="1:7" x14ac:dyDescent="0.25">
      <c r="A18349" s="50" t="s">
        <v>328</v>
      </c>
      <c r="B18349" s="220" t="str">
        <f>VLOOKUP(A18349,'Componentes APUs'!$S$1:$V$10,2,0)</f>
        <v>Herramienta Menor</v>
      </c>
      <c r="C18349" s="220"/>
      <c r="D18349" s="50" t="s">
        <v>18</v>
      </c>
      <c r="E18349" s="50">
        <v>1</v>
      </c>
      <c r="F18349" s="51">
        <f>VLOOKUP(A18349,'Componentes APUs'!$S$1:$V$10,4,0)</f>
        <v>75758</v>
      </c>
      <c r="G18349" s="51">
        <f>ROUNDUP(F18349*((E18349/21)/E18321),0)</f>
        <v>73</v>
      </c>
    </row>
    <row r="18350" spans="1:7" x14ac:dyDescent="0.25">
      <c r="A18350" s="219" t="s">
        <v>69</v>
      </c>
      <c r="B18350" s="219"/>
      <c r="C18350" s="219"/>
      <c r="D18350" s="219"/>
      <c r="E18350" s="219"/>
      <c r="F18350" s="219"/>
      <c r="G18350" s="52">
        <f>SUM(G18344:G18349)</f>
        <v>84</v>
      </c>
    </row>
    <row r="18351" spans="1:7" x14ac:dyDescent="0.25">
      <c r="A18351" s="56"/>
      <c r="B18351" s="57"/>
      <c r="C18351" s="57"/>
      <c r="D18351" s="57"/>
      <c r="E18351" s="57"/>
      <c r="F18351" s="57"/>
      <c r="G18351" s="58"/>
    </row>
    <row r="18352" spans="1:7" x14ac:dyDescent="0.25">
      <c r="A18352" s="219" t="s">
        <v>70</v>
      </c>
      <c r="B18352" s="219"/>
      <c r="C18352" s="219"/>
      <c r="D18352" s="219"/>
      <c r="E18352" s="219"/>
      <c r="F18352" s="219"/>
      <c r="G18352" s="219"/>
    </row>
    <row r="18353" spans="1:7" x14ac:dyDescent="0.25">
      <c r="A18353" s="49" t="s">
        <v>35</v>
      </c>
      <c r="B18353" s="219" t="s">
        <v>36</v>
      </c>
      <c r="C18353" s="219"/>
      <c r="D18353" s="49" t="s">
        <v>37</v>
      </c>
      <c r="E18353" s="49" t="s">
        <v>38</v>
      </c>
      <c r="F18353" s="49" t="s">
        <v>39</v>
      </c>
      <c r="G18353" s="49" t="s">
        <v>40</v>
      </c>
    </row>
    <row r="18354" spans="1:7" x14ac:dyDescent="0.25">
      <c r="A18354" s="50" t="s">
        <v>71</v>
      </c>
      <c r="B18354" s="71" t="str">
        <f>VLOOKUP(A18354,'Componentes APUs'!$A$1:$D$14,2,0)</f>
        <v>Camisa indigo sin partes metalicas</v>
      </c>
      <c r="C18354" s="71"/>
      <c r="D18354" s="50" t="str">
        <f>VLOOKUP(A18354,'Componentes APUs'!$A$1:$D$14,3,0)</f>
        <v>U</v>
      </c>
      <c r="E18354" s="50">
        <f>SUM(C18334:C18339)</f>
        <v>2.75</v>
      </c>
      <c r="F18354" s="51">
        <f>VLOOKUP(A18354,'Componentes APUs'!$A$1:$D$14,4,0)</f>
        <v>8585.8585858585866</v>
      </c>
      <c r="G18354" s="51">
        <f>ROUNDUP(F18354*(E18354/21)/E18321,0)</f>
        <v>23</v>
      </c>
    </row>
    <row r="18355" spans="1:7" x14ac:dyDescent="0.25">
      <c r="A18355" s="69" t="s">
        <v>73</v>
      </c>
      <c r="B18355" s="72" t="str">
        <f>VLOOKUP(A18355,'Componentes APUs'!$A$1:$D$14,2,0)</f>
        <v>Bota de seguridad dielectrica</v>
      </c>
      <c r="C18355" s="73"/>
      <c r="D18355" s="70" t="str">
        <f>VLOOKUP(A18355,'Componentes APUs'!$A$1:$D$14,3,0)</f>
        <v>Par</v>
      </c>
      <c r="E18355" s="50">
        <f>SUM(C18334:C18339)</f>
        <v>2.75</v>
      </c>
      <c r="F18355" s="51">
        <f>VLOOKUP(A18355,'Componentes APUs'!$A$1:$D$14,4,0)</f>
        <v>7500</v>
      </c>
      <c r="G18355" s="51">
        <f>ROUNDUP(F18355*(E18355/21)/E18321,0)</f>
        <v>20</v>
      </c>
    </row>
    <row r="18356" spans="1:7" x14ac:dyDescent="0.25">
      <c r="A18356" s="50" t="s">
        <v>76</v>
      </c>
      <c r="B18356" s="72" t="str">
        <f>VLOOKUP(A18356,'Componentes APUs'!$A$1:$D$14,2,0)</f>
        <v>Casco dielectrico Tipo 1 Clase E con barbuquejo</v>
      </c>
      <c r="C18356" s="73"/>
      <c r="D18356" s="50" t="str">
        <f>VLOOKUP(A18356,'Componentes APUs'!$A$1:$D$14,3,0)</f>
        <v>U</v>
      </c>
      <c r="E18356" s="50">
        <f>C18339+C18334+C18337+C18338+C18335+IF(A18336&lt;&gt;"MO-3",C18336,0)</f>
        <v>2.75</v>
      </c>
      <c r="F18356" s="51">
        <f>VLOOKUP(A18356,'Componentes APUs'!$A$1:$D$14,4,0)</f>
        <v>10101.010101010101</v>
      </c>
      <c r="G18356" s="51">
        <f>ROUNDUP(F18356*(E18356/21)/E18321,0)</f>
        <v>27</v>
      </c>
    </row>
    <row r="18357" spans="1:7" x14ac:dyDescent="0.25">
      <c r="A18357" s="69" t="s">
        <v>77</v>
      </c>
      <c r="B18357" s="72" t="str">
        <f>VLOOKUP(A18357,'Componentes APUs'!$A$1:$D$14,2,0)</f>
        <v>Correa plastica y antiflama</v>
      </c>
      <c r="C18357" s="73"/>
      <c r="D18357" s="50" t="str">
        <f>VLOOKUP(A18357,'Componentes APUs'!$A$1:$D$14,3,0)</f>
        <v>U</v>
      </c>
      <c r="E18357" s="50">
        <f>SUM(C18334:C18339)</f>
        <v>2.75</v>
      </c>
      <c r="F18357" s="51">
        <f>VLOOKUP(A18357,'Componentes APUs'!$A$1:$D$14,4,0)</f>
        <v>3787.878787878788</v>
      </c>
      <c r="G18357" s="51">
        <f>ROUNDUP(F18357*(E18357/21)/E18321,0)</f>
        <v>10</v>
      </c>
    </row>
    <row r="18358" spans="1:7" x14ac:dyDescent="0.25">
      <c r="A18358" s="50" t="s">
        <v>79</v>
      </c>
      <c r="B18358" s="72" t="str">
        <f>VLOOKUP(A18358,'Componentes APUs'!$A$1:$D$14,2,0)</f>
        <v>Gafas protectoras filtro UV</v>
      </c>
      <c r="C18358" s="73"/>
      <c r="D18358" s="50" t="str">
        <f>VLOOKUP(A18358,'Componentes APUs'!$A$1:$D$14,3,0)</f>
        <v>U</v>
      </c>
      <c r="E18358" s="50">
        <f>SUM(C18334:C18339)</f>
        <v>2.75</v>
      </c>
      <c r="F18358" s="51">
        <f>VLOOKUP(A18358,'Componentes APUs'!$A$1:$D$14,4,0)</f>
        <v>2777.7777777777778</v>
      </c>
      <c r="G18358" s="51">
        <f>ROUNDUP(F18358*(E18358/21)/E18321,0)</f>
        <v>8</v>
      </c>
    </row>
    <row r="18359" spans="1:7" x14ac:dyDescent="0.25">
      <c r="A18359" s="69" t="s">
        <v>402</v>
      </c>
      <c r="B18359" s="72" t="str">
        <f>VLOOKUP(A18359,'Componentes APUs'!$A$1:$D$14,2,0)</f>
        <v>Bota de seguridad PVC dielectrica</v>
      </c>
      <c r="C18359" s="73"/>
      <c r="D18359" s="50" t="str">
        <f>VLOOKUP(A18359,'Componentes APUs'!$A$1:$D$14,3,0)</f>
        <v>Par</v>
      </c>
      <c r="E18359" s="50">
        <f>SUM(C18334:C18339)</f>
        <v>2.75</v>
      </c>
      <c r="F18359" s="51">
        <f>VLOOKUP(A18359,'Componentes APUs'!$A$1:$D$14,4,0)</f>
        <v>2916.6666666666665</v>
      </c>
      <c r="G18359" s="51">
        <f>ROUNDUP(F18359*(E18359/21)/E18321,0)</f>
        <v>8</v>
      </c>
    </row>
    <row r="18360" spans="1:7" x14ac:dyDescent="0.25">
      <c r="A18360" s="50" t="s">
        <v>403</v>
      </c>
      <c r="B18360" s="72" t="str">
        <f>VLOOKUP(A18360,'Componentes APUs'!$A$1:$D$14,2,0)</f>
        <v>Capuchon</v>
      </c>
      <c r="C18360" s="73"/>
      <c r="D18360" s="50" t="str">
        <f>VLOOKUP(A18360,'Componentes APUs'!$A$1:$D$14,3,0)</f>
        <v>U</v>
      </c>
      <c r="E18360" s="50">
        <f>SUM(C18334:C18339)</f>
        <v>2.75</v>
      </c>
      <c r="F18360" s="51">
        <f>VLOOKUP(A18360,'Componentes APUs'!$A$1:$D$14,4,0)</f>
        <v>2525.2525252525252</v>
      </c>
      <c r="G18360" s="51">
        <f>ROUNDUP(F18360*(E18360/21)/E18321,0)</f>
        <v>7</v>
      </c>
    </row>
    <row r="18361" spans="1:7" x14ac:dyDescent="0.25">
      <c r="A18361" s="69" t="s">
        <v>81</v>
      </c>
      <c r="B18361" s="72" t="str">
        <f>VLOOKUP(A18361,'Componentes APUs'!$A$1:$D$14,2,0)</f>
        <v>Guantes Protectores  - ingeniero reforzados</v>
      </c>
      <c r="C18361" s="73"/>
      <c r="D18361" s="50" t="str">
        <f>VLOOKUP(A18361,'Componentes APUs'!$A$1:$D$14,3,0)</f>
        <v>Par</v>
      </c>
      <c r="E18361" s="50">
        <f>C18336+C18337+C18339</f>
        <v>2</v>
      </c>
      <c r="F18361" s="51">
        <f>VLOOKUP(A18361,'Componentes APUs'!$A$1:$D$14,4,0)</f>
        <v>2525.2525252525252</v>
      </c>
      <c r="G18361" s="51">
        <f>ROUNDUP(F18361*(E18361/21)/E18321,0)</f>
        <v>5</v>
      </c>
    </row>
    <row r="18362" spans="1:7" x14ac:dyDescent="0.25">
      <c r="A18362" s="50" t="s">
        <v>83</v>
      </c>
      <c r="B18362" s="72" t="str">
        <f>VLOOKUP(A18362,'Componentes APUs'!$A$1:$D$14,2,0)</f>
        <v>Impermeable (pantalon camisa)</v>
      </c>
      <c r="C18362" s="73"/>
      <c r="D18362" s="50" t="str">
        <f>VLOOKUP(A18362,'Componentes APUs'!$A$1:$D$14,3,0)</f>
        <v>U</v>
      </c>
      <c r="E18362" s="50">
        <f>SUM(C18334:C18339)</f>
        <v>2.75</v>
      </c>
      <c r="F18362" s="51">
        <f>VLOOKUP(A18362,'Componentes APUs'!$A$1:$D$14,4,0)</f>
        <v>3750</v>
      </c>
      <c r="G18362" s="51">
        <f>ROUNDUP(F18362*(E18362/21)/E18321,0)</f>
        <v>10</v>
      </c>
    </row>
    <row r="18363" spans="1:7" x14ac:dyDescent="0.25">
      <c r="A18363" s="69" t="s">
        <v>85</v>
      </c>
      <c r="B18363" s="72" t="str">
        <f>VLOOKUP(A18363,'Componentes APUs'!$A$1:$D$14,2,0)</f>
        <v>Jean Dielectrico</v>
      </c>
      <c r="C18363" s="73"/>
      <c r="D18363" s="50" t="str">
        <f>VLOOKUP(A18363,'Componentes APUs'!$A$1:$D$14,3,0)</f>
        <v>U</v>
      </c>
      <c r="E18363" s="50">
        <f>SUM(C18334:C18339)</f>
        <v>2.75</v>
      </c>
      <c r="F18363" s="51">
        <f>VLOOKUP(A18363,'Componentes APUs'!$A$1:$D$14,4,0)</f>
        <v>7575.757575757576</v>
      </c>
      <c r="G18363" s="51">
        <f>ROUNDUP(F18363*(E18363/21)/E18321,0)</f>
        <v>20</v>
      </c>
    </row>
    <row r="18364" spans="1:7" x14ac:dyDescent="0.25">
      <c r="A18364" s="50" t="s">
        <v>87</v>
      </c>
      <c r="B18364" s="72" t="str">
        <f>VLOOKUP(A18364,'Componentes APUs'!$A$1:$D$14,2,0)</f>
        <v>Casco dielectrico Tipo 2 Clase E con barboquejo</v>
      </c>
      <c r="C18364" s="73"/>
      <c r="D18364" s="50" t="str">
        <f>VLOOKUP(A18364,'Componentes APUs'!$A$1:$D$14,3,0)</f>
        <v>U</v>
      </c>
      <c r="E18364" s="53">
        <f>IF(A18336="MO-3",C18336,0)</f>
        <v>0</v>
      </c>
      <c r="F18364" s="51">
        <f>VLOOKUP(A18364,'Componentes APUs'!$A$1:$D$14,4,0)</f>
        <v>7500</v>
      </c>
      <c r="G18364" s="51">
        <f>ROUNDUP(F18364*(E18364/21)/E18321,0)</f>
        <v>0</v>
      </c>
    </row>
    <row r="18365" spans="1:7" x14ac:dyDescent="0.25">
      <c r="A18365" s="69" t="s">
        <v>89</v>
      </c>
      <c r="B18365" s="72" t="str">
        <f>VLOOKUP(A18365,'Componentes APUs'!$A$1:$D$14,2,0)</f>
        <v>Kit de rescate para trabajo en alturas</v>
      </c>
      <c r="C18365" s="73"/>
      <c r="D18365" s="50" t="str">
        <f>VLOOKUP(A18365,'Componentes APUs'!$A$1:$D$14,3,0)</f>
        <v>U</v>
      </c>
      <c r="E18365" s="50">
        <f>IF(AND(A18336="MO-3",C18336=2),1,0)</f>
        <v>0</v>
      </c>
      <c r="F18365" s="51">
        <f>VLOOKUP(A18365,'Componentes APUs'!$A$1:$D$14,4,0)</f>
        <v>37500</v>
      </c>
      <c r="G18365" s="51">
        <f>ROUNDUP(F18365*(E18365/21)/E18321,0)</f>
        <v>0</v>
      </c>
    </row>
    <row r="18366" spans="1:7" x14ac:dyDescent="0.25">
      <c r="A18366" s="50" t="s">
        <v>91</v>
      </c>
      <c r="B18366" s="72" t="str">
        <f>VLOOKUP(A18366,'Componentes APUs'!$A$1:$D$14,2,0)</f>
        <v>Equipo completo para trabajo en alturas con pretales (Arnes dielectrico, 1 mosqueton de seguridad, tie off dielectrico, eslinga de posicionamiento, juego de pretales)</v>
      </c>
      <c r="C18366" s="73"/>
      <c r="D18366" s="50" t="str">
        <f>VLOOKUP(A18366,'Componentes APUs'!$A$1:$D$14,3,0)</f>
        <v>U</v>
      </c>
      <c r="E18366" s="50">
        <f>IF(A18336="MO-3",C18336,0)</f>
        <v>0</v>
      </c>
      <c r="F18366" s="51">
        <f>VLOOKUP(A18366,'Componentes APUs'!$A$1:$D$14,4,0)</f>
        <v>26041.666666666668</v>
      </c>
      <c r="G18366" s="51">
        <f>ROUNDUP(F18366*(E18366/21)/E18321,0)</f>
        <v>0</v>
      </c>
    </row>
    <row r="18367" spans="1:7" x14ac:dyDescent="0.25">
      <c r="A18367" s="219" t="s">
        <v>95</v>
      </c>
      <c r="B18367" s="219"/>
      <c r="C18367" s="219"/>
      <c r="D18367" s="219"/>
      <c r="E18367" s="219"/>
      <c r="F18367" s="219"/>
      <c r="G18367" s="52">
        <f>SUM(G18354:G18366)</f>
        <v>138</v>
      </c>
    </row>
    <row r="18368" spans="1:7" x14ac:dyDescent="0.25">
      <c r="A18368" s="56"/>
      <c r="B18368" s="57"/>
      <c r="C18368" s="57"/>
      <c r="D18368" s="57"/>
      <c r="E18368" s="57"/>
      <c r="F18368" s="57"/>
      <c r="G18368" s="58"/>
    </row>
    <row r="18369" spans="1:7" x14ac:dyDescent="0.25">
      <c r="A18369" s="219" t="s">
        <v>96</v>
      </c>
      <c r="B18369" s="219"/>
      <c r="C18369" s="219"/>
      <c r="D18369" s="219"/>
      <c r="E18369" s="219"/>
      <c r="F18369" s="219"/>
      <c r="G18369" s="219"/>
    </row>
    <row r="18370" spans="1:7" x14ac:dyDescent="0.25">
      <c r="A18370" s="49" t="s">
        <v>35</v>
      </c>
      <c r="B18370" s="225" t="s">
        <v>36</v>
      </c>
      <c r="C18370" s="225"/>
      <c r="D18370" s="49" t="s">
        <v>37</v>
      </c>
      <c r="E18370" s="49" t="s">
        <v>38</v>
      </c>
      <c r="F18370" s="49" t="s">
        <v>39</v>
      </c>
      <c r="G18370" s="49" t="s">
        <v>40</v>
      </c>
    </row>
    <row r="18371" spans="1:7" x14ac:dyDescent="0.25">
      <c r="A18371" s="69" t="s">
        <v>97</v>
      </c>
      <c r="B18371" s="72" t="str">
        <f>VLOOKUP(A18371,'Componentes APUs'!$N$1:$Q$30,2,0)</f>
        <v>Camioneta</v>
      </c>
      <c r="C18371" s="73"/>
      <c r="D18371" s="70" t="str">
        <f>VLOOKUP(A18371,'Componentes APUs'!$N$1:$Q$30,3,0)</f>
        <v>U</v>
      </c>
      <c r="E18371" s="50">
        <v>1</v>
      </c>
      <c r="F18371" s="51">
        <f>VLOOKUP(A18371,'Componentes APUs'!$N$1:$Q$30,4,0)</f>
        <v>5500000</v>
      </c>
      <c r="G18371" s="51">
        <f>IFERROR(ROUNDUP(F18371*(E18371/21)/E18321,0),0)</f>
        <v>5239</v>
      </c>
    </row>
    <row r="18372" spans="1:7" x14ac:dyDescent="0.25">
      <c r="A18372" s="50" t="s">
        <v>321</v>
      </c>
      <c r="B18372" s="72" t="str">
        <f>VLOOKUP(A18372,'Componentes APUs'!$N$1:$Q$30,2,0)</f>
        <v>Grúa Hidráulica</v>
      </c>
      <c r="C18372" s="73"/>
      <c r="D18372" s="70" t="str">
        <f>VLOOKUP(A18372,'Componentes APUs'!$N$1:$Q$30,3,0)</f>
        <v>U</v>
      </c>
      <c r="E18372" s="50">
        <v>0</v>
      </c>
      <c r="F18372" s="51">
        <f>VLOOKUP(A18372,'Componentes APUs'!$N$1:$Q$30,4,0)</f>
        <v>21000000</v>
      </c>
      <c r="G18372" s="51">
        <f>IFERROR(ROUNDUP(F18372*(E18372/21)/E18321,0),0)</f>
        <v>0</v>
      </c>
    </row>
    <row r="18373" spans="1:7" x14ac:dyDescent="0.25">
      <c r="A18373" s="69" t="s">
        <v>322</v>
      </c>
      <c r="B18373" s="72" t="str">
        <f>VLOOKUP(A18373,'Componentes APUs'!$N$1:$Q$30,2,0)</f>
        <v>Camabaja</v>
      </c>
      <c r="C18373" s="73"/>
      <c r="D18373" s="70" t="str">
        <f>VLOOKUP(A18373,'Componentes APUs'!$N$1:$Q$30,3,0)</f>
        <v>TON/KM</v>
      </c>
      <c r="E18373" s="50">
        <v>0</v>
      </c>
      <c r="F18373" s="51">
        <f>VLOOKUP(A18373,'Componentes APUs'!$N$1:$Q$30,4,0)</f>
        <v>611</v>
      </c>
      <c r="G18373" s="51">
        <f>IFERROR(ROUNDUP(F18373*(E18373/21)/E18321,0),0)</f>
        <v>0</v>
      </c>
    </row>
    <row r="18374" spans="1:7" x14ac:dyDescent="0.25">
      <c r="A18374" s="50" t="s">
        <v>323</v>
      </c>
      <c r="B18374" s="72" t="str">
        <f>VLOOKUP(A18374,'Componentes APUs'!$N$1:$Q$30,2,0)</f>
        <v>Volqueta</v>
      </c>
      <c r="C18374" s="73"/>
      <c r="D18374" s="70" t="str">
        <f>VLOOKUP(A18374,'Componentes APUs'!$N$1:$Q$30,3,0)</f>
        <v>U</v>
      </c>
      <c r="E18374" s="50">
        <v>0</v>
      </c>
      <c r="F18374" s="51">
        <f>VLOOKUP(A18374,'Componentes APUs'!$N$1:$Q$30,4,0)</f>
        <v>14828184</v>
      </c>
      <c r="G18374" s="51">
        <f>IFERROR(ROUNDUP(F18374*(E18374/21)/E18321,0),0)</f>
        <v>0</v>
      </c>
    </row>
    <row r="18375" spans="1:7" x14ac:dyDescent="0.25">
      <c r="A18375" s="69" t="s">
        <v>324</v>
      </c>
      <c r="B18375" s="72" t="str">
        <f>VLOOKUP(A18375,'Componentes APUs'!$N$1:$Q$30,2,0)</f>
        <v>Retroexcavadora</v>
      </c>
      <c r="C18375" s="73"/>
      <c r="D18375" s="70" t="str">
        <f>VLOOKUP(A18375,'Componentes APUs'!$N$1:$Q$30,3,0)</f>
        <v>U</v>
      </c>
      <c r="E18375" s="50">
        <v>0</v>
      </c>
      <c r="F18375" s="51">
        <f>VLOOKUP(A18375,'Componentes APUs'!$N$1:$Q$30,4,0)</f>
        <v>46030656</v>
      </c>
      <c r="G18375" s="51">
        <f>IFERROR(ROUNDUP(F18375*(E18375/21)/E18321,0),0)</f>
        <v>0</v>
      </c>
    </row>
    <row r="18376" spans="1:7" x14ac:dyDescent="0.25">
      <c r="A18376" s="219" t="s">
        <v>99</v>
      </c>
      <c r="B18376" s="219"/>
      <c r="C18376" s="219"/>
      <c r="D18376" s="219"/>
      <c r="E18376" s="219"/>
      <c r="F18376" s="219"/>
      <c r="G18376" s="52">
        <f>SUM(G18371:G18375)</f>
        <v>5239</v>
      </c>
    </row>
    <row r="18377" spans="1:7" x14ac:dyDescent="0.25">
      <c r="A18377" s="56"/>
      <c r="B18377" s="57"/>
      <c r="C18377" s="57"/>
      <c r="D18377" s="57"/>
      <c r="E18377" s="57"/>
      <c r="F18377" s="57"/>
      <c r="G18377" s="58"/>
    </row>
    <row r="18378" spans="1:7" x14ac:dyDescent="0.25">
      <c r="A18378" s="219" t="s">
        <v>1516</v>
      </c>
      <c r="B18378" s="219"/>
      <c r="C18378" s="219"/>
      <c r="D18378" s="219"/>
      <c r="E18378" s="219"/>
      <c r="F18378" s="219"/>
      <c r="G18378" s="52">
        <f>G18376+G18367+G18350+G18340+G18330</f>
        <v>112412</v>
      </c>
    </row>
    <row r="18379" spans="1:7" x14ac:dyDescent="0.25">
      <c r="A18379" s="59"/>
      <c r="B18379" s="60"/>
      <c r="C18379" s="60"/>
      <c r="D18379" s="60"/>
      <c r="E18379" s="57"/>
      <c r="F18379" s="57"/>
      <c r="G18379" s="58"/>
    </row>
    <row r="18380" spans="1:7" x14ac:dyDescent="0.25">
      <c r="A18380" s="64"/>
      <c r="D18380" s="55"/>
      <c r="E18380" s="49" t="s">
        <v>25</v>
      </c>
      <c r="F18380" s="54">
        <v>0.15</v>
      </c>
      <c r="G18380" s="51">
        <f>G18378*F18380</f>
        <v>16861.8</v>
      </c>
    </row>
    <row r="18381" spans="1:7" x14ac:dyDescent="0.25">
      <c r="A18381" s="64"/>
      <c r="D18381" s="55"/>
      <c r="E18381" s="49" t="s">
        <v>26</v>
      </c>
      <c r="F18381" s="54">
        <v>0.05</v>
      </c>
      <c r="G18381" s="51">
        <f>G18378*F18381</f>
        <v>5620.6</v>
      </c>
    </row>
    <row r="18382" spans="1:7" x14ac:dyDescent="0.25">
      <c r="A18382" s="61"/>
      <c r="B18382" s="65"/>
      <c r="C18382" s="65"/>
      <c r="D18382" s="62"/>
      <c r="E18382" s="49" t="s">
        <v>27</v>
      </c>
      <c r="F18382" s="54">
        <v>0.05</v>
      </c>
      <c r="G18382" s="51">
        <f>G18378*F18382</f>
        <v>5620.6</v>
      </c>
    </row>
    <row r="18383" spans="1:7" x14ac:dyDescent="0.25">
      <c r="A18383" s="61"/>
      <c r="B18383" s="62"/>
      <c r="C18383" s="62"/>
      <c r="D18383" s="62"/>
      <c r="E18383" s="62"/>
      <c r="F18383" s="62"/>
      <c r="G18383" s="63"/>
    </row>
    <row r="18384" spans="1:7" x14ac:dyDescent="0.25">
      <c r="A18384" s="219" t="s">
        <v>1517</v>
      </c>
      <c r="B18384" s="219"/>
      <c r="C18384" s="219"/>
      <c r="D18384" s="219"/>
      <c r="E18384" s="219"/>
      <c r="F18384" s="219"/>
      <c r="G18384" s="52">
        <f>G18378+G18380+G18381+G18382</f>
        <v>140515</v>
      </c>
    </row>
    <row r="18385" spans="1:7" x14ac:dyDescent="0.25">
      <c r="A18385" s="59"/>
      <c r="B18385" s="60"/>
      <c r="C18385" s="60"/>
      <c r="D18385" s="60"/>
      <c r="E18385" s="57"/>
      <c r="F18385" s="57"/>
      <c r="G18385" s="58"/>
    </row>
    <row r="18386" spans="1:7" x14ac:dyDescent="0.25">
      <c r="A18386" s="64"/>
      <c r="D18386" s="55"/>
      <c r="E18386" s="49" t="s">
        <v>102</v>
      </c>
      <c r="F18386" s="49" t="s">
        <v>103</v>
      </c>
      <c r="G18386" s="51">
        <f>G18382*19%</f>
        <v>1067.914</v>
      </c>
    </row>
    <row r="18387" spans="1:7" x14ac:dyDescent="0.25">
      <c r="A18387" s="61"/>
      <c r="B18387" s="62"/>
      <c r="C18387" s="62"/>
      <c r="D18387" s="62"/>
      <c r="E18387" s="57"/>
      <c r="F18387" s="57"/>
      <c r="G18387" s="58"/>
    </row>
    <row r="18388" spans="1:7" x14ac:dyDescent="0.25">
      <c r="A18388" s="219" t="s">
        <v>104</v>
      </c>
      <c r="B18388" s="219"/>
      <c r="C18388" s="219"/>
      <c r="D18388" s="219"/>
      <c r="E18388" s="219"/>
      <c r="F18388" s="219"/>
      <c r="G18388" s="52">
        <f>G18386+G18384</f>
        <v>141582.91399999999</v>
      </c>
    </row>
    <row r="18390" spans="1:7" x14ac:dyDescent="0.25">
      <c r="A18390" s="74" t="s">
        <v>29</v>
      </c>
      <c r="B18390" s="226" t="s">
        <v>30</v>
      </c>
      <c r="C18390" s="226"/>
      <c r="D18390" s="74" t="s">
        <v>31</v>
      </c>
      <c r="E18390" s="74" t="s">
        <v>32</v>
      </c>
      <c r="F18390" s="74" t="s">
        <v>189</v>
      </c>
      <c r="G18390" s="74" t="s">
        <v>33</v>
      </c>
    </row>
    <row r="18391" spans="1:7" ht="34.5" customHeight="1" x14ac:dyDescent="0.25">
      <c r="A18391" s="50" t="str">
        <f>Presupuesto!B359</f>
        <v>029_AUX</v>
      </c>
      <c r="B18391" s="220" t="str">
        <f>Presupuesto!C359</f>
        <v>SUMINISTRO, TRANSPORTE E INSTALACIÓN DE POSTE METÁLICO 8 METROS. INCLUYE SOPORTES Y ACCESORIOS</v>
      </c>
      <c r="C18391" s="220"/>
      <c r="D18391" s="50" t="s">
        <v>8</v>
      </c>
      <c r="E18391" s="50">
        <v>5</v>
      </c>
      <c r="F18391" s="50"/>
      <c r="G18391" s="51">
        <f>G18454</f>
        <v>3528270.0969999996</v>
      </c>
    </row>
    <row r="18392" spans="1:7" x14ac:dyDescent="0.25">
      <c r="A18392" s="219"/>
      <c r="B18392" s="219"/>
      <c r="C18392" s="219"/>
      <c r="D18392" s="219"/>
      <c r="E18392" s="219"/>
      <c r="F18392" s="219"/>
      <c r="G18392" s="219"/>
    </row>
    <row r="18393" spans="1:7" x14ac:dyDescent="0.25">
      <c r="A18393" s="49" t="s">
        <v>35</v>
      </c>
      <c r="B18393" s="219" t="s">
        <v>36</v>
      </c>
      <c r="C18393" s="219"/>
      <c r="D18393" s="49" t="s">
        <v>37</v>
      </c>
      <c r="E18393" s="49" t="s">
        <v>38</v>
      </c>
      <c r="F18393" s="49" t="s">
        <v>39</v>
      </c>
      <c r="G18393" s="49" t="s">
        <v>40</v>
      </c>
    </row>
    <row r="18394" spans="1:7" x14ac:dyDescent="0.25">
      <c r="A18394" s="17" t="str">
        <f>Material!A126</f>
        <v>MA-125</v>
      </c>
      <c r="B18394" s="72" t="str">
        <f>IFERROR(VLOOKUP(A18394,Material!$A:$J,2,0),"-")</f>
        <v>POSTE METÁLICO DE 8 M PARA ALUMBRADO</v>
      </c>
      <c r="C18394" s="73"/>
      <c r="D18394" s="50" t="str">
        <f>IFERROR(VLOOKUP(A18394,Material!$A:$J,4,0),"-")</f>
        <v>UN</v>
      </c>
      <c r="E18394" s="50">
        <v>1</v>
      </c>
      <c r="F18394" s="51">
        <f>IFERROR(VLOOKUP(A18394,Material!$A:$J,3,0),"-")</f>
        <v>2548260</v>
      </c>
      <c r="G18394" s="51">
        <f t="shared" ref="G18394:G18395" si="255">IFERROR(ROUNDUP(F18394*E18394,0),"-")</f>
        <v>2548260</v>
      </c>
    </row>
    <row r="18395" spans="1:7" x14ac:dyDescent="0.25">
      <c r="A18395" s="17"/>
      <c r="B18395" s="72" t="str">
        <f>IFERROR(VLOOKUP(A18395,Material!$A:$J,2,0),"-")</f>
        <v>-</v>
      </c>
      <c r="C18395" s="76"/>
      <c r="D18395" s="50" t="str">
        <f>IFERROR(VLOOKUP(A18395,Material!$A:$J,4,0),"-")</f>
        <v>-</v>
      </c>
      <c r="E18395" s="50"/>
      <c r="F18395" s="51" t="str">
        <f>IFERROR(VLOOKUP(A18395,Material!$A:$J,3,0),"-")</f>
        <v>-</v>
      </c>
      <c r="G18395" s="51" t="str">
        <f t="shared" si="255"/>
        <v>-</v>
      </c>
    </row>
    <row r="18396" spans="1:7" x14ac:dyDescent="0.25">
      <c r="A18396" s="219" t="s">
        <v>41</v>
      </c>
      <c r="B18396" s="219"/>
      <c r="C18396" s="219"/>
      <c r="D18396" s="219"/>
      <c r="E18396" s="219"/>
      <c r="F18396" s="219"/>
      <c r="G18396" s="52">
        <f>SUM(G18394:G18395)</f>
        <v>2548260</v>
      </c>
    </row>
    <row r="18397" spans="1:7" x14ac:dyDescent="0.25">
      <c r="A18397" s="56"/>
      <c r="B18397" s="57"/>
      <c r="C18397" s="57"/>
      <c r="D18397" s="57"/>
      <c r="E18397" s="57"/>
      <c r="F18397" s="57"/>
      <c r="G18397" s="58"/>
    </row>
    <row r="18398" spans="1:7" x14ac:dyDescent="0.25">
      <c r="A18398" s="219" t="s">
        <v>42</v>
      </c>
      <c r="B18398" s="219"/>
      <c r="C18398" s="219"/>
      <c r="D18398" s="219"/>
      <c r="E18398" s="219"/>
      <c r="F18398" s="219"/>
      <c r="G18398" s="219"/>
    </row>
    <row r="18399" spans="1:7" x14ac:dyDescent="0.25">
      <c r="A18399" s="49" t="s">
        <v>35</v>
      </c>
      <c r="B18399" s="49" t="s">
        <v>36</v>
      </c>
      <c r="C18399" s="49" t="s">
        <v>38</v>
      </c>
      <c r="D18399" s="49" t="s">
        <v>43</v>
      </c>
      <c r="E18399" s="49" t="s">
        <v>44</v>
      </c>
      <c r="F18399" s="49" t="s">
        <v>45</v>
      </c>
      <c r="G18399" s="49" t="s">
        <v>40</v>
      </c>
    </row>
    <row r="18400" spans="1:7" x14ac:dyDescent="0.25">
      <c r="A18400" s="50" t="s">
        <v>319</v>
      </c>
      <c r="B18400" s="68" t="str">
        <f>VLOOKUP(A18400,'[1]Componentes APUs'!$H$1:$L$25,2,0)</f>
        <v>Ingeniero Residente de Obra</v>
      </c>
      <c r="C18400" s="93">
        <v>0.25</v>
      </c>
      <c r="D18400" s="50">
        <f>VLOOKUP(A18400,'[1]Componentes APUs'!$H$1:$L$25,3,0)</f>
        <v>4</v>
      </c>
      <c r="E18400" s="51">
        <f>VLOOKUP(A18400,'[1]Componentes APUs'!$H$1:$L$25,4,0)</f>
        <v>271142.85714285716</v>
      </c>
      <c r="F18400" s="51">
        <f>VLOOKUP(A18400,'[1]Componentes APUs'!$H$1:$L$25,5,0)</f>
        <v>162685.71428571429</v>
      </c>
      <c r="G18400" s="51">
        <f>ROUNDUP((E18400+F18400)*C18400/E18391,0)</f>
        <v>21692</v>
      </c>
    </row>
    <row r="18401" spans="1:7" x14ac:dyDescent="0.25">
      <c r="A18401" s="50" t="s">
        <v>320</v>
      </c>
      <c r="B18401" s="68" t="str">
        <f>VLOOKUP(A18401,'[1]Componentes APUs'!$H$1:$L$25,2,0)</f>
        <v>Tecnico Supervisor</v>
      </c>
      <c r="C18401" s="93">
        <v>0.25</v>
      </c>
      <c r="D18401" s="50">
        <f>VLOOKUP(A18401,'[1]Componentes APUs'!$H$1:$L$25,3,0)</f>
        <v>2.2999999999999998</v>
      </c>
      <c r="E18401" s="51">
        <f>VLOOKUP(A18401,'[1]Componentes APUs'!$H$1:$L$25,4,0)</f>
        <v>155907.14285714284</v>
      </c>
      <c r="F18401" s="51">
        <f>VLOOKUP(A18401,'[1]Componentes APUs'!$H$1:$L$25,5,0)</f>
        <v>93544.285714285696</v>
      </c>
      <c r="G18401" s="51">
        <f>ROUNDUP((E18401+F18401)*C18401/E18391,0)</f>
        <v>12473</v>
      </c>
    </row>
    <row r="18402" spans="1:7" x14ac:dyDescent="0.25">
      <c r="A18402" s="50" t="s">
        <v>1160</v>
      </c>
      <c r="B18402" s="68" t="str">
        <f>VLOOKUP(A18402,'[1]Componentes APUs'!$H$1:$L$25,2,0)</f>
        <v>Oficial Eléctrico</v>
      </c>
      <c r="C18402" s="93">
        <v>1</v>
      </c>
      <c r="D18402" s="50">
        <f>VLOOKUP(A18402,'[1]Componentes APUs'!$H$1:$L$25,3,0)</f>
        <v>2</v>
      </c>
      <c r="E18402" s="51">
        <f>VLOOKUP(A18402,'[1]Componentes APUs'!$H$1:$L$25,4,0)</f>
        <v>154619.04761904763</v>
      </c>
      <c r="F18402" s="51">
        <f>VLOOKUP(A18402,'[1]Componentes APUs'!$H$1:$L$25,5,0)</f>
        <v>92771.42857142858</v>
      </c>
      <c r="G18402" s="51">
        <f>ROUNDUP((E18402+F18402)*C18402/E18391,0)</f>
        <v>49479</v>
      </c>
    </row>
    <row r="18403" spans="1:7" x14ac:dyDescent="0.25">
      <c r="A18403" s="50" t="s">
        <v>48</v>
      </c>
      <c r="B18403" s="68" t="str">
        <f>VLOOKUP(A18403,'[1]Componentes APUs'!$H$1:$L$25,2,0)</f>
        <v>Ayudante Calificado</v>
      </c>
      <c r="C18403" s="93">
        <v>0</v>
      </c>
      <c r="D18403" s="50">
        <f>VLOOKUP(A18403,'[1]Componentes APUs'!$H$1:$L$25,3,0)</f>
        <v>1.5</v>
      </c>
      <c r="E18403" s="51">
        <f>VLOOKUP(A18403,'[1]Componentes APUs'!$H$1:$L$25,4,0)</f>
        <v>115964.28571428571</v>
      </c>
      <c r="F18403" s="51">
        <f>VLOOKUP(A18403,'[1]Componentes APUs'!$H$1:$L$25,5,0)</f>
        <v>69578.57142857142</v>
      </c>
      <c r="G18403" s="51">
        <f>ROUNDUP((E18403+F18403)*C18403/E18391,0)</f>
        <v>0</v>
      </c>
    </row>
    <row r="18404" spans="1:7" x14ac:dyDescent="0.25">
      <c r="A18404" s="50" t="s">
        <v>50</v>
      </c>
      <c r="B18404" s="68" t="str">
        <f>VLOOKUP(A18404,'[1]Componentes APUs'!$H$1:$L$25,2,0)</f>
        <v>Profesional en SST</v>
      </c>
      <c r="C18404" s="93">
        <v>0.25</v>
      </c>
      <c r="D18404" s="50">
        <f>VLOOKUP(A18404,'[1]Componentes APUs'!$H$1:$L$25,3,0)</f>
        <v>2.5</v>
      </c>
      <c r="E18404" s="51">
        <f>VLOOKUP(A18404,'[1]Componentes APUs'!$H$1:$L$25,4,0)</f>
        <v>169464.28571428571</v>
      </c>
      <c r="F18404" s="51">
        <f>VLOOKUP(A18404,'[1]Componentes APUs'!$H$1:$L$25,5,0)</f>
        <v>101678.57142857142</v>
      </c>
      <c r="G18404" s="51">
        <f>ROUNDUP((E18404+F18404)*C18404/E18391,0)</f>
        <v>13558</v>
      </c>
    </row>
    <row r="18405" spans="1:7" x14ac:dyDescent="0.25">
      <c r="A18405" s="50" t="s">
        <v>52</v>
      </c>
      <c r="B18405" s="68" t="str">
        <f>VLOOKUP(A18405,'[1]Componentes APUs'!$H$1:$L$25,2,0)</f>
        <v>Ayudante No Calificado</v>
      </c>
      <c r="C18405" s="93">
        <v>4</v>
      </c>
      <c r="D18405" s="50">
        <f>VLOOKUP(A18405,'[1]Componentes APUs'!$H$1:$L$25,3,0)</f>
        <v>1</v>
      </c>
      <c r="E18405" s="51">
        <f>VLOOKUP(A18405,'[1]Componentes APUs'!$H$1:$L$25,4,0)</f>
        <v>77309.523809523816</v>
      </c>
      <c r="F18405" s="51">
        <f>VLOOKUP(A18405,'[1]Componentes APUs'!$H$1:$L$25,5,0)</f>
        <v>46385.71428571429</v>
      </c>
      <c r="G18405" s="51">
        <f>ROUNDUP((E18405+F18405)*C18405/E18391,0)</f>
        <v>98957</v>
      </c>
    </row>
    <row r="18406" spans="1:7" x14ac:dyDescent="0.25">
      <c r="A18406" s="219" t="s">
        <v>56</v>
      </c>
      <c r="B18406" s="219"/>
      <c r="C18406" s="219"/>
      <c r="D18406" s="219"/>
      <c r="E18406" s="219"/>
      <c r="F18406" s="219"/>
      <c r="G18406" s="52">
        <f>SUM(G18400:G18405)</f>
        <v>196159</v>
      </c>
    </row>
    <row r="18407" spans="1:7" x14ac:dyDescent="0.25">
      <c r="A18407" s="56"/>
      <c r="B18407" s="57"/>
      <c r="C18407" s="57"/>
      <c r="D18407" s="57"/>
      <c r="E18407" s="57"/>
      <c r="F18407" s="57"/>
      <c r="G18407" s="58"/>
    </row>
    <row r="18408" spans="1:7" x14ac:dyDescent="0.25">
      <c r="A18408" s="219" t="s">
        <v>57</v>
      </c>
      <c r="B18408" s="219"/>
      <c r="C18408" s="219"/>
      <c r="D18408" s="219"/>
      <c r="E18408" s="219"/>
      <c r="F18408" s="219"/>
      <c r="G18408" s="219"/>
    </row>
    <row r="18409" spans="1:7" x14ac:dyDescent="0.25">
      <c r="A18409" s="49" t="s">
        <v>35</v>
      </c>
      <c r="B18409" s="219" t="s">
        <v>36</v>
      </c>
      <c r="C18409" s="219"/>
      <c r="D18409" s="49" t="s">
        <v>37</v>
      </c>
      <c r="E18409" s="49" t="s">
        <v>38</v>
      </c>
      <c r="F18409" s="49" t="s">
        <v>39</v>
      </c>
      <c r="G18409" s="49" t="s">
        <v>40</v>
      </c>
    </row>
    <row r="18410" spans="1:7" x14ac:dyDescent="0.25">
      <c r="A18410" s="50" t="s">
        <v>326</v>
      </c>
      <c r="B18410" s="220" t="str">
        <f>VLOOKUP(A18410,'[1]Componentes APUs'!$S$1:$V$10,2,0)</f>
        <v>Juego Llaves</v>
      </c>
      <c r="C18410" s="220"/>
      <c r="D18410" s="50" t="s">
        <v>18</v>
      </c>
      <c r="E18410" s="50">
        <v>2</v>
      </c>
      <c r="F18410" s="51">
        <f>VLOOKUP(A18410,'[1]Componentes APUs'!$S$1:$V$10,4,0)</f>
        <v>9167</v>
      </c>
      <c r="G18410" s="51">
        <f>ROUNDUP(F18410*((E18410/21)/E18391),0)</f>
        <v>175</v>
      </c>
    </row>
    <row r="18411" spans="1:7" x14ac:dyDescent="0.25">
      <c r="A18411" s="50" t="s">
        <v>58</v>
      </c>
      <c r="B18411" s="220" t="str">
        <f>VLOOKUP(A18411,'[1]Componentes APUs'!$S$1:$V$10,2,0)</f>
        <v>Manila de servicio</v>
      </c>
      <c r="C18411" s="220"/>
      <c r="D18411" s="50" t="s">
        <v>18</v>
      </c>
      <c r="E18411" s="50">
        <v>2</v>
      </c>
      <c r="F18411" s="51">
        <f>VLOOKUP(A18411,'[1]Componentes APUs'!$S$1:$V$10,4,0)</f>
        <v>2333</v>
      </c>
      <c r="G18411" s="51">
        <f>ROUNDUP(F18411*((E18411/21)/E18391),0)</f>
        <v>45</v>
      </c>
    </row>
    <row r="18412" spans="1:7" x14ac:dyDescent="0.25">
      <c r="A18412" s="50" t="s">
        <v>327</v>
      </c>
      <c r="B18412" s="220" t="str">
        <f>VLOOKUP(A18412,'[1]Componentes APUs'!$S$1:$V$10,2,0)</f>
        <v>Tula portaherramientas</v>
      </c>
      <c r="C18412" s="220"/>
      <c r="D18412" s="50" t="s">
        <v>18</v>
      </c>
      <c r="E18412" s="50">
        <v>2</v>
      </c>
      <c r="F18412" s="51">
        <f>VLOOKUP(A18412,'[1]Componentes APUs'!$S$1:$V$10,4,0)</f>
        <v>1250</v>
      </c>
      <c r="G18412" s="51">
        <f>ROUNDUP(F18412*((E18412/21)/E18391),0)</f>
        <v>24</v>
      </c>
    </row>
    <row r="18413" spans="1:7" x14ac:dyDescent="0.25">
      <c r="A18413" s="50" t="s">
        <v>60</v>
      </c>
      <c r="B18413" s="220" t="str">
        <f>VLOOKUP(A18413,'[1]Componentes APUs'!$S$1:$V$10,2,0)</f>
        <v>Agarradoras</v>
      </c>
      <c r="C18413" s="220"/>
      <c r="D18413" s="50" t="s">
        <v>18</v>
      </c>
      <c r="E18413" s="50">
        <v>0</v>
      </c>
      <c r="F18413" s="51">
        <f>VLOOKUP(A18413,'[1]Componentes APUs'!$S$1:$V$10,4,0)</f>
        <v>125000</v>
      </c>
      <c r="G18413" s="51">
        <f>ROUNDUP(F18413*((E18413/21)/E18391),0)</f>
        <v>0</v>
      </c>
    </row>
    <row r="18414" spans="1:7" x14ac:dyDescent="0.25">
      <c r="A18414" s="50" t="s">
        <v>62</v>
      </c>
      <c r="B18414" s="220" t="str">
        <f>VLOOKUP(A18414,'[1]Componentes APUs'!$S$1:$V$10,2,0)</f>
        <v>Templadoras</v>
      </c>
      <c r="C18414" s="220"/>
      <c r="D18414" s="50" t="s">
        <v>18</v>
      </c>
      <c r="E18414" s="50">
        <v>0</v>
      </c>
      <c r="F18414" s="51">
        <f>VLOOKUP(A18414,'[1]Componentes APUs'!$S$1:$V$10,4,0)</f>
        <v>250000</v>
      </c>
      <c r="G18414" s="51">
        <f>ROUNDUP(F18414*((E18414/21)/E18391),0)</f>
        <v>0</v>
      </c>
    </row>
    <row r="18415" spans="1:7" x14ac:dyDescent="0.25">
      <c r="A18415" s="50" t="s">
        <v>328</v>
      </c>
      <c r="B18415" s="220" t="str">
        <f>VLOOKUP(A18415,'[1]Componentes APUs'!$S$1:$V$10,2,0)</f>
        <v>Herramienta Menor</v>
      </c>
      <c r="C18415" s="220"/>
      <c r="D18415" s="50" t="s">
        <v>18</v>
      </c>
      <c r="E18415" s="50">
        <v>2</v>
      </c>
      <c r="F18415" s="51">
        <f>VLOOKUP(A18415,'[1]Componentes APUs'!$S$1:$V$10,4,0)</f>
        <v>75758</v>
      </c>
      <c r="G18415" s="51">
        <f>ROUNDUP(F18415*((E18415/21)/E18391),0)</f>
        <v>1444</v>
      </c>
    </row>
    <row r="18416" spans="1:7" x14ac:dyDescent="0.25">
      <c r="A18416" s="219" t="s">
        <v>69</v>
      </c>
      <c r="B18416" s="219"/>
      <c r="C18416" s="219"/>
      <c r="D18416" s="219"/>
      <c r="E18416" s="219"/>
      <c r="F18416" s="219"/>
      <c r="G18416" s="52">
        <f>SUM(G18410:G18415)</f>
        <v>1688</v>
      </c>
    </row>
    <row r="18417" spans="1:7" x14ac:dyDescent="0.25">
      <c r="A18417" s="56"/>
      <c r="B18417" s="57"/>
      <c r="C18417" s="57"/>
      <c r="D18417" s="57"/>
      <c r="E18417" s="57"/>
      <c r="F18417" s="57"/>
      <c r="G18417" s="58"/>
    </row>
    <row r="18418" spans="1:7" x14ac:dyDescent="0.25">
      <c r="A18418" s="219" t="s">
        <v>70</v>
      </c>
      <c r="B18418" s="219"/>
      <c r="C18418" s="219"/>
      <c r="D18418" s="219"/>
      <c r="E18418" s="219"/>
      <c r="F18418" s="219"/>
      <c r="G18418" s="219"/>
    </row>
    <row r="18419" spans="1:7" x14ac:dyDescent="0.25">
      <c r="A18419" s="49" t="s">
        <v>35</v>
      </c>
      <c r="B18419" s="219" t="s">
        <v>36</v>
      </c>
      <c r="C18419" s="219"/>
      <c r="D18419" s="49" t="s">
        <v>37</v>
      </c>
      <c r="E18419" s="49" t="s">
        <v>38</v>
      </c>
      <c r="F18419" s="49" t="s">
        <v>39</v>
      </c>
      <c r="G18419" s="49" t="s">
        <v>40</v>
      </c>
    </row>
    <row r="18420" spans="1:7" x14ac:dyDescent="0.25">
      <c r="A18420" s="50" t="s">
        <v>71</v>
      </c>
      <c r="B18420" s="71" t="str">
        <f>VLOOKUP(A18420,'[1]Componentes APUs'!$A$1:$D$14,2,0)</f>
        <v>Camisa indigo sin partes metalicas</v>
      </c>
      <c r="C18420" s="71"/>
      <c r="D18420" s="50" t="str">
        <f>VLOOKUP(A18420,'[1]Componentes APUs'!$A$1:$D$14,3,0)</f>
        <v>U</v>
      </c>
      <c r="E18420" s="50">
        <f>SUM(C18400:C18405)</f>
        <v>5.75</v>
      </c>
      <c r="F18420" s="51">
        <f>VLOOKUP(A18420,'[1]Componentes APUs'!$A$1:$D$14,4,0)</f>
        <v>8585.8585858585866</v>
      </c>
      <c r="G18420" s="51">
        <f>ROUNDUP(F18420*(E18420/21)/E18391,0)</f>
        <v>471</v>
      </c>
    </row>
    <row r="18421" spans="1:7" x14ac:dyDescent="0.25">
      <c r="A18421" s="69" t="s">
        <v>73</v>
      </c>
      <c r="B18421" s="72" t="str">
        <f>VLOOKUP(A18421,'[1]Componentes APUs'!$A$1:$D$14,2,0)</f>
        <v>Bota de seguridad dielectrica</v>
      </c>
      <c r="C18421" s="73"/>
      <c r="D18421" s="70" t="str">
        <f>VLOOKUP(A18421,'[1]Componentes APUs'!$A$1:$D$14,3,0)</f>
        <v>Par</v>
      </c>
      <c r="E18421" s="50">
        <f>SUM(C18400:C18405)</f>
        <v>5.75</v>
      </c>
      <c r="F18421" s="51">
        <f>VLOOKUP(A18421,'[1]Componentes APUs'!$A$1:$D$14,4,0)</f>
        <v>7500</v>
      </c>
      <c r="G18421" s="51">
        <f>ROUNDUP(F18421*(E18421/21)/E18391,0)</f>
        <v>411</v>
      </c>
    </row>
    <row r="18422" spans="1:7" x14ac:dyDescent="0.25">
      <c r="A18422" s="50" t="s">
        <v>76</v>
      </c>
      <c r="B18422" s="72" t="str">
        <f>VLOOKUP(A18422,'[1]Componentes APUs'!$A$1:$D$14,2,0)</f>
        <v>Casco dielectrico Tipo 1 Clase E con barbuquejo</v>
      </c>
      <c r="C18422" s="73"/>
      <c r="D18422" s="50" t="str">
        <f>VLOOKUP(A18422,'[1]Componentes APUs'!$A$1:$D$14,3,0)</f>
        <v>U</v>
      </c>
      <c r="E18422" s="50">
        <f>C18405+C18400+C18403+C18404+C18401+IF(A18402&lt;&gt;"MO-3",C18402,0)</f>
        <v>5.75</v>
      </c>
      <c r="F18422" s="51">
        <f>VLOOKUP(A18422,'[1]Componentes APUs'!$A$1:$D$14,4,0)</f>
        <v>10101.010101010101</v>
      </c>
      <c r="G18422" s="51">
        <f>ROUNDUP(F18422*(E18422/21)/E18391,0)</f>
        <v>554</v>
      </c>
    </row>
    <row r="18423" spans="1:7" x14ac:dyDescent="0.25">
      <c r="A18423" s="69" t="s">
        <v>77</v>
      </c>
      <c r="B18423" s="72" t="str">
        <f>VLOOKUP(A18423,'[1]Componentes APUs'!$A$1:$D$14,2,0)</f>
        <v>Correa plastica y antiflama</v>
      </c>
      <c r="C18423" s="73"/>
      <c r="D18423" s="50" t="str">
        <f>VLOOKUP(A18423,'[1]Componentes APUs'!$A$1:$D$14,3,0)</f>
        <v>U</v>
      </c>
      <c r="E18423" s="50">
        <f>SUM(C18400:C18405)</f>
        <v>5.75</v>
      </c>
      <c r="F18423" s="51">
        <f>VLOOKUP(A18423,'[1]Componentes APUs'!$A$1:$D$14,4,0)</f>
        <v>3787.878787878788</v>
      </c>
      <c r="G18423" s="51">
        <f>ROUNDUP(F18423*(E18423/21)/E18391,0)</f>
        <v>208</v>
      </c>
    </row>
    <row r="18424" spans="1:7" x14ac:dyDescent="0.25">
      <c r="A18424" s="50" t="s">
        <v>79</v>
      </c>
      <c r="B18424" s="72" t="str">
        <f>VLOOKUP(A18424,'[1]Componentes APUs'!$A$1:$D$14,2,0)</f>
        <v>Gafas protectoras filtro UV</v>
      </c>
      <c r="C18424" s="73"/>
      <c r="D18424" s="50" t="str">
        <f>VLOOKUP(A18424,'[1]Componentes APUs'!$A$1:$D$14,3,0)</f>
        <v>U</v>
      </c>
      <c r="E18424" s="50">
        <f>SUM(C18400:C18405)</f>
        <v>5.75</v>
      </c>
      <c r="F18424" s="51">
        <f>VLOOKUP(A18424,'[1]Componentes APUs'!$A$1:$D$14,4,0)</f>
        <v>2777.7777777777778</v>
      </c>
      <c r="G18424" s="51">
        <f>ROUNDUP(F18424*(E18424/21)/E18391,0)</f>
        <v>153</v>
      </c>
    </row>
    <row r="18425" spans="1:7" x14ac:dyDescent="0.25">
      <c r="A18425" s="69" t="s">
        <v>402</v>
      </c>
      <c r="B18425" s="72" t="str">
        <f>VLOOKUP(A18425,'[1]Componentes APUs'!$A$1:$D$14,2,0)</f>
        <v>Bota de seguridad PVC dielectrica</v>
      </c>
      <c r="C18425" s="73"/>
      <c r="D18425" s="50" t="str">
        <f>VLOOKUP(A18425,'[1]Componentes APUs'!$A$1:$D$14,3,0)</f>
        <v>Par</v>
      </c>
      <c r="E18425" s="50">
        <f>SUM(C18400:C18405)</f>
        <v>5.75</v>
      </c>
      <c r="F18425" s="51">
        <f>VLOOKUP(A18425,'[1]Componentes APUs'!$A$1:$D$14,4,0)</f>
        <v>2916.6666666666665</v>
      </c>
      <c r="G18425" s="51">
        <f>ROUNDUP(F18425*(E18425/21)/E18391,0)</f>
        <v>160</v>
      </c>
    </row>
    <row r="18426" spans="1:7" x14ac:dyDescent="0.25">
      <c r="A18426" s="50" t="s">
        <v>403</v>
      </c>
      <c r="B18426" s="72" t="str">
        <f>VLOOKUP(A18426,'[1]Componentes APUs'!$A$1:$D$14,2,0)</f>
        <v>Capuchon</v>
      </c>
      <c r="C18426" s="73"/>
      <c r="D18426" s="50" t="str">
        <f>VLOOKUP(A18426,'[1]Componentes APUs'!$A$1:$D$14,3,0)</f>
        <v>U</v>
      </c>
      <c r="E18426" s="50">
        <f>SUM(C18400:C18405)</f>
        <v>5.75</v>
      </c>
      <c r="F18426" s="51">
        <f>VLOOKUP(A18426,'[1]Componentes APUs'!$A$1:$D$14,4,0)</f>
        <v>2525.2525252525252</v>
      </c>
      <c r="G18426" s="51">
        <f>ROUNDUP(F18426*(E18426/21)/E18391,0)</f>
        <v>139</v>
      </c>
    </row>
    <row r="18427" spans="1:7" x14ac:dyDescent="0.25">
      <c r="A18427" s="69" t="s">
        <v>81</v>
      </c>
      <c r="B18427" s="72" t="str">
        <f>VLOOKUP(A18427,'[1]Componentes APUs'!$A$1:$D$14,2,0)</f>
        <v>Guantes Protectores  - ingeniero reforzados</v>
      </c>
      <c r="C18427" s="73"/>
      <c r="D18427" s="50" t="str">
        <f>VLOOKUP(A18427,'[1]Componentes APUs'!$A$1:$D$14,3,0)</f>
        <v>Par</v>
      </c>
      <c r="E18427" s="50">
        <f>C18402+C18403+C18405</f>
        <v>5</v>
      </c>
      <c r="F18427" s="51">
        <f>VLOOKUP(A18427,'[1]Componentes APUs'!$A$1:$D$14,4,0)</f>
        <v>2525.2525252525252</v>
      </c>
      <c r="G18427" s="51">
        <f>ROUNDUP(F18427*(E18427/21)/E18391,0)</f>
        <v>121</v>
      </c>
    </row>
    <row r="18428" spans="1:7" x14ac:dyDescent="0.25">
      <c r="A18428" s="50" t="s">
        <v>83</v>
      </c>
      <c r="B18428" s="72" t="str">
        <f>VLOOKUP(A18428,'[1]Componentes APUs'!$A$1:$D$14,2,0)</f>
        <v>Impermeable (pantalon camisa)</v>
      </c>
      <c r="C18428" s="73"/>
      <c r="D18428" s="50" t="str">
        <f>VLOOKUP(A18428,'[1]Componentes APUs'!$A$1:$D$14,3,0)</f>
        <v>U</v>
      </c>
      <c r="E18428" s="50">
        <f>SUM(C18400:C18405)</f>
        <v>5.75</v>
      </c>
      <c r="F18428" s="51">
        <f>VLOOKUP(A18428,'[1]Componentes APUs'!$A$1:$D$14,4,0)</f>
        <v>3750</v>
      </c>
      <c r="G18428" s="51">
        <f>ROUNDUP(F18428*(E18428/21)/E18391,0)</f>
        <v>206</v>
      </c>
    </row>
    <row r="18429" spans="1:7" x14ac:dyDescent="0.25">
      <c r="A18429" s="69" t="s">
        <v>85</v>
      </c>
      <c r="B18429" s="72" t="str">
        <f>VLOOKUP(A18429,'[1]Componentes APUs'!$A$1:$D$14,2,0)</f>
        <v>Jean Dielectrico</v>
      </c>
      <c r="C18429" s="73"/>
      <c r="D18429" s="50" t="str">
        <f>VLOOKUP(A18429,'[1]Componentes APUs'!$A$1:$D$14,3,0)</f>
        <v>U</v>
      </c>
      <c r="E18429" s="50">
        <f>SUM(C18400:C18405)</f>
        <v>5.75</v>
      </c>
      <c r="F18429" s="51">
        <f>VLOOKUP(A18429,'[1]Componentes APUs'!$A$1:$D$14,4,0)</f>
        <v>7575.757575757576</v>
      </c>
      <c r="G18429" s="51">
        <f>ROUNDUP(F18429*(E18429/21)/E18391,0)</f>
        <v>415</v>
      </c>
    </row>
    <row r="18430" spans="1:7" x14ac:dyDescent="0.25">
      <c r="A18430" s="50" t="s">
        <v>87</v>
      </c>
      <c r="B18430" s="72" t="str">
        <f>VLOOKUP(A18430,'[1]Componentes APUs'!$A$1:$D$14,2,0)</f>
        <v>Casco dielectrico Tipo 2 Clase E con barboquejo</v>
      </c>
      <c r="C18430" s="73"/>
      <c r="D18430" s="50" t="str">
        <f>VLOOKUP(A18430,'[1]Componentes APUs'!$A$1:$D$14,3,0)</f>
        <v>U</v>
      </c>
      <c r="E18430" s="53">
        <f>IF(A18402="MO-3",C18402,0)</f>
        <v>0</v>
      </c>
      <c r="F18430" s="51">
        <f>VLOOKUP(A18430,'[1]Componentes APUs'!$A$1:$D$14,4,0)</f>
        <v>7500</v>
      </c>
      <c r="G18430" s="51">
        <f>ROUNDUP(F18430*(E18430/21)/E18391,0)</f>
        <v>0</v>
      </c>
    </row>
    <row r="18431" spans="1:7" x14ac:dyDescent="0.25">
      <c r="A18431" s="69" t="s">
        <v>89</v>
      </c>
      <c r="B18431" s="72" t="str">
        <f>VLOOKUP(A18431,'[1]Componentes APUs'!$A$1:$D$14,2,0)</f>
        <v>Kit de rescate para trabajo en alturas</v>
      </c>
      <c r="C18431" s="73"/>
      <c r="D18431" s="50" t="str">
        <f>VLOOKUP(A18431,'[1]Componentes APUs'!$A$1:$D$14,3,0)</f>
        <v>U</v>
      </c>
      <c r="E18431" s="50">
        <f>IF(AND(A18402="MO-3",C18402=2),1,0)</f>
        <v>0</v>
      </c>
      <c r="F18431" s="51">
        <f>VLOOKUP(A18431,'[1]Componentes APUs'!$A$1:$D$14,4,0)</f>
        <v>37500</v>
      </c>
      <c r="G18431" s="51">
        <f>ROUNDUP(F18431*(E18431/21)/E18391,0)</f>
        <v>0</v>
      </c>
    </row>
    <row r="18432" spans="1:7" x14ac:dyDescent="0.25">
      <c r="A18432" s="50" t="s">
        <v>91</v>
      </c>
      <c r="B18432" s="72" t="str">
        <f>VLOOKUP(A18432,'[1]Componentes APUs'!$A$1:$D$14,2,0)</f>
        <v>Equipo completo para trabajo en alturas con pretales (Arnes dielectrico, 1 mosqueton de seguridad, tie off dielectrico, eslinga de posicionamiento, juego de pretales)</v>
      </c>
      <c r="C18432" s="73"/>
      <c r="D18432" s="50" t="str">
        <f>VLOOKUP(A18432,'[1]Componentes APUs'!$A$1:$D$14,3,0)</f>
        <v>U</v>
      </c>
      <c r="E18432" s="50">
        <f>IF(A18402="MO-3",C18402,0)</f>
        <v>0</v>
      </c>
      <c r="F18432" s="51">
        <f>VLOOKUP(A18432,'[1]Componentes APUs'!$A$1:$D$14,4,0)</f>
        <v>26041.666666666668</v>
      </c>
      <c r="G18432" s="51">
        <f>ROUNDUP(F18432*(E18432/21)/E18391,0)</f>
        <v>0</v>
      </c>
    </row>
    <row r="18433" spans="1:7" x14ac:dyDescent="0.25">
      <c r="A18433" s="219" t="s">
        <v>95</v>
      </c>
      <c r="B18433" s="219"/>
      <c r="C18433" s="219"/>
      <c r="D18433" s="219"/>
      <c r="E18433" s="219"/>
      <c r="F18433" s="219"/>
      <c r="G18433" s="52">
        <f>SUM(G18420:G18432)</f>
        <v>2838</v>
      </c>
    </row>
    <row r="18434" spans="1:7" x14ac:dyDescent="0.25">
      <c r="A18434" s="56"/>
      <c r="B18434" s="57"/>
      <c r="C18434" s="57"/>
      <c r="D18434" s="57"/>
      <c r="E18434" s="57"/>
      <c r="F18434" s="57"/>
      <c r="G18434" s="58"/>
    </row>
    <row r="18435" spans="1:7" x14ac:dyDescent="0.25">
      <c r="A18435" s="219" t="s">
        <v>96</v>
      </c>
      <c r="B18435" s="219"/>
      <c r="C18435" s="219"/>
      <c r="D18435" s="219"/>
      <c r="E18435" s="219"/>
      <c r="F18435" s="219"/>
      <c r="G18435" s="219"/>
    </row>
    <row r="18436" spans="1:7" x14ac:dyDescent="0.25">
      <c r="A18436" s="49" t="s">
        <v>35</v>
      </c>
      <c r="B18436" s="225" t="s">
        <v>36</v>
      </c>
      <c r="C18436" s="225"/>
      <c r="D18436" s="49" t="s">
        <v>37</v>
      </c>
      <c r="E18436" s="49" t="s">
        <v>38</v>
      </c>
      <c r="F18436" s="49" t="s">
        <v>39</v>
      </c>
      <c r="G18436" s="49" t="s">
        <v>40</v>
      </c>
    </row>
    <row r="18437" spans="1:7" x14ac:dyDescent="0.25">
      <c r="A18437" s="69" t="s">
        <v>97</v>
      </c>
      <c r="B18437" s="72" t="str">
        <f>VLOOKUP(A18437,'[1]Componentes APUs'!$N$1:$Q$30,2,0)</f>
        <v>Camioneta</v>
      </c>
      <c r="C18437" s="73"/>
      <c r="D18437" s="70" t="str">
        <f>VLOOKUP(A18437,'[1]Componentes APUs'!$N$1:$Q$30,3,0)</f>
        <v>U</v>
      </c>
      <c r="E18437" s="50">
        <v>1</v>
      </c>
      <c r="F18437" s="51">
        <f>VLOOKUP(A18437,'[1]Componentes APUs'!$N$1:$Q$30,4,0)</f>
        <v>5500000</v>
      </c>
      <c r="G18437" s="51">
        <f>IFERROR(ROUNDUP(F18437*(E18437/21)/E18391,0),0)</f>
        <v>52381</v>
      </c>
    </row>
    <row r="18438" spans="1:7" x14ac:dyDescent="0.25">
      <c r="A18438" s="50" t="s">
        <v>321</v>
      </c>
      <c r="B18438" s="72" t="str">
        <f>VLOOKUP(A18438,'[1]Componentes APUs'!$N$1:$Q$30,2,0)</f>
        <v>Grúa Hidráulica</v>
      </c>
      <c r="C18438" s="73"/>
      <c r="D18438" s="70" t="str">
        <f>VLOOKUP(A18438,'[1]Componentes APUs'!$N$1:$Q$30,3,0)</f>
        <v>U</v>
      </c>
      <c r="E18438" s="50">
        <v>0</v>
      </c>
      <c r="F18438" s="51">
        <f>VLOOKUP(A18438,'[1]Componentes APUs'!$N$1:$Q$30,4,0)</f>
        <v>21000000</v>
      </c>
      <c r="G18438" s="51">
        <f>IFERROR(ROUNDUP(F18438*(E18438/21)/E18391,0),0)</f>
        <v>0</v>
      </c>
    </row>
    <row r="18439" spans="1:7" x14ac:dyDescent="0.25">
      <c r="A18439" s="69" t="s">
        <v>322</v>
      </c>
      <c r="B18439" s="72" t="str">
        <f>VLOOKUP(A18439,'[1]Componentes APUs'!$N$1:$Q$30,2,0)</f>
        <v>Camabaja</v>
      </c>
      <c r="C18439" s="73"/>
      <c r="D18439" s="70" t="str">
        <f>VLOOKUP(A18439,'[1]Componentes APUs'!$N$1:$Q$30,3,0)</f>
        <v>TON/KM</v>
      </c>
      <c r="E18439" s="50">
        <v>0</v>
      </c>
      <c r="F18439" s="51">
        <f>VLOOKUP(A18439,'[1]Componentes APUs'!$N$1:$Q$30,4,0)</f>
        <v>611</v>
      </c>
      <c r="G18439" s="51">
        <f>IFERROR(ROUNDUP(F18439*(E18439/21)/E18391,0),0)</f>
        <v>0</v>
      </c>
    </row>
    <row r="18440" spans="1:7" x14ac:dyDescent="0.25">
      <c r="A18440" s="50" t="s">
        <v>323</v>
      </c>
      <c r="B18440" s="72" t="str">
        <f>VLOOKUP(A18440,'[1]Componentes APUs'!$N$1:$Q$30,2,0)</f>
        <v>Volqueta</v>
      </c>
      <c r="C18440" s="73"/>
      <c r="D18440" s="70" t="str">
        <f>VLOOKUP(A18440,'[1]Componentes APUs'!$N$1:$Q$30,3,0)</f>
        <v>U</v>
      </c>
      <c r="E18440" s="50">
        <v>0</v>
      </c>
      <c r="F18440" s="51">
        <f>VLOOKUP(A18440,'[1]Componentes APUs'!$N$1:$Q$30,4,0)</f>
        <v>18900000</v>
      </c>
      <c r="G18440" s="51">
        <f>IFERROR(ROUNDUP(F18440*(E18440/21)/E18391,0),0)</f>
        <v>0</v>
      </c>
    </row>
    <row r="18441" spans="1:7" x14ac:dyDescent="0.25">
      <c r="A18441" s="69" t="s">
        <v>324</v>
      </c>
      <c r="B18441" s="72" t="str">
        <f>VLOOKUP(A18441,'[1]Componentes APUs'!$N$1:$Q$30,2,0)</f>
        <v>Retroexcavadora</v>
      </c>
      <c r="C18441" s="73"/>
      <c r="D18441" s="70" t="str">
        <f>VLOOKUP(A18441,'[1]Componentes APUs'!$N$1:$Q$30,3,0)</f>
        <v>U</v>
      </c>
      <c r="E18441" s="50">
        <v>0</v>
      </c>
      <c r="F18441" s="51">
        <f>VLOOKUP(A18441,'[1]Componentes APUs'!$N$1:$Q$30,4,0)</f>
        <v>1494459.54</v>
      </c>
      <c r="G18441" s="51">
        <f>IFERROR(ROUNDUP(F18441*(E18441/21)/E18391,0),0)</f>
        <v>0</v>
      </c>
    </row>
    <row r="18442" spans="1:7" x14ac:dyDescent="0.25">
      <c r="A18442" s="219" t="s">
        <v>99</v>
      </c>
      <c r="B18442" s="219"/>
      <c r="C18442" s="219"/>
      <c r="D18442" s="219"/>
      <c r="E18442" s="219"/>
      <c r="F18442" s="219"/>
      <c r="G18442" s="52">
        <f>SUM(G18437:G18441)</f>
        <v>52381</v>
      </c>
    </row>
    <row r="18443" spans="1:7" x14ac:dyDescent="0.25">
      <c r="A18443" s="56"/>
      <c r="B18443" s="57"/>
      <c r="C18443" s="57"/>
      <c r="D18443" s="57"/>
      <c r="E18443" s="57"/>
      <c r="F18443" s="57"/>
      <c r="G18443" s="58"/>
    </row>
    <row r="18444" spans="1:7" x14ac:dyDescent="0.25">
      <c r="A18444" s="219" t="s">
        <v>1516</v>
      </c>
      <c r="B18444" s="219"/>
      <c r="C18444" s="219"/>
      <c r="D18444" s="219"/>
      <c r="E18444" s="219"/>
      <c r="F18444" s="219"/>
      <c r="G18444" s="52">
        <f>G18442+G18433+G18416+G18406+G18396</f>
        <v>2801326</v>
      </c>
    </row>
    <row r="18445" spans="1:7" x14ac:dyDescent="0.25">
      <c r="A18445" s="59"/>
      <c r="B18445" s="60"/>
      <c r="C18445" s="60"/>
      <c r="D18445" s="60"/>
      <c r="E18445" s="57"/>
      <c r="F18445" s="57"/>
      <c r="G18445" s="58"/>
    </row>
    <row r="18446" spans="1:7" x14ac:dyDescent="0.25">
      <c r="A18446" s="64"/>
      <c r="D18446" s="55"/>
      <c r="E18446" s="49" t="s">
        <v>25</v>
      </c>
      <c r="F18446" s="54">
        <v>0.15</v>
      </c>
      <c r="G18446" s="51">
        <f>G18444*F18446</f>
        <v>420198.89999999997</v>
      </c>
    </row>
    <row r="18447" spans="1:7" x14ac:dyDescent="0.25">
      <c r="A18447" s="64"/>
      <c r="D18447" s="55"/>
      <c r="E18447" s="49" t="s">
        <v>26</v>
      </c>
      <c r="F18447" s="54">
        <v>0.05</v>
      </c>
      <c r="G18447" s="51">
        <f>G18444*F18447</f>
        <v>140066.30000000002</v>
      </c>
    </row>
    <row r="18448" spans="1:7" x14ac:dyDescent="0.25">
      <c r="A18448" s="61"/>
      <c r="B18448" s="65"/>
      <c r="C18448" s="65"/>
      <c r="D18448" s="62"/>
      <c r="E18448" s="49" t="s">
        <v>27</v>
      </c>
      <c r="F18448" s="54">
        <v>0.05</v>
      </c>
      <c r="G18448" s="51">
        <f>G18444*F18448</f>
        <v>140066.30000000002</v>
      </c>
    </row>
    <row r="18449" spans="1:7" x14ac:dyDescent="0.25">
      <c r="A18449" s="61"/>
      <c r="B18449" s="62"/>
      <c r="C18449" s="62"/>
      <c r="D18449" s="62"/>
      <c r="E18449" s="62"/>
      <c r="F18449" s="62"/>
      <c r="G18449" s="63"/>
    </row>
    <row r="18450" spans="1:7" x14ac:dyDescent="0.25">
      <c r="A18450" s="219" t="s">
        <v>1517</v>
      </c>
      <c r="B18450" s="219"/>
      <c r="C18450" s="219"/>
      <c r="D18450" s="219"/>
      <c r="E18450" s="219"/>
      <c r="F18450" s="219"/>
      <c r="G18450" s="52">
        <f>G18444+G18446+G18447+G18448</f>
        <v>3501657.4999999995</v>
      </c>
    </row>
    <row r="18451" spans="1:7" x14ac:dyDescent="0.25">
      <c r="A18451" s="59"/>
      <c r="B18451" s="60"/>
      <c r="C18451" s="60"/>
      <c r="D18451" s="60"/>
      <c r="E18451" s="57"/>
      <c r="F18451" s="57"/>
      <c r="G18451" s="58"/>
    </row>
    <row r="18452" spans="1:7" x14ac:dyDescent="0.25">
      <c r="A18452" s="64"/>
      <c r="D18452" s="55"/>
      <c r="E18452" s="49" t="s">
        <v>102</v>
      </c>
      <c r="F18452" s="49" t="s">
        <v>103</v>
      </c>
      <c r="G18452" s="51">
        <f>G18448*19%</f>
        <v>26612.597000000005</v>
      </c>
    </row>
    <row r="18453" spans="1:7" x14ac:dyDescent="0.25">
      <c r="A18453" s="61"/>
      <c r="B18453" s="62"/>
      <c r="C18453" s="62"/>
      <c r="D18453" s="62"/>
      <c r="E18453" s="57"/>
      <c r="F18453" s="57"/>
      <c r="G18453" s="58"/>
    </row>
    <row r="18454" spans="1:7" x14ac:dyDescent="0.25">
      <c r="A18454" s="219" t="s">
        <v>104</v>
      </c>
      <c r="B18454" s="219"/>
      <c r="C18454" s="219"/>
      <c r="D18454" s="219"/>
      <c r="E18454" s="219"/>
      <c r="F18454" s="219"/>
      <c r="G18454" s="52">
        <f>G18452+G18450</f>
        <v>3528270.0969999996</v>
      </c>
    </row>
    <row r="18456" spans="1:7" x14ac:dyDescent="0.25">
      <c r="A18456" s="74" t="s">
        <v>29</v>
      </c>
      <c r="B18456" s="226" t="s">
        <v>30</v>
      </c>
      <c r="C18456" s="226"/>
      <c r="D18456" s="74" t="s">
        <v>31</v>
      </c>
      <c r="E18456" s="74" t="s">
        <v>32</v>
      </c>
      <c r="F18456" s="74" t="s">
        <v>189</v>
      </c>
      <c r="G18456" s="74" t="s">
        <v>33</v>
      </c>
    </row>
    <row r="18457" spans="1:7" ht="30" customHeight="1" x14ac:dyDescent="0.25">
      <c r="A18457" s="50" t="str">
        <f>Presupuesto!B360</f>
        <v>030_AUX</v>
      </c>
      <c r="B18457" s="220" t="str">
        <f>Presupuesto!C360</f>
        <v>BASE EN CONCRETO Y ANCLAJE POSTE DE CONCRETO 8 m 510 KG</v>
      </c>
      <c r="C18457" s="220"/>
      <c r="D18457" s="50" t="s">
        <v>18</v>
      </c>
      <c r="E18457" s="93">
        <v>4</v>
      </c>
      <c r="F18457" s="50"/>
      <c r="G18457" s="51">
        <f>G18529</f>
        <v>998673.92350000003</v>
      </c>
    </row>
    <row r="18458" spans="1:7" ht="15" customHeight="1" x14ac:dyDescent="0.25">
      <c r="A18458" s="219" t="s">
        <v>34</v>
      </c>
      <c r="B18458" s="219"/>
      <c r="C18458" s="219"/>
      <c r="D18458" s="219"/>
      <c r="E18458" s="219"/>
      <c r="F18458" s="219"/>
      <c r="G18458" s="219"/>
    </row>
    <row r="18459" spans="1:7" x14ac:dyDescent="0.25">
      <c r="A18459" s="49" t="s">
        <v>35</v>
      </c>
      <c r="B18459" s="219" t="s">
        <v>36</v>
      </c>
      <c r="C18459" s="219"/>
      <c r="D18459" s="49" t="s">
        <v>37</v>
      </c>
      <c r="E18459" s="49" t="s">
        <v>38</v>
      </c>
      <c r="F18459" s="49" t="s">
        <v>39</v>
      </c>
      <c r="G18459" s="49" t="s">
        <v>40</v>
      </c>
    </row>
    <row r="18460" spans="1:7" x14ac:dyDescent="0.25">
      <c r="A18460" s="17" t="str">
        <f>Material!A14</f>
        <v>MA-13</v>
      </c>
      <c r="B18460" s="72" t="str">
        <f>IFERROR(VLOOKUP(A18460,Material!$A:$J,2,0),"-")</f>
        <v>MALLA ELECTROSOLDADA 4 mm</v>
      </c>
      <c r="C18460" s="73"/>
      <c r="D18460" s="50" t="str">
        <f>IFERROR(VLOOKUP(A18460,Material!$A:$J,4,0),"-")</f>
        <v>M2</v>
      </c>
      <c r="E18460" s="50">
        <v>0.97</v>
      </c>
      <c r="F18460" s="51">
        <f>IFERROR(VLOOKUP(A18460,Material!$A:$J,3,0),"-")</f>
        <v>8577</v>
      </c>
      <c r="G18460" s="51">
        <f t="shared" ref="G18460:G18466" si="256">IFERROR(ROUNDUP(F18460*E18460,0),"-")</f>
        <v>8320</v>
      </c>
    </row>
    <row r="18461" spans="1:7" x14ac:dyDescent="0.25">
      <c r="A18461" s="17" t="str">
        <f>Material!A15</f>
        <v>MA-14</v>
      </c>
      <c r="B18461" s="72" t="str">
        <f>IFERROR(VLOOKUP(A18461,Material!$A:$J,2,0),"-")</f>
        <v>CONCRETO DE 3000 PSI</v>
      </c>
      <c r="C18461" s="73"/>
      <c r="D18461" s="50" t="str">
        <f>IFERROR(VLOOKUP(A18461,Material!$A:$J,4,0),"-")</f>
        <v>M3</v>
      </c>
      <c r="E18461" s="50">
        <v>0.36</v>
      </c>
      <c r="F18461" s="51">
        <f>IFERROR(VLOOKUP(A18461,Material!$A:$J,3,0),"-")</f>
        <v>620227.23330691375</v>
      </c>
      <c r="G18461" s="51">
        <f t="shared" si="256"/>
        <v>223282</v>
      </c>
    </row>
    <row r="18462" spans="1:7" x14ac:dyDescent="0.25">
      <c r="A18462" s="17" t="str">
        <f>Material!A191</f>
        <v>MA-190</v>
      </c>
      <c r="B18462" s="72" t="str">
        <f>IFERROR(VLOOKUP(A18462,Material!$A:$J,2,0),"-")</f>
        <v>CONCRETO PARA SOLADO 2500 PSI</v>
      </c>
      <c r="C18462" s="73"/>
      <c r="D18462" s="50" t="str">
        <f>IFERROR(VLOOKUP(A18462,Material!$A:$J,4,0),"-")</f>
        <v>M3</v>
      </c>
      <c r="E18462" s="50">
        <v>3.5999999999999997E-2</v>
      </c>
      <c r="F18462" s="51">
        <f>IFERROR(VLOOKUP(A18462,Material!$A:$J,3,0),"-")</f>
        <v>760500</v>
      </c>
      <c r="G18462" s="51">
        <f t="shared" si="256"/>
        <v>27378</v>
      </c>
    </row>
    <row r="18463" spans="1:7" x14ac:dyDescent="0.25">
      <c r="A18463" s="17" t="str">
        <f>Material!A192</f>
        <v>MA-191</v>
      </c>
      <c r="B18463" s="72" t="str">
        <f>IFERROR(VLOOKUP(A18463,Material!$A:$J,2,0),"-")</f>
        <v>CONCRETO CICLOPEO DE 3000 PSI</v>
      </c>
      <c r="C18463" s="73"/>
      <c r="D18463" s="50" t="str">
        <f>IFERROR(VLOOKUP(A18463,Material!$A:$J,4,0),"-")</f>
        <v>M3</v>
      </c>
      <c r="E18463" s="50">
        <v>3.5999999999999997E-2</v>
      </c>
      <c r="F18463" s="51">
        <f>IFERROR(VLOOKUP(A18463,Material!$A:$J,3,0),"-")</f>
        <v>338000</v>
      </c>
      <c r="G18463" s="51">
        <f t="shared" si="256"/>
        <v>12168</v>
      </c>
    </row>
    <row r="18464" spans="1:7" x14ac:dyDescent="0.25">
      <c r="A18464" s="17" t="str">
        <f>Material!A18</f>
        <v>MA-17</v>
      </c>
      <c r="B18464" s="72" t="str">
        <f>IFERROR(VLOOKUP(A18464,Material!$A:$J,2,0),"-")</f>
        <v>EXCAVACIÓN EN MATERIAL COMÚN BAJO AGUA DE 0 - 2 M MANUAL</v>
      </c>
      <c r="C18464" s="73"/>
      <c r="D18464" s="50" t="str">
        <f>IFERROR(VLOOKUP(A18464,Material!$A:$J,4,0),"-")</f>
        <v>M3</v>
      </c>
      <c r="E18464" s="50">
        <v>0.378</v>
      </c>
      <c r="F18464" s="51">
        <f>IFERROR(VLOOKUP(A18464,Material!$A:$J,3,0),"-")</f>
        <v>45663.8</v>
      </c>
      <c r="G18464" s="51">
        <f t="shared" si="256"/>
        <v>17261</v>
      </c>
    </row>
    <row r="18465" spans="1:7" x14ac:dyDescent="0.25">
      <c r="A18465" s="17" t="str">
        <f>Material!A17</f>
        <v>MA-16</v>
      </c>
      <c r="B18465" s="72" t="str">
        <f>IFERROR(VLOOKUP(A18465,Material!$A:$J,2,0),"-")</f>
        <v>FORMALETA EN MADERA CON TABLA DE  1/4"</v>
      </c>
      <c r="C18465" s="73"/>
      <c r="D18465" s="50" t="str">
        <f>IFERROR(VLOOKUP(A18465,Material!$A:$J,4,0),"-")</f>
        <v>M2</v>
      </c>
      <c r="E18465" s="50">
        <v>2.4</v>
      </c>
      <c r="F18465" s="51">
        <f>IFERROR(VLOOKUP(A18465,Material!$A:$J,3,0),"-")</f>
        <v>104000</v>
      </c>
      <c r="G18465" s="51">
        <f t="shared" ref="G18465" si="257">IFERROR(ROUNDUP(F18465*E18465,0),"-")</f>
        <v>249600</v>
      </c>
    </row>
    <row r="18466" spans="1:7" x14ac:dyDescent="0.25">
      <c r="A18466" s="50"/>
      <c r="B18466" s="75" t="str">
        <f>IFERROR(VLOOKUP(A18466,Material!$A:$J,2,0),"-")</f>
        <v>-</v>
      </c>
      <c r="C18466" s="76"/>
      <c r="D18466" s="50" t="str">
        <f>IFERROR(VLOOKUP(A18466,Material!$A:$J,4,0),"-")</f>
        <v>-</v>
      </c>
      <c r="E18466" s="50"/>
      <c r="F18466" s="51" t="str">
        <f>IFERROR(VLOOKUP(A18466,Material!$A:$J,3,0),"-")</f>
        <v>-</v>
      </c>
      <c r="G18466" s="51" t="str">
        <f t="shared" si="256"/>
        <v>-</v>
      </c>
    </row>
    <row r="18467" spans="1:7" x14ac:dyDescent="0.25">
      <c r="A18467" s="50"/>
      <c r="B18467" s="75"/>
      <c r="C18467" s="76"/>
      <c r="D18467" s="50"/>
      <c r="E18467" s="50"/>
      <c r="F18467" s="51"/>
      <c r="G18467" s="51"/>
    </row>
    <row r="18468" spans="1:7" x14ac:dyDescent="0.25">
      <c r="A18468" s="50"/>
      <c r="B18468" s="75"/>
      <c r="C18468" s="76"/>
      <c r="D18468" s="50"/>
      <c r="E18468" s="50"/>
      <c r="F18468" s="51"/>
      <c r="G18468" s="51"/>
    </row>
    <row r="18469" spans="1:7" x14ac:dyDescent="0.25">
      <c r="A18469" s="219" t="s">
        <v>41</v>
      </c>
      <c r="B18469" s="219"/>
      <c r="C18469" s="219"/>
      <c r="D18469" s="219"/>
      <c r="E18469" s="219"/>
      <c r="F18469" s="219"/>
      <c r="G18469" s="52">
        <f>SUM(G18460:G18468)</f>
        <v>538009</v>
      </c>
    </row>
    <row r="18470" spans="1:7" x14ac:dyDescent="0.25">
      <c r="A18470" s="56"/>
      <c r="B18470" s="57"/>
      <c r="C18470" s="57"/>
      <c r="D18470" s="57"/>
      <c r="E18470" s="57"/>
      <c r="F18470" s="57"/>
      <c r="G18470" s="58"/>
    </row>
    <row r="18471" spans="1:7" x14ac:dyDescent="0.25">
      <c r="A18471" s="219" t="s">
        <v>42</v>
      </c>
      <c r="B18471" s="219"/>
      <c r="C18471" s="219"/>
      <c r="D18471" s="219"/>
      <c r="E18471" s="219"/>
      <c r="F18471" s="219"/>
      <c r="G18471" s="219"/>
    </row>
    <row r="18472" spans="1:7" x14ac:dyDescent="0.25">
      <c r="A18472" s="49" t="s">
        <v>35</v>
      </c>
      <c r="B18472" s="49" t="s">
        <v>36</v>
      </c>
      <c r="C18472" s="49" t="s">
        <v>38</v>
      </c>
      <c r="D18472" s="49" t="s">
        <v>43</v>
      </c>
      <c r="E18472" s="49" t="s">
        <v>44</v>
      </c>
      <c r="F18472" s="49" t="s">
        <v>45</v>
      </c>
      <c r="G18472" s="49" t="s">
        <v>40</v>
      </c>
    </row>
    <row r="18473" spans="1:7" x14ac:dyDescent="0.25">
      <c r="A18473" s="50" t="s">
        <v>319</v>
      </c>
      <c r="B18473" s="68" t="str">
        <f>VLOOKUP(A18473,'[1]Componentes APUs'!$H$1:$L$25,2,0)</f>
        <v>Ingeniero Residente de Obra</v>
      </c>
      <c r="C18473" s="93">
        <v>0.25</v>
      </c>
      <c r="D18473" s="50">
        <f>VLOOKUP(A18473,'[1]Componentes APUs'!$H$1:$L$25,3,0)</f>
        <v>4</v>
      </c>
      <c r="E18473" s="51">
        <f>VLOOKUP(A18473,'[1]Componentes APUs'!$H$1:$L$25,4,0)</f>
        <v>271142.85714285716</v>
      </c>
      <c r="F18473" s="51">
        <f>VLOOKUP(A18473,'[1]Componentes APUs'!$H$1:$L$25,5,0)</f>
        <v>162685.71428571429</v>
      </c>
      <c r="G18473" s="51">
        <f>ROUNDUP((E18473+F18473)*C18473/E18457,0)</f>
        <v>27115</v>
      </c>
    </row>
    <row r="18474" spans="1:7" x14ac:dyDescent="0.25">
      <c r="A18474" s="50" t="s">
        <v>54</v>
      </c>
      <c r="B18474" s="68" t="str">
        <f>VLOOKUP(A18474,'[1]Componentes APUs'!$H$1:$L$25,2,0)</f>
        <v>Maestro de obra civil</v>
      </c>
      <c r="C18474" s="93">
        <v>0.25</v>
      </c>
      <c r="D18474" s="50">
        <f>VLOOKUP(A18474,'[1]Componentes APUs'!$H$1:$L$25,3,0)</f>
        <v>2.5</v>
      </c>
      <c r="E18474" s="51">
        <f>VLOOKUP(A18474,'[1]Componentes APUs'!$H$1:$L$25,4,0)</f>
        <v>169464.28571428571</v>
      </c>
      <c r="F18474" s="51">
        <f>VLOOKUP(A18474,'[1]Componentes APUs'!$H$1:$L$25,5,0)</f>
        <v>101678.57142857142</v>
      </c>
      <c r="G18474" s="51">
        <f>ROUNDUP((E18474+F18474)*C18474/E18457,0)</f>
        <v>16947</v>
      </c>
    </row>
    <row r="18475" spans="1:7" x14ac:dyDescent="0.25">
      <c r="A18475" s="50" t="s">
        <v>46</v>
      </c>
      <c r="B18475" s="68" t="str">
        <f>VLOOKUP(A18475,'[1]Componentes APUs'!$H$1:$L$25,2,0)</f>
        <v>Tecnico Liniero</v>
      </c>
      <c r="C18475" s="93">
        <v>0</v>
      </c>
      <c r="D18475" s="50">
        <f>VLOOKUP(A18475,'[1]Componentes APUs'!$H$1:$L$25,3,0)</f>
        <v>2</v>
      </c>
      <c r="E18475" s="51">
        <f>VLOOKUP(A18475,'[1]Componentes APUs'!$H$1:$L$25,4,0)</f>
        <v>154619.04761904763</v>
      </c>
      <c r="F18475" s="51">
        <f>VLOOKUP(A18475,'[1]Componentes APUs'!$H$1:$L$25,5,0)</f>
        <v>92771.42857142858</v>
      </c>
      <c r="G18475" s="51">
        <f>ROUNDUP((E18475+F18475)*C18475/E18457,0)</f>
        <v>0</v>
      </c>
    </row>
    <row r="18476" spans="1:7" x14ac:dyDescent="0.25">
      <c r="A18476" s="50" t="s">
        <v>48</v>
      </c>
      <c r="B18476" s="68" t="str">
        <f>VLOOKUP(A18476,'[1]Componentes APUs'!$H$1:$L$25,2,0)</f>
        <v>Ayudante Calificado</v>
      </c>
      <c r="C18476" s="93">
        <v>0</v>
      </c>
      <c r="D18476" s="50">
        <f>VLOOKUP(A18476,'[1]Componentes APUs'!$H$1:$L$25,3,0)</f>
        <v>1.5</v>
      </c>
      <c r="E18476" s="51">
        <f>VLOOKUP(A18476,'[1]Componentes APUs'!$H$1:$L$25,4,0)</f>
        <v>115964.28571428571</v>
      </c>
      <c r="F18476" s="51">
        <f>VLOOKUP(A18476,'[1]Componentes APUs'!$H$1:$L$25,5,0)</f>
        <v>69578.57142857142</v>
      </c>
      <c r="G18476" s="51">
        <f>ROUNDUP((E18476+F18476)*C18476/E18457,0)</f>
        <v>0</v>
      </c>
    </row>
    <row r="18477" spans="1:7" x14ac:dyDescent="0.25">
      <c r="A18477" s="50" t="s">
        <v>50</v>
      </c>
      <c r="B18477" s="68" t="str">
        <f>VLOOKUP(A18477,'[1]Componentes APUs'!$H$1:$L$25,2,0)</f>
        <v>Profesional en SST</v>
      </c>
      <c r="C18477" s="93">
        <v>0.25</v>
      </c>
      <c r="D18477" s="50">
        <f>VLOOKUP(A18477,'[1]Componentes APUs'!$H$1:$L$25,3,0)</f>
        <v>2.5</v>
      </c>
      <c r="E18477" s="51">
        <f>VLOOKUP(A18477,'[1]Componentes APUs'!$H$1:$L$25,4,0)</f>
        <v>169464.28571428571</v>
      </c>
      <c r="F18477" s="51">
        <f>VLOOKUP(A18477,'[1]Componentes APUs'!$H$1:$L$25,5,0)</f>
        <v>101678.57142857142</v>
      </c>
      <c r="G18477" s="51">
        <f>ROUNDUP((E18477+F18477)*C18477/E18457,0)</f>
        <v>16947</v>
      </c>
    </row>
    <row r="18478" spans="1:7" x14ac:dyDescent="0.25">
      <c r="A18478" s="50" t="s">
        <v>1109</v>
      </c>
      <c r="B18478" s="68" t="str">
        <f>VLOOKUP(A18478,'[1]Componentes APUs'!$H$1:$L$25,2,0)</f>
        <v>Ayudante de Obra Civil</v>
      </c>
      <c r="C18478" s="93">
        <v>2</v>
      </c>
      <c r="D18478" s="50">
        <f>VLOOKUP(A18478,'[1]Componentes APUs'!$H$1:$L$25,3,0)</f>
        <v>1</v>
      </c>
      <c r="E18478" s="51">
        <f>VLOOKUP(A18478,'[1]Componentes APUs'!$H$1:$L$25,4,0)</f>
        <v>77309.523809523816</v>
      </c>
      <c r="F18478" s="51">
        <f>VLOOKUP(A18478,'[1]Componentes APUs'!$H$1:$L$25,5,0)</f>
        <v>46385.71428571429</v>
      </c>
      <c r="G18478" s="51">
        <f>ROUNDUP((E18478+F18478)*C18478/E18457,0)</f>
        <v>61848</v>
      </c>
    </row>
    <row r="18479" spans="1:7" x14ac:dyDescent="0.25">
      <c r="A18479" s="50" t="s">
        <v>1110</v>
      </c>
      <c r="B18479" s="68" t="str">
        <f>VLOOKUP(A18479,'[1]Componentes APUs'!$H$1:$L$25,2,0)</f>
        <v>Oficial de Obra Civil</v>
      </c>
      <c r="C18479" s="93">
        <v>1</v>
      </c>
      <c r="D18479" s="50">
        <f>VLOOKUP(A18479,'[1]Componentes APUs'!$H$1:$L$25,3,0)</f>
        <v>1.5</v>
      </c>
      <c r="E18479" s="51">
        <f>VLOOKUP(A18479,'[1]Componentes APUs'!$H$1:$L$25,4,0)</f>
        <v>115964.28571428571</v>
      </c>
      <c r="F18479" s="51">
        <f>VLOOKUP(A18479,'[1]Componentes APUs'!$H$1:$L$25,5,0)</f>
        <v>69578.57142857142</v>
      </c>
      <c r="G18479" s="51">
        <f>ROUNDUP((E18479+F18479)*C18479/E18457,0)</f>
        <v>46386</v>
      </c>
    </row>
    <row r="18480" spans="1:7" x14ac:dyDescent="0.25">
      <c r="A18480" s="219" t="s">
        <v>56</v>
      </c>
      <c r="B18480" s="219"/>
      <c r="C18480" s="219"/>
      <c r="D18480" s="219"/>
      <c r="E18480" s="219"/>
      <c r="F18480" s="219"/>
      <c r="G18480" s="52">
        <f>SUM(G18473:G18479)</f>
        <v>169243</v>
      </c>
    </row>
    <row r="18481" spans="1:7" x14ac:dyDescent="0.25">
      <c r="A18481" s="56"/>
      <c r="B18481" s="57"/>
      <c r="C18481" s="57"/>
      <c r="D18481" s="57"/>
      <c r="E18481" s="57"/>
      <c r="F18481" s="57"/>
      <c r="G18481" s="58"/>
    </row>
    <row r="18482" spans="1:7" x14ac:dyDescent="0.25">
      <c r="A18482" s="219" t="s">
        <v>57</v>
      </c>
      <c r="B18482" s="219"/>
      <c r="C18482" s="219"/>
      <c r="D18482" s="219"/>
      <c r="E18482" s="219"/>
      <c r="F18482" s="219"/>
      <c r="G18482" s="219"/>
    </row>
    <row r="18483" spans="1:7" x14ac:dyDescent="0.25">
      <c r="A18483" s="49" t="s">
        <v>35</v>
      </c>
      <c r="B18483" s="219" t="s">
        <v>36</v>
      </c>
      <c r="C18483" s="219"/>
      <c r="D18483" s="49" t="s">
        <v>37</v>
      </c>
      <c r="E18483" s="49" t="s">
        <v>38</v>
      </c>
      <c r="F18483" s="49" t="s">
        <v>39</v>
      </c>
      <c r="G18483" s="49" t="s">
        <v>40</v>
      </c>
    </row>
    <row r="18484" spans="1:7" x14ac:dyDescent="0.25">
      <c r="A18484" s="50" t="s">
        <v>326</v>
      </c>
      <c r="B18484" s="220" t="str">
        <f>VLOOKUP(A18484,'[1]Componentes APUs'!$S$1:$V$10,2,0)</f>
        <v>Juego Llaves</v>
      </c>
      <c r="C18484" s="220"/>
      <c r="D18484" s="50" t="s">
        <v>18</v>
      </c>
      <c r="E18484" s="50">
        <v>2</v>
      </c>
      <c r="F18484" s="51">
        <f>VLOOKUP(A18484,'[1]Componentes APUs'!$S$1:$V$10,4,0)</f>
        <v>9167</v>
      </c>
      <c r="G18484" s="51">
        <f>ROUNDUP(F18484*((E18484/21)/E18457),0)</f>
        <v>219</v>
      </c>
    </row>
    <row r="18485" spans="1:7" x14ac:dyDescent="0.25">
      <c r="A18485" s="50" t="s">
        <v>58</v>
      </c>
      <c r="B18485" s="220" t="str">
        <f>VLOOKUP(A18485,'[1]Componentes APUs'!$S$1:$V$10,2,0)</f>
        <v>Manila de servicio</v>
      </c>
      <c r="C18485" s="220"/>
      <c r="D18485" s="50" t="s">
        <v>18</v>
      </c>
      <c r="E18485" s="50">
        <v>2</v>
      </c>
      <c r="F18485" s="51">
        <f>VLOOKUP(A18485,'[1]Componentes APUs'!$S$1:$V$10,4,0)</f>
        <v>2333</v>
      </c>
      <c r="G18485" s="51">
        <f>ROUNDUP(F18485*((E18485/21)/E18457),0)</f>
        <v>56</v>
      </c>
    </row>
    <row r="18486" spans="1:7" x14ac:dyDescent="0.25">
      <c r="A18486" s="50" t="s">
        <v>327</v>
      </c>
      <c r="B18486" s="220" t="str">
        <f>VLOOKUP(A18486,'[1]Componentes APUs'!$S$1:$V$10,2,0)</f>
        <v>Tula portaherramientas</v>
      </c>
      <c r="C18486" s="220"/>
      <c r="D18486" s="50" t="s">
        <v>18</v>
      </c>
      <c r="E18486" s="50">
        <v>2</v>
      </c>
      <c r="F18486" s="51">
        <f>VLOOKUP(A18486,'[1]Componentes APUs'!$S$1:$V$10,4,0)</f>
        <v>1250</v>
      </c>
      <c r="G18486" s="51">
        <f>ROUNDUP(F18486*((E18486/21)/E18457),0)</f>
        <v>30</v>
      </c>
    </row>
    <row r="18487" spans="1:7" x14ac:dyDescent="0.25">
      <c r="A18487" s="50" t="s">
        <v>60</v>
      </c>
      <c r="B18487" s="220" t="str">
        <f>VLOOKUP(A18487,'[1]Componentes APUs'!$S$1:$V$10,2,0)</f>
        <v>Agarradoras</v>
      </c>
      <c r="C18487" s="220"/>
      <c r="D18487" s="50" t="s">
        <v>18</v>
      </c>
      <c r="E18487" s="50">
        <v>0</v>
      </c>
      <c r="F18487" s="51">
        <f>VLOOKUP(A18487,'[1]Componentes APUs'!$S$1:$V$10,4,0)</f>
        <v>125000</v>
      </c>
      <c r="G18487" s="51">
        <f>ROUNDUP(F18487*((E18487/21)/E18457),0)</f>
        <v>0</v>
      </c>
    </row>
    <row r="18488" spans="1:7" x14ac:dyDescent="0.25">
      <c r="A18488" s="50" t="s">
        <v>62</v>
      </c>
      <c r="B18488" s="220" t="str">
        <f>VLOOKUP(A18488,'[1]Componentes APUs'!$S$1:$V$10,2,0)</f>
        <v>Templadoras</v>
      </c>
      <c r="C18488" s="220"/>
      <c r="D18488" s="50" t="s">
        <v>18</v>
      </c>
      <c r="E18488" s="50">
        <v>0</v>
      </c>
      <c r="F18488" s="51">
        <f>VLOOKUP(A18488,'[1]Componentes APUs'!$S$1:$V$10,4,0)</f>
        <v>250000</v>
      </c>
      <c r="G18488" s="51">
        <f>ROUNDUP(F18488*((E18488/21)/E18457),0)</f>
        <v>0</v>
      </c>
    </row>
    <row r="18489" spans="1:7" x14ac:dyDescent="0.25">
      <c r="A18489" s="50" t="s">
        <v>328</v>
      </c>
      <c r="B18489" s="220" t="str">
        <f>VLOOKUP(A18489,'[1]Componentes APUs'!$S$1:$V$10,2,0)</f>
        <v>Herramienta Menor</v>
      </c>
      <c r="C18489" s="220"/>
      <c r="D18489" s="50" t="s">
        <v>18</v>
      </c>
      <c r="E18489" s="50">
        <v>2</v>
      </c>
      <c r="F18489" s="51">
        <f>VLOOKUP(A18489,'[1]Componentes APUs'!$S$1:$V$10,4,0)</f>
        <v>75758</v>
      </c>
      <c r="G18489" s="51">
        <f>ROUNDUP(F18489*((E18489/21)/E18457),0)</f>
        <v>1804</v>
      </c>
    </row>
    <row r="18490" spans="1:7" x14ac:dyDescent="0.25">
      <c r="A18490" s="219" t="s">
        <v>69</v>
      </c>
      <c r="B18490" s="219"/>
      <c r="C18490" s="219"/>
      <c r="D18490" s="219"/>
      <c r="E18490" s="219"/>
      <c r="F18490" s="219"/>
      <c r="G18490" s="52">
        <f>SUM(G18484:G18489)</f>
        <v>2109</v>
      </c>
    </row>
    <row r="18491" spans="1:7" x14ac:dyDescent="0.25">
      <c r="A18491" s="56"/>
      <c r="B18491" s="57"/>
      <c r="C18491" s="57"/>
      <c r="D18491" s="57"/>
      <c r="E18491" s="57"/>
      <c r="F18491" s="57"/>
      <c r="G18491" s="58"/>
    </row>
    <row r="18492" spans="1:7" x14ac:dyDescent="0.25">
      <c r="A18492" s="219" t="s">
        <v>70</v>
      </c>
      <c r="B18492" s="219"/>
      <c r="C18492" s="219"/>
      <c r="D18492" s="219"/>
      <c r="E18492" s="219"/>
      <c r="F18492" s="219"/>
      <c r="G18492" s="219"/>
    </row>
    <row r="18493" spans="1:7" x14ac:dyDescent="0.25">
      <c r="A18493" s="49" t="s">
        <v>35</v>
      </c>
      <c r="B18493" s="219" t="s">
        <v>36</v>
      </c>
      <c r="C18493" s="219"/>
      <c r="D18493" s="49" t="s">
        <v>37</v>
      </c>
      <c r="E18493" s="49" t="s">
        <v>38</v>
      </c>
      <c r="F18493" s="49" t="s">
        <v>39</v>
      </c>
      <c r="G18493" s="49" t="s">
        <v>40</v>
      </c>
    </row>
    <row r="18494" spans="1:7" x14ac:dyDescent="0.25">
      <c r="A18494" s="50" t="s">
        <v>71</v>
      </c>
      <c r="B18494" s="71" t="str">
        <f>VLOOKUP(A18494,'[1]Componentes APUs'!$A$1:$D$14,2,0)</f>
        <v>Camisa indigo sin partes metalicas</v>
      </c>
      <c r="C18494" s="71"/>
      <c r="D18494" s="50" t="str">
        <f>VLOOKUP(A18494,'[1]Componentes APUs'!$A$1:$D$14,3,0)</f>
        <v>U</v>
      </c>
      <c r="E18494" s="50">
        <f>SUM(C18473:C18479)</f>
        <v>3.75</v>
      </c>
      <c r="F18494" s="51">
        <f>VLOOKUP(A18494,'[1]Componentes APUs'!$A$1:$D$14,4,0)</f>
        <v>8585.8585858585866</v>
      </c>
      <c r="G18494" s="51">
        <f>ROUNDUP(F18494*(E18494/21)/E18457,0)</f>
        <v>384</v>
      </c>
    </row>
    <row r="18495" spans="1:7" x14ac:dyDescent="0.25">
      <c r="A18495" s="69" t="s">
        <v>73</v>
      </c>
      <c r="B18495" s="72" t="str">
        <f>VLOOKUP(A18495,'[1]Componentes APUs'!$A$1:$D$14,2,0)</f>
        <v>Bota de seguridad dielectrica</v>
      </c>
      <c r="C18495" s="73"/>
      <c r="D18495" s="70" t="str">
        <f>VLOOKUP(A18495,'[1]Componentes APUs'!$A$1:$D$14,3,0)</f>
        <v>Par</v>
      </c>
      <c r="E18495" s="50">
        <f>SUM(C18473:C18479)</f>
        <v>3.75</v>
      </c>
      <c r="F18495" s="51">
        <f>VLOOKUP(A18495,'[1]Componentes APUs'!$A$1:$D$14,4,0)</f>
        <v>7500</v>
      </c>
      <c r="G18495" s="51">
        <f>ROUNDUP(F18495*(E18495/21)/E18457,0)</f>
        <v>335</v>
      </c>
    </row>
    <row r="18496" spans="1:7" x14ac:dyDescent="0.25">
      <c r="A18496" s="50" t="s">
        <v>76</v>
      </c>
      <c r="B18496" s="72" t="str">
        <f>VLOOKUP(A18496,'[1]Componentes APUs'!$A$1:$D$14,2,0)</f>
        <v>Casco dielectrico Tipo 1 Clase E con barbuquejo</v>
      </c>
      <c r="C18496" s="73"/>
      <c r="D18496" s="50" t="str">
        <f>VLOOKUP(A18496,'[1]Componentes APUs'!$A$1:$D$14,3,0)</f>
        <v>U</v>
      </c>
      <c r="E18496" s="50">
        <f>C18473+C18474+C18475+C18477+C18478+C18479+IF(A18475&lt;&gt;"MO-3",C18475,0)</f>
        <v>3.75</v>
      </c>
      <c r="F18496" s="51">
        <f>VLOOKUP(A18496,'[1]Componentes APUs'!$A$1:$D$14,4,0)</f>
        <v>10101.010101010101</v>
      </c>
      <c r="G18496" s="51">
        <f>ROUNDUP(F18496*(E18496/21)/E18457,0)</f>
        <v>451</v>
      </c>
    </row>
    <row r="18497" spans="1:7" x14ac:dyDescent="0.25">
      <c r="A18497" s="69" t="s">
        <v>77</v>
      </c>
      <c r="B18497" s="72" t="str">
        <f>VLOOKUP(A18497,'[1]Componentes APUs'!$A$1:$D$14,2,0)</f>
        <v>Correa plastica y antiflama</v>
      </c>
      <c r="C18497" s="73"/>
      <c r="D18497" s="50" t="str">
        <f>VLOOKUP(A18497,'[1]Componentes APUs'!$A$1:$D$14,3,0)</f>
        <v>U</v>
      </c>
      <c r="E18497" s="50">
        <f>SUM(C18473:C18479)</f>
        <v>3.75</v>
      </c>
      <c r="F18497" s="51">
        <f>VLOOKUP(A18497,'[1]Componentes APUs'!$A$1:$D$14,4,0)</f>
        <v>3787.878787878788</v>
      </c>
      <c r="G18497" s="51">
        <f>ROUNDUP(F18497*(E18497/21)/E18457,0)</f>
        <v>170</v>
      </c>
    </row>
    <row r="18498" spans="1:7" x14ac:dyDescent="0.25">
      <c r="A18498" s="50" t="s">
        <v>79</v>
      </c>
      <c r="B18498" s="72" t="str">
        <f>VLOOKUP(A18498,'[1]Componentes APUs'!$A$1:$D$14,2,0)</f>
        <v>Gafas protectoras filtro UV</v>
      </c>
      <c r="C18498" s="73"/>
      <c r="D18498" s="50" t="str">
        <f>VLOOKUP(A18498,'[1]Componentes APUs'!$A$1:$D$14,3,0)</f>
        <v>U</v>
      </c>
      <c r="E18498" s="50">
        <f>SUM(C18473:C18479)</f>
        <v>3.75</v>
      </c>
      <c r="F18498" s="51">
        <f>VLOOKUP(A18498,'[1]Componentes APUs'!$A$1:$D$14,4,0)</f>
        <v>2777.7777777777778</v>
      </c>
      <c r="G18498" s="51">
        <f>ROUNDUP(F18498*(E18498/21)/E18457,0)</f>
        <v>125</v>
      </c>
    </row>
    <row r="18499" spans="1:7" x14ac:dyDescent="0.25">
      <c r="A18499" s="69" t="s">
        <v>402</v>
      </c>
      <c r="B18499" s="72" t="str">
        <f>VLOOKUP(A18499,'[1]Componentes APUs'!$A$1:$D$14,2,0)</f>
        <v>Bota de seguridad PVC dielectrica</v>
      </c>
      <c r="C18499" s="73"/>
      <c r="D18499" s="50" t="str">
        <f>VLOOKUP(A18499,'[1]Componentes APUs'!$A$1:$D$14,3,0)</f>
        <v>Par</v>
      </c>
      <c r="E18499" s="50">
        <f>SUM(C18473:C18479)</f>
        <v>3.75</v>
      </c>
      <c r="F18499" s="51">
        <f>VLOOKUP(A18499,'[1]Componentes APUs'!$A$1:$D$14,4,0)</f>
        <v>2916.6666666666665</v>
      </c>
      <c r="G18499" s="51">
        <f>ROUNDUP(F18499*(E18499/21)/E18457,0)</f>
        <v>131</v>
      </c>
    </row>
    <row r="18500" spans="1:7" x14ac:dyDescent="0.25">
      <c r="A18500" s="50" t="s">
        <v>403</v>
      </c>
      <c r="B18500" s="72" t="str">
        <f>VLOOKUP(A18500,'[1]Componentes APUs'!$A$1:$D$14,2,0)</f>
        <v>Capuchon</v>
      </c>
      <c r="C18500" s="73"/>
      <c r="D18500" s="50" t="str">
        <f>VLOOKUP(A18500,'[1]Componentes APUs'!$A$1:$D$14,3,0)</f>
        <v>U</v>
      </c>
      <c r="E18500" s="50">
        <f>SUM(C18473:C18479)</f>
        <v>3.75</v>
      </c>
      <c r="F18500" s="51">
        <f>VLOOKUP(A18500,'[1]Componentes APUs'!$A$1:$D$14,4,0)</f>
        <v>2525.2525252525252</v>
      </c>
      <c r="G18500" s="51">
        <f>ROUNDUP(F18500*(E18500/21)/E18457,0)</f>
        <v>113</v>
      </c>
    </row>
    <row r="18501" spans="1:7" x14ac:dyDescent="0.25">
      <c r="A18501" s="69" t="s">
        <v>81</v>
      </c>
      <c r="B18501" s="72" t="str">
        <f>VLOOKUP(A18501,'[1]Componentes APUs'!$A$1:$D$14,2,0)</f>
        <v>Guantes Protectores  - ingeniero reforzados</v>
      </c>
      <c r="C18501" s="73"/>
      <c r="D18501" s="50" t="str">
        <f>VLOOKUP(A18501,'[1]Componentes APUs'!$A$1:$D$14,3,0)</f>
        <v>Par</v>
      </c>
      <c r="E18501" s="50">
        <f>C18475+C18476+C18478+C18479</f>
        <v>3</v>
      </c>
      <c r="F18501" s="51">
        <f>VLOOKUP(A18501,'[1]Componentes APUs'!$A$1:$D$14,4,0)</f>
        <v>2525.2525252525252</v>
      </c>
      <c r="G18501" s="51">
        <f>ROUNDUP(F18501*(E18501/21)/E18457,0)</f>
        <v>91</v>
      </c>
    </row>
    <row r="18502" spans="1:7" x14ac:dyDescent="0.25">
      <c r="A18502" s="50" t="s">
        <v>83</v>
      </c>
      <c r="B18502" s="72" t="str">
        <f>VLOOKUP(A18502,'[1]Componentes APUs'!$A$1:$D$14,2,0)</f>
        <v>Impermeable (pantalon camisa)</v>
      </c>
      <c r="C18502" s="73"/>
      <c r="D18502" s="50" t="str">
        <f>VLOOKUP(A18502,'[1]Componentes APUs'!$A$1:$D$14,3,0)</f>
        <v>U</v>
      </c>
      <c r="E18502" s="50">
        <f>SUM(C18473:C18479)</f>
        <v>3.75</v>
      </c>
      <c r="F18502" s="51">
        <f>VLOOKUP(A18502,'[1]Componentes APUs'!$A$1:$D$14,4,0)</f>
        <v>3750</v>
      </c>
      <c r="G18502" s="51">
        <f>ROUNDUP(F18502*(E18502/21)/E18457,0)</f>
        <v>168</v>
      </c>
    </row>
    <row r="18503" spans="1:7" x14ac:dyDescent="0.25">
      <c r="A18503" s="69" t="s">
        <v>85</v>
      </c>
      <c r="B18503" s="72" t="str">
        <f>VLOOKUP(A18503,'[1]Componentes APUs'!$A$1:$D$14,2,0)</f>
        <v>Jean Dielectrico</v>
      </c>
      <c r="C18503" s="73"/>
      <c r="D18503" s="50" t="str">
        <f>VLOOKUP(A18503,'[1]Componentes APUs'!$A$1:$D$14,3,0)</f>
        <v>U</v>
      </c>
      <c r="E18503" s="50">
        <f>SUM(C18473:C18479)</f>
        <v>3.75</v>
      </c>
      <c r="F18503" s="51">
        <f>VLOOKUP(A18503,'[1]Componentes APUs'!$A$1:$D$14,4,0)</f>
        <v>7575.757575757576</v>
      </c>
      <c r="G18503" s="51">
        <f>ROUNDUP(F18503*(E18503/21)/E18457,0)</f>
        <v>339</v>
      </c>
    </row>
    <row r="18504" spans="1:7" x14ac:dyDescent="0.25">
      <c r="A18504" s="50" t="s">
        <v>87</v>
      </c>
      <c r="B18504" s="72" t="str">
        <f>VLOOKUP(A18504,'[1]Componentes APUs'!$A$1:$D$14,2,0)</f>
        <v>Casco dielectrico Tipo 2 Clase E con barboquejo</v>
      </c>
      <c r="C18504" s="73"/>
      <c r="D18504" s="50" t="str">
        <f>VLOOKUP(A18504,'[1]Componentes APUs'!$A$1:$D$14,3,0)</f>
        <v>U</v>
      </c>
      <c r="E18504" s="53">
        <f>IF(A18476="MO-3",C18475,0)</f>
        <v>0</v>
      </c>
      <c r="F18504" s="51">
        <f>VLOOKUP(A18504,'[1]Componentes APUs'!$A$1:$D$14,4,0)</f>
        <v>7500</v>
      </c>
      <c r="G18504" s="51">
        <f>ROUNDUP(F18504*(E18504/21)/E18457,0)</f>
        <v>0</v>
      </c>
    </row>
    <row r="18505" spans="1:7" x14ac:dyDescent="0.25">
      <c r="A18505" s="69" t="s">
        <v>89</v>
      </c>
      <c r="B18505" s="72" t="str">
        <f>VLOOKUP(A18505,'[1]Componentes APUs'!$A$1:$D$14,2,0)</f>
        <v>Kit de rescate para trabajo en alturas</v>
      </c>
      <c r="C18505" s="73"/>
      <c r="D18505" s="50" t="str">
        <f>VLOOKUP(A18505,'[1]Componentes APUs'!$A$1:$D$14,3,0)</f>
        <v>U</v>
      </c>
      <c r="E18505" s="50">
        <f>IF(AND(A18475="MO-3",C18475=2),1,0)</f>
        <v>0</v>
      </c>
      <c r="F18505" s="51">
        <f>VLOOKUP(A18505,'[1]Componentes APUs'!$A$1:$D$14,4,0)</f>
        <v>37500</v>
      </c>
      <c r="G18505" s="51">
        <f>ROUNDUP(F18505*(E18505/21)/E18457,0)</f>
        <v>0</v>
      </c>
    </row>
    <row r="18506" spans="1:7" x14ac:dyDescent="0.25">
      <c r="A18506" s="50" t="s">
        <v>91</v>
      </c>
      <c r="B18506" s="72" t="str">
        <f>VLOOKUP(A18506,'[1]Componentes APUs'!$A$1:$D$14,2,0)</f>
        <v>Equipo completo para trabajo en alturas con pretales (Arnes dielectrico, 1 mosqueton de seguridad, tie off dielectrico, eslinga de posicionamiento, juego de pretales)</v>
      </c>
      <c r="C18506" s="73"/>
      <c r="D18506" s="50" t="str">
        <f>VLOOKUP(A18506,'[1]Componentes APUs'!$A$1:$D$14,3,0)</f>
        <v>U</v>
      </c>
      <c r="E18506" s="50">
        <f>IF(A18475="MO-3",C18475,0)</f>
        <v>0</v>
      </c>
      <c r="F18506" s="51">
        <f>VLOOKUP(A18506,'[1]Componentes APUs'!$A$1:$D$14,4,0)</f>
        <v>26041.666666666668</v>
      </c>
      <c r="G18506" s="51">
        <f>ROUNDUP(F18506*(E18506/21)/E18457,0)</f>
        <v>0</v>
      </c>
    </row>
    <row r="18507" spans="1:7" x14ac:dyDescent="0.25">
      <c r="A18507" s="219" t="s">
        <v>95</v>
      </c>
      <c r="B18507" s="219"/>
      <c r="C18507" s="219"/>
      <c r="D18507" s="219"/>
      <c r="E18507" s="219"/>
      <c r="F18507" s="219"/>
      <c r="G18507" s="52">
        <f>SUM(G18494:G18506)</f>
        <v>2307</v>
      </c>
    </row>
    <row r="18508" spans="1:7" x14ac:dyDescent="0.25">
      <c r="A18508" s="56"/>
      <c r="B18508" s="57"/>
      <c r="C18508" s="57"/>
      <c r="D18508" s="57"/>
      <c r="E18508" s="57"/>
      <c r="F18508" s="57"/>
      <c r="G18508" s="58"/>
    </row>
    <row r="18509" spans="1:7" x14ac:dyDescent="0.25">
      <c r="A18509" s="219" t="s">
        <v>96</v>
      </c>
      <c r="B18509" s="219"/>
      <c r="C18509" s="219"/>
      <c r="D18509" s="219"/>
      <c r="E18509" s="219"/>
      <c r="F18509" s="219"/>
      <c r="G18509" s="219"/>
    </row>
    <row r="18510" spans="1:7" x14ac:dyDescent="0.25">
      <c r="A18510" s="49" t="s">
        <v>35</v>
      </c>
      <c r="B18510" s="225" t="s">
        <v>36</v>
      </c>
      <c r="C18510" s="225"/>
      <c r="D18510" s="49" t="s">
        <v>37</v>
      </c>
      <c r="E18510" s="49" t="s">
        <v>38</v>
      </c>
      <c r="F18510" s="49" t="s">
        <v>39</v>
      </c>
      <c r="G18510" s="49" t="s">
        <v>40</v>
      </c>
    </row>
    <row r="18511" spans="1:7" x14ac:dyDescent="0.25">
      <c r="A18511" s="69" t="s">
        <v>97</v>
      </c>
      <c r="B18511" s="72" t="str">
        <f>VLOOKUP(A18511,'[1]Componentes APUs'!$N$1:$Q$30,2,0)</f>
        <v>Camioneta</v>
      </c>
      <c r="C18511" s="73"/>
      <c r="D18511" s="70" t="str">
        <f>VLOOKUP(A18511,'[1]Componentes APUs'!$N$1:$Q$30,3,0)</f>
        <v>U</v>
      </c>
      <c r="E18511" s="50">
        <v>1</v>
      </c>
      <c r="F18511" s="51">
        <f>VLOOKUP(A18511,'[1]Componentes APUs'!$N$1:$Q$30,4,0)</f>
        <v>5500000</v>
      </c>
      <c r="G18511" s="51">
        <f>IFERROR(ROUNDUP(F18511*(E18511/21)/E18457,0),"-")</f>
        <v>65477</v>
      </c>
    </row>
    <row r="18512" spans="1:7" x14ac:dyDescent="0.25">
      <c r="A18512" s="50" t="s">
        <v>321</v>
      </c>
      <c r="B18512" s="72" t="str">
        <f>VLOOKUP(A18512,'[1]Componentes APUs'!$N$1:$Q$30,2,0)</f>
        <v>Grúa Hidráulica</v>
      </c>
      <c r="C18512" s="73"/>
      <c r="D18512" s="70" t="str">
        <f>VLOOKUP(A18512,'[1]Componentes APUs'!$N$1:$Q$30,3,0)</f>
        <v>U</v>
      </c>
      <c r="E18512" s="50">
        <v>0</v>
      </c>
      <c r="F18512" s="51">
        <f>VLOOKUP(A18512,'[1]Componentes APUs'!$N$1:$Q$30,4,0)</f>
        <v>21000000</v>
      </c>
      <c r="G18512" s="51">
        <f>IFERROR(ROUNDUP(F18512*(E18512/21)/E18457,0),"-")</f>
        <v>0</v>
      </c>
    </row>
    <row r="18513" spans="1:7" x14ac:dyDescent="0.25">
      <c r="A18513" s="69" t="s">
        <v>322</v>
      </c>
      <c r="B18513" s="72" t="str">
        <f>VLOOKUP(A18513,'[1]Componentes APUs'!$N$1:$Q$30,2,0)</f>
        <v>Camabaja</v>
      </c>
      <c r="C18513" s="73"/>
      <c r="D18513" s="70" t="str">
        <f>VLOOKUP(A18513,'[1]Componentes APUs'!$N$1:$Q$30,3,0)</f>
        <v>TON/KM</v>
      </c>
      <c r="E18513" s="50">
        <v>0</v>
      </c>
      <c r="F18513" s="51">
        <f>VLOOKUP(A18513,'[1]Componentes APUs'!$N$1:$Q$30,4,0)</f>
        <v>611</v>
      </c>
      <c r="G18513" s="51">
        <f>IFERROR(ROUNDUP(F18513*(E18513/21)/E18457,0),"-")</f>
        <v>0</v>
      </c>
    </row>
    <row r="18514" spans="1:7" x14ac:dyDescent="0.25">
      <c r="A18514" s="50" t="s">
        <v>323</v>
      </c>
      <c r="B18514" s="72" t="str">
        <f>VLOOKUP(A18514,'[1]Componentes APUs'!$N$1:$Q$30,2,0)</f>
        <v>Volqueta</v>
      </c>
      <c r="C18514" s="73"/>
      <c r="D18514" s="70" t="str">
        <f>VLOOKUP(A18514,'[1]Componentes APUs'!$N$1:$Q$30,3,0)</f>
        <v>U</v>
      </c>
      <c r="E18514" s="50">
        <v>0</v>
      </c>
      <c r="F18514" s="51">
        <f>VLOOKUP(A18514,'[1]Componentes APUs'!$N$1:$Q$30,4,0)</f>
        <v>18900000</v>
      </c>
      <c r="G18514" s="51">
        <f>IFERROR(ROUNDUP(F18514*(E18514/21)/E18457,0),"-")</f>
        <v>0</v>
      </c>
    </row>
    <row r="18515" spans="1:7" x14ac:dyDescent="0.25">
      <c r="A18515" s="69" t="s">
        <v>324</v>
      </c>
      <c r="B18515" s="72" t="str">
        <f>VLOOKUP(A18515,'[1]Componentes APUs'!$N$1:$Q$30,2,0)</f>
        <v>Retroexcavadora</v>
      </c>
      <c r="C18515" s="73"/>
      <c r="D18515" s="70" t="str">
        <f>VLOOKUP(A18515,'[1]Componentes APUs'!$N$1:$Q$30,3,0)</f>
        <v>U</v>
      </c>
      <c r="E18515" s="50">
        <v>0</v>
      </c>
      <c r="F18515" s="51">
        <f>VLOOKUP(A18515,'[1]Componentes APUs'!$N$1:$Q$30,4,0)</f>
        <v>1494459.54</v>
      </c>
      <c r="G18515" s="51">
        <f>IFERROR(ROUNDUP(F18515*(E18515/21)/E18457,0),"-")</f>
        <v>0</v>
      </c>
    </row>
    <row r="18516" spans="1:7" x14ac:dyDescent="0.25">
      <c r="A18516" s="69" t="s">
        <v>1119</v>
      </c>
      <c r="B18516" s="72" t="str">
        <f>VLOOKUP(A18516,'[1]Componentes APUs'!$N$1:$Q$30,2,0)</f>
        <v>Vibrador de concreto</v>
      </c>
      <c r="C18516" s="73"/>
      <c r="D18516" s="70" t="str">
        <f>VLOOKUP(A18516,'[1]Componentes APUs'!$N$1:$Q$30,3,0)</f>
        <v>U</v>
      </c>
      <c r="E18516" s="50">
        <v>1</v>
      </c>
      <c r="F18516" s="51">
        <f>VLOOKUP(A18516,'[1]Componentes APUs'!$N$1:$Q$30,4,0)</f>
        <v>1324470</v>
      </c>
      <c r="G18516" s="51">
        <f>IFERROR(ROUNDUP(F18516*(E18516/21)/E18457,0),"-")</f>
        <v>15768</v>
      </c>
    </row>
    <row r="18517" spans="1:7" x14ac:dyDescent="0.25">
      <c r="A18517" s="219" t="s">
        <v>99</v>
      </c>
      <c r="B18517" s="219"/>
      <c r="C18517" s="219"/>
      <c r="D18517" s="219"/>
      <c r="E18517" s="219"/>
      <c r="F18517" s="219"/>
      <c r="G18517" s="52">
        <f>SUM(G18511:G18516)</f>
        <v>81245</v>
      </c>
    </row>
    <row r="18518" spans="1:7" x14ac:dyDescent="0.25">
      <c r="A18518" s="56"/>
      <c r="B18518" s="57"/>
      <c r="C18518" s="57"/>
      <c r="D18518" s="57"/>
      <c r="E18518" s="57"/>
      <c r="F18518" s="57"/>
      <c r="G18518" s="58"/>
    </row>
    <row r="18519" spans="1:7" x14ac:dyDescent="0.25">
      <c r="A18519" s="219" t="s">
        <v>1516</v>
      </c>
      <c r="B18519" s="219"/>
      <c r="C18519" s="219"/>
      <c r="D18519" s="219"/>
      <c r="E18519" s="219"/>
      <c r="F18519" s="219"/>
      <c r="G18519" s="52">
        <f>G18517+G18507+G18490+G18480+G18469</f>
        <v>792913</v>
      </c>
    </row>
    <row r="18520" spans="1:7" x14ac:dyDescent="0.25">
      <c r="A18520" s="59"/>
      <c r="B18520" s="60"/>
      <c r="C18520" s="60"/>
      <c r="D18520" s="60"/>
      <c r="E18520" s="57"/>
      <c r="F18520" s="57"/>
      <c r="G18520" s="58"/>
    </row>
    <row r="18521" spans="1:7" x14ac:dyDescent="0.25">
      <c r="A18521" s="64"/>
      <c r="D18521" s="55"/>
      <c r="E18521" s="49" t="s">
        <v>25</v>
      </c>
      <c r="F18521" s="54">
        <v>0.15</v>
      </c>
      <c r="G18521" s="51">
        <f>G18519*F18521</f>
        <v>118936.95</v>
      </c>
    </row>
    <row r="18522" spans="1:7" x14ac:dyDescent="0.25">
      <c r="A18522" s="64"/>
      <c r="D18522" s="55"/>
      <c r="E18522" s="49" t="s">
        <v>26</v>
      </c>
      <c r="F18522" s="54">
        <v>0.05</v>
      </c>
      <c r="G18522" s="51">
        <f>G18519*F18522</f>
        <v>39645.65</v>
      </c>
    </row>
    <row r="18523" spans="1:7" x14ac:dyDescent="0.25">
      <c r="A18523" s="61"/>
      <c r="B18523" s="65"/>
      <c r="C18523" s="65"/>
      <c r="D18523" s="62"/>
      <c r="E18523" s="49" t="s">
        <v>27</v>
      </c>
      <c r="F18523" s="54">
        <v>0.05</v>
      </c>
      <c r="G18523" s="51">
        <f>G18519*F18523</f>
        <v>39645.65</v>
      </c>
    </row>
    <row r="18524" spans="1:7" x14ac:dyDescent="0.25">
      <c r="A18524" s="61"/>
      <c r="B18524" s="62"/>
      <c r="C18524" s="62"/>
      <c r="D18524" s="62"/>
      <c r="E18524" s="62"/>
      <c r="F18524" s="62"/>
      <c r="G18524" s="63"/>
    </row>
    <row r="18525" spans="1:7" x14ac:dyDescent="0.25">
      <c r="A18525" s="219" t="s">
        <v>1517</v>
      </c>
      <c r="B18525" s="219"/>
      <c r="C18525" s="219"/>
      <c r="D18525" s="219"/>
      <c r="E18525" s="219"/>
      <c r="F18525" s="219"/>
      <c r="G18525" s="52">
        <f>G18519+G18521+G18522+G18523</f>
        <v>991141.25</v>
      </c>
    </row>
    <row r="18526" spans="1:7" x14ac:dyDescent="0.25">
      <c r="A18526" s="59"/>
      <c r="B18526" s="60"/>
      <c r="C18526" s="60"/>
      <c r="D18526" s="60"/>
      <c r="E18526" s="57"/>
      <c r="F18526" s="57"/>
      <c r="G18526" s="58"/>
    </row>
    <row r="18527" spans="1:7" x14ac:dyDescent="0.25">
      <c r="A18527" s="64"/>
      <c r="D18527" s="55"/>
      <c r="E18527" s="49" t="s">
        <v>102</v>
      </c>
      <c r="F18527" s="49" t="s">
        <v>103</v>
      </c>
      <c r="G18527" s="51">
        <f>G18523*19%</f>
        <v>7532.6735000000008</v>
      </c>
    </row>
    <row r="18528" spans="1:7" x14ac:dyDescent="0.25">
      <c r="A18528" s="61"/>
      <c r="B18528" s="62"/>
      <c r="C18528" s="62"/>
      <c r="D18528" s="62"/>
      <c r="E18528" s="57"/>
      <c r="F18528" s="57"/>
      <c r="G18528" s="58"/>
    </row>
    <row r="18529" spans="1:7" x14ac:dyDescent="0.25">
      <c r="A18529" s="219" t="s">
        <v>104</v>
      </c>
      <c r="B18529" s="219"/>
      <c r="C18529" s="219"/>
      <c r="D18529" s="219"/>
      <c r="E18529" s="219"/>
      <c r="F18529" s="219"/>
      <c r="G18529" s="52">
        <f>G18527+G18525</f>
        <v>998673.92350000003</v>
      </c>
    </row>
    <row r="18531" spans="1:7" x14ac:dyDescent="0.25">
      <c r="A18531" s="74" t="s">
        <v>29</v>
      </c>
      <c r="B18531" s="226" t="s">
        <v>30</v>
      </c>
      <c r="C18531" s="226"/>
      <c r="D18531" s="74" t="s">
        <v>31</v>
      </c>
      <c r="E18531" s="74" t="s">
        <v>32</v>
      </c>
      <c r="F18531" s="74" t="s">
        <v>189</v>
      </c>
      <c r="G18531" s="74" t="s">
        <v>33</v>
      </c>
    </row>
    <row r="18532" spans="1:7" ht="35.25" customHeight="1" x14ac:dyDescent="0.25">
      <c r="A18532" s="50" t="str">
        <f>Presupuesto!B361</f>
        <v>031_AUX</v>
      </c>
      <c r="B18532" s="220" t="str">
        <f>Presupuesto!C361</f>
        <v>SUMINISTRO E INSTALACIÓN DE REFLECTO LED 100 W. INCLUYE  2 FUSIBLES TIPO SUMERGIBLE DE VIDRIO. CABLE ENCAUCHETADA 3X16 AWG. CONECTORES DE RESORTE, FOTOCELDA Y CINTA AISLANTE</v>
      </c>
      <c r="C18532" s="220"/>
      <c r="D18532" s="50" t="s">
        <v>8</v>
      </c>
      <c r="E18532" s="50">
        <v>4.5</v>
      </c>
      <c r="F18532" s="50"/>
      <c r="G18532" s="51">
        <f>G18601</f>
        <v>735327.58750000002</v>
      </c>
    </row>
    <row r="18533" spans="1:7" x14ac:dyDescent="0.25">
      <c r="A18533" s="219"/>
      <c r="B18533" s="219"/>
      <c r="C18533" s="219"/>
      <c r="D18533" s="219"/>
      <c r="E18533" s="219"/>
      <c r="F18533" s="219"/>
      <c r="G18533" s="219"/>
    </row>
    <row r="18534" spans="1:7" x14ac:dyDescent="0.25">
      <c r="A18534" s="49" t="s">
        <v>35</v>
      </c>
      <c r="B18534" s="219" t="s">
        <v>36</v>
      </c>
      <c r="C18534" s="219"/>
      <c r="D18534" s="49" t="s">
        <v>37</v>
      </c>
      <c r="E18534" s="49" t="s">
        <v>38</v>
      </c>
      <c r="F18534" s="49" t="s">
        <v>39</v>
      </c>
      <c r="G18534" s="49" t="s">
        <v>40</v>
      </c>
    </row>
    <row r="18535" spans="1:7" x14ac:dyDescent="0.25">
      <c r="A18535" s="17" t="str">
        <f>Material!A127</f>
        <v>MA-126</v>
      </c>
      <c r="B18535" s="72" t="str">
        <f>IFERROR(VLOOKUP(A18535,Material!$A:$J,2,0),"-")</f>
        <v>LUMINARIA LED ALUMBRADO PÚBLICO 100W</v>
      </c>
      <c r="C18535" s="73"/>
      <c r="D18535" s="50" t="str">
        <f>IFERROR(VLOOKUP(A18535,Material!$A:$J,4,0),"-")</f>
        <v>UN</v>
      </c>
      <c r="E18535" s="50">
        <v>1</v>
      </c>
      <c r="F18535" s="51">
        <f>IFERROR(VLOOKUP(A18535,Material!$A:$J,3,0),"-")</f>
        <v>264382.3</v>
      </c>
      <c r="G18535" s="51">
        <f t="shared" ref="G18535:G18542" si="258">IFERROR(ROUNDUP(F18535*E18535,0),"-")</f>
        <v>264383</v>
      </c>
    </row>
    <row r="18536" spans="1:7" ht="15" customHeight="1" x14ac:dyDescent="0.25">
      <c r="A18536" s="17" t="str">
        <f>Material!A128</f>
        <v>MA-127</v>
      </c>
      <c r="B18536" s="72" t="str">
        <f>IFERROR(VLOOKUP(A18536,Material!$A:$J,2,0),"-")</f>
        <v>CABLE ENCAUCHETADO 3 X 16 AWG COBRE</v>
      </c>
      <c r="C18536" s="76"/>
      <c r="D18536" s="50" t="str">
        <f>IFERROR(VLOOKUP(A18536,Material!$A:$J,4,0),"-")</f>
        <v>ML</v>
      </c>
      <c r="E18536" s="50">
        <v>7</v>
      </c>
      <c r="F18536" s="51">
        <f>IFERROR(VLOOKUP(A18536,Material!$A:$J,3,0),"-")</f>
        <v>6175</v>
      </c>
      <c r="G18536" s="51">
        <f t="shared" si="258"/>
        <v>43225</v>
      </c>
    </row>
    <row r="18537" spans="1:7" x14ac:dyDescent="0.25">
      <c r="A18537" s="17" t="str">
        <f>Material!A130</f>
        <v>MA-129</v>
      </c>
      <c r="B18537" s="72" t="str">
        <f>IFERROR(VLOOKUP(A18537,Material!$A:$J,2,0),"-")</f>
        <v>PORTAFUSIBLE Y FUSIBLE DE VIDRIO 2A</v>
      </c>
      <c r="C18537" s="76"/>
      <c r="D18537" s="50" t="str">
        <f>IFERROR(VLOOKUP(A18537,Material!$A:$J,4,0),"-")</f>
        <v>UN</v>
      </c>
      <c r="E18537" s="50">
        <v>2</v>
      </c>
      <c r="F18537" s="51">
        <f>IFERROR(VLOOKUP(A18537,Material!$A:$J,3,0),"-")</f>
        <v>11700</v>
      </c>
      <c r="G18537" s="51">
        <f t="shared" si="258"/>
        <v>23400</v>
      </c>
    </row>
    <row r="18538" spans="1:7" x14ac:dyDescent="0.25">
      <c r="A18538" s="17" t="str">
        <f>Material!A235</f>
        <v>MA-234</v>
      </c>
      <c r="B18538" s="72" t="str">
        <f>IFERROR(VLOOKUP(A18538,Material!$A:$J,2,0),"-")</f>
        <v>CINTA AISLANTE 23</v>
      </c>
      <c r="C18538" s="76"/>
      <c r="D18538" s="50" t="str">
        <f>IFERROR(VLOOKUP(A18538,Material!$A:$J,4,0),"-")</f>
        <v>ML</v>
      </c>
      <c r="E18538" s="50">
        <v>0.04</v>
      </c>
      <c r="F18538" s="51">
        <f>IFERROR(VLOOKUP(A18538,Material!$A:$J,3,0),"-")</f>
        <v>29683.333333333332</v>
      </c>
      <c r="G18538" s="51">
        <f t="shared" si="258"/>
        <v>1188</v>
      </c>
    </row>
    <row r="18539" spans="1:7" x14ac:dyDescent="0.25">
      <c r="A18539" s="17" t="str">
        <f>Material!A236</f>
        <v>MA-235</v>
      </c>
      <c r="B18539" s="72" t="str">
        <f>IFERROR(VLOOKUP(A18539,Material!$A:$J,2,0),"-")</f>
        <v>CINTA AISLANTE 33</v>
      </c>
      <c r="C18539" s="76"/>
      <c r="D18539" s="50" t="str">
        <f>IFERROR(VLOOKUP(A18539,Material!$A:$J,4,0),"-")</f>
        <v>ML</v>
      </c>
      <c r="E18539" s="50">
        <v>0.04</v>
      </c>
      <c r="F18539" s="51">
        <f>IFERROR(VLOOKUP(A18539,Material!$A:$J,3,0),"-")</f>
        <v>1826.5</v>
      </c>
      <c r="G18539" s="51">
        <f t="shared" si="258"/>
        <v>74</v>
      </c>
    </row>
    <row r="18540" spans="1:7" x14ac:dyDescent="0.25">
      <c r="A18540" s="17" t="str">
        <f>Material!A150</f>
        <v>MA-149</v>
      </c>
      <c r="B18540" s="72" t="str">
        <f>IFERROR(VLOOKUP(A18540,Material!$A:$J,2,0),"-")</f>
        <v>CONECTORES DE RESORTE 18-8AWG</v>
      </c>
      <c r="C18540" s="76"/>
      <c r="D18540" s="50" t="str">
        <f>IFERROR(VLOOKUP(A18540,Material!$A:$J,4,0),"-")</f>
        <v>UN</v>
      </c>
      <c r="E18540" s="50">
        <v>3</v>
      </c>
      <c r="F18540" s="51">
        <f>IFERROR(VLOOKUP(A18540,Material!$A:$J,3,0),"-")</f>
        <v>1560</v>
      </c>
      <c r="G18540" s="51">
        <f t="shared" si="258"/>
        <v>4680</v>
      </c>
    </row>
    <row r="18541" spans="1:7" x14ac:dyDescent="0.25">
      <c r="A18541" s="17" t="str">
        <f>Material!A237</f>
        <v>MA-236</v>
      </c>
      <c r="B18541" s="72" t="str">
        <f>IFERROR(VLOOKUP(A18541,Material!$A:$J,2,0),"-")</f>
        <v>FOTOCELDA PARA LUMINARIA</v>
      </c>
      <c r="C18541" s="76"/>
      <c r="D18541" s="50" t="str">
        <f>IFERROR(VLOOKUP(A18541,Material!$A:$J,4,0),"-")</f>
        <v>UN</v>
      </c>
      <c r="E18541" s="50">
        <v>1</v>
      </c>
      <c r="F18541" s="51">
        <f>IFERROR(VLOOKUP(A18541,Material!$A:$J,3,0),"-")</f>
        <v>35815</v>
      </c>
      <c r="G18541" s="51">
        <f t="shared" si="258"/>
        <v>35815</v>
      </c>
    </row>
    <row r="18542" spans="1:7" x14ac:dyDescent="0.25">
      <c r="A18542" s="17"/>
      <c r="B18542" s="72" t="str">
        <f>IFERROR(VLOOKUP(A18542,Material!$A:$J,2,0),"-")</f>
        <v>-</v>
      </c>
      <c r="C18542" s="76"/>
      <c r="D18542" s="50" t="str">
        <f>IFERROR(VLOOKUP(A18542,Material!$A:$J,4,0),"-")</f>
        <v>-</v>
      </c>
      <c r="E18542" s="50"/>
      <c r="F18542" s="51" t="str">
        <f>IFERROR(VLOOKUP(A18542,Material!$A:$J,3,0),"-")</f>
        <v>-</v>
      </c>
      <c r="G18542" s="51" t="str">
        <f t="shared" si="258"/>
        <v>-</v>
      </c>
    </row>
    <row r="18543" spans="1:7" x14ac:dyDescent="0.25">
      <c r="A18543" s="219" t="s">
        <v>41</v>
      </c>
      <c r="B18543" s="219"/>
      <c r="C18543" s="219"/>
      <c r="D18543" s="219"/>
      <c r="E18543" s="219"/>
      <c r="F18543" s="219"/>
      <c r="G18543" s="52">
        <f>SUM(G18535:G18542)</f>
        <v>372765</v>
      </c>
    </row>
    <row r="18544" spans="1:7" x14ac:dyDescent="0.25">
      <c r="A18544" s="56"/>
      <c r="B18544" s="57"/>
      <c r="C18544" s="57"/>
      <c r="D18544" s="57"/>
      <c r="E18544" s="57"/>
      <c r="F18544" s="57"/>
      <c r="G18544" s="58"/>
    </row>
    <row r="18545" spans="1:7" x14ac:dyDescent="0.25">
      <c r="A18545" s="219" t="s">
        <v>42</v>
      </c>
      <c r="B18545" s="219"/>
      <c r="C18545" s="219"/>
      <c r="D18545" s="219"/>
      <c r="E18545" s="219"/>
      <c r="F18545" s="219"/>
      <c r="G18545" s="219"/>
    </row>
    <row r="18546" spans="1:7" x14ac:dyDescent="0.25">
      <c r="A18546" s="49" t="s">
        <v>35</v>
      </c>
      <c r="B18546" s="49" t="s">
        <v>36</v>
      </c>
      <c r="C18546" s="49" t="s">
        <v>38</v>
      </c>
      <c r="D18546" s="49" t="s">
        <v>43</v>
      </c>
      <c r="E18546" s="49" t="s">
        <v>44</v>
      </c>
      <c r="F18546" s="49" t="s">
        <v>45</v>
      </c>
      <c r="G18546" s="49" t="s">
        <v>40</v>
      </c>
    </row>
    <row r="18547" spans="1:7" x14ac:dyDescent="0.25">
      <c r="A18547" s="50" t="s">
        <v>319</v>
      </c>
      <c r="B18547" s="68" t="str">
        <f>VLOOKUP(A18547,'[1]Componentes APUs'!$H$1:$L$25,2,0)</f>
        <v>Ingeniero Residente de Obra</v>
      </c>
      <c r="C18547" s="93">
        <v>0.25</v>
      </c>
      <c r="D18547" s="50">
        <f>VLOOKUP(A18547,'[1]Componentes APUs'!$H$1:$L$25,3,0)</f>
        <v>4</v>
      </c>
      <c r="E18547" s="51">
        <f>VLOOKUP(A18547,'[1]Componentes APUs'!$H$1:$L$25,4,0)</f>
        <v>271142.85714285716</v>
      </c>
      <c r="F18547" s="51">
        <f>VLOOKUP(A18547,'[1]Componentes APUs'!$H$1:$L$25,5,0)</f>
        <v>162685.71428571429</v>
      </c>
      <c r="G18547" s="51">
        <f>ROUNDUP((E18547+F18547)*C18547/E18532,0)</f>
        <v>24102</v>
      </c>
    </row>
    <row r="18548" spans="1:7" x14ac:dyDescent="0.25">
      <c r="A18548" s="50" t="s">
        <v>320</v>
      </c>
      <c r="B18548" s="68" t="str">
        <f>VLOOKUP(A18548,'[1]Componentes APUs'!$H$1:$L$25,2,0)</f>
        <v>Tecnico Supervisor</v>
      </c>
      <c r="C18548" s="93">
        <v>0.25</v>
      </c>
      <c r="D18548" s="50">
        <f>VLOOKUP(A18548,'[1]Componentes APUs'!$H$1:$L$25,3,0)</f>
        <v>2.2999999999999998</v>
      </c>
      <c r="E18548" s="51">
        <f>VLOOKUP(A18548,'[1]Componentes APUs'!$H$1:$L$25,4,0)</f>
        <v>155907.14285714284</v>
      </c>
      <c r="F18548" s="51">
        <f>VLOOKUP(A18548,'[1]Componentes APUs'!$H$1:$L$25,5,0)</f>
        <v>93544.285714285696</v>
      </c>
      <c r="G18548" s="51">
        <f>ROUNDUP((E18548+F18548)*C18548/E18532,0)</f>
        <v>13859</v>
      </c>
    </row>
    <row r="18549" spans="1:7" x14ac:dyDescent="0.25">
      <c r="A18549" s="50" t="s">
        <v>46</v>
      </c>
      <c r="B18549" s="68" t="str">
        <f>VLOOKUP(A18549,'[1]Componentes APUs'!$H$1:$L$25,2,0)</f>
        <v>Tecnico Liniero</v>
      </c>
      <c r="C18549" s="93">
        <v>1</v>
      </c>
      <c r="D18549" s="50">
        <f>VLOOKUP(A18549,'[1]Componentes APUs'!$H$1:$L$25,3,0)</f>
        <v>2</v>
      </c>
      <c r="E18549" s="51">
        <f>VLOOKUP(A18549,'[1]Componentes APUs'!$H$1:$L$25,4,0)</f>
        <v>154619.04761904763</v>
      </c>
      <c r="F18549" s="51">
        <f>VLOOKUP(A18549,'[1]Componentes APUs'!$H$1:$L$25,5,0)</f>
        <v>92771.42857142858</v>
      </c>
      <c r="G18549" s="51">
        <f>ROUNDUP((E18549+F18549)*C18549/E18532,0)</f>
        <v>54976</v>
      </c>
    </row>
    <row r="18550" spans="1:7" x14ac:dyDescent="0.25">
      <c r="A18550" s="50" t="s">
        <v>48</v>
      </c>
      <c r="B18550" s="68" t="str">
        <f>VLOOKUP(A18550,'[1]Componentes APUs'!$H$1:$L$25,2,0)</f>
        <v>Ayudante Calificado</v>
      </c>
      <c r="C18550" s="93">
        <v>1</v>
      </c>
      <c r="D18550" s="50">
        <f>VLOOKUP(A18550,'[1]Componentes APUs'!$H$1:$L$25,3,0)</f>
        <v>1.5</v>
      </c>
      <c r="E18550" s="51">
        <f>VLOOKUP(A18550,'[1]Componentes APUs'!$H$1:$L$25,4,0)</f>
        <v>115964.28571428571</v>
      </c>
      <c r="F18550" s="51">
        <f>VLOOKUP(A18550,'[1]Componentes APUs'!$H$1:$L$25,5,0)</f>
        <v>69578.57142857142</v>
      </c>
      <c r="G18550" s="51">
        <f>ROUNDUP((E18550+F18550)*C18550/E18532,0)</f>
        <v>41232</v>
      </c>
    </row>
    <row r="18551" spans="1:7" x14ac:dyDescent="0.25">
      <c r="A18551" s="50" t="s">
        <v>50</v>
      </c>
      <c r="B18551" s="68" t="str">
        <f>VLOOKUP(A18551,'[1]Componentes APUs'!$H$1:$L$25,2,0)</f>
        <v>Profesional en SST</v>
      </c>
      <c r="C18551" s="93">
        <v>0.25</v>
      </c>
      <c r="D18551" s="50">
        <f>VLOOKUP(A18551,'[1]Componentes APUs'!$H$1:$L$25,3,0)</f>
        <v>2.5</v>
      </c>
      <c r="E18551" s="51">
        <f>VLOOKUP(A18551,'[1]Componentes APUs'!$H$1:$L$25,4,0)</f>
        <v>169464.28571428571</v>
      </c>
      <c r="F18551" s="51">
        <f>VLOOKUP(A18551,'[1]Componentes APUs'!$H$1:$L$25,5,0)</f>
        <v>101678.57142857142</v>
      </c>
      <c r="G18551" s="51">
        <f>ROUNDUP((E18551+F18551)*C18551/E18532,0)</f>
        <v>15064</v>
      </c>
    </row>
    <row r="18552" spans="1:7" x14ac:dyDescent="0.25">
      <c r="A18552" s="50" t="s">
        <v>52</v>
      </c>
      <c r="B18552" s="68" t="str">
        <f>VLOOKUP(A18552,'[1]Componentes APUs'!$H$1:$L$25,2,0)</f>
        <v>Ayudante No Calificado</v>
      </c>
      <c r="C18552" s="93">
        <v>0</v>
      </c>
      <c r="D18552" s="50">
        <f>VLOOKUP(A18552,'[1]Componentes APUs'!$H$1:$L$25,3,0)</f>
        <v>1</v>
      </c>
      <c r="E18552" s="51">
        <f>VLOOKUP(A18552,'[1]Componentes APUs'!$H$1:$L$25,4,0)</f>
        <v>77309.523809523816</v>
      </c>
      <c r="F18552" s="51">
        <f>VLOOKUP(A18552,'[1]Componentes APUs'!$H$1:$L$25,5,0)</f>
        <v>46385.71428571429</v>
      </c>
      <c r="G18552" s="51">
        <f>ROUNDUP((E18552+F18552)*C18552/E18532,0)</f>
        <v>0</v>
      </c>
    </row>
    <row r="18553" spans="1:7" x14ac:dyDescent="0.25">
      <c r="A18553" s="219" t="s">
        <v>56</v>
      </c>
      <c r="B18553" s="219"/>
      <c r="C18553" s="219"/>
      <c r="D18553" s="219"/>
      <c r="E18553" s="219"/>
      <c r="F18553" s="219"/>
      <c r="G18553" s="52">
        <f>SUM(G18547:G18552)</f>
        <v>149233</v>
      </c>
    </row>
    <row r="18554" spans="1:7" x14ac:dyDescent="0.25">
      <c r="A18554" s="56"/>
      <c r="B18554" s="57"/>
      <c r="C18554" s="57"/>
      <c r="D18554" s="57"/>
      <c r="E18554" s="57"/>
      <c r="F18554" s="57"/>
      <c r="G18554" s="58"/>
    </row>
    <row r="18555" spans="1:7" x14ac:dyDescent="0.25">
      <c r="A18555" s="219" t="s">
        <v>57</v>
      </c>
      <c r="B18555" s="219"/>
      <c r="C18555" s="219"/>
      <c r="D18555" s="219"/>
      <c r="E18555" s="219"/>
      <c r="F18555" s="219"/>
      <c r="G18555" s="219"/>
    </row>
    <row r="18556" spans="1:7" x14ac:dyDescent="0.25">
      <c r="A18556" s="49" t="s">
        <v>35</v>
      </c>
      <c r="B18556" s="219" t="s">
        <v>36</v>
      </c>
      <c r="C18556" s="219"/>
      <c r="D18556" s="49" t="s">
        <v>37</v>
      </c>
      <c r="E18556" s="49" t="s">
        <v>38</v>
      </c>
      <c r="F18556" s="49" t="s">
        <v>39</v>
      </c>
      <c r="G18556" s="49" t="s">
        <v>40</v>
      </c>
    </row>
    <row r="18557" spans="1:7" x14ac:dyDescent="0.25">
      <c r="A18557" s="50" t="s">
        <v>326</v>
      </c>
      <c r="B18557" s="220" t="str">
        <f>VLOOKUP(A18557,'[1]Componentes APUs'!$S$1:$V$10,2,0)</f>
        <v>Juego Llaves</v>
      </c>
      <c r="C18557" s="220"/>
      <c r="D18557" s="50" t="s">
        <v>18</v>
      </c>
      <c r="E18557" s="50">
        <v>2</v>
      </c>
      <c r="F18557" s="51">
        <f>VLOOKUP(A18557,'[1]Componentes APUs'!$S$1:$V$10,4,0)</f>
        <v>9167</v>
      </c>
      <c r="G18557" s="51">
        <f>ROUNDUP(F18557*((E18557/21)/E18532),0)</f>
        <v>195</v>
      </c>
    </row>
    <row r="18558" spans="1:7" x14ac:dyDescent="0.25">
      <c r="A18558" s="50" t="s">
        <v>58</v>
      </c>
      <c r="B18558" s="220" t="str">
        <f>VLOOKUP(A18558,'[1]Componentes APUs'!$S$1:$V$10,2,0)</f>
        <v>Manila de servicio</v>
      </c>
      <c r="C18558" s="220"/>
      <c r="D18558" s="50" t="s">
        <v>18</v>
      </c>
      <c r="E18558" s="50">
        <v>2</v>
      </c>
      <c r="F18558" s="51">
        <f>VLOOKUP(A18558,'[1]Componentes APUs'!$S$1:$V$10,4,0)</f>
        <v>2333</v>
      </c>
      <c r="G18558" s="51">
        <f>ROUNDUP(F18558*((E18558/21)/E18532),0)</f>
        <v>50</v>
      </c>
    </row>
    <row r="18559" spans="1:7" x14ac:dyDescent="0.25">
      <c r="A18559" s="50" t="s">
        <v>327</v>
      </c>
      <c r="B18559" s="220" t="str">
        <f>VLOOKUP(A18559,'[1]Componentes APUs'!$S$1:$V$10,2,0)</f>
        <v>Tula portaherramientas</v>
      </c>
      <c r="C18559" s="220"/>
      <c r="D18559" s="50" t="s">
        <v>18</v>
      </c>
      <c r="E18559" s="50">
        <v>2</v>
      </c>
      <c r="F18559" s="51">
        <f>VLOOKUP(A18559,'[1]Componentes APUs'!$S$1:$V$10,4,0)</f>
        <v>1250</v>
      </c>
      <c r="G18559" s="51">
        <f>ROUNDUP(F18559*((E18559/21)/E18532),0)</f>
        <v>27</v>
      </c>
    </row>
    <row r="18560" spans="1:7" x14ac:dyDescent="0.25">
      <c r="A18560" s="50" t="s">
        <v>60</v>
      </c>
      <c r="B18560" s="220" t="str">
        <f>VLOOKUP(A18560,'[1]Componentes APUs'!$S$1:$V$10,2,0)</f>
        <v>Agarradoras</v>
      </c>
      <c r="C18560" s="220"/>
      <c r="D18560" s="50" t="s">
        <v>18</v>
      </c>
      <c r="E18560" s="50">
        <v>0</v>
      </c>
      <c r="F18560" s="51">
        <f>VLOOKUP(A18560,'[1]Componentes APUs'!$S$1:$V$10,4,0)</f>
        <v>125000</v>
      </c>
      <c r="G18560" s="51">
        <f>ROUNDUP(F18560*((E18560/21)/E18532),0)</f>
        <v>0</v>
      </c>
    </row>
    <row r="18561" spans="1:7" x14ac:dyDescent="0.25">
      <c r="A18561" s="50" t="s">
        <v>62</v>
      </c>
      <c r="B18561" s="220" t="str">
        <f>VLOOKUP(A18561,'[1]Componentes APUs'!$S$1:$V$10,2,0)</f>
        <v>Templadoras</v>
      </c>
      <c r="C18561" s="220"/>
      <c r="D18561" s="50" t="s">
        <v>18</v>
      </c>
      <c r="E18561" s="50">
        <v>0</v>
      </c>
      <c r="F18561" s="51">
        <f>VLOOKUP(A18561,'[1]Componentes APUs'!$S$1:$V$10,4,0)</f>
        <v>250000</v>
      </c>
      <c r="G18561" s="51">
        <f>ROUNDUP(F18561*((E18561/21)/E18532),0)</f>
        <v>0</v>
      </c>
    </row>
    <row r="18562" spans="1:7" x14ac:dyDescent="0.25">
      <c r="A18562" s="50" t="s">
        <v>328</v>
      </c>
      <c r="B18562" s="220" t="str">
        <f>VLOOKUP(A18562,'[1]Componentes APUs'!$S$1:$V$10,2,0)</f>
        <v>Herramienta Menor</v>
      </c>
      <c r="C18562" s="220"/>
      <c r="D18562" s="50" t="s">
        <v>18</v>
      </c>
      <c r="E18562" s="50">
        <v>2</v>
      </c>
      <c r="F18562" s="51">
        <f>VLOOKUP(A18562,'[1]Componentes APUs'!$S$1:$V$10,4,0)</f>
        <v>75758</v>
      </c>
      <c r="G18562" s="51">
        <f>ROUNDUP(F18562*((E18562/21)/E18532),0)</f>
        <v>1604</v>
      </c>
    </row>
    <row r="18563" spans="1:7" x14ac:dyDescent="0.25">
      <c r="A18563" s="219" t="s">
        <v>69</v>
      </c>
      <c r="B18563" s="219"/>
      <c r="C18563" s="219"/>
      <c r="D18563" s="219"/>
      <c r="E18563" s="219"/>
      <c r="F18563" s="219"/>
      <c r="G18563" s="52">
        <f>SUM(G18557:G18562)</f>
        <v>1876</v>
      </c>
    </row>
    <row r="18564" spans="1:7" x14ac:dyDescent="0.25">
      <c r="A18564" s="56"/>
      <c r="B18564" s="57"/>
      <c r="C18564" s="57"/>
      <c r="D18564" s="57"/>
      <c r="E18564" s="57"/>
      <c r="F18564" s="57"/>
      <c r="G18564" s="58"/>
    </row>
    <row r="18565" spans="1:7" x14ac:dyDescent="0.25">
      <c r="A18565" s="219" t="s">
        <v>70</v>
      </c>
      <c r="B18565" s="219"/>
      <c r="C18565" s="219"/>
      <c r="D18565" s="219"/>
      <c r="E18565" s="219"/>
      <c r="F18565" s="219"/>
      <c r="G18565" s="219"/>
    </row>
    <row r="18566" spans="1:7" x14ac:dyDescent="0.25">
      <c r="A18566" s="49" t="s">
        <v>35</v>
      </c>
      <c r="B18566" s="219" t="s">
        <v>36</v>
      </c>
      <c r="C18566" s="219"/>
      <c r="D18566" s="49" t="s">
        <v>37</v>
      </c>
      <c r="E18566" s="49" t="s">
        <v>38</v>
      </c>
      <c r="F18566" s="49" t="s">
        <v>39</v>
      </c>
      <c r="G18566" s="49" t="s">
        <v>40</v>
      </c>
    </row>
    <row r="18567" spans="1:7" x14ac:dyDescent="0.25">
      <c r="A18567" s="50" t="s">
        <v>71</v>
      </c>
      <c r="B18567" s="71" t="str">
        <f>VLOOKUP(A18567,'[1]Componentes APUs'!$A$1:$D$14,2,0)</f>
        <v>Camisa indigo sin partes metalicas</v>
      </c>
      <c r="C18567" s="71"/>
      <c r="D18567" s="50" t="str">
        <f>VLOOKUP(A18567,'[1]Componentes APUs'!$A$1:$D$14,3,0)</f>
        <v>U</v>
      </c>
      <c r="E18567" s="50">
        <f>SUM(C18547:C18552)</f>
        <v>2.75</v>
      </c>
      <c r="F18567" s="51">
        <f>VLOOKUP(A18567,'[1]Componentes APUs'!$A$1:$D$14,4,0)</f>
        <v>8585.8585858585866</v>
      </c>
      <c r="G18567" s="51">
        <f>ROUNDUP(F18567*(E18567/21)/E18532,0)</f>
        <v>250</v>
      </c>
    </row>
    <row r="18568" spans="1:7" x14ac:dyDescent="0.25">
      <c r="A18568" s="69" t="s">
        <v>73</v>
      </c>
      <c r="B18568" s="72" t="str">
        <f>VLOOKUP(A18568,'[1]Componentes APUs'!$A$1:$D$14,2,0)</f>
        <v>Bota de seguridad dielectrica</v>
      </c>
      <c r="C18568" s="73"/>
      <c r="D18568" s="70" t="str">
        <f>VLOOKUP(A18568,'[1]Componentes APUs'!$A$1:$D$14,3,0)</f>
        <v>Par</v>
      </c>
      <c r="E18568" s="50">
        <f>SUM(C18547:C18552)</f>
        <v>2.75</v>
      </c>
      <c r="F18568" s="51">
        <f>VLOOKUP(A18568,'[1]Componentes APUs'!$A$1:$D$14,4,0)</f>
        <v>7500</v>
      </c>
      <c r="G18568" s="51">
        <f>ROUNDUP(F18568*(E18568/21)/E18532,0)</f>
        <v>219</v>
      </c>
    </row>
    <row r="18569" spans="1:7" x14ac:dyDescent="0.25">
      <c r="A18569" s="50" t="s">
        <v>76</v>
      </c>
      <c r="B18569" s="72" t="str">
        <f>VLOOKUP(A18569,'[1]Componentes APUs'!$A$1:$D$14,2,0)</f>
        <v>Casco dielectrico Tipo 1 Clase E con barbuquejo</v>
      </c>
      <c r="C18569" s="73"/>
      <c r="D18569" s="50" t="str">
        <f>VLOOKUP(A18569,'[1]Componentes APUs'!$A$1:$D$14,3,0)</f>
        <v>U</v>
      </c>
      <c r="E18569" s="50">
        <f>C18552+C18547+C18550+C18551+C18548+IF(A18549&lt;&gt;"MO-3",C18549,0)</f>
        <v>1.75</v>
      </c>
      <c r="F18569" s="51">
        <f>VLOOKUP(A18569,'[1]Componentes APUs'!$A$1:$D$14,4,0)</f>
        <v>10101.010101010101</v>
      </c>
      <c r="G18569" s="51">
        <f>ROUNDUP(F18569*(E18569/21)/E18532,0)</f>
        <v>188</v>
      </c>
    </row>
    <row r="18570" spans="1:7" x14ac:dyDescent="0.25">
      <c r="A18570" s="69" t="s">
        <v>77</v>
      </c>
      <c r="B18570" s="72" t="str">
        <f>VLOOKUP(A18570,'[1]Componentes APUs'!$A$1:$D$14,2,0)</f>
        <v>Correa plastica y antiflama</v>
      </c>
      <c r="C18570" s="73"/>
      <c r="D18570" s="50" t="str">
        <f>VLOOKUP(A18570,'[1]Componentes APUs'!$A$1:$D$14,3,0)</f>
        <v>U</v>
      </c>
      <c r="E18570" s="50">
        <f>SUM(C18547:C18552)</f>
        <v>2.75</v>
      </c>
      <c r="F18570" s="51">
        <f>VLOOKUP(A18570,'[1]Componentes APUs'!$A$1:$D$14,4,0)</f>
        <v>3787.878787878788</v>
      </c>
      <c r="G18570" s="51">
        <f>ROUNDUP(F18570*(E18570/21)/E18532,0)</f>
        <v>111</v>
      </c>
    </row>
    <row r="18571" spans="1:7" x14ac:dyDescent="0.25">
      <c r="A18571" s="50" t="s">
        <v>79</v>
      </c>
      <c r="B18571" s="72" t="str">
        <f>VLOOKUP(A18571,'[1]Componentes APUs'!$A$1:$D$14,2,0)</f>
        <v>Gafas protectoras filtro UV</v>
      </c>
      <c r="C18571" s="73"/>
      <c r="D18571" s="50" t="str">
        <f>VLOOKUP(A18571,'[1]Componentes APUs'!$A$1:$D$14,3,0)</f>
        <v>U</v>
      </c>
      <c r="E18571" s="50">
        <f>SUM(C18547:C18552)</f>
        <v>2.75</v>
      </c>
      <c r="F18571" s="51">
        <f>VLOOKUP(A18571,'[1]Componentes APUs'!$A$1:$D$14,4,0)</f>
        <v>2777.7777777777778</v>
      </c>
      <c r="G18571" s="51">
        <f>ROUNDUP(F18571*(E18571/21)/E18532,0)</f>
        <v>81</v>
      </c>
    </row>
    <row r="18572" spans="1:7" x14ac:dyDescent="0.25">
      <c r="A18572" s="69" t="s">
        <v>402</v>
      </c>
      <c r="B18572" s="72" t="str">
        <f>VLOOKUP(A18572,'[1]Componentes APUs'!$A$1:$D$14,2,0)</f>
        <v>Bota de seguridad PVC dielectrica</v>
      </c>
      <c r="C18572" s="73"/>
      <c r="D18572" s="50" t="str">
        <f>VLOOKUP(A18572,'[1]Componentes APUs'!$A$1:$D$14,3,0)</f>
        <v>Par</v>
      </c>
      <c r="E18572" s="50">
        <f>SUM(C18547:C18552)</f>
        <v>2.75</v>
      </c>
      <c r="F18572" s="51">
        <f>VLOOKUP(A18572,'[1]Componentes APUs'!$A$1:$D$14,4,0)</f>
        <v>2916.6666666666665</v>
      </c>
      <c r="G18572" s="51">
        <f>ROUNDUP(F18572*(E18572/21)/E18532,0)</f>
        <v>85</v>
      </c>
    </row>
    <row r="18573" spans="1:7" x14ac:dyDescent="0.25">
      <c r="A18573" s="50" t="s">
        <v>403</v>
      </c>
      <c r="B18573" s="72" t="str">
        <f>VLOOKUP(A18573,'[1]Componentes APUs'!$A$1:$D$14,2,0)</f>
        <v>Capuchon</v>
      </c>
      <c r="C18573" s="73"/>
      <c r="D18573" s="50" t="str">
        <f>VLOOKUP(A18573,'[1]Componentes APUs'!$A$1:$D$14,3,0)</f>
        <v>U</v>
      </c>
      <c r="E18573" s="50">
        <f>SUM(C18547:C18552)</f>
        <v>2.75</v>
      </c>
      <c r="F18573" s="51">
        <f>VLOOKUP(A18573,'[1]Componentes APUs'!$A$1:$D$14,4,0)</f>
        <v>2525.2525252525252</v>
      </c>
      <c r="G18573" s="51">
        <f>ROUNDUP(F18573*(E18573/21)/E18532,0)</f>
        <v>74</v>
      </c>
    </row>
    <row r="18574" spans="1:7" x14ac:dyDescent="0.25">
      <c r="A18574" s="69" t="s">
        <v>81</v>
      </c>
      <c r="B18574" s="72" t="str">
        <f>VLOOKUP(A18574,'[1]Componentes APUs'!$A$1:$D$14,2,0)</f>
        <v>Guantes Protectores  - ingeniero reforzados</v>
      </c>
      <c r="C18574" s="73"/>
      <c r="D18574" s="50" t="str">
        <f>VLOOKUP(A18574,'[1]Componentes APUs'!$A$1:$D$14,3,0)</f>
        <v>Par</v>
      </c>
      <c r="E18574" s="50">
        <f>C18549+C18550+C18552</f>
        <v>2</v>
      </c>
      <c r="F18574" s="51">
        <f>VLOOKUP(A18574,'[1]Componentes APUs'!$A$1:$D$14,4,0)</f>
        <v>2525.2525252525252</v>
      </c>
      <c r="G18574" s="51">
        <f>ROUNDUP(F18574*(E18574/21)/E18532,0)</f>
        <v>54</v>
      </c>
    </row>
    <row r="18575" spans="1:7" x14ac:dyDescent="0.25">
      <c r="A18575" s="50" t="s">
        <v>83</v>
      </c>
      <c r="B18575" s="72" t="str">
        <f>VLOOKUP(A18575,'[1]Componentes APUs'!$A$1:$D$14,2,0)</f>
        <v>Impermeable (pantalon camisa)</v>
      </c>
      <c r="C18575" s="73"/>
      <c r="D18575" s="50" t="str">
        <f>VLOOKUP(A18575,'[1]Componentes APUs'!$A$1:$D$14,3,0)</f>
        <v>U</v>
      </c>
      <c r="E18575" s="50">
        <f>SUM(C18547:C18552)</f>
        <v>2.75</v>
      </c>
      <c r="F18575" s="51">
        <f>VLOOKUP(A18575,'[1]Componentes APUs'!$A$1:$D$14,4,0)</f>
        <v>3750</v>
      </c>
      <c r="G18575" s="51">
        <f>ROUNDUP(F18575*(E18575/21)/E18532,0)</f>
        <v>110</v>
      </c>
    </row>
    <row r="18576" spans="1:7" x14ac:dyDescent="0.25">
      <c r="A18576" s="69" t="s">
        <v>85</v>
      </c>
      <c r="B18576" s="72" t="str">
        <f>VLOOKUP(A18576,'[1]Componentes APUs'!$A$1:$D$14,2,0)</f>
        <v>Jean Dielectrico</v>
      </c>
      <c r="C18576" s="73"/>
      <c r="D18576" s="50" t="str">
        <f>VLOOKUP(A18576,'[1]Componentes APUs'!$A$1:$D$14,3,0)</f>
        <v>U</v>
      </c>
      <c r="E18576" s="50">
        <f>SUM(C18547:C18552)</f>
        <v>2.75</v>
      </c>
      <c r="F18576" s="51">
        <f>VLOOKUP(A18576,'[1]Componentes APUs'!$A$1:$D$14,4,0)</f>
        <v>7575.757575757576</v>
      </c>
      <c r="G18576" s="51">
        <f>ROUNDUP(F18576*(E18576/21)/E18532,0)</f>
        <v>221</v>
      </c>
    </row>
    <row r="18577" spans="1:7" x14ac:dyDescent="0.25">
      <c r="A18577" s="50" t="s">
        <v>87</v>
      </c>
      <c r="B18577" s="72" t="str">
        <f>VLOOKUP(A18577,'[1]Componentes APUs'!$A$1:$D$14,2,0)</f>
        <v>Casco dielectrico Tipo 2 Clase E con barboquejo</v>
      </c>
      <c r="C18577" s="73"/>
      <c r="D18577" s="50" t="str">
        <f>VLOOKUP(A18577,'[1]Componentes APUs'!$A$1:$D$14,3,0)</f>
        <v>U</v>
      </c>
      <c r="E18577" s="53">
        <f>IF(A18549="MO-3",C18549,0)</f>
        <v>1</v>
      </c>
      <c r="F18577" s="51">
        <f>VLOOKUP(A18577,'[1]Componentes APUs'!$A$1:$D$14,4,0)</f>
        <v>7500</v>
      </c>
      <c r="G18577" s="51">
        <f>ROUNDUP(F18577*(E18577/21)/E18532,0)</f>
        <v>80</v>
      </c>
    </row>
    <row r="18578" spans="1:7" x14ac:dyDescent="0.25">
      <c r="A18578" s="69" t="s">
        <v>89</v>
      </c>
      <c r="B18578" s="72" t="str">
        <f>VLOOKUP(A18578,'[1]Componentes APUs'!$A$1:$D$14,2,0)</f>
        <v>Kit de rescate para trabajo en alturas</v>
      </c>
      <c r="C18578" s="73"/>
      <c r="D18578" s="50" t="str">
        <f>VLOOKUP(A18578,'[1]Componentes APUs'!$A$1:$D$14,3,0)</f>
        <v>U</v>
      </c>
      <c r="E18578" s="50">
        <f>IF(AND(A18549="MO-3",C18549=2),1,0)</f>
        <v>0</v>
      </c>
      <c r="F18578" s="51">
        <f>VLOOKUP(A18578,'[1]Componentes APUs'!$A$1:$D$14,4,0)</f>
        <v>37500</v>
      </c>
      <c r="G18578" s="51">
        <f>ROUNDUP(F18578*(E18578/21)/E18532,0)</f>
        <v>0</v>
      </c>
    </row>
    <row r="18579" spans="1:7" x14ac:dyDescent="0.25">
      <c r="A18579" s="50" t="s">
        <v>91</v>
      </c>
      <c r="B18579" s="72" t="str">
        <f>VLOOKUP(A18579,'[1]Componentes APUs'!$A$1:$D$14,2,0)</f>
        <v>Equipo completo para trabajo en alturas con pretales (Arnes dielectrico, 1 mosqueton de seguridad, tie off dielectrico, eslinga de posicionamiento, juego de pretales)</v>
      </c>
      <c r="C18579" s="73"/>
      <c r="D18579" s="50" t="str">
        <f>VLOOKUP(A18579,'[1]Componentes APUs'!$A$1:$D$14,3,0)</f>
        <v>U</v>
      </c>
      <c r="E18579" s="50">
        <f>IF(A18549="MO-3",C18549)</f>
        <v>1</v>
      </c>
      <c r="F18579" s="51">
        <f>VLOOKUP(A18579,'[1]Componentes APUs'!$A$1:$D$14,4,0)</f>
        <v>26041.666666666668</v>
      </c>
      <c r="G18579" s="51">
        <f>ROUNDUP(F18579*(E18579/21)/E18532,0)</f>
        <v>276</v>
      </c>
    </row>
    <row r="18580" spans="1:7" x14ac:dyDescent="0.25">
      <c r="A18580" s="219" t="s">
        <v>95</v>
      </c>
      <c r="B18580" s="219"/>
      <c r="C18580" s="219"/>
      <c r="D18580" s="219"/>
      <c r="E18580" s="219"/>
      <c r="F18580" s="219"/>
      <c r="G18580" s="52">
        <f>SUM(G18567:G18579)</f>
        <v>1749</v>
      </c>
    </row>
    <row r="18581" spans="1:7" x14ac:dyDescent="0.25">
      <c r="A18581" s="56"/>
      <c r="B18581" s="57"/>
      <c r="C18581" s="57"/>
      <c r="D18581" s="57"/>
      <c r="E18581" s="57"/>
      <c r="F18581" s="57"/>
      <c r="G18581" s="58"/>
    </row>
    <row r="18582" spans="1:7" x14ac:dyDescent="0.25">
      <c r="A18582" s="219" t="s">
        <v>96</v>
      </c>
      <c r="B18582" s="219"/>
      <c r="C18582" s="219"/>
      <c r="D18582" s="219"/>
      <c r="E18582" s="219"/>
      <c r="F18582" s="219"/>
      <c r="G18582" s="219"/>
    </row>
    <row r="18583" spans="1:7" x14ac:dyDescent="0.25">
      <c r="A18583" s="49" t="s">
        <v>35</v>
      </c>
      <c r="B18583" s="225" t="s">
        <v>36</v>
      </c>
      <c r="C18583" s="225"/>
      <c r="D18583" s="49" t="s">
        <v>37</v>
      </c>
      <c r="E18583" s="49" t="s">
        <v>38</v>
      </c>
      <c r="F18583" s="49" t="s">
        <v>39</v>
      </c>
      <c r="G18583" s="49" t="s">
        <v>40</v>
      </c>
    </row>
    <row r="18584" spans="1:7" x14ac:dyDescent="0.25">
      <c r="A18584" s="69" t="s">
        <v>97</v>
      </c>
      <c r="B18584" s="72" t="str">
        <f>VLOOKUP(A18584,'[1]Componentes APUs'!$N$1:$Q$30,2,0)</f>
        <v>Camioneta</v>
      </c>
      <c r="C18584" s="73"/>
      <c r="D18584" s="70" t="str">
        <f>VLOOKUP(A18584,'[1]Componentes APUs'!$N$1:$Q$30,3,0)</f>
        <v>U</v>
      </c>
      <c r="E18584" s="50">
        <v>1</v>
      </c>
      <c r="F18584" s="51">
        <f>VLOOKUP(A18584,'[1]Componentes APUs'!$N$1:$Q$30,4,0)</f>
        <v>5500000</v>
      </c>
      <c r="G18584" s="51">
        <f>IFERROR(ROUNDUP(F18584*(E18584/21)/E18532,0),0)</f>
        <v>58202</v>
      </c>
    </row>
    <row r="18585" spans="1:7" x14ac:dyDescent="0.25">
      <c r="A18585" s="50" t="s">
        <v>321</v>
      </c>
      <c r="B18585" s="72" t="str">
        <f>VLOOKUP(A18585,'[1]Componentes APUs'!$N$1:$Q$30,2,0)</f>
        <v>Grúa Hidráulica</v>
      </c>
      <c r="C18585" s="73"/>
      <c r="D18585" s="70" t="str">
        <f>VLOOKUP(A18585,'[1]Componentes APUs'!$N$1:$Q$30,3,0)</f>
        <v>U</v>
      </c>
      <c r="E18585" s="50">
        <v>0</v>
      </c>
      <c r="F18585" s="51">
        <f>VLOOKUP(A18585,'[1]Componentes APUs'!$N$1:$Q$30,4,0)</f>
        <v>21000000</v>
      </c>
      <c r="G18585" s="51">
        <f>IFERROR(ROUNDUP(F18585*(E18585/21)/E18532,0),0)</f>
        <v>0</v>
      </c>
    </row>
    <row r="18586" spans="1:7" x14ac:dyDescent="0.25">
      <c r="A18586" s="69" t="s">
        <v>322</v>
      </c>
      <c r="B18586" s="72" t="str">
        <f>VLOOKUP(A18586,'[1]Componentes APUs'!$N$1:$Q$30,2,0)</f>
        <v>Camabaja</v>
      </c>
      <c r="C18586" s="73"/>
      <c r="D18586" s="70" t="str">
        <f>VLOOKUP(A18586,'[1]Componentes APUs'!$N$1:$Q$30,3,0)</f>
        <v>TON/KM</v>
      </c>
      <c r="E18586" s="50">
        <v>0</v>
      </c>
      <c r="F18586" s="51">
        <f>VLOOKUP(A18586,'[1]Componentes APUs'!$N$1:$Q$30,4,0)</f>
        <v>611</v>
      </c>
      <c r="G18586" s="51">
        <f>IFERROR(ROUNDUP(F18586*(E18586/21)/E18532,0),0)</f>
        <v>0</v>
      </c>
    </row>
    <row r="18587" spans="1:7" x14ac:dyDescent="0.25">
      <c r="A18587" s="50" t="s">
        <v>323</v>
      </c>
      <c r="B18587" s="72" t="str">
        <f>VLOOKUP(A18587,'[1]Componentes APUs'!$N$1:$Q$30,2,0)</f>
        <v>Volqueta</v>
      </c>
      <c r="C18587" s="73"/>
      <c r="D18587" s="70" t="str">
        <f>VLOOKUP(A18587,'[1]Componentes APUs'!$N$1:$Q$30,3,0)</f>
        <v>U</v>
      </c>
      <c r="E18587" s="50">
        <v>0</v>
      </c>
      <c r="F18587" s="51">
        <f>VLOOKUP(A18587,'[1]Componentes APUs'!$N$1:$Q$30,4,0)</f>
        <v>18900000</v>
      </c>
      <c r="G18587" s="51">
        <f>IFERROR(ROUNDUP(F18587*(E18587/21)/E18532,0),0)</f>
        <v>0</v>
      </c>
    </row>
    <row r="18588" spans="1:7" x14ac:dyDescent="0.25">
      <c r="A18588" s="69" t="s">
        <v>324</v>
      </c>
      <c r="B18588" s="72" t="str">
        <f>VLOOKUP(A18588,'[1]Componentes APUs'!$N$1:$Q$30,2,0)</f>
        <v>Retroexcavadora</v>
      </c>
      <c r="C18588" s="73"/>
      <c r="D18588" s="70" t="str">
        <f>VLOOKUP(A18588,'[1]Componentes APUs'!$N$1:$Q$30,3,0)</f>
        <v>U</v>
      </c>
      <c r="E18588" s="50">
        <v>0</v>
      </c>
      <c r="F18588" s="51">
        <f>VLOOKUP(A18588,'[1]Componentes APUs'!$N$1:$Q$30,4,0)</f>
        <v>1494459.54</v>
      </c>
      <c r="G18588" s="51">
        <f>IFERROR(ROUNDUP(F18588*(E18588/21)/E18532,0),0)</f>
        <v>0</v>
      </c>
    </row>
    <row r="18589" spans="1:7" x14ac:dyDescent="0.25">
      <c r="A18589" s="219" t="s">
        <v>99</v>
      </c>
      <c r="B18589" s="219"/>
      <c r="C18589" s="219"/>
      <c r="D18589" s="219"/>
      <c r="E18589" s="219"/>
      <c r="F18589" s="219"/>
      <c r="G18589" s="52">
        <f>SUM(G18584:G18588)</f>
        <v>58202</v>
      </c>
    </row>
    <row r="18590" spans="1:7" x14ac:dyDescent="0.25">
      <c r="A18590" s="56"/>
      <c r="B18590" s="57"/>
      <c r="C18590" s="57"/>
      <c r="D18590" s="57"/>
      <c r="E18590" s="57"/>
      <c r="F18590" s="57"/>
      <c r="G18590" s="58"/>
    </row>
    <row r="18591" spans="1:7" x14ac:dyDescent="0.25">
      <c r="A18591" s="219" t="s">
        <v>1516</v>
      </c>
      <c r="B18591" s="219"/>
      <c r="C18591" s="219"/>
      <c r="D18591" s="219"/>
      <c r="E18591" s="219"/>
      <c r="F18591" s="219"/>
      <c r="G18591" s="52">
        <f>G18589+G18580+G18563+G18553+G18543</f>
        <v>583825</v>
      </c>
    </row>
    <row r="18592" spans="1:7" x14ac:dyDescent="0.25">
      <c r="A18592" s="59"/>
      <c r="B18592" s="60"/>
      <c r="C18592" s="60"/>
      <c r="D18592" s="60"/>
      <c r="E18592" s="57"/>
      <c r="F18592" s="57"/>
      <c r="G18592" s="58"/>
    </row>
    <row r="18593" spans="1:7" x14ac:dyDescent="0.25">
      <c r="A18593" s="64"/>
      <c r="D18593" s="55"/>
      <c r="E18593" s="49" t="s">
        <v>25</v>
      </c>
      <c r="F18593" s="54">
        <v>0.15</v>
      </c>
      <c r="G18593" s="51">
        <f>G18591*F18593</f>
        <v>87573.75</v>
      </c>
    </row>
    <row r="18594" spans="1:7" x14ac:dyDescent="0.25">
      <c r="A18594" s="64"/>
      <c r="D18594" s="55"/>
      <c r="E18594" s="49" t="s">
        <v>26</v>
      </c>
      <c r="F18594" s="54">
        <v>0.05</v>
      </c>
      <c r="G18594" s="51">
        <f>G18591*F18594</f>
        <v>29191.25</v>
      </c>
    </row>
    <row r="18595" spans="1:7" x14ac:dyDescent="0.25">
      <c r="A18595" s="61"/>
      <c r="B18595" s="65"/>
      <c r="C18595" s="65"/>
      <c r="D18595" s="62"/>
      <c r="E18595" s="49" t="s">
        <v>27</v>
      </c>
      <c r="F18595" s="54">
        <v>0.05</v>
      </c>
      <c r="G18595" s="51">
        <f>G18591*F18595</f>
        <v>29191.25</v>
      </c>
    </row>
    <row r="18596" spans="1:7" x14ac:dyDescent="0.25">
      <c r="A18596" s="61"/>
      <c r="B18596" s="62"/>
      <c r="C18596" s="62"/>
      <c r="D18596" s="62"/>
      <c r="E18596" s="62"/>
      <c r="F18596" s="62"/>
      <c r="G18596" s="63"/>
    </row>
    <row r="18597" spans="1:7" x14ac:dyDescent="0.25">
      <c r="A18597" s="219" t="s">
        <v>1517</v>
      </c>
      <c r="B18597" s="219"/>
      <c r="C18597" s="219"/>
      <c r="D18597" s="219"/>
      <c r="E18597" s="219"/>
      <c r="F18597" s="219"/>
      <c r="G18597" s="52">
        <f>G18591+G18593+G18594+G18595</f>
        <v>729781.25</v>
      </c>
    </row>
    <row r="18598" spans="1:7" x14ac:dyDescent="0.25">
      <c r="A18598" s="59"/>
      <c r="B18598" s="60"/>
      <c r="C18598" s="60"/>
      <c r="D18598" s="60"/>
      <c r="E18598" s="57"/>
      <c r="F18598" s="57"/>
      <c r="G18598" s="58"/>
    </row>
    <row r="18599" spans="1:7" x14ac:dyDescent="0.25">
      <c r="A18599" s="64"/>
      <c r="D18599" s="55"/>
      <c r="E18599" s="49" t="s">
        <v>102</v>
      </c>
      <c r="F18599" s="49" t="s">
        <v>103</v>
      </c>
      <c r="G18599" s="51">
        <f>G18595*19%</f>
        <v>5546.3374999999996</v>
      </c>
    </row>
    <row r="18600" spans="1:7" x14ac:dyDescent="0.25">
      <c r="A18600" s="61"/>
      <c r="B18600" s="62"/>
      <c r="C18600" s="62"/>
      <c r="D18600" s="62"/>
      <c r="E18600" s="57"/>
      <c r="F18600" s="57"/>
      <c r="G18600" s="58"/>
    </row>
    <row r="18601" spans="1:7" x14ac:dyDescent="0.25">
      <c r="A18601" s="219" t="s">
        <v>104</v>
      </c>
      <c r="B18601" s="219"/>
      <c r="C18601" s="219"/>
      <c r="D18601" s="219"/>
      <c r="E18601" s="219"/>
      <c r="F18601" s="219"/>
      <c r="G18601" s="52">
        <f>G18599+G18597</f>
        <v>735327.58750000002</v>
      </c>
    </row>
    <row r="18603" spans="1:7" x14ac:dyDescent="0.25">
      <c r="A18603" s="74" t="s">
        <v>29</v>
      </c>
      <c r="B18603" s="226" t="s">
        <v>30</v>
      </c>
      <c r="C18603" s="226"/>
      <c r="D18603" s="74" t="s">
        <v>31</v>
      </c>
      <c r="E18603" s="74" t="s">
        <v>32</v>
      </c>
      <c r="F18603" s="74" t="s">
        <v>189</v>
      </c>
      <c r="G18603" s="74" t="s">
        <v>33</v>
      </c>
    </row>
    <row r="18604" spans="1:7" ht="35.25" customHeight="1" x14ac:dyDescent="0.25">
      <c r="A18604" s="50" t="str">
        <f>Presupuesto!B362</f>
        <v>032_AUX</v>
      </c>
      <c r="B18604" s="220" t="str">
        <f>Presupuesto!C362</f>
        <v>SUMINISTRO E INSTALACIÓN DE REFLECTOR LED 150 W.  LUMENES 12750. INCLUYE  2 FUSIBLES TIPO SUMERGIBLE DE VIDRIO. CABLE ENCAUCHETADA 3X16 AWG. CONECTORES DE RESORTE Y FOTOCELDA</v>
      </c>
      <c r="C18604" s="220"/>
      <c r="D18604" s="50" t="s">
        <v>8</v>
      </c>
      <c r="E18604" s="50">
        <v>8</v>
      </c>
      <c r="F18604" s="50"/>
      <c r="G18604" s="51">
        <f>G18673</f>
        <v>529487.50249999994</v>
      </c>
    </row>
    <row r="18605" spans="1:7" x14ac:dyDescent="0.25">
      <c r="A18605" s="219" t="s">
        <v>34</v>
      </c>
      <c r="B18605" s="219"/>
      <c r="C18605" s="219"/>
      <c r="D18605" s="219"/>
      <c r="E18605" s="219"/>
      <c r="F18605" s="219"/>
      <c r="G18605" s="219"/>
    </row>
    <row r="18606" spans="1:7" x14ac:dyDescent="0.25">
      <c r="A18606" s="49" t="s">
        <v>35</v>
      </c>
      <c r="B18606" s="219" t="s">
        <v>36</v>
      </c>
      <c r="C18606" s="219"/>
      <c r="D18606" s="49" t="s">
        <v>37</v>
      </c>
      <c r="E18606" s="49" t="s">
        <v>38</v>
      </c>
      <c r="F18606" s="49" t="s">
        <v>39</v>
      </c>
      <c r="G18606" s="49" t="s">
        <v>40</v>
      </c>
    </row>
    <row r="18607" spans="1:7" x14ac:dyDescent="0.25">
      <c r="A18607" s="17" t="str">
        <f>Material!A392</f>
        <v>MA-391</v>
      </c>
      <c r="B18607" s="72" t="str">
        <f>IFERROR(VLOOKUP(A18607,Material!$A:$H,2,0),"-")</f>
        <v>LUMINARIA LED ALUMBRADO PÚBLICO 150W</v>
      </c>
      <c r="C18607" s="73"/>
      <c r="D18607" s="50" t="str">
        <f>IFERROR(VLOOKUP(A18607,Material!$A:$H,4,0),"-")</f>
        <v>UN</v>
      </c>
      <c r="E18607" s="50">
        <v>1</v>
      </c>
      <c r="F18607" s="51">
        <f>IFERROR(VLOOKUP(A18607,Material!$A:$H,3,0),"-")</f>
        <v>224160.30000000002</v>
      </c>
      <c r="G18607" s="51">
        <f t="shared" ref="G18607:G18614" si="259">IFERROR(ROUNDUP(F18607*E18607,0),"-")</f>
        <v>224161</v>
      </c>
    </row>
    <row r="18608" spans="1:7" ht="15" customHeight="1" x14ac:dyDescent="0.25">
      <c r="A18608" s="17" t="str">
        <f>Material!A128</f>
        <v>MA-127</v>
      </c>
      <c r="B18608" s="72" t="str">
        <f>IFERROR(VLOOKUP(A18608,Material!$A:$H,2,0),"-")</f>
        <v>CABLE ENCAUCHETADO 3 X 16 AWG COBRE</v>
      </c>
      <c r="C18608" s="76"/>
      <c r="D18608" s="50" t="str">
        <f>IFERROR(VLOOKUP(A18608,Material!$A:$H,4,0),"-")</f>
        <v>ML</v>
      </c>
      <c r="E18608" s="50">
        <v>2</v>
      </c>
      <c r="F18608" s="51">
        <f>IFERROR(VLOOKUP(A18608,Material!$A:$H,3,0),"-")</f>
        <v>6175</v>
      </c>
      <c r="G18608" s="51">
        <f t="shared" si="259"/>
        <v>12350</v>
      </c>
    </row>
    <row r="18609" spans="1:7" x14ac:dyDescent="0.25">
      <c r="A18609" s="17" t="str">
        <f>Material!A130</f>
        <v>MA-129</v>
      </c>
      <c r="B18609" s="72" t="str">
        <f>IFERROR(VLOOKUP(A18609,Material!$A:$H,2,0),"-")</f>
        <v>PORTAFUSIBLE Y FUSIBLE DE VIDRIO 2A</v>
      </c>
      <c r="C18609" s="76"/>
      <c r="D18609" s="50" t="str">
        <f>IFERROR(VLOOKUP(A18609,Material!$A:$H,4,0),"-")</f>
        <v>UN</v>
      </c>
      <c r="E18609" s="50">
        <v>2</v>
      </c>
      <c r="F18609" s="51">
        <f>IFERROR(VLOOKUP(A18609,Material!$A:$H,3,0),"-")</f>
        <v>11700</v>
      </c>
      <c r="G18609" s="51">
        <f t="shared" si="259"/>
        <v>23400</v>
      </c>
    </row>
    <row r="18610" spans="1:7" x14ac:dyDescent="0.25">
      <c r="A18610" s="17" t="str">
        <f>Material!A235</f>
        <v>MA-234</v>
      </c>
      <c r="B18610" s="72" t="str">
        <f>IFERROR(VLOOKUP(A18610,Material!$A:$H,2,0),"-")</f>
        <v>CINTA AISLANTE 23</v>
      </c>
      <c r="C18610" s="76"/>
      <c r="D18610" s="50" t="str">
        <f>IFERROR(VLOOKUP(A18610,Material!$A:$H,4,0),"-")</f>
        <v>ML</v>
      </c>
      <c r="E18610" s="50">
        <v>0.04</v>
      </c>
      <c r="F18610" s="51">
        <f>IFERROR(VLOOKUP(A18610,Material!$A:$H,3,0),"-")</f>
        <v>29683.333333333332</v>
      </c>
      <c r="G18610" s="51">
        <f t="shared" si="259"/>
        <v>1188</v>
      </c>
    </row>
    <row r="18611" spans="1:7" x14ac:dyDescent="0.25">
      <c r="A18611" s="17" t="str">
        <f>Material!A236</f>
        <v>MA-235</v>
      </c>
      <c r="B18611" s="72" t="str">
        <f>IFERROR(VLOOKUP(A18611,Material!$A:$H,2,0),"-")</f>
        <v>CINTA AISLANTE 33</v>
      </c>
      <c r="C18611" s="76"/>
      <c r="D18611" s="50" t="str">
        <f>IFERROR(VLOOKUP(A18611,Material!$A:$H,4,0),"-")</f>
        <v>ML</v>
      </c>
      <c r="E18611" s="50">
        <v>0.04</v>
      </c>
      <c r="F18611" s="51">
        <f>IFERROR(VLOOKUP(A18611,Material!$A:$H,3,0),"-")</f>
        <v>1826.5</v>
      </c>
      <c r="G18611" s="51">
        <f t="shared" si="259"/>
        <v>74</v>
      </c>
    </row>
    <row r="18612" spans="1:7" x14ac:dyDescent="0.25">
      <c r="A18612" s="17" t="str">
        <f>Material!A150</f>
        <v>MA-149</v>
      </c>
      <c r="B18612" s="72" t="str">
        <f>IFERROR(VLOOKUP(A18612,Material!$A:$H,2,0),"-")</f>
        <v>CONECTORES DE RESORTE 18-8AWG</v>
      </c>
      <c r="C18612" s="76"/>
      <c r="D18612" s="50" t="str">
        <f>IFERROR(VLOOKUP(A18612,Material!$A:$H,4,0),"-")</f>
        <v>UN</v>
      </c>
      <c r="E18612" s="50">
        <v>3</v>
      </c>
      <c r="F18612" s="51">
        <f>IFERROR(VLOOKUP(A18612,Material!$A:$H,3,0),"-")</f>
        <v>1560</v>
      </c>
      <c r="G18612" s="51">
        <f t="shared" si="259"/>
        <v>4680</v>
      </c>
    </row>
    <row r="18613" spans="1:7" x14ac:dyDescent="0.25">
      <c r="A18613" s="17" t="str">
        <f>Material!A237</f>
        <v>MA-236</v>
      </c>
      <c r="B18613" s="72" t="str">
        <f>IFERROR(VLOOKUP(A18613,Material!$A:$H,2,0),"-")</f>
        <v>FOTOCELDA PARA LUMINARIA</v>
      </c>
      <c r="C18613" s="76"/>
      <c r="D18613" s="50" t="str">
        <f>IFERROR(VLOOKUP(A18613,Material!$A:$H,4,0),"-")</f>
        <v>UN</v>
      </c>
      <c r="E18613" s="50">
        <v>1</v>
      </c>
      <c r="F18613" s="51">
        <f>IFERROR(VLOOKUP(A18613,Material!$A:$H,3,0),"-")</f>
        <v>35815</v>
      </c>
      <c r="G18613" s="51">
        <f t="shared" si="259"/>
        <v>35815</v>
      </c>
    </row>
    <row r="18614" spans="1:7" x14ac:dyDescent="0.25">
      <c r="A18614" s="17"/>
      <c r="B18614" s="72" t="str">
        <f>IFERROR(VLOOKUP(A18614,Material!$A:$H,2,0),"-")</f>
        <v>-</v>
      </c>
      <c r="C18614" s="76"/>
      <c r="D18614" s="50" t="str">
        <f>IFERROR(VLOOKUP(A18614,Material!$A:$H,4,0),"-")</f>
        <v>-</v>
      </c>
      <c r="E18614" s="50"/>
      <c r="F18614" s="51" t="str">
        <f>IFERROR(VLOOKUP(A18614,Material!$A:$H,3,0),"-")</f>
        <v>-</v>
      </c>
      <c r="G18614" s="51" t="str">
        <f t="shared" si="259"/>
        <v>-</v>
      </c>
    </row>
    <row r="18615" spans="1:7" x14ac:dyDescent="0.25">
      <c r="A18615" s="219" t="s">
        <v>41</v>
      </c>
      <c r="B18615" s="219"/>
      <c r="C18615" s="219"/>
      <c r="D18615" s="219"/>
      <c r="E18615" s="219"/>
      <c r="F18615" s="219"/>
      <c r="G18615" s="52">
        <f>SUM(G18607:G18614)</f>
        <v>301668</v>
      </c>
    </row>
    <row r="18616" spans="1:7" x14ac:dyDescent="0.25">
      <c r="A18616" s="56"/>
      <c r="B18616" s="57"/>
      <c r="C18616" s="57"/>
      <c r="D18616" s="57"/>
      <c r="E18616" s="57"/>
      <c r="F18616" s="57"/>
      <c r="G18616" s="58"/>
    </row>
    <row r="18617" spans="1:7" x14ac:dyDescent="0.25">
      <c r="A18617" s="219" t="s">
        <v>42</v>
      </c>
      <c r="B18617" s="219"/>
      <c r="C18617" s="219"/>
      <c r="D18617" s="219"/>
      <c r="E18617" s="219"/>
      <c r="F18617" s="219"/>
      <c r="G18617" s="219"/>
    </row>
    <row r="18618" spans="1:7" x14ac:dyDescent="0.25">
      <c r="A18618" s="49" t="s">
        <v>35</v>
      </c>
      <c r="B18618" s="49" t="s">
        <v>36</v>
      </c>
      <c r="C18618" s="49" t="s">
        <v>38</v>
      </c>
      <c r="D18618" s="49" t="s">
        <v>43</v>
      </c>
      <c r="E18618" s="49" t="s">
        <v>44</v>
      </c>
      <c r="F18618" s="49" t="s">
        <v>45</v>
      </c>
      <c r="G18618" s="49" t="s">
        <v>40</v>
      </c>
    </row>
    <row r="18619" spans="1:7" x14ac:dyDescent="0.25">
      <c r="A18619" s="50" t="s">
        <v>319</v>
      </c>
      <c r="B18619" s="68" t="str">
        <f>VLOOKUP(A18619,'Componentes APUs'!$H$1:$L$25,2,0)</f>
        <v>Ingeniero Residente de Obra</v>
      </c>
      <c r="C18619" s="93">
        <v>0.25</v>
      </c>
      <c r="D18619" s="50">
        <f>VLOOKUP(A18619,'Componentes APUs'!$H$1:$L$25,3,0)</f>
        <v>4</v>
      </c>
      <c r="E18619" s="51">
        <f>VLOOKUP(A18619,'Componentes APUs'!$H$1:$L$25,4,0)</f>
        <v>271142.85714285716</v>
      </c>
      <c r="F18619" s="51">
        <f>VLOOKUP(A18619,'Componentes APUs'!$H$1:$L$25,5,0)</f>
        <v>162685.71428571429</v>
      </c>
      <c r="G18619" s="51">
        <f>ROUNDUP((E18619+F18619)*C18619/E18604,0)</f>
        <v>13558</v>
      </c>
    </row>
    <row r="18620" spans="1:7" x14ac:dyDescent="0.25">
      <c r="A18620" s="50" t="s">
        <v>320</v>
      </c>
      <c r="B18620" s="68" t="str">
        <f>VLOOKUP(A18620,'Componentes APUs'!$H$1:$L$25,2,0)</f>
        <v>Tecnico Supervisor</v>
      </c>
      <c r="C18620" s="93">
        <v>0.25</v>
      </c>
      <c r="D18620" s="50">
        <f>VLOOKUP(A18620,'Componentes APUs'!$H$1:$L$25,3,0)</f>
        <v>2.2999999999999998</v>
      </c>
      <c r="E18620" s="51">
        <f>VLOOKUP(A18620,'Componentes APUs'!$H$1:$L$25,4,0)</f>
        <v>155907.14285714284</v>
      </c>
      <c r="F18620" s="51">
        <f>VLOOKUP(A18620,'Componentes APUs'!$H$1:$L$25,5,0)</f>
        <v>93544.285714285696</v>
      </c>
      <c r="G18620" s="51">
        <f>ROUNDUP((E18620+F18620)*C18620/E18604,0)</f>
        <v>7796</v>
      </c>
    </row>
    <row r="18621" spans="1:7" x14ac:dyDescent="0.25">
      <c r="A18621" s="50" t="s">
        <v>46</v>
      </c>
      <c r="B18621" s="68" t="str">
        <f>VLOOKUP(A18621,'Componentes APUs'!$H$1:$L$25,2,0)</f>
        <v>Tecnico Liniero</v>
      </c>
      <c r="C18621" s="93">
        <v>1</v>
      </c>
      <c r="D18621" s="50">
        <f>VLOOKUP(A18621,'Componentes APUs'!$H$1:$L$25,3,0)</f>
        <v>2</v>
      </c>
      <c r="E18621" s="51">
        <f>VLOOKUP(A18621,'Componentes APUs'!$H$1:$L$25,4,0)</f>
        <v>154619.04761904763</v>
      </c>
      <c r="F18621" s="51">
        <f>VLOOKUP(A18621,'Componentes APUs'!$H$1:$L$25,5,0)</f>
        <v>92771.42857142858</v>
      </c>
      <c r="G18621" s="51">
        <f>ROUNDUP((E18621+F18621)*C18621/E18604,0)</f>
        <v>30924</v>
      </c>
    </row>
    <row r="18622" spans="1:7" x14ac:dyDescent="0.25">
      <c r="A18622" s="50" t="s">
        <v>48</v>
      </c>
      <c r="B18622" s="68" t="str">
        <f>VLOOKUP(A18622,'Componentes APUs'!$H$1:$L$25,2,0)</f>
        <v>Ayudante Calificado</v>
      </c>
      <c r="C18622" s="93">
        <v>1</v>
      </c>
      <c r="D18622" s="50">
        <f>VLOOKUP(A18622,'Componentes APUs'!$H$1:$L$25,3,0)</f>
        <v>1.5</v>
      </c>
      <c r="E18622" s="51">
        <f>VLOOKUP(A18622,'Componentes APUs'!$H$1:$L$25,4,0)</f>
        <v>115964.28571428571</v>
      </c>
      <c r="F18622" s="51">
        <f>VLOOKUP(A18622,'Componentes APUs'!$H$1:$L$25,5,0)</f>
        <v>69578.57142857142</v>
      </c>
      <c r="G18622" s="51">
        <f>ROUNDUP((E18622+F18622)*C18622/E18604,0)</f>
        <v>23193</v>
      </c>
    </row>
    <row r="18623" spans="1:7" x14ac:dyDescent="0.25">
      <c r="A18623" s="50" t="s">
        <v>50</v>
      </c>
      <c r="B18623" s="68" t="str">
        <f>VLOOKUP(A18623,'Componentes APUs'!$H$1:$L$25,2,0)</f>
        <v>Profesional en SST</v>
      </c>
      <c r="C18623" s="93">
        <v>0.25</v>
      </c>
      <c r="D18623" s="50">
        <f>VLOOKUP(A18623,'Componentes APUs'!$H$1:$L$25,3,0)</f>
        <v>2.5</v>
      </c>
      <c r="E18623" s="51">
        <f>VLOOKUP(A18623,'Componentes APUs'!$H$1:$L$25,4,0)</f>
        <v>169464.28571428571</v>
      </c>
      <c r="F18623" s="51">
        <f>VLOOKUP(A18623,'Componentes APUs'!$H$1:$L$25,5,0)</f>
        <v>101678.57142857142</v>
      </c>
      <c r="G18623" s="51">
        <f>ROUNDUP((E18623+F18623)*C18623/E18604,0)</f>
        <v>8474</v>
      </c>
    </row>
    <row r="18624" spans="1:7" x14ac:dyDescent="0.25">
      <c r="A18624" s="50" t="s">
        <v>52</v>
      </c>
      <c r="B18624" s="68" t="str">
        <f>VLOOKUP(A18624,'Componentes APUs'!$H$1:$L$25,2,0)</f>
        <v>Ayudante No Calificado</v>
      </c>
      <c r="C18624" s="93">
        <v>0</v>
      </c>
      <c r="D18624" s="50">
        <f>VLOOKUP(A18624,'Componentes APUs'!$H$1:$L$25,3,0)</f>
        <v>1</v>
      </c>
      <c r="E18624" s="51">
        <f>VLOOKUP(A18624,'Componentes APUs'!$H$1:$L$25,4,0)</f>
        <v>77309.523809523816</v>
      </c>
      <c r="F18624" s="51">
        <f>VLOOKUP(A18624,'Componentes APUs'!$H$1:$L$25,5,0)</f>
        <v>46385.71428571429</v>
      </c>
      <c r="G18624" s="51">
        <f>ROUNDUP((E18624+F18624)*C18624/E18604,0)</f>
        <v>0</v>
      </c>
    </row>
    <row r="18625" spans="1:7" x14ac:dyDescent="0.25">
      <c r="A18625" s="219" t="s">
        <v>56</v>
      </c>
      <c r="B18625" s="219"/>
      <c r="C18625" s="219"/>
      <c r="D18625" s="219"/>
      <c r="E18625" s="219"/>
      <c r="F18625" s="219"/>
      <c r="G18625" s="52">
        <f>SUM(G18619:G18624)</f>
        <v>83945</v>
      </c>
    </row>
    <row r="18626" spans="1:7" x14ac:dyDescent="0.25">
      <c r="A18626" s="56"/>
      <c r="B18626" s="57"/>
      <c r="C18626" s="57"/>
      <c r="D18626" s="57"/>
      <c r="E18626" s="57"/>
      <c r="F18626" s="57"/>
      <c r="G18626" s="58"/>
    </row>
    <row r="18627" spans="1:7" x14ac:dyDescent="0.25">
      <c r="A18627" s="219" t="s">
        <v>57</v>
      </c>
      <c r="B18627" s="219"/>
      <c r="C18627" s="219"/>
      <c r="D18627" s="219"/>
      <c r="E18627" s="219"/>
      <c r="F18627" s="219"/>
      <c r="G18627" s="219"/>
    </row>
    <row r="18628" spans="1:7" x14ac:dyDescent="0.25">
      <c r="A18628" s="49" t="s">
        <v>35</v>
      </c>
      <c r="B18628" s="219" t="s">
        <v>36</v>
      </c>
      <c r="C18628" s="219"/>
      <c r="D18628" s="49" t="s">
        <v>37</v>
      </c>
      <c r="E18628" s="49" t="s">
        <v>38</v>
      </c>
      <c r="F18628" s="49" t="s">
        <v>39</v>
      </c>
      <c r="G18628" s="49" t="s">
        <v>40</v>
      </c>
    </row>
    <row r="18629" spans="1:7" x14ac:dyDescent="0.25">
      <c r="A18629" s="50" t="s">
        <v>326</v>
      </c>
      <c r="B18629" s="220" t="str">
        <f>VLOOKUP(A18629,'Componentes APUs'!$S$1:$V$10,2,0)</f>
        <v>Juego Llaves</v>
      </c>
      <c r="C18629" s="220"/>
      <c r="D18629" s="50" t="s">
        <v>18</v>
      </c>
      <c r="E18629" s="50">
        <v>2</v>
      </c>
      <c r="F18629" s="51">
        <f>VLOOKUP(A18629,'Componentes APUs'!$S$1:$V$10,4,0)</f>
        <v>9167</v>
      </c>
      <c r="G18629" s="51">
        <f>ROUNDUP(F18629*((E18629/21)/E18604),0)</f>
        <v>110</v>
      </c>
    </row>
    <row r="18630" spans="1:7" x14ac:dyDescent="0.25">
      <c r="A18630" s="50" t="s">
        <v>58</v>
      </c>
      <c r="B18630" s="220" t="str">
        <f>VLOOKUP(A18630,'Componentes APUs'!$S$1:$V$10,2,0)</f>
        <v>Manila de servicio</v>
      </c>
      <c r="C18630" s="220"/>
      <c r="D18630" s="50" t="s">
        <v>18</v>
      </c>
      <c r="E18630" s="50">
        <v>2</v>
      </c>
      <c r="F18630" s="51">
        <f>VLOOKUP(A18630,'Componentes APUs'!$S$1:$V$10,4,0)</f>
        <v>2333</v>
      </c>
      <c r="G18630" s="51">
        <f>ROUNDUP(F18630*((E18630/21)/E18604),0)</f>
        <v>28</v>
      </c>
    </row>
    <row r="18631" spans="1:7" x14ac:dyDescent="0.25">
      <c r="A18631" s="50" t="s">
        <v>327</v>
      </c>
      <c r="B18631" s="220" t="str">
        <f>VLOOKUP(A18631,'Componentes APUs'!$S$1:$V$10,2,0)</f>
        <v>Tula portaherramientas</v>
      </c>
      <c r="C18631" s="220"/>
      <c r="D18631" s="50" t="s">
        <v>18</v>
      </c>
      <c r="E18631" s="50">
        <v>2</v>
      </c>
      <c r="F18631" s="51">
        <f>VLOOKUP(A18631,'Componentes APUs'!$S$1:$V$10,4,0)</f>
        <v>1250</v>
      </c>
      <c r="G18631" s="51">
        <f>ROUNDUP(F18631*((E18631/21)/E18604),0)</f>
        <v>15</v>
      </c>
    </row>
    <row r="18632" spans="1:7" x14ac:dyDescent="0.25">
      <c r="A18632" s="50" t="s">
        <v>60</v>
      </c>
      <c r="B18632" s="220" t="str">
        <f>VLOOKUP(A18632,'Componentes APUs'!$S$1:$V$10,2,0)</f>
        <v>Agarradoras</v>
      </c>
      <c r="C18632" s="220"/>
      <c r="D18632" s="50" t="s">
        <v>18</v>
      </c>
      <c r="E18632" s="50">
        <v>0</v>
      </c>
      <c r="F18632" s="51">
        <f>VLOOKUP(A18632,'Componentes APUs'!$S$1:$V$10,4,0)</f>
        <v>125000</v>
      </c>
      <c r="G18632" s="51">
        <f>ROUNDUP(F18632*((E18632/21)/E18604),0)</f>
        <v>0</v>
      </c>
    </row>
    <row r="18633" spans="1:7" x14ac:dyDescent="0.25">
      <c r="A18633" s="50" t="s">
        <v>62</v>
      </c>
      <c r="B18633" s="220" t="str">
        <f>VLOOKUP(A18633,'Componentes APUs'!$S$1:$V$10,2,0)</f>
        <v>Templadoras</v>
      </c>
      <c r="C18633" s="220"/>
      <c r="D18633" s="50" t="s">
        <v>18</v>
      </c>
      <c r="E18633" s="50">
        <v>0</v>
      </c>
      <c r="F18633" s="51">
        <f>VLOOKUP(A18633,'Componentes APUs'!$S$1:$V$10,4,0)</f>
        <v>250000</v>
      </c>
      <c r="G18633" s="51">
        <f>ROUNDUP(F18633*((E18633/21)/E18604),0)</f>
        <v>0</v>
      </c>
    </row>
    <row r="18634" spans="1:7" x14ac:dyDescent="0.25">
      <c r="A18634" s="50" t="s">
        <v>328</v>
      </c>
      <c r="B18634" s="220" t="str">
        <f>VLOOKUP(A18634,'Componentes APUs'!$S$1:$V$10,2,0)</f>
        <v>Herramienta Menor</v>
      </c>
      <c r="C18634" s="220"/>
      <c r="D18634" s="50" t="s">
        <v>18</v>
      </c>
      <c r="E18634" s="50">
        <v>2</v>
      </c>
      <c r="F18634" s="51">
        <f>VLOOKUP(A18634,'Componentes APUs'!$S$1:$V$10,4,0)</f>
        <v>75758</v>
      </c>
      <c r="G18634" s="51">
        <f>ROUNDUP(F18634*((E18634/21)/E18604),0)</f>
        <v>902</v>
      </c>
    </row>
    <row r="18635" spans="1:7" x14ac:dyDescent="0.25">
      <c r="A18635" s="219" t="s">
        <v>69</v>
      </c>
      <c r="B18635" s="219"/>
      <c r="C18635" s="219"/>
      <c r="D18635" s="219"/>
      <c r="E18635" s="219"/>
      <c r="F18635" s="219"/>
      <c r="G18635" s="52">
        <f>SUM(G18629:G18634)</f>
        <v>1055</v>
      </c>
    </row>
    <row r="18636" spans="1:7" x14ac:dyDescent="0.25">
      <c r="A18636" s="56"/>
      <c r="B18636" s="57"/>
      <c r="C18636" s="57"/>
      <c r="D18636" s="57"/>
      <c r="E18636" s="57"/>
      <c r="F18636" s="57"/>
      <c r="G18636" s="58"/>
    </row>
    <row r="18637" spans="1:7" x14ac:dyDescent="0.25">
      <c r="A18637" s="219" t="s">
        <v>70</v>
      </c>
      <c r="B18637" s="219"/>
      <c r="C18637" s="219"/>
      <c r="D18637" s="219"/>
      <c r="E18637" s="219"/>
      <c r="F18637" s="219"/>
      <c r="G18637" s="219"/>
    </row>
    <row r="18638" spans="1:7" x14ac:dyDescent="0.25">
      <c r="A18638" s="49" t="s">
        <v>35</v>
      </c>
      <c r="B18638" s="219" t="s">
        <v>36</v>
      </c>
      <c r="C18638" s="219"/>
      <c r="D18638" s="49" t="s">
        <v>37</v>
      </c>
      <c r="E18638" s="49" t="s">
        <v>38</v>
      </c>
      <c r="F18638" s="49" t="s">
        <v>39</v>
      </c>
      <c r="G18638" s="49" t="s">
        <v>40</v>
      </c>
    </row>
    <row r="18639" spans="1:7" x14ac:dyDescent="0.25">
      <c r="A18639" s="50" t="s">
        <v>71</v>
      </c>
      <c r="B18639" s="71" t="str">
        <f>VLOOKUP(A18639,'Componentes APUs'!$A$1:$D$14,2,0)</f>
        <v>Camisa indigo sin partes metalicas</v>
      </c>
      <c r="C18639" s="71"/>
      <c r="D18639" s="50" t="str">
        <f>VLOOKUP(A18639,'Componentes APUs'!$A$1:$D$14,3,0)</f>
        <v>U</v>
      </c>
      <c r="E18639" s="50">
        <f>SUM(C18619:C18624)</f>
        <v>2.75</v>
      </c>
      <c r="F18639" s="51">
        <f>VLOOKUP(A18639,'Componentes APUs'!$A$1:$D$14,4,0)</f>
        <v>8585.8585858585866</v>
      </c>
      <c r="G18639" s="51">
        <f>ROUNDUP(F18639*(E18639/21)/E18604,0)</f>
        <v>141</v>
      </c>
    </row>
    <row r="18640" spans="1:7" x14ac:dyDescent="0.25">
      <c r="A18640" s="69" t="s">
        <v>73</v>
      </c>
      <c r="B18640" s="72" t="str">
        <f>VLOOKUP(A18640,'Componentes APUs'!$A$1:$D$14,2,0)</f>
        <v>Bota de seguridad dielectrica</v>
      </c>
      <c r="C18640" s="73"/>
      <c r="D18640" s="70" t="str">
        <f>VLOOKUP(A18640,'Componentes APUs'!$A$1:$D$14,3,0)</f>
        <v>Par</v>
      </c>
      <c r="E18640" s="50">
        <f>SUM(C18619:C18624)</f>
        <v>2.75</v>
      </c>
      <c r="F18640" s="51">
        <f>VLOOKUP(A18640,'Componentes APUs'!$A$1:$D$14,4,0)</f>
        <v>7500</v>
      </c>
      <c r="G18640" s="51">
        <f>ROUNDUP(F18640*(E18640/21)/E18604,0)</f>
        <v>123</v>
      </c>
    </row>
    <row r="18641" spans="1:7" x14ac:dyDescent="0.25">
      <c r="A18641" s="50" t="s">
        <v>76</v>
      </c>
      <c r="B18641" s="72" t="str">
        <f>VLOOKUP(A18641,'Componentes APUs'!$A$1:$D$14,2,0)</f>
        <v>Casco dielectrico Tipo 1 Clase E con barbuquejo</v>
      </c>
      <c r="C18641" s="73"/>
      <c r="D18641" s="50" t="str">
        <f>VLOOKUP(A18641,'Componentes APUs'!$A$1:$D$14,3,0)</f>
        <v>U</v>
      </c>
      <c r="E18641" s="50">
        <f>C18624+C18619+C18622+C18623+C18620+IF(A18621&lt;&gt;"MO-3",C18621,0)</f>
        <v>1.75</v>
      </c>
      <c r="F18641" s="51">
        <f>VLOOKUP(A18641,'Componentes APUs'!$A$1:$D$14,4,0)</f>
        <v>10101.010101010101</v>
      </c>
      <c r="G18641" s="51">
        <f>ROUNDUP(F18641*(E18641/21)/E18604,0)</f>
        <v>106</v>
      </c>
    </row>
    <row r="18642" spans="1:7" x14ac:dyDescent="0.25">
      <c r="A18642" s="69" t="s">
        <v>77</v>
      </c>
      <c r="B18642" s="72" t="str">
        <f>VLOOKUP(A18642,'Componentes APUs'!$A$1:$D$14,2,0)</f>
        <v>Correa plastica y antiflama</v>
      </c>
      <c r="C18642" s="73"/>
      <c r="D18642" s="50" t="str">
        <f>VLOOKUP(A18642,'Componentes APUs'!$A$1:$D$14,3,0)</f>
        <v>U</v>
      </c>
      <c r="E18642" s="50">
        <f>SUM(C18619:C18624)</f>
        <v>2.75</v>
      </c>
      <c r="F18642" s="51">
        <f>VLOOKUP(A18642,'Componentes APUs'!$A$1:$D$14,4,0)</f>
        <v>3787.878787878788</v>
      </c>
      <c r="G18642" s="51">
        <f>ROUNDUP(F18642*(E18642/21)/E18604,0)</f>
        <v>63</v>
      </c>
    </row>
    <row r="18643" spans="1:7" x14ac:dyDescent="0.25">
      <c r="A18643" s="50" t="s">
        <v>79</v>
      </c>
      <c r="B18643" s="72" t="str">
        <f>VLOOKUP(A18643,'Componentes APUs'!$A$1:$D$14,2,0)</f>
        <v>Gafas protectoras filtro UV</v>
      </c>
      <c r="C18643" s="73"/>
      <c r="D18643" s="50" t="str">
        <f>VLOOKUP(A18643,'Componentes APUs'!$A$1:$D$14,3,0)</f>
        <v>U</v>
      </c>
      <c r="E18643" s="50">
        <f>SUM(C18619:C18624)</f>
        <v>2.75</v>
      </c>
      <c r="F18643" s="51">
        <f>VLOOKUP(A18643,'Componentes APUs'!$A$1:$D$14,4,0)</f>
        <v>2777.7777777777778</v>
      </c>
      <c r="G18643" s="51">
        <f>ROUNDUP(F18643*(E18643/21)/E18604,0)</f>
        <v>46</v>
      </c>
    </row>
    <row r="18644" spans="1:7" x14ac:dyDescent="0.25">
      <c r="A18644" s="69" t="s">
        <v>402</v>
      </c>
      <c r="B18644" s="72" t="str">
        <f>VLOOKUP(A18644,'Componentes APUs'!$A$1:$D$14,2,0)</f>
        <v>Bota de seguridad PVC dielectrica</v>
      </c>
      <c r="C18644" s="73"/>
      <c r="D18644" s="50" t="str">
        <f>VLOOKUP(A18644,'Componentes APUs'!$A$1:$D$14,3,0)</f>
        <v>Par</v>
      </c>
      <c r="E18644" s="50">
        <f>SUM(C18619:C18624)</f>
        <v>2.75</v>
      </c>
      <c r="F18644" s="51">
        <f>VLOOKUP(A18644,'Componentes APUs'!$A$1:$D$14,4,0)</f>
        <v>2916.6666666666665</v>
      </c>
      <c r="G18644" s="51">
        <f>ROUNDUP(F18644*(E18644/21)/E18604,0)</f>
        <v>48</v>
      </c>
    </row>
    <row r="18645" spans="1:7" x14ac:dyDescent="0.25">
      <c r="A18645" s="50" t="s">
        <v>403</v>
      </c>
      <c r="B18645" s="72" t="str">
        <f>VLOOKUP(A18645,'Componentes APUs'!$A$1:$D$14,2,0)</f>
        <v>Capuchon</v>
      </c>
      <c r="C18645" s="73"/>
      <c r="D18645" s="50" t="str">
        <f>VLOOKUP(A18645,'Componentes APUs'!$A$1:$D$14,3,0)</f>
        <v>U</v>
      </c>
      <c r="E18645" s="50">
        <f>SUM(C18619:C18624)</f>
        <v>2.75</v>
      </c>
      <c r="F18645" s="51">
        <f>VLOOKUP(A18645,'Componentes APUs'!$A$1:$D$14,4,0)</f>
        <v>2525.2525252525252</v>
      </c>
      <c r="G18645" s="51">
        <f>ROUNDUP(F18645*(E18645/21)/E18604,0)</f>
        <v>42</v>
      </c>
    </row>
    <row r="18646" spans="1:7" x14ac:dyDescent="0.25">
      <c r="A18646" s="69" t="s">
        <v>81</v>
      </c>
      <c r="B18646" s="72" t="str">
        <f>VLOOKUP(A18646,'Componentes APUs'!$A$1:$D$14,2,0)</f>
        <v>Guantes Protectores  - ingeniero reforzados</v>
      </c>
      <c r="C18646" s="73"/>
      <c r="D18646" s="50" t="str">
        <f>VLOOKUP(A18646,'Componentes APUs'!$A$1:$D$14,3,0)</f>
        <v>Par</v>
      </c>
      <c r="E18646" s="50">
        <f>C18621+C18622+C18624</f>
        <v>2</v>
      </c>
      <c r="F18646" s="51">
        <f>VLOOKUP(A18646,'Componentes APUs'!$A$1:$D$14,4,0)</f>
        <v>2525.2525252525252</v>
      </c>
      <c r="G18646" s="51">
        <f>ROUNDUP(F18646*(E18646/21)/E18604,0)</f>
        <v>31</v>
      </c>
    </row>
    <row r="18647" spans="1:7" x14ac:dyDescent="0.25">
      <c r="A18647" s="50" t="s">
        <v>83</v>
      </c>
      <c r="B18647" s="72" t="str">
        <f>VLOOKUP(A18647,'Componentes APUs'!$A$1:$D$14,2,0)</f>
        <v>Impermeable (pantalon camisa)</v>
      </c>
      <c r="C18647" s="73"/>
      <c r="D18647" s="50" t="str">
        <f>VLOOKUP(A18647,'Componentes APUs'!$A$1:$D$14,3,0)</f>
        <v>U</v>
      </c>
      <c r="E18647" s="50">
        <f>SUM(C18619:C18624)</f>
        <v>2.75</v>
      </c>
      <c r="F18647" s="51">
        <f>VLOOKUP(A18647,'Componentes APUs'!$A$1:$D$14,4,0)</f>
        <v>3750</v>
      </c>
      <c r="G18647" s="51">
        <f>ROUNDUP(F18647*(E18647/21)/E18604,0)</f>
        <v>62</v>
      </c>
    </row>
    <row r="18648" spans="1:7" x14ac:dyDescent="0.25">
      <c r="A18648" s="69" t="s">
        <v>85</v>
      </c>
      <c r="B18648" s="72" t="str">
        <f>VLOOKUP(A18648,'Componentes APUs'!$A$1:$D$14,2,0)</f>
        <v>Jean Dielectrico</v>
      </c>
      <c r="C18648" s="73"/>
      <c r="D18648" s="50" t="str">
        <f>VLOOKUP(A18648,'Componentes APUs'!$A$1:$D$14,3,0)</f>
        <v>U</v>
      </c>
      <c r="E18648" s="50">
        <f>SUM(C18619:C18624)</f>
        <v>2.75</v>
      </c>
      <c r="F18648" s="51">
        <f>VLOOKUP(A18648,'Componentes APUs'!$A$1:$D$14,4,0)</f>
        <v>7575.757575757576</v>
      </c>
      <c r="G18648" s="51">
        <f>ROUNDUP(F18648*(E18648/21)/E18604,0)</f>
        <v>125</v>
      </c>
    </row>
    <row r="18649" spans="1:7" x14ac:dyDescent="0.25">
      <c r="A18649" s="50" t="s">
        <v>87</v>
      </c>
      <c r="B18649" s="72" t="str">
        <f>VLOOKUP(A18649,'Componentes APUs'!$A$1:$D$14,2,0)</f>
        <v>Casco dielectrico Tipo 2 Clase E con barboquejo</v>
      </c>
      <c r="C18649" s="73"/>
      <c r="D18649" s="50" t="str">
        <f>VLOOKUP(A18649,'Componentes APUs'!$A$1:$D$14,3,0)</f>
        <v>U</v>
      </c>
      <c r="E18649" s="53">
        <f>IF(A18621="MO-3",C18621,0)</f>
        <v>1</v>
      </c>
      <c r="F18649" s="51">
        <f>VLOOKUP(A18649,'Componentes APUs'!$A$1:$D$14,4,0)</f>
        <v>7500</v>
      </c>
      <c r="G18649" s="51">
        <f>ROUNDUP(F18649*(E18649/21)/E18604,0)</f>
        <v>45</v>
      </c>
    </row>
    <row r="18650" spans="1:7" x14ac:dyDescent="0.25">
      <c r="A18650" s="69" t="s">
        <v>89</v>
      </c>
      <c r="B18650" s="72" t="str">
        <f>VLOOKUP(A18650,'Componentes APUs'!$A$1:$D$14,2,0)</f>
        <v>Kit de rescate para trabajo en alturas</v>
      </c>
      <c r="C18650" s="73"/>
      <c r="D18650" s="50" t="str">
        <f>VLOOKUP(A18650,'Componentes APUs'!$A$1:$D$14,3,0)</f>
        <v>U</v>
      </c>
      <c r="E18650" s="50">
        <f>IF(AND(A18621="MO-3",C18621=2),1,0)</f>
        <v>0</v>
      </c>
      <c r="F18650" s="51">
        <f>VLOOKUP(A18650,'Componentes APUs'!$A$1:$D$14,4,0)</f>
        <v>37500</v>
      </c>
      <c r="G18650" s="51">
        <f>ROUNDUP(F18650*(E18650/21)/E18604,0)</f>
        <v>0</v>
      </c>
    </row>
    <row r="18651" spans="1:7" x14ac:dyDescent="0.25">
      <c r="A18651" s="50" t="s">
        <v>91</v>
      </c>
      <c r="B18651" s="72" t="str">
        <f>VLOOKUP(A18651,'Componentes APUs'!$A$1:$D$14,2,0)</f>
        <v>Equipo completo para trabajo en alturas con pretales (Arnes dielectrico, 1 mosqueton de seguridad, tie off dielectrico, eslinga de posicionamiento, juego de pretales)</v>
      </c>
      <c r="C18651" s="73"/>
      <c r="D18651" s="50" t="str">
        <f>VLOOKUP(A18651,'Componentes APUs'!$A$1:$D$14,3,0)</f>
        <v>U</v>
      </c>
      <c r="E18651" s="50">
        <f>IF(A18621="MO-3",C18621)</f>
        <v>1</v>
      </c>
      <c r="F18651" s="51">
        <f>VLOOKUP(A18651,'Componentes APUs'!$A$1:$D$14,4,0)</f>
        <v>26041.666666666668</v>
      </c>
      <c r="G18651" s="51">
        <f>ROUNDUP(F18651*(E18651/21)/E18604,0)</f>
        <v>156</v>
      </c>
    </row>
    <row r="18652" spans="1:7" x14ac:dyDescent="0.25">
      <c r="A18652" s="219" t="s">
        <v>95</v>
      </c>
      <c r="B18652" s="219"/>
      <c r="C18652" s="219"/>
      <c r="D18652" s="219"/>
      <c r="E18652" s="219"/>
      <c r="F18652" s="219"/>
      <c r="G18652" s="52">
        <f>SUM(G18639:G18651)</f>
        <v>988</v>
      </c>
    </row>
    <row r="18653" spans="1:7" x14ac:dyDescent="0.25">
      <c r="A18653" s="56"/>
      <c r="B18653" s="57"/>
      <c r="C18653" s="57"/>
      <c r="D18653" s="57"/>
      <c r="E18653" s="57"/>
      <c r="F18653" s="57"/>
      <c r="G18653" s="58"/>
    </row>
    <row r="18654" spans="1:7" x14ac:dyDescent="0.25">
      <c r="A18654" s="219" t="s">
        <v>96</v>
      </c>
      <c r="B18654" s="219"/>
      <c r="C18654" s="219"/>
      <c r="D18654" s="219"/>
      <c r="E18654" s="219"/>
      <c r="F18654" s="219"/>
      <c r="G18654" s="219"/>
    </row>
    <row r="18655" spans="1:7" x14ac:dyDescent="0.25">
      <c r="A18655" s="49" t="s">
        <v>35</v>
      </c>
      <c r="B18655" s="225" t="s">
        <v>36</v>
      </c>
      <c r="C18655" s="225"/>
      <c r="D18655" s="49" t="s">
        <v>37</v>
      </c>
      <c r="E18655" s="49" t="s">
        <v>38</v>
      </c>
      <c r="F18655" s="49" t="s">
        <v>39</v>
      </c>
      <c r="G18655" s="49" t="s">
        <v>40</v>
      </c>
    </row>
    <row r="18656" spans="1:7" x14ac:dyDescent="0.25">
      <c r="A18656" s="69" t="s">
        <v>97</v>
      </c>
      <c r="B18656" s="72" t="str">
        <f>VLOOKUP(A18656,'Componentes APUs'!$N$1:$Q$30,2,0)</f>
        <v>Camioneta</v>
      </c>
      <c r="C18656" s="73"/>
      <c r="D18656" s="70" t="str">
        <f>VLOOKUP(A18656,'Componentes APUs'!$N$1:$Q$30,3,0)</f>
        <v>U</v>
      </c>
      <c r="E18656" s="50">
        <v>1</v>
      </c>
      <c r="F18656" s="51">
        <f>VLOOKUP(A18656,'Componentes APUs'!$N$1:$Q$30,4,0)</f>
        <v>5500000</v>
      </c>
      <c r="G18656" s="51">
        <f>IFERROR(ROUNDUP(F18656*(E18656/21)/E18604,0),0)</f>
        <v>32739</v>
      </c>
    </row>
    <row r="18657" spans="1:7" x14ac:dyDescent="0.25">
      <c r="A18657" s="50" t="s">
        <v>321</v>
      </c>
      <c r="B18657" s="72" t="str">
        <f>VLOOKUP(A18657,'Componentes APUs'!$N$1:$Q$30,2,0)</f>
        <v>Grúa Hidráulica</v>
      </c>
      <c r="C18657" s="73"/>
      <c r="D18657" s="70" t="str">
        <f>VLOOKUP(A18657,'Componentes APUs'!$N$1:$Q$30,3,0)</f>
        <v>U</v>
      </c>
      <c r="E18657" s="50">
        <v>0</v>
      </c>
      <c r="F18657" s="51">
        <f>VLOOKUP(A18657,'Componentes APUs'!$N$1:$Q$30,4,0)</f>
        <v>21000000</v>
      </c>
      <c r="G18657" s="51">
        <f>IFERROR(ROUNDUP(F18657*(E18657/21)/E18604,0),0)</f>
        <v>0</v>
      </c>
    </row>
    <row r="18658" spans="1:7" x14ac:dyDescent="0.25">
      <c r="A18658" s="69" t="s">
        <v>322</v>
      </c>
      <c r="B18658" s="72" t="str">
        <f>VLOOKUP(A18658,'Componentes APUs'!$N$1:$Q$30,2,0)</f>
        <v>Camabaja</v>
      </c>
      <c r="C18658" s="73"/>
      <c r="D18658" s="70" t="str">
        <f>VLOOKUP(A18658,'Componentes APUs'!$N$1:$Q$30,3,0)</f>
        <v>TON/KM</v>
      </c>
      <c r="E18658" s="50">
        <v>0</v>
      </c>
      <c r="F18658" s="51">
        <f>VLOOKUP(A18658,'Componentes APUs'!$N$1:$Q$30,4,0)</f>
        <v>611</v>
      </c>
      <c r="G18658" s="51">
        <f>IFERROR(ROUNDUP(F18658*(E18658/21)/E18604,0),0)</f>
        <v>0</v>
      </c>
    </row>
    <row r="18659" spans="1:7" x14ac:dyDescent="0.25">
      <c r="A18659" s="50" t="s">
        <v>323</v>
      </c>
      <c r="B18659" s="72" t="str">
        <f>VLOOKUP(A18659,'Componentes APUs'!$N$1:$Q$30,2,0)</f>
        <v>Volqueta</v>
      </c>
      <c r="C18659" s="73"/>
      <c r="D18659" s="70" t="str">
        <f>VLOOKUP(A18659,'Componentes APUs'!$N$1:$Q$30,3,0)</f>
        <v>U</v>
      </c>
      <c r="E18659" s="50">
        <v>0</v>
      </c>
      <c r="F18659" s="51">
        <f>VLOOKUP(A18659,'Componentes APUs'!$N$1:$Q$30,4,0)</f>
        <v>14828184</v>
      </c>
      <c r="G18659" s="51">
        <f>IFERROR(ROUNDUP(F18659*(E18659/21)/E18604,0),0)</f>
        <v>0</v>
      </c>
    </row>
    <row r="18660" spans="1:7" x14ac:dyDescent="0.25">
      <c r="A18660" s="69" t="s">
        <v>324</v>
      </c>
      <c r="B18660" s="72" t="str">
        <f>VLOOKUP(A18660,'Componentes APUs'!$N$1:$Q$30,2,0)</f>
        <v>Retroexcavadora</v>
      </c>
      <c r="C18660" s="73"/>
      <c r="D18660" s="70" t="str">
        <f>VLOOKUP(A18660,'Componentes APUs'!$N$1:$Q$30,3,0)</f>
        <v>U</v>
      </c>
      <c r="E18660" s="50">
        <v>0</v>
      </c>
      <c r="F18660" s="51">
        <f>VLOOKUP(A18660,'Componentes APUs'!$N$1:$Q$30,4,0)</f>
        <v>46030656</v>
      </c>
      <c r="G18660" s="51">
        <f>IFERROR(ROUNDUP(F18660*(E18660/21)/E18604,0),0)</f>
        <v>0</v>
      </c>
    </row>
    <row r="18661" spans="1:7" x14ac:dyDescent="0.25">
      <c r="A18661" s="219" t="s">
        <v>99</v>
      </c>
      <c r="B18661" s="219"/>
      <c r="C18661" s="219"/>
      <c r="D18661" s="219"/>
      <c r="E18661" s="219"/>
      <c r="F18661" s="219"/>
      <c r="G18661" s="52">
        <f>SUM(G18656:G18660)</f>
        <v>32739</v>
      </c>
    </row>
    <row r="18662" spans="1:7" x14ac:dyDescent="0.25">
      <c r="A18662" s="56"/>
      <c r="B18662" s="57"/>
      <c r="C18662" s="57"/>
      <c r="D18662" s="57"/>
      <c r="E18662" s="57"/>
      <c r="F18662" s="57"/>
      <c r="G18662" s="58"/>
    </row>
    <row r="18663" spans="1:7" x14ac:dyDescent="0.25">
      <c r="A18663" s="219" t="s">
        <v>1516</v>
      </c>
      <c r="B18663" s="219"/>
      <c r="C18663" s="219"/>
      <c r="D18663" s="219"/>
      <c r="E18663" s="219"/>
      <c r="F18663" s="219"/>
      <c r="G18663" s="52">
        <f>G18661+G18652+G18635+G18625+G18615</f>
        <v>420395</v>
      </c>
    </row>
    <row r="18664" spans="1:7" x14ac:dyDescent="0.25">
      <c r="A18664" s="59"/>
      <c r="B18664" s="60"/>
      <c r="C18664" s="60"/>
      <c r="D18664" s="60"/>
      <c r="E18664" s="57"/>
      <c r="F18664" s="57"/>
      <c r="G18664" s="58"/>
    </row>
    <row r="18665" spans="1:7" x14ac:dyDescent="0.25">
      <c r="A18665" s="64"/>
      <c r="D18665" s="55"/>
      <c r="E18665" s="49" t="s">
        <v>25</v>
      </c>
      <c r="F18665" s="54">
        <v>0.15</v>
      </c>
      <c r="G18665" s="51">
        <f>G18663*F18665</f>
        <v>63059.25</v>
      </c>
    </row>
    <row r="18666" spans="1:7" x14ac:dyDescent="0.25">
      <c r="A18666" s="64"/>
      <c r="D18666" s="55"/>
      <c r="E18666" s="49" t="s">
        <v>26</v>
      </c>
      <c r="F18666" s="54">
        <v>0.05</v>
      </c>
      <c r="G18666" s="51">
        <f>G18663*F18666</f>
        <v>21019.75</v>
      </c>
    </row>
    <row r="18667" spans="1:7" x14ac:dyDescent="0.25">
      <c r="A18667" s="61"/>
      <c r="B18667" s="65"/>
      <c r="C18667" s="65"/>
      <c r="D18667" s="62"/>
      <c r="E18667" s="49" t="s">
        <v>27</v>
      </c>
      <c r="F18667" s="54">
        <v>0.05</v>
      </c>
      <c r="G18667" s="51">
        <f>G18663*F18667</f>
        <v>21019.75</v>
      </c>
    </row>
    <row r="18668" spans="1:7" x14ac:dyDescent="0.25">
      <c r="A18668" s="61"/>
      <c r="B18668" s="62"/>
      <c r="C18668" s="62"/>
      <c r="D18668" s="62"/>
      <c r="E18668" s="62"/>
      <c r="F18668" s="62"/>
      <c r="G18668" s="63"/>
    </row>
    <row r="18669" spans="1:7" x14ac:dyDescent="0.25">
      <c r="A18669" s="219" t="s">
        <v>1517</v>
      </c>
      <c r="B18669" s="219"/>
      <c r="C18669" s="219"/>
      <c r="D18669" s="219"/>
      <c r="E18669" s="219"/>
      <c r="F18669" s="219"/>
      <c r="G18669" s="52">
        <f>G18663+G18665+G18666+G18667</f>
        <v>525493.75</v>
      </c>
    </row>
    <row r="18670" spans="1:7" x14ac:dyDescent="0.25">
      <c r="A18670" s="59"/>
      <c r="B18670" s="60"/>
      <c r="C18670" s="60"/>
      <c r="D18670" s="60"/>
      <c r="E18670" s="57"/>
      <c r="F18670" s="57"/>
      <c r="G18670" s="58"/>
    </row>
    <row r="18671" spans="1:7" x14ac:dyDescent="0.25">
      <c r="A18671" s="64"/>
      <c r="D18671" s="55"/>
      <c r="E18671" s="49" t="s">
        <v>102</v>
      </c>
      <c r="F18671" s="49" t="s">
        <v>103</v>
      </c>
      <c r="G18671" s="51">
        <f>G18667*19%</f>
        <v>3993.7525000000001</v>
      </c>
    </row>
    <row r="18672" spans="1:7" x14ac:dyDescent="0.25">
      <c r="A18672" s="61"/>
      <c r="B18672" s="62"/>
      <c r="C18672" s="62"/>
      <c r="D18672" s="62"/>
      <c r="E18672" s="57"/>
      <c r="F18672" s="57"/>
      <c r="G18672" s="58"/>
    </row>
    <row r="18673" spans="1:7" x14ac:dyDescent="0.25">
      <c r="A18673" s="219" t="s">
        <v>104</v>
      </c>
      <c r="B18673" s="219"/>
      <c r="C18673" s="219"/>
      <c r="D18673" s="219"/>
      <c r="E18673" s="219"/>
      <c r="F18673" s="219"/>
      <c r="G18673" s="52">
        <f>G18671+G18669</f>
        <v>529487.50249999994</v>
      </c>
    </row>
    <row r="18675" spans="1:7" x14ac:dyDescent="0.25">
      <c r="A18675" s="74" t="s">
        <v>29</v>
      </c>
      <c r="B18675" s="226" t="s">
        <v>30</v>
      </c>
      <c r="C18675" s="226"/>
      <c r="D18675" s="74" t="s">
        <v>31</v>
      </c>
      <c r="E18675" s="74" t="s">
        <v>32</v>
      </c>
      <c r="F18675" s="74" t="s">
        <v>189</v>
      </c>
      <c r="G18675" s="74" t="s">
        <v>33</v>
      </c>
    </row>
    <row r="18676" spans="1:7" ht="39.75" customHeight="1" x14ac:dyDescent="0.25">
      <c r="A18676" s="50" t="str">
        <f>Presupuesto!B363</f>
        <v>033_AUX</v>
      </c>
      <c r="B18676" s="220" t="str">
        <f>Presupuesto!C363</f>
        <v>SUMINISTRO E INSTALACIÓN DE ALIMENTADOR PARA ILUMINACIÓN PERIMETRAL. EN CABLE 10 AWG Cu- TC-THHN - 600 V, TUBO PVC 1/2". INCLUYE BOQUILLA. UNIONES.</v>
      </c>
      <c r="C18676" s="220"/>
      <c r="D18676" s="50" t="s">
        <v>108</v>
      </c>
      <c r="E18676" s="50">
        <v>110</v>
      </c>
      <c r="F18676" s="50"/>
      <c r="G18676" s="51">
        <f>G18743</f>
        <v>52558.934999999998</v>
      </c>
    </row>
    <row r="18677" spans="1:7" x14ac:dyDescent="0.25">
      <c r="A18677" s="219"/>
      <c r="B18677" s="219"/>
      <c r="C18677" s="219"/>
      <c r="D18677" s="219"/>
      <c r="E18677" s="219"/>
      <c r="F18677" s="219"/>
      <c r="G18677" s="219"/>
    </row>
    <row r="18678" spans="1:7" x14ac:dyDescent="0.25">
      <c r="A18678" s="49" t="s">
        <v>35</v>
      </c>
      <c r="B18678" s="219" t="s">
        <v>36</v>
      </c>
      <c r="C18678" s="219"/>
      <c r="D18678" s="49" t="s">
        <v>37</v>
      </c>
      <c r="E18678" s="49" t="s">
        <v>38</v>
      </c>
      <c r="F18678" s="49" t="s">
        <v>39</v>
      </c>
      <c r="G18678" s="49" t="s">
        <v>40</v>
      </c>
    </row>
    <row r="18679" spans="1:7" x14ac:dyDescent="0.25">
      <c r="A18679" s="17" t="str">
        <f>Material!A215</f>
        <v>MA-214</v>
      </c>
      <c r="B18679" s="72" t="str">
        <f>IFERROR(VLOOKUP(A18679,Material!$A:$J,2,0),"-")</f>
        <v>CABLE 10 AWG Cu- TC-THHN/THWN - 600 V</v>
      </c>
      <c r="C18679" s="73"/>
      <c r="D18679" s="50" t="str">
        <f>IFERROR(VLOOKUP(A18679,Material!$A:$J,4,0),"-")</f>
        <v>ML</v>
      </c>
      <c r="E18679" s="50">
        <v>3</v>
      </c>
      <c r="F18679" s="51">
        <f>IFERROR(VLOOKUP(A18679,Material!$A:$J,3,0),"-")</f>
        <v>5070</v>
      </c>
      <c r="G18679" s="51">
        <f t="shared" ref="G18679:G18684" si="260">IFERROR(ROUNDUP(F18679*E18679,0),"-")</f>
        <v>15210</v>
      </c>
    </row>
    <row r="18680" spans="1:7" x14ac:dyDescent="0.25">
      <c r="A18680" s="17" t="str">
        <f>Material!A216</f>
        <v>MA-215</v>
      </c>
      <c r="B18680" s="72" t="str">
        <f>IFERROR(VLOOKUP(A18680,Material!$A:$J,2,0),"-")</f>
        <v>TUBO PVC 1"</v>
      </c>
      <c r="C18680" s="76"/>
      <c r="D18680" s="50" t="str">
        <f>IFERROR(VLOOKUP(A18680,Material!$A:$J,4,0),"-")</f>
        <v>ML</v>
      </c>
      <c r="E18680" s="50">
        <v>2</v>
      </c>
      <c r="F18680" s="51">
        <f>IFERROR(VLOOKUP(A18680,Material!$A:$J,3,0),"-")</f>
        <v>3055</v>
      </c>
      <c r="G18680" s="51">
        <f t="shared" si="260"/>
        <v>6110</v>
      </c>
    </row>
    <row r="18681" spans="1:7" x14ac:dyDescent="0.25">
      <c r="A18681" s="17" t="str">
        <f>Material!A217</f>
        <v>MA-216</v>
      </c>
      <c r="B18681" s="72" t="str">
        <f>IFERROR(VLOOKUP(A18681,Material!$A:$J,2,0),"-")</f>
        <v>UNIÓN PVC 1"</v>
      </c>
      <c r="C18681" s="76"/>
      <c r="D18681" s="50" t="str">
        <f>IFERROR(VLOOKUP(A18681,Material!$A:$J,4,0),"-")</f>
        <v>UN</v>
      </c>
      <c r="E18681" s="50">
        <v>1</v>
      </c>
      <c r="F18681" s="51">
        <f>IFERROR(VLOOKUP(A18681,Material!$A:$J,3,0),"-")</f>
        <v>786.5</v>
      </c>
      <c r="G18681" s="51">
        <f t="shared" si="260"/>
        <v>787</v>
      </c>
    </row>
    <row r="18682" spans="1:7" x14ac:dyDescent="0.25">
      <c r="A18682" s="17" t="str">
        <f>Material!A133</f>
        <v>MA-132</v>
      </c>
      <c r="B18682" s="72" t="str">
        <f>IFERROR(VLOOKUP(A18682,Material!$A:$J,2,0),"-")</f>
        <v>BOQUILLA PVC 1/2"</v>
      </c>
      <c r="C18682" s="76"/>
      <c r="D18682" s="50" t="str">
        <f>IFERROR(VLOOKUP(A18682,Material!$A:$J,4,0),"-")</f>
        <v>UN</v>
      </c>
      <c r="E18682" s="50">
        <v>1</v>
      </c>
      <c r="F18682" s="51">
        <f>IFERROR(VLOOKUP(A18682,Material!$A:$J,3,0),"-")</f>
        <v>8502</v>
      </c>
      <c r="G18682" s="51">
        <f t="shared" si="260"/>
        <v>8502</v>
      </c>
    </row>
    <row r="18683" spans="1:7" x14ac:dyDescent="0.25">
      <c r="A18683" s="17" t="str">
        <f>Material!A201</f>
        <v>MA-200</v>
      </c>
      <c r="B18683" s="72" t="str">
        <f>IFERROR(VLOOKUP(A18683,Material!$A:$J,2,0),"-")</f>
        <v>SOLDADURA PVC 1/4 GL</v>
      </c>
      <c r="C18683" s="76"/>
      <c r="D18683" s="50" t="str">
        <f>IFERROR(VLOOKUP(A18683,Material!$A:$J,4,0),"-")</f>
        <v>GALÓN</v>
      </c>
      <c r="E18683" s="50">
        <f>1/60</f>
        <v>1.6666666666666666E-2</v>
      </c>
      <c r="F18683" s="51">
        <f>IFERROR(VLOOKUP(A18683,Material!$A:$J,3,0),"-")</f>
        <v>88270</v>
      </c>
      <c r="G18683" s="51">
        <f t="shared" si="260"/>
        <v>1472</v>
      </c>
    </row>
    <row r="18684" spans="1:7" x14ac:dyDescent="0.25">
      <c r="A18684" s="17" t="str">
        <f>Material!A253</f>
        <v>MA-252</v>
      </c>
      <c r="B18684" s="72" t="str">
        <f>IFERROR(VLOOKUP(A18684,Material!$A:$J,2,0),"-")</f>
        <v>LIMPIADOR DE TUBERÍA PVC 1/4 GL</v>
      </c>
      <c r="C18684" s="76"/>
      <c r="D18684" s="50" t="str">
        <f>IFERROR(VLOOKUP(A18684,Material!$A:$J,4,0),"-")</f>
        <v>GALÓN</v>
      </c>
      <c r="E18684" s="50">
        <f>1/60</f>
        <v>1.6666666666666666E-2</v>
      </c>
      <c r="F18684" s="51">
        <f>IFERROR(VLOOKUP(A18684,Material!$A:$J,3,0),"-")</f>
        <v>60970</v>
      </c>
      <c r="G18684" s="51">
        <f t="shared" si="260"/>
        <v>1017</v>
      </c>
    </row>
    <row r="18685" spans="1:7" x14ac:dyDescent="0.25">
      <c r="A18685" s="219" t="s">
        <v>41</v>
      </c>
      <c r="B18685" s="219"/>
      <c r="C18685" s="219"/>
      <c r="D18685" s="219"/>
      <c r="E18685" s="219"/>
      <c r="F18685" s="219"/>
      <c r="G18685" s="52">
        <f>SUM(G18679:G18684)</f>
        <v>33098</v>
      </c>
    </row>
    <row r="18686" spans="1:7" x14ac:dyDescent="0.25">
      <c r="A18686" s="56"/>
      <c r="B18686" s="57"/>
      <c r="C18686" s="57"/>
      <c r="D18686" s="57"/>
      <c r="E18686" s="57"/>
      <c r="F18686" s="57"/>
      <c r="G18686" s="58"/>
    </row>
    <row r="18687" spans="1:7" x14ac:dyDescent="0.25">
      <c r="A18687" s="219" t="s">
        <v>42</v>
      </c>
      <c r="B18687" s="219"/>
      <c r="C18687" s="219"/>
      <c r="D18687" s="219"/>
      <c r="E18687" s="219"/>
      <c r="F18687" s="219"/>
      <c r="G18687" s="219"/>
    </row>
    <row r="18688" spans="1:7" x14ac:dyDescent="0.25">
      <c r="A18688" s="49" t="s">
        <v>35</v>
      </c>
      <c r="B18688" s="49" t="s">
        <v>36</v>
      </c>
      <c r="C18688" s="49" t="s">
        <v>38</v>
      </c>
      <c r="D18688" s="49" t="s">
        <v>43</v>
      </c>
      <c r="E18688" s="49" t="s">
        <v>44</v>
      </c>
      <c r="F18688" s="49" t="s">
        <v>45</v>
      </c>
      <c r="G18688" s="49" t="s">
        <v>40</v>
      </c>
    </row>
    <row r="18689" spans="1:7" x14ac:dyDescent="0.25">
      <c r="A18689" s="50" t="s">
        <v>319</v>
      </c>
      <c r="B18689" s="68" t="str">
        <f>VLOOKUP(A18689,'[1]Componentes APUs'!$H$1:$L$25,2,0)</f>
        <v>Ingeniero Residente de Obra</v>
      </c>
      <c r="C18689" s="93">
        <v>0.25</v>
      </c>
      <c r="D18689" s="50">
        <f>VLOOKUP(A18689,'[1]Componentes APUs'!$H$1:$L$25,3,0)</f>
        <v>4</v>
      </c>
      <c r="E18689" s="51">
        <f>VLOOKUP(A18689,'[1]Componentes APUs'!$H$1:$L$25,4,0)</f>
        <v>271142.85714285716</v>
      </c>
      <c r="F18689" s="51">
        <f>VLOOKUP(A18689,'[1]Componentes APUs'!$H$1:$L$25,5,0)</f>
        <v>162685.71428571429</v>
      </c>
      <c r="G18689" s="51">
        <f>ROUNDUP((E18689+F18689)*C18689/E18676,0)</f>
        <v>986</v>
      </c>
    </row>
    <row r="18690" spans="1:7" x14ac:dyDescent="0.25">
      <c r="A18690" s="50" t="s">
        <v>320</v>
      </c>
      <c r="B18690" s="68" t="str">
        <f>VLOOKUP(A18690,'[1]Componentes APUs'!$H$1:$L$25,2,0)</f>
        <v>Tecnico Supervisor</v>
      </c>
      <c r="C18690" s="93">
        <v>0.25</v>
      </c>
      <c r="D18690" s="50">
        <f>VLOOKUP(A18690,'[1]Componentes APUs'!$H$1:$L$25,3,0)</f>
        <v>2.2999999999999998</v>
      </c>
      <c r="E18690" s="51">
        <f>VLOOKUP(A18690,'[1]Componentes APUs'!$H$1:$L$25,4,0)</f>
        <v>155907.14285714284</v>
      </c>
      <c r="F18690" s="51">
        <f>VLOOKUP(A18690,'[1]Componentes APUs'!$H$1:$L$25,5,0)</f>
        <v>93544.285714285696</v>
      </c>
      <c r="G18690" s="51">
        <f>ROUNDUP((E18690+F18690)*C18690/E18676,0)</f>
        <v>567</v>
      </c>
    </row>
    <row r="18691" spans="1:7" x14ac:dyDescent="0.25">
      <c r="A18691" s="50" t="s">
        <v>1160</v>
      </c>
      <c r="B18691" s="68" t="str">
        <f>VLOOKUP(A18691,'[1]Componentes APUs'!$H$1:$L$25,2,0)</f>
        <v>Oficial Eléctrico</v>
      </c>
      <c r="C18691" s="93">
        <v>1</v>
      </c>
      <c r="D18691" s="50">
        <f>VLOOKUP(A18691,'[1]Componentes APUs'!$H$1:$L$25,3,0)</f>
        <v>2</v>
      </c>
      <c r="E18691" s="51">
        <f>VLOOKUP(A18691,'[1]Componentes APUs'!$H$1:$L$25,4,0)</f>
        <v>154619.04761904763</v>
      </c>
      <c r="F18691" s="51">
        <f>VLOOKUP(A18691,'[1]Componentes APUs'!$H$1:$L$25,5,0)</f>
        <v>92771.42857142858</v>
      </c>
      <c r="G18691" s="51">
        <f>ROUNDUP((E18691+F18691)*C18691/E18676,0)</f>
        <v>2250</v>
      </c>
    </row>
    <row r="18692" spans="1:7" x14ac:dyDescent="0.25">
      <c r="A18692" s="50" t="s">
        <v>48</v>
      </c>
      <c r="B18692" s="68" t="str">
        <f>VLOOKUP(A18692,'[1]Componentes APUs'!$H$1:$L$25,2,0)</f>
        <v>Ayudante Calificado</v>
      </c>
      <c r="C18692" s="93">
        <v>1</v>
      </c>
      <c r="D18692" s="50">
        <f>VLOOKUP(A18692,'[1]Componentes APUs'!$H$1:$L$25,3,0)</f>
        <v>1.5</v>
      </c>
      <c r="E18692" s="51">
        <f>VLOOKUP(A18692,'[1]Componentes APUs'!$H$1:$L$25,4,0)</f>
        <v>115964.28571428571</v>
      </c>
      <c r="F18692" s="51">
        <f>VLOOKUP(A18692,'[1]Componentes APUs'!$H$1:$L$25,5,0)</f>
        <v>69578.57142857142</v>
      </c>
      <c r="G18692" s="51">
        <f>ROUNDUP((E18692+F18692)*C18692/E18676,0)</f>
        <v>1687</v>
      </c>
    </row>
    <row r="18693" spans="1:7" x14ac:dyDescent="0.25">
      <c r="A18693" s="50" t="s">
        <v>50</v>
      </c>
      <c r="B18693" s="68" t="str">
        <f>VLOOKUP(A18693,'[1]Componentes APUs'!$H$1:$L$25,2,0)</f>
        <v>Profesional en SST</v>
      </c>
      <c r="C18693" s="93">
        <v>0.25</v>
      </c>
      <c r="D18693" s="50">
        <f>VLOOKUP(A18693,'[1]Componentes APUs'!$H$1:$L$25,3,0)</f>
        <v>2.5</v>
      </c>
      <c r="E18693" s="51">
        <f>VLOOKUP(A18693,'[1]Componentes APUs'!$H$1:$L$25,4,0)</f>
        <v>169464.28571428571</v>
      </c>
      <c r="F18693" s="51">
        <f>VLOOKUP(A18693,'[1]Componentes APUs'!$H$1:$L$25,5,0)</f>
        <v>101678.57142857142</v>
      </c>
      <c r="G18693" s="51">
        <f>ROUNDUP((E18693+F18693)*C18693/E18676,0)</f>
        <v>617</v>
      </c>
    </row>
    <row r="18694" spans="1:7" x14ac:dyDescent="0.25">
      <c r="A18694" s="50" t="s">
        <v>52</v>
      </c>
      <c r="B18694" s="68" t="str">
        <f>VLOOKUP(A18694,'[1]Componentes APUs'!$H$1:$L$25,2,0)</f>
        <v>Ayudante No Calificado</v>
      </c>
      <c r="C18694" s="93">
        <v>0</v>
      </c>
      <c r="D18694" s="50">
        <f>VLOOKUP(A18694,'[1]Componentes APUs'!$H$1:$L$25,3,0)</f>
        <v>1</v>
      </c>
      <c r="E18694" s="51">
        <f>VLOOKUP(A18694,'[1]Componentes APUs'!$H$1:$L$25,4,0)</f>
        <v>77309.523809523816</v>
      </c>
      <c r="F18694" s="51">
        <f>VLOOKUP(A18694,'[1]Componentes APUs'!$H$1:$L$25,5,0)</f>
        <v>46385.71428571429</v>
      </c>
      <c r="G18694" s="51">
        <f>ROUNDUP((E18694+F18694)*C18694/E18676,0)</f>
        <v>0</v>
      </c>
    </row>
    <row r="18695" spans="1:7" x14ac:dyDescent="0.25">
      <c r="A18695" s="219" t="s">
        <v>56</v>
      </c>
      <c r="B18695" s="219"/>
      <c r="C18695" s="219"/>
      <c r="D18695" s="219"/>
      <c r="E18695" s="219"/>
      <c r="F18695" s="219"/>
      <c r="G18695" s="52">
        <f>SUM(G18689:G18694)</f>
        <v>6107</v>
      </c>
    </row>
    <row r="18696" spans="1:7" x14ac:dyDescent="0.25">
      <c r="A18696" s="56"/>
      <c r="B18696" s="57"/>
      <c r="C18696" s="57"/>
      <c r="D18696" s="57"/>
      <c r="E18696" s="57"/>
      <c r="F18696" s="57"/>
      <c r="G18696" s="58"/>
    </row>
    <row r="18697" spans="1:7" x14ac:dyDescent="0.25">
      <c r="A18697" s="219" t="s">
        <v>57</v>
      </c>
      <c r="B18697" s="219"/>
      <c r="C18697" s="219"/>
      <c r="D18697" s="219"/>
      <c r="E18697" s="219"/>
      <c r="F18697" s="219"/>
      <c r="G18697" s="219"/>
    </row>
    <row r="18698" spans="1:7" x14ac:dyDescent="0.25">
      <c r="A18698" s="49" t="s">
        <v>35</v>
      </c>
      <c r="B18698" s="219" t="s">
        <v>36</v>
      </c>
      <c r="C18698" s="219"/>
      <c r="D18698" s="49" t="s">
        <v>37</v>
      </c>
      <c r="E18698" s="49" t="s">
        <v>38</v>
      </c>
      <c r="F18698" s="49" t="s">
        <v>39</v>
      </c>
      <c r="G18698" s="49" t="s">
        <v>40</v>
      </c>
    </row>
    <row r="18699" spans="1:7" x14ac:dyDescent="0.25">
      <c r="A18699" s="50" t="s">
        <v>326</v>
      </c>
      <c r="B18699" s="220" t="str">
        <f>VLOOKUP(A18699,'[1]Componentes APUs'!$S$1:$V$10,2,0)</f>
        <v>Juego Llaves</v>
      </c>
      <c r="C18699" s="220"/>
      <c r="D18699" s="50" t="s">
        <v>18</v>
      </c>
      <c r="E18699" s="50">
        <v>2</v>
      </c>
      <c r="F18699" s="51">
        <f>VLOOKUP(A18699,'[1]Componentes APUs'!$S$1:$V$10,4,0)</f>
        <v>9167</v>
      </c>
      <c r="G18699" s="51">
        <f>ROUNDUP(F18699*((E18699/21)/E18676),0)</f>
        <v>8</v>
      </c>
    </row>
    <row r="18700" spans="1:7" x14ac:dyDescent="0.25">
      <c r="A18700" s="50" t="s">
        <v>58</v>
      </c>
      <c r="B18700" s="220" t="str">
        <f>VLOOKUP(A18700,'[1]Componentes APUs'!$S$1:$V$10,2,0)</f>
        <v>Manila de servicio</v>
      </c>
      <c r="C18700" s="220"/>
      <c r="D18700" s="50" t="s">
        <v>18</v>
      </c>
      <c r="E18700" s="50">
        <v>0</v>
      </c>
      <c r="F18700" s="51">
        <f>VLOOKUP(A18700,'[1]Componentes APUs'!$S$1:$V$10,4,0)</f>
        <v>2333</v>
      </c>
      <c r="G18700" s="51">
        <f>ROUNDUP(F18700*((E18700/21)/E18676),0)</f>
        <v>0</v>
      </c>
    </row>
    <row r="18701" spans="1:7" x14ac:dyDescent="0.25">
      <c r="A18701" s="50" t="s">
        <v>327</v>
      </c>
      <c r="B18701" s="220" t="str">
        <f>VLOOKUP(A18701,'[1]Componentes APUs'!$S$1:$V$10,2,0)</f>
        <v>Tula portaherramientas</v>
      </c>
      <c r="C18701" s="220"/>
      <c r="D18701" s="50" t="s">
        <v>18</v>
      </c>
      <c r="E18701" s="50">
        <v>2</v>
      </c>
      <c r="F18701" s="51">
        <f>VLOOKUP(A18701,'[1]Componentes APUs'!$S$1:$V$10,4,0)</f>
        <v>1250</v>
      </c>
      <c r="G18701" s="51">
        <f>ROUNDUP(F18701*((E18701/21)/E18676),0)</f>
        <v>2</v>
      </c>
    </row>
    <row r="18702" spans="1:7" x14ac:dyDescent="0.25">
      <c r="A18702" s="50" t="s">
        <v>60</v>
      </c>
      <c r="B18702" s="220" t="str">
        <f>VLOOKUP(A18702,'[1]Componentes APUs'!$S$1:$V$10,2,0)</f>
        <v>Agarradoras</v>
      </c>
      <c r="C18702" s="220"/>
      <c r="D18702" s="50" t="s">
        <v>18</v>
      </c>
      <c r="E18702" s="50">
        <v>0</v>
      </c>
      <c r="F18702" s="51">
        <f>VLOOKUP(A18702,'[1]Componentes APUs'!$S$1:$V$10,4,0)</f>
        <v>125000</v>
      </c>
      <c r="G18702" s="51">
        <f>ROUNDUP(F18702*((E18702/21)/E18676),0)</f>
        <v>0</v>
      </c>
    </row>
    <row r="18703" spans="1:7" x14ac:dyDescent="0.25">
      <c r="A18703" s="50" t="s">
        <v>62</v>
      </c>
      <c r="B18703" s="220" t="str">
        <f>VLOOKUP(A18703,'[1]Componentes APUs'!$S$1:$V$10,2,0)</f>
        <v>Templadoras</v>
      </c>
      <c r="C18703" s="220"/>
      <c r="D18703" s="50" t="s">
        <v>18</v>
      </c>
      <c r="E18703" s="50">
        <v>0</v>
      </c>
      <c r="F18703" s="51">
        <f>VLOOKUP(A18703,'[1]Componentes APUs'!$S$1:$V$10,4,0)</f>
        <v>250000</v>
      </c>
      <c r="G18703" s="51">
        <f>ROUNDUP(F18703*((E18703/21)/E18676),0)</f>
        <v>0</v>
      </c>
    </row>
    <row r="18704" spans="1:7" x14ac:dyDescent="0.25">
      <c r="A18704" s="50" t="s">
        <v>328</v>
      </c>
      <c r="B18704" s="220" t="str">
        <f>VLOOKUP(A18704,'[1]Componentes APUs'!$S$1:$V$10,2,0)</f>
        <v>Herramienta Menor</v>
      </c>
      <c r="C18704" s="220"/>
      <c r="D18704" s="50" t="s">
        <v>18</v>
      </c>
      <c r="E18704" s="50">
        <v>2</v>
      </c>
      <c r="F18704" s="51">
        <f>VLOOKUP(A18704,'[1]Componentes APUs'!$S$1:$V$10,4,0)</f>
        <v>75758</v>
      </c>
      <c r="G18704" s="51">
        <f>ROUNDUP(F18704*((E18704/21)/E18676),0)</f>
        <v>66</v>
      </c>
    </row>
    <row r="18705" spans="1:7" x14ac:dyDescent="0.25">
      <c r="A18705" s="219" t="s">
        <v>69</v>
      </c>
      <c r="B18705" s="219"/>
      <c r="C18705" s="219"/>
      <c r="D18705" s="219"/>
      <c r="E18705" s="219"/>
      <c r="F18705" s="219"/>
      <c r="G18705" s="52">
        <f>SUM(G18699:G18704)</f>
        <v>76</v>
      </c>
    </row>
    <row r="18706" spans="1:7" x14ac:dyDescent="0.25">
      <c r="A18706" s="56"/>
      <c r="B18706" s="57"/>
      <c r="C18706" s="57"/>
      <c r="D18706" s="57"/>
      <c r="E18706" s="57"/>
      <c r="F18706" s="57"/>
      <c r="G18706" s="58"/>
    </row>
    <row r="18707" spans="1:7" x14ac:dyDescent="0.25">
      <c r="A18707" s="219" t="s">
        <v>70</v>
      </c>
      <c r="B18707" s="219"/>
      <c r="C18707" s="219"/>
      <c r="D18707" s="219"/>
      <c r="E18707" s="219"/>
      <c r="F18707" s="219"/>
      <c r="G18707" s="219"/>
    </row>
    <row r="18708" spans="1:7" x14ac:dyDescent="0.25">
      <c r="A18708" s="49" t="s">
        <v>35</v>
      </c>
      <c r="B18708" s="219" t="s">
        <v>36</v>
      </c>
      <c r="C18708" s="219"/>
      <c r="D18708" s="49" t="s">
        <v>37</v>
      </c>
      <c r="E18708" s="49" t="s">
        <v>38</v>
      </c>
      <c r="F18708" s="49" t="s">
        <v>39</v>
      </c>
      <c r="G18708" s="49" t="s">
        <v>40</v>
      </c>
    </row>
    <row r="18709" spans="1:7" x14ac:dyDescent="0.25">
      <c r="A18709" s="50" t="s">
        <v>71</v>
      </c>
      <c r="B18709" s="71" t="str">
        <f>VLOOKUP(A18709,'[1]Componentes APUs'!$A$1:$D$14,2,0)</f>
        <v>Camisa indigo sin partes metalicas</v>
      </c>
      <c r="C18709" s="71"/>
      <c r="D18709" s="50" t="str">
        <f>VLOOKUP(A18709,'[1]Componentes APUs'!$A$1:$D$14,3,0)</f>
        <v>U</v>
      </c>
      <c r="E18709" s="50">
        <f>SUM(C18689:C18694)</f>
        <v>2.75</v>
      </c>
      <c r="F18709" s="51">
        <f>VLOOKUP(A18709,'[1]Componentes APUs'!$A$1:$D$14,4,0)</f>
        <v>8585.8585858585866</v>
      </c>
      <c r="G18709" s="51">
        <f>ROUNDUP(F18709*(E18709/21)/E18676,0)</f>
        <v>11</v>
      </c>
    </row>
    <row r="18710" spans="1:7" x14ac:dyDescent="0.25">
      <c r="A18710" s="69" t="s">
        <v>73</v>
      </c>
      <c r="B18710" s="72" t="str">
        <f>VLOOKUP(A18710,'[1]Componentes APUs'!$A$1:$D$14,2,0)</f>
        <v>Bota de seguridad dielectrica</v>
      </c>
      <c r="C18710" s="73"/>
      <c r="D18710" s="70" t="str">
        <f>VLOOKUP(A18710,'[1]Componentes APUs'!$A$1:$D$14,3,0)</f>
        <v>Par</v>
      </c>
      <c r="E18710" s="50">
        <f>SUM(C18689:C18694)</f>
        <v>2.75</v>
      </c>
      <c r="F18710" s="51">
        <f>VLOOKUP(A18710,'[1]Componentes APUs'!$A$1:$D$14,4,0)</f>
        <v>7500</v>
      </c>
      <c r="G18710" s="51">
        <f>ROUNDUP(F18710*(E18710/21)/E18676,0)</f>
        <v>9</v>
      </c>
    </row>
    <row r="18711" spans="1:7" x14ac:dyDescent="0.25">
      <c r="A18711" s="50" t="s">
        <v>76</v>
      </c>
      <c r="B18711" s="72" t="str">
        <f>VLOOKUP(A18711,'[1]Componentes APUs'!$A$1:$D$14,2,0)</f>
        <v>Casco dielectrico Tipo 1 Clase E con barbuquejo</v>
      </c>
      <c r="C18711" s="73"/>
      <c r="D18711" s="50" t="str">
        <f>VLOOKUP(A18711,'[1]Componentes APUs'!$A$1:$D$14,3,0)</f>
        <v>U</v>
      </c>
      <c r="E18711" s="50">
        <f>C18694+C18689+C18692+C18693+C18690+IF(A18691&lt;&gt;"MO-3",C18691,0)</f>
        <v>2.75</v>
      </c>
      <c r="F18711" s="51">
        <f>VLOOKUP(A18711,'[1]Componentes APUs'!$A$1:$D$14,4,0)</f>
        <v>10101.010101010101</v>
      </c>
      <c r="G18711" s="51">
        <f>ROUNDUP(F18711*(E18711/21)/E18676,0)</f>
        <v>13</v>
      </c>
    </row>
    <row r="18712" spans="1:7" x14ac:dyDescent="0.25">
      <c r="A18712" s="69" t="s">
        <v>77</v>
      </c>
      <c r="B18712" s="72" t="str">
        <f>VLOOKUP(A18712,'[1]Componentes APUs'!$A$1:$D$14,2,0)</f>
        <v>Correa plastica y antiflama</v>
      </c>
      <c r="C18712" s="73"/>
      <c r="D18712" s="50" t="str">
        <f>VLOOKUP(A18712,'[1]Componentes APUs'!$A$1:$D$14,3,0)</f>
        <v>U</v>
      </c>
      <c r="E18712" s="50">
        <f>SUM(C18689:C18694)</f>
        <v>2.75</v>
      </c>
      <c r="F18712" s="51">
        <f>VLOOKUP(A18712,'[1]Componentes APUs'!$A$1:$D$14,4,0)</f>
        <v>3787.878787878788</v>
      </c>
      <c r="G18712" s="51">
        <f>ROUNDUP(F18712*(E18712/21)/E18676,0)</f>
        <v>5</v>
      </c>
    </row>
    <row r="18713" spans="1:7" x14ac:dyDescent="0.25">
      <c r="A18713" s="50" t="s">
        <v>79</v>
      </c>
      <c r="B18713" s="72" t="str">
        <f>VLOOKUP(A18713,'[1]Componentes APUs'!$A$1:$D$14,2,0)</f>
        <v>Gafas protectoras filtro UV</v>
      </c>
      <c r="C18713" s="73"/>
      <c r="D18713" s="50" t="str">
        <f>VLOOKUP(A18713,'[1]Componentes APUs'!$A$1:$D$14,3,0)</f>
        <v>U</v>
      </c>
      <c r="E18713" s="50">
        <f>SUM(C18689:C18694)</f>
        <v>2.75</v>
      </c>
      <c r="F18713" s="51">
        <f>VLOOKUP(A18713,'[1]Componentes APUs'!$A$1:$D$14,4,0)</f>
        <v>2777.7777777777778</v>
      </c>
      <c r="G18713" s="51">
        <f>ROUNDUP(F18713*(E18713/21)/E18676,0)</f>
        <v>4</v>
      </c>
    </row>
    <row r="18714" spans="1:7" x14ac:dyDescent="0.25">
      <c r="A18714" s="69" t="s">
        <v>402</v>
      </c>
      <c r="B18714" s="72" t="str">
        <f>VLOOKUP(A18714,'[1]Componentes APUs'!$A$1:$D$14,2,0)</f>
        <v>Bota de seguridad PVC dielectrica</v>
      </c>
      <c r="C18714" s="73"/>
      <c r="D18714" s="50" t="str">
        <f>VLOOKUP(A18714,'[1]Componentes APUs'!$A$1:$D$14,3,0)</f>
        <v>Par</v>
      </c>
      <c r="E18714" s="50">
        <f>SUM(C18689:C18694)</f>
        <v>2.75</v>
      </c>
      <c r="F18714" s="51">
        <f>VLOOKUP(A18714,'[1]Componentes APUs'!$A$1:$D$14,4,0)</f>
        <v>2916.6666666666665</v>
      </c>
      <c r="G18714" s="51">
        <f>ROUNDUP(F18714*(E18714/21)/E18676,0)</f>
        <v>4</v>
      </c>
    </row>
    <row r="18715" spans="1:7" x14ac:dyDescent="0.25">
      <c r="A18715" s="50" t="s">
        <v>403</v>
      </c>
      <c r="B18715" s="72" t="str">
        <f>VLOOKUP(A18715,'[1]Componentes APUs'!$A$1:$D$14,2,0)</f>
        <v>Capuchon</v>
      </c>
      <c r="C18715" s="73"/>
      <c r="D18715" s="50" t="str">
        <f>VLOOKUP(A18715,'[1]Componentes APUs'!$A$1:$D$14,3,0)</f>
        <v>U</v>
      </c>
      <c r="E18715" s="50">
        <f>SUM(C18689:C18694)</f>
        <v>2.75</v>
      </c>
      <c r="F18715" s="51">
        <f>VLOOKUP(A18715,'[1]Componentes APUs'!$A$1:$D$14,4,0)</f>
        <v>2525.2525252525252</v>
      </c>
      <c r="G18715" s="51">
        <f>ROUNDUP(F18715*(E18715/21)/E18676,0)</f>
        <v>4</v>
      </c>
    </row>
    <row r="18716" spans="1:7" x14ac:dyDescent="0.25">
      <c r="A18716" s="69" t="s">
        <v>81</v>
      </c>
      <c r="B18716" s="72" t="str">
        <f>VLOOKUP(A18716,'[1]Componentes APUs'!$A$1:$D$14,2,0)</f>
        <v>Guantes Protectores  - ingeniero reforzados</v>
      </c>
      <c r="C18716" s="73"/>
      <c r="D18716" s="50" t="str">
        <f>VLOOKUP(A18716,'[1]Componentes APUs'!$A$1:$D$14,3,0)</f>
        <v>Par</v>
      </c>
      <c r="E18716" s="50">
        <f>C18691+C18692+C18694</f>
        <v>2</v>
      </c>
      <c r="F18716" s="51">
        <f>VLOOKUP(A18716,'[1]Componentes APUs'!$A$1:$D$14,4,0)</f>
        <v>2525.2525252525252</v>
      </c>
      <c r="G18716" s="51">
        <f>ROUNDUP(F18716*(E18716/21)/E18676,0)</f>
        <v>3</v>
      </c>
    </row>
    <row r="18717" spans="1:7" x14ac:dyDescent="0.25">
      <c r="A18717" s="50" t="s">
        <v>83</v>
      </c>
      <c r="B18717" s="72" t="str">
        <f>VLOOKUP(A18717,'[1]Componentes APUs'!$A$1:$D$14,2,0)</f>
        <v>Impermeable (pantalon camisa)</v>
      </c>
      <c r="C18717" s="73"/>
      <c r="D18717" s="50" t="str">
        <f>VLOOKUP(A18717,'[1]Componentes APUs'!$A$1:$D$14,3,0)</f>
        <v>U</v>
      </c>
      <c r="E18717" s="50">
        <f>SUM(C18689:C18694)</f>
        <v>2.75</v>
      </c>
      <c r="F18717" s="51">
        <f>VLOOKUP(A18717,'[1]Componentes APUs'!$A$1:$D$14,4,0)</f>
        <v>3750</v>
      </c>
      <c r="G18717" s="51">
        <f>ROUNDUP(F18717*(E18717/21)/E18676,0)</f>
        <v>5</v>
      </c>
    </row>
    <row r="18718" spans="1:7" x14ac:dyDescent="0.25">
      <c r="A18718" s="69" t="s">
        <v>85</v>
      </c>
      <c r="B18718" s="72" t="str">
        <f>VLOOKUP(A18718,'[1]Componentes APUs'!$A$1:$D$14,2,0)</f>
        <v>Jean Dielectrico</v>
      </c>
      <c r="C18718" s="73"/>
      <c r="D18718" s="50" t="str">
        <f>VLOOKUP(A18718,'[1]Componentes APUs'!$A$1:$D$14,3,0)</f>
        <v>U</v>
      </c>
      <c r="E18718" s="50">
        <f>SUM(C18689:C18694)</f>
        <v>2.75</v>
      </c>
      <c r="F18718" s="51">
        <f>VLOOKUP(A18718,'[1]Componentes APUs'!$A$1:$D$14,4,0)</f>
        <v>7575.757575757576</v>
      </c>
      <c r="G18718" s="51">
        <f>ROUNDUP(F18718*(E18718/21)/E18676,0)</f>
        <v>10</v>
      </c>
    </row>
    <row r="18719" spans="1:7" x14ac:dyDescent="0.25">
      <c r="A18719" s="50" t="s">
        <v>87</v>
      </c>
      <c r="B18719" s="72" t="str">
        <f>VLOOKUP(A18719,'[1]Componentes APUs'!$A$1:$D$14,2,0)</f>
        <v>Casco dielectrico Tipo 2 Clase E con barboquejo</v>
      </c>
      <c r="C18719" s="73"/>
      <c r="D18719" s="50" t="str">
        <f>VLOOKUP(A18719,'[1]Componentes APUs'!$A$1:$D$14,3,0)</f>
        <v>U</v>
      </c>
      <c r="E18719" s="53">
        <f>IF(A18691="MO-3",C18691,0)</f>
        <v>0</v>
      </c>
      <c r="F18719" s="51">
        <f>VLOOKUP(A18719,'[1]Componentes APUs'!$A$1:$D$14,4,0)</f>
        <v>7500</v>
      </c>
      <c r="G18719" s="51">
        <f>ROUNDUP(F18719*(E18719/21)/E18676,0)</f>
        <v>0</v>
      </c>
    </row>
    <row r="18720" spans="1:7" x14ac:dyDescent="0.25">
      <c r="A18720" s="69" t="s">
        <v>89</v>
      </c>
      <c r="B18720" s="72" t="str">
        <f>VLOOKUP(A18720,'[1]Componentes APUs'!$A$1:$D$14,2,0)</f>
        <v>Kit de rescate para trabajo en alturas</v>
      </c>
      <c r="C18720" s="73"/>
      <c r="D18720" s="50" t="str">
        <f>VLOOKUP(A18720,'[1]Componentes APUs'!$A$1:$D$14,3,0)</f>
        <v>U</v>
      </c>
      <c r="E18720" s="50">
        <f>IF(AND(A18691="MO-3",C18691=2),1,0)</f>
        <v>0</v>
      </c>
      <c r="F18720" s="51">
        <f>VLOOKUP(A18720,'[1]Componentes APUs'!$A$1:$D$14,4,0)</f>
        <v>37500</v>
      </c>
      <c r="G18720" s="51">
        <f>ROUNDUP(F18720*(E18720/21)/E18676,0)</f>
        <v>0</v>
      </c>
    </row>
    <row r="18721" spans="1:7" x14ac:dyDescent="0.25">
      <c r="A18721" s="50" t="s">
        <v>91</v>
      </c>
      <c r="B18721" s="72" t="str">
        <f>VLOOKUP(A18721,'[1]Componentes APUs'!$A$1:$D$14,2,0)</f>
        <v>Equipo completo para trabajo en alturas con pretales (Arnes dielectrico, 1 mosqueton de seguridad, tie off dielectrico, eslinga de posicionamiento, juego de pretales)</v>
      </c>
      <c r="C18721" s="73"/>
      <c r="D18721" s="50" t="str">
        <f>VLOOKUP(A18721,'[1]Componentes APUs'!$A$1:$D$14,3,0)</f>
        <v>U</v>
      </c>
      <c r="E18721" s="50">
        <f>IF(A18691="MO-3",C18691,0)</f>
        <v>0</v>
      </c>
      <c r="F18721" s="51">
        <f>VLOOKUP(A18721,'[1]Componentes APUs'!$A$1:$D$14,4,0)</f>
        <v>26041.666666666668</v>
      </c>
      <c r="G18721" s="51">
        <f>ROUNDUP(F18721*(E18721/21)/E18676,0)</f>
        <v>0</v>
      </c>
    </row>
    <row r="18722" spans="1:7" x14ac:dyDescent="0.25">
      <c r="A18722" s="219" t="s">
        <v>95</v>
      </c>
      <c r="B18722" s="219"/>
      <c r="C18722" s="219"/>
      <c r="D18722" s="219"/>
      <c r="E18722" s="219"/>
      <c r="F18722" s="219"/>
      <c r="G18722" s="52">
        <f>SUM(G18709:G18721)</f>
        <v>68</v>
      </c>
    </row>
    <row r="18723" spans="1:7" x14ac:dyDescent="0.25">
      <c r="A18723" s="56"/>
      <c r="B18723" s="57"/>
      <c r="C18723" s="57"/>
      <c r="D18723" s="57"/>
      <c r="E18723" s="57"/>
      <c r="F18723" s="57"/>
      <c r="G18723" s="58"/>
    </row>
    <row r="18724" spans="1:7" x14ac:dyDescent="0.25">
      <c r="A18724" s="219" t="s">
        <v>96</v>
      </c>
      <c r="B18724" s="219"/>
      <c r="C18724" s="219"/>
      <c r="D18724" s="219"/>
      <c r="E18724" s="219"/>
      <c r="F18724" s="219"/>
      <c r="G18724" s="219"/>
    </row>
    <row r="18725" spans="1:7" x14ac:dyDescent="0.25">
      <c r="A18725" s="49" t="s">
        <v>35</v>
      </c>
      <c r="B18725" s="225" t="s">
        <v>36</v>
      </c>
      <c r="C18725" s="225"/>
      <c r="D18725" s="49" t="s">
        <v>37</v>
      </c>
      <c r="E18725" s="49" t="s">
        <v>38</v>
      </c>
      <c r="F18725" s="49" t="s">
        <v>39</v>
      </c>
      <c r="G18725" s="49" t="s">
        <v>40</v>
      </c>
    </row>
    <row r="18726" spans="1:7" x14ac:dyDescent="0.25">
      <c r="A18726" s="69" t="s">
        <v>97</v>
      </c>
      <c r="B18726" s="72" t="str">
        <f>VLOOKUP(A18726,'[1]Componentes APUs'!$N$1:$Q$30,2,0)</f>
        <v>Camioneta</v>
      </c>
      <c r="C18726" s="73"/>
      <c r="D18726" s="70" t="str">
        <f>VLOOKUP(A18726,'[1]Componentes APUs'!$N$1:$Q$30,3,0)</f>
        <v>U</v>
      </c>
      <c r="E18726" s="50">
        <v>1</v>
      </c>
      <c r="F18726" s="51">
        <f>VLOOKUP(A18726,'[1]Componentes APUs'!$N$1:$Q$30,4,0)</f>
        <v>5500000</v>
      </c>
      <c r="G18726" s="51">
        <f>IFERROR(ROUNDUP(F18726*(E18726/21)/E18676,0),0)</f>
        <v>2381</v>
      </c>
    </row>
    <row r="18727" spans="1:7" x14ac:dyDescent="0.25">
      <c r="A18727" s="50" t="s">
        <v>321</v>
      </c>
      <c r="B18727" s="72" t="str">
        <f>VLOOKUP(A18727,'[1]Componentes APUs'!$N$1:$Q$30,2,0)</f>
        <v>Grúa Hidráulica</v>
      </c>
      <c r="C18727" s="73"/>
      <c r="D18727" s="70" t="str">
        <f>VLOOKUP(A18727,'[1]Componentes APUs'!$N$1:$Q$30,3,0)</f>
        <v>U</v>
      </c>
      <c r="E18727" s="50">
        <v>0</v>
      </c>
      <c r="F18727" s="51">
        <f>VLOOKUP(A18727,'[1]Componentes APUs'!$N$1:$Q$30,4,0)</f>
        <v>21000000</v>
      </c>
      <c r="G18727" s="51">
        <f>IFERROR(ROUNDUP(F18727*(E18727/21)/E18676,0),0)</f>
        <v>0</v>
      </c>
    </row>
    <row r="18728" spans="1:7" x14ac:dyDescent="0.25">
      <c r="A18728" s="69" t="s">
        <v>322</v>
      </c>
      <c r="B18728" s="72" t="str">
        <f>VLOOKUP(A18728,'[1]Componentes APUs'!$N$1:$Q$30,2,0)</f>
        <v>Camabaja</v>
      </c>
      <c r="C18728" s="73"/>
      <c r="D18728" s="70" t="str">
        <f>VLOOKUP(A18728,'[1]Componentes APUs'!$N$1:$Q$30,3,0)</f>
        <v>TON/KM</v>
      </c>
      <c r="E18728" s="50">
        <v>0</v>
      </c>
      <c r="F18728" s="51">
        <f>VLOOKUP(A18728,'[1]Componentes APUs'!$N$1:$Q$30,4,0)</f>
        <v>611</v>
      </c>
      <c r="G18728" s="51">
        <f>IFERROR(ROUNDUP(F18728*(E18728/21)/E18676,0),0)</f>
        <v>0</v>
      </c>
    </row>
    <row r="18729" spans="1:7" x14ac:dyDescent="0.25">
      <c r="A18729" s="50" t="s">
        <v>323</v>
      </c>
      <c r="B18729" s="72" t="str">
        <f>VLOOKUP(A18729,'[1]Componentes APUs'!$N$1:$Q$30,2,0)</f>
        <v>Volqueta</v>
      </c>
      <c r="C18729" s="73"/>
      <c r="D18729" s="70" t="str">
        <f>VLOOKUP(A18729,'[1]Componentes APUs'!$N$1:$Q$30,3,0)</f>
        <v>U</v>
      </c>
      <c r="E18729" s="50">
        <v>0</v>
      </c>
      <c r="F18729" s="51">
        <f>VLOOKUP(A18729,'[1]Componentes APUs'!$N$1:$Q$30,4,0)</f>
        <v>18900000</v>
      </c>
      <c r="G18729" s="51">
        <f>IFERROR(ROUNDUP(F18729*(E18729/21)/E18676,0),0)</f>
        <v>0</v>
      </c>
    </row>
    <row r="18730" spans="1:7" x14ac:dyDescent="0.25">
      <c r="A18730" s="69" t="s">
        <v>324</v>
      </c>
      <c r="B18730" s="72" t="str">
        <f>VLOOKUP(A18730,'[1]Componentes APUs'!$N$1:$Q$30,2,0)</f>
        <v>Retroexcavadora</v>
      </c>
      <c r="C18730" s="73"/>
      <c r="D18730" s="70" t="str">
        <f>VLOOKUP(A18730,'[1]Componentes APUs'!$N$1:$Q$30,3,0)</f>
        <v>U</v>
      </c>
      <c r="E18730" s="50">
        <v>0</v>
      </c>
      <c r="F18730" s="51">
        <f>VLOOKUP(A18730,'[1]Componentes APUs'!$N$1:$Q$30,4,0)</f>
        <v>1494459.54</v>
      </c>
      <c r="G18730" s="51">
        <f>IFERROR(ROUNDUP(F18730*(E18730/21)/E18676,0),0)</f>
        <v>0</v>
      </c>
    </row>
    <row r="18731" spans="1:7" x14ac:dyDescent="0.25">
      <c r="A18731" s="219" t="s">
        <v>99</v>
      </c>
      <c r="B18731" s="219"/>
      <c r="C18731" s="219"/>
      <c r="D18731" s="219"/>
      <c r="E18731" s="219"/>
      <c r="F18731" s="219"/>
      <c r="G18731" s="52">
        <f>SUM(G18726:G18730)</f>
        <v>2381</v>
      </c>
    </row>
    <row r="18732" spans="1:7" x14ac:dyDescent="0.25">
      <c r="A18732" s="56"/>
      <c r="B18732" s="57"/>
      <c r="C18732" s="57"/>
      <c r="D18732" s="57"/>
      <c r="E18732" s="57"/>
      <c r="F18732" s="57"/>
      <c r="G18732" s="58"/>
    </row>
    <row r="18733" spans="1:7" x14ac:dyDescent="0.25">
      <c r="A18733" s="219" t="s">
        <v>1516</v>
      </c>
      <c r="B18733" s="219"/>
      <c r="C18733" s="219"/>
      <c r="D18733" s="219"/>
      <c r="E18733" s="219"/>
      <c r="F18733" s="219"/>
      <c r="G18733" s="52">
        <f>G18731+G18722+G18705+G18695+G18685</f>
        <v>41730</v>
      </c>
    </row>
    <row r="18734" spans="1:7" x14ac:dyDescent="0.25">
      <c r="A18734" s="59"/>
      <c r="B18734" s="60"/>
      <c r="C18734" s="60"/>
      <c r="D18734" s="60"/>
      <c r="E18734" s="57"/>
      <c r="F18734" s="57"/>
      <c r="G18734" s="58"/>
    </row>
    <row r="18735" spans="1:7" x14ac:dyDescent="0.25">
      <c r="A18735" s="64"/>
      <c r="D18735" s="55"/>
      <c r="E18735" s="49" t="s">
        <v>25</v>
      </c>
      <c r="F18735" s="54">
        <v>0.15</v>
      </c>
      <c r="G18735" s="51">
        <f>G18733*F18735</f>
        <v>6259.5</v>
      </c>
    </row>
    <row r="18736" spans="1:7" x14ac:dyDescent="0.25">
      <c r="A18736" s="64"/>
      <c r="D18736" s="55"/>
      <c r="E18736" s="49" t="s">
        <v>26</v>
      </c>
      <c r="F18736" s="54">
        <v>0.05</v>
      </c>
      <c r="G18736" s="51">
        <f>G18733*F18736</f>
        <v>2086.5</v>
      </c>
    </row>
    <row r="18737" spans="1:7" x14ac:dyDescent="0.25">
      <c r="A18737" s="61"/>
      <c r="B18737" s="65"/>
      <c r="C18737" s="65"/>
      <c r="D18737" s="62"/>
      <c r="E18737" s="49" t="s">
        <v>27</v>
      </c>
      <c r="F18737" s="54">
        <v>0.05</v>
      </c>
      <c r="G18737" s="51">
        <f>G18733*F18737</f>
        <v>2086.5</v>
      </c>
    </row>
    <row r="18738" spans="1:7" x14ac:dyDescent="0.25">
      <c r="A18738" s="61"/>
      <c r="B18738" s="62"/>
      <c r="C18738" s="62"/>
      <c r="D18738" s="62"/>
      <c r="E18738" s="62"/>
      <c r="F18738" s="62"/>
      <c r="G18738" s="63"/>
    </row>
    <row r="18739" spans="1:7" x14ac:dyDescent="0.25">
      <c r="A18739" s="219" t="s">
        <v>1517</v>
      </c>
      <c r="B18739" s="219"/>
      <c r="C18739" s="219"/>
      <c r="D18739" s="219"/>
      <c r="E18739" s="219"/>
      <c r="F18739" s="219"/>
      <c r="G18739" s="52">
        <f>G18733+G18735+G18736+G18737</f>
        <v>52162.5</v>
      </c>
    </row>
    <row r="18740" spans="1:7" x14ac:dyDescent="0.25">
      <c r="A18740" s="59"/>
      <c r="B18740" s="60"/>
      <c r="C18740" s="60"/>
      <c r="D18740" s="60"/>
      <c r="E18740" s="57"/>
      <c r="F18740" s="57"/>
      <c r="G18740" s="58"/>
    </row>
    <row r="18741" spans="1:7" x14ac:dyDescent="0.25">
      <c r="A18741" s="64"/>
      <c r="D18741" s="55"/>
      <c r="E18741" s="49" t="s">
        <v>102</v>
      </c>
      <c r="F18741" s="49" t="s">
        <v>103</v>
      </c>
      <c r="G18741" s="51">
        <f>G18737*19%</f>
        <v>396.435</v>
      </c>
    </row>
    <row r="18742" spans="1:7" x14ac:dyDescent="0.25">
      <c r="A18742" s="61"/>
      <c r="B18742" s="62"/>
      <c r="C18742" s="62"/>
      <c r="D18742" s="62"/>
      <c r="E18742" s="57"/>
      <c r="F18742" s="57"/>
      <c r="G18742" s="58"/>
    </row>
    <row r="18743" spans="1:7" x14ac:dyDescent="0.25">
      <c r="A18743" s="219" t="s">
        <v>104</v>
      </c>
      <c r="B18743" s="219"/>
      <c r="C18743" s="219"/>
      <c r="D18743" s="219"/>
      <c r="E18743" s="219"/>
      <c r="F18743" s="219"/>
      <c r="G18743" s="52">
        <f>G18741+G18739</f>
        <v>52558.934999999998</v>
      </c>
    </row>
    <row r="18745" spans="1:7" x14ac:dyDescent="0.25">
      <c r="A18745" s="74" t="s">
        <v>29</v>
      </c>
      <c r="B18745" s="226" t="s">
        <v>30</v>
      </c>
      <c r="C18745" s="226"/>
      <c r="D18745" s="74" t="s">
        <v>31</v>
      </c>
      <c r="E18745" s="74" t="s">
        <v>32</v>
      </c>
      <c r="F18745" s="74" t="s">
        <v>189</v>
      </c>
      <c r="G18745" s="74" t="s">
        <v>33</v>
      </c>
    </row>
    <row r="18746" spans="1:7" ht="40.5" customHeight="1" x14ac:dyDescent="0.25">
      <c r="A18746" s="50" t="str">
        <f>Presupuesto!B364</f>
        <v>034_AUX</v>
      </c>
      <c r="B18746" s="220" t="str">
        <f>Presupuesto!C364</f>
        <v>SUMINISTRO E INSTALACIÓNDE SALIDA PARA REFLECTOR EN CABLE 3X 10 AWG Cu- TC-THHN - 600 V, TUBO IMC DE 1/2". (Longitud promedio 10 m) - PARA MUROS</v>
      </c>
      <c r="C18746" s="220"/>
      <c r="D18746" s="50" t="s">
        <v>108</v>
      </c>
      <c r="E18746" s="50">
        <v>3</v>
      </c>
      <c r="F18746" s="50"/>
      <c r="G18746" s="51">
        <f>G18813</f>
        <v>1484144.42</v>
      </c>
    </row>
    <row r="18747" spans="1:7" x14ac:dyDescent="0.25">
      <c r="A18747" s="219" t="s">
        <v>34</v>
      </c>
      <c r="B18747" s="219"/>
      <c r="C18747" s="219"/>
      <c r="D18747" s="219"/>
      <c r="E18747" s="219"/>
      <c r="F18747" s="219"/>
      <c r="G18747" s="219"/>
    </row>
    <row r="18748" spans="1:7" x14ac:dyDescent="0.25">
      <c r="A18748" s="49" t="s">
        <v>35</v>
      </c>
      <c r="B18748" s="219" t="s">
        <v>36</v>
      </c>
      <c r="C18748" s="219"/>
      <c r="D18748" s="49" t="s">
        <v>37</v>
      </c>
      <c r="E18748" s="49" t="s">
        <v>38</v>
      </c>
      <c r="F18748" s="49" t="s">
        <v>39</v>
      </c>
      <c r="G18748" s="49" t="s">
        <v>40</v>
      </c>
    </row>
    <row r="18749" spans="1:7" x14ac:dyDescent="0.25">
      <c r="A18749" s="17" t="str">
        <f>Material!A44</f>
        <v>MA-43</v>
      </c>
      <c r="B18749" s="72" t="str">
        <f>IFERROR(VLOOKUP(A18749,Material!$A:$H,2,0),"-")</f>
        <v>CABLE 3x10 AWG Cu- TC-THHN/THWN - 600 V</v>
      </c>
      <c r="C18749" s="73"/>
      <c r="D18749" s="50" t="str">
        <f>IFERROR(VLOOKUP(A18749,Material!$A:$H,4,0),"-")</f>
        <v>ML</v>
      </c>
      <c r="E18749" s="50">
        <v>10</v>
      </c>
      <c r="F18749" s="51">
        <f>IFERROR(VLOOKUP(A18749,Material!$A:$H,3,0),"-")</f>
        <v>26000</v>
      </c>
      <c r="G18749" s="51">
        <f t="shared" ref="G18749" si="261">IFERROR(ROUNDUP(F18749*E18749,0),"-")</f>
        <v>260000</v>
      </c>
    </row>
    <row r="18750" spans="1:7" x14ac:dyDescent="0.25">
      <c r="A18750" s="17" t="str">
        <f>Material!A547</f>
        <v>MA-546</v>
      </c>
      <c r="B18750" s="72" t="str">
        <f>IFERROR(VLOOKUP(A18750,Material!$A:$H,2,0),"-")</f>
        <v>TUBO IMC 1/2"</v>
      </c>
      <c r="C18750" s="73"/>
      <c r="D18750" s="50" t="str">
        <f>IFERROR(VLOOKUP(A18750,Material!$A:$H,4,0),"-")</f>
        <v>ML</v>
      </c>
      <c r="E18750" s="50">
        <v>10</v>
      </c>
      <c r="F18750" s="51">
        <f>IFERROR(VLOOKUP(A18750,Material!$A:$H,3,0),"-")</f>
        <v>57460</v>
      </c>
      <c r="G18750" s="51">
        <f t="shared" ref="G18750" si="262">IFERROR(ROUNDUP(F18750*E18750,0),"-")</f>
        <v>574600</v>
      </c>
    </row>
    <row r="18751" spans="1:7" x14ac:dyDescent="0.25">
      <c r="A18751" s="17" t="str">
        <f>Material!A156</f>
        <v>MA-155</v>
      </c>
      <c r="B18751" s="72" t="str">
        <f>IFERROR(VLOOKUP(A18751,Material!$A:$H,2,0),"-")</f>
        <v>CURVA 90 GRADOS GALVANIZADA IMC DE 1/2</v>
      </c>
      <c r="C18751" s="73"/>
      <c r="D18751" s="50" t="str">
        <f>IFERROR(VLOOKUP(A18751,Material!$A:$H,4,0),"-")</f>
        <v>UN</v>
      </c>
      <c r="E18751" s="50">
        <v>1</v>
      </c>
      <c r="F18751" s="51">
        <f>IFERROR(VLOOKUP(A18751,Material!$A:$H,3,0),"-")</f>
        <v>5265</v>
      </c>
      <c r="G18751" s="51">
        <f t="shared" ref="G18751:G18752" si="263">IFERROR(ROUNDUP(F18751*E18751,0),"-")</f>
        <v>5265</v>
      </c>
    </row>
    <row r="18752" spans="1:7" x14ac:dyDescent="0.25">
      <c r="A18752" s="17" t="str">
        <f>Material!A142</f>
        <v>MA-141</v>
      </c>
      <c r="B18752" s="72" t="str">
        <f>IFERROR(VLOOKUP(A18752,Material!$A:$H,2,0),"-")</f>
        <v>CAJA RAWELT</v>
      </c>
      <c r="C18752" s="73"/>
      <c r="D18752" s="50" t="str">
        <f>IFERROR(VLOOKUP(A18752,Material!$A:$H,4,0),"-")</f>
        <v>UN</v>
      </c>
      <c r="E18752" s="50">
        <v>1</v>
      </c>
      <c r="F18752" s="51">
        <f>IFERROR(VLOOKUP(A18752,Material!$A:$H,3,0),"-")</f>
        <v>13778.7</v>
      </c>
      <c r="G18752" s="51">
        <f t="shared" si="263"/>
        <v>13779</v>
      </c>
    </row>
    <row r="18753" spans="1:7" x14ac:dyDescent="0.25">
      <c r="A18753" s="17" t="str">
        <f>Material!A240</f>
        <v>MA-239</v>
      </c>
      <c r="B18753" s="72" t="str">
        <f>IFERROR(VLOOKUP(A18753,Material!$A:$H,2,0),"-")</f>
        <v>PRENSA ESTOPA DE 1/2</v>
      </c>
      <c r="C18753" s="73"/>
      <c r="D18753" s="50" t="str">
        <f>IFERROR(VLOOKUP(A18753,Material!$A:$H,4,0),"-")</f>
        <v>UN</v>
      </c>
      <c r="E18753" s="50">
        <v>1</v>
      </c>
      <c r="F18753" s="51">
        <f>IFERROR(VLOOKUP(A18753,Material!$A:$H,3,0),"-")</f>
        <v>3900</v>
      </c>
      <c r="G18753" s="51">
        <f t="shared" ref="G18753" si="264">IFERROR(ROUNDUP(F18753*E18753,0),"-")</f>
        <v>3900</v>
      </c>
    </row>
    <row r="18754" spans="1:7" x14ac:dyDescent="0.25">
      <c r="A18754" s="17" t="str">
        <f>Material!A150</f>
        <v>MA-149</v>
      </c>
      <c r="B18754" s="72" t="str">
        <f>IFERROR(VLOOKUP(A18754,Material!$A:$H,2,0),"-")</f>
        <v>CONECTORES DE RESORTE 18-8AWG</v>
      </c>
      <c r="C18754" s="73"/>
      <c r="D18754" s="50" t="str">
        <f>IFERROR(VLOOKUP(A18754,Material!$A:$H,4,0),"-")</f>
        <v>UN</v>
      </c>
      <c r="E18754" s="50">
        <v>3</v>
      </c>
      <c r="F18754" s="51">
        <f>IFERROR(VLOOKUP(A18754,Material!$A:$H,3,0),"-")</f>
        <v>1560</v>
      </c>
      <c r="G18754" s="51">
        <f t="shared" ref="G18754" si="265">IFERROR(ROUNDUP(F18754*E18754,0),"-")</f>
        <v>4680</v>
      </c>
    </row>
    <row r="18755" spans="1:7" x14ac:dyDescent="0.25">
      <c r="A18755" s="219" t="s">
        <v>41</v>
      </c>
      <c r="B18755" s="219"/>
      <c r="C18755" s="219"/>
      <c r="D18755" s="219"/>
      <c r="E18755" s="219"/>
      <c r="F18755" s="219"/>
      <c r="G18755" s="52">
        <f>SUM(G18749:G18754)</f>
        <v>862224</v>
      </c>
    </row>
    <row r="18756" spans="1:7" x14ac:dyDescent="0.25">
      <c r="A18756" s="56"/>
      <c r="B18756" s="57"/>
      <c r="C18756" s="57"/>
      <c r="D18756" s="57"/>
      <c r="E18756" s="57"/>
      <c r="F18756" s="57"/>
      <c r="G18756" s="58"/>
    </row>
    <row r="18757" spans="1:7" x14ac:dyDescent="0.25">
      <c r="A18757" s="219" t="s">
        <v>42</v>
      </c>
      <c r="B18757" s="219"/>
      <c r="C18757" s="219"/>
      <c r="D18757" s="219"/>
      <c r="E18757" s="219"/>
      <c r="F18757" s="219"/>
      <c r="G18757" s="219"/>
    </row>
    <row r="18758" spans="1:7" x14ac:dyDescent="0.25">
      <c r="A18758" s="49" t="s">
        <v>35</v>
      </c>
      <c r="B18758" s="49" t="s">
        <v>36</v>
      </c>
      <c r="C18758" s="49" t="s">
        <v>38</v>
      </c>
      <c r="D18758" s="49" t="s">
        <v>43</v>
      </c>
      <c r="E18758" s="49" t="s">
        <v>44</v>
      </c>
      <c r="F18758" s="49" t="s">
        <v>45</v>
      </c>
      <c r="G18758" s="49" t="s">
        <v>40</v>
      </c>
    </row>
    <row r="18759" spans="1:7" x14ac:dyDescent="0.25">
      <c r="A18759" s="50" t="s">
        <v>319</v>
      </c>
      <c r="B18759" s="68" t="str">
        <f>VLOOKUP(A18759,'Componentes APUs'!$H$1:$L$25,2,0)</f>
        <v>Ingeniero Residente de Obra</v>
      </c>
      <c r="C18759" s="93">
        <v>0.25</v>
      </c>
      <c r="D18759" s="50">
        <f>VLOOKUP(A18759,'Componentes APUs'!$H$1:$L$25,3,0)</f>
        <v>4</v>
      </c>
      <c r="E18759" s="51">
        <f>VLOOKUP(A18759,'Componentes APUs'!$H$1:$L$25,4,0)</f>
        <v>271142.85714285716</v>
      </c>
      <c r="F18759" s="51">
        <f>VLOOKUP(A18759,'Componentes APUs'!$H$1:$L$25,5,0)</f>
        <v>162685.71428571429</v>
      </c>
      <c r="G18759" s="51">
        <f>ROUNDUP((E18759+F18759)*C18759/E18746,0)</f>
        <v>36153</v>
      </c>
    </row>
    <row r="18760" spans="1:7" x14ac:dyDescent="0.25">
      <c r="A18760" s="50" t="s">
        <v>320</v>
      </c>
      <c r="B18760" s="68" t="str">
        <f>VLOOKUP(A18760,'Componentes APUs'!$H$1:$L$25,2,0)</f>
        <v>Tecnico Supervisor</v>
      </c>
      <c r="C18760" s="93">
        <v>0.25</v>
      </c>
      <c r="D18760" s="50">
        <f>VLOOKUP(A18760,'Componentes APUs'!$H$1:$L$25,3,0)</f>
        <v>2.2999999999999998</v>
      </c>
      <c r="E18760" s="51">
        <f>VLOOKUP(A18760,'Componentes APUs'!$H$1:$L$25,4,0)</f>
        <v>155907.14285714284</v>
      </c>
      <c r="F18760" s="51">
        <f>VLOOKUP(A18760,'Componentes APUs'!$H$1:$L$25,5,0)</f>
        <v>93544.285714285696</v>
      </c>
      <c r="G18760" s="51">
        <f>ROUNDUP((E18760+F18760)*C18760/E18746,0)</f>
        <v>20788</v>
      </c>
    </row>
    <row r="18761" spans="1:7" x14ac:dyDescent="0.25">
      <c r="A18761" s="50" t="s">
        <v>1160</v>
      </c>
      <c r="B18761" s="68" t="str">
        <f>VLOOKUP(A18761,'Componentes APUs'!$H$1:$L$25,2,0)</f>
        <v>Oficial Eléctrico</v>
      </c>
      <c r="C18761" s="93">
        <v>1</v>
      </c>
      <c r="D18761" s="50">
        <f>VLOOKUP(A18761,'Componentes APUs'!$H$1:$L$25,3,0)</f>
        <v>2</v>
      </c>
      <c r="E18761" s="51">
        <f>VLOOKUP(A18761,'Componentes APUs'!$H$1:$L$25,4,0)</f>
        <v>154619.04761904763</v>
      </c>
      <c r="F18761" s="51">
        <f>VLOOKUP(A18761,'Componentes APUs'!$H$1:$L$25,5,0)</f>
        <v>92771.42857142858</v>
      </c>
      <c r="G18761" s="51">
        <f>ROUNDUP((E18761+F18761)*C18761/E18746,0)</f>
        <v>82464</v>
      </c>
    </row>
    <row r="18762" spans="1:7" x14ac:dyDescent="0.25">
      <c r="A18762" s="50" t="s">
        <v>48</v>
      </c>
      <c r="B18762" s="68" t="str">
        <f>VLOOKUP(A18762,'Componentes APUs'!$H$1:$L$25,2,0)</f>
        <v>Ayudante Calificado</v>
      </c>
      <c r="C18762" s="93">
        <v>1</v>
      </c>
      <c r="D18762" s="50">
        <f>VLOOKUP(A18762,'Componentes APUs'!$H$1:$L$25,3,0)</f>
        <v>1.5</v>
      </c>
      <c r="E18762" s="51">
        <f>VLOOKUP(A18762,'Componentes APUs'!$H$1:$L$25,4,0)</f>
        <v>115964.28571428571</v>
      </c>
      <c r="F18762" s="51">
        <f>VLOOKUP(A18762,'Componentes APUs'!$H$1:$L$25,5,0)</f>
        <v>69578.57142857142</v>
      </c>
      <c r="G18762" s="51">
        <f>ROUNDUP((E18762+F18762)*C18762/E18746,0)</f>
        <v>61848</v>
      </c>
    </row>
    <row r="18763" spans="1:7" x14ac:dyDescent="0.25">
      <c r="A18763" s="50" t="s">
        <v>50</v>
      </c>
      <c r="B18763" s="68" t="str">
        <f>VLOOKUP(A18763,'Componentes APUs'!$H$1:$L$25,2,0)</f>
        <v>Profesional en SST</v>
      </c>
      <c r="C18763" s="93">
        <v>0.25</v>
      </c>
      <c r="D18763" s="50">
        <f>VLOOKUP(A18763,'Componentes APUs'!$H$1:$L$25,3,0)</f>
        <v>2.5</v>
      </c>
      <c r="E18763" s="51">
        <f>VLOOKUP(A18763,'Componentes APUs'!$H$1:$L$25,4,0)</f>
        <v>169464.28571428571</v>
      </c>
      <c r="F18763" s="51">
        <f>VLOOKUP(A18763,'Componentes APUs'!$H$1:$L$25,5,0)</f>
        <v>101678.57142857142</v>
      </c>
      <c r="G18763" s="51">
        <f>ROUNDUP((E18763+F18763)*C18763/E18746,0)</f>
        <v>22596</v>
      </c>
    </row>
    <row r="18764" spans="1:7" x14ac:dyDescent="0.25">
      <c r="A18764" s="50" t="s">
        <v>52</v>
      </c>
      <c r="B18764" s="68" t="str">
        <f>VLOOKUP(A18764,'Componentes APUs'!$H$1:$L$25,2,0)</f>
        <v>Ayudante No Calificado</v>
      </c>
      <c r="C18764" s="93">
        <v>0</v>
      </c>
      <c r="D18764" s="50">
        <f>VLOOKUP(A18764,'Componentes APUs'!$H$1:$L$25,3,0)</f>
        <v>1</v>
      </c>
      <c r="E18764" s="51">
        <f>VLOOKUP(A18764,'Componentes APUs'!$H$1:$L$25,4,0)</f>
        <v>77309.523809523816</v>
      </c>
      <c r="F18764" s="51">
        <f>VLOOKUP(A18764,'Componentes APUs'!$H$1:$L$25,5,0)</f>
        <v>46385.71428571429</v>
      </c>
      <c r="G18764" s="51">
        <f>ROUNDUP((E18764+F18764)*C18764/E18746,0)</f>
        <v>0</v>
      </c>
    </row>
    <row r="18765" spans="1:7" x14ac:dyDescent="0.25">
      <c r="A18765" s="219" t="s">
        <v>56</v>
      </c>
      <c r="B18765" s="219"/>
      <c r="C18765" s="219"/>
      <c r="D18765" s="219"/>
      <c r="E18765" s="219"/>
      <c r="F18765" s="219"/>
      <c r="G18765" s="52">
        <f>SUM(G18759:G18764)</f>
        <v>223849</v>
      </c>
    </row>
    <row r="18766" spans="1:7" x14ac:dyDescent="0.25">
      <c r="A18766" s="56"/>
      <c r="B18766" s="57"/>
      <c r="C18766" s="57"/>
      <c r="D18766" s="57"/>
      <c r="E18766" s="57"/>
      <c r="F18766" s="57"/>
      <c r="G18766" s="58"/>
    </row>
    <row r="18767" spans="1:7" x14ac:dyDescent="0.25">
      <c r="A18767" s="219" t="s">
        <v>57</v>
      </c>
      <c r="B18767" s="219"/>
      <c r="C18767" s="219"/>
      <c r="D18767" s="219"/>
      <c r="E18767" s="219"/>
      <c r="F18767" s="219"/>
      <c r="G18767" s="219"/>
    </row>
    <row r="18768" spans="1:7" x14ac:dyDescent="0.25">
      <c r="A18768" s="49" t="s">
        <v>35</v>
      </c>
      <c r="B18768" s="219" t="s">
        <v>36</v>
      </c>
      <c r="C18768" s="219"/>
      <c r="D18768" s="49" t="s">
        <v>37</v>
      </c>
      <c r="E18768" s="49" t="s">
        <v>38</v>
      </c>
      <c r="F18768" s="49" t="s">
        <v>39</v>
      </c>
      <c r="G18768" s="49" t="s">
        <v>40</v>
      </c>
    </row>
    <row r="18769" spans="1:7" x14ac:dyDescent="0.25">
      <c r="A18769" s="50" t="s">
        <v>326</v>
      </c>
      <c r="B18769" s="220" t="str">
        <f>VLOOKUP(A18769,'Componentes APUs'!$S$1:$V$10,2,0)</f>
        <v>Juego Llaves</v>
      </c>
      <c r="C18769" s="220"/>
      <c r="D18769" s="50" t="s">
        <v>18</v>
      </c>
      <c r="E18769" s="50">
        <v>2</v>
      </c>
      <c r="F18769" s="51">
        <f>VLOOKUP(A18769,'Componentes APUs'!$S$1:$V$10,4,0)</f>
        <v>9167</v>
      </c>
      <c r="G18769" s="51">
        <f>ROUNDUP(F18769*((E18769/21)/E18746),0)</f>
        <v>292</v>
      </c>
    </row>
    <row r="18770" spans="1:7" x14ac:dyDescent="0.25">
      <c r="A18770" s="50" t="s">
        <v>58</v>
      </c>
      <c r="B18770" s="220" t="str">
        <f>VLOOKUP(A18770,'Componentes APUs'!$S$1:$V$10,2,0)</f>
        <v>Manila de servicio</v>
      </c>
      <c r="C18770" s="220"/>
      <c r="D18770" s="50" t="s">
        <v>18</v>
      </c>
      <c r="E18770" s="50">
        <v>0</v>
      </c>
      <c r="F18770" s="51">
        <f>VLOOKUP(A18770,'Componentes APUs'!$S$1:$V$10,4,0)</f>
        <v>2333</v>
      </c>
      <c r="G18770" s="51">
        <f>ROUNDUP(F18770*((E18770/21)/E18746),0)</f>
        <v>0</v>
      </c>
    </row>
    <row r="18771" spans="1:7" x14ac:dyDescent="0.25">
      <c r="A18771" s="50" t="s">
        <v>327</v>
      </c>
      <c r="B18771" s="220" t="str">
        <f>VLOOKUP(A18771,'Componentes APUs'!$S$1:$V$10,2,0)</f>
        <v>Tula portaherramientas</v>
      </c>
      <c r="C18771" s="220"/>
      <c r="D18771" s="50" t="s">
        <v>18</v>
      </c>
      <c r="E18771" s="50">
        <v>2</v>
      </c>
      <c r="F18771" s="51">
        <f>VLOOKUP(A18771,'Componentes APUs'!$S$1:$V$10,4,0)</f>
        <v>1250</v>
      </c>
      <c r="G18771" s="51">
        <f>ROUNDUP(F18771*((E18771/21)/E18746),0)</f>
        <v>40</v>
      </c>
    </row>
    <row r="18772" spans="1:7" x14ac:dyDescent="0.25">
      <c r="A18772" s="50" t="s">
        <v>60</v>
      </c>
      <c r="B18772" s="220" t="str">
        <f>VLOOKUP(A18772,'Componentes APUs'!$S$1:$V$10,2,0)</f>
        <v>Agarradoras</v>
      </c>
      <c r="C18772" s="220"/>
      <c r="D18772" s="50" t="s">
        <v>18</v>
      </c>
      <c r="E18772" s="50">
        <v>0</v>
      </c>
      <c r="F18772" s="51">
        <f>VLOOKUP(A18772,'Componentes APUs'!$S$1:$V$10,4,0)</f>
        <v>125000</v>
      </c>
      <c r="G18772" s="51">
        <f>ROUNDUP(F18772*((E18772/21)/E18746),0)</f>
        <v>0</v>
      </c>
    </row>
    <row r="18773" spans="1:7" x14ac:dyDescent="0.25">
      <c r="A18773" s="50" t="s">
        <v>62</v>
      </c>
      <c r="B18773" s="220" t="str">
        <f>VLOOKUP(A18773,'Componentes APUs'!$S$1:$V$10,2,0)</f>
        <v>Templadoras</v>
      </c>
      <c r="C18773" s="220"/>
      <c r="D18773" s="50" t="s">
        <v>18</v>
      </c>
      <c r="E18773" s="50">
        <v>0</v>
      </c>
      <c r="F18773" s="51">
        <f>VLOOKUP(A18773,'Componentes APUs'!$S$1:$V$10,4,0)</f>
        <v>250000</v>
      </c>
      <c r="G18773" s="51">
        <f>ROUNDUP(F18773*((E18773/21)/E18746),0)</f>
        <v>0</v>
      </c>
    </row>
    <row r="18774" spans="1:7" x14ac:dyDescent="0.25">
      <c r="A18774" s="50" t="s">
        <v>328</v>
      </c>
      <c r="B18774" s="220" t="str">
        <f>VLOOKUP(A18774,'Componentes APUs'!$S$1:$V$10,2,0)</f>
        <v>Herramienta Menor</v>
      </c>
      <c r="C18774" s="220"/>
      <c r="D18774" s="50" t="s">
        <v>18</v>
      </c>
      <c r="E18774" s="50">
        <v>2</v>
      </c>
      <c r="F18774" s="51">
        <f>VLOOKUP(A18774,'Componentes APUs'!$S$1:$V$10,4,0)</f>
        <v>75758</v>
      </c>
      <c r="G18774" s="51">
        <f>ROUNDUP(F18774*((E18774/21)/E18746),0)</f>
        <v>2406</v>
      </c>
    </row>
    <row r="18775" spans="1:7" x14ac:dyDescent="0.25">
      <c r="A18775" s="219" t="s">
        <v>69</v>
      </c>
      <c r="B18775" s="219"/>
      <c r="C18775" s="219"/>
      <c r="D18775" s="219"/>
      <c r="E18775" s="219"/>
      <c r="F18775" s="219"/>
      <c r="G18775" s="52">
        <f>SUM(G18769:G18774)</f>
        <v>2738</v>
      </c>
    </row>
    <row r="18776" spans="1:7" x14ac:dyDescent="0.25">
      <c r="A18776" s="56"/>
      <c r="B18776" s="57"/>
      <c r="C18776" s="57"/>
      <c r="D18776" s="57"/>
      <c r="E18776" s="57"/>
      <c r="F18776" s="57"/>
      <c r="G18776" s="58"/>
    </row>
    <row r="18777" spans="1:7" x14ac:dyDescent="0.25">
      <c r="A18777" s="219" t="s">
        <v>70</v>
      </c>
      <c r="B18777" s="219"/>
      <c r="C18777" s="219"/>
      <c r="D18777" s="219"/>
      <c r="E18777" s="219"/>
      <c r="F18777" s="219"/>
      <c r="G18777" s="219"/>
    </row>
    <row r="18778" spans="1:7" x14ac:dyDescent="0.25">
      <c r="A18778" s="49" t="s">
        <v>35</v>
      </c>
      <c r="B18778" s="219" t="s">
        <v>36</v>
      </c>
      <c r="C18778" s="219"/>
      <c r="D18778" s="49" t="s">
        <v>37</v>
      </c>
      <c r="E18778" s="49" t="s">
        <v>38</v>
      </c>
      <c r="F18778" s="49" t="s">
        <v>39</v>
      </c>
      <c r="G18778" s="49" t="s">
        <v>40</v>
      </c>
    </row>
    <row r="18779" spans="1:7" x14ac:dyDescent="0.25">
      <c r="A18779" s="50" t="s">
        <v>71</v>
      </c>
      <c r="B18779" s="71" t="str">
        <f>VLOOKUP(A18779,'Componentes APUs'!$A$1:$D$14,2,0)</f>
        <v>Camisa indigo sin partes metalicas</v>
      </c>
      <c r="C18779" s="71"/>
      <c r="D18779" s="50" t="str">
        <f>VLOOKUP(A18779,'Componentes APUs'!$A$1:$D$14,3,0)</f>
        <v>U</v>
      </c>
      <c r="E18779" s="50">
        <f>SUM(C18759:C18764)</f>
        <v>2.75</v>
      </c>
      <c r="F18779" s="51">
        <f>VLOOKUP(A18779,'Componentes APUs'!$A$1:$D$14,4,0)</f>
        <v>8585.8585858585866</v>
      </c>
      <c r="G18779" s="51">
        <f>ROUNDUP(F18779*(E18779/21)/E18746,0)</f>
        <v>375</v>
      </c>
    </row>
    <row r="18780" spans="1:7" x14ac:dyDescent="0.25">
      <c r="A18780" s="69" t="s">
        <v>73</v>
      </c>
      <c r="B18780" s="72" t="str">
        <f>VLOOKUP(A18780,'Componentes APUs'!$A$1:$D$14,2,0)</f>
        <v>Bota de seguridad dielectrica</v>
      </c>
      <c r="C18780" s="73"/>
      <c r="D18780" s="70" t="str">
        <f>VLOOKUP(A18780,'Componentes APUs'!$A$1:$D$14,3,0)</f>
        <v>Par</v>
      </c>
      <c r="E18780" s="50">
        <f>SUM(C18759:C18764)</f>
        <v>2.75</v>
      </c>
      <c r="F18780" s="51">
        <f>VLOOKUP(A18780,'Componentes APUs'!$A$1:$D$14,4,0)</f>
        <v>7500</v>
      </c>
      <c r="G18780" s="51">
        <f>ROUNDUP(F18780*(E18780/21)/E18746,0)</f>
        <v>328</v>
      </c>
    </row>
    <row r="18781" spans="1:7" x14ac:dyDescent="0.25">
      <c r="A18781" s="50" t="s">
        <v>76</v>
      </c>
      <c r="B18781" s="72" t="str">
        <f>VLOOKUP(A18781,'Componentes APUs'!$A$1:$D$14,2,0)</f>
        <v>Casco dielectrico Tipo 1 Clase E con barbuquejo</v>
      </c>
      <c r="C18781" s="73"/>
      <c r="D18781" s="50" t="str">
        <f>VLOOKUP(A18781,'Componentes APUs'!$A$1:$D$14,3,0)</f>
        <v>U</v>
      </c>
      <c r="E18781" s="50">
        <f>C18764+C18759+C18762+C18763+C18760+IF(A18761&lt;&gt;"MO-3",C18761,0)</f>
        <v>2.75</v>
      </c>
      <c r="F18781" s="51">
        <f>VLOOKUP(A18781,'Componentes APUs'!$A$1:$D$14,4,0)</f>
        <v>10101.010101010101</v>
      </c>
      <c r="G18781" s="51">
        <f>ROUNDUP(F18781*(E18781/21)/E18746,0)</f>
        <v>441</v>
      </c>
    </row>
    <row r="18782" spans="1:7" x14ac:dyDescent="0.25">
      <c r="A18782" s="69" t="s">
        <v>77</v>
      </c>
      <c r="B18782" s="72" t="str">
        <f>VLOOKUP(A18782,'Componentes APUs'!$A$1:$D$14,2,0)</f>
        <v>Correa plastica y antiflama</v>
      </c>
      <c r="C18782" s="73"/>
      <c r="D18782" s="50" t="str">
        <f>VLOOKUP(A18782,'Componentes APUs'!$A$1:$D$14,3,0)</f>
        <v>U</v>
      </c>
      <c r="E18782" s="50">
        <f>SUM(C18759:C18764)</f>
        <v>2.75</v>
      </c>
      <c r="F18782" s="51">
        <f>VLOOKUP(A18782,'Componentes APUs'!$A$1:$D$14,4,0)</f>
        <v>3787.878787878788</v>
      </c>
      <c r="G18782" s="51">
        <f>ROUNDUP(F18782*(E18782/21)/E18746,0)</f>
        <v>166</v>
      </c>
    </row>
    <row r="18783" spans="1:7" x14ac:dyDescent="0.25">
      <c r="A18783" s="50" t="s">
        <v>79</v>
      </c>
      <c r="B18783" s="72" t="str">
        <f>VLOOKUP(A18783,'Componentes APUs'!$A$1:$D$14,2,0)</f>
        <v>Gafas protectoras filtro UV</v>
      </c>
      <c r="C18783" s="73"/>
      <c r="D18783" s="50" t="str">
        <f>VLOOKUP(A18783,'Componentes APUs'!$A$1:$D$14,3,0)</f>
        <v>U</v>
      </c>
      <c r="E18783" s="50">
        <f>SUM(C18759:C18764)</f>
        <v>2.75</v>
      </c>
      <c r="F18783" s="51">
        <f>VLOOKUP(A18783,'Componentes APUs'!$A$1:$D$14,4,0)</f>
        <v>2777.7777777777778</v>
      </c>
      <c r="G18783" s="51">
        <f>ROUNDUP(F18783*(E18783/21)/E18746,0)</f>
        <v>122</v>
      </c>
    </row>
    <row r="18784" spans="1:7" x14ac:dyDescent="0.25">
      <c r="A18784" s="69" t="s">
        <v>402</v>
      </c>
      <c r="B18784" s="72" t="str">
        <f>VLOOKUP(A18784,'Componentes APUs'!$A$1:$D$14,2,0)</f>
        <v>Bota de seguridad PVC dielectrica</v>
      </c>
      <c r="C18784" s="73"/>
      <c r="D18784" s="50" t="str">
        <f>VLOOKUP(A18784,'Componentes APUs'!$A$1:$D$14,3,0)</f>
        <v>Par</v>
      </c>
      <c r="E18784" s="50">
        <f>SUM(C18759:C18764)</f>
        <v>2.75</v>
      </c>
      <c r="F18784" s="51">
        <f>VLOOKUP(A18784,'Componentes APUs'!$A$1:$D$14,4,0)</f>
        <v>2916.6666666666665</v>
      </c>
      <c r="G18784" s="51">
        <f>ROUNDUP(F18784*(E18784/21)/E18746,0)</f>
        <v>128</v>
      </c>
    </row>
    <row r="18785" spans="1:7" x14ac:dyDescent="0.25">
      <c r="A18785" s="50" t="s">
        <v>403</v>
      </c>
      <c r="B18785" s="72" t="str">
        <f>VLOOKUP(A18785,'Componentes APUs'!$A$1:$D$14,2,0)</f>
        <v>Capuchon</v>
      </c>
      <c r="C18785" s="73"/>
      <c r="D18785" s="50" t="str">
        <f>VLOOKUP(A18785,'Componentes APUs'!$A$1:$D$14,3,0)</f>
        <v>U</v>
      </c>
      <c r="E18785" s="50">
        <f>SUM(C18759:C18764)</f>
        <v>2.75</v>
      </c>
      <c r="F18785" s="51">
        <f>VLOOKUP(A18785,'Componentes APUs'!$A$1:$D$14,4,0)</f>
        <v>2525.2525252525252</v>
      </c>
      <c r="G18785" s="51">
        <f>ROUNDUP(F18785*(E18785/21)/E18746,0)</f>
        <v>111</v>
      </c>
    </row>
    <row r="18786" spans="1:7" x14ac:dyDescent="0.25">
      <c r="A18786" s="69" t="s">
        <v>81</v>
      </c>
      <c r="B18786" s="72" t="str">
        <f>VLOOKUP(A18786,'Componentes APUs'!$A$1:$D$14,2,0)</f>
        <v>Guantes Protectores  - ingeniero reforzados</v>
      </c>
      <c r="C18786" s="73"/>
      <c r="D18786" s="50" t="str">
        <f>VLOOKUP(A18786,'Componentes APUs'!$A$1:$D$14,3,0)</f>
        <v>Par</v>
      </c>
      <c r="E18786" s="50">
        <f>C18761+C18762+C18764</f>
        <v>2</v>
      </c>
      <c r="F18786" s="51">
        <f>VLOOKUP(A18786,'Componentes APUs'!$A$1:$D$14,4,0)</f>
        <v>2525.2525252525252</v>
      </c>
      <c r="G18786" s="51">
        <f>ROUNDUP(F18786*(E18786/21)/E18746,0)</f>
        <v>81</v>
      </c>
    </row>
    <row r="18787" spans="1:7" x14ac:dyDescent="0.25">
      <c r="A18787" s="50" t="s">
        <v>83</v>
      </c>
      <c r="B18787" s="72" t="str">
        <f>VLOOKUP(A18787,'Componentes APUs'!$A$1:$D$14,2,0)</f>
        <v>Impermeable (pantalon camisa)</v>
      </c>
      <c r="C18787" s="73"/>
      <c r="D18787" s="50" t="str">
        <f>VLOOKUP(A18787,'Componentes APUs'!$A$1:$D$14,3,0)</f>
        <v>U</v>
      </c>
      <c r="E18787" s="50">
        <f>SUM(C18759:C18764)</f>
        <v>2.75</v>
      </c>
      <c r="F18787" s="51">
        <f>VLOOKUP(A18787,'Componentes APUs'!$A$1:$D$14,4,0)</f>
        <v>3750</v>
      </c>
      <c r="G18787" s="51">
        <f>ROUNDUP(F18787*(E18787/21)/E18746,0)</f>
        <v>164</v>
      </c>
    </row>
    <row r="18788" spans="1:7" x14ac:dyDescent="0.25">
      <c r="A18788" s="69" t="s">
        <v>85</v>
      </c>
      <c r="B18788" s="72" t="str">
        <f>VLOOKUP(A18788,'Componentes APUs'!$A$1:$D$14,2,0)</f>
        <v>Jean Dielectrico</v>
      </c>
      <c r="C18788" s="73"/>
      <c r="D18788" s="50" t="str">
        <f>VLOOKUP(A18788,'Componentes APUs'!$A$1:$D$14,3,0)</f>
        <v>U</v>
      </c>
      <c r="E18788" s="50">
        <f>SUM(C18759:C18764)</f>
        <v>2.75</v>
      </c>
      <c r="F18788" s="51">
        <f>VLOOKUP(A18788,'Componentes APUs'!$A$1:$D$14,4,0)</f>
        <v>7575.757575757576</v>
      </c>
      <c r="G18788" s="51">
        <f>ROUNDUP(F18788*(E18788/21)/E18746,0)</f>
        <v>331</v>
      </c>
    </row>
    <row r="18789" spans="1:7" x14ac:dyDescent="0.25">
      <c r="A18789" s="50" t="s">
        <v>87</v>
      </c>
      <c r="B18789" s="72" t="str">
        <f>VLOOKUP(A18789,'Componentes APUs'!$A$1:$D$14,2,0)</f>
        <v>Casco dielectrico Tipo 2 Clase E con barboquejo</v>
      </c>
      <c r="C18789" s="73"/>
      <c r="D18789" s="50" t="str">
        <f>VLOOKUP(A18789,'Componentes APUs'!$A$1:$D$14,3,0)</f>
        <v>U</v>
      </c>
      <c r="E18789" s="53">
        <f>IF(A18761="MO-3",C18761,0)</f>
        <v>0</v>
      </c>
      <c r="F18789" s="51">
        <f>VLOOKUP(A18789,'Componentes APUs'!$A$1:$D$14,4,0)</f>
        <v>7500</v>
      </c>
      <c r="G18789" s="51">
        <f>ROUNDUP(F18789*(E18789/21)/E18746,0)</f>
        <v>0</v>
      </c>
    </row>
    <row r="18790" spans="1:7" x14ac:dyDescent="0.25">
      <c r="A18790" s="69" t="s">
        <v>89</v>
      </c>
      <c r="B18790" s="72" t="str">
        <f>VLOOKUP(A18790,'Componentes APUs'!$A$1:$D$14,2,0)</f>
        <v>Kit de rescate para trabajo en alturas</v>
      </c>
      <c r="C18790" s="73"/>
      <c r="D18790" s="50" t="str">
        <f>VLOOKUP(A18790,'Componentes APUs'!$A$1:$D$14,3,0)</f>
        <v>U</v>
      </c>
      <c r="E18790" s="50">
        <f>IF(AND(A18761="MO-3",C18761=2),1,0)</f>
        <v>0</v>
      </c>
      <c r="F18790" s="51">
        <f>VLOOKUP(A18790,'Componentes APUs'!$A$1:$D$14,4,0)</f>
        <v>37500</v>
      </c>
      <c r="G18790" s="51">
        <f>ROUNDUP(F18790*(E18790/21)/E18746,0)</f>
        <v>0</v>
      </c>
    </row>
    <row r="18791" spans="1:7" x14ac:dyDescent="0.25">
      <c r="A18791" s="50" t="s">
        <v>91</v>
      </c>
      <c r="B18791" s="72" t="str">
        <f>VLOOKUP(A18791,'Componentes APUs'!$A$1:$D$14,2,0)</f>
        <v>Equipo completo para trabajo en alturas con pretales (Arnes dielectrico, 1 mosqueton de seguridad, tie off dielectrico, eslinga de posicionamiento, juego de pretales)</v>
      </c>
      <c r="C18791" s="73"/>
      <c r="D18791" s="50" t="str">
        <f>VLOOKUP(A18791,'Componentes APUs'!$A$1:$D$14,3,0)</f>
        <v>U</v>
      </c>
      <c r="E18791" s="50">
        <f>IF(A18761="MO-3",C18761,0)</f>
        <v>0</v>
      </c>
      <c r="F18791" s="51">
        <f>VLOOKUP(A18791,'Componentes APUs'!$A$1:$D$14,4,0)</f>
        <v>26041.666666666668</v>
      </c>
      <c r="G18791" s="51">
        <f>ROUNDUP(F18791*(E18791/21)/E18746,0)</f>
        <v>0</v>
      </c>
    </row>
    <row r="18792" spans="1:7" x14ac:dyDescent="0.25">
      <c r="A18792" s="219" t="s">
        <v>95</v>
      </c>
      <c r="B18792" s="219"/>
      <c r="C18792" s="219"/>
      <c r="D18792" s="219"/>
      <c r="E18792" s="219"/>
      <c r="F18792" s="219"/>
      <c r="G18792" s="52">
        <f>SUM(G18779:G18791)</f>
        <v>2247</v>
      </c>
    </row>
    <row r="18793" spans="1:7" x14ac:dyDescent="0.25">
      <c r="A18793" s="56"/>
      <c r="B18793" s="57"/>
      <c r="C18793" s="57"/>
      <c r="D18793" s="57"/>
      <c r="E18793" s="57"/>
      <c r="F18793" s="57"/>
      <c r="G18793" s="58"/>
    </row>
    <row r="18794" spans="1:7" x14ac:dyDescent="0.25">
      <c r="A18794" s="219" t="s">
        <v>96</v>
      </c>
      <c r="B18794" s="219"/>
      <c r="C18794" s="219"/>
      <c r="D18794" s="219"/>
      <c r="E18794" s="219"/>
      <c r="F18794" s="219"/>
      <c r="G18794" s="219"/>
    </row>
    <row r="18795" spans="1:7" x14ac:dyDescent="0.25">
      <c r="A18795" s="49" t="s">
        <v>35</v>
      </c>
      <c r="B18795" s="225" t="s">
        <v>36</v>
      </c>
      <c r="C18795" s="225"/>
      <c r="D18795" s="49" t="s">
        <v>37</v>
      </c>
      <c r="E18795" s="49" t="s">
        <v>38</v>
      </c>
      <c r="F18795" s="49" t="s">
        <v>39</v>
      </c>
      <c r="G18795" s="49" t="s">
        <v>40</v>
      </c>
    </row>
    <row r="18796" spans="1:7" x14ac:dyDescent="0.25">
      <c r="A18796" s="69" t="s">
        <v>97</v>
      </c>
      <c r="B18796" s="72" t="str">
        <f>VLOOKUP(A18796,'Componentes APUs'!$N$1:$Q$30,2,0)</f>
        <v>Camioneta</v>
      </c>
      <c r="C18796" s="73"/>
      <c r="D18796" s="70" t="str">
        <f>VLOOKUP(A18796,'Componentes APUs'!$N$1:$Q$30,3,0)</f>
        <v>U</v>
      </c>
      <c r="E18796" s="50">
        <v>1</v>
      </c>
      <c r="F18796" s="51">
        <f>VLOOKUP(A18796,'Componentes APUs'!$N$1:$Q$30,4,0)</f>
        <v>5500000</v>
      </c>
      <c r="G18796" s="51">
        <f>IFERROR(ROUNDUP(F18796*(E18796/21)/E18746,0),0)</f>
        <v>87302</v>
      </c>
    </row>
    <row r="18797" spans="1:7" x14ac:dyDescent="0.25">
      <c r="A18797" s="50" t="s">
        <v>321</v>
      </c>
      <c r="B18797" s="72" t="str">
        <f>VLOOKUP(A18797,'Componentes APUs'!$N$1:$Q$30,2,0)</f>
        <v>Grúa Hidráulica</v>
      </c>
      <c r="C18797" s="73"/>
      <c r="D18797" s="70" t="str">
        <f>VLOOKUP(A18797,'Componentes APUs'!$N$1:$Q$30,3,0)</f>
        <v>U</v>
      </c>
      <c r="E18797" s="50">
        <v>0</v>
      </c>
      <c r="F18797" s="51">
        <f>VLOOKUP(A18797,'Componentes APUs'!$N$1:$Q$30,4,0)</f>
        <v>21000000</v>
      </c>
      <c r="G18797" s="51">
        <f>IFERROR(ROUNDUP(F18797*(E18797/21)/E18746,0),0)</f>
        <v>0</v>
      </c>
    </row>
    <row r="18798" spans="1:7" x14ac:dyDescent="0.25">
      <c r="A18798" s="69" t="s">
        <v>322</v>
      </c>
      <c r="B18798" s="72" t="str">
        <f>VLOOKUP(A18798,'Componentes APUs'!$N$1:$Q$30,2,0)</f>
        <v>Camabaja</v>
      </c>
      <c r="C18798" s="73"/>
      <c r="D18798" s="70" t="str">
        <f>VLOOKUP(A18798,'Componentes APUs'!$N$1:$Q$30,3,0)</f>
        <v>TON/KM</v>
      </c>
      <c r="E18798" s="50">
        <v>0</v>
      </c>
      <c r="F18798" s="51">
        <f>VLOOKUP(A18798,'Componentes APUs'!$N$1:$Q$30,4,0)</f>
        <v>611</v>
      </c>
      <c r="G18798" s="51">
        <f>IFERROR(ROUNDUP(F18798*(E18798/21)/E18746,0),0)</f>
        <v>0</v>
      </c>
    </row>
    <row r="18799" spans="1:7" x14ac:dyDescent="0.25">
      <c r="A18799" s="50" t="s">
        <v>323</v>
      </c>
      <c r="B18799" s="72" t="str">
        <f>VLOOKUP(A18799,'Componentes APUs'!$N$1:$Q$30,2,0)</f>
        <v>Volqueta</v>
      </c>
      <c r="C18799" s="73"/>
      <c r="D18799" s="70" t="str">
        <f>VLOOKUP(A18799,'Componentes APUs'!$N$1:$Q$30,3,0)</f>
        <v>U</v>
      </c>
      <c r="E18799" s="50">
        <v>0</v>
      </c>
      <c r="F18799" s="51">
        <f>VLOOKUP(A18799,'Componentes APUs'!$N$1:$Q$30,4,0)</f>
        <v>14828184</v>
      </c>
      <c r="G18799" s="51">
        <f>IFERROR(ROUNDUP(F18799*(E18799/21)/E18746,0),0)</f>
        <v>0</v>
      </c>
    </row>
    <row r="18800" spans="1:7" x14ac:dyDescent="0.25">
      <c r="A18800" s="69" t="s">
        <v>324</v>
      </c>
      <c r="B18800" s="72" t="str">
        <f>VLOOKUP(A18800,'Componentes APUs'!$N$1:$Q$30,2,0)</f>
        <v>Retroexcavadora</v>
      </c>
      <c r="C18800" s="73"/>
      <c r="D18800" s="70" t="str">
        <f>VLOOKUP(A18800,'Componentes APUs'!$N$1:$Q$30,3,0)</f>
        <v>U</v>
      </c>
      <c r="E18800" s="50">
        <v>0</v>
      </c>
      <c r="F18800" s="51">
        <f>VLOOKUP(A18800,'Componentes APUs'!$N$1:$Q$30,4,0)</f>
        <v>46030656</v>
      </c>
      <c r="G18800" s="51">
        <f>IFERROR(ROUNDUP(F18800*(E18800/21)/E18746,0),0)</f>
        <v>0</v>
      </c>
    </row>
    <row r="18801" spans="1:7" x14ac:dyDescent="0.25">
      <c r="A18801" s="219" t="s">
        <v>99</v>
      </c>
      <c r="B18801" s="219"/>
      <c r="C18801" s="219"/>
      <c r="D18801" s="219"/>
      <c r="E18801" s="219"/>
      <c r="F18801" s="219"/>
      <c r="G18801" s="52">
        <f>SUM(G18796:G18800)</f>
        <v>87302</v>
      </c>
    </row>
    <row r="18802" spans="1:7" x14ac:dyDescent="0.25">
      <c r="A18802" s="56"/>
      <c r="B18802" s="57"/>
      <c r="C18802" s="57"/>
      <c r="D18802" s="57"/>
      <c r="E18802" s="57"/>
      <c r="F18802" s="57"/>
      <c r="G18802" s="58"/>
    </row>
    <row r="18803" spans="1:7" x14ac:dyDescent="0.25">
      <c r="A18803" s="219" t="s">
        <v>1516</v>
      </c>
      <c r="B18803" s="219"/>
      <c r="C18803" s="219"/>
      <c r="D18803" s="219"/>
      <c r="E18803" s="219"/>
      <c r="F18803" s="219"/>
      <c r="G18803" s="52">
        <f>G18801+G18792+G18775+G18765+G18755</f>
        <v>1178360</v>
      </c>
    </row>
    <row r="18804" spans="1:7" x14ac:dyDescent="0.25">
      <c r="A18804" s="59"/>
      <c r="B18804" s="60"/>
      <c r="C18804" s="60"/>
      <c r="D18804" s="60"/>
      <c r="E18804" s="57"/>
      <c r="F18804" s="57"/>
      <c r="G18804" s="58"/>
    </row>
    <row r="18805" spans="1:7" x14ac:dyDescent="0.25">
      <c r="A18805" s="64"/>
      <c r="D18805" s="55"/>
      <c r="E18805" s="49" t="s">
        <v>25</v>
      </c>
      <c r="F18805" s="54">
        <v>0.15</v>
      </c>
      <c r="G18805" s="51">
        <f>G18803*F18805</f>
        <v>176754</v>
      </c>
    </row>
    <row r="18806" spans="1:7" x14ac:dyDescent="0.25">
      <c r="A18806" s="64"/>
      <c r="D18806" s="55"/>
      <c r="E18806" s="49" t="s">
        <v>26</v>
      </c>
      <c r="F18806" s="54">
        <v>0.05</v>
      </c>
      <c r="G18806" s="51">
        <f>G18803*F18806</f>
        <v>58918</v>
      </c>
    </row>
    <row r="18807" spans="1:7" x14ac:dyDescent="0.25">
      <c r="A18807" s="61"/>
      <c r="B18807" s="65"/>
      <c r="C18807" s="65"/>
      <c r="D18807" s="62"/>
      <c r="E18807" s="49" t="s">
        <v>27</v>
      </c>
      <c r="F18807" s="54">
        <v>0.05</v>
      </c>
      <c r="G18807" s="51">
        <f>G18803*F18807</f>
        <v>58918</v>
      </c>
    </row>
    <row r="18808" spans="1:7" x14ac:dyDescent="0.25">
      <c r="A18808" s="61"/>
      <c r="B18808" s="62"/>
      <c r="C18808" s="62"/>
      <c r="D18808" s="62"/>
      <c r="E18808" s="62"/>
      <c r="F18808" s="62"/>
      <c r="G18808" s="63"/>
    </row>
    <row r="18809" spans="1:7" x14ac:dyDescent="0.25">
      <c r="A18809" s="219" t="s">
        <v>1517</v>
      </c>
      <c r="B18809" s="219"/>
      <c r="C18809" s="219"/>
      <c r="D18809" s="219"/>
      <c r="E18809" s="219"/>
      <c r="F18809" s="219"/>
      <c r="G18809" s="52">
        <f>G18803+G18805+G18806+G18807</f>
        <v>1472950</v>
      </c>
    </row>
    <row r="18810" spans="1:7" x14ac:dyDescent="0.25">
      <c r="A18810" s="59"/>
      <c r="B18810" s="60"/>
      <c r="C18810" s="60"/>
      <c r="D18810" s="60"/>
      <c r="E18810" s="57"/>
      <c r="F18810" s="57"/>
      <c r="G18810" s="58"/>
    </row>
    <row r="18811" spans="1:7" x14ac:dyDescent="0.25">
      <c r="A18811" s="64"/>
      <c r="D18811" s="55"/>
      <c r="E18811" s="49" t="s">
        <v>102</v>
      </c>
      <c r="F18811" s="49" t="s">
        <v>103</v>
      </c>
      <c r="G18811" s="51">
        <f>G18807*19%</f>
        <v>11194.42</v>
      </c>
    </row>
    <row r="18812" spans="1:7" x14ac:dyDescent="0.25">
      <c r="A18812" s="61"/>
      <c r="B18812" s="62"/>
      <c r="C18812" s="62"/>
      <c r="D18812" s="62"/>
      <c r="E18812" s="57"/>
      <c r="F18812" s="57"/>
      <c r="G18812" s="58"/>
    </row>
    <row r="18813" spans="1:7" x14ac:dyDescent="0.25">
      <c r="A18813" s="219" t="s">
        <v>104</v>
      </c>
      <c r="B18813" s="219"/>
      <c r="C18813" s="219"/>
      <c r="D18813" s="219"/>
      <c r="E18813" s="219"/>
      <c r="F18813" s="219"/>
      <c r="G18813" s="52">
        <f>G18811+G18809</f>
        <v>1484144.42</v>
      </c>
    </row>
    <row r="18815" spans="1:7" x14ac:dyDescent="0.25">
      <c r="A18815" s="74" t="s">
        <v>29</v>
      </c>
      <c r="B18815" s="226" t="s">
        <v>30</v>
      </c>
      <c r="C18815" s="226"/>
      <c r="D18815" s="74" t="s">
        <v>31</v>
      </c>
      <c r="E18815" s="74" t="s">
        <v>32</v>
      </c>
      <c r="F18815" s="74" t="s">
        <v>189</v>
      </c>
      <c r="G18815" s="74" t="s">
        <v>33</v>
      </c>
    </row>
    <row r="18816" spans="1:7" ht="35.25" customHeight="1" x14ac:dyDescent="0.25">
      <c r="A18816" s="50" t="str">
        <f>Presupuesto!B365</f>
        <v>035_AUX</v>
      </c>
      <c r="B18816" s="220" t="str">
        <f>Presupuesto!C365</f>
        <v>SUMINISTRO E INSTALACIÓN DE SALIDA PARA POSTE. CABLE 3X10 AWG cu THHN-600v.INCLUYE: CURVA,  CONECTORES DE DERIVACIÓN TIPO GEL, TUBERÍA EN PVC 3/4", CAJA DOBLE FONDO 4X4. (Longitud Promedio 15 m)  - PARA POSTE</v>
      </c>
      <c r="C18816" s="220"/>
      <c r="D18816" s="50" t="s">
        <v>8</v>
      </c>
      <c r="E18816" s="50">
        <v>8</v>
      </c>
      <c r="F18816" s="50"/>
      <c r="G18816" s="51">
        <f>G18886</f>
        <v>889335.46900000004</v>
      </c>
    </row>
    <row r="18817" spans="1:7" x14ac:dyDescent="0.25">
      <c r="A18817" s="219" t="s">
        <v>34</v>
      </c>
      <c r="B18817" s="219"/>
      <c r="C18817" s="219"/>
      <c r="D18817" s="219"/>
      <c r="E18817" s="219"/>
      <c r="F18817" s="219"/>
      <c r="G18817" s="219"/>
    </row>
    <row r="18818" spans="1:7" x14ac:dyDescent="0.25">
      <c r="A18818" s="49" t="s">
        <v>35</v>
      </c>
      <c r="B18818" s="219" t="s">
        <v>36</v>
      </c>
      <c r="C18818" s="219"/>
      <c r="D18818" s="49" t="s">
        <v>37</v>
      </c>
      <c r="E18818" s="49" t="s">
        <v>38</v>
      </c>
      <c r="F18818" s="49" t="s">
        <v>39</v>
      </c>
      <c r="G18818" s="49" t="s">
        <v>40</v>
      </c>
    </row>
    <row r="18819" spans="1:7" ht="16.5" customHeight="1" x14ac:dyDescent="0.25">
      <c r="A18819" s="17" t="str">
        <f>Material!A73</f>
        <v>MA-72</v>
      </c>
      <c r="B18819" s="72" t="str">
        <f>IFERROR(VLOOKUP(A18819,Material!$A:$H,2,0),"-")</f>
        <v>CURVA PVC 3/4"</v>
      </c>
      <c r="C18819" s="73"/>
      <c r="D18819" s="50" t="str">
        <f>IFERROR(VLOOKUP(A18819,Material!$A:$H,4,0),"-")</f>
        <v>UN</v>
      </c>
      <c r="E18819" s="50">
        <v>1</v>
      </c>
      <c r="F18819" s="51">
        <f>IFERROR(VLOOKUP(A18819,Material!$A:$H,3,0),"-")</f>
        <v>975</v>
      </c>
      <c r="G18819" s="51">
        <f t="shared" ref="G18819:G18827" si="266">IFERROR(ROUNDUP(F18819*E18819,0),"-")</f>
        <v>975</v>
      </c>
    </row>
    <row r="18820" spans="1:7" x14ac:dyDescent="0.25">
      <c r="A18820" s="17" t="str">
        <f>Material!A129</f>
        <v>MA-128</v>
      </c>
      <c r="B18820" s="72" t="str">
        <f>IFERROR(VLOOKUP(A18820,Material!$A:$H,2,0),"-")</f>
        <v>CONECTORES DE DERIVACIÓN TIPO GEL.</v>
      </c>
      <c r="C18820" s="76"/>
      <c r="D18820" s="50" t="str">
        <f>IFERROR(VLOOKUP(A18820,Material!$A:$H,4,0),"-")</f>
        <v>UN</v>
      </c>
      <c r="E18820" s="50">
        <v>3</v>
      </c>
      <c r="F18820" s="51">
        <f>IFERROR(VLOOKUP(A18820,Material!$A:$H,3,0),"-")</f>
        <v>53105</v>
      </c>
      <c r="G18820" s="51">
        <f t="shared" si="266"/>
        <v>159315</v>
      </c>
    </row>
    <row r="18821" spans="1:7" x14ac:dyDescent="0.25">
      <c r="A18821" s="17" t="str">
        <f>Material!A238</f>
        <v>MA-237</v>
      </c>
      <c r="B18821" s="72" t="str">
        <f>IFERROR(VLOOKUP(A18821,Material!$A:$H,2,0),"-")</f>
        <v>CAJA CUADRADA 4X4 PLÁSTICA DOBLE FONDO</v>
      </c>
      <c r="C18821" s="76"/>
      <c r="D18821" s="50" t="str">
        <f>IFERROR(VLOOKUP(A18821,Material!$A:$H,4,0),"-")</f>
        <v>UN</v>
      </c>
      <c r="E18821" s="50">
        <v>1</v>
      </c>
      <c r="F18821" s="51">
        <f>IFERROR(VLOOKUP(A18821,Material!$A:$H,3,0),"-")</f>
        <v>3627</v>
      </c>
      <c r="G18821" s="51">
        <f t="shared" si="266"/>
        <v>3627</v>
      </c>
    </row>
    <row r="18822" spans="1:7" x14ac:dyDescent="0.25">
      <c r="A18822" s="17" t="str">
        <f>Material!A72</f>
        <v>MA-71</v>
      </c>
      <c r="B18822" s="72" t="str">
        <f>IFERROR(VLOOKUP(A18822,Material!$A:$H,2,0),"-")</f>
        <v>TUBERÍA PVC 3/4"</v>
      </c>
      <c r="C18822" s="76"/>
      <c r="D18822" s="50" t="str">
        <f>IFERROR(VLOOKUP(A18822,Material!$A:$H,4,0),"-")</f>
        <v>ML</v>
      </c>
      <c r="E18822" s="50">
        <v>5</v>
      </c>
      <c r="F18822" s="51">
        <f>IFERROR(VLOOKUP(A18822,Material!$A:$H,3,0),"-")</f>
        <v>2253.3333333333335</v>
      </c>
      <c r="G18822" s="51">
        <f t="shared" si="266"/>
        <v>11267</v>
      </c>
    </row>
    <row r="18823" spans="1:7" x14ac:dyDescent="0.25">
      <c r="A18823" s="17" t="str">
        <f>Material!A44</f>
        <v>MA-43</v>
      </c>
      <c r="B18823" s="72" t="str">
        <f>IFERROR(VLOOKUP(A18823,Material!$A:$H,2,0),"-")</f>
        <v>CABLE 3x10 AWG Cu- TC-THHN/THWN - 600 V</v>
      </c>
      <c r="C18823" s="76"/>
      <c r="D18823" s="50" t="str">
        <f>IFERROR(VLOOKUP(A18823,Material!$A:$H,4,0),"-")</f>
        <v>ML</v>
      </c>
      <c r="E18823" s="50">
        <v>15</v>
      </c>
      <c r="F18823" s="51">
        <f>IFERROR(VLOOKUP(A18823,Material!$A:$H,3,0),"-")</f>
        <v>26000</v>
      </c>
      <c r="G18823" s="51">
        <f t="shared" si="266"/>
        <v>390000</v>
      </c>
    </row>
    <row r="18824" spans="1:7" x14ac:dyDescent="0.25">
      <c r="A18824" s="17" t="str">
        <f>Material!A252</f>
        <v>MA-251</v>
      </c>
      <c r="B18824" s="72" t="str">
        <f>IFERROR(VLOOKUP(A18824,Material!$A:$H,2,0),"-")</f>
        <v>TAPA 4X4 CON EMPAQUE</v>
      </c>
      <c r="C18824" s="76"/>
      <c r="D18824" s="50" t="str">
        <f>IFERROR(VLOOKUP(A18824,Material!$A:$H,4,0),"-")</f>
        <v>UN</v>
      </c>
      <c r="E18824" s="50">
        <v>1</v>
      </c>
      <c r="F18824" s="51">
        <f>IFERROR(VLOOKUP(A18824,Material!$A:$H,3,0),"-")</f>
        <v>11590.800000000001</v>
      </c>
      <c r="G18824" s="51">
        <f t="shared" si="266"/>
        <v>11591</v>
      </c>
    </row>
    <row r="18825" spans="1:7" x14ac:dyDescent="0.25">
      <c r="A18825" s="17" t="str">
        <f>Material!A201</f>
        <v>MA-200</v>
      </c>
      <c r="B18825" s="72" t="str">
        <f>IFERROR(VLOOKUP(A18825,Material!$A:$H,2,0),"-")</f>
        <v>SOLDADURA PVC 1/4 GL</v>
      </c>
      <c r="C18825" s="76"/>
      <c r="D18825" s="50" t="str">
        <f>IFERROR(VLOOKUP(A18825,Material!$A:$H,4,0),"-")</f>
        <v>GALÓN</v>
      </c>
      <c r="E18825" s="96">
        <f>4/60</f>
        <v>6.6666666666666666E-2</v>
      </c>
      <c r="F18825" s="51">
        <f>IFERROR(VLOOKUP(A18825,Material!$A:$H,3,0),"-")</f>
        <v>88270</v>
      </c>
      <c r="G18825" s="51">
        <f t="shared" si="266"/>
        <v>5885</v>
      </c>
    </row>
    <row r="18826" spans="1:7" x14ac:dyDescent="0.25">
      <c r="A18826" s="17" t="str">
        <f>Material!A253</f>
        <v>MA-252</v>
      </c>
      <c r="B18826" s="72" t="str">
        <f>IFERROR(VLOOKUP(A18826,Material!$A:$H,2,0),"-")</f>
        <v>LIMPIADOR DE TUBERÍA PVC 1/4 GL</v>
      </c>
      <c r="C18826" s="76"/>
      <c r="D18826" s="50" t="str">
        <f>IFERROR(VLOOKUP(A18826,Material!$A:$H,4,0),"-")</f>
        <v>GALÓN</v>
      </c>
      <c r="E18826" s="96">
        <f>4/60</f>
        <v>6.6666666666666666E-2</v>
      </c>
      <c r="F18826" s="51">
        <f>IFERROR(VLOOKUP(A18826,Material!$A:$H,3,0),"-")</f>
        <v>60970</v>
      </c>
      <c r="G18826" s="51">
        <f t="shared" si="266"/>
        <v>4065</v>
      </c>
    </row>
    <row r="18827" spans="1:7" x14ac:dyDescent="0.25">
      <c r="A18827" s="17" t="str">
        <f>Material!A254</f>
        <v>MA-253</v>
      </c>
      <c r="B18827" s="72" t="str">
        <f>IFERROR(VLOOKUP(A18827,Material!$A:$H,2,0),"-")</f>
        <v>TERMINAL-CONECTOR PVC DE 3/4"</v>
      </c>
      <c r="C18827" s="76"/>
      <c r="D18827" s="50" t="str">
        <f>IFERROR(VLOOKUP(A18827,Material!$A:$H,4,0),"-")</f>
        <v>UN</v>
      </c>
      <c r="E18827" s="50">
        <v>2</v>
      </c>
      <c r="F18827" s="51">
        <f>IFERROR(VLOOKUP(A18827,Material!$A:$H,3,0),"-")</f>
        <v>325</v>
      </c>
      <c r="G18827" s="51">
        <f t="shared" si="266"/>
        <v>650</v>
      </c>
    </row>
    <row r="18828" spans="1:7" x14ac:dyDescent="0.25">
      <c r="A18828" s="219" t="s">
        <v>41</v>
      </c>
      <c r="B18828" s="219"/>
      <c r="C18828" s="219"/>
      <c r="D18828" s="219"/>
      <c r="E18828" s="219"/>
      <c r="F18828" s="219"/>
      <c r="G18828" s="52">
        <f>SUM(G18819:G18827)</f>
        <v>587375</v>
      </c>
    </row>
    <row r="18829" spans="1:7" x14ac:dyDescent="0.25">
      <c r="A18829" s="56"/>
      <c r="B18829" s="57"/>
      <c r="C18829" s="57"/>
      <c r="D18829" s="57"/>
      <c r="E18829" s="57"/>
      <c r="F18829" s="57"/>
      <c r="G18829" s="58"/>
    </row>
    <row r="18830" spans="1:7" x14ac:dyDescent="0.25">
      <c r="A18830" s="219" t="s">
        <v>42</v>
      </c>
      <c r="B18830" s="219"/>
      <c r="C18830" s="219"/>
      <c r="D18830" s="219"/>
      <c r="E18830" s="219"/>
      <c r="F18830" s="219"/>
      <c r="G18830" s="219"/>
    </row>
    <row r="18831" spans="1:7" x14ac:dyDescent="0.25">
      <c r="A18831" s="49" t="s">
        <v>35</v>
      </c>
      <c r="B18831" s="49" t="s">
        <v>36</v>
      </c>
      <c r="C18831" s="49" t="s">
        <v>38</v>
      </c>
      <c r="D18831" s="49" t="s">
        <v>43</v>
      </c>
      <c r="E18831" s="49" t="s">
        <v>44</v>
      </c>
      <c r="F18831" s="49" t="s">
        <v>45</v>
      </c>
      <c r="G18831" s="49" t="s">
        <v>40</v>
      </c>
    </row>
    <row r="18832" spans="1:7" x14ac:dyDescent="0.25">
      <c r="A18832" s="50" t="s">
        <v>319</v>
      </c>
      <c r="B18832" s="68" t="str">
        <f>VLOOKUP(A18832,'Componentes APUs'!$H$1:$L$25,2,0)</f>
        <v>Ingeniero Residente de Obra</v>
      </c>
      <c r="C18832" s="93">
        <v>0.25</v>
      </c>
      <c r="D18832" s="50">
        <f>VLOOKUP(A18832,'Componentes APUs'!$H$1:$L$25,3,0)</f>
        <v>4</v>
      </c>
      <c r="E18832" s="51">
        <f>VLOOKUP(A18832,'Componentes APUs'!$H$1:$L$25,4,0)</f>
        <v>271142.85714285716</v>
      </c>
      <c r="F18832" s="51">
        <f>VLOOKUP(A18832,'Componentes APUs'!$H$1:$L$25,5,0)</f>
        <v>162685.71428571429</v>
      </c>
      <c r="G18832" s="51">
        <f>ROUNDUP((E18832+F18832)*C18832/E18816,0)</f>
        <v>13558</v>
      </c>
    </row>
    <row r="18833" spans="1:7" x14ac:dyDescent="0.25">
      <c r="A18833" s="50" t="s">
        <v>320</v>
      </c>
      <c r="B18833" s="68" t="str">
        <f>VLOOKUP(A18833,'Componentes APUs'!$H$1:$L$25,2,0)</f>
        <v>Tecnico Supervisor</v>
      </c>
      <c r="C18833" s="93">
        <v>0.25</v>
      </c>
      <c r="D18833" s="50">
        <f>VLOOKUP(A18833,'Componentes APUs'!$H$1:$L$25,3,0)</f>
        <v>2.2999999999999998</v>
      </c>
      <c r="E18833" s="51">
        <f>VLOOKUP(A18833,'Componentes APUs'!$H$1:$L$25,4,0)</f>
        <v>155907.14285714284</v>
      </c>
      <c r="F18833" s="51">
        <f>VLOOKUP(A18833,'Componentes APUs'!$H$1:$L$25,5,0)</f>
        <v>93544.285714285696</v>
      </c>
      <c r="G18833" s="51">
        <f>ROUNDUP((E18833+F18833)*C18833/E18816,0)</f>
        <v>7796</v>
      </c>
    </row>
    <row r="18834" spans="1:7" x14ac:dyDescent="0.25">
      <c r="A18834" s="50" t="s">
        <v>46</v>
      </c>
      <c r="B18834" s="68" t="str">
        <f>VLOOKUP(A18834,'Componentes APUs'!$H$1:$L$25,2,0)</f>
        <v>Tecnico Liniero</v>
      </c>
      <c r="C18834" s="93">
        <v>1</v>
      </c>
      <c r="D18834" s="50">
        <f>VLOOKUP(A18834,'Componentes APUs'!$H$1:$L$25,3,0)</f>
        <v>2</v>
      </c>
      <c r="E18834" s="51">
        <f>VLOOKUP(A18834,'Componentes APUs'!$H$1:$L$25,4,0)</f>
        <v>154619.04761904763</v>
      </c>
      <c r="F18834" s="51">
        <f>VLOOKUP(A18834,'Componentes APUs'!$H$1:$L$25,5,0)</f>
        <v>92771.42857142858</v>
      </c>
      <c r="G18834" s="51">
        <f>ROUNDUP((E18834+F18834)*C18834/E18816,0)</f>
        <v>30924</v>
      </c>
    </row>
    <row r="18835" spans="1:7" x14ac:dyDescent="0.25">
      <c r="A18835" s="50" t="s">
        <v>48</v>
      </c>
      <c r="B18835" s="68" t="str">
        <f>VLOOKUP(A18835,'Componentes APUs'!$H$1:$L$25,2,0)</f>
        <v>Ayudante Calificado</v>
      </c>
      <c r="C18835" s="93">
        <v>1</v>
      </c>
      <c r="D18835" s="50">
        <f>VLOOKUP(A18835,'Componentes APUs'!$H$1:$L$25,3,0)</f>
        <v>1.5</v>
      </c>
      <c r="E18835" s="51">
        <f>VLOOKUP(A18835,'Componentes APUs'!$H$1:$L$25,4,0)</f>
        <v>115964.28571428571</v>
      </c>
      <c r="F18835" s="51">
        <f>VLOOKUP(A18835,'Componentes APUs'!$H$1:$L$25,5,0)</f>
        <v>69578.57142857142</v>
      </c>
      <c r="G18835" s="51">
        <f>ROUNDUP((E18835+F18835)*C18835/E18816,0)</f>
        <v>23193</v>
      </c>
    </row>
    <row r="18836" spans="1:7" x14ac:dyDescent="0.25">
      <c r="A18836" s="50" t="s">
        <v>50</v>
      </c>
      <c r="B18836" s="68" t="str">
        <f>VLOOKUP(A18836,'Componentes APUs'!$H$1:$L$25,2,0)</f>
        <v>Profesional en SST</v>
      </c>
      <c r="C18836" s="93">
        <v>0.25</v>
      </c>
      <c r="D18836" s="50">
        <f>VLOOKUP(A18836,'Componentes APUs'!$H$1:$L$25,3,0)</f>
        <v>2.5</v>
      </c>
      <c r="E18836" s="51">
        <f>VLOOKUP(A18836,'Componentes APUs'!$H$1:$L$25,4,0)</f>
        <v>169464.28571428571</v>
      </c>
      <c r="F18836" s="51">
        <f>VLOOKUP(A18836,'Componentes APUs'!$H$1:$L$25,5,0)</f>
        <v>101678.57142857142</v>
      </c>
      <c r="G18836" s="51">
        <f>ROUNDUP((E18836+F18836)*C18836/E18816,0)</f>
        <v>8474</v>
      </c>
    </row>
    <row r="18837" spans="1:7" x14ac:dyDescent="0.25">
      <c r="A18837" s="50" t="s">
        <v>52</v>
      </c>
      <c r="B18837" s="68" t="str">
        <f>VLOOKUP(A18837,'Componentes APUs'!$H$1:$L$25,2,0)</f>
        <v>Ayudante No Calificado</v>
      </c>
      <c r="C18837" s="93">
        <v>0</v>
      </c>
      <c r="D18837" s="50">
        <f>VLOOKUP(A18837,'Componentes APUs'!$H$1:$L$25,3,0)</f>
        <v>1</v>
      </c>
      <c r="E18837" s="51">
        <f>VLOOKUP(A18837,'Componentes APUs'!$H$1:$L$25,4,0)</f>
        <v>77309.523809523816</v>
      </c>
      <c r="F18837" s="51">
        <f>VLOOKUP(A18837,'Componentes APUs'!$H$1:$L$25,5,0)</f>
        <v>46385.71428571429</v>
      </c>
      <c r="G18837" s="51">
        <f>ROUNDUP((E18837+F18837)*C18837/E18816,0)</f>
        <v>0</v>
      </c>
    </row>
    <row r="18838" spans="1:7" x14ac:dyDescent="0.25">
      <c r="A18838" s="219" t="s">
        <v>56</v>
      </c>
      <c r="B18838" s="219"/>
      <c r="C18838" s="219"/>
      <c r="D18838" s="219"/>
      <c r="E18838" s="219"/>
      <c r="F18838" s="219"/>
      <c r="G18838" s="52">
        <f>SUM(G18832:G18837)</f>
        <v>83945</v>
      </c>
    </row>
    <row r="18839" spans="1:7" x14ac:dyDescent="0.25">
      <c r="A18839" s="56"/>
      <c r="B18839" s="57"/>
      <c r="C18839" s="57"/>
      <c r="D18839" s="57"/>
      <c r="E18839" s="57"/>
      <c r="F18839" s="57"/>
      <c r="G18839" s="58"/>
    </row>
    <row r="18840" spans="1:7" x14ac:dyDescent="0.25">
      <c r="A18840" s="219" t="s">
        <v>57</v>
      </c>
      <c r="B18840" s="219"/>
      <c r="C18840" s="219"/>
      <c r="D18840" s="219"/>
      <c r="E18840" s="219"/>
      <c r="F18840" s="219"/>
      <c r="G18840" s="219"/>
    </row>
    <row r="18841" spans="1:7" x14ac:dyDescent="0.25">
      <c r="A18841" s="49" t="s">
        <v>35</v>
      </c>
      <c r="B18841" s="219" t="s">
        <v>36</v>
      </c>
      <c r="C18841" s="219"/>
      <c r="D18841" s="49" t="s">
        <v>37</v>
      </c>
      <c r="E18841" s="49" t="s">
        <v>38</v>
      </c>
      <c r="F18841" s="49" t="s">
        <v>39</v>
      </c>
      <c r="G18841" s="49" t="s">
        <v>40</v>
      </c>
    </row>
    <row r="18842" spans="1:7" x14ac:dyDescent="0.25">
      <c r="A18842" s="50" t="s">
        <v>326</v>
      </c>
      <c r="B18842" s="220" t="str">
        <f>VLOOKUP(A18842,'Componentes APUs'!$S$1:$V$10,2,0)</f>
        <v>Juego Llaves</v>
      </c>
      <c r="C18842" s="220"/>
      <c r="D18842" s="50" t="s">
        <v>18</v>
      </c>
      <c r="E18842" s="50">
        <v>2</v>
      </c>
      <c r="F18842" s="51">
        <f>VLOOKUP(A18842,'Componentes APUs'!$S$1:$V$10,4,0)</f>
        <v>9167</v>
      </c>
      <c r="G18842" s="51">
        <f>ROUNDUP(F18842*((E18842/21)/E18816),0)</f>
        <v>110</v>
      </c>
    </row>
    <row r="18843" spans="1:7" x14ac:dyDescent="0.25">
      <c r="A18843" s="50" t="s">
        <v>58</v>
      </c>
      <c r="B18843" s="220" t="str">
        <f>VLOOKUP(A18843,'Componentes APUs'!$S$1:$V$10,2,0)</f>
        <v>Manila de servicio</v>
      </c>
      <c r="C18843" s="220"/>
      <c r="D18843" s="50" t="s">
        <v>18</v>
      </c>
      <c r="E18843" s="50">
        <v>2</v>
      </c>
      <c r="F18843" s="51">
        <f>VLOOKUP(A18843,'Componentes APUs'!$S$1:$V$10,4,0)</f>
        <v>2333</v>
      </c>
      <c r="G18843" s="51">
        <f>ROUNDUP(F18843*((E18843/21)/E18816),0)</f>
        <v>28</v>
      </c>
    </row>
    <row r="18844" spans="1:7" x14ac:dyDescent="0.25">
      <c r="A18844" s="50" t="s">
        <v>327</v>
      </c>
      <c r="B18844" s="220" t="str">
        <f>VLOOKUP(A18844,'Componentes APUs'!$S$1:$V$10,2,0)</f>
        <v>Tula portaherramientas</v>
      </c>
      <c r="C18844" s="220"/>
      <c r="D18844" s="50" t="s">
        <v>18</v>
      </c>
      <c r="E18844" s="50">
        <v>2</v>
      </c>
      <c r="F18844" s="51">
        <f>VLOOKUP(A18844,'Componentes APUs'!$S$1:$V$10,4,0)</f>
        <v>1250</v>
      </c>
      <c r="G18844" s="51">
        <f>ROUNDUP(F18844*((E18844/21)/E18816),0)</f>
        <v>15</v>
      </c>
    </row>
    <row r="18845" spans="1:7" x14ac:dyDescent="0.25">
      <c r="A18845" s="50" t="s">
        <v>60</v>
      </c>
      <c r="B18845" s="220" t="str">
        <f>VLOOKUP(A18845,'Componentes APUs'!$S$1:$V$10,2,0)</f>
        <v>Agarradoras</v>
      </c>
      <c r="C18845" s="220"/>
      <c r="D18845" s="50" t="s">
        <v>18</v>
      </c>
      <c r="E18845" s="50">
        <v>0</v>
      </c>
      <c r="F18845" s="51">
        <f>VLOOKUP(A18845,'Componentes APUs'!$S$1:$V$10,4,0)</f>
        <v>125000</v>
      </c>
      <c r="G18845" s="51">
        <f>ROUNDUP(F18845*((E18845/21)/E18816),0)</f>
        <v>0</v>
      </c>
    </row>
    <row r="18846" spans="1:7" x14ac:dyDescent="0.25">
      <c r="A18846" s="50" t="s">
        <v>62</v>
      </c>
      <c r="B18846" s="220" t="str">
        <f>VLOOKUP(A18846,'Componentes APUs'!$S$1:$V$10,2,0)</f>
        <v>Templadoras</v>
      </c>
      <c r="C18846" s="220"/>
      <c r="D18846" s="50" t="s">
        <v>18</v>
      </c>
      <c r="E18846" s="50">
        <v>0</v>
      </c>
      <c r="F18846" s="51">
        <f>VLOOKUP(A18846,'Componentes APUs'!$S$1:$V$10,4,0)</f>
        <v>250000</v>
      </c>
      <c r="G18846" s="51">
        <f>ROUNDUP(F18846*((E18846/21)/E18816),0)</f>
        <v>0</v>
      </c>
    </row>
    <row r="18847" spans="1:7" x14ac:dyDescent="0.25">
      <c r="A18847" s="50" t="s">
        <v>328</v>
      </c>
      <c r="B18847" s="220" t="str">
        <f>VLOOKUP(A18847,'Componentes APUs'!$S$1:$V$10,2,0)</f>
        <v>Herramienta Menor</v>
      </c>
      <c r="C18847" s="220"/>
      <c r="D18847" s="50" t="s">
        <v>18</v>
      </c>
      <c r="E18847" s="50">
        <v>2</v>
      </c>
      <c r="F18847" s="51">
        <f>VLOOKUP(A18847,'Componentes APUs'!$S$1:$V$10,4,0)</f>
        <v>75758</v>
      </c>
      <c r="G18847" s="51">
        <f>ROUNDUP(F18847*((E18847/21)/E18816),0)</f>
        <v>902</v>
      </c>
    </row>
    <row r="18848" spans="1:7" x14ac:dyDescent="0.25">
      <c r="A18848" s="219" t="s">
        <v>69</v>
      </c>
      <c r="B18848" s="219"/>
      <c r="C18848" s="219"/>
      <c r="D18848" s="219"/>
      <c r="E18848" s="219"/>
      <c r="F18848" s="219"/>
      <c r="G18848" s="52">
        <f>SUM(G18842:G18847)</f>
        <v>1055</v>
      </c>
    </row>
    <row r="18849" spans="1:7" x14ac:dyDescent="0.25">
      <c r="A18849" s="56"/>
      <c r="B18849" s="57"/>
      <c r="C18849" s="57"/>
      <c r="D18849" s="57"/>
      <c r="E18849" s="57"/>
      <c r="F18849" s="57"/>
      <c r="G18849" s="58"/>
    </row>
    <row r="18850" spans="1:7" x14ac:dyDescent="0.25">
      <c r="A18850" s="219" t="s">
        <v>70</v>
      </c>
      <c r="B18850" s="219"/>
      <c r="C18850" s="219"/>
      <c r="D18850" s="219"/>
      <c r="E18850" s="219"/>
      <c r="F18850" s="219"/>
      <c r="G18850" s="219"/>
    </row>
    <row r="18851" spans="1:7" x14ac:dyDescent="0.25">
      <c r="A18851" s="49" t="s">
        <v>35</v>
      </c>
      <c r="B18851" s="219" t="s">
        <v>36</v>
      </c>
      <c r="C18851" s="219"/>
      <c r="D18851" s="49" t="s">
        <v>37</v>
      </c>
      <c r="E18851" s="49" t="s">
        <v>38</v>
      </c>
      <c r="F18851" s="49" t="s">
        <v>39</v>
      </c>
      <c r="G18851" s="49" t="s">
        <v>40</v>
      </c>
    </row>
    <row r="18852" spans="1:7" x14ac:dyDescent="0.25">
      <c r="A18852" s="50" t="s">
        <v>71</v>
      </c>
      <c r="B18852" s="71" t="str">
        <f>VLOOKUP(A18852,'Componentes APUs'!$A$1:$D$14,2,0)</f>
        <v>Camisa indigo sin partes metalicas</v>
      </c>
      <c r="C18852" s="71"/>
      <c r="D18852" s="50" t="str">
        <f>VLOOKUP(A18852,'Componentes APUs'!$A$1:$D$14,3,0)</f>
        <v>U</v>
      </c>
      <c r="E18852" s="50">
        <f>SUM(C18832:C18837)</f>
        <v>2.75</v>
      </c>
      <c r="F18852" s="51">
        <f>VLOOKUP(A18852,'Componentes APUs'!$A$1:$D$14,4,0)</f>
        <v>8585.8585858585866</v>
      </c>
      <c r="G18852" s="51">
        <f>ROUNDUP(F18852*(E18852/21)/E18816,0)</f>
        <v>141</v>
      </c>
    </row>
    <row r="18853" spans="1:7" x14ac:dyDescent="0.25">
      <c r="A18853" s="69" t="s">
        <v>73</v>
      </c>
      <c r="B18853" s="72" t="str">
        <f>VLOOKUP(A18853,'Componentes APUs'!$A$1:$D$14,2,0)</f>
        <v>Bota de seguridad dielectrica</v>
      </c>
      <c r="C18853" s="73"/>
      <c r="D18853" s="70" t="str">
        <f>VLOOKUP(A18853,'Componentes APUs'!$A$1:$D$14,3,0)</f>
        <v>Par</v>
      </c>
      <c r="E18853" s="50">
        <f>SUM(C18832:C18837)</f>
        <v>2.75</v>
      </c>
      <c r="F18853" s="51">
        <f>VLOOKUP(A18853,'Componentes APUs'!$A$1:$D$14,4,0)</f>
        <v>7500</v>
      </c>
      <c r="G18853" s="51">
        <f>ROUNDUP(F18853*(E18853/21)/E18816,0)</f>
        <v>123</v>
      </c>
    </row>
    <row r="18854" spans="1:7" x14ac:dyDescent="0.25">
      <c r="A18854" s="50" t="s">
        <v>76</v>
      </c>
      <c r="B18854" s="72" t="str">
        <f>VLOOKUP(A18854,'Componentes APUs'!$A$1:$D$14,2,0)</f>
        <v>Casco dielectrico Tipo 1 Clase E con barbuquejo</v>
      </c>
      <c r="C18854" s="73"/>
      <c r="D18854" s="50" t="str">
        <f>VLOOKUP(A18854,'Componentes APUs'!$A$1:$D$14,3,0)</f>
        <v>U</v>
      </c>
      <c r="E18854" s="50">
        <f>C18837+C18832+C18835+C18836+C18833+IF(A18834&lt;&gt;"MO-3",C18834,0)</f>
        <v>1.75</v>
      </c>
      <c r="F18854" s="51">
        <f>VLOOKUP(A18854,'Componentes APUs'!$A$1:$D$14,4,0)</f>
        <v>10101.010101010101</v>
      </c>
      <c r="G18854" s="51">
        <f>ROUNDUP(F18854*(E18854/21)/E18816,0)</f>
        <v>106</v>
      </c>
    </row>
    <row r="18855" spans="1:7" x14ac:dyDescent="0.25">
      <c r="A18855" s="69" t="s">
        <v>77</v>
      </c>
      <c r="B18855" s="72" t="str">
        <f>VLOOKUP(A18855,'Componentes APUs'!$A$1:$D$14,2,0)</f>
        <v>Correa plastica y antiflama</v>
      </c>
      <c r="C18855" s="73"/>
      <c r="D18855" s="50" t="str">
        <f>VLOOKUP(A18855,'Componentes APUs'!$A$1:$D$14,3,0)</f>
        <v>U</v>
      </c>
      <c r="E18855" s="50">
        <f>SUM(C18832:C18837)</f>
        <v>2.75</v>
      </c>
      <c r="F18855" s="51">
        <f>VLOOKUP(A18855,'Componentes APUs'!$A$1:$D$14,4,0)</f>
        <v>3787.878787878788</v>
      </c>
      <c r="G18855" s="51">
        <f>ROUNDUP(F18855*(E18855/21)/E18816,0)</f>
        <v>63</v>
      </c>
    </row>
    <row r="18856" spans="1:7" x14ac:dyDescent="0.25">
      <c r="A18856" s="50" t="s">
        <v>79</v>
      </c>
      <c r="B18856" s="72" t="str">
        <f>VLOOKUP(A18856,'Componentes APUs'!$A$1:$D$14,2,0)</f>
        <v>Gafas protectoras filtro UV</v>
      </c>
      <c r="C18856" s="73"/>
      <c r="D18856" s="50" t="str">
        <f>VLOOKUP(A18856,'Componentes APUs'!$A$1:$D$14,3,0)</f>
        <v>U</v>
      </c>
      <c r="E18856" s="50">
        <f>SUM(C18832:C18837)</f>
        <v>2.75</v>
      </c>
      <c r="F18856" s="51">
        <f>VLOOKUP(A18856,'Componentes APUs'!$A$1:$D$14,4,0)</f>
        <v>2777.7777777777778</v>
      </c>
      <c r="G18856" s="51">
        <f>ROUNDUP(F18856*(E18856/21)/E18816,0)</f>
        <v>46</v>
      </c>
    </row>
    <row r="18857" spans="1:7" x14ac:dyDescent="0.25">
      <c r="A18857" s="69" t="s">
        <v>402</v>
      </c>
      <c r="B18857" s="72" t="str">
        <f>VLOOKUP(A18857,'Componentes APUs'!$A$1:$D$14,2,0)</f>
        <v>Bota de seguridad PVC dielectrica</v>
      </c>
      <c r="C18857" s="73"/>
      <c r="D18857" s="50" t="str">
        <f>VLOOKUP(A18857,'Componentes APUs'!$A$1:$D$14,3,0)</f>
        <v>Par</v>
      </c>
      <c r="E18857" s="50">
        <f>SUM(C18832:C18837)</f>
        <v>2.75</v>
      </c>
      <c r="F18857" s="51">
        <f>VLOOKUP(A18857,'Componentes APUs'!$A$1:$D$14,4,0)</f>
        <v>2916.6666666666665</v>
      </c>
      <c r="G18857" s="51">
        <f>ROUNDUP(F18857*(E18857/21)/E18816,0)</f>
        <v>48</v>
      </c>
    </row>
    <row r="18858" spans="1:7" x14ac:dyDescent="0.25">
      <c r="A18858" s="50" t="s">
        <v>403</v>
      </c>
      <c r="B18858" s="72" t="str">
        <f>VLOOKUP(A18858,'Componentes APUs'!$A$1:$D$14,2,0)</f>
        <v>Capuchon</v>
      </c>
      <c r="C18858" s="73"/>
      <c r="D18858" s="50" t="str">
        <f>VLOOKUP(A18858,'Componentes APUs'!$A$1:$D$14,3,0)</f>
        <v>U</v>
      </c>
      <c r="E18858" s="50">
        <f>SUM(C18832:C18837)</f>
        <v>2.75</v>
      </c>
      <c r="F18858" s="51">
        <f>VLOOKUP(A18858,'Componentes APUs'!$A$1:$D$14,4,0)</f>
        <v>2525.2525252525252</v>
      </c>
      <c r="G18858" s="51">
        <f>ROUNDUP(F18858*(E18858/21)/E18816,0)</f>
        <v>42</v>
      </c>
    </row>
    <row r="18859" spans="1:7" x14ac:dyDescent="0.25">
      <c r="A18859" s="69" t="s">
        <v>81</v>
      </c>
      <c r="B18859" s="72" t="str">
        <f>VLOOKUP(A18859,'Componentes APUs'!$A$1:$D$14,2,0)</f>
        <v>Guantes Protectores  - ingeniero reforzados</v>
      </c>
      <c r="C18859" s="73"/>
      <c r="D18859" s="50" t="str">
        <f>VLOOKUP(A18859,'Componentes APUs'!$A$1:$D$14,3,0)</f>
        <v>Par</v>
      </c>
      <c r="E18859" s="50">
        <f>C18834+C18835+C18837</f>
        <v>2</v>
      </c>
      <c r="F18859" s="51">
        <f>VLOOKUP(A18859,'Componentes APUs'!$A$1:$D$14,4,0)</f>
        <v>2525.2525252525252</v>
      </c>
      <c r="G18859" s="51">
        <f>ROUNDUP(F18859*(E18859/21)/E18816,0)</f>
        <v>31</v>
      </c>
    </row>
    <row r="18860" spans="1:7" x14ac:dyDescent="0.25">
      <c r="A18860" s="50" t="s">
        <v>83</v>
      </c>
      <c r="B18860" s="72" t="str">
        <f>VLOOKUP(A18860,'Componentes APUs'!$A$1:$D$14,2,0)</f>
        <v>Impermeable (pantalon camisa)</v>
      </c>
      <c r="C18860" s="73"/>
      <c r="D18860" s="50" t="str">
        <f>VLOOKUP(A18860,'Componentes APUs'!$A$1:$D$14,3,0)</f>
        <v>U</v>
      </c>
      <c r="E18860" s="50">
        <f>SUM(C18832:C18837)</f>
        <v>2.75</v>
      </c>
      <c r="F18860" s="51">
        <f>VLOOKUP(A18860,'Componentes APUs'!$A$1:$D$14,4,0)</f>
        <v>3750</v>
      </c>
      <c r="G18860" s="51">
        <f>ROUNDUP(F18860*(E18860/21)/E18816,0)</f>
        <v>62</v>
      </c>
    </row>
    <row r="18861" spans="1:7" x14ac:dyDescent="0.25">
      <c r="A18861" s="69" t="s">
        <v>85</v>
      </c>
      <c r="B18861" s="72" t="str">
        <f>VLOOKUP(A18861,'Componentes APUs'!$A$1:$D$14,2,0)</f>
        <v>Jean Dielectrico</v>
      </c>
      <c r="C18861" s="73"/>
      <c r="D18861" s="50" t="str">
        <f>VLOOKUP(A18861,'Componentes APUs'!$A$1:$D$14,3,0)</f>
        <v>U</v>
      </c>
      <c r="E18861" s="50">
        <f>SUM(C18832:C18837)</f>
        <v>2.75</v>
      </c>
      <c r="F18861" s="51">
        <f>VLOOKUP(A18861,'Componentes APUs'!$A$1:$D$14,4,0)</f>
        <v>7575.757575757576</v>
      </c>
      <c r="G18861" s="51">
        <f>ROUNDUP(F18861*(E18861/21)/E18816,0)</f>
        <v>125</v>
      </c>
    </row>
    <row r="18862" spans="1:7" x14ac:dyDescent="0.25">
      <c r="A18862" s="50" t="s">
        <v>87</v>
      </c>
      <c r="B18862" s="72" t="str">
        <f>VLOOKUP(A18862,'Componentes APUs'!$A$1:$D$14,2,0)</f>
        <v>Casco dielectrico Tipo 2 Clase E con barboquejo</v>
      </c>
      <c r="C18862" s="73"/>
      <c r="D18862" s="50" t="str">
        <f>VLOOKUP(A18862,'Componentes APUs'!$A$1:$D$14,3,0)</f>
        <v>U</v>
      </c>
      <c r="E18862" s="53">
        <f>IF(A18834="MO-3",C18834,0)</f>
        <v>1</v>
      </c>
      <c r="F18862" s="51">
        <f>VLOOKUP(A18862,'Componentes APUs'!$A$1:$D$14,4,0)</f>
        <v>7500</v>
      </c>
      <c r="G18862" s="51">
        <f>ROUNDUP(F18862*(E18862/21)/E18816,0)</f>
        <v>45</v>
      </c>
    </row>
    <row r="18863" spans="1:7" x14ac:dyDescent="0.25">
      <c r="A18863" s="69" t="s">
        <v>89</v>
      </c>
      <c r="B18863" s="72" t="str">
        <f>VLOOKUP(A18863,'Componentes APUs'!$A$1:$D$14,2,0)</f>
        <v>Kit de rescate para trabajo en alturas</v>
      </c>
      <c r="C18863" s="73"/>
      <c r="D18863" s="50" t="str">
        <f>VLOOKUP(A18863,'Componentes APUs'!$A$1:$D$14,3,0)</f>
        <v>U</v>
      </c>
      <c r="E18863" s="50">
        <f>IF(AND(A18834="MO-3",C18834=2),1,0)</f>
        <v>0</v>
      </c>
      <c r="F18863" s="51">
        <f>VLOOKUP(A18863,'Componentes APUs'!$A$1:$D$14,4,0)</f>
        <v>37500</v>
      </c>
      <c r="G18863" s="51">
        <f>ROUNDUP(F18863*(E18863/21)/E18816,0)</f>
        <v>0</v>
      </c>
    </row>
    <row r="18864" spans="1:7" x14ac:dyDescent="0.25">
      <c r="A18864" s="50" t="s">
        <v>91</v>
      </c>
      <c r="B18864" s="72" t="str">
        <f>VLOOKUP(A18864,'Componentes APUs'!$A$1:$D$14,2,0)</f>
        <v>Equipo completo para trabajo en alturas con pretales (Arnes dielectrico, 1 mosqueton de seguridad, tie off dielectrico, eslinga de posicionamiento, juego de pretales)</v>
      </c>
      <c r="C18864" s="73"/>
      <c r="D18864" s="50" t="str">
        <f>VLOOKUP(A18864,'Componentes APUs'!$A$1:$D$14,3,0)</f>
        <v>U</v>
      </c>
      <c r="E18864" s="50">
        <f>IF(A18834="MO-3",C18834)</f>
        <v>1</v>
      </c>
      <c r="F18864" s="51">
        <f>VLOOKUP(A18864,'Componentes APUs'!$A$1:$D$14,4,0)</f>
        <v>26041.666666666668</v>
      </c>
      <c r="G18864" s="51">
        <f>ROUNDUP(F18864*(E18864/21)/E18816,0)</f>
        <v>156</v>
      </c>
    </row>
    <row r="18865" spans="1:7" x14ac:dyDescent="0.25">
      <c r="A18865" s="219" t="s">
        <v>95</v>
      </c>
      <c r="B18865" s="219"/>
      <c r="C18865" s="219"/>
      <c r="D18865" s="219"/>
      <c r="E18865" s="219"/>
      <c r="F18865" s="219"/>
      <c r="G18865" s="52">
        <f>SUM(G18852:G18864)</f>
        <v>988</v>
      </c>
    </row>
    <row r="18866" spans="1:7" x14ac:dyDescent="0.25">
      <c r="A18866" s="56"/>
      <c r="B18866" s="57"/>
      <c r="C18866" s="57"/>
      <c r="D18866" s="57"/>
      <c r="E18866" s="57"/>
      <c r="F18866" s="57"/>
      <c r="G18866" s="58"/>
    </row>
    <row r="18867" spans="1:7" x14ac:dyDescent="0.25">
      <c r="A18867" s="219" t="s">
        <v>96</v>
      </c>
      <c r="B18867" s="219"/>
      <c r="C18867" s="219"/>
      <c r="D18867" s="219"/>
      <c r="E18867" s="219"/>
      <c r="F18867" s="219"/>
      <c r="G18867" s="219"/>
    </row>
    <row r="18868" spans="1:7" x14ac:dyDescent="0.25">
      <c r="A18868" s="49" t="s">
        <v>35</v>
      </c>
      <c r="B18868" s="225" t="s">
        <v>36</v>
      </c>
      <c r="C18868" s="225"/>
      <c r="D18868" s="49" t="s">
        <v>37</v>
      </c>
      <c r="E18868" s="49" t="s">
        <v>38</v>
      </c>
      <c r="F18868" s="49" t="s">
        <v>39</v>
      </c>
      <c r="G18868" s="49" t="s">
        <v>40</v>
      </c>
    </row>
    <row r="18869" spans="1:7" x14ac:dyDescent="0.25">
      <c r="A18869" s="69" t="s">
        <v>97</v>
      </c>
      <c r="B18869" s="72" t="str">
        <f>VLOOKUP(A18869,'Componentes APUs'!$N$1:$Q$30,2,0)</f>
        <v>Camioneta</v>
      </c>
      <c r="C18869" s="73"/>
      <c r="D18869" s="70" t="str">
        <f>VLOOKUP(A18869,'Componentes APUs'!$N$1:$Q$30,3,0)</f>
        <v>U</v>
      </c>
      <c r="E18869" s="50">
        <v>1</v>
      </c>
      <c r="F18869" s="51">
        <f>VLOOKUP(A18869,'Componentes APUs'!$N$1:$Q$30,4,0)</f>
        <v>5500000</v>
      </c>
      <c r="G18869" s="51">
        <f>IFERROR(ROUNDUP(F18869*(E18869/21)/E18816,0),0)</f>
        <v>32739</v>
      </c>
    </row>
    <row r="18870" spans="1:7" x14ac:dyDescent="0.25">
      <c r="A18870" s="50" t="s">
        <v>321</v>
      </c>
      <c r="B18870" s="72" t="str">
        <f>VLOOKUP(A18870,'Componentes APUs'!$N$1:$Q$30,2,0)</f>
        <v>Grúa Hidráulica</v>
      </c>
      <c r="C18870" s="73"/>
      <c r="D18870" s="70" t="str">
        <f>VLOOKUP(A18870,'Componentes APUs'!$N$1:$Q$30,3,0)</f>
        <v>U</v>
      </c>
      <c r="E18870" s="50">
        <v>0</v>
      </c>
      <c r="F18870" s="51">
        <f>VLOOKUP(A18870,'Componentes APUs'!$N$1:$Q$30,4,0)</f>
        <v>21000000</v>
      </c>
      <c r="G18870" s="51">
        <f>IFERROR(ROUNDUP(F18870*(E18870/21)/E18816,0),0)</f>
        <v>0</v>
      </c>
    </row>
    <row r="18871" spans="1:7" x14ac:dyDescent="0.25">
      <c r="A18871" s="69" t="s">
        <v>322</v>
      </c>
      <c r="B18871" s="72" t="str">
        <f>VLOOKUP(A18871,'Componentes APUs'!$N$1:$Q$30,2,0)</f>
        <v>Camabaja</v>
      </c>
      <c r="C18871" s="73"/>
      <c r="D18871" s="70" t="str">
        <f>VLOOKUP(A18871,'Componentes APUs'!$N$1:$Q$30,3,0)</f>
        <v>TON/KM</v>
      </c>
      <c r="E18871" s="50">
        <v>0</v>
      </c>
      <c r="F18871" s="51">
        <f>VLOOKUP(A18871,'Componentes APUs'!$N$1:$Q$30,4,0)</f>
        <v>611</v>
      </c>
      <c r="G18871" s="51">
        <f>IFERROR(ROUNDUP(F18871*(E18871/21)/E18816,0),0)</f>
        <v>0</v>
      </c>
    </row>
    <row r="18872" spans="1:7" x14ac:dyDescent="0.25">
      <c r="A18872" s="50" t="s">
        <v>323</v>
      </c>
      <c r="B18872" s="72" t="str">
        <f>VLOOKUP(A18872,'Componentes APUs'!$N$1:$Q$30,2,0)</f>
        <v>Volqueta</v>
      </c>
      <c r="C18872" s="73"/>
      <c r="D18872" s="70" t="str">
        <f>VLOOKUP(A18872,'Componentes APUs'!$N$1:$Q$30,3,0)</f>
        <v>U</v>
      </c>
      <c r="E18872" s="50">
        <v>0</v>
      </c>
      <c r="F18872" s="51">
        <f>VLOOKUP(A18872,'Componentes APUs'!$N$1:$Q$30,4,0)</f>
        <v>14828184</v>
      </c>
      <c r="G18872" s="51">
        <f>IFERROR(ROUNDUP(F18872*(E18872/21)/E18816,0),0)</f>
        <v>0</v>
      </c>
    </row>
    <row r="18873" spans="1:7" x14ac:dyDescent="0.25">
      <c r="A18873" s="69" t="s">
        <v>324</v>
      </c>
      <c r="B18873" s="72" t="str">
        <f>VLOOKUP(A18873,'Componentes APUs'!$N$1:$Q$30,2,0)</f>
        <v>Retroexcavadora</v>
      </c>
      <c r="C18873" s="73"/>
      <c r="D18873" s="70" t="str">
        <f>VLOOKUP(A18873,'Componentes APUs'!$N$1:$Q$30,3,0)</f>
        <v>U</v>
      </c>
      <c r="E18873" s="50">
        <v>0</v>
      </c>
      <c r="F18873" s="51">
        <f>VLOOKUP(A18873,'Componentes APUs'!$N$1:$Q$30,4,0)</f>
        <v>46030656</v>
      </c>
      <c r="G18873" s="51">
        <f>IFERROR(ROUNDUP(F18873*(E18873/21)/E18816,0),0)</f>
        <v>0</v>
      </c>
    </row>
    <row r="18874" spans="1:7" x14ac:dyDescent="0.25">
      <c r="A18874" s="219" t="s">
        <v>99</v>
      </c>
      <c r="B18874" s="219"/>
      <c r="C18874" s="219"/>
      <c r="D18874" s="219"/>
      <c r="E18874" s="219"/>
      <c r="F18874" s="219"/>
      <c r="G18874" s="52">
        <f>SUM(G18869:G18873)</f>
        <v>32739</v>
      </c>
    </row>
    <row r="18875" spans="1:7" x14ac:dyDescent="0.25">
      <c r="A18875" s="56"/>
      <c r="B18875" s="57"/>
      <c r="C18875" s="57"/>
      <c r="D18875" s="57"/>
      <c r="E18875" s="57"/>
      <c r="F18875" s="57"/>
      <c r="G18875" s="58"/>
    </row>
    <row r="18876" spans="1:7" x14ac:dyDescent="0.25">
      <c r="A18876" s="219" t="s">
        <v>1516</v>
      </c>
      <c r="B18876" s="219"/>
      <c r="C18876" s="219"/>
      <c r="D18876" s="219"/>
      <c r="E18876" s="219"/>
      <c r="F18876" s="219"/>
      <c r="G18876" s="52">
        <f>G18874+G18865+G18848+G18838+G18828</f>
        <v>706102</v>
      </c>
    </row>
    <row r="18877" spans="1:7" x14ac:dyDescent="0.25">
      <c r="A18877" s="59"/>
      <c r="B18877" s="60"/>
      <c r="C18877" s="60"/>
      <c r="D18877" s="60"/>
      <c r="E18877" s="57"/>
      <c r="F18877" s="57"/>
      <c r="G18877" s="58"/>
    </row>
    <row r="18878" spans="1:7" x14ac:dyDescent="0.25">
      <c r="A18878" s="64"/>
      <c r="D18878" s="55"/>
      <c r="E18878" s="49" t="s">
        <v>25</v>
      </c>
      <c r="F18878" s="54">
        <v>0.15</v>
      </c>
      <c r="G18878" s="51">
        <f>G18876*F18878</f>
        <v>105915.3</v>
      </c>
    </row>
    <row r="18879" spans="1:7" x14ac:dyDescent="0.25">
      <c r="A18879" s="64"/>
      <c r="D18879" s="55"/>
      <c r="E18879" s="49" t="s">
        <v>26</v>
      </c>
      <c r="F18879" s="54">
        <v>0.05</v>
      </c>
      <c r="G18879" s="51">
        <f>G18876*F18879</f>
        <v>35305.1</v>
      </c>
    </row>
    <row r="18880" spans="1:7" x14ac:dyDescent="0.25">
      <c r="A18880" s="61"/>
      <c r="B18880" s="65"/>
      <c r="C18880" s="65"/>
      <c r="D18880" s="62"/>
      <c r="E18880" s="49" t="s">
        <v>27</v>
      </c>
      <c r="F18880" s="54">
        <v>0.05</v>
      </c>
      <c r="G18880" s="51">
        <f>G18876*F18880</f>
        <v>35305.1</v>
      </c>
    </row>
    <row r="18881" spans="1:7" x14ac:dyDescent="0.25">
      <c r="A18881" s="61"/>
      <c r="B18881" s="62"/>
      <c r="C18881" s="62"/>
      <c r="D18881" s="62"/>
      <c r="E18881" s="62"/>
      <c r="F18881" s="62"/>
      <c r="G18881" s="63"/>
    </row>
    <row r="18882" spans="1:7" x14ac:dyDescent="0.25">
      <c r="A18882" s="219" t="s">
        <v>1517</v>
      </c>
      <c r="B18882" s="219"/>
      <c r="C18882" s="219"/>
      <c r="D18882" s="219"/>
      <c r="E18882" s="219"/>
      <c r="F18882" s="219"/>
      <c r="G18882" s="52">
        <f>G18876+G18878+G18879+G18880</f>
        <v>882627.5</v>
      </c>
    </row>
    <row r="18883" spans="1:7" x14ac:dyDescent="0.25">
      <c r="A18883" s="59"/>
      <c r="B18883" s="60"/>
      <c r="C18883" s="60"/>
      <c r="D18883" s="60"/>
      <c r="E18883" s="57"/>
      <c r="F18883" s="57"/>
      <c r="G18883" s="58"/>
    </row>
    <row r="18884" spans="1:7" x14ac:dyDescent="0.25">
      <c r="A18884" s="64"/>
      <c r="D18884" s="55"/>
      <c r="E18884" s="49" t="s">
        <v>102</v>
      </c>
      <c r="F18884" s="49" t="s">
        <v>103</v>
      </c>
      <c r="G18884" s="51">
        <f>G18880*19%</f>
        <v>6707.9690000000001</v>
      </c>
    </row>
    <row r="18885" spans="1:7" x14ac:dyDescent="0.25">
      <c r="A18885" s="61"/>
      <c r="B18885" s="62"/>
      <c r="C18885" s="62"/>
      <c r="D18885" s="62"/>
      <c r="E18885" s="57"/>
      <c r="F18885" s="57"/>
      <c r="G18885" s="58"/>
    </row>
    <row r="18886" spans="1:7" x14ac:dyDescent="0.25">
      <c r="A18886" s="219" t="s">
        <v>104</v>
      </c>
      <c r="B18886" s="219"/>
      <c r="C18886" s="219"/>
      <c r="D18886" s="219"/>
      <c r="E18886" s="219"/>
      <c r="F18886" s="219"/>
      <c r="G18886" s="52">
        <f>G18884+G18882</f>
        <v>889335.46900000004</v>
      </c>
    </row>
    <row r="18888" spans="1:7" x14ac:dyDescent="0.25">
      <c r="A18888" s="74" t="s">
        <v>29</v>
      </c>
      <c r="B18888" s="226" t="s">
        <v>30</v>
      </c>
      <c r="C18888" s="226"/>
      <c r="D18888" s="74" t="s">
        <v>31</v>
      </c>
      <c r="E18888" s="74" t="s">
        <v>32</v>
      </c>
      <c r="F18888" s="74" t="s">
        <v>189</v>
      </c>
      <c r="G18888" s="74" t="s">
        <v>33</v>
      </c>
    </row>
    <row r="18889" spans="1:7" ht="27.75" customHeight="1" x14ac:dyDescent="0.25">
      <c r="A18889" s="50" t="str">
        <f>Presupuesto!B366</f>
        <v>036_AUX</v>
      </c>
      <c r="B18889" s="220" t="str">
        <f>Presupuesto!C366</f>
        <v>SUMINISTRO E INSTALACIÓN DE SOPORTES PARA REFLECTOR CON ACCESORIOS</v>
      </c>
      <c r="C18889" s="220"/>
      <c r="D18889" s="50" t="s">
        <v>8</v>
      </c>
      <c r="E18889" s="50">
        <v>4</v>
      </c>
      <c r="F18889" s="50"/>
      <c r="G18889" s="51">
        <f>G18958</f>
        <v>885436.05700000015</v>
      </c>
    </row>
    <row r="18890" spans="1:7" x14ac:dyDescent="0.25">
      <c r="A18890" s="219" t="s">
        <v>34</v>
      </c>
      <c r="B18890" s="219"/>
      <c r="C18890" s="219"/>
      <c r="D18890" s="219"/>
      <c r="E18890" s="219"/>
      <c r="F18890" s="219"/>
      <c r="G18890" s="219"/>
    </row>
    <row r="18891" spans="1:7" x14ac:dyDescent="0.25">
      <c r="A18891" s="49" t="s">
        <v>35</v>
      </c>
      <c r="B18891" s="219" t="s">
        <v>36</v>
      </c>
      <c r="C18891" s="219"/>
      <c r="D18891" s="49" t="s">
        <v>37</v>
      </c>
      <c r="E18891" s="49" t="s">
        <v>38</v>
      </c>
      <c r="F18891" s="49" t="s">
        <v>39</v>
      </c>
      <c r="G18891" s="49" t="s">
        <v>40</v>
      </c>
    </row>
    <row r="18892" spans="1:7" x14ac:dyDescent="0.25">
      <c r="A18892" s="17" t="str">
        <f>Material!A134</f>
        <v>MA-133</v>
      </c>
      <c r="B18892" s="72" t="str">
        <f>IFERROR(VLOOKUP(A18892,Material!$A:$H,2,0),"-")</f>
        <v>SOPORTE PARA REFLECTOR CON ACCESORIOS</v>
      </c>
      <c r="C18892" s="73"/>
      <c r="D18892" s="50" t="str">
        <f>IFERROR(VLOOKUP(A18892,Material!$A:$H,4,0),"-")</f>
        <v>UN</v>
      </c>
      <c r="E18892" s="50">
        <v>1</v>
      </c>
      <c r="F18892" s="51">
        <f>IFERROR(VLOOKUP(A18892,Material!$A:$H,3,0),"-")</f>
        <v>349411.78220000002</v>
      </c>
      <c r="G18892" s="51">
        <f t="shared" ref="G18892:G18899" si="267">IFERROR(ROUNDUP(F18892*E18892,0),"-")</f>
        <v>349412</v>
      </c>
    </row>
    <row r="18893" spans="1:7" x14ac:dyDescent="0.25">
      <c r="A18893" s="17"/>
      <c r="B18893" s="72" t="str">
        <f>IFERROR(VLOOKUP(A18893,Material!$A:$H,2,0),"-")</f>
        <v>-</v>
      </c>
      <c r="C18893" s="76"/>
      <c r="D18893" s="50" t="str">
        <f>IFERROR(VLOOKUP(A18893,Material!$A:$H,4,0),"-")</f>
        <v>-</v>
      </c>
      <c r="E18893" s="50"/>
      <c r="F18893" s="51" t="str">
        <f>IFERROR(VLOOKUP(A18893,Material!$A:$H,3,0),"-")</f>
        <v>-</v>
      </c>
      <c r="G18893" s="51" t="str">
        <f t="shared" si="267"/>
        <v>-</v>
      </c>
    </row>
    <row r="18894" spans="1:7" x14ac:dyDescent="0.25">
      <c r="A18894" s="17"/>
      <c r="B18894" s="72" t="str">
        <f>IFERROR(VLOOKUP(A18894,Material!$A:$H,2,0),"-")</f>
        <v>-</v>
      </c>
      <c r="C18894" s="76"/>
      <c r="D18894" s="50" t="str">
        <f>IFERROR(VLOOKUP(A18894,Material!$A:$H,4,0),"-")</f>
        <v>-</v>
      </c>
      <c r="E18894" s="50"/>
      <c r="F18894" s="51" t="str">
        <f>IFERROR(VLOOKUP(A18894,Material!$A:$H,3,0),"-")</f>
        <v>-</v>
      </c>
      <c r="G18894" s="51" t="str">
        <f t="shared" si="267"/>
        <v>-</v>
      </c>
    </row>
    <row r="18895" spans="1:7" x14ac:dyDescent="0.25">
      <c r="A18895" s="17"/>
      <c r="B18895" s="72" t="str">
        <f>IFERROR(VLOOKUP(A18895,Material!$A:$H,2,0),"-")</f>
        <v>-</v>
      </c>
      <c r="C18895" s="76"/>
      <c r="D18895" s="50" t="str">
        <f>IFERROR(VLOOKUP(A18895,Material!$A:$H,4,0),"-")</f>
        <v>-</v>
      </c>
      <c r="E18895" s="50"/>
      <c r="F18895" s="51" t="str">
        <f>IFERROR(VLOOKUP(A18895,Material!$A:$H,3,0),"-")</f>
        <v>-</v>
      </c>
      <c r="G18895" s="51" t="str">
        <f t="shared" si="267"/>
        <v>-</v>
      </c>
    </row>
    <row r="18896" spans="1:7" x14ac:dyDescent="0.25">
      <c r="A18896" s="17"/>
      <c r="B18896" s="72" t="str">
        <f>IFERROR(VLOOKUP(A18896,Material!$A:$H,2,0),"-")</f>
        <v>-</v>
      </c>
      <c r="C18896" s="76"/>
      <c r="D18896" s="50" t="str">
        <f>IFERROR(VLOOKUP(A18896,Material!$A:$H,4,0),"-")</f>
        <v>-</v>
      </c>
      <c r="E18896" s="50"/>
      <c r="F18896" s="51" t="str">
        <f>IFERROR(VLOOKUP(A18896,Material!$A:$H,3,0),"-")</f>
        <v>-</v>
      </c>
      <c r="G18896" s="51" t="str">
        <f t="shared" si="267"/>
        <v>-</v>
      </c>
    </row>
    <row r="18897" spans="1:7" x14ac:dyDescent="0.25">
      <c r="A18897" s="17"/>
      <c r="B18897" s="72" t="str">
        <f>IFERROR(VLOOKUP(A18897,Material!$A:$H,2,0),"-")</f>
        <v>-</v>
      </c>
      <c r="C18897" s="76"/>
      <c r="D18897" s="50" t="str">
        <f>IFERROR(VLOOKUP(A18897,Material!$A:$H,4,0),"-")</f>
        <v>-</v>
      </c>
      <c r="E18897" s="50"/>
      <c r="F18897" s="51" t="str">
        <f>IFERROR(VLOOKUP(A18897,Material!$A:$H,3,0),"-")</f>
        <v>-</v>
      </c>
      <c r="G18897" s="51" t="str">
        <f t="shared" si="267"/>
        <v>-</v>
      </c>
    </row>
    <row r="18898" spans="1:7" x14ac:dyDescent="0.25">
      <c r="A18898" s="17"/>
      <c r="B18898" s="72" t="str">
        <f>IFERROR(VLOOKUP(A18898,Material!$A:$H,2,0),"-")</f>
        <v>-</v>
      </c>
      <c r="C18898" s="76"/>
      <c r="D18898" s="50" t="str">
        <f>IFERROR(VLOOKUP(A18898,Material!$A:$H,4,0),"-")</f>
        <v>-</v>
      </c>
      <c r="E18898" s="50"/>
      <c r="F18898" s="51" t="str">
        <f>IFERROR(VLOOKUP(A18898,Material!$A:$H,3,0),"-")</f>
        <v>-</v>
      </c>
      <c r="G18898" s="51" t="str">
        <f t="shared" si="267"/>
        <v>-</v>
      </c>
    </row>
    <row r="18899" spans="1:7" x14ac:dyDescent="0.25">
      <c r="A18899" s="17"/>
      <c r="B18899" s="72" t="str">
        <f>IFERROR(VLOOKUP(A18899,Material!$A:$H,2,0),"-")</f>
        <v>-</v>
      </c>
      <c r="C18899" s="76"/>
      <c r="D18899" s="50" t="str">
        <f>IFERROR(VLOOKUP(A18899,Material!$A:$H,4,0),"-")</f>
        <v>-</v>
      </c>
      <c r="E18899" s="50"/>
      <c r="F18899" s="51" t="str">
        <f>IFERROR(VLOOKUP(A18899,Material!$A:$H,3,0),"-")</f>
        <v>-</v>
      </c>
      <c r="G18899" s="51" t="str">
        <f t="shared" si="267"/>
        <v>-</v>
      </c>
    </row>
    <row r="18900" spans="1:7" x14ac:dyDescent="0.25">
      <c r="A18900" s="219" t="s">
        <v>41</v>
      </c>
      <c r="B18900" s="219"/>
      <c r="C18900" s="219"/>
      <c r="D18900" s="219"/>
      <c r="E18900" s="219"/>
      <c r="F18900" s="219"/>
      <c r="G18900" s="52">
        <f>SUM(G18892:G18899)</f>
        <v>349412</v>
      </c>
    </row>
    <row r="18901" spans="1:7" x14ac:dyDescent="0.25">
      <c r="A18901" s="56"/>
      <c r="B18901" s="57"/>
      <c r="C18901" s="57"/>
      <c r="D18901" s="57"/>
      <c r="E18901" s="57"/>
      <c r="F18901" s="57"/>
      <c r="G18901" s="58"/>
    </row>
    <row r="18902" spans="1:7" x14ac:dyDescent="0.25">
      <c r="A18902" s="219" t="s">
        <v>42</v>
      </c>
      <c r="B18902" s="219"/>
      <c r="C18902" s="219"/>
      <c r="D18902" s="219"/>
      <c r="E18902" s="219"/>
      <c r="F18902" s="219"/>
      <c r="G18902" s="219"/>
    </row>
    <row r="18903" spans="1:7" x14ac:dyDescent="0.25">
      <c r="A18903" s="49" t="s">
        <v>35</v>
      </c>
      <c r="B18903" s="49" t="s">
        <v>36</v>
      </c>
      <c r="C18903" s="49" t="s">
        <v>38</v>
      </c>
      <c r="D18903" s="49" t="s">
        <v>43</v>
      </c>
      <c r="E18903" s="49" t="s">
        <v>44</v>
      </c>
      <c r="F18903" s="49" t="s">
        <v>45</v>
      </c>
      <c r="G18903" s="49" t="s">
        <v>40</v>
      </c>
    </row>
    <row r="18904" spans="1:7" x14ac:dyDescent="0.25">
      <c r="A18904" s="50" t="s">
        <v>319</v>
      </c>
      <c r="B18904" s="68" t="str">
        <f>VLOOKUP(A18904,'Componentes APUs'!$H$1:$L$25,2,0)</f>
        <v>Ingeniero Residente de Obra</v>
      </c>
      <c r="C18904" s="93">
        <v>0.25</v>
      </c>
      <c r="D18904" s="50">
        <f>VLOOKUP(A18904,'Componentes APUs'!$H$1:$L$25,3,0)</f>
        <v>4</v>
      </c>
      <c r="E18904" s="51">
        <f>VLOOKUP(A18904,'Componentes APUs'!$H$1:$L$25,4,0)</f>
        <v>271142.85714285716</v>
      </c>
      <c r="F18904" s="51">
        <f>VLOOKUP(A18904,'Componentes APUs'!$H$1:$L$25,5,0)</f>
        <v>162685.71428571429</v>
      </c>
      <c r="G18904" s="51">
        <f>ROUNDUP((E18904+F18904)*C18904/E18889,0)</f>
        <v>27115</v>
      </c>
    </row>
    <row r="18905" spans="1:7" x14ac:dyDescent="0.25">
      <c r="A18905" s="50" t="s">
        <v>320</v>
      </c>
      <c r="B18905" s="68" t="str">
        <f>VLOOKUP(A18905,'Componentes APUs'!$H$1:$L$25,2,0)</f>
        <v>Tecnico Supervisor</v>
      </c>
      <c r="C18905" s="93">
        <v>0.25</v>
      </c>
      <c r="D18905" s="50">
        <f>VLOOKUP(A18905,'Componentes APUs'!$H$1:$L$25,3,0)</f>
        <v>2.2999999999999998</v>
      </c>
      <c r="E18905" s="51">
        <f>VLOOKUP(A18905,'Componentes APUs'!$H$1:$L$25,4,0)</f>
        <v>155907.14285714284</v>
      </c>
      <c r="F18905" s="51">
        <f>VLOOKUP(A18905,'Componentes APUs'!$H$1:$L$25,5,0)</f>
        <v>93544.285714285696</v>
      </c>
      <c r="G18905" s="51">
        <f>ROUNDUP((E18905+F18905)*C18905/E18889,0)</f>
        <v>15591</v>
      </c>
    </row>
    <row r="18906" spans="1:7" x14ac:dyDescent="0.25">
      <c r="A18906" s="50" t="s">
        <v>46</v>
      </c>
      <c r="B18906" s="68" t="str">
        <f>VLOOKUP(A18906,'Componentes APUs'!$H$1:$L$25,2,0)</f>
        <v>Tecnico Liniero</v>
      </c>
      <c r="C18906" s="93">
        <v>2</v>
      </c>
      <c r="D18906" s="50">
        <f>VLOOKUP(A18906,'Componentes APUs'!$H$1:$L$25,3,0)</f>
        <v>2</v>
      </c>
      <c r="E18906" s="51">
        <f>VLOOKUP(A18906,'Componentes APUs'!$H$1:$L$25,4,0)</f>
        <v>154619.04761904763</v>
      </c>
      <c r="F18906" s="51">
        <f>VLOOKUP(A18906,'Componentes APUs'!$H$1:$L$25,5,0)</f>
        <v>92771.42857142858</v>
      </c>
      <c r="G18906" s="51">
        <f>ROUNDUP((E18906+F18906)*C18906/E18889,0)</f>
        <v>123696</v>
      </c>
    </row>
    <row r="18907" spans="1:7" x14ac:dyDescent="0.25">
      <c r="A18907" s="50" t="s">
        <v>48</v>
      </c>
      <c r="B18907" s="68" t="str">
        <f>VLOOKUP(A18907,'Componentes APUs'!$H$1:$L$25,2,0)</f>
        <v>Ayudante Calificado</v>
      </c>
      <c r="C18907" s="93">
        <v>2</v>
      </c>
      <c r="D18907" s="50">
        <f>VLOOKUP(A18907,'Componentes APUs'!$H$1:$L$25,3,0)</f>
        <v>1.5</v>
      </c>
      <c r="E18907" s="51">
        <f>VLOOKUP(A18907,'Componentes APUs'!$H$1:$L$25,4,0)</f>
        <v>115964.28571428571</v>
      </c>
      <c r="F18907" s="51">
        <f>VLOOKUP(A18907,'Componentes APUs'!$H$1:$L$25,5,0)</f>
        <v>69578.57142857142</v>
      </c>
      <c r="G18907" s="51">
        <f>ROUNDUP((E18907+F18907)*C18907/E18889,0)</f>
        <v>92772</v>
      </c>
    </row>
    <row r="18908" spans="1:7" x14ac:dyDescent="0.25">
      <c r="A18908" s="50" t="s">
        <v>50</v>
      </c>
      <c r="B18908" s="68" t="str">
        <f>VLOOKUP(A18908,'Componentes APUs'!$H$1:$L$25,2,0)</f>
        <v>Profesional en SST</v>
      </c>
      <c r="C18908" s="93">
        <v>0.25</v>
      </c>
      <c r="D18908" s="50">
        <f>VLOOKUP(A18908,'Componentes APUs'!$H$1:$L$25,3,0)</f>
        <v>2.5</v>
      </c>
      <c r="E18908" s="51">
        <f>VLOOKUP(A18908,'Componentes APUs'!$H$1:$L$25,4,0)</f>
        <v>169464.28571428571</v>
      </c>
      <c r="F18908" s="51">
        <f>VLOOKUP(A18908,'Componentes APUs'!$H$1:$L$25,5,0)</f>
        <v>101678.57142857142</v>
      </c>
      <c r="G18908" s="51">
        <f>ROUNDUP((E18908+F18908)*C18908/E18889,0)</f>
        <v>16947</v>
      </c>
    </row>
    <row r="18909" spans="1:7" x14ac:dyDescent="0.25">
      <c r="A18909" s="50" t="s">
        <v>52</v>
      </c>
      <c r="B18909" s="68" t="str">
        <f>VLOOKUP(A18909,'Componentes APUs'!$H$1:$L$25,2,0)</f>
        <v>Ayudante No Calificado</v>
      </c>
      <c r="C18909" s="93">
        <v>0</v>
      </c>
      <c r="D18909" s="50">
        <f>VLOOKUP(A18909,'Componentes APUs'!$H$1:$L$25,3,0)</f>
        <v>1</v>
      </c>
      <c r="E18909" s="51">
        <f>VLOOKUP(A18909,'Componentes APUs'!$H$1:$L$25,4,0)</f>
        <v>77309.523809523816</v>
      </c>
      <c r="F18909" s="51">
        <f>VLOOKUP(A18909,'Componentes APUs'!$H$1:$L$25,5,0)</f>
        <v>46385.71428571429</v>
      </c>
      <c r="G18909" s="51">
        <f>ROUNDUP((E18909+F18909)*C18909/E18889,0)</f>
        <v>0</v>
      </c>
    </row>
    <row r="18910" spans="1:7" x14ac:dyDescent="0.25">
      <c r="A18910" s="219" t="s">
        <v>56</v>
      </c>
      <c r="B18910" s="219"/>
      <c r="C18910" s="219"/>
      <c r="D18910" s="219"/>
      <c r="E18910" s="219"/>
      <c r="F18910" s="219"/>
      <c r="G18910" s="52">
        <f>SUM(G18904:G18909)</f>
        <v>276121</v>
      </c>
    </row>
    <row r="18911" spans="1:7" x14ac:dyDescent="0.25">
      <c r="A18911" s="56"/>
      <c r="B18911" s="57"/>
      <c r="C18911" s="57"/>
      <c r="D18911" s="57"/>
      <c r="E18911" s="57"/>
      <c r="F18911" s="57"/>
      <c r="G18911" s="58"/>
    </row>
    <row r="18912" spans="1:7" x14ac:dyDescent="0.25">
      <c r="A18912" s="219" t="s">
        <v>57</v>
      </c>
      <c r="B18912" s="219"/>
      <c r="C18912" s="219"/>
      <c r="D18912" s="219"/>
      <c r="E18912" s="219"/>
      <c r="F18912" s="219"/>
      <c r="G18912" s="219"/>
    </row>
    <row r="18913" spans="1:7" x14ac:dyDescent="0.25">
      <c r="A18913" s="49" t="s">
        <v>35</v>
      </c>
      <c r="B18913" s="219" t="s">
        <v>36</v>
      </c>
      <c r="C18913" s="219"/>
      <c r="D18913" s="49" t="s">
        <v>37</v>
      </c>
      <c r="E18913" s="49" t="s">
        <v>38</v>
      </c>
      <c r="F18913" s="49" t="s">
        <v>39</v>
      </c>
      <c r="G18913" s="49" t="s">
        <v>40</v>
      </c>
    </row>
    <row r="18914" spans="1:7" x14ac:dyDescent="0.25">
      <c r="A18914" s="50" t="s">
        <v>326</v>
      </c>
      <c r="B18914" s="220" t="str">
        <f>VLOOKUP(A18914,'Componentes APUs'!$S$1:$V$10,2,0)</f>
        <v>Juego Llaves</v>
      </c>
      <c r="C18914" s="220"/>
      <c r="D18914" s="50" t="s">
        <v>18</v>
      </c>
      <c r="E18914" s="50">
        <v>2</v>
      </c>
      <c r="F18914" s="51">
        <f>VLOOKUP(A18914,'Componentes APUs'!$S$1:$V$10,4,0)</f>
        <v>9167</v>
      </c>
      <c r="G18914" s="51">
        <f>ROUNDUP(F18914*((E18914/21)/E18889),0)</f>
        <v>219</v>
      </c>
    </row>
    <row r="18915" spans="1:7" x14ac:dyDescent="0.25">
      <c r="A18915" s="50" t="s">
        <v>58</v>
      </c>
      <c r="B18915" s="220" t="str">
        <f>VLOOKUP(A18915,'Componentes APUs'!$S$1:$V$10,2,0)</f>
        <v>Manila de servicio</v>
      </c>
      <c r="C18915" s="220"/>
      <c r="D18915" s="50" t="s">
        <v>18</v>
      </c>
      <c r="E18915" s="50">
        <v>2</v>
      </c>
      <c r="F18915" s="51">
        <f>VLOOKUP(A18915,'Componentes APUs'!$S$1:$V$10,4,0)</f>
        <v>2333</v>
      </c>
      <c r="G18915" s="51">
        <f>ROUNDUP(F18915*((E18915/21)/E18889),0)</f>
        <v>56</v>
      </c>
    </row>
    <row r="18916" spans="1:7" x14ac:dyDescent="0.25">
      <c r="A18916" s="50" t="s">
        <v>327</v>
      </c>
      <c r="B18916" s="220" t="str">
        <f>VLOOKUP(A18916,'Componentes APUs'!$S$1:$V$10,2,0)</f>
        <v>Tula portaherramientas</v>
      </c>
      <c r="C18916" s="220"/>
      <c r="D18916" s="50" t="s">
        <v>18</v>
      </c>
      <c r="E18916" s="50">
        <v>2</v>
      </c>
      <c r="F18916" s="51">
        <f>VLOOKUP(A18916,'Componentes APUs'!$S$1:$V$10,4,0)</f>
        <v>1250</v>
      </c>
      <c r="G18916" s="51">
        <f>ROUNDUP(F18916*((E18916/21)/E18889),0)</f>
        <v>30</v>
      </c>
    </row>
    <row r="18917" spans="1:7" x14ac:dyDescent="0.25">
      <c r="A18917" s="50" t="s">
        <v>60</v>
      </c>
      <c r="B18917" s="220" t="str">
        <f>VLOOKUP(A18917,'Componentes APUs'!$S$1:$V$10,2,0)</f>
        <v>Agarradoras</v>
      </c>
      <c r="C18917" s="220"/>
      <c r="D18917" s="50" t="s">
        <v>18</v>
      </c>
      <c r="E18917" s="50">
        <v>2</v>
      </c>
      <c r="F18917" s="51">
        <f>VLOOKUP(A18917,'Componentes APUs'!$S$1:$V$10,4,0)</f>
        <v>125000</v>
      </c>
      <c r="G18917" s="51">
        <f>ROUNDUP(F18917*((E18917/21)/E18889),0)</f>
        <v>2977</v>
      </c>
    </row>
    <row r="18918" spans="1:7" x14ac:dyDescent="0.25">
      <c r="A18918" s="50" t="s">
        <v>62</v>
      </c>
      <c r="B18918" s="220" t="str">
        <f>VLOOKUP(A18918,'Componentes APUs'!$S$1:$V$10,2,0)</f>
        <v>Templadoras</v>
      </c>
      <c r="C18918" s="220"/>
      <c r="D18918" s="50" t="s">
        <v>18</v>
      </c>
      <c r="E18918" s="50">
        <v>1</v>
      </c>
      <c r="F18918" s="51">
        <f>VLOOKUP(A18918,'Componentes APUs'!$S$1:$V$10,4,0)</f>
        <v>250000</v>
      </c>
      <c r="G18918" s="51">
        <f>ROUNDUP(F18918*((E18918/21)/E18889),0)</f>
        <v>2977</v>
      </c>
    </row>
    <row r="18919" spans="1:7" x14ac:dyDescent="0.25">
      <c r="A18919" s="50" t="s">
        <v>328</v>
      </c>
      <c r="B18919" s="220" t="str">
        <f>VLOOKUP(A18919,'Componentes APUs'!$S$1:$V$10,2,0)</f>
        <v>Herramienta Menor</v>
      </c>
      <c r="C18919" s="220"/>
      <c r="D18919" s="50" t="s">
        <v>18</v>
      </c>
      <c r="E18919" s="50">
        <v>2</v>
      </c>
      <c r="F18919" s="51">
        <f>VLOOKUP(A18919,'Componentes APUs'!$S$1:$V$10,4,0)</f>
        <v>75758</v>
      </c>
      <c r="G18919" s="51">
        <f>ROUNDUP(F18919*((E18919/21)/E18889),0)</f>
        <v>1804</v>
      </c>
    </row>
    <row r="18920" spans="1:7" x14ac:dyDescent="0.25">
      <c r="A18920" s="219" t="s">
        <v>69</v>
      </c>
      <c r="B18920" s="219"/>
      <c r="C18920" s="219"/>
      <c r="D18920" s="219"/>
      <c r="E18920" s="219"/>
      <c r="F18920" s="219"/>
      <c r="G18920" s="52">
        <f>SUM(G18914:G18919)</f>
        <v>8063</v>
      </c>
    </row>
    <row r="18921" spans="1:7" x14ac:dyDescent="0.25">
      <c r="A18921" s="56"/>
      <c r="B18921" s="57"/>
      <c r="C18921" s="57"/>
      <c r="D18921" s="57"/>
      <c r="E18921" s="57"/>
      <c r="F18921" s="57"/>
      <c r="G18921" s="58"/>
    </row>
    <row r="18922" spans="1:7" x14ac:dyDescent="0.25">
      <c r="A18922" s="219" t="s">
        <v>70</v>
      </c>
      <c r="B18922" s="219"/>
      <c r="C18922" s="219"/>
      <c r="D18922" s="219"/>
      <c r="E18922" s="219"/>
      <c r="F18922" s="219"/>
      <c r="G18922" s="219"/>
    </row>
    <row r="18923" spans="1:7" x14ac:dyDescent="0.25">
      <c r="A18923" s="49" t="s">
        <v>35</v>
      </c>
      <c r="B18923" s="219" t="s">
        <v>36</v>
      </c>
      <c r="C18923" s="219"/>
      <c r="D18923" s="49" t="s">
        <v>37</v>
      </c>
      <c r="E18923" s="49" t="s">
        <v>38</v>
      </c>
      <c r="F18923" s="49" t="s">
        <v>39</v>
      </c>
      <c r="G18923" s="49" t="s">
        <v>40</v>
      </c>
    </row>
    <row r="18924" spans="1:7" x14ac:dyDescent="0.25">
      <c r="A18924" s="50" t="s">
        <v>71</v>
      </c>
      <c r="B18924" s="71" t="str">
        <f>VLOOKUP(A18924,'Componentes APUs'!$A$1:$D$14,2,0)</f>
        <v>Camisa indigo sin partes metalicas</v>
      </c>
      <c r="C18924" s="71"/>
      <c r="D18924" s="50" t="str">
        <f>VLOOKUP(A18924,'Componentes APUs'!$A$1:$D$14,3,0)</f>
        <v>U</v>
      </c>
      <c r="E18924" s="50">
        <f>SUM(C18904:C18909)</f>
        <v>4.75</v>
      </c>
      <c r="F18924" s="51">
        <f>VLOOKUP(A18924,'Componentes APUs'!$A$1:$D$14,4,0)</f>
        <v>8585.8585858585866</v>
      </c>
      <c r="G18924" s="51">
        <f>ROUNDUP(F18924*(E18924/21)/E18889,0)</f>
        <v>486</v>
      </c>
    </row>
    <row r="18925" spans="1:7" x14ac:dyDescent="0.25">
      <c r="A18925" s="69" t="s">
        <v>73</v>
      </c>
      <c r="B18925" s="72" t="str">
        <f>VLOOKUP(A18925,'Componentes APUs'!$A$1:$D$14,2,0)</f>
        <v>Bota de seguridad dielectrica</v>
      </c>
      <c r="C18925" s="73"/>
      <c r="D18925" s="70" t="str">
        <f>VLOOKUP(A18925,'Componentes APUs'!$A$1:$D$14,3,0)</f>
        <v>Par</v>
      </c>
      <c r="E18925" s="50">
        <f>SUM(C18904:C18909)</f>
        <v>4.75</v>
      </c>
      <c r="F18925" s="51">
        <f>VLOOKUP(A18925,'Componentes APUs'!$A$1:$D$14,4,0)</f>
        <v>7500</v>
      </c>
      <c r="G18925" s="51">
        <f>ROUNDUP(F18925*(E18925/21)/E18889,0)</f>
        <v>425</v>
      </c>
    </row>
    <row r="18926" spans="1:7" x14ac:dyDescent="0.25">
      <c r="A18926" s="50" t="s">
        <v>76</v>
      </c>
      <c r="B18926" s="72" t="str">
        <f>VLOOKUP(A18926,'Componentes APUs'!$A$1:$D$14,2,0)</f>
        <v>Casco dielectrico Tipo 1 Clase E con barbuquejo</v>
      </c>
      <c r="C18926" s="73"/>
      <c r="D18926" s="50" t="str">
        <f>VLOOKUP(A18926,'Componentes APUs'!$A$1:$D$14,3,0)</f>
        <v>U</v>
      </c>
      <c r="E18926" s="50">
        <f>C18909+C18904+C18907+C18908+C18905+IF(A18906&lt;&gt;"MO-3",C18906,0)</f>
        <v>2.75</v>
      </c>
      <c r="F18926" s="51">
        <f>VLOOKUP(A18926,'Componentes APUs'!$A$1:$D$14,4,0)</f>
        <v>10101.010101010101</v>
      </c>
      <c r="G18926" s="51">
        <f>ROUNDUP(F18926*(E18926/21)/E18889,0)</f>
        <v>331</v>
      </c>
    </row>
    <row r="18927" spans="1:7" x14ac:dyDescent="0.25">
      <c r="A18927" s="69" t="s">
        <v>77</v>
      </c>
      <c r="B18927" s="72" t="str">
        <f>VLOOKUP(A18927,'Componentes APUs'!$A$1:$D$14,2,0)</f>
        <v>Correa plastica y antiflama</v>
      </c>
      <c r="C18927" s="73"/>
      <c r="D18927" s="50" t="str">
        <f>VLOOKUP(A18927,'Componentes APUs'!$A$1:$D$14,3,0)</f>
        <v>U</v>
      </c>
      <c r="E18927" s="50">
        <f>SUM(C18904:C18909)</f>
        <v>4.75</v>
      </c>
      <c r="F18927" s="51">
        <f>VLOOKUP(A18927,'Componentes APUs'!$A$1:$D$14,4,0)</f>
        <v>3787.878787878788</v>
      </c>
      <c r="G18927" s="51">
        <f>ROUNDUP(F18927*(E18927/21)/E18889,0)</f>
        <v>215</v>
      </c>
    </row>
    <row r="18928" spans="1:7" x14ac:dyDescent="0.25">
      <c r="A18928" s="50" t="s">
        <v>79</v>
      </c>
      <c r="B18928" s="72" t="str">
        <f>VLOOKUP(A18928,'Componentes APUs'!$A$1:$D$14,2,0)</f>
        <v>Gafas protectoras filtro UV</v>
      </c>
      <c r="C18928" s="73"/>
      <c r="D18928" s="50" t="str">
        <f>VLOOKUP(A18928,'Componentes APUs'!$A$1:$D$14,3,0)</f>
        <v>U</v>
      </c>
      <c r="E18928" s="50">
        <f>SUM(C18904:C18909)</f>
        <v>4.75</v>
      </c>
      <c r="F18928" s="51">
        <f>VLOOKUP(A18928,'Componentes APUs'!$A$1:$D$14,4,0)</f>
        <v>2777.7777777777778</v>
      </c>
      <c r="G18928" s="51">
        <f>ROUNDUP(F18928*(E18928/21)/E18889,0)</f>
        <v>158</v>
      </c>
    </row>
    <row r="18929" spans="1:7" x14ac:dyDescent="0.25">
      <c r="A18929" s="69" t="s">
        <v>402</v>
      </c>
      <c r="B18929" s="72" t="str">
        <f>VLOOKUP(A18929,'Componentes APUs'!$A$1:$D$14,2,0)</f>
        <v>Bota de seguridad PVC dielectrica</v>
      </c>
      <c r="C18929" s="73"/>
      <c r="D18929" s="50" t="str">
        <f>VLOOKUP(A18929,'Componentes APUs'!$A$1:$D$14,3,0)</f>
        <v>Par</v>
      </c>
      <c r="E18929" s="50">
        <f>SUM(C18904:C18909)</f>
        <v>4.75</v>
      </c>
      <c r="F18929" s="51">
        <f>VLOOKUP(A18929,'Componentes APUs'!$A$1:$D$14,4,0)</f>
        <v>2916.6666666666665</v>
      </c>
      <c r="G18929" s="51">
        <f>ROUNDUP(F18929*(E18929/21)/E18889,0)</f>
        <v>165</v>
      </c>
    </row>
    <row r="18930" spans="1:7" x14ac:dyDescent="0.25">
      <c r="A18930" s="50" t="s">
        <v>403</v>
      </c>
      <c r="B18930" s="72" t="str">
        <f>VLOOKUP(A18930,'Componentes APUs'!$A$1:$D$14,2,0)</f>
        <v>Capuchon</v>
      </c>
      <c r="C18930" s="73"/>
      <c r="D18930" s="50" t="str">
        <f>VLOOKUP(A18930,'Componentes APUs'!$A$1:$D$14,3,0)</f>
        <v>U</v>
      </c>
      <c r="E18930" s="50">
        <f>SUM(C18904:C18909)</f>
        <v>4.75</v>
      </c>
      <c r="F18930" s="51">
        <f>VLOOKUP(A18930,'Componentes APUs'!$A$1:$D$14,4,0)</f>
        <v>2525.2525252525252</v>
      </c>
      <c r="G18930" s="51">
        <f>ROUNDUP(F18930*(E18930/21)/E18889,0)</f>
        <v>143</v>
      </c>
    </row>
    <row r="18931" spans="1:7" x14ac:dyDescent="0.25">
      <c r="A18931" s="69" t="s">
        <v>81</v>
      </c>
      <c r="B18931" s="72" t="str">
        <f>VLOOKUP(A18931,'Componentes APUs'!$A$1:$D$14,2,0)</f>
        <v>Guantes Protectores  - ingeniero reforzados</v>
      </c>
      <c r="C18931" s="73"/>
      <c r="D18931" s="50" t="str">
        <f>VLOOKUP(A18931,'Componentes APUs'!$A$1:$D$14,3,0)</f>
        <v>Par</v>
      </c>
      <c r="E18931" s="50">
        <f>C18906+C18907+C18909</f>
        <v>4</v>
      </c>
      <c r="F18931" s="51">
        <f>VLOOKUP(A18931,'Componentes APUs'!$A$1:$D$14,4,0)</f>
        <v>2525.2525252525252</v>
      </c>
      <c r="G18931" s="51">
        <f>ROUNDUP(F18931*(E18931/21)/E18889,0)</f>
        <v>121</v>
      </c>
    </row>
    <row r="18932" spans="1:7" x14ac:dyDescent="0.25">
      <c r="A18932" s="50" t="s">
        <v>83</v>
      </c>
      <c r="B18932" s="72" t="str">
        <f>VLOOKUP(A18932,'Componentes APUs'!$A$1:$D$14,2,0)</f>
        <v>Impermeable (pantalon camisa)</v>
      </c>
      <c r="C18932" s="73"/>
      <c r="D18932" s="50" t="str">
        <f>VLOOKUP(A18932,'Componentes APUs'!$A$1:$D$14,3,0)</f>
        <v>U</v>
      </c>
      <c r="E18932" s="50">
        <f>SUM(C18904:C18909)</f>
        <v>4.75</v>
      </c>
      <c r="F18932" s="51">
        <f>VLOOKUP(A18932,'Componentes APUs'!$A$1:$D$14,4,0)</f>
        <v>3750</v>
      </c>
      <c r="G18932" s="51">
        <f>ROUNDUP(F18932*(E18932/21)/E18889,0)</f>
        <v>213</v>
      </c>
    </row>
    <row r="18933" spans="1:7" x14ac:dyDescent="0.25">
      <c r="A18933" s="69" t="s">
        <v>85</v>
      </c>
      <c r="B18933" s="72" t="str">
        <f>VLOOKUP(A18933,'Componentes APUs'!$A$1:$D$14,2,0)</f>
        <v>Jean Dielectrico</v>
      </c>
      <c r="C18933" s="73"/>
      <c r="D18933" s="50" t="str">
        <f>VLOOKUP(A18933,'Componentes APUs'!$A$1:$D$14,3,0)</f>
        <v>U</v>
      </c>
      <c r="E18933" s="50">
        <f>SUM(C18904:C18909)</f>
        <v>4.75</v>
      </c>
      <c r="F18933" s="51">
        <f>VLOOKUP(A18933,'Componentes APUs'!$A$1:$D$14,4,0)</f>
        <v>7575.757575757576</v>
      </c>
      <c r="G18933" s="51">
        <f>ROUNDUP(F18933*(E18933/21)/E18889,0)</f>
        <v>429</v>
      </c>
    </row>
    <row r="18934" spans="1:7" x14ac:dyDescent="0.25">
      <c r="A18934" s="50" t="s">
        <v>87</v>
      </c>
      <c r="B18934" s="72" t="str">
        <f>VLOOKUP(A18934,'Componentes APUs'!$A$1:$D$14,2,0)</f>
        <v>Casco dielectrico Tipo 2 Clase E con barboquejo</v>
      </c>
      <c r="C18934" s="73"/>
      <c r="D18934" s="50" t="str">
        <f>VLOOKUP(A18934,'Componentes APUs'!$A$1:$D$14,3,0)</f>
        <v>U</v>
      </c>
      <c r="E18934" s="53">
        <f>IF(A18906="MO-3",C18906,0)</f>
        <v>2</v>
      </c>
      <c r="F18934" s="51">
        <f>VLOOKUP(A18934,'Componentes APUs'!$A$1:$D$14,4,0)</f>
        <v>7500</v>
      </c>
      <c r="G18934" s="51">
        <f>ROUNDUP(F18934*(E18934/21)/E18889,0)</f>
        <v>179</v>
      </c>
    </row>
    <row r="18935" spans="1:7" x14ac:dyDescent="0.25">
      <c r="A18935" s="69" t="s">
        <v>89</v>
      </c>
      <c r="B18935" s="72" t="str">
        <f>VLOOKUP(A18935,'Componentes APUs'!$A$1:$D$14,2,0)</f>
        <v>Kit de rescate para trabajo en alturas</v>
      </c>
      <c r="C18935" s="73"/>
      <c r="D18935" s="50" t="str">
        <f>VLOOKUP(A18935,'Componentes APUs'!$A$1:$D$14,3,0)</f>
        <v>U</v>
      </c>
      <c r="E18935" s="50">
        <f>IF(AND(A18906="MO-3",C18906=2),1,0)</f>
        <v>1</v>
      </c>
      <c r="F18935" s="51">
        <f>VLOOKUP(A18935,'Componentes APUs'!$A$1:$D$14,4,0)</f>
        <v>37500</v>
      </c>
      <c r="G18935" s="51">
        <f>ROUNDUP(F18935*(E18935/21)/E18889,0)</f>
        <v>447</v>
      </c>
    </row>
    <row r="18936" spans="1:7" x14ac:dyDescent="0.25">
      <c r="A18936" s="50" t="s">
        <v>91</v>
      </c>
      <c r="B18936" s="72" t="str">
        <f>VLOOKUP(A18936,'Componentes APUs'!$A$1:$D$14,2,0)</f>
        <v>Equipo completo para trabajo en alturas con pretales (Arnes dielectrico, 1 mosqueton de seguridad, tie off dielectrico, eslinga de posicionamiento, juego de pretales)</v>
      </c>
      <c r="C18936" s="73"/>
      <c r="D18936" s="50" t="str">
        <f>VLOOKUP(A18936,'Componentes APUs'!$A$1:$D$14,3,0)</f>
        <v>U</v>
      </c>
      <c r="E18936" s="50">
        <f>IF(A18906="MO-3",C18906)</f>
        <v>2</v>
      </c>
      <c r="F18936" s="51">
        <f>VLOOKUP(A18936,'Componentes APUs'!$A$1:$D$14,4,0)</f>
        <v>26041.666666666668</v>
      </c>
      <c r="G18936" s="51">
        <f>ROUNDUP(F18936*(E18936/21)/E18889,0)</f>
        <v>621</v>
      </c>
    </row>
    <row r="18937" spans="1:7" x14ac:dyDescent="0.25">
      <c r="A18937" s="219" t="s">
        <v>95</v>
      </c>
      <c r="B18937" s="219"/>
      <c r="C18937" s="219"/>
      <c r="D18937" s="219"/>
      <c r="E18937" s="219"/>
      <c r="F18937" s="219"/>
      <c r="G18937" s="52">
        <f>SUM(G18924:G18936)</f>
        <v>3933</v>
      </c>
    </row>
    <row r="18938" spans="1:7" x14ac:dyDescent="0.25">
      <c r="A18938" s="56"/>
      <c r="B18938" s="57"/>
      <c r="C18938" s="57"/>
      <c r="D18938" s="57"/>
      <c r="E18938" s="57"/>
      <c r="F18938" s="57"/>
      <c r="G18938" s="58"/>
    </row>
    <row r="18939" spans="1:7" x14ac:dyDescent="0.25">
      <c r="A18939" s="219" t="s">
        <v>96</v>
      </c>
      <c r="B18939" s="219"/>
      <c r="C18939" s="219"/>
      <c r="D18939" s="219"/>
      <c r="E18939" s="219"/>
      <c r="F18939" s="219"/>
      <c r="G18939" s="219"/>
    </row>
    <row r="18940" spans="1:7" x14ac:dyDescent="0.25">
      <c r="A18940" s="49" t="s">
        <v>35</v>
      </c>
      <c r="B18940" s="225" t="s">
        <v>36</v>
      </c>
      <c r="C18940" s="225"/>
      <c r="D18940" s="49" t="s">
        <v>37</v>
      </c>
      <c r="E18940" s="49" t="s">
        <v>38</v>
      </c>
      <c r="F18940" s="49" t="s">
        <v>39</v>
      </c>
      <c r="G18940" s="49" t="s">
        <v>40</v>
      </c>
    </row>
    <row r="18941" spans="1:7" x14ac:dyDescent="0.25">
      <c r="A18941" s="69" t="s">
        <v>97</v>
      </c>
      <c r="B18941" s="72" t="str">
        <f>VLOOKUP(A18941,'Componentes APUs'!$N$1:$Q$30,2,0)</f>
        <v>Camioneta</v>
      </c>
      <c r="C18941" s="73"/>
      <c r="D18941" s="70" t="str">
        <f>VLOOKUP(A18941,'Componentes APUs'!$N$1:$Q$30,3,0)</f>
        <v>U</v>
      </c>
      <c r="E18941" s="50">
        <v>1</v>
      </c>
      <c r="F18941" s="51">
        <f>VLOOKUP(A18941,'Componentes APUs'!$N$1:$Q$30,4,0)</f>
        <v>5500000</v>
      </c>
      <c r="G18941" s="51">
        <f>IFERROR(ROUNDUP(F18941*(E18941/21)/E18889,0),0)</f>
        <v>65477</v>
      </c>
    </row>
    <row r="18942" spans="1:7" x14ac:dyDescent="0.25">
      <c r="A18942" s="50" t="s">
        <v>321</v>
      </c>
      <c r="B18942" s="72" t="str">
        <f>VLOOKUP(A18942,'Componentes APUs'!$N$1:$Q$30,2,0)</f>
        <v>Grúa Hidráulica</v>
      </c>
      <c r="C18942" s="73"/>
      <c r="D18942" s="70" t="str">
        <f>VLOOKUP(A18942,'Componentes APUs'!$N$1:$Q$30,3,0)</f>
        <v>U</v>
      </c>
      <c r="E18942" s="50">
        <v>0</v>
      </c>
      <c r="F18942" s="51">
        <f>VLOOKUP(A18942,'Componentes APUs'!$N$1:$Q$30,4,0)</f>
        <v>21000000</v>
      </c>
      <c r="G18942" s="51">
        <f>IFERROR(ROUNDUP(F18942*(E18942/21)/E18889,0),0)</f>
        <v>0</v>
      </c>
    </row>
    <row r="18943" spans="1:7" x14ac:dyDescent="0.25">
      <c r="A18943" s="69" t="s">
        <v>322</v>
      </c>
      <c r="B18943" s="72" t="str">
        <f>VLOOKUP(A18943,'Componentes APUs'!$N$1:$Q$30,2,0)</f>
        <v>Camabaja</v>
      </c>
      <c r="C18943" s="73"/>
      <c r="D18943" s="70" t="str">
        <f>VLOOKUP(A18943,'Componentes APUs'!$N$1:$Q$30,3,0)</f>
        <v>TON/KM</v>
      </c>
      <c r="E18943" s="50">
        <v>0</v>
      </c>
      <c r="F18943" s="51">
        <f>VLOOKUP(A18943,'Componentes APUs'!$N$1:$Q$30,4,0)</f>
        <v>611</v>
      </c>
      <c r="G18943" s="51">
        <f>IFERROR(ROUNDUP(F18943*(E18943/21)/E18889,0),0)</f>
        <v>0</v>
      </c>
    </row>
    <row r="18944" spans="1:7" x14ac:dyDescent="0.25">
      <c r="A18944" s="50" t="s">
        <v>323</v>
      </c>
      <c r="B18944" s="72" t="str">
        <f>VLOOKUP(A18944,'Componentes APUs'!$N$1:$Q$30,2,0)</f>
        <v>Volqueta</v>
      </c>
      <c r="C18944" s="73"/>
      <c r="D18944" s="70" t="str">
        <f>VLOOKUP(A18944,'Componentes APUs'!$N$1:$Q$30,3,0)</f>
        <v>U</v>
      </c>
      <c r="E18944" s="50">
        <v>0</v>
      </c>
      <c r="F18944" s="51">
        <f>VLOOKUP(A18944,'Componentes APUs'!$N$1:$Q$30,4,0)</f>
        <v>14828184</v>
      </c>
      <c r="G18944" s="51">
        <f>IFERROR(ROUNDUP(F18944*(E18944/21)/E18889,0),0)</f>
        <v>0</v>
      </c>
    </row>
    <row r="18945" spans="1:7" x14ac:dyDescent="0.25">
      <c r="A18945" s="69" t="s">
        <v>324</v>
      </c>
      <c r="B18945" s="72" t="str">
        <f>VLOOKUP(A18945,'Componentes APUs'!$N$1:$Q$30,2,0)</f>
        <v>Retroexcavadora</v>
      </c>
      <c r="C18945" s="73"/>
      <c r="D18945" s="70" t="str">
        <f>VLOOKUP(A18945,'Componentes APUs'!$N$1:$Q$30,3,0)</f>
        <v>U</v>
      </c>
      <c r="E18945" s="50">
        <v>0</v>
      </c>
      <c r="F18945" s="51">
        <f>VLOOKUP(A18945,'Componentes APUs'!$N$1:$Q$30,4,0)</f>
        <v>46030656</v>
      </c>
      <c r="G18945" s="51">
        <f>IFERROR(ROUNDUP(F18945*(E18945/21)/E18889,0),0)</f>
        <v>0</v>
      </c>
    </row>
    <row r="18946" spans="1:7" x14ac:dyDescent="0.25">
      <c r="A18946" s="219" t="s">
        <v>99</v>
      </c>
      <c r="B18946" s="219"/>
      <c r="C18946" s="219"/>
      <c r="D18946" s="219"/>
      <c r="E18946" s="219"/>
      <c r="F18946" s="219"/>
      <c r="G18946" s="52">
        <f>SUM(G18941:G18945)</f>
        <v>65477</v>
      </c>
    </row>
    <row r="18947" spans="1:7" x14ac:dyDescent="0.25">
      <c r="A18947" s="56"/>
      <c r="B18947" s="57"/>
      <c r="C18947" s="57"/>
      <c r="D18947" s="57"/>
      <c r="E18947" s="57"/>
      <c r="F18947" s="57"/>
      <c r="G18947" s="58"/>
    </row>
    <row r="18948" spans="1:7" x14ac:dyDescent="0.25">
      <c r="A18948" s="219" t="s">
        <v>1516</v>
      </c>
      <c r="B18948" s="219"/>
      <c r="C18948" s="219"/>
      <c r="D18948" s="219"/>
      <c r="E18948" s="219"/>
      <c r="F18948" s="219"/>
      <c r="G18948" s="52">
        <f>G18946+G18937+G18920+G18910+G18900</f>
        <v>703006</v>
      </c>
    </row>
    <row r="18949" spans="1:7" x14ac:dyDescent="0.25">
      <c r="A18949" s="59"/>
      <c r="B18949" s="60"/>
      <c r="C18949" s="60"/>
      <c r="D18949" s="60"/>
      <c r="E18949" s="57"/>
      <c r="F18949" s="57"/>
      <c r="G18949" s="58"/>
    </row>
    <row r="18950" spans="1:7" x14ac:dyDescent="0.25">
      <c r="A18950" s="64"/>
      <c r="D18950" s="55"/>
      <c r="E18950" s="49" t="s">
        <v>25</v>
      </c>
      <c r="F18950" s="54">
        <v>0.15</v>
      </c>
      <c r="G18950" s="51">
        <f>G18948*F18950</f>
        <v>105450.9</v>
      </c>
    </row>
    <row r="18951" spans="1:7" x14ac:dyDescent="0.25">
      <c r="A18951" s="64"/>
      <c r="D18951" s="55"/>
      <c r="E18951" s="49" t="s">
        <v>26</v>
      </c>
      <c r="F18951" s="54">
        <v>0.05</v>
      </c>
      <c r="G18951" s="51">
        <f>G18948*F18951</f>
        <v>35150.300000000003</v>
      </c>
    </row>
    <row r="18952" spans="1:7" x14ac:dyDescent="0.25">
      <c r="A18952" s="61"/>
      <c r="B18952" s="65"/>
      <c r="C18952" s="65"/>
      <c r="D18952" s="62"/>
      <c r="E18952" s="49" t="s">
        <v>27</v>
      </c>
      <c r="F18952" s="54">
        <v>0.05</v>
      </c>
      <c r="G18952" s="51">
        <f>G18948*F18952</f>
        <v>35150.300000000003</v>
      </c>
    </row>
    <row r="18953" spans="1:7" x14ac:dyDescent="0.25">
      <c r="A18953" s="61"/>
      <c r="B18953" s="62"/>
      <c r="C18953" s="62"/>
      <c r="D18953" s="62"/>
      <c r="E18953" s="62"/>
      <c r="F18953" s="62"/>
      <c r="G18953" s="63"/>
    </row>
    <row r="18954" spans="1:7" x14ac:dyDescent="0.25">
      <c r="A18954" s="219" t="s">
        <v>1517</v>
      </c>
      <c r="B18954" s="219"/>
      <c r="C18954" s="219"/>
      <c r="D18954" s="219"/>
      <c r="E18954" s="219"/>
      <c r="F18954" s="219"/>
      <c r="G18954" s="52">
        <f>G18948+G18950+G18951+G18952</f>
        <v>878757.50000000012</v>
      </c>
    </row>
    <row r="18955" spans="1:7" x14ac:dyDescent="0.25">
      <c r="A18955" s="59"/>
      <c r="B18955" s="60"/>
      <c r="C18955" s="60"/>
      <c r="D18955" s="60"/>
      <c r="E18955" s="57"/>
      <c r="F18955" s="57"/>
      <c r="G18955" s="58"/>
    </row>
    <row r="18956" spans="1:7" x14ac:dyDescent="0.25">
      <c r="A18956" s="64"/>
      <c r="D18956" s="55"/>
      <c r="E18956" s="49" t="s">
        <v>102</v>
      </c>
      <c r="F18956" s="49" t="s">
        <v>103</v>
      </c>
      <c r="G18956" s="51">
        <f>G18952*19%</f>
        <v>6678.5570000000007</v>
      </c>
    </row>
    <row r="18957" spans="1:7" x14ac:dyDescent="0.25">
      <c r="A18957" s="61"/>
      <c r="B18957" s="62"/>
      <c r="C18957" s="62"/>
      <c r="D18957" s="62"/>
      <c r="E18957" s="57"/>
      <c r="F18957" s="57"/>
      <c r="G18957" s="58"/>
    </row>
    <row r="18958" spans="1:7" x14ac:dyDescent="0.25">
      <c r="A18958" s="219" t="s">
        <v>104</v>
      </c>
      <c r="B18958" s="219"/>
      <c r="C18958" s="219"/>
      <c r="D18958" s="219"/>
      <c r="E18958" s="219"/>
      <c r="F18958" s="219"/>
      <c r="G18958" s="52">
        <f>G18956+G18954</f>
        <v>885436.05700000015</v>
      </c>
    </row>
    <row r="18960" spans="1:7" x14ac:dyDescent="0.25">
      <c r="A18960" s="74" t="s">
        <v>29</v>
      </c>
      <c r="B18960" s="226" t="s">
        <v>30</v>
      </c>
      <c r="C18960" s="226"/>
      <c r="D18960" s="74" t="s">
        <v>31</v>
      </c>
      <c r="E18960" s="74" t="s">
        <v>32</v>
      </c>
      <c r="F18960" s="74" t="s">
        <v>189</v>
      </c>
      <c r="G18960" s="74" t="s">
        <v>33</v>
      </c>
    </row>
    <row r="18961" spans="1:7" ht="43.5" customHeight="1" x14ac:dyDescent="0.25">
      <c r="A18961" s="50" t="str">
        <f>Presupuesto!B368</f>
        <v>038_AUX</v>
      </c>
      <c r="B18961" s="220" t="str">
        <f>Presupuesto!C368</f>
        <v>SISTEMA DE SEGURIDAD PERIMETRAL (INCLUYE: 8 SENSORES DE BARRERA FOTOELÉCTRICA, PANEL DE CONTROL,  Y ACCESORIOS PARA SU INSTALACIÓN), TUBERÍA PVC 3/4".  (Longitud Promedio 145 m)</v>
      </c>
      <c r="C18961" s="220"/>
      <c r="D18961" s="50" t="s">
        <v>8</v>
      </c>
      <c r="E18961" s="50">
        <v>0.5</v>
      </c>
      <c r="F18961" s="50"/>
      <c r="G18961" s="51">
        <f>G19032</f>
        <v>14259697.523499999</v>
      </c>
    </row>
    <row r="18962" spans="1:7" x14ac:dyDescent="0.25">
      <c r="A18962" s="219" t="s">
        <v>34</v>
      </c>
      <c r="B18962" s="219"/>
      <c r="C18962" s="219"/>
      <c r="D18962" s="219"/>
      <c r="E18962" s="219"/>
      <c r="F18962" s="219"/>
      <c r="G18962" s="219"/>
    </row>
    <row r="18963" spans="1:7" x14ac:dyDescent="0.25">
      <c r="A18963" s="49" t="s">
        <v>35</v>
      </c>
      <c r="B18963" s="219" t="s">
        <v>36</v>
      </c>
      <c r="C18963" s="219"/>
      <c r="D18963" s="49" t="s">
        <v>37</v>
      </c>
      <c r="E18963" s="49" t="s">
        <v>38</v>
      </c>
      <c r="F18963" s="49" t="s">
        <v>39</v>
      </c>
      <c r="G18963" s="49" t="s">
        <v>40</v>
      </c>
    </row>
    <row r="18964" spans="1:7" x14ac:dyDescent="0.25">
      <c r="A18964" s="17" t="str">
        <f>Material!A207</f>
        <v>MA-206</v>
      </c>
      <c r="B18964" s="72" t="str">
        <f>IFERROR(VLOOKUP(A18964,Material!$A:$H,2,0),"-")</f>
        <v>CABLE FUTP CON CATEGORIA 6 APANTALLADO</v>
      </c>
      <c r="C18964" s="76"/>
      <c r="D18964" s="50" t="str">
        <f>IFERROR(VLOOKUP(A18964,Material!$A:$H,4,0),"-")</f>
        <v>ML</v>
      </c>
      <c r="E18964" s="50">
        <v>170</v>
      </c>
      <c r="F18964" s="51">
        <f>IFERROR(VLOOKUP(A18964,Material!$A:$H,3,0),"-")</f>
        <v>5590</v>
      </c>
      <c r="G18964" s="51">
        <f t="shared" ref="G18964:G18973" si="268">IFERROR(ROUNDUP(F18964*E18964,0),"-")</f>
        <v>950300</v>
      </c>
    </row>
    <row r="18965" spans="1:7" x14ac:dyDescent="0.25">
      <c r="A18965" s="17" t="str">
        <f>Material!A145</f>
        <v>MA-144</v>
      </c>
      <c r="B18965" s="72" t="str">
        <f>IFERROR(VLOOKUP(A18965,Material!$A:$H,2,0),"-")</f>
        <v>SENSOR DE BARRERA FOTOELÉCTRICA</v>
      </c>
      <c r="C18965" s="76"/>
      <c r="D18965" s="50" t="str">
        <f>IFERROR(VLOOKUP(A18965,Material!$A:$H,4,0),"-")</f>
        <v>UN</v>
      </c>
      <c r="E18965" s="50">
        <v>8</v>
      </c>
      <c r="F18965" s="51">
        <f>IFERROR(VLOOKUP(A18965,Material!$A:$H,3,0),"-")</f>
        <v>416000</v>
      </c>
      <c r="G18965" s="51">
        <f t="shared" si="268"/>
        <v>3328000</v>
      </c>
    </row>
    <row r="18966" spans="1:7" ht="22.5" customHeight="1" x14ac:dyDescent="0.25">
      <c r="A18966" s="17" t="str">
        <f>Material!A219</f>
        <v>MA-218</v>
      </c>
      <c r="B18966" s="221" t="str">
        <f>IFERROR(VLOOKUP(A18966,Material!$A:$H,2,0),"-")</f>
        <v>PANEL DE CONTROL PARA SISTEMA DE DETECCIÓN FOTOELÉCTRICO PERIMETRAL</v>
      </c>
      <c r="C18966" s="222"/>
      <c r="D18966" s="50" t="str">
        <f>IFERROR(VLOOKUP(A18966,Material!$A:$H,4,0),"-")</f>
        <v>UN</v>
      </c>
      <c r="E18966" s="50">
        <v>1</v>
      </c>
      <c r="F18966" s="51">
        <f>IFERROR(VLOOKUP(A18966,Material!$A:$H,3,0),"-")</f>
        <v>2028000</v>
      </c>
      <c r="G18966" s="51">
        <f t="shared" si="268"/>
        <v>2028000</v>
      </c>
    </row>
    <row r="18967" spans="1:7" x14ac:dyDescent="0.25">
      <c r="A18967" s="17" t="str">
        <f>Material!A72</f>
        <v>MA-71</v>
      </c>
      <c r="B18967" s="72" t="str">
        <f>IFERROR(VLOOKUP(A18967,Material!$A:$H,2,0),"-")</f>
        <v>TUBERÍA PVC 3/4"</v>
      </c>
      <c r="C18967" s="76"/>
      <c r="D18967" s="50" t="str">
        <f>IFERROR(VLOOKUP(A18967,Material!$A:$H,4,0),"-")</f>
        <v>ML</v>
      </c>
      <c r="E18967" s="50">
        <v>145</v>
      </c>
      <c r="F18967" s="51">
        <f>IFERROR(VLOOKUP(A18967,Material!$A:$H,3,0),"-")</f>
        <v>2253.3333333333335</v>
      </c>
      <c r="G18967" s="51">
        <f t="shared" ref="G18967" si="269">IFERROR(ROUNDUP(F18967*E18967,0),"-")</f>
        <v>326734</v>
      </c>
    </row>
    <row r="18968" spans="1:7" x14ac:dyDescent="0.25">
      <c r="A18968" s="17" t="str">
        <f>Material!A73</f>
        <v>MA-72</v>
      </c>
      <c r="B18968" s="72" t="str">
        <f>IFERROR(VLOOKUP(A18968,Material!$A:$H,2,0),"-")</f>
        <v>CURVA PVC 3/4"</v>
      </c>
      <c r="C18968" s="76"/>
      <c r="D18968" s="50" t="str">
        <f>IFERROR(VLOOKUP(A18968,Material!$A:$H,4,0),"-")</f>
        <v>UN</v>
      </c>
      <c r="E18968" s="50">
        <v>6</v>
      </c>
      <c r="F18968" s="51">
        <f>IFERROR(VLOOKUP(A18968,Material!$A:$H,3,0),"-")</f>
        <v>975</v>
      </c>
      <c r="G18968" s="51">
        <f t="shared" ref="G18968:G18969" si="270">IFERROR(ROUNDUP(F18968*E18968,0),"-")</f>
        <v>5850</v>
      </c>
    </row>
    <row r="18969" spans="1:7" x14ac:dyDescent="0.25">
      <c r="A18969" s="17" t="str">
        <f>Material!A450</f>
        <v>MA-449</v>
      </c>
      <c r="B18969" s="72" t="str">
        <f>IFERROR(VLOOKUP(A18969,Material!$A:$H,2,0),"-")</f>
        <v>UNION PVC DE 3/4 "</v>
      </c>
      <c r="C18969" s="76"/>
      <c r="D18969" s="50" t="str">
        <f>IFERROR(VLOOKUP(A18969,Material!$A:$H,4,0),"-")</f>
        <v>UN</v>
      </c>
      <c r="E18969" s="50">
        <f>E18964/10</f>
        <v>17</v>
      </c>
      <c r="F18969" s="51">
        <f>IFERROR(VLOOKUP(A18969,Material!$A:$H,3,0),"-")</f>
        <v>845</v>
      </c>
      <c r="G18969" s="51">
        <f t="shared" si="270"/>
        <v>14365</v>
      </c>
    </row>
    <row r="18970" spans="1:7" x14ac:dyDescent="0.25">
      <c r="A18970" s="17" t="str">
        <f>Material!A201</f>
        <v>MA-200</v>
      </c>
      <c r="B18970" s="72" t="str">
        <f>IFERROR(VLOOKUP(A18970,Material!$A:$H,2,0),"-")</f>
        <v>SOLDADURA PVC 1/4 GL</v>
      </c>
      <c r="C18970" s="76"/>
      <c r="D18970" s="50" t="str">
        <f>IFERROR(VLOOKUP(A18970,Material!$A:$H,4,0),"-")</f>
        <v>GALÓN</v>
      </c>
      <c r="E18970" s="96">
        <f>8/60</f>
        <v>0.13333333333333333</v>
      </c>
      <c r="F18970" s="51">
        <f>IFERROR(VLOOKUP(A18970,Material!$A:$H,3,0),"-")</f>
        <v>88270</v>
      </c>
      <c r="G18970" s="51">
        <f t="shared" si="268"/>
        <v>11770</v>
      </c>
    </row>
    <row r="18971" spans="1:7" x14ac:dyDescent="0.25">
      <c r="A18971" s="17" t="str">
        <f>Material!A253</f>
        <v>MA-252</v>
      </c>
      <c r="B18971" s="72" t="str">
        <f>IFERROR(VLOOKUP(A18971,Material!$A:$H,2,0),"-")</f>
        <v>LIMPIADOR DE TUBERÍA PVC 1/4 GL</v>
      </c>
      <c r="C18971" s="76"/>
      <c r="D18971" s="50" t="str">
        <f>IFERROR(VLOOKUP(A18971,Material!$A:$H,4,0),"-")</f>
        <v>GALÓN</v>
      </c>
      <c r="E18971" s="96">
        <f>8/60</f>
        <v>0.13333333333333333</v>
      </c>
      <c r="F18971" s="51">
        <f>IFERROR(VLOOKUP(A18971,Material!$A:$H,3,0),"-")</f>
        <v>60970</v>
      </c>
      <c r="G18971" s="51">
        <f t="shared" si="268"/>
        <v>8130</v>
      </c>
    </row>
    <row r="18972" spans="1:7" x14ac:dyDescent="0.25">
      <c r="A18972" s="17" t="str">
        <f>Material!A144</f>
        <v>MA-143</v>
      </c>
      <c r="B18972" s="72" t="str">
        <f>IFERROR(VLOOKUP(A18972,Material!$A:$H,2,0),"-")</f>
        <v>CABLE ENCAUCHETADO 3 X 12 AWG COBRE</v>
      </c>
      <c r="C18972" s="76"/>
      <c r="D18972" s="50" t="str">
        <f>IFERROR(VLOOKUP(A18972,Material!$A:$H,4,0),"-")</f>
        <v>ML</v>
      </c>
      <c r="E18972" s="50">
        <f>145</f>
        <v>145</v>
      </c>
      <c r="F18972" s="51">
        <f>IFERROR(VLOOKUP(A18972,Material!$A:$H,3,0),"-")</f>
        <v>12935</v>
      </c>
      <c r="G18972" s="51">
        <f t="shared" si="268"/>
        <v>1875575</v>
      </c>
    </row>
    <row r="18973" spans="1:7" x14ac:dyDescent="0.25">
      <c r="A18973" s="17"/>
      <c r="B18973" s="72" t="str">
        <f>IFERROR(VLOOKUP(A18973,Material!$A:$H,2,0),"-")</f>
        <v>-</v>
      </c>
      <c r="C18973" s="76"/>
      <c r="D18973" s="50" t="str">
        <f>IFERROR(VLOOKUP(A18973,Material!$A:$H,4,0),"-")</f>
        <v>-</v>
      </c>
      <c r="E18973" s="50"/>
      <c r="F18973" s="51" t="str">
        <f>IFERROR(VLOOKUP(A18973,Material!$A:$H,3,0),"-")</f>
        <v>-</v>
      </c>
      <c r="G18973" s="51" t="str">
        <f t="shared" si="268"/>
        <v>-</v>
      </c>
    </row>
    <row r="18974" spans="1:7" x14ac:dyDescent="0.25">
      <c r="A18974" s="219" t="s">
        <v>41</v>
      </c>
      <c r="B18974" s="219"/>
      <c r="C18974" s="219"/>
      <c r="D18974" s="219"/>
      <c r="E18974" s="219"/>
      <c r="F18974" s="219"/>
      <c r="G18974" s="52">
        <f>SUM(G18964:G18973)</f>
        <v>8548724</v>
      </c>
    </row>
    <row r="18975" spans="1:7" x14ac:dyDescent="0.25">
      <c r="A18975" s="56"/>
      <c r="B18975" s="57"/>
      <c r="C18975" s="57"/>
      <c r="D18975" s="57"/>
      <c r="E18975" s="57"/>
      <c r="F18975" s="57"/>
      <c r="G18975" s="58"/>
    </row>
    <row r="18976" spans="1:7" x14ac:dyDescent="0.25">
      <c r="A18976" s="219" t="s">
        <v>42</v>
      </c>
      <c r="B18976" s="219"/>
      <c r="C18976" s="219"/>
      <c r="D18976" s="219"/>
      <c r="E18976" s="219"/>
      <c r="F18976" s="219"/>
      <c r="G18976" s="219"/>
    </row>
    <row r="18977" spans="1:7" x14ac:dyDescent="0.25">
      <c r="A18977" s="49" t="s">
        <v>35</v>
      </c>
      <c r="B18977" s="49" t="s">
        <v>36</v>
      </c>
      <c r="C18977" s="49" t="s">
        <v>38</v>
      </c>
      <c r="D18977" s="49" t="s">
        <v>43</v>
      </c>
      <c r="E18977" s="49" t="s">
        <v>44</v>
      </c>
      <c r="F18977" s="49" t="s">
        <v>45</v>
      </c>
      <c r="G18977" s="49" t="s">
        <v>40</v>
      </c>
    </row>
    <row r="18978" spans="1:7" x14ac:dyDescent="0.25">
      <c r="A18978" s="50" t="s">
        <v>319</v>
      </c>
      <c r="B18978" s="68" t="str">
        <f>VLOOKUP(A18978,'Componentes APUs'!$H$1:$L$25,2,0)</f>
        <v>Ingeniero Residente de Obra</v>
      </c>
      <c r="C18978" s="93">
        <v>0.25</v>
      </c>
      <c r="D18978" s="50">
        <f>VLOOKUP(A18978,'Componentes APUs'!$H$1:$L$25,3,0)</f>
        <v>4</v>
      </c>
      <c r="E18978" s="51">
        <f>VLOOKUP(A18978,'Componentes APUs'!$H$1:$L$25,4,0)</f>
        <v>271142.85714285716</v>
      </c>
      <c r="F18978" s="51">
        <f>VLOOKUP(A18978,'Componentes APUs'!$H$1:$L$25,5,0)</f>
        <v>162685.71428571429</v>
      </c>
      <c r="G18978" s="51">
        <f>ROUNDUP((E18978+F18978)*C18978/E18961,0)</f>
        <v>216915</v>
      </c>
    </row>
    <row r="18979" spans="1:7" x14ac:dyDescent="0.25">
      <c r="A18979" s="50" t="s">
        <v>320</v>
      </c>
      <c r="B18979" s="68" t="str">
        <f>VLOOKUP(A18979,'Componentes APUs'!$H$1:$L$25,2,0)</f>
        <v>Tecnico Supervisor</v>
      </c>
      <c r="C18979" s="93">
        <v>0.25</v>
      </c>
      <c r="D18979" s="50">
        <f>VLOOKUP(A18979,'Componentes APUs'!$H$1:$L$25,3,0)</f>
        <v>2.2999999999999998</v>
      </c>
      <c r="E18979" s="51">
        <f>VLOOKUP(A18979,'Componentes APUs'!$H$1:$L$25,4,0)</f>
        <v>155907.14285714284</v>
      </c>
      <c r="F18979" s="51">
        <f>VLOOKUP(A18979,'Componentes APUs'!$H$1:$L$25,5,0)</f>
        <v>93544.285714285696</v>
      </c>
      <c r="G18979" s="51">
        <f>ROUNDUP((E18979+F18979)*C18979/E18961,0)</f>
        <v>124726</v>
      </c>
    </row>
    <row r="18980" spans="1:7" x14ac:dyDescent="0.25">
      <c r="A18980" s="50" t="s">
        <v>1160</v>
      </c>
      <c r="B18980" s="68" t="str">
        <f>VLOOKUP(A18980,'Componentes APUs'!$H$1:$L$25,2,0)</f>
        <v>Oficial Eléctrico</v>
      </c>
      <c r="C18980" s="93">
        <v>2</v>
      </c>
      <c r="D18980" s="50">
        <f>VLOOKUP(A18980,'Componentes APUs'!$H$1:$L$25,3,0)</f>
        <v>2</v>
      </c>
      <c r="E18980" s="51">
        <f>VLOOKUP(A18980,'Componentes APUs'!$H$1:$L$25,4,0)</f>
        <v>154619.04761904763</v>
      </c>
      <c r="F18980" s="51">
        <f>VLOOKUP(A18980,'Componentes APUs'!$H$1:$L$25,5,0)</f>
        <v>92771.42857142858</v>
      </c>
      <c r="G18980" s="51">
        <f>ROUNDUP((E18980+F18980)*C18980/E18961,0)</f>
        <v>989562</v>
      </c>
    </row>
    <row r="18981" spans="1:7" x14ac:dyDescent="0.25">
      <c r="A18981" s="50" t="s">
        <v>48</v>
      </c>
      <c r="B18981" s="68" t="str">
        <f>VLOOKUP(A18981,'Componentes APUs'!$H$1:$L$25,2,0)</f>
        <v>Ayudante Calificado</v>
      </c>
      <c r="C18981" s="93">
        <v>2</v>
      </c>
      <c r="D18981" s="50">
        <f>VLOOKUP(A18981,'Componentes APUs'!$H$1:$L$25,3,0)</f>
        <v>1.5</v>
      </c>
      <c r="E18981" s="51">
        <f>VLOOKUP(A18981,'Componentes APUs'!$H$1:$L$25,4,0)</f>
        <v>115964.28571428571</v>
      </c>
      <c r="F18981" s="51">
        <f>VLOOKUP(A18981,'Componentes APUs'!$H$1:$L$25,5,0)</f>
        <v>69578.57142857142</v>
      </c>
      <c r="G18981" s="51">
        <f>ROUNDUP((E18981+F18981)*C18981/E18961,0)</f>
        <v>742172</v>
      </c>
    </row>
    <row r="18982" spans="1:7" x14ac:dyDescent="0.25">
      <c r="A18982" s="50" t="s">
        <v>50</v>
      </c>
      <c r="B18982" s="68" t="str">
        <f>VLOOKUP(A18982,'Componentes APUs'!$H$1:$L$25,2,0)</f>
        <v>Profesional en SST</v>
      </c>
      <c r="C18982" s="93">
        <v>0.25</v>
      </c>
      <c r="D18982" s="50">
        <f>VLOOKUP(A18982,'Componentes APUs'!$H$1:$L$25,3,0)</f>
        <v>2.5</v>
      </c>
      <c r="E18982" s="51">
        <f>VLOOKUP(A18982,'Componentes APUs'!$H$1:$L$25,4,0)</f>
        <v>169464.28571428571</v>
      </c>
      <c r="F18982" s="51">
        <f>VLOOKUP(A18982,'Componentes APUs'!$H$1:$L$25,5,0)</f>
        <v>101678.57142857142</v>
      </c>
      <c r="G18982" s="51">
        <f>ROUNDUP((E18982+F18982)*C18982/E18961,0)</f>
        <v>135572</v>
      </c>
    </row>
    <row r="18983" spans="1:7" x14ac:dyDescent="0.25">
      <c r="A18983" s="50" t="s">
        <v>52</v>
      </c>
      <c r="B18983" s="68" t="str">
        <f>VLOOKUP(A18983,'Componentes APUs'!$H$1:$L$25,2,0)</f>
        <v>Ayudante No Calificado</v>
      </c>
      <c r="C18983" s="93">
        <v>0</v>
      </c>
      <c r="D18983" s="50">
        <f>VLOOKUP(A18983,'Componentes APUs'!$H$1:$L$25,3,0)</f>
        <v>1</v>
      </c>
      <c r="E18983" s="51">
        <f>VLOOKUP(A18983,'Componentes APUs'!$H$1:$L$25,4,0)</f>
        <v>77309.523809523816</v>
      </c>
      <c r="F18983" s="51">
        <f>VLOOKUP(A18983,'Componentes APUs'!$H$1:$L$25,5,0)</f>
        <v>46385.71428571429</v>
      </c>
      <c r="G18983" s="51">
        <f>ROUNDUP((E18983+F18983)*C18983/E18961,0)</f>
        <v>0</v>
      </c>
    </row>
    <row r="18984" spans="1:7" x14ac:dyDescent="0.25">
      <c r="A18984" s="219" t="s">
        <v>56</v>
      </c>
      <c r="B18984" s="219"/>
      <c r="C18984" s="219"/>
      <c r="D18984" s="219"/>
      <c r="E18984" s="219"/>
      <c r="F18984" s="219"/>
      <c r="G18984" s="52">
        <f>SUM(G18978:G18983)</f>
        <v>2208947</v>
      </c>
    </row>
    <row r="18985" spans="1:7" x14ac:dyDescent="0.25">
      <c r="A18985" s="56"/>
      <c r="B18985" s="57"/>
      <c r="C18985" s="57"/>
      <c r="D18985" s="57"/>
      <c r="E18985" s="57"/>
      <c r="F18985" s="57"/>
      <c r="G18985" s="58"/>
    </row>
    <row r="18986" spans="1:7" x14ac:dyDescent="0.25">
      <c r="A18986" s="219" t="s">
        <v>57</v>
      </c>
      <c r="B18986" s="219"/>
      <c r="C18986" s="219"/>
      <c r="D18986" s="219"/>
      <c r="E18986" s="219"/>
      <c r="F18986" s="219"/>
      <c r="G18986" s="219"/>
    </row>
    <row r="18987" spans="1:7" x14ac:dyDescent="0.25">
      <c r="A18987" s="49" t="s">
        <v>35</v>
      </c>
      <c r="B18987" s="219" t="s">
        <v>36</v>
      </c>
      <c r="C18987" s="219"/>
      <c r="D18987" s="49" t="s">
        <v>37</v>
      </c>
      <c r="E18987" s="49" t="s">
        <v>38</v>
      </c>
      <c r="F18987" s="49" t="s">
        <v>39</v>
      </c>
      <c r="G18987" s="49" t="s">
        <v>40</v>
      </c>
    </row>
    <row r="18988" spans="1:7" x14ac:dyDescent="0.25">
      <c r="A18988" s="50" t="s">
        <v>326</v>
      </c>
      <c r="B18988" s="220" t="str">
        <f>VLOOKUP(A18988,'Componentes APUs'!$S$1:$V$10,2,0)</f>
        <v>Juego Llaves</v>
      </c>
      <c r="C18988" s="220"/>
      <c r="D18988" s="50" t="s">
        <v>18</v>
      </c>
      <c r="E18988" s="50">
        <v>2</v>
      </c>
      <c r="F18988" s="51">
        <f>VLOOKUP(A18988,'Componentes APUs'!$S$1:$V$10,4,0)</f>
        <v>9167</v>
      </c>
      <c r="G18988" s="51">
        <f>ROUNDUP(F18988*((E18988/21)/E18961),0)</f>
        <v>1747</v>
      </c>
    </row>
    <row r="18989" spans="1:7" x14ac:dyDescent="0.25">
      <c r="A18989" s="50" t="s">
        <v>58</v>
      </c>
      <c r="B18989" s="220" t="str">
        <f>VLOOKUP(A18989,'Componentes APUs'!$S$1:$V$10,2,0)</f>
        <v>Manila de servicio</v>
      </c>
      <c r="C18989" s="220"/>
      <c r="D18989" s="50" t="s">
        <v>18</v>
      </c>
      <c r="E18989" s="50">
        <v>2</v>
      </c>
      <c r="F18989" s="51">
        <f>VLOOKUP(A18989,'Componentes APUs'!$S$1:$V$10,4,0)</f>
        <v>2333</v>
      </c>
      <c r="G18989" s="51">
        <f>ROUNDUP(F18989*((E18989/21)/E18961),0)</f>
        <v>445</v>
      </c>
    </row>
    <row r="18990" spans="1:7" x14ac:dyDescent="0.25">
      <c r="A18990" s="50" t="s">
        <v>327</v>
      </c>
      <c r="B18990" s="220" t="str">
        <f>VLOOKUP(A18990,'Componentes APUs'!$S$1:$V$10,2,0)</f>
        <v>Tula portaherramientas</v>
      </c>
      <c r="C18990" s="220"/>
      <c r="D18990" s="50" t="s">
        <v>18</v>
      </c>
      <c r="E18990" s="50">
        <v>2</v>
      </c>
      <c r="F18990" s="51">
        <f>VLOOKUP(A18990,'Componentes APUs'!$S$1:$V$10,4,0)</f>
        <v>1250</v>
      </c>
      <c r="G18990" s="51">
        <f>ROUNDUP(F18990*((E18990/21)/E18961),0)</f>
        <v>239</v>
      </c>
    </row>
    <row r="18991" spans="1:7" x14ac:dyDescent="0.25">
      <c r="A18991" s="50" t="s">
        <v>60</v>
      </c>
      <c r="B18991" s="220" t="str">
        <f>VLOOKUP(A18991,'Componentes APUs'!$S$1:$V$10,2,0)</f>
        <v>Agarradoras</v>
      </c>
      <c r="C18991" s="220"/>
      <c r="D18991" s="50" t="s">
        <v>18</v>
      </c>
      <c r="E18991" s="50">
        <v>0</v>
      </c>
      <c r="F18991" s="51">
        <f>VLOOKUP(A18991,'Componentes APUs'!$S$1:$V$10,4,0)</f>
        <v>125000</v>
      </c>
      <c r="G18991" s="51">
        <f>ROUNDUP(F18991*((E18991/21)/E18961),0)</f>
        <v>0</v>
      </c>
    </row>
    <row r="18992" spans="1:7" x14ac:dyDescent="0.25">
      <c r="A18992" s="50" t="s">
        <v>62</v>
      </c>
      <c r="B18992" s="220" t="str">
        <f>VLOOKUP(A18992,'Componentes APUs'!$S$1:$V$10,2,0)</f>
        <v>Templadoras</v>
      </c>
      <c r="C18992" s="220"/>
      <c r="D18992" s="50" t="s">
        <v>18</v>
      </c>
      <c r="E18992" s="50">
        <v>0</v>
      </c>
      <c r="F18992" s="51">
        <f>VLOOKUP(A18992,'Componentes APUs'!$S$1:$V$10,4,0)</f>
        <v>250000</v>
      </c>
      <c r="G18992" s="51">
        <f>ROUNDUP(F18992*((E18992/21)/E18961),0)</f>
        <v>0</v>
      </c>
    </row>
    <row r="18993" spans="1:7" x14ac:dyDescent="0.25">
      <c r="A18993" s="50" t="s">
        <v>328</v>
      </c>
      <c r="B18993" s="220" t="str">
        <f>VLOOKUP(A18993,'Componentes APUs'!$S$1:$V$10,2,0)</f>
        <v>Herramienta Menor</v>
      </c>
      <c r="C18993" s="220"/>
      <c r="D18993" s="50" t="s">
        <v>18</v>
      </c>
      <c r="E18993" s="50">
        <v>2</v>
      </c>
      <c r="F18993" s="51">
        <f>VLOOKUP(A18993,'Componentes APUs'!$S$1:$V$10,4,0)</f>
        <v>75758</v>
      </c>
      <c r="G18993" s="51">
        <f>ROUNDUP(F18993*((E18993/21)/E18961),0)</f>
        <v>14431</v>
      </c>
    </row>
    <row r="18994" spans="1:7" x14ac:dyDescent="0.25">
      <c r="A18994" s="219" t="s">
        <v>69</v>
      </c>
      <c r="B18994" s="219"/>
      <c r="C18994" s="219"/>
      <c r="D18994" s="219"/>
      <c r="E18994" s="219"/>
      <c r="F18994" s="219"/>
      <c r="G18994" s="52">
        <f>SUM(G18988:G18993)</f>
        <v>16862</v>
      </c>
    </row>
    <row r="18995" spans="1:7" x14ac:dyDescent="0.25">
      <c r="A18995" s="56"/>
      <c r="B18995" s="57"/>
      <c r="C18995" s="57"/>
      <c r="D18995" s="57"/>
      <c r="E18995" s="57"/>
      <c r="F18995" s="57"/>
      <c r="G18995" s="58"/>
    </row>
    <row r="18996" spans="1:7" x14ac:dyDescent="0.25">
      <c r="A18996" s="219" t="s">
        <v>70</v>
      </c>
      <c r="B18996" s="219"/>
      <c r="C18996" s="219"/>
      <c r="D18996" s="219"/>
      <c r="E18996" s="219"/>
      <c r="F18996" s="219"/>
      <c r="G18996" s="219"/>
    </row>
    <row r="18997" spans="1:7" x14ac:dyDescent="0.25">
      <c r="A18997" s="49" t="s">
        <v>35</v>
      </c>
      <c r="B18997" s="219" t="s">
        <v>36</v>
      </c>
      <c r="C18997" s="219"/>
      <c r="D18997" s="49" t="s">
        <v>37</v>
      </c>
      <c r="E18997" s="49" t="s">
        <v>38</v>
      </c>
      <c r="F18997" s="49" t="s">
        <v>39</v>
      </c>
      <c r="G18997" s="49" t="s">
        <v>40</v>
      </c>
    </row>
    <row r="18998" spans="1:7" x14ac:dyDescent="0.25">
      <c r="A18998" s="50" t="s">
        <v>71</v>
      </c>
      <c r="B18998" s="71" t="str">
        <f>VLOOKUP(A18998,'Componentes APUs'!$A$1:$D$14,2,0)</f>
        <v>Camisa indigo sin partes metalicas</v>
      </c>
      <c r="C18998" s="71"/>
      <c r="D18998" s="50" t="str">
        <f>VLOOKUP(A18998,'Componentes APUs'!$A$1:$D$14,3,0)</f>
        <v>U</v>
      </c>
      <c r="E18998" s="50">
        <f>SUM(C18978:C18983)</f>
        <v>4.75</v>
      </c>
      <c r="F18998" s="51">
        <f>VLOOKUP(A18998,'Componentes APUs'!$A$1:$D$14,4,0)</f>
        <v>8585.8585858585866</v>
      </c>
      <c r="G18998" s="51">
        <f>ROUNDUP(F18998*(E18998/21)/E18961,0)</f>
        <v>3885</v>
      </c>
    </row>
    <row r="18999" spans="1:7" x14ac:dyDescent="0.25">
      <c r="A18999" s="69" t="s">
        <v>73</v>
      </c>
      <c r="B18999" s="72" t="str">
        <f>VLOOKUP(A18999,'Componentes APUs'!$A$1:$D$14,2,0)</f>
        <v>Bota de seguridad dielectrica</v>
      </c>
      <c r="C18999" s="73"/>
      <c r="D18999" s="70" t="str">
        <f>VLOOKUP(A18999,'Componentes APUs'!$A$1:$D$14,3,0)</f>
        <v>Par</v>
      </c>
      <c r="E18999" s="50">
        <f>SUM(C18978:C18983)</f>
        <v>4.75</v>
      </c>
      <c r="F18999" s="51">
        <f>VLOOKUP(A18999,'Componentes APUs'!$A$1:$D$14,4,0)</f>
        <v>7500</v>
      </c>
      <c r="G18999" s="51">
        <f>ROUNDUP(F18999*(E18999/21)/E18961,0)</f>
        <v>3393</v>
      </c>
    </row>
    <row r="19000" spans="1:7" x14ac:dyDescent="0.25">
      <c r="A19000" s="50" t="s">
        <v>76</v>
      </c>
      <c r="B19000" s="72" t="str">
        <f>VLOOKUP(A19000,'Componentes APUs'!$A$1:$D$14,2,0)</f>
        <v>Casco dielectrico Tipo 1 Clase E con barbuquejo</v>
      </c>
      <c r="C19000" s="73"/>
      <c r="D19000" s="50" t="str">
        <f>VLOOKUP(A19000,'Componentes APUs'!$A$1:$D$14,3,0)</f>
        <v>U</v>
      </c>
      <c r="E19000" s="50">
        <f>C18983+C18978+C18981+C18982+C18979+IF(A18980&lt;&gt;"MO-3",C18980,0)</f>
        <v>4.75</v>
      </c>
      <c r="F19000" s="51">
        <f>VLOOKUP(A19000,'Componentes APUs'!$A$1:$D$14,4,0)</f>
        <v>10101.010101010101</v>
      </c>
      <c r="G19000" s="51">
        <f>ROUNDUP(F19000*(E19000/21)/E18961,0)</f>
        <v>4570</v>
      </c>
    </row>
    <row r="19001" spans="1:7" x14ac:dyDescent="0.25">
      <c r="A19001" s="69" t="s">
        <v>77</v>
      </c>
      <c r="B19001" s="72" t="str">
        <f>VLOOKUP(A19001,'Componentes APUs'!$A$1:$D$14,2,0)</f>
        <v>Correa plastica y antiflama</v>
      </c>
      <c r="C19001" s="73"/>
      <c r="D19001" s="50" t="str">
        <f>VLOOKUP(A19001,'Componentes APUs'!$A$1:$D$14,3,0)</f>
        <v>U</v>
      </c>
      <c r="E19001" s="50">
        <f>SUM(C18978:C18983)</f>
        <v>4.75</v>
      </c>
      <c r="F19001" s="51">
        <f>VLOOKUP(A19001,'Componentes APUs'!$A$1:$D$14,4,0)</f>
        <v>3787.878787878788</v>
      </c>
      <c r="G19001" s="51">
        <f>ROUNDUP(F19001*(E19001/21)/E18961,0)</f>
        <v>1714</v>
      </c>
    </row>
    <row r="19002" spans="1:7" x14ac:dyDescent="0.25">
      <c r="A19002" s="50" t="s">
        <v>79</v>
      </c>
      <c r="B19002" s="72" t="str">
        <f>VLOOKUP(A19002,'Componentes APUs'!$A$1:$D$14,2,0)</f>
        <v>Gafas protectoras filtro UV</v>
      </c>
      <c r="C19002" s="73"/>
      <c r="D19002" s="50" t="str">
        <f>VLOOKUP(A19002,'Componentes APUs'!$A$1:$D$14,3,0)</f>
        <v>U</v>
      </c>
      <c r="E19002" s="50">
        <f>SUM(C18978:C18983)</f>
        <v>4.75</v>
      </c>
      <c r="F19002" s="51">
        <f>VLOOKUP(A19002,'Componentes APUs'!$A$1:$D$14,4,0)</f>
        <v>2777.7777777777778</v>
      </c>
      <c r="G19002" s="51">
        <f>ROUNDUP(F19002*(E19002/21)/E18961,0)</f>
        <v>1257</v>
      </c>
    </row>
    <row r="19003" spans="1:7" x14ac:dyDescent="0.25">
      <c r="A19003" s="69" t="s">
        <v>402</v>
      </c>
      <c r="B19003" s="72" t="str">
        <f>VLOOKUP(A19003,'Componentes APUs'!$A$1:$D$14,2,0)</f>
        <v>Bota de seguridad PVC dielectrica</v>
      </c>
      <c r="C19003" s="73"/>
      <c r="D19003" s="50" t="str">
        <f>VLOOKUP(A19003,'Componentes APUs'!$A$1:$D$14,3,0)</f>
        <v>Par</v>
      </c>
      <c r="E19003" s="50">
        <f>SUM(C18978:C18983)</f>
        <v>4.75</v>
      </c>
      <c r="F19003" s="51">
        <f>VLOOKUP(A19003,'Componentes APUs'!$A$1:$D$14,4,0)</f>
        <v>2916.6666666666665</v>
      </c>
      <c r="G19003" s="51">
        <f>ROUNDUP(F19003*(E19003/21)/E18961,0)</f>
        <v>1320</v>
      </c>
    </row>
    <row r="19004" spans="1:7" x14ac:dyDescent="0.25">
      <c r="A19004" s="50" t="s">
        <v>403</v>
      </c>
      <c r="B19004" s="72" t="str">
        <f>VLOOKUP(A19004,'Componentes APUs'!$A$1:$D$14,2,0)</f>
        <v>Capuchon</v>
      </c>
      <c r="C19004" s="73"/>
      <c r="D19004" s="50" t="str">
        <f>VLOOKUP(A19004,'Componentes APUs'!$A$1:$D$14,3,0)</f>
        <v>U</v>
      </c>
      <c r="E19004" s="50">
        <f>SUM(C18978:C18983)</f>
        <v>4.75</v>
      </c>
      <c r="F19004" s="51">
        <f>VLOOKUP(A19004,'Componentes APUs'!$A$1:$D$14,4,0)</f>
        <v>2525.2525252525252</v>
      </c>
      <c r="G19004" s="51">
        <f>ROUNDUP(F19004*(E19004/21)/E18961,0)</f>
        <v>1143</v>
      </c>
    </row>
    <row r="19005" spans="1:7" x14ac:dyDescent="0.25">
      <c r="A19005" s="69" t="s">
        <v>81</v>
      </c>
      <c r="B19005" s="72" t="str">
        <f>VLOOKUP(A19005,'Componentes APUs'!$A$1:$D$14,2,0)</f>
        <v>Guantes Protectores  - ingeniero reforzados</v>
      </c>
      <c r="C19005" s="73"/>
      <c r="D19005" s="50" t="str">
        <f>VLOOKUP(A19005,'Componentes APUs'!$A$1:$D$14,3,0)</f>
        <v>Par</v>
      </c>
      <c r="E19005" s="50">
        <f>C18980+C18981+C18983</f>
        <v>4</v>
      </c>
      <c r="F19005" s="51">
        <f>VLOOKUP(A19005,'Componentes APUs'!$A$1:$D$14,4,0)</f>
        <v>2525.2525252525252</v>
      </c>
      <c r="G19005" s="51">
        <f>ROUNDUP(F19005*(E19005/21)/E18961,0)</f>
        <v>963</v>
      </c>
    </row>
    <row r="19006" spans="1:7" x14ac:dyDescent="0.25">
      <c r="A19006" s="50" t="s">
        <v>83</v>
      </c>
      <c r="B19006" s="72" t="str">
        <f>VLOOKUP(A19006,'Componentes APUs'!$A$1:$D$14,2,0)</f>
        <v>Impermeable (pantalon camisa)</v>
      </c>
      <c r="C19006" s="73"/>
      <c r="D19006" s="50" t="str">
        <f>VLOOKUP(A19006,'Componentes APUs'!$A$1:$D$14,3,0)</f>
        <v>U</v>
      </c>
      <c r="E19006" s="50">
        <f>SUM(C18978:C18983)</f>
        <v>4.75</v>
      </c>
      <c r="F19006" s="51">
        <f>VLOOKUP(A19006,'Componentes APUs'!$A$1:$D$14,4,0)</f>
        <v>3750</v>
      </c>
      <c r="G19006" s="51">
        <f>ROUNDUP(F19006*(E19006/21)/E18961,0)</f>
        <v>1697</v>
      </c>
    </row>
    <row r="19007" spans="1:7" x14ac:dyDescent="0.25">
      <c r="A19007" s="69" t="s">
        <v>85</v>
      </c>
      <c r="B19007" s="72" t="str">
        <f>VLOOKUP(A19007,'Componentes APUs'!$A$1:$D$14,2,0)</f>
        <v>Jean Dielectrico</v>
      </c>
      <c r="C19007" s="73"/>
      <c r="D19007" s="50" t="str">
        <f>VLOOKUP(A19007,'Componentes APUs'!$A$1:$D$14,3,0)</f>
        <v>U</v>
      </c>
      <c r="E19007" s="50">
        <f>SUM(C18978:C18983)</f>
        <v>4.75</v>
      </c>
      <c r="F19007" s="51">
        <f>VLOOKUP(A19007,'Componentes APUs'!$A$1:$D$14,4,0)</f>
        <v>7575.757575757576</v>
      </c>
      <c r="G19007" s="51">
        <f>ROUNDUP(F19007*(E19007/21)/E18961,0)</f>
        <v>3428</v>
      </c>
    </row>
    <row r="19008" spans="1:7" x14ac:dyDescent="0.25">
      <c r="A19008" s="50" t="s">
        <v>87</v>
      </c>
      <c r="B19008" s="72" t="str">
        <f>VLOOKUP(A19008,'Componentes APUs'!$A$1:$D$14,2,0)</f>
        <v>Casco dielectrico Tipo 2 Clase E con barboquejo</v>
      </c>
      <c r="C19008" s="73"/>
      <c r="D19008" s="50" t="str">
        <f>VLOOKUP(A19008,'Componentes APUs'!$A$1:$D$14,3,0)</f>
        <v>U</v>
      </c>
      <c r="E19008" s="53">
        <f>IF(A18980="MO-3",C18980,0)</f>
        <v>0</v>
      </c>
      <c r="F19008" s="51">
        <f>VLOOKUP(A19008,'Componentes APUs'!$A$1:$D$14,4,0)</f>
        <v>7500</v>
      </c>
      <c r="G19008" s="51">
        <f>ROUNDUP(F19008*(E19008/21)/E18961,0)</f>
        <v>0</v>
      </c>
    </row>
    <row r="19009" spans="1:7" x14ac:dyDescent="0.25">
      <c r="A19009" s="69" t="s">
        <v>89</v>
      </c>
      <c r="B19009" s="72" t="str">
        <f>VLOOKUP(A19009,'Componentes APUs'!$A$1:$D$14,2,0)</f>
        <v>Kit de rescate para trabajo en alturas</v>
      </c>
      <c r="C19009" s="73"/>
      <c r="D19009" s="50" t="str">
        <f>VLOOKUP(A19009,'Componentes APUs'!$A$1:$D$14,3,0)</f>
        <v>U</v>
      </c>
      <c r="E19009" s="50">
        <f>IF(AND(A18980="MO-3",C18980=2),1,0)</f>
        <v>0</v>
      </c>
      <c r="F19009" s="51">
        <f>VLOOKUP(A19009,'Componentes APUs'!$A$1:$D$14,4,0)</f>
        <v>37500</v>
      </c>
      <c r="G19009" s="51">
        <f>ROUNDUP(F19009*(E19009/21)/E18961,0)</f>
        <v>0</v>
      </c>
    </row>
    <row r="19010" spans="1:7" x14ac:dyDescent="0.25">
      <c r="A19010" s="50" t="s">
        <v>91</v>
      </c>
      <c r="B19010" s="72" t="str">
        <f>VLOOKUP(A19010,'Componentes APUs'!$A$1:$D$14,2,0)</f>
        <v>Equipo completo para trabajo en alturas con pretales (Arnes dielectrico, 1 mosqueton de seguridad, tie off dielectrico, eslinga de posicionamiento, juego de pretales)</v>
      </c>
      <c r="C19010" s="73"/>
      <c r="D19010" s="50" t="str">
        <f>VLOOKUP(A19010,'Componentes APUs'!$A$1:$D$14,3,0)</f>
        <v>U</v>
      </c>
      <c r="E19010" s="50">
        <f>IF(A18980="MO-3",C18980,0)</f>
        <v>0</v>
      </c>
      <c r="F19010" s="51">
        <f>VLOOKUP(A19010,'Componentes APUs'!$A$1:$D$14,4,0)</f>
        <v>26041.666666666668</v>
      </c>
      <c r="G19010" s="51">
        <f>ROUNDUP(F19010*(E19010/21)/E18961,0)</f>
        <v>0</v>
      </c>
    </row>
    <row r="19011" spans="1:7" x14ac:dyDescent="0.25">
      <c r="A19011" s="219" t="s">
        <v>95</v>
      </c>
      <c r="B19011" s="219"/>
      <c r="C19011" s="219"/>
      <c r="D19011" s="219"/>
      <c r="E19011" s="219"/>
      <c r="F19011" s="219"/>
      <c r="G19011" s="52">
        <f>SUM(G18998:G19010)</f>
        <v>23370</v>
      </c>
    </row>
    <row r="19012" spans="1:7" x14ac:dyDescent="0.25">
      <c r="A19012" s="56"/>
      <c r="B19012" s="57"/>
      <c r="C19012" s="57"/>
      <c r="D19012" s="57"/>
      <c r="E19012" s="57"/>
      <c r="F19012" s="57"/>
      <c r="G19012" s="58"/>
    </row>
    <row r="19013" spans="1:7" x14ac:dyDescent="0.25">
      <c r="A19013" s="219" t="s">
        <v>96</v>
      </c>
      <c r="B19013" s="219"/>
      <c r="C19013" s="219"/>
      <c r="D19013" s="219"/>
      <c r="E19013" s="219"/>
      <c r="F19013" s="219"/>
      <c r="G19013" s="219"/>
    </row>
    <row r="19014" spans="1:7" x14ac:dyDescent="0.25">
      <c r="A19014" s="49" t="s">
        <v>35</v>
      </c>
      <c r="B19014" s="225" t="s">
        <v>36</v>
      </c>
      <c r="C19014" s="225"/>
      <c r="D19014" s="49" t="s">
        <v>37</v>
      </c>
      <c r="E19014" s="49" t="s">
        <v>38</v>
      </c>
      <c r="F19014" s="49" t="s">
        <v>39</v>
      </c>
      <c r="G19014" s="49" t="s">
        <v>40</v>
      </c>
    </row>
    <row r="19015" spans="1:7" x14ac:dyDescent="0.25">
      <c r="A19015" s="69" t="s">
        <v>97</v>
      </c>
      <c r="B19015" s="72" t="str">
        <f>VLOOKUP(A19015,'Componentes APUs'!$N$1:$Q$30,2,0)</f>
        <v>Camioneta</v>
      </c>
      <c r="C19015" s="73"/>
      <c r="D19015" s="70" t="str">
        <f>VLOOKUP(A19015,'Componentes APUs'!$N$1:$Q$30,3,0)</f>
        <v>U</v>
      </c>
      <c r="E19015" s="50">
        <v>1</v>
      </c>
      <c r="F19015" s="51">
        <f>VLOOKUP(A19015,'Componentes APUs'!$N$1:$Q$30,4,0)</f>
        <v>5500000</v>
      </c>
      <c r="G19015" s="51">
        <f>IFERROR(ROUNDUP(F19015*(E19015/21)/E18961,0),0)</f>
        <v>523810</v>
      </c>
    </row>
    <row r="19016" spans="1:7" x14ac:dyDescent="0.25">
      <c r="A19016" s="50" t="s">
        <v>321</v>
      </c>
      <c r="B19016" s="72" t="str">
        <f>VLOOKUP(A19016,'Componentes APUs'!$N$1:$Q$30,2,0)</f>
        <v>Grúa Hidráulica</v>
      </c>
      <c r="C19016" s="73"/>
      <c r="D19016" s="70" t="str">
        <f>VLOOKUP(A19016,'Componentes APUs'!$N$1:$Q$30,3,0)</f>
        <v>U</v>
      </c>
      <c r="E19016" s="50">
        <v>0</v>
      </c>
      <c r="F19016" s="51">
        <f>VLOOKUP(A19016,'Componentes APUs'!$N$1:$Q$30,4,0)</f>
        <v>21000000</v>
      </c>
      <c r="G19016" s="51">
        <f>IFERROR(ROUNDUP(F19016*(E19016/21)/E18961,0),0)</f>
        <v>0</v>
      </c>
    </row>
    <row r="19017" spans="1:7" x14ac:dyDescent="0.25">
      <c r="A19017" s="69" t="s">
        <v>322</v>
      </c>
      <c r="B19017" s="72" t="str">
        <f>VLOOKUP(A19017,'Componentes APUs'!$N$1:$Q$30,2,0)</f>
        <v>Camabaja</v>
      </c>
      <c r="C19017" s="73"/>
      <c r="D19017" s="70" t="str">
        <f>VLOOKUP(A19017,'Componentes APUs'!$N$1:$Q$30,3,0)</f>
        <v>TON/KM</v>
      </c>
      <c r="E19017" s="50">
        <v>0</v>
      </c>
      <c r="F19017" s="51">
        <f>VLOOKUP(A19017,'Componentes APUs'!$N$1:$Q$30,4,0)</f>
        <v>611</v>
      </c>
      <c r="G19017" s="51">
        <f>IFERROR(ROUNDUP(F19017*(E19017/21)/E18961,0),0)</f>
        <v>0</v>
      </c>
    </row>
    <row r="19018" spans="1:7" x14ac:dyDescent="0.25">
      <c r="A19018" s="50" t="s">
        <v>323</v>
      </c>
      <c r="B19018" s="72" t="str">
        <f>VLOOKUP(A19018,'Componentes APUs'!$N$1:$Q$30,2,0)</f>
        <v>Volqueta</v>
      </c>
      <c r="C19018" s="73"/>
      <c r="D19018" s="70" t="str">
        <f>VLOOKUP(A19018,'Componentes APUs'!$N$1:$Q$30,3,0)</f>
        <v>U</v>
      </c>
      <c r="E19018" s="50">
        <v>0</v>
      </c>
      <c r="F19018" s="51">
        <f>VLOOKUP(A19018,'Componentes APUs'!$N$1:$Q$30,4,0)</f>
        <v>14828184</v>
      </c>
      <c r="G19018" s="51">
        <f>IFERROR(ROUNDUP(F19018*(E19018/21)/E18961,0),0)</f>
        <v>0</v>
      </c>
    </row>
    <row r="19019" spans="1:7" x14ac:dyDescent="0.25">
      <c r="A19019" s="69" t="s">
        <v>324</v>
      </c>
      <c r="B19019" s="72" t="str">
        <f>VLOOKUP(A19019,'Componentes APUs'!$N$1:$Q$30,2,0)</f>
        <v>Retroexcavadora</v>
      </c>
      <c r="C19019" s="73"/>
      <c r="D19019" s="70" t="str">
        <f>VLOOKUP(A19019,'Componentes APUs'!$N$1:$Q$30,3,0)</f>
        <v>U</v>
      </c>
      <c r="E19019" s="50">
        <v>0</v>
      </c>
      <c r="F19019" s="51">
        <f>VLOOKUP(A19019,'Componentes APUs'!$N$1:$Q$30,4,0)</f>
        <v>46030656</v>
      </c>
      <c r="G19019" s="51">
        <f>IFERROR(ROUNDUP(F19019*(E19019/21)/E18961,0),0)</f>
        <v>0</v>
      </c>
    </row>
    <row r="19020" spans="1:7" x14ac:dyDescent="0.25">
      <c r="A19020" s="219" t="s">
        <v>99</v>
      </c>
      <c r="B19020" s="219"/>
      <c r="C19020" s="219"/>
      <c r="D19020" s="219"/>
      <c r="E19020" s="219"/>
      <c r="F19020" s="219"/>
      <c r="G19020" s="52">
        <f>SUM(G19015:G19019)</f>
        <v>523810</v>
      </c>
    </row>
    <row r="19021" spans="1:7" x14ac:dyDescent="0.25">
      <c r="A19021" s="56"/>
      <c r="B19021" s="57"/>
      <c r="C19021" s="57"/>
      <c r="D19021" s="57"/>
      <c r="E19021" s="57"/>
      <c r="F19021" s="57"/>
      <c r="G19021" s="58"/>
    </row>
    <row r="19022" spans="1:7" x14ac:dyDescent="0.25">
      <c r="A19022" s="219" t="s">
        <v>1516</v>
      </c>
      <c r="B19022" s="219"/>
      <c r="C19022" s="219"/>
      <c r="D19022" s="219"/>
      <c r="E19022" s="219"/>
      <c r="F19022" s="219"/>
      <c r="G19022" s="52">
        <f>G19020+G19011+G18994+G18984+G18974</f>
        <v>11321713</v>
      </c>
    </row>
    <row r="19023" spans="1:7" x14ac:dyDescent="0.25">
      <c r="A19023" s="59"/>
      <c r="B19023" s="60"/>
      <c r="C19023" s="60"/>
      <c r="D19023" s="60"/>
      <c r="E19023" s="57"/>
      <c r="F19023" s="57"/>
      <c r="G19023" s="58"/>
    </row>
    <row r="19024" spans="1:7" x14ac:dyDescent="0.25">
      <c r="A19024" s="64"/>
      <c r="D19024" s="55"/>
      <c r="E19024" s="49" t="s">
        <v>25</v>
      </c>
      <c r="F19024" s="54">
        <v>0.15</v>
      </c>
      <c r="G19024" s="51">
        <f>G19022*F19024</f>
        <v>1698256.95</v>
      </c>
    </row>
    <row r="19025" spans="1:7" x14ac:dyDescent="0.25">
      <c r="A19025" s="64"/>
      <c r="D19025" s="55"/>
      <c r="E19025" s="49" t="s">
        <v>26</v>
      </c>
      <c r="F19025" s="54">
        <v>0.05</v>
      </c>
      <c r="G19025" s="51">
        <f>G19022*F19025</f>
        <v>566085.65</v>
      </c>
    </row>
    <row r="19026" spans="1:7" x14ac:dyDescent="0.25">
      <c r="A19026" s="61"/>
      <c r="B19026" s="65"/>
      <c r="C19026" s="65"/>
      <c r="D19026" s="62"/>
      <c r="E19026" s="49" t="s">
        <v>27</v>
      </c>
      <c r="F19026" s="54">
        <v>0.05</v>
      </c>
      <c r="G19026" s="51">
        <f>G19022*F19026</f>
        <v>566085.65</v>
      </c>
    </row>
    <row r="19027" spans="1:7" x14ac:dyDescent="0.25">
      <c r="A19027" s="61"/>
      <c r="B19027" s="62"/>
      <c r="C19027" s="62"/>
      <c r="D19027" s="62"/>
      <c r="E19027" s="62"/>
      <c r="F19027" s="62"/>
      <c r="G19027" s="63"/>
    </row>
    <row r="19028" spans="1:7" x14ac:dyDescent="0.25">
      <c r="A19028" s="219" t="s">
        <v>1517</v>
      </c>
      <c r="B19028" s="219"/>
      <c r="C19028" s="219"/>
      <c r="D19028" s="219"/>
      <c r="E19028" s="219"/>
      <c r="F19028" s="219"/>
      <c r="G19028" s="52">
        <f>G19022+G19024+G19025+G19026</f>
        <v>14152141.25</v>
      </c>
    </row>
    <row r="19029" spans="1:7" x14ac:dyDescent="0.25">
      <c r="A19029" s="59"/>
      <c r="B19029" s="60"/>
      <c r="C19029" s="60"/>
      <c r="D19029" s="60"/>
      <c r="E19029" s="57"/>
      <c r="F19029" s="57"/>
      <c r="G19029" s="58"/>
    </row>
    <row r="19030" spans="1:7" x14ac:dyDescent="0.25">
      <c r="A19030" s="64"/>
      <c r="D19030" s="55"/>
      <c r="E19030" s="49" t="s">
        <v>102</v>
      </c>
      <c r="F19030" s="49" t="s">
        <v>103</v>
      </c>
      <c r="G19030" s="51">
        <f>G19026*19%</f>
        <v>107556.27350000001</v>
      </c>
    </row>
    <row r="19031" spans="1:7" x14ac:dyDescent="0.25">
      <c r="A19031" s="61"/>
      <c r="B19031" s="62"/>
      <c r="C19031" s="62"/>
      <c r="D19031" s="62"/>
      <c r="E19031" s="57"/>
      <c r="F19031" s="57"/>
      <c r="G19031" s="58"/>
    </row>
    <row r="19032" spans="1:7" x14ac:dyDescent="0.25">
      <c r="A19032" s="219" t="s">
        <v>104</v>
      </c>
      <c r="B19032" s="219"/>
      <c r="C19032" s="219"/>
      <c r="D19032" s="219"/>
      <c r="E19032" s="219"/>
      <c r="F19032" s="219"/>
      <c r="G19032" s="52">
        <f>G19030+G19028</f>
        <v>14259697.523499999</v>
      </c>
    </row>
    <row r="19034" spans="1:7" x14ac:dyDescent="0.25">
      <c r="A19034" s="74" t="s">
        <v>29</v>
      </c>
      <c r="B19034" s="226" t="s">
        <v>30</v>
      </c>
      <c r="C19034" s="226"/>
      <c r="D19034" s="74" t="s">
        <v>31</v>
      </c>
      <c r="E19034" s="74" t="s">
        <v>32</v>
      </c>
      <c r="F19034" s="74" t="s">
        <v>189</v>
      </c>
      <c r="G19034" s="74" t="s">
        <v>33</v>
      </c>
    </row>
    <row r="19035" spans="1:7" ht="30" customHeight="1" x14ac:dyDescent="0.25">
      <c r="A19035" s="50" t="str">
        <f>Presupuesto!B370</f>
        <v>039_AUX</v>
      </c>
      <c r="B19035" s="220" t="str">
        <f>Presupuesto!C370</f>
        <v>SUMINISTRO E INSTALACIÓN DE LUMINARIA LED TORTUGA 12 W. 960 LUMENES. 100 - 240 V.</v>
      </c>
      <c r="C19035" s="220"/>
      <c r="D19035" s="50" t="s">
        <v>8</v>
      </c>
      <c r="E19035" s="50">
        <v>25</v>
      </c>
      <c r="F19035" s="50"/>
      <c r="G19035" s="51">
        <f>G19103</f>
        <v>129538.3155</v>
      </c>
    </row>
    <row r="19036" spans="1:7" x14ac:dyDescent="0.25">
      <c r="A19036" s="219"/>
      <c r="B19036" s="219"/>
      <c r="C19036" s="219"/>
      <c r="D19036" s="219"/>
      <c r="E19036" s="219"/>
      <c r="F19036" s="219"/>
      <c r="G19036" s="219"/>
    </row>
    <row r="19037" spans="1:7" x14ac:dyDescent="0.25">
      <c r="A19037" s="49" t="s">
        <v>35</v>
      </c>
      <c r="B19037" s="219" t="s">
        <v>36</v>
      </c>
      <c r="C19037" s="219"/>
      <c r="D19037" s="49" t="s">
        <v>37</v>
      </c>
      <c r="E19037" s="49" t="s">
        <v>38</v>
      </c>
      <c r="F19037" s="49" t="s">
        <v>39</v>
      </c>
      <c r="G19037" s="49" t="s">
        <v>40</v>
      </c>
    </row>
    <row r="19038" spans="1:7" x14ac:dyDescent="0.25">
      <c r="A19038" s="17" t="str">
        <f>Material!A146</f>
        <v>MA-145</v>
      </c>
      <c r="B19038" s="72" t="str">
        <f>IFERROR(VLOOKUP(A19038,Material!$A:$J,2,0),"-")</f>
        <v>LUMINARIA LED TORTUGA 12 W. 960 LUMENES. 100 - 240 V.</v>
      </c>
      <c r="C19038" s="73"/>
      <c r="D19038" s="50" t="str">
        <f>IFERROR(VLOOKUP(A19038,Material!$A:$J,4,0),"-")</f>
        <v>UN</v>
      </c>
      <c r="E19038" s="50">
        <v>1</v>
      </c>
      <c r="F19038" s="51">
        <f>IFERROR(VLOOKUP(A19038,Material!$A:$J,3,0),"-")</f>
        <v>31590</v>
      </c>
      <c r="G19038" s="51">
        <f t="shared" ref="G19038:G19043" si="271">IFERROR(ROUNDUP(F19038*E19038,0),"-")</f>
        <v>31590</v>
      </c>
    </row>
    <row r="19039" spans="1:7" x14ac:dyDescent="0.25">
      <c r="A19039" s="17" t="str">
        <f>Material!A128</f>
        <v>MA-127</v>
      </c>
      <c r="B19039" s="72" t="str">
        <f>IFERROR(VLOOKUP(A19039,Material!$A:$J,2,0),"-")</f>
        <v>CABLE ENCAUCHETADO 3 X 16 AWG COBRE</v>
      </c>
      <c r="C19039" s="76"/>
      <c r="D19039" s="50" t="str">
        <f>IFERROR(VLOOKUP(A19039,Material!$A:$J,4,0),"-")</f>
        <v>ML</v>
      </c>
      <c r="E19039" s="50">
        <v>0.5</v>
      </c>
      <c r="F19039" s="51">
        <f>IFERROR(VLOOKUP(A19039,Material!$A:$J,3,0),"-")</f>
        <v>6175</v>
      </c>
      <c r="G19039" s="51">
        <f t="shared" si="271"/>
        <v>3088</v>
      </c>
    </row>
    <row r="19040" spans="1:7" x14ac:dyDescent="0.25">
      <c r="A19040" s="17" t="str">
        <f>Material!A149</f>
        <v>MA-148</v>
      </c>
      <c r="B19040" s="72" t="str">
        <f>IFERROR(VLOOKUP(A19040,Material!$A:$J,2,0),"-")</f>
        <v>CLAVIJA CON POLO A TIERRA</v>
      </c>
      <c r="C19040" s="76"/>
      <c r="D19040" s="50" t="str">
        <f>IFERROR(VLOOKUP(A19040,Material!$A:$J,4,0),"-")</f>
        <v>UN</v>
      </c>
      <c r="E19040" s="50">
        <v>1</v>
      </c>
      <c r="F19040" s="51">
        <f>IFERROR(VLOOKUP(A19040,Material!$A:$J,3,0),"-")</f>
        <v>6825</v>
      </c>
      <c r="G19040" s="51">
        <f t="shared" si="271"/>
        <v>6825</v>
      </c>
    </row>
    <row r="19041" spans="1:9" x14ac:dyDescent="0.25">
      <c r="A19041" s="17" t="str">
        <f>Material!A240</f>
        <v>MA-239</v>
      </c>
      <c r="B19041" s="72" t="str">
        <f>IFERROR(VLOOKUP(A19041,Material!$A:$J,2,0),"-")</f>
        <v>PRENSA ESTOPA DE 1/2</v>
      </c>
      <c r="C19041" s="76"/>
      <c r="D19041" s="50" t="str">
        <f>IFERROR(VLOOKUP(A19041,Material!$A:$J,4,0),"-")</f>
        <v>UN</v>
      </c>
      <c r="E19041" s="50">
        <v>1</v>
      </c>
      <c r="F19041" s="51">
        <f>IFERROR(VLOOKUP(A19041,Material!$A:$J,3,0),"-")</f>
        <v>3900</v>
      </c>
      <c r="G19041" s="51">
        <f t="shared" si="271"/>
        <v>3900</v>
      </c>
    </row>
    <row r="19042" spans="1:9" x14ac:dyDescent="0.25">
      <c r="A19042" s="17" t="str">
        <f>Material!A229</f>
        <v>MA-228</v>
      </c>
      <c r="B19042" s="72" t="str">
        <f>IFERROR(VLOOKUP(A19042,Material!$A:$J,2,0),"-")</f>
        <v>CINTA DE COLORES</v>
      </c>
      <c r="C19042" s="76"/>
      <c r="D19042" s="50" t="str">
        <f>IFERROR(VLOOKUP(A19042,Material!$A:$J,4,0),"-")</f>
        <v>ML</v>
      </c>
      <c r="E19042" s="50">
        <v>0.05</v>
      </c>
      <c r="F19042" s="51">
        <f>IFERROR(VLOOKUP(A19042,Material!$A:$J,3,0),"-")</f>
        <v>54.080000000000005</v>
      </c>
      <c r="G19042" s="51">
        <f t="shared" si="271"/>
        <v>3</v>
      </c>
    </row>
    <row r="19043" spans="1:9" x14ac:dyDescent="0.25">
      <c r="A19043" s="17" t="str">
        <f>Material!A244</f>
        <v>MA-243</v>
      </c>
      <c r="B19043" s="72" t="str">
        <f>IFERROR(VLOOKUP(A19043,Material!$A:$J,2,0),"-")</f>
        <v>ENVÍO DE LUMINARIA</v>
      </c>
      <c r="C19043" s="76"/>
      <c r="D19043" s="50" t="str">
        <f>IFERROR(VLOOKUP(A19043,Material!$A:$J,4,0),"-")</f>
        <v>UN</v>
      </c>
      <c r="E19043" s="50">
        <v>1</v>
      </c>
      <c r="F19043" s="51">
        <f>IFERROR(VLOOKUP(A19043,Material!$A:$J,3,0),"-")</f>
        <v>19500</v>
      </c>
      <c r="G19043" s="51">
        <f t="shared" si="271"/>
        <v>19500</v>
      </c>
    </row>
    <row r="19044" spans="1:9" x14ac:dyDescent="0.25">
      <c r="A19044" s="219" t="s">
        <v>41</v>
      </c>
      <c r="B19044" s="219"/>
      <c r="C19044" s="219"/>
      <c r="D19044" s="219"/>
      <c r="E19044" s="219"/>
      <c r="F19044" s="219"/>
      <c r="G19044" s="52">
        <f>SUM(G19038:G19043)</f>
        <v>64906</v>
      </c>
    </row>
    <row r="19045" spans="1:9" x14ac:dyDescent="0.25">
      <c r="A19045" s="56"/>
      <c r="B19045" s="57"/>
      <c r="C19045" s="57"/>
      <c r="D19045" s="57"/>
      <c r="E19045" s="57"/>
      <c r="F19045" s="57"/>
      <c r="G19045" s="58"/>
      <c r="I19045" s="97"/>
    </row>
    <row r="19046" spans="1:9" x14ac:dyDescent="0.25">
      <c r="A19046" s="219" t="s">
        <v>42</v>
      </c>
      <c r="B19046" s="219"/>
      <c r="C19046" s="219"/>
      <c r="D19046" s="219"/>
      <c r="E19046" s="219"/>
      <c r="F19046" s="219"/>
      <c r="G19046" s="219"/>
    </row>
    <row r="19047" spans="1:9" x14ac:dyDescent="0.25">
      <c r="A19047" s="49" t="s">
        <v>35</v>
      </c>
      <c r="B19047" s="49" t="s">
        <v>36</v>
      </c>
      <c r="C19047" s="49" t="s">
        <v>38</v>
      </c>
      <c r="D19047" s="49" t="s">
        <v>43</v>
      </c>
      <c r="E19047" s="49" t="s">
        <v>44</v>
      </c>
      <c r="F19047" s="49" t="s">
        <v>45</v>
      </c>
      <c r="G19047" s="49" t="s">
        <v>40</v>
      </c>
    </row>
    <row r="19048" spans="1:9" x14ac:dyDescent="0.25">
      <c r="A19048" s="50" t="s">
        <v>319</v>
      </c>
      <c r="B19048" s="68" t="str">
        <f>VLOOKUP(A19048,'[1]Componentes APUs'!$H$1:$L$25,2,0)</f>
        <v>Ingeniero Residente de Obra</v>
      </c>
      <c r="C19048" s="93">
        <v>0.25</v>
      </c>
      <c r="D19048" s="50">
        <f>VLOOKUP(A19048,'[1]Componentes APUs'!$H$1:$L$25,3,0)</f>
        <v>4</v>
      </c>
      <c r="E19048" s="51">
        <f>VLOOKUP(A19048,'[1]Componentes APUs'!$H$1:$L$25,4,0)</f>
        <v>271142.85714285716</v>
      </c>
      <c r="F19048" s="51">
        <f>VLOOKUP(A19048,'[1]Componentes APUs'!$H$1:$L$25,5,0)</f>
        <v>162685.71428571429</v>
      </c>
      <c r="G19048" s="51">
        <f>ROUNDUP((E19048+F19048)*C19048/E19035,0)</f>
        <v>4339</v>
      </c>
    </row>
    <row r="19049" spans="1:9" x14ac:dyDescent="0.25">
      <c r="A19049" s="50" t="s">
        <v>320</v>
      </c>
      <c r="B19049" s="68" t="str">
        <f>VLOOKUP(A19049,'[1]Componentes APUs'!$H$1:$L$25,2,0)</f>
        <v>Tecnico Supervisor</v>
      </c>
      <c r="C19049" s="93">
        <v>0.25</v>
      </c>
      <c r="D19049" s="50">
        <f>VLOOKUP(A19049,'[1]Componentes APUs'!$H$1:$L$25,3,0)</f>
        <v>2.2999999999999998</v>
      </c>
      <c r="E19049" s="51">
        <f>VLOOKUP(A19049,'[1]Componentes APUs'!$H$1:$L$25,4,0)</f>
        <v>155907.14285714284</v>
      </c>
      <c r="F19049" s="51">
        <f>VLOOKUP(A19049,'[1]Componentes APUs'!$H$1:$L$25,5,0)</f>
        <v>93544.285714285696</v>
      </c>
      <c r="G19049" s="51">
        <f>ROUNDUP((E19049+F19049)*C19049/E19035,0)</f>
        <v>2495</v>
      </c>
    </row>
    <row r="19050" spans="1:9" x14ac:dyDescent="0.25">
      <c r="A19050" s="50" t="s">
        <v>1160</v>
      </c>
      <c r="B19050" s="68" t="str">
        <f>VLOOKUP(A19050,'[1]Componentes APUs'!$H$1:$L$25,2,0)</f>
        <v>Oficial Eléctrico</v>
      </c>
      <c r="C19050" s="93">
        <v>1</v>
      </c>
      <c r="D19050" s="50">
        <f>VLOOKUP(A19050,'[1]Componentes APUs'!$H$1:$L$25,3,0)</f>
        <v>2</v>
      </c>
      <c r="E19050" s="51">
        <f>VLOOKUP(A19050,'[1]Componentes APUs'!$H$1:$L$25,4,0)</f>
        <v>154619.04761904763</v>
      </c>
      <c r="F19050" s="51">
        <f>VLOOKUP(A19050,'[1]Componentes APUs'!$H$1:$L$25,5,0)</f>
        <v>92771.42857142858</v>
      </c>
      <c r="G19050" s="51">
        <f>ROUNDUP((E19050+F19050)*C19050/E19035,0)</f>
        <v>9896</v>
      </c>
    </row>
    <row r="19051" spans="1:9" x14ac:dyDescent="0.25">
      <c r="A19051" s="50" t="s">
        <v>48</v>
      </c>
      <c r="B19051" s="68" t="str">
        <f>VLOOKUP(A19051,'[1]Componentes APUs'!$H$1:$L$25,2,0)</f>
        <v>Ayudante Calificado</v>
      </c>
      <c r="C19051" s="93">
        <v>1</v>
      </c>
      <c r="D19051" s="50">
        <f>VLOOKUP(A19051,'[1]Componentes APUs'!$H$1:$L$25,3,0)</f>
        <v>1.5</v>
      </c>
      <c r="E19051" s="51">
        <f>VLOOKUP(A19051,'[1]Componentes APUs'!$H$1:$L$25,4,0)</f>
        <v>115964.28571428571</v>
      </c>
      <c r="F19051" s="51">
        <f>VLOOKUP(A19051,'[1]Componentes APUs'!$H$1:$L$25,5,0)</f>
        <v>69578.57142857142</v>
      </c>
      <c r="G19051" s="51">
        <f>ROUNDUP((E19051+F19051)*C19051/E19035,0)</f>
        <v>7422</v>
      </c>
    </row>
    <row r="19052" spans="1:9" x14ac:dyDescent="0.25">
      <c r="A19052" s="50" t="s">
        <v>50</v>
      </c>
      <c r="B19052" s="68" t="str">
        <f>VLOOKUP(A19052,'[1]Componentes APUs'!$H$1:$L$25,2,0)</f>
        <v>Profesional en SST</v>
      </c>
      <c r="C19052" s="93">
        <v>0.25</v>
      </c>
      <c r="D19052" s="50">
        <f>VLOOKUP(A19052,'[1]Componentes APUs'!$H$1:$L$25,3,0)</f>
        <v>2.5</v>
      </c>
      <c r="E19052" s="51">
        <f>VLOOKUP(A19052,'[1]Componentes APUs'!$H$1:$L$25,4,0)</f>
        <v>169464.28571428571</v>
      </c>
      <c r="F19052" s="51">
        <f>VLOOKUP(A19052,'[1]Componentes APUs'!$H$1:$L$25,5,0)</f>
        <v>101678.57142857142</v>
      </c>
      <c r="G19052" s="51">
        <f>ROUNDUP((E19052+F19052)*C19052/E19035,0)</f>
        <v>2712</v>
      </c>
    </row>
    <row r="19053" spans="1:9" x14ac:dyDescent="0.25">
      <c r="A19053" s="50" t="s">
        <v>52</v>
      </c>
      <c r="B19053" s="68" t="str">
        <f>VLOOKUP(A19053,'[1]Componentes APUs'!$H$1:$L$25,2,0)</f>
        <v>Ayudante No Calificado</v>
      </c>
      <c r="C19053" s="93">
        <v>0</v>
      </c>
      <c r="D19053" s="50">
        <f>VLOOKUP(A19053,'[1]Componentes APUs'!$H$1:$L$25,3,0)</f>
        <v>1</v>
      </c>
      <c r="E19053" s="51">
        <f>VLOOKUP(A19053,'[1]Componentes APUs'!$H$1:$L$25,4,0)</f>
        <v>77309.523809523816</v>
      </c>
      <c r="F19053" s="51">
        <f>VLOOKUP(A19053,'[1]Componentes APUs'!$H$1:$L$25,5,0)</f>
        <v>46385.71428571429</v>
      </c>
      <c r="G19053" s="51">
        <f>ROUNDUP((E19053+F19053)*C19053/E19035,0)</f>
        <v>0</v>
      </c>
    </row>
    <row r="19054" spans="1:9" x14ac:dyDescent="0.25">
      <c r="A19054" s="50" t="s">
        <v>1121</v>
      </c>
      <c r="B19054" s="68" t="str">
        <f>VLOOKUP(A19054,'[1]Componentes APUs'!$H$1:$L$25,2,0)</f>
        <v>Ingeniero Especialista de Control y Protección Subestación</v>
      </c>
      <c r="C19054" s="93">
        <v>0</v>
      </c>
      <c r="D19054" s="50">
        <f>VLOOKUP(A19054,'[1]Componentes APUs'!$H$1:$L$25,3,0)</f>
        <v>14</v>
      </c>
      <c r="E19054" s="51">
        <f>VLOOKUP(A19054,'[1]Componentes APUs'!$H$1:$L$25,4,0)</f>
        <v>949000</v>
      </c>
      <c r="F19054" s="51">
        <f>VLOOKUP(A19054,'[1]Componentes APUs'!$H$1:$L$25,5,0)</f>
        <v>569400</v>
      </c>
      <c r="G19054" s="51">
        <f>ROUNDUP((E19054+F19054)*C19054/E19035,0)</f>
        <v>0</v>
      </c>
    </row>
    <row r="19055" spans="1:9" x14ac:dyDescent="0.25">
      <c r="A19055" s="219" t="s">
        <v>56</v>
      </c>
      <c r="B19055" s="219"/>
      <c r="C19055" s="219"/>
      <c r="D19055" s="219"/>
      <c r="E19055" s="219"/>
      <c r="F19055" s="219"/>
      <c r="G19055" s="52">
        <f>SUM(G19048:G19054)</f>
        <v>26864</v>
      </c>
    </row>
    <row r="19056" spans="1:9" x14ac:dyDescent="0.25">
      <c r="A19056" s="56"/>
      <c r="B19056" s="57"/>
      <c r="C19056" s="57"/>
      <c r="D19056" s="57"/>
      <c r="E19056" s="57"/>
      <c r="F19056" s="57"/>
      <c r="G19056" s="58"/>
    </row>
    <row r="19057" spans="1:7" x14ac:dyDescent="0.25">
      <c r="A19057" s="219" t="s">
        <v>57</v>
      </c>
      <c r="B19057" s="219"/>
      <c r="C19057" s="219"/>
      <c r="D19057" s="219"/>
      <c r="E19057" s="219"/>
      <c r="F19057" s="219"/>
      <c r="G19057" s="219"/>
    </row>
    <row r="19058" spans="1:7" x14ac:dyDescent="0.25">
      <c r="A19058" s="49" t="s">
        <v>35</v>
      </c>
      <c r="B19058" s="219" t="s">
        <v>36</v>
      </c>
      <c r="C19058" s="219"/>
      <c r="D19058" s="49" t="s">
        <v>37</v>
      </c>
      <c r="E19058" s="49" t="s">
        <v>38</v>
      </c>
      <c r="F19058" s="49" t="s">
        <v>39</v>
      </c>
      <c r="G19058" s="49" t="s">
        <v>40</v>
      </c>
    </row>
    <row r="19059" spans="1:7" x14ac:dyDescent="0.25">
      <c r="A19059" s="50" t="s">
        <v>326</v>
      </c>
      <c r="B19059" s="220" t="str">
        <f>VLOOKUP(A19059,'[1]Componentes APUs'!$S$1:$V$10,2,0)</f>
        <v>Juego Llaves</v>
      </c>
      <c r="C19059" s="220"/>
      <c r="D19059" s="50" t="s">
        <v>18</v>
      </c>
      <c r="E19059" s="50">
        <v>2</v>
      </c>
      <c r="F19059" s="51">
        <f>VLOOKUP(A19059,'[1]Componentes APUs'!$S$1:$V$10,4,0)</f>
        <v>9167</v>
      </c>
      <c r="G19059" s="51">
        <f>ROUNDUP(F19059*((E19059/21)/E19035),0)</f>
        <v>35</v>
      </c>
    </row>
    <row r="19060" spans="1:7" x14ac:dyDescent="0.25">
      <c r="A19060" s="50" t="s">
        <v>58</v>
      </c>
      <c r="B19060" s="220" t="str">
        <f>VLOOKUP(A19060,'[1]Componentes APUs'!$S$1:$V$10,2,0)</f>
        <v>Manila de servicio</v>
      </c>
      <c r="C19060" s="220"/>
      <c r="D19060" s="50" t="s">
        <v>18</v>
      </c>
      <c r="E19060" s="50">
        <v>0</v>
      </c>
      <c r="F19060" s="51">
        <f>VLOOKUP(A19060,'[1]Componentes APUs'!$S$1:$V$10,4,0)</f>
        <v>2333</v>
      </c>
      <c r="G19060" s="51">
        <f>ROUNDUP(F19060*((E19060/21)/E19035),0)</f>
        <v>0</v>
      </c>
    </row>
    <row r="19061" spans="1:7" x14ac:dyDescent="0.25">
      <c r="A19061" s="50" t="s">
        <v>327</v>
      </c>
      <c r="B19061" s="220" t="str">
        <f>VLOOKUP(A19061,'[1]Componentes APUs'!$S$1:$V$10,2,0)</f>
        <v>Tula portaherramientas</v>
      </c>
      <c r="C19061" s="220"/>
      <c r="D19061" s="50" t="s">
        <v>18</v>
      </c>
      <c r="E19061" s="50">
        <v>2</v>
      </c>
      <c r="F19061" s="51">
        <f>VLOOKUP(A19061,'[1]Componentes APUs'!$S$1:$V$10,4,0)</f>
        <v>1250</v>
      </c>
      <c r="G19061" s="51">
        <f>ROUNDUP(F19061*((E19061/21)/E19035),0)</f>
        <v>5</v>
      </c>
    </row>
    <row r="19062" spans="1:7" x14ac:dyDescent="0.25">
      <c r="A19062" s="50" t="s">
        <v>60</v>
      </c>
      <c r="B19062" s="220" t="str">
        <f>VLOOKUP(A19062,'[1]Componentes APUs'!$S$1:$V$10,2,0)</f>
        <v>Agarradoras</v>
      </c>
      <c r="C19062" s="220"/>
      <c r="D19062" s="50" t="s">
        <v>18</v>
      </c>
      <c r="E19062" s="50">
        <v>0</v>
      </c>
      <c r="F19062" s="51">
        <f>VLOOKUP(A19062,'[1]Componentes APUs'!$S$1:$V$10,4,0)</f>
        <v>125000</v>
      </c>
      <c r="G19062" s="51">
        <f>ROUNDUP(F19062*((E19062/21)/E19035),0)</f>
        <v>0</v>
      </c>
    </row>
    <row r="19063" spans="1:7" x14ac:dyDescent="0.25">
      <c r="A19063" s="50" t="s">
        <v>62</v>
      </c>
      <c r="B19063" s="220" t="str">
        <f>VLOOKUP(A19063,'[1]Componentes APUs'!$S$1:$V$10,2,0)</f>
        <v>Templadoras</v>
      </c>
      <c r="C19063" s="220"/>
      <c r="D19063" s="50" t="s">
        <v>18</v>
      </c>
      <c r="E19063" s="50">
        <v>0</v>
      </c>
      <c r="F19063" s="51">
        <f>VLOOKUP(A19063,'[1]Componentes APUs'!$S$1:$V$10,4,0)</f>
        <v>250000</v>
      </c>
      <c r="G19063" s="51">
        <f>ROUNDUP(F19063*((E19063/21)/E19035),0)</f>
        <v>0</v>
      </c>
    </row>
    <row r="19064" spans="1:7" x14ac:dyDescent="0.25">
      <c r="A19064" s="50" t="s">
        <v>328</v>
      </c>
      <c r="B19064" s="220" t="str">
        <f>VLOOKUP(A19064,'[1]Componentes APUs'!$S$1:$V$10,2,0)</f>
        <v>Herramienta Menor</v>
      </c>
      <c r="C19064" s="220"/>
      <c r="D19064" s="50" t="s">
        <v>18</v>
      </c>
      <c r="E19064" s="50">
        <v>2</v>
      </c>
      <c r="F19064" s="51">
        <f>VLOOKUP(A19064,'[1]Componentes APUs'!$S$1:$V$10,4,0)</f>
        <v>75758</v>
      </c>
      <c r="G19064" s="51">
        <f>ROUNDUP(F19064*((E19064/21)/E19035),0)</f>
        <v>289</v>
      </c>
    </row>
    <row r="19065" spans="1:7" x14ac:dyDescent="0.25">
      <c r="A19065" s="219" t="s">
        <v>69</v>
      </c>
      <c r="B19065" s="219"/>
      <c r="C19065" s="219"/>
      <c r="D19065" s="219"/>
      <c r="E19065" s="219"/>
      <c r="F19065" s="219"/>
      <c r="G19065" s="52">
        <f>SUM(G19059:G19064)</f>
        <v>329</v>
      </c>
    </row>
    <row r="19066" spans="1:7" x14ac:dyDescent="0.25">
      <c r="A19066" s="56"/>
      <c r="B19066" s="57"/>
      <c r="C19066" s="57"/>
      <c r="D19066" s="57"/>
      <c r="E19066" s="57"/>
      <c r="F19066" s="57"/>
      <c r="G19066" s="58"/>
    </row>
    <row r="19067" spans="1:7" x14ac:dyDescent="0.25">
      <c r="A19067" s="219" t="s">
        <v>70</v>
      </c>
      <c r="B19067" s="219"/>
      <c r="C19067" s="219"/>
      <c r="D19067" s="219"/>
      <c r="E19067" s="219"/>
      <c r="F19067" s="219"/>
      <c r="G19067" s="219"/>
    </row>
    <row r="19068" spans="1:7" x14ac:dyDescent="0.25">
      <c r="A19068" s="49" t="s">
        <v>35</v>
      </c>
      <c r="B19068" s="219" t="s">
        <v>36</v>
      </c>
      <c r="C19068" s="219"/>
      <c r="D19068" s="49" t="s">
        <v>37</v>
      </c>
      <c r="E19068" s="49" t="s">
        <v>38</v>
      </c>
      <c r="F19068" s="49" t="s">
        <v>39</v>
      </c>
      <c r="G19068" s="49" t="s">
        <v>40</v>
      </c>
    </row>
    <row r="19069" spans="1:7" x14ac:dyDescent="0.25">
      <c r="A19069" s="50" t="s">
        <v>71</v>
      </c>
      <c r="B19069" s="71" t="str">
        <f>VLOOKUP(A19069,'[1]Componentes APUs'!$A$1:$D$14,2,0)</f>
        <v>Camisa indigo sin partes metalicas</v>
      </c>
      <c r="C19069" s="71"/>
      <c r="D19069" s="50" t="str">
        <f>VLOOKUP(A19069,'[1]Componentes APUs'!$A$1:$D$14,3,0)</f>
        <v>U</v>
      </c>
      <c r="E19069" s="50">
        <f>SUM(C19048:C19054)</f>
        <v>2.75</v>
      </c>
      <c r="F19069" s="51">
        <f>VLOOKUP(A19069,'[1]Componentes APUs'!$A$1:$D$14,4,0)</f>
        <v>8585.8585858585866</v>
      </c>
      <c r="G19069" s="51">
        <f>ROUNDUP(F19069*(E19069/21)/E19035,0)</f>
        <v>45</v>
      </c>
    </row>
    <row r="19070" spans="1:7" x14ac:dyDescent="0.25">
      <c r="A19070" s="69" t="s">
        <v>73</v>
      </c>
      <c r="B19070" s="72" t="str">
        <f>VLOOKUP(A19070,'[1]Componentes APUs'!$A$1:$D$14,2,0)</f>
        <v>Bota de seguridad dielectrica</v>
      </c>
      <c r="C19070" s="73"/>
      <c r="D19070" s="70" t="str">
        <f>VLOOKUP(A19070,'[1]Componentes APUs'!$A$1:$D$14,3,0)</f>
        <v>Par</v>
      </c>
      <c r="E19070" s="50">
        <f>SUM(C19048:C19054)</f>
        <v>2.75</v>
      </c>
      <c r="F19070" s="51">
        <f>VLOOKUP(A19070,'[1]Componentes APUs'!$A$1:$D$14,4,0)</f>
        <v>7500</v>
      </c>
      <c r="G19070" s="51">
        <f>ROUNDUP(F19070*(E19070/21)/E19035,0)</f>
        <v>40</v>
      </c>
    </row>
    <row r="19071" spans="1:7" x14ac:dyDescent="0.25">
      <c r="A19071" s="50" t="s">
        <v>76</v>
      </c>
      <c r="B19071" s="72" t="str">
        <f>VLOOKUP(A19071,'[1]Componentes APUs'!$A$1:$D$14,2,0)</f>
        <v>Casco dielectrico Tipo 1 Clase E con barbuquejo</v>
      </c>
      <c r="C19071" s="73"/>
      <c r="D19071" s="50" t="str">
        <f>VLOOKUP(A19071,'[1]Componentes APUs'!$A$1:$D$14,3,0)</f>
        <v>U</v>
      </c>
      <c r="E19071" s="50">
        <f>C19048+C19054+C19049+C19052+C19053+C19051+IF(A19050&lt;&gt;"MO-3",C19050,0)</f>
        <v>2.75</v>
      </c>
      <c r="F19071" s="51">
        <f>VLOOKUP(A19071,'[1]Componentes APUs'!$A$1:$D$14,4,0)</f>
        <v>10101.010101010101</v>
      </c>
      <c r="G19071" s="51">
        <f>ROUNDUP(F19071*(E19071/21)/E19035,0)</f>
        <v>53</v>
      </c>
    </row>
    <row r="19072" spans="1:7" x14ac:dyDescent="0.25">
      <c r="A19072" s="69" t="s">
        <v>77</v>
      </c>
      <c r="B19072" s="72" t="str">
        <f>VLOOKUP(A19072,'[1]Componentes APUs'!$A$1:$D$14,2,0)</f>
        <v>Correa plastica y antiflama</v>
      </c>
      <c r="C19072" s="73"/>
      <c r="D19072" s="50" t="str">
        <f>VLOOKUP(A19072,'[1]Componentes APUs'!$A$1:$D$14,3,0)</f>
        <v>U</v>
      </c>
      <c r="E19072" s="50">
        <f>SUM(C19048:C19054)</f>
        <v>2.75</v>
      </c>
      <c r="F19072" s="51">
        <f>VLOOKUP(A19072,'[1]Componentes APUs'!$A$1:$D$14,4,0)</f>
        <v>3787.878787878788</v>
      </c>
      <c r="G19072" s="51">
        <f>ROUNDUP(F19072*(E19072/21)/E19035,0)</f>
        <v>20</v>
      </c>
    </row>
    <row r="19073" spans="1:7" x14ac:dyDescent="0.25">
      <c r="A19073" s="50" t="s">
        <v>79</v>
      </c>
      <c r="B19073" s="72" t="str">
        <f>VLOOKUP(A19073,'[1]Componentes APUs'!$A$1:$D$14,2,0)</f>
        <v>Gafas protectoras filtro UV</v>
      </c>
      <c r="C19073" s="73"/>
      <c r="D19073" s="50" t="str">
        <f>VLOOKUP(A19073,'[1]Componentes APUs'!$A$1:$D$14,3,0)</f>
        <v>U</v>
      </c>
      <c r="E19073" s="50">
        <f>SUM(C19048:C19054)</f>
        <v>2.75</v>
      </c>
      <c r="F19073" s="51">
        <f>VLOOKUP(A19073,'[1]Componentes APUs'!$A$1:$D$14,4,0)</f>
        <v>2777.7777777777778</v>
      </c>
      <c r="G19073" s="51">
        <f>ROUNDUP(F19073*(E19073/21)/E19035,0)</f>
        <v>15</v>
      </c>
    </row>
    <row r="19074" spans="1:7" x14ac:dyDescent="0.25">
      <c r="A19074" s="69" t="s">
        <v>402</v>
      </c>
      <c r="B19074" s="72" t="str">
        <f>VLOOKUP(A19074,'[1]Componentes APUs'!$A$1:$D$14,2,0)</f>
        <v>Bota de seguridad PVC dielectrica</v>
      </c>
      <c r="C19074" s="73"/>
      <c r="D19074" s="50" t="str">
        <f>VLOOKUP(A19074,'[1]Componentes APUs'!$A$1:$D$14,3,0)</f>
        <v>Par</v>
      </c>
      <c r="E19074" s="50">
        <f>SUM(C19048:C19054)</f>
        <v>2.75</v>
      </c>
      <c r="F19074" s="51">
        <f>VLOOKUP(A19074,'[1]Componentes APUs'!$A$1:$D$14,4,0)</f>
        <v>2916.6666666666665</v>
      </c>
      <c r="G19074" s="51">
        <f>ROUNDUP(F19074*(E19074/21)/E19035,0)</f>
        <v>16</v>
      </c>
    </row>
    <row r="19075" spans="1:7" x14ac:dyDescent="0.25">
      <c r="A19075" s="50" t="s">
        <v>403</v>
      </c>
      <c r="B19075" s="72" t="str">
        <f>VLOOKUP(A19075,'[1]Componentes APUs'!$A$1:$D$14,2,0)</f>
        <v>Capuchon</v>
      </c>
      <c r="C19075" s="73"/>
      <c r="D19075" s="50" t="str">
        <f>VLOOKUP(A19075,'[1]Componentes APUs'!$A$1:$D$14,3,0)</f>
        <v>U</v>
      </c>
      <c r="E19075" s="50">
        <f>SUM(C19048:C19053)</f>
        <v>2.75</v>
      </c>
      <c r="F19075" s="51">
        <f>VLOOKUP(A19075,'[1]Componentes APUs'!$A$1:$D$14,4,0)</f>
        <v>2525.2525252525252</v>
      </c>
      <c r="G19075" s="51">
        <f>ROUNDUP(F19075*(E19075/21)/E19035,0)</f>
        <v>14</v>
      </c>
    </row>
    <row r="19076" spans="1:7" x14ac:dyDescent="0.25">
      <c r="A19076" s="69" t="s">
        <v>81</v>
      </c>
      <c r="B19076" s="72" t="str">
        <f>VLOOKUP(A19076,'[1]Componentes APUs'!$A$1:$D$14,2,0)</f>
        <v>Guantes Protectores  - ingeniero reforzados</v>
      </c>
      <c r="C19076" s="73"/>
      <c r="D19076" s="50" t="str">
        <f>VLOOKUP(A19076,'[1]Componentes APUs'!$A$1:$D$14,3,0)</f>
        <v>Par</v>
      </c>
      <c r="E19076" s="50">
        <f>C19050+C19051+C19053+C19054</f>
        <v>2</v>
      </c>
      <c r="F19076" s="51">
        <f>VLOOKUP(A19076,'[1]Componentes APUs'!$A$1:$D$14,4,0)</f>
        <v>2525.2525252525252</v>
      </c>
      <c r="G19076" s="51">
        <f>ROUNDUP(F19076*(E19076/21)/E19035,0)</f>
        <v>10</v>
      </c>
    </row>
    <row r="19077" spans="1:7" x14ac:dyDescent="0.25">
      <c r="A19077" s="50" t="s">
        <v>83</v>
      </c>
      <c r="B19077" s="72" t="str">
        <f>VLOOKUP(A19077,'[1]Componentes APUs'!$A$1:$D$14,2,0)</f>
        <v>Impermeable (pantalon camisa)</v>
      </c>
      <c r="C19077" s="73"/>
      <c r="D19077" s="50" t="str">
        <f>VLOOKUP(A19077,'[1]Componentes APUs'!$A$1:$D$14,3,0)</f>
        <v>U</v>
      </c>
      <c r="E19077" s="50">
        <f>SUM(C19048:C19054)</f>
        <v>2.75</v>
      </c>
      <c r="F19077" s="51">
        <f>VLOOKUP(A19077,'[1]Componentes APUs'!$A$1:$D$14,4,0)</f>
        <v>3750</v>
      </c>
      <c r="G19077" s="51">
        <f>ROUNDUP(F19077*(E19077/21)/E19035,0)</f>
        <v>20</v>
      </c>
    </row>
    <row r="19078" spans="1:7" x14ac:dyDescent="0.25">
      <c r="A19078" s="69" t="s">
        <v>85</v>
      </c>
      <c r="B19078" s="72" t="str">
        <f>VLOOKUP(A19078,'[1]Componentes APUs'!$A$1:$D$14,2,0)</f>
        <v>Jean Dielectrico</v>
      </c>
      <c r="C19078" s="73"/>
      <c r="D19078" s="50" t="str">
        <f>VLOOKUP(A19078,'[1]Componentes APUs'!$A$1:$D$14,3,0)</f>
        <v>U</v>
      </c>
      <c r="E19078" s="50">
        <f>SUM(C19048:C19054)</f>
        <v>2.75</v>
      </c>
      <c r="F19078" s="51">
        <f>VLOOKUP(A19078,'[1]Componentes APUs'!$A$1:$D$14,4,0)</f>
        <v>7575.757575757576</v>
      </c>
      <c r="G19078" s="51">
        <f>ROUNDUP(F19078*(E19078/21)/E19035,0)</f>
        <v>40</v>
      </c>
    </row>
    <row r="19079" spans="1:7" x14ac:dyDescent="0.25">
      <c r="A19079" s="50" t="s">
        <v>87</v>
      </c>
      <c r="B19079" s="72" t="str">
        <f>VLOOKUP(A19079,'[1]Componentes APUs'!$A$1:$D$14,2,0)</f>
        <v>Casco dielectrico Tipo 2 Clase E con barboquejo</v>
      </c>
      <c r="C19079" s="73"/>
      <c r="D19079" s="50" t="str">
        <f>VLOOKUP(A19079,'[1]Componentes APUs'!$A$1:$D$14,3,0)</f>
        <v>U</v>
      </c>
      <c r="E19079" s="53">
        <f>IF(A19050="MO-3",C19050,0)</f>
        <v>0</v>
      </c>
      <c r="F19079" s="51">
        <f>VLOOKUP(A19079,'[1]Componentes APUs'!$A$1:$D$14,4,0)</f>
        <v>7500</v>
      </c>
      <c r="G19079" s="51">
        <f>ROUNDUP(F19079*(E19079/21)/E19035,0)</f>
        <v>0</v>
      </c>
    </row>
    <row r="19080" spans="1:7" x14ac:dyDescent="0.25">
      <c r="A19080" s="69" t="s">
        <v>89</v>
      </c>
      <c r="B19080" s="72" t="str">
        <f>VLOOKUP(A19080,'[1]Componentes APUs'!$A$1:$D$14,2,0)</f>
        <v>Kit de rescate para trabajo en alturas</v>
      </c>
      <c r="C19080" s="73"/>
      <c r="D19080" s="50" t="str">
        <f>VLOOKUP(A19080,'[1]Componentes APUs'!$A$1:$D$14,3,0)</f>
        <v>U</v>
      </c>
      <c r="E19080" s="50">
        <f>IF(AND(A19050="MO-3",C19050=2),1,0)</f>
        <v>0</v>
      </c>
      <c r="F19080" s="51">
        <f>VLOOKUP(A19080,'[1]Componentes APUs'!$A$1:$D$14,4,0)</f>
        <v>37500</v>
      </c>
      <c r="G19080" s="51">
        <f>ROUNDUP(F19080*(E19080/21)/E19035,0)</f>
        <v>0</v>
      </c>
    </row>
    <row r="19081" spans="1:7" x14ac:dyDescent="0.25">
      <c r="A19081" s="50" t="s">
        <v>91</v>
      </c>
      <c r="B19081" s="72" t="str">
        <f>VLOOKUP(A19081,'[1]Componentes APUs'!$A$1:$D$14,2,0)</f>
        <v>Equipo completo para trabajo en alturas con pretales (Arnes dielectrico, 1 mosqueton de seguridad, tie off dielectrico, eslinga de posicionamiento, juego de pretales)</v>
      </c>
      <c r="C19081" s="73"/>
      <c r="D19081" s="50" t="str">
        <f>VLOOKUP(A19081,'[1]Componentes APUs'!$A$1:$D$14,3,0)</f>
        <v>U</v>
      </c>
      <c r="E19081" s="50">
        <f>IF(A19050="MO-3",C19050,0)</f>
        <v>0</v>
      </c>
      <c r="F19081" s="51">
        <f>VLOOKUP(A19081,'[1]Componentes APUs'!$A$1:$D$14,4,0)</f>
        <v>26041.666666666668</v>
      </c>
      <c r="G19081" s="51">
        <f>ROUNDUP(F19081*(E19081/21)/E19035,0)</f>
        <v>0</v>
      </c>
    </row>
    <row r="19082" spans="1:7" x14ac:dyDescent="0.25">
      <c r="A19082" s="219" t="s">
        <v>95</v>
      </c>
      <c r="B19082" s="219"/>
      <c r="C19082" s="219"/>
      <c r="D19082" s="219"/>
      <c r="E19082" s="219"/>
      <c r="F19082" s="219"/>
      <c r="G19082" s="52">
        <f>SUM(G19069:G19081)</f>
        <v>273</v>
      </c>
    </row>
    <row r="19083" spans="1:7" x14ac:dyDescent="0.25">
      <c r="A19083" s="56"/>
      <c r="B19083" s="57"/>
      <c r="C19083" s="57"/>
      <c r="D19083" s="57"/>
      <c r="E19083" s="57"/>
      <c r="F19083" s="57"/>
      <c r="G19083" s="58"/>
    </row>
    <row r="19084" spans="1:7" x14ac:dyDescent="0.25">
      <c r="A19084" s="219" t="s">
        <v>96</v>
      </c>
      <c r="B19084" s="219"/>
      <c r="C19084" s="219"/>
      <c r="D19084" s="219"/>
      <c r="E19084" s="219"/>
      <c r="F19084" s="219"/>
      <c r="G19084" s="219"/>
    </row>
    <row r="19085" spans="1:7" x14ac:dyDescent="0.25">
      <c r="A19085" s="49" t="s">
        <v>35</v>
      </c>
      <c r="B19085" s="225" t="s">
        <v>36</v>
      </c>
      <c r="C19085" s="225"/>
      <c r="D19085" s="49" t="s">
        <v>37</v>
      </c>
      <c r="E19085" s="49" t="s">
        <v>38</v>
      </c>
      <c r="F19085" s="49" t="s">
        <v>39</v>
      </c>
      <c r="G19085" s="49" t="s">
        <v>40</v>
      </c>
    </row>
    <row r="19086" spans="1:7" x14ac:dyDescent="0.25">
      <c r="A19086" s="69" t="s">
        <v>97</v>
      </c>
      <c r="B19086" s="72" t="str">
        <f>VLOOKUP(A19086,'[1]Componentes APUs'!$N$1:$Q$30,2,0)</f>
        <v>Camioneta</v>
      </c>
      <c r="C19086" s="73"/>
      <c r="D19086" s="70" t="str">
        <f>VLOOKUP(A19086,'[1]Componentes APUs'!$N$1:$Q$30,3,0)</f>
        <v>U</v>
      </c>
      <c r="E19086" s="50">
        <v>1</v>
      </c>
      <c r="F19086" s="51">
        <f>VLOOKUP(A19086,'[1]Componentes APUs'!$N$1:$Q$30,4,0)</f>
        <v>5500000</v>
      </c>
      <c r="G19086" s="51">
        <f>IFERROR(ROUNDUP(F19086*(E19086/21)/E19035,0),0)</f>
        <v>10477</v>
      </c>
    </row>
    <row r="19087" spans="1:7" x14ac:dyDescent="0.25">
      <c r="A19087" s="50" t="s">
        <v>321</v>
      </c>
      <c r="B19087" s="72" t="str">
        <f>VLOOKUP(A19087,'[1]Componentes APUs'!$N$1:$Q$30,2,0)</f>
        <v>Grúa Hidráulica</v>
      </c>
      <c r="C19087" s="73"/>
      <c r="D19087" s="70" t="str">
        <f>VLOOKUP(A19087,'[1]Componentes APUs'!$N$1:$Q$30,3,0)</f>
        <v>U</v>
      </c>
      <c r="E19087" s="50">
        <v>0</v>
      </c>
      <c r="F19087" s="51">
        <f>VLOOKUP(A19087,'[1]Componentes APUs'!$N$1:$Q$30,4,0)</f>
        <v>21000000</v>
      </c>
      <c r="G19087" s="51">
        <f>IFERROR(ROUNDUP(F19087*(E19087/21)/E19035,0),0)</f>
        <v>0</v>
      </c>
    </row>
    <row r="19088" spans="1:7" x14ac:dyDescent="0.25">
      <c r="A19088" s="69" t="s">
        <v>322</v>
      </c>
      <c r="B19088" s="72" t="str">
        <f>VLOOKUP(A19088,'[1]Componentes APUs'!$N$1:$Q$30,2,0)</f>
        <v>Camabaja</v>
      </c>
      <c r="C19088" s="73"/>
      <c r="D19088" s="70" t="str">
        <f>VLOOKUP(A19088,'[1]Componentes APUs'!$N$1:$Q$30,3,0)</f>
        <v>TON/KM</v>
      </c>
      <c r="E19088" s="50">
        <v>0</v>
      </c>
      <c r="F19088" s="51">
        <f>VLOOKUP(A19088,'[1]Componentes APUs'!$N$1:$Q$30,4,0)</f>
        <v>611</v>
      </c>
      <c r="G19088" s="51">
        <f>IFERROR(ROUNDUP(F19088*(E19088/21)/E19035,0),0)</f>
        <v>0</v>
      </c>
    </row>
    <row r="19089" spans="1:7" x14ac:dyDescent="0.25">
      <c r="A19089" s="50" t="s">
        <v>323</v>
      </c>
      <c r="B19089" s="72" t="str">
        <f>VLOOKUP(A19089,'[1]Componentes APUs'!$N$1:$Q$30,2,0)</f>
        <v>Volqueta</v>
      </c>
      <c r="C19089" s="73"/>
      <c r="D19089" s="70" t="str">
        <f>VLOOKUP(A19089,'[1]Componentes APUs'!$N$1:$Q$30,3,0)</f>
        <v>U</v>
      </c>
      <c r="E19089" s="50">
        <v>0</v>
      </c>
      <c r="F19089" s="51">
        <f>VLOOKUP(A19089,'[1]Componentes APUs'!$N$1:$Q$30,4,0)</f>
        <v>18900000</v>
      </c>
      <c r="G19089" s="51">
        <f>IFERROR(ROUNDUP(F19089*(E19089/21)/E19035,0),0)</f>
        <v>0</v>
      </c>
    </row>
    <row r="19090" spans="1:7" x14ac:dyDescent="0.25">
      <c r="A19090" s="69" t="s">
        <v>324</v>
      </c>
      <c r="B19090" s="72" t="str">
        <f>VLOOKUP(A19090,'[1]Componentes APUs'!$N$1:$Q$30,2,0)</f>
        <v>Retroexcavadora</v>
      </c>
      <c r="C19090" s="73"/>
      <c r="D19090" s="70" t="str">
        <f>VLOOKUP(A19090,'[1]Componentes APUs'!$N$1:$Q$30,3,0)</f>
        <v>U</v>
      </c>
      <c r="E19090" s="50">
        <v>0</v>
      </c>
      <c r="F19090" s="51">
        <f>VLOOKUP(A19090,'[1]Componentes APUs'!$N$1:$Q$30,4,0)</f>
        <v>1494459.54</v>
      </c>
      <c r="G19090" s="51">
        <f>IFERROR(ROUNDUP(F19090*(E19090/21)/E19035,0),0)</f>
        <v>0</v>
      </c>
    </row>
    <row r="19091" spans="1:7" x14ac:dyDescent="0.25">
      <c r="A19091" s="219" t="s">
        <v>99</v>
      </c>
      <c r="B19091" s="219"/>
      <c r="C19091" s="219"/>
      <c r="D19091" s="219"/>
      <c r="E19091" s="219"/>
      <c r="F19091" s="219"/>
      <c r="G19091" s="52">
        <f>SUM(G19086:G19090)</f>
        <v>10477</v>
      </c>
    </row>
    <row r="19092" spans="1:7" x14ac:dyDescent="0.25">
      <c r="A19092" s="56"/>
      <c r="B19092" s="57"/>
      <c r="C19092" s="57"/>
      <c r="D19092" s="57"/>
      <c r="E19092" s="57"/>
      <c r="F19092" s="57"/>
      <c r="G19092" s="58"/>
    </row>
    <row r="19093" spans="1:7" x14ac:dyDescent="0.25">
      <c r="A19093" s="219" t="s">
        <v>1516</v>
      </c>
      <c r="B19093" s="219"/>
      <c r="C19093" s="219"/>
      <c r="D19093" s="219"/>
      <c r="E19093" s="219"/>
      <c r="F19093" s="219"/>
      <c r="G19093" s="52">
        <f>G19091+G19082+G19065+G19055+G19044</f>
        <v>102849</v>
      </c>
    </row>
    <row r="19094" spans="1:7" x14ac:dyDescent="0.25">
      <c r="A19094" s="59"/>
      <c r="B19094" s="60"/>
      <c r="C19094" s="60"/>
      <c r="D19094" s="60"/>
      <c r="E19094" s="57"/>
      <c r="F19094" s="57"/>
      <c r="G19094" s="58"/>
    </row>
    <row r="19095" spans="1:7" x14ac:dyDescent="0.25">
      <c r="A19095" s="64"/>
      <c r="D19095" s="55"/>
      <c r="E19095" s="49" t="s">
        <v>25</v>
      </c>
      <c r="F19095" s="54">
        <v>0.15</v>
      </c>
      <c r="G19095" s="51">
        <f>G19093*F19095</f>
        <v>15427.349999999999</v>
      </c>
    </row>
    <row r="19096" spans="1:7" x14ac:dyDescent="0.25">
      <c r="A19096" s="64"/>
      <c r="D19096" s="55"/>
      <c r="E19096" s="49" t="s">
        <v>26</v>
      </c>
      <c r="F19096" s="54">
        <v>0.05</v>
      </c>
      <c r="G19096" s="51">
        <f>G19093*F19096</f>
        <v>5142.4500000000007</v>
      </c>
    </row>
    <row r="19097" spans="1:7" x14ac:dyDescent="0.25">
      <c r="A19097" s="61"/>
      <c r="B19097" s="65"/>
      <c r="C19097" s="65"/>
      <c r="D19097" s="62"/>
      <c r="E19097" s="49" t="s">
        <v>27</v>
      </c>
      <c r="F19097" s="54">
        <v>0.05</v>
      </c>
      <c r="G19097" s="51">
        <f>G19093*F19097</f>
        <v>5142.4500000000007</v>
      </c>
    </row>
    <row r="19098" spans="1:7" x14ac:dyDescent="0.25">
      <c r="A19098" s="61"/>
      <c r="B19098" s="62"/>
      <c r="C19098" s="62"/>
      <c r="D19098" s="62"/>
      <c r="E19098" s="62"/>
      <c r="F19098" s="62"/>
      <c r="G19098" s="63"/>
    </row>
    <row r="19099" spans="1:7" x14ac:dyDescent="0.25">
      <c r="A19099" s="219" t="s">
        <v>1517</v>
      </c>
      <c r="B19099" s="219"/>
      <c r="C19099" s="219"/>
      <c r="D19099" s="219"/>
      <c r="E19099" s="219"/>
      <c r="F19099" s="219"/>
      <c r="G19099" s="52">
        <f>G19093+G19095+G19096+G19097</f>
        <v>128561.25</v>
      </c>
    </row>
    <row r="19100" spans="1:7" x14ac:dyDescent="0.25">
      <c r="A19100" s="59"/>
      <c r="B19100" s="60"/>
      <c r="C19100" s="60"/>
      <c r="D19100" s="60"/>
      <c r="E19100" s="57"/>
      <c r="F19100" s="57"/>
      <c r="G19100" s="58"/>
    </row>
    <row r="19101" spans="1:7" x14ac:dyDescent="0.25">
      <c r="A19101" s="64"/>
      <c r="D19101" s="55"/>
      <c r="E19101" s="49" t="s">
        <v>102</v>
      </c>
      <c r="F19101" s="49" t="s">
        <v>103</v>
      </c>
      <c r="G19101" s="51">
        <f>G19097*19%</f>
        <v>977.06550000000016</v>
      </c>
    </row>
    <row r="19102" spans="1:7" x14ac:dyDescent="0.25">
      <c r="A19102" s="61"/>
      <c r="B19102" s="62"/>
      <c r="C19102" s="62"/>
      <c r="D19102" s="62"/>
      <c r="E19102" s="57"/>
      <c r="F19102" s="57"/>
      <c r="G19102" s="58"/>
    </row>
    <row r="19103" spans="1:7" x14ac:dyDescent="0.25">
      <c r="A19103" s="219" t="s">
        <v>104</v>
      </c>
      <c r="B19103" s="219"/>
      <c r="C19103" s="219"/>
      <c r="D19103" s="219"/>
      <c r="E19103" s="219"/>
      <c r="F19103" s="219"/>
      <c r="G19103" s="52">
        <f>G19101+G19099</f>
        <v>129538.3155</v>
      </c>
    </row>
    <row r="19105" spans="1:9" x14ac:dyDescent="0.25">
      <c r="A19105" s="74" t="s">
        <v>29</v>
      </c>
      <c r="B19105" s="226" t="s">
        <v>30</v>
      </c>
      <c r="C19105" s="226"/>
      <c r="D19105" s="74" t="s">
        <v>31</v>
      </c>
      <c r="E19105" s="74" t="s">
        <v>32</v>
      </c>
      <c r="F19105" s="74" t="s">
        <v>189</v>
      </c>
      <c r="G19105" s="74" t="s">
        <v>33</v>
      </c>
    </row>
    <row r="19106" spans="1:9" ht="30" customHeight="1" x14ac:dyDescent="0.25">
      <c r="A19106" s="50" t="str">
        <f>Presupuesto!B371</f>
        <v>040_AUX</v>
      </c>
      <c r="B19106" s="220" t="str">
        <f>Presupuesto!C371</f>
        <v>SUMINISTRO E INSTALACIÓN DE LUMINARIA LED 18 W. 1260 LUMENES. 100 - 240 V.  SOBREPONER</v>
      </c>
      <c r="C19106" s="220"/>
      <c r="D19106" s="50" t="s">
        <v>8</v>
      </c>
      <c r="E19106" s="50">
        <v>25</v>
      </c>
      <c r="F19106" s="50"/>
      <c r="G19106" s="51">
        <f>G19176</f>
        <v>111854.93550000001</v>
      </c>
    </row>
    <row r="19107" spans="1:9" x14ac:dyDescent="0.25">
      <c r="A19107" s="219"/>
      <c r="B19107" s="219"/>
      <c r="C19107" s="219"/>
      <c r="D19107" s="219"/>
      <c r="E19107" s="219"/>
      <c r="F19107" s="219"/>
      <c r="G19107" s="219"/>
    </row>
    <row r="19108" spans="1:9" x14ac:dyDescent="0.25">
      <c r="A19108" s="49" t="s">
        <v>35</v>
      </c>
      <c r="B19108" s="219" t="s">
        <v>36</v>
      </c>
      <c r="C19108" s="219"/>
      <c r="D19108" s="49" t="s">
        <v>37</v>
      </c>
      <c r="E19108" s="49" t="s">
        <v>38</v>
      </c>
      <c r="F19108" s="49" t="s">
        <v>39</v>
      </c>
      <c r="G19108" s="49" t="s">
        <v>40</v>
      </c>
    </row>
    <row r="19109" spans="1:9" x14ac:dyDescent="0.25">
      <c r="A19109" s="17" t="str">
        <f>Material!A153</f>
        <v>MA-152</v>
      </c>
      <c r="B19109" s="72" t="str">
        <f>IFERROR(VLOOKUP(A19109,Material!$A:$J,2,0),"-")</f>
        <v>LUMINARIA LED TORTUGA 18 W. 1260 LUMENES. 100 - 240 V.  SOBREPONER</v>
      </c>
      <c r="C19109" s="73"/>
      <c r="D19109" s="50" t="str">
        <f>IFERROR(VLOOKUP(A19109,Material!$A:$J,4,0),"-")</f>
        <v>UN</v>
      </c>
      <c r="E19109" s="50">
        <v>1</v>
      </c>
      <c r="F19109" s="51">
        <f>IFERROR(VLOOKUP(A19109,Material!$A:$J,3,0),"-")</f>
        <v>17550</v>
      </c>
      <c r="G19109" s="51">
        <f t="shared" ref="G19109:G19116" si="272">IFERROR(ROUNDUP(F19109*E19109,0),"-")</f>
        <v>17550</v>
      </c>
    </row>
    <row r="19110" spans="1:9" x14ac:dyDescent="0.25">
      <c r="A19110" s="17" t="str">
        <f>Material!A128</f>
        <v>MA-127</v>
      </c>
      <c r="B19110" s="72" t="str">
        <f>IFERROR(VLOOKUP(A19110,Material!$A:$J,2,0),"-")</f>
        <v>CABLE ENCAUCHETADO 3 X 16 AWG COBRE</v>
      </c>
      <c r="C19110" s="76"/>
      <c r="D19110" s="50" t="str">
        <f>IFERROR(VLOOKUP(A19110,Material!$A:$J,4,0),"-")</f>
        <v>ML</v>
      </c>
      <c r="E19110" s="50">
        <v>0.5</v>
      </c>
      <c r="F19110" s="51">
        <f>IFERROR(VLOOKUP(A19110,Material!$A:$J,3,0),"-")</f>
        <v>6175</v>
      </c>
      <c r="G19110" s="51">
        <f t="shared" si="272"/>
        <v>3088</v>
      </c>
    </row>
    <row r="19111" spans="1:9" x14ac:dyDescent="0.25">
      <c r="A19111" s="17" t="str">
        <f>Material!A149</f>
        <v>MA-148</v>
      </c>
      <c r="B19111" s="72" t="str">
        <f>IFERROR(VLOOKUP(A19111,Material!$A:$J,2,0),"-")</f>
        <v>CLAVIJA CON POLO A TIERRA</v>
      </c>
      <c r="C19111" s="76"/>
      <c r="D19111" s="50" t="str">
        <f>IFERROR(VLOOKUP(A19111,Material!$A:$J,4,0),"-")</f>
        <v>UN</v>
      </c>
      <c r="E19111" s="50">
        <v>1</v>
      </c>
      <c r="F19111" s="51">
        <f>IFERROR(VLOOKUP(A19111,Material!$A:$J,3,0),"-")</f>
        <v>6825</v>
      </c>
      <c r="G19111" s="51">
        <f t="shared" si="272"/>
        <v>6825</v>
      </c>
    </row>
    <row r="19112" spans="1:9" x14ac:dyDescent="0.25">
      <c r="A19112" s="17" t="str">
        <f>Material!A240</f>
        <v>MA-239</v>
      </c>
      <c r="B19112" s="72" t="str">
        <f>IFERROR(VLOOKUP(A19112,Material!$A:$J,2,0),"-")</f>
        <v>PRENSA ESTOPA DE 1/2</v>
      </c>
      <c r="C19112" s="76"/>
      <c r="D19112" s="50" t="str">
        <f>IFERROR(VLOOKUP(A19112,Material!$A:$J,4,0),"-")</f>
        <v>UN</v>
      </c>
      <c r="E19112" s="50">
        <v>1</v>
      </c>
      <c r="F19112" s="51">
        <f>IFERROR(VLOOKUP(A19112,Material!$A:$J,3,0),"-")</f>
        <v>3900</v>
      </c>
      <c r="G19112" s="51">
        <f t="shared" si="272"/>
        <v>3900</v>
      </c>
    </row>
    <row r="19113" spans="1:9" x14ac:dyDescent="0.25">
      <c r="A19113" s="17" t="str">
        <f>Material!A229</f>
        <v>MA-228</v>
      </c>
      <c r="B19113" s="72" t="str">
        <f>IFERROR(VLOOKUP(A19113,Material!$A:$J,2,0),"-")</f>
        <v>CINTA DE COLORES</v>
      </c>
      <c r="C19113" s="76"/>
      <c r="D19113" s="50" t="str">
        <f>IFERROR(VLOOKUP(A19113,Material!$A:$J,4,0),"-")</f>
        <v>ML</v>
      </c>
      <c r="E19113" s="50">
        <v>0.05</v>
      </c>
      <c r="F19113" s="51">
        <f>IFERROR(VLOOKUP(A19113,Material!$A:$J,3,0),"-")</f>
        <v>54.080000000000005</v>
      </c>
      <c r="G19113" s="51">
        <f t="shared" si="272"/>
        <v>3</v>
      </c>
    </row>
    <row r="19114" spans="1:9" x14ac:dyDescent="0.25">
      <c r="A19114" s="17" t="str">
        <f>Material!A244</f>
        <v>MA-243</v>
      </c>
      <c r="B19114" s="72" t="str">
        <f>IFERROR(VLOOKUP(A19114,Material!$A:$J,2,0),"-")</f>
        <v>ENVÍO DE LUMINARIA</v>
      </c>
      <c r="C19114" s="76"/>
      <c r="D19114" s="50" t="str">
        <f>IFERROR(VLOOKUP(A19114,Material!$A:$J,4,0),"-")</f>
        <v>UN</v>
      </c>
      <c r="E19114" s="50">
        <v>1</v>
      </c>
      <c r="F19114" s="51">
        <f>IFERROR(VLOOKUP(A19114,Material!$A:$J,3,0),"-")</f>
        <v>19500</v>
      </c>
      <c r="G19114" s="51">
        <f t="shared" si="272"/>
        <v>19500</v>
      </c>
    </row>
    <row r="19115" spans="1:9" x14ac:dyDescent="0.25">
      <c r="A19115" s="17"/>
      <c r="B19115" s="72" t="str">
        <f>IFERROR(VLOOKUP(A19115,Material!$A:$J,2,0),"-")</f>
        <v>-</v>
      </c>
      <c r="C19115" s="76"/>
      <c r="D19115" s="50" t="str">
        <f>IFERROR(VLOOKUP(A19115,Material!$A:$J,4,0),"-")</f>
        <v>-</v>
      </c>
      <c r="E19115" s="50"/>
      <c r="F19115" s="51" t="str">
        <f>IFERROR(VLOOKUP(A19115,Material!$A:$J,3,0),"-")</f>
        <v>-</v>
      </c>
      <c r="G19115" s="51" t="str">
        <f t="shared" si="272"/>
        <v>-</v>
      </c>
      <c r="I19115" s="97"/>
    </row>
    <row r="19116" spans="1:9" x14ac:dyDescent="0.25">
      <c r="A19116" s="17"/>
      <c r="B19116" s="72" t="str">
        <f>IFERROR(VLOOKUP(A19116,Material!$A:$J,2,0),"-")</f>
        <v>-</v>
      </c>
      <c r="C19116" s="76"/>
      <c r="D19116" s="50" t="str">
        <f>IFERROR(VLOOKUP(A19116,Material!$A:$J,4,0),"-")</f>
        <v>-</v>
      </c>
      <c r="E19116" s="50"/>
      <c r="F19116" s="51" t="str">
        <f>IFERROR(VLOOKUP(A19116,Material!$A:$J,3,0),"-")</f>
        <v>-</v>
      </c>
      <c r="G19116" s="51" t="str">
        <f t="shared" si="272"/>
        <v>-</v>
      </c>
    </row>
    <row r="19117" spans="1:9" x14ac:dyDescent="0.25">
      <c r="A19117" s="219" t="s">
        <v>41</v>
      </c>
      <c r="B19117" s="219"/>
      <c r="C19117" s="219"/>
      <c r="D19117" s="219"/>
      <c r="E19117" s="219"/>
      <c r="F19117" s="219"/>
      <c r="G19117" s="52">
        <f>SUM(G19109:G19116)</f>
        <v>50866</v>
      </c>
    </row>
    <row r="19118" spans="1:9" x14ac:dyDescent="0.25">
      <c r="A19118" s="56"/>
      <c r="B19118" s="57"/>
      <c r="C19118" s="57"/>
      <c r="D19118" s="57"/>
      <c r="E19118" s="57"/>
      <c r="F19118" s="57"/>
      <c r="G19118" s="58"/>
      <c r="I19118" s="97"/>
    </row>
    <row r="19119" spans="1:9" x14ac:dyDescent="0.25">
      <c r="A19119" s="219" t="s">
        <v>42</v>
      </c>
      <c r="B19119" s="219"/>
      <c r="C19119" s="219"/>
      <c r="D19119" s="219"/>
      <c r="E19119" s="219"/>
      <c r="F19119" s="219"/>
      <c r="G19119" s="219"/>
    </row>
    <row r="19120" spans="1:9" x14ac:dyDescent="0.25">
      <c r="A19120" s="49" t="s">
        <v>35</v>
      </c>
      <c r="B19120" s="49" t="s">
        <v>36</v>
      </c>
      <c r="C19120" s="49" t="s">
        <v>38</v>
      </c>
      <c r="D19120" s="49" t="s">
        <v>43</v>
      </c>
      <c r="E19120" s="49" t="s">
        <v>44</v>
      </c>
      <c r="F19120" s="49" t="s">
        <v>45</v>
      </c>
      <c r="G19120" s="49" t="s">
        <v>40</v>
      </c>
    </row>
    <row r="19121" spans="1:7" x14ac:dyDescent="0.25">
      <c r="A19121" s="50" t="s">
        <v>319</v>
      </c>
      <c r="B19121" s="68" t="str">
        <f>VLOOKUP(A19121,'[1]Componentes APUs'!$H$1:$L$25,2,0)</f>
        <v>Ingeniero Residente de Obra</v>
      </c>
      <c r="C19121" s="93">
        <v>0.25</v>
      </c>
      <c r="D19121" s="50">
        <f>VLOOKUP(A19121,'[1]Componentes APUs'!$H$1:$L$25,3,0)</f>
        <v>4</v>
      </c>
      <c r="E19121" s="51">
        <f>VLOOKUP(A19121,'[1]Componentes APUs'!$H$1:$L$25,4,0)</f>
        <v>271142.85714285716</v>
      </c>
      <c r="F19121" s="51">
        <f>VLOOKUP(A19121,'[1]Componentes APUs'!$H$1:$L$25,5,0)</f>
        <v>162685.71428571429</v>
      </c>
      <c r="G19121" s="51">
        <f>ROUNDUP((E19121+F19121)*C19121/E19106,0)</f>
        <v>4339</v>
      </c>
    </row>
    <row r="19122" spans="1:7" x14ac:dyDescent="0.25">
      <c r="A19122" s="50" t="s">
        <v>320</v>
      </c>
      <c r="B19122" s="68" t="str">
        <f>VLOOKUP(A19122,'[1]Componentes APUs'!$H$1:$L$25,2,0)</f>
        <v>Tecnico Supervisor</v>
      </c>
      <c r="C19122" s="93">
        <v>0.25</v>
      </c>
      <c r="D19122" s="50">
        <f>VLOOKUP(A19122,'[1]Componentes APUs'!$H$1:$L$25,3,0)</f>
        <v>2.2999999999999998</v>
      </c>
      <c r="E19122" s="51">
        <f>VLOOKUP(A19122,'[1]Componentes APUs'!$H$1:$L$25,4,0)</f>
        <v>155907.14285714284</v>
      </c>
      <c r="F19122" s="51">
        <f>VLOOKUP(A19122,'[1]Componentes APUs'!$H$1:$L$25,5,0)</f>
        <v>93544.285714285696</v>
      </c>
      <c r="G19122" s="51">
        <f>ROUNDUP((E19122+F19122)*C19122/E19106,0)</f>
        <v>2495</v>
      </c>
    </row>
    <row r="19123" spans="1:7" x14ac:dyDescent="0.25">
      <c r="A19123" s="50" t="s">
        <v>1160</v>
      </c>
      <c r="B19123" s="68" t="str">
        <f>VLOOKUP(A19123,'[1]Componentes APUs'!$H$1:$L$25,2,0)</f>
        <v>Oficial Eléctrico</v>
      </c>
      <c r="C19123" s="93">
        <v>1</v>
      </c>
      <c r="D19123" s="50">
        <f>VLOOKUP(A19123,'[1]Componentes APUs'!$H$1:$L$25,3,0)</f>
        <v>2</v>
      </c>
      <c r="E19123" s="51">
        <f>VLOOKUP(A19123,'[1]Componentes APUs'!$H$1:$L$25,4,0)</f>
        <v>154619.04761904763</v>
      </c>
      <c r="F19123" s="51">
        <f>VLOOKUP(A19123,'[1]Componentes APUs'!$H$1:$L$25,5,0)</f>
        <v>92771.42857142858</v>
      </c>
      <c r="G19123" s="51">
        <f>ROUNDUP((E19123+F19123)*C19123/E19106,0)</f>
        <v>9896</v>
      </c>
    </row>
    <row r="19124" spans="1:7" x14ac:dyDescent="0.25">
      <c r="A19124" s="50" t="s">
        <v>48</v>
      </c>
      <c r="B19124" s="68" t="str">
        <f>VLOOKUP(A19124,'[1]Componentes APUs'!$H$1:$L$25,2,0)</f>
        <v>Ayudante Calificado</v>
      </c>
      <c r="C19124" s="93">
        <v>1</v>
      </c>
      <c r="D19124" s="50">
        <f>VLOOKUP(A19124,'[1]Componentes APUs'!$H$1:$L$25,3,0)</f>
        <v>1.5</v>
      </c>
      <c r="E19124" s="51">
        <f>VLOOKUP(A19124,'[1]Componentes APUs'!$H$1:$L$25,4,0)</f>
        <v>115964.28571428571</v>
      </c>
      <c r="F19124" s="51">
        <f>VLOOKUP(A19124,'[1]Componentes APUs'!$H$1:$L$25,5,0)</f>
        <v>69578.57142857142</v>
      </c>
      <c r="G19124" s="51">
        <f>ROUNDUP((E19124+F19124)*C19124/E19106,0)</f>
        <v>7422</v>
      </c>
    </row>
    <row r="19125" spans="1:7" x14ac:dyDescent="0.25">
      <c r="A19125" s="50" t="s">
        <v>50</v>
      </c>
      <c r="B19125" s="68" t="str">
        <f>VLOOKUP(A19125,'[1]Componentes APUs'!$H$1:$L$25,2,0)</f>
        <v>Profesional en SST</v>
      </c>
      <c r="C19125" s="93">
        <v>0.25</v>
      </c>
      <c r="D19125" s="50">
        <f>VLOOKUP(A19125,'[1]Componentes APUs'!$H$1:$L$25,3,0)</f>
        <v>2.5</v>
      </c>
      <c r="E19125" s="51">
        <f>VLOOKUP(A19125,'[1]Componentes APUs'!$H$1:$L$25,4,0)</f>
        <v>169464.28571428571</v>
      </c>
      <c r="F19125" s="51">
        <f>VLOOKUP(A19125,'[1]Componentes APUs'!$H$1:$L$25,5,0)</f>
        <v>101678.57142857142</v>
      </c>
      <c r="G19125" s="51">
        <f>ROUNDUP((E19125+F19125)*C19125/E19106,0)</f>
        <v>2712</v>
      </c>
    </row>
    <row r="19126" spans="1:7" x14ac:dyDescent="0.25">
      <c r="A19126" s="50" t="s">
        <v>52</v>
      </c>
      <c r="B19126" s="68" t="str">
        <f>VLOOKUP(A19126,'[1]Componentes APUs'!$H$1:$L$25,2,0)</f>
        <v>Ayudante No Calificado</v>
      </c>
      <c r="C19126" s="93">
        <v>0</v>
      </c>
      <c r="D19126" s="50">
        <f>VLOOKUP(A19126,'[1]Componentes APUs'!$H$1:$L$25,3,0)</f>
        <v>1</v>
      </c>
      <c r="E19126" s="51">
        <f>VLOOKUP(A19126,'[1]Componentes APUs'!$H$1:$L$25,4,0)</f>
        <v>77309.523809523816</v>
      </c>
      <c r="F19126" s="51">
        <f>VLOOKUP(A19126,'[1]Componentes APUs'!$H$1:$L$25,5,0)</f>
        <v>46385.71428571429</v>
      </c>
      <c r="G19126" s="51">
        <f>ROUNDUP((E19126+F19126)*C19126/E19106,0)</f>
        <v>0</v>
      </c>
    </row>
    <row r="19127" spans="1:7" x14ac:dyDescent="0.25">
      <c r="A19127" s="50" t="s">
        <v>1121</v>
      </c>
      <c r="B19127" s="68" t="str">
        <f>VLOOKUP(A19127,'[1]Componentes APUs'!$H$1:$L$25,2,0)</f>
        <v>Ingeniero Especialista de Control y Protección Subestación</v>
      </c>
      <c r="C19127" s="93">
        <v>0</v>
      </c>
      <c r="D19127" s="50">
        <f>VLOOKUP(A19127,'[1]Componentes APUs'!$H$1:$L$25,3,0)</f>
        <v>14</v>
      </c>
      <c r="E19127" s="51">
        <f>VLOOKUP(A19127,'[1]Componentes APUs'!$H$1:$L$25,4,0)</f>
        <v>949000</v>
      </c>
      <c r="F19127" s="51">
        <f>VLOOKUP(A19127,'[1]Componentes APUs'!$H$1:$L$25,5,0)</f>
        <v>569400</v>
      </c>
      <c r="G19127" s="51">
        <f>ROUNDUP((E19127+F19127)*C19127/E19106,0)</f>
        <v>0</v>
      </c>
    </row>
    <row r="19128" spans="1:7" x14ac:dyDescent="0.25">
      <c r="A19128" s="219" t="s">
        <v>56</v>
      </c>
      <c r="B19128" s="219"/>
      <c r="C19128" s="219"/>
      <c r="D19128" s="219"/>
      <c r="E19128" s="219"/>
      <c r="F19128" s="219"/>
      <c r="G19128" s="52">
        <f>SUM(G19121:G19127)</f>
        <v>26864</v>
      </c>
    </row>
    <row r="19129" spans="1:7" x14ac:dyDescent="0.25">
      <c r="A19129" s="56"/>
      <c r="B19129" s="57"/>
      <c r="C19129" s="57"/>
      <c r="D19129" s="57"/>
      <c r="E19129" s="57"/>
      <c r="F19129" s="57"/>
      <c r="G19129" s="58"/>
    </row>
    <row r="19130" spans="1:7" x14ac:dyDescent="0.25">
      <c r="A19130" s="219" t="s">
        <v>57</v>
      </c>
      <c r="B19130" s="219"/>
      <c r="C19130" s="219"/>
      <c r="D19130" s="219"/>
      <c r="E19130" s="219"/>
      <c r="F19130" s="219"/>
      <c r="G19130" s="219"/>
    </row>
    <row r="19131" spans="1:7" x14ac:dyDescent="0.25">
      <c r="A19131" s="49" t="s">
        <v>35</v>
      </c>
      <c r="B19131" s="219" t="s">
        <v>36</v>
      </c>
      <c r="C19131" s="219"/>
      <c r="D19131" s="49" t="s">
        <v>37</v>
      </c>
      <c r="E19131" s="49" t="s">
        <v>38</v>
      </c>
      <c r="F19131" s="49" t="s">
        <v>39</v>
      </c>
      <c r="G19131" s="49" t="s">
        <v>40</v>
      </c>
    </row>
    <row r="19132" spans="1:7" x14ac:dyDescent="0.25">
      <c r="A19132" s="50" t="s">
        <v>326</v>
      </c>
      <c r="B19132" s="220" t="str">
        <f>VLOOKUP(A19132,'[1]Componentes APUs'!$S$1:$V$10,2,0)</f>
        <v>Juego Llaves</v>
      </c>
      <c r="C19132" s="220"/>
      <c r="D19132" s="50" t="s">
        <v>18</v>
      </c>
      <c r="E19132" s="50">
        <v>2</v>
      </c>
      <c r="F19132" s="51">
        <f>VLOOKUP(A19132,'[1]Componentes APUs'!$S$1:$V$10,4,0)</f>
        <v>9167</v>
      </c>
      <c r="G19132" s="51">
        <f>ROUNDUP(F19132*((E19132/21)/E19106),0)</f>
        <v>35</v>
      </c>
    </row>
    <row r="19133" spans="1:7" x14ac:dyDescent="0.25">
      <c r="A19133" s="50" t="s">
        <v>58</v>
      </c>
      <c r="B19133" s="220" t="str">
        <f>VLOOKUP(A19133,'[1]Componentes APUs'!$S$1:$V$10,2,0)</f>
        <v>Manila de servicio</v>
      </c>
      <c r="C19133" s="220"/>
      <c r="D19133" s="50" t="s">
        <v>18</v>
      </c>
      <c r="E19133" s="50">
        <v>0</v>
      </c>
      <c r="F19133" s="51">
        <f>VLOOKUP(A19133,'[1]Componentes APUs'!$S$1:$V$10,4,0)</f>
        <v>2333</v>
      </c>
      <c r="G19133" s="51">
        <f>ROUNDUP(F19133*((E19133/21)/E19106),0)</f>
        <v>0</v>
      </c>
    </row>
    <row r="19134" spans="1:7" x14ac:dyDescent="0.25">
      <c r="A19134" s="50" t="s">
        <v>327</v>
      </c>
      <c r="B19134" s="220" t="str">
        <f>VLOOKUP(A19134,'[1]Componentes APUs'!$S$1:$V$10,2,0)</f>
        <v>Tula portaherramientas</v>
      </c>
      <c r="C19134" s="220"/>
      <c r="D19134" s="50" t="s">
        <v>18</v>
      </c>
      <c r="E19134" s="50">
        <v>2</v>
      </c>
      <c r="F19134" s="51">
        <f>VLOOKUP(A19134,'[1]Componentes APUs'!$S$1:$V$10,4,0)</f>
        <v>1250</v>
      </c>
      <c r="G19134" s="51">
        <f>ROUNDUP(F19134*((E19134/21)/E19106),0)</f>
        <v>5</v>
      </c>
    </row>
    <row r="19135" spans="1:7" x14ac:dyDescent="0.25">
      <c r="A19135" s="50" t="s">
        <v>60</v>
      </c>
      <c r="B19135" s="220" t="str">
        <f>VLOOKUP(A19135,'[1]Componentes APUs'!$S$1:$V$10,2,0)</f>
        <v>Agarradoras</v>
      </c>
      <c r="C19135" s="220"/>
      <c r="D19135" s="50" t="s">
        <v>18</v>
      </c>
      <c r="E19135" s="50">
        <v>0</v>
      </c>
      <c r="F19135" s="51">
        <f>VLOOKUP(A19135,'[1]Componentes APUs'!$S$1:$V$10,4,0)</f>
        <v>125000</v>
      </c>
      <c r="G19135" s="51">
        <f>ROUNDUP(F19135*((E19135/21)/E19106),0)</f>
        <v>0</v>
      </c>
    </row>
    <row r="19136" spans="1:7" x14ac:dyDescent="0.25">
      <c r="A19136" s="50" t="s">
        <v>62</v>
      </c>
      <c r="B19136" s="220" t="str">
        <f>VLOOKUP(A19136,'[1]Componentes APUs'!$S$1:$V$10,2,0)</f>
        <v>Templadoras</v>
      </c>
      <c r="C19136" s="220"/>
      <c r="D19136" s="50" t="s">
        <v>18</v>
      </c>
      <c r="E19136" s="50">
        <v>0</v>
      </c>
      <c r="F19136" s="51">
        <f>VLOOKUP(A19136,'[1]Componentes APUs'!$S$1:$V$10,4,0)</f>
        <v>250000</v>
      </c>
      <c r="G19136" s="51">
        <f>ROUNDUP(F19136*((E19136/21)/E19106),0)</f>
        <v>0</v>
      </c>
    </row>
    <row r="19137" spans="1:7" x14ac:dyDescent="0.25">
      <c r="A19137" s="50" t="s">
        <v>328</v>
      </c>
      <c r="B19137" s="220" t="str">
        <f>VLOOKUP(A19137,'[1]Componentes APUs'!$S$1:$V$10,2,0)</f>
        <v>Herramienta Menor</v>
      </c>
      <c r="C19137" s="220"/>
      <c r="D19137" s="50" t="s">
        <v>18</v>
      </c>
      <c r="E19137" s="50">
        <v>2</v>
      </c>
      <c r="F19137" s="51">
        <f>VLOOKUP(A19137,'[1]Componentes APUs'!$S$1:$V$10,4,0)</f>
        <v>75758</v>
      </c>
      <c r="G19137" s="51">
        <f>ROUNDUP(F19137*((E19137/21)/E19106),0)</f>
        <v>289</v>
      </c>
    </row>
    <row r="19138" spans="1:7" x14ac:dyDescent="0.25">
      <c r="A19138" s="219" t="s">
        <v>69</v>
      </c>
      <c r="B19138" s="219"/>
      <c r="C19138" s="219"/>
      <c r="D19138" s="219"/>
      <c r="E19138" s="219"/>
      <c r="F19138" s="219"/>
      <c r="G19138" s="52">
        <f>SUM(G19132:G19137)</f>
        <v>329</v>
      </c>
    </row>
    <row r="19139" spans="1:7" x14ac:dyDescent="0.25">
      <c r="A19139" s="56"/>
      <c r="B19139" s="57"/>
      <c r="C19139" s="57"/>
      <c r="D19139" s="57"/>
      <c r="E19139" s="57"/>
      <c r="F19139" s="57"/>
      <c r="G19139" s="58"/>
    </row>
    <row r="19140" spans="1:7" x14ac:dyDescent="0.25">
      <c r="A19140" s="219" t="s">
        <v>70</v>
      </c>
      <c r="B19140" s="219"/>
      <c r="C19140" s="219"/>
      <c r="D19140" s="219"/>
      <c r="E19140" s="219"/>
      <c r="F19140" s="219"/>
      <c r="G19140" s="219"/>
    </row>
    <row r="19141" spans="1:7" x14ac:dyDescent="0.25">
      <c r="A19141" s="49" t="s">
        <v>35</v>
      </c>
      <c r="B19141" s="219" t="s">
        <v>36</v>
      </c>
      <c r="C19141" s="219"/>
      <c r="D19141" s="49" t="s">
        <v>37</v>
      </c>
      <c r="E19141" s="49" t="s">
        <v>38</v>
      </c>
      <c r="F19141" s="49" t="s">
        <v>39</v>
      </c>
      <c r="G19141" s="49" t="s">
        <v>40</v>
      </c>
    </row>
    <row r="19142" spans="1:7" x14ac:dyDescent="0.25">
      <c r="A19142" s="50" t="s">
        <v>71</v>
      </c>
      <c r="B19142" s="71" t="str">
        <f>VLOOKUP(A19142,'[1]Componentes APUs'!$A$1:$D$14,2,0)</f>
        <v>Camisa indigo sin partes metalicas</v>
      </c>
      <c r="C19142" s="71"/>
      <c r="D19142" s="50" t="str">
        <f>VLOOKUP(A19142,'[1]Componentes APUs'!$A$1:$D$14,3,0)</f>
        <v>U</v>
      </c>
      <c r="E19142" s="50">
        <f>SUM(C19121:C19127)</f>
        <v>2.75</v>
      </c>
      <c r="F19142" s="51">
        <f>VLOOKUP(A19142,'[1]Componentes APUs'!$A$1:$D$14,4,0)</f>
        <v>8585.8585858585866</v>
      </c>
      <c r="G19142" s="51">
        <f>ROUNDUP(F19142*(E19142/21)/E19106,0)</f>
        <v>45</v>
      </c>
    </row>
    <row r="19143" spans="1:7" x14ac:dyDescent="0.25">
      <c r="A19143" s="69" t="s">
        <v>73</v>
      </c>
      <c r="B19143" s="72" t="str">
        <f>VLOOKUP(A19143,'[1]Componentes APUs'!$A$1:$D$14,2,0)</f>
        <v>Bota de seguridad dielectrica</v>
      </c>
      <c r="C19143" s="73"/>
      <c r="D19143" s="70" t="str">
        <f>VLOOKUP(A19143,'[1]Componentes APUs'!$A$1:$D$14,3,0)</f>
        <v>Par</v>
      </c>
      <c r="E19143" s="50">
        <f>SUM(C19121:C19127)</f>
        <v>2.75</v>
      </c>
      <c r="F19143" s="51">
        <f>VLOOKUP(A19143,'[1]Componentes APUs'!$A$1:$D$14,4,0)</f>
        <v>7500</v>
      </c>
      <c r="G19143" s="51">
        <f>ROUNDUP(F19143*(E19143/21)/E19106,0)</f>
        <v>40</v>
      </c>
    </row>
    <row r="19144" spans="1:7" x14ac:dyDescent="0.25">
      <c r="A19144" s="50" t="s">
        <v>76</v>
      </c>
      <c r="B19144" s="72" t="str">
        <f>VLOOKUP(A19144,'[1]Componentes APUs'!$A$1:$D$14,2,0)</f>
        <v>Casco dielectrico Tipo 1 Clase E con barbuquejo</v>
      </c>
      <c r="C19144" s="73"/>
      <c r="D19144" s="50" t="str">
        <f>VLOOKUP(A19144,'[1]Componentes APUs'!$A$1:$D$14,3,0)</f>
        <v>U</v>
      </c>
      <c r="E19144" s="50">
        <f>C19121+C19127+C19122+C19125+C19126+C19124+IF(A19123&lt;&gt;"MO-3",C19123,0)</f>
        <v>2.75</v>
      </c>
      <c r="F19144" s="51">
        <f>VLOOKUP(A19144,'[1]Componentes APUs'!$A$1:$D$14,4,0)</f>
        <v>10101.010101010101</v>
      </c>
      <c r="G19144" s="51">
        <f>ROUNDUP(F19144*(E19144/21)/E19106,0)</f>
        <v>53</v>
      </c>
    </row>
    <row r="19145" spans="1:7" x14ac:dyDescent="0.25">
      <c r="A19145" s="69" t="s">
        <v>77</v>
      </c>
      <c r="B19145" s="72" t="str">
        <f>VLOOKUP(A19145,'[1]Componentes APUs'!$A$1:$D$14,2,0)</f>
        <v>Correa plastica y antiflama</v>
      </c>
      <c r="C19145" s="73"/>
      <c r="D19145" s="50" t="str">
        <f>VLOOKUP(A19145,'[1]Componentes APUs'!$A$1:$D$14,3,0)</f>
        <v>U</v>
      </c>
      <c r="E19145" s="50">
        <f>SUM(C19121:C19127)</f>
        <v>2.75</v>
      </c>
      <c r="F19145" s="51">
        <f>VLOOKUP(A19145,'[1]Componentes APUs'!$A$1:$D$14,4,0)</f>
        <v>3787.878787878788</v>
      </c>
      <c r="G19145" s="51">
        <f>ROUNDUP(F19145*(E19145/21)/E19106,0)</f>
        <v>20</v>
      </c>
    </row>
    <row r="19146" spans="1:7" x14ac:dyDescent="0.25">
      <c r="A19146" s="50" t="s">
        <v>79</v>
      </c>
      <c r="B19146" s="72" t="str">
        <f>VLOOKUP(A19146,'[1]Componentes APUs'!$A$1:$D$14,2,0)</f>
        <v>Gafas protectoras filtro UV</v>
      </c>
      <c r="C19146" s="73"/>
      <c r="D19146" s="50" t="str">
        <f>VLOOKUP(A19146,'[1]Componentes APUs'!$A$1:$D$14,3,0)</f>
        <v>U</v>
      </c>
      <c r="E19146" s="50">
        <f>SUM(C19121:C19127)</f>
        <v>2.75</v>
      </c>
      <c r="F19146" s="51">
        <f>VLOOKUP(A19146,'[1]Componentes APUs'!$A$1:$D$14,4,0)</f>
        <v>2777.7777777777778</v>
      </c>
      <c r="G19146" s="51">
        <f>ROUNDUP(F19146*(E19146/21)/E19106,0)</f>
        <v>15</v>
      </c>
    </row>
    <row r="19147" spans="1:7" x14ac:dyDescent="0.25">
      <c r="A19147" s="69" t="s">
        <v>402</v>
      </c>
      <c r="B19147" s="72" t="str">
        <f>VLOOKUP(A19147,'[1]Componentes APUs'!$A$1:$D$14,2,0)</f>
        <v>Bota de seguridad PVC dielectrica</v>
      </c>
      <c r="C19147" s="73"/>
      <c r="D19147" s="50" t="str">
        <f>VLOOKUP(A19147,'[1]Componentes APUs'!$A$1:$D$14,3,0)</f>
        <v>Par</v>
      </c>
      <c r="E19147" s="50">
        <f>SUM(C19121:C19127)</f>
        <v>2.75</v>
      </c>
      <c r="F19147" s="51">
        <f>VLOOKUP(A19147,'[1]Componentes APUs'!$A$1:$D$14,4,0)</f>
        <v>2916.6666666666665</v>
      </c>
      <c r="G19147" s="51">
        <f>ROUNDUP(F19147*(E19147/21)/E19106,0)</f>
        <v>16</v>
      </c>
    </row>
    <row r="19148" spans="1:7" x14ac:dyDescent="0.25">
      <c r="A19148" s="50" t="s">
        <v>403</v>
      </c>
      <c r="B19148" s="72" t="str">
        <f>VLOOKUP(A19148,'[1]Componentes APUs'!$A$1:$D$14,2,0)</f>
        <v>Capuchon</v>
      </c>
      <c r="C19148" s="73"/>
      <c r="D19148" s="50" t="str">
        <f>VLOOKUP(A19148,'[1]Componentes APUs'!$A$1:$D$14,3,0)</f>
        <v>U</v>
      </c>
      <c r="E19148" s="50">
        <f>SUM(C19121:C19126)</f>
        <v>2.75</v>
      </c>
      <c r="F19148" s="51">
        <f>VLOOKUP(A19148,'[1]Componentes APUs'!$A$1:$D$14,4,0)</f>
        <v>2525.2525252525252</v>
      </c>
      <c r="G19148" s="51">
        <f>ROUNDUP(F19148*(E19148/21)/E19106,0)</f>
        <v>14</v>
      </c>
    </row>
    <row r="19149" spans="1:7" x14ac:dyDescent="0.25">
      <c r="A19149" s="69" t="s">
        <v>81</v>
      </c>
      <c r="B19149" s="72" t="str">
        <f>VLOOKUP(A19149,'[1]Componentes APUs'!$A$1:$D$14,2,0)</f>
        <v>Guantes Protectores  - ingeniero reforzados</v>
      </c>
      <c r="C19149" s="73"/>
      <c r="D19149" s="50" t="str">
        <f>VLOOKUP(A19149,'[1]Componentes APUs'!$A$1:$D$14,3,0)</f>
        <v>Par</v>
      </c>
      <c r="E19149" s="50">
        <f>C19123+C19124+C19126+C19127</f>
        <v>2</v>
      </c>
      <c r="F19149" s="51">
        <f>VLOOKUP(A19149,'[1]Componentes APUs'!$A$1:$D$14,4,0)</f>
        <v>2525.2525252525252</v>
      </c>
      <c r="G19149" s="51">
        <f>ROUNDUP(F19149*(E19149/21)/E19106,0)</f>
        <v>10</v>
      </c>
    </row>
    <row r="19150" spans="1:7" x14ac:dyDescent="0.25">
      <c r="A19150" s="50" t="s">
        <v>83</v>
      </c>
      <c r="B19150" s="72" t="str">
        <f>VLOOKUP(A19150,'[1]Componentes APUs'!$A$1:$D$14,2,0)</f>
        <v>Impermeable (pantalon camisa)</v>
      </c>
      <c r="C19150" s="73"/>
      <c r="D19150" s="50" t="str">
        <f>VLOOKUP(A19150,'[1]Componentes APUs'!$A$1:$D$14,3,0)</f>
        <v>U</v>
      </c>
      <c r="E19150" s="50">
        <f>SUM(C19121:C19127)</f>
        <v>2.75</v>
      </c>
      <c r="F19150" s="51">
        <f>VLOOKUP(A19150,'[1]Componentes APUs'!$A$1:$D$14,4,0)</f>
        <v>3750</v>
      </c>
      <c r="G19150" s="51">
        <f>ROUNDUP(F19150*(E19150/21)/E19106,0)</f>
        <v>20</v>
      </c>
    </row>
    <row r="19151" spans="1:7" x14ac:dyDescent="0.25">
      <c r="A19151" s="69" t="s">
        <v>85</v>
      </c>
      <c r="B19151" s="72" t="str">
        <f>VLOOKUP(A19151,'[1]Componentes APUs'!$A$1:$D$14,2,0)</f>
        <v>Jean Dielectrico</v>
      </c>
      <c r="C19151" s="73"/>
      <c r="D19151" s="50" t="str">
        <f>VLOOKUP(A19151,'[1]Componentes APUs'!$A$1:$D$14,3,0)</f>
        <v>U</v>
      </c>
      <c r="E19151" s="50">
        <f>SUM(C19121:C19127)</f>
        <v>2.75</v>
      </c>
      <c r="F19151" s="51">
        <f>VLOOKUP(A19151,'[1]Componentes APUs'!$A$1:$D$14,4,0)</f>
        <v>7575.757575757576</v>
      </c>
      <c r="G19151" s="51">
        <f>ROUNDUP(F19151*(E19151/21)/E19106,0)</f>
        <v>40</v>
      </c>
    </row>
    <row r="19152" spans="1:7" x14ac:dyDescent="0.25">
      <c r="A19152" s="50" t="s">
        <v>87</v>
      </c>
      <c r="B19152" s="72" t="str">
        <f>VLOOKUP(A19152,'[1]Componentes APUs'!$A$1:$D$14,2,0)</f>
        <v>Casco dielectrico Tipo 2 Clase E con barboquejo</v>
      </c>
      <c r="C19152" s="73"/>
      <c r="D19152" s="50" t="str">
        <f>VLOOKUP(A19152,'[1]Componentes APUs'!$A$1:$D$14,3,0)</f>
        <v>U</v>
      </c>
      <c r="E19152" s="53">
        <f>IF(A19123="MO-3",C19123,0)</f>
        <v>0</v>
      </c>
      <c r="F19152" s="51">
        <f>VLOOKUP(A19152,'[1]Componentes APUs'!$A$1:$D$14,4,0)</f>
        <v>7500</v>
      </c>
      <c r="G19152" s="51">
        <f>ROUNDUP(F19152*(E19152/21)/E19106,0)</f>
        <v>0</v>
      </c>
    </row>
    <row r="19153" spans="1:7" x14ac:dyDescent="0.25">
      <c r="A19153" s="69" t="s">
        <v>89</v>
      </c>
      <c r="B19153" s="72" t="str">
        <f>VLOOKUP(A19153,'[1]Componentes APUs'!$A$1:$D$14,2,0)</f>
        <v>Kit de rescate para trabajo en alturas</v>
      </c>
      <c r="C19153" s="73"/>
      <c r="D19153" s="50" t="str">
        <f>VLOOKUP(A19153,'[1]Componentes APUs'!$A$1:$D$14,3,0)</f>
        <v>U</v>
      </c>
      <c r="E19153" s="50">
        <f>IF(AND(A19123="MO-3",C19123=2),1,0)</f>
        <v>0</v>
      </c>
      <c r="F19153" s="51">
        <f>VLOOKUP(A19153,'[1]Componentes APUs'!$A$1:$D$14,4,0)</f>
        <v>37500</v>
      </c>
      <c r="G19153" s="51">
        <f>ROUNDUP(F19153*(E19153/21)/E19106,0)</f>
        <v>0</v>
      </c>
    </row>
    <row r="19154" spans="1:7" x14ac:dyDescent="0.25">
      <c r="A19154" s="50" t="s">
        <v>91</v>
      </c>
      <c r="B19154" s="72" t="str">
        <f>VLOOKUP(A19154,'[1]Componentes APUs'!$A$1:$D$14,2,0)</f>
        <v>Equipo completo para trabajo en alturas con pretales (Arnes dielectrico, 1 mosqueton de seguridad, tie off dielectrico, eslinga de posicionamiento, juego de pretales)</v>
      </c>
      <c r="C19154" s="73"/>
      <c r="D19154" s="50" t="str">
        <f>VLOOKUP(A19154,'[1]Componentes APUs'!$A$1:$D$14,3,0)</f>
        <v>U</v>
      </c>
      <c r="E19154" s="50">
        <f>IF(A19123="MO-3",C19123,0)</f>
        <v>0</v>
      </c>
      <c r="F19154" s="51">
        <f>VLOOKUP(A19154,'[1]Componentes APUs'!$A$1:$D$14,4,0)</f>
        <v>26041.666666666668</v>
      </c>
      <c r="G19154" s="51">
        <f>ROUNDUP(F19154*(E19154/21)/E19106,0)</f>
        <v>0</v>
      </c>
    </row>
    <row r="19155" spans="1:7" x14ac:dyDescent="0.25">
      <c r="A19155" s="219" t="s">
        <v>95</v>
      </c>
      <c r="B19155" s="219"/>
      <c r="C19155" s="219"/>
      <c r="D19155" s="219"/>
      <c r="E19155" s="219"/>
      <c r="F19155" s="219"/>
      <c r="G19155" s="52">
        <f>SUM(G19142:G19154)</f>
        <v>273</v>
      </c>
    </row>
    <row r="19156" spans="1:7" x14ac:dyDescent="0.25">
      <c r="A19156" s="56"/>
      <c r="B19156" s="57"/>
      <c r="C19156" s="57"/>
      <c r="D19156" s="57"/>
      <c r="E19156" s="57"/>
      <c r="F19156" s="57"/>
      <c r="G19156" s="58"/>
    </row>
    <row r="19157" spans="1:7" x14ac:dyDescent="0.25">
      <c r="A19157" s="219" t="s">
        <v>96</v>
      </c>
      <c r="B19157" s="219"/>
      <c r="C19157" s="219"/>
      <c r="D19157" s="219"/>
      <c r="E19157" s="219"/>
      <c r="F19157" s="219"/>
      <c r="G19157" s="219"/>
    </row>
    <row r="19158" spans="1:7" x14ac:dyDescent="0.25">
      <c r="A19158" s="49" t="s">
        <v>35</v>
      </c>
      <c r="B19158" s="225" t="s">
        <v>36</v>
      </c>
      <c r="C19158" s="225"/>
      <c r="D19158" s="49" t="s">
        <v>37</v>
      </c>
      <c r="E19158" s="49" t="s">
        <v>38</v>
      </c>
      <c r="F19158" s="49" t="s">
        <v>39</v>
      </c>
      <c r="G19158" s="49" t="s">
        <v>40</v>
      </c>
    </row>
    <row r="19159" spans="1:7" x14ac:dyDescent="0.25">
      <c r="A19159" s="69" t="s">
        <v>97</v>
      </c>
      <c r="B19159" s="72" t="str">
        <f>VLOOKUP(A19159,'[1]Componentes APUs'!$N$1:$Q$30,2,0)</f>
        <v>Camioneta</v>
      </c>
      <c r="C19159" s="73"/>
      <c r="D19159" s="70" t="str">
        <f>VLOOKUP(A19159,'[1]Componentes APUs'!$N$1:$Q$30,3,0)</f>
        <v>U</v>
      </c>
      <c r="E19159" s="50">
        <v>1</v>
      </c>
      <c r="F19159" s="51">
        <f>VLOOKUP(A19159,'[1]Componentes APUs'!$N$1:$Q$30,4,0)</f>
        <v>5500000</v>
      </c>
      <c r="G19159" s="51">
        <f>IFERROR(ROUNDUP(F19159*(E19159/21)/E19106,0),0)</f>
        <v>10477</v>
      </c>
    </row>
    <row r="19160" spans="1:7" x14ac:dyDescent="0.25">
      <c r="A19160" s="50" t="s">
        <v>321</v>
      </c>
      <c r="B19160" s="72" t="str">
        <f>VLOOKUP(A19160,'[1]Componentes APUs'!$N$1:$Q$30,2,0)</f>
        <v>Grúa Hidráulica</v>
      </c>
      <c r="C19160" s="73"/>
      <c r="D19160" s="70" t="str">
        <f>VLOOKUP(A19160,'[1]Componentes APUs'!$N$1:$Q$30,3,0)</f>
        <v>U</v>
      </c>
      <c r="E19160" s="50">
        <v>0</v>
      </c>
      <c r="F19160" s="51">
        <f>VLOOKUP(A19160,'[1]Componentes APUs'!$N$1:$Q$30,4,0)</f>
        <v>21000000</v>
      </c>
      <c r="G19160" s="51">
        <f>IFERROR(ROUNDUP(F19160*(E19160/21)/E19106,0),0)</f>
        <v>0</v>
      </c>
    </row>
    <row r="19161" spans="1:7" x14ac:dyDescent="0.25">
      <c r="A19161" s="69" t="s">
        <v>322</v>
      </c>
      <c r="B19161" s="72" t="str">
        <f>VLOOKUP(A19161,'[1]Componentes APUs'!$N$1:$Q$30,2,0)</f>
        <v>Camabaja</v>
      </c>
      <c r="C19161" s="73"/>
      <c r="D19161" s="70" t="str">
        <f>VLOOKUP(A19161,'[1]Componentes APUs'!$N$1:$Q$30,3,0)</f>
        <v>TON/KM</v>
      </c>
      <c r="E19161" s="50">
        <v>0</v>
      </c>
      <c r="F19161" s="51">
        <f>VLOOKUP(A19161,'[1]Componentes APUs'!$N$1:$Q$30,4,0)</f>
        <v>611</v>
      </c>
      <c r="G19161" s="51">
        <f>IFERROR(ROUNDUP(F19161*(E19161/21)/E19106,0),0)</f>
        <v>0</v>
      </c>
    </row>
    <row r="19162" spans="1:7" x14ac:dyDescent="0.25">
      <c r="A19162" s="50" t="s">
        <v>323</v>
      </c>
      <c r="B19162" s="72" t="str">
        <f>VLOOKUP(A19162,'[1]Componentes APUs'!$N$1:$Q$30,2,0)</f>
        <v>Volqueta</v>
      </c>
      <c r="C19162" s="73"/>
      <c r="D19162" s="70" t="str">
        <f>VLOOKUP(A19162,'[1]Componentes APUs'!$N$1:$Q$30,3,0)</f>
        <v>U</v>
      </c>
      <c r="E19162" s="50">
        <v>0</v>
      </c>
      <c r="F19162" s="51">
        <f>VLOOKUP(A19162,'[1]Componentes APUs'!$N$1:$Q$30,4,0)</f>
        <v>18900000</v>
      </c>
      <c r="G19162" s="51">
        <f>IFERROR(ROUNDUP(F19162*(E19162/21)/E19106,0),0)</f>
        <v>0</v>
      </c>
    </row>
    <row r="19163" spans="1:7" x14ac:dyDescent="0.25">
      <c r="A19163" s="69" t="s">
        <v>324</v>
      </c>
      <c r="B19163" s="72" t="str">
        <f>VLOOKUP(A19163,'[1]Componentes APUs'!$N$1:$Q$30,2,0)</f>
        <v>Retroexcavadora</v>
      </c>
      <c r="C19163" s="73"/>
      <c r="D19163" s="70" t="str">
        <f>VLOOKUP(A19163,'[1]Componentes APUs'!$N$1:$Q$30,3,0)</f>
        <v>U</v>
      </c>
      <c r="E19163" s="50">
        <v>0</v>
      </c>
      <c r="F19163" s="51">
        <f>VLOOKUP(A19163,'[1]Componentes APUs'!$N$1:$Q$30,4,0)</f>
        <v>1494459.54</v>
      </c>
      <c r="G19163" s="51">
        <f>IFERROR(ROUNDUP(F19163*(E19163/21)/E19106,0),0)</f>
        <v>0</v>
      </c>
    </row>
    <row r="19164" spans="1:7" x14ac:dyDescent="0.25">
      <c r="A19164" s="219" t="s">
        <v>99</v>
      </c>
      <c r="B19164" s="219"/>
      <c r="C19164" s="219"/>
      <c r="D19164" s="219"/>
      <c r="E19164" s="219"/>
      <c r="F19164" s="219"/>
      <c r="G19164" s="52">
        <f>SUM(G19159:G19163)</f>
        <v>10477</v>
      </c>
    </row>
    <row r="19165" spans="1:7" x14ac:dyDescent="0.25">
      <c r="A19165" s="56"/>
      <c r="B19165" s="57"/>
      <c r="C19165" s="57"/>
      <c r="D19165" s="57"/>
      <c r="E19165" s="57"/>
      <c r="F19165" s="57"/>
      <c r="G19165" s="58"/>
    </row>
    <row r="19166" spans="1:7" x14ac:dyDescent="0.25">
      <c r="A19166" s="219" t="s">
        <v>1516</v>
      </c>
      <c r="B19166" s="219"/>
      <c r="C19166" s="219"/>
      <c r="D19166" s="219"/>
      <c r="E19166" s="219"/>
      <c r="F19166" s="219"/>
      <c r="G19166" s="52">
        <f>G19164+G19155+G19138+G19128+G19117</f>
        <v>88809</v>
      </c>
    </row>
    <row r="19167" spans="1:7" x14ac:dyDescent="0.25">
      <c r="A19167" s="59"/>
      <c r="B19167" s="60"/>
      <c r="C19167" s="60"/>
      <c r="D19167" s="60"/>
      <c r="E19167" s="57"/>
      <c r="F19167" s="57"/>
      <c r="G19167" s="58"/>
    </row>
    <row r="19168" spans="1:7" x14ac:dyDescent="0.25">
      <c r="A19168" s="64"/>
      <c r="D19168" s="55"/>
      <c r="E19168" s="49" t="s">
        <v>25</v>
      </c>
      <c r="F19168" s="54">
        <v>0.15</v>
      </c>
      <c r="G19168" s="51">
        <f>G19166*F19168</f>
        <v>13321.35</v>
      </c>
    </row>
    <row r="19169" spans="1:8" x14ac:dyDescent="0.25">
      <c r="A19169" s="64"/>
      <c r="D19169" s="55"/>
      <c r="E19169" s="49" t="s">
        <v>26</v>
      </c>
      <c r="F19169" s="54">
        <v>0.05</v>
      </c>
      <c r="G19169" s="51">
        <f>G19166*F19169</f>
        <v>4440.45</v>
      </c>
    </row>
    <row r="19170" spans="1:8" x14ac:dyDescent="0.25">
      <c r="A19170" s="61"/>
      <c r="B19170" s="65"/>
      <c r="C19170" s="65"/>
      <c r="D19170" s="62"/>
      <c r="E19170" s="49" t="s">
        <v>27</v>
      </c>
      <c r="F19170" s="54">
        <v>0.05</v>
      </c>
      <c r="G19170" s="51">
        <f>G19166*F19170</f>
        <v>4440.45</v>
      </c>
    </row>
    <row r="19171" spans="1:8" x14ac:dyDescent="0.25">
      <c r="A19171" s="61"/>
      <c r="B19171" s="62"/>
      <c r="C19171" s="62"/>
      <c r="D19171" s="62"/>
      <c r="E19171" s="62"/>
      <c r="F19171" s="62"/>
      <c r="G19171" s="63"/>
    </row>
    <row r="19172" spans="1:8" x14ac:dyDescent="0.25">
      <c r="A19172" s="219" t="s">
        <v>1517</v>
      </c>
      <c r="B19172" s="219"/>
      <c r="C19172" s="219"/>
      <c r="D19172" s="219"/>
      <c r="E19172" s="219"/>
      <c r="F19172" s="219"/>
      <c r="G19172" s="52">
        <f>G19166+G19168+G19169+G19170</f>
        <v>111011.25</v>
      </c>
    </row>
    <row r="19173" spans="1:8" x14ac:dyDescent="0.25">
      <c r="A19173" s="59"/>
      <c r="B19173" s="60"/>
      <c r="C19173" s="60"/>
      <c r="D19173" s="60"/>
      <c r="E19173" s="57"/>
      <c r="F19173" s="57"/>
      <c r="G19173" s="58"/>
    </row>
    <row r="19174" spans="1:8" x14ac:dyDescent="0.25">
      <c r="A19174" s="64"/>
      <c r="D19174" s="55"/>
      <c r="E19174" s="49" t="s">
        <v>102</v>
      </c>
      <c r="F19174" s="49" t="s">
        <v>103</v>
      </c>
      <c r="G19174" s="51">
        <f>G19170*19%</f>
        <v>843.68549999999993</v>
      </c>
    </row>
    <row r="19175" spans="1:8" x14ac:dyDescent="0.25">
      <c r="A19175" s="61"/>
      <c r="B19175" s="62"/>
      <c r="C19175" s="62"/>
      <c r="D19175" s="62"/>
      <c r="E19175" s="57"/>
      <c r="F19175" s="57"/>
      <c r="G19175" s="58"/>
    </row>
    <row r="19176" spans="1:8" x14ac:dyDescent="0.25">
      <c r="A19176" s="219" t="s">
        <v>104</v>
      </c>
      <c r="B19176" s="219"/>
      <c r="C19176" s="219"/>
      <c r="D19176" s="219"/>
      <c r="E19176" s="219"/>
      <c r="F19176" s="219"/>
      <c r="G19176" s="52">
        <f>G19174+G19172</f>
        <v>111854.93550000001</v>
      </c>
    </row>
    <row r="19178" spans="1:8" x14ac:dyDescent="0.25">
      <c r="A19178" s="74" t="s">
        <v>29</v>
      </c>
      <c r="B19178" s="237" t="s">
        <v>30</v>
      </c>
      <c r="C19178" s="238"/>
      <c r="D19178" s="74" t="s">
        <v>31</v>
      </c>
      <c r="E19178" s="74" t="s">
        <v>32</v>
      </c>
      <c r="F19178" s="74" t="s">
        <v>189</v>
      </c>
      <c r="G19178" s="74" t="s">
        <v>33</v>
      </c>
    </row>
    <row r="19179" spans="1:8" ht="41.25" customHeight="1" x14ac:dyDescent="0.25">
      <c r="A19179" s="50" t="str">
        <f>Presupuesto!B372</f>
        <v>041_AUX</v>
      </c>
      <c r="B19179" s="220" t="str">
        <f>Presupuesto!C372</f>
        <v>SUMINISTRO E INSTALACIÓN DE SALIDA DE ILUMINACIÓN EN TUBERÍA EMT DE  3/4" CON CABLE Cu (1#14 F+1#14N+1#14T) AWG + TOMA CORRIENTE LEVITON+ CAJA RAWELT 2X4 (Longitud Promedio 3m)</v>
      </c>
      <c r="C19179" s="239"/>
      <c r="D19179" s="50" t="s">
        <v>8</v>
      </c>
      <c r="E19179" s="50">
        <v>10</v>
      </c>
      <c r="F19179" s="50"/>
      <c r="G19179" s="51">
        <f>G19251</f>
        <v>241191.731</v>
      </c>
    </row>
    <row r="19180" spans="1:8" x14ac:dyDescent="0.25">
      <c r="A19180" s="219" t="s">
        <v>34</v>
      </c>
      <c r="B19180" s="219"/>
      <c r="C19180" s="219"/>
      <c r="D19180" s="219"/>
      <c r="E19180" s="219"/>
      <c r="F19180" s="219"/>
      <c r="G19180" s="219"/>
    </row>
    <row r="19181" spans="1:8" x14ac:dyDescent="0.25">
      <c r="A19181" s="49" t="s">
        <v>35</v>
      </c>
      <c r="B19181" s="234" t="s">
        <v>36</v>
      </c>
      <c r="C19181" s="235"/>
      <c r="D19181" s="49" t="s">
        <v>37</v>
      </c>
      <c r="E19181" s="49" t="s">
        <v>38</v>
      </c>
      <c r="F19181" s="49" t="s">
        <v>39</v>
      </c>
      <c r="G19181" s="49" t="s">
        <v>40</v>
      </c>
    </row>
    <row r="19182" spans="1:8" x14ac:dyDescent="0.25">
      <c r="A19182" s="17" t="str">
        <f>Material!A221</f>
        <v>MA-220</v>
      </c>
      <c r="B19182" s="72" t="str">
        <f>IFERROR(VLOOKUP(A19182,Material!$A:$H,2,0),"-")</f>
        <v>TUBO METALICO EMT CONDUIT GALVANIZADO DE 3/4"</v>
      </c>
      <c r="C19182" s="73"/>
      <c r="D19182" s="50" t="str">
        <f>IFERROR(VLOOKUP(A19182,Material!$A:$H,4,0),"-")</f>
        <v>ML</v>
      </c>
      <c r="E19182" s="50">
        <v>3.5</v>
      </c>
      <c r="F19182" s="51">
        <f>IFERROR(VLOOKUP(A19182,Material!$A:$H,3,0),"-")</f>
        <v>11830</v>
      </c>
      <c r="G19182" s="51">
        <f t="shared" ref="G19182:G19191" si="273">IFERROR(ROUNDUP(F19182*E19182,0),"-")</f>
        <v>41405</v>
      </c>
    </row>
    <row r="19183" spans="1:8" x14ac:dyDescent="0.25">
      <c r="A19183" s="17" t="str">
        <f>Material!A223</f>
        <v>MA-222</v>
      </c>
      <c r="B19183" s="72" t="str">
        <f>IFERROR(VLOOKUP(A19183,Material!$A:$H,2,0),"-")</f>
        <v xml:space="preserve">TERMINAL-CONECTOR EMT DE 3/4" </v>
      </c>
      <c r="C19183" s="76"/>
      <c r="D19183" s="50" t="str">
        <f>IFERROR(VLOOKUP(A19183,Material!$A:$H,4,0),"-")</f>
        <v>UN</v>
      </c>
      <c r="E19183" s="50">
        <v>2</v>
      </c>
      <c r="F19183" s="51">
        <f>IFERROR(VLOOKUP(A19183,Material!$A:$H,3,0),"-")</f>
        <v>1495</v>
      </c>
      <c r="G19183" s="51">
        <f t="shared" si="273"/>
        <v>2990</v>
      </c>
      <c r="H19183" s="1"/>
    </row>
    <row r="19184" spans="1:8" x14ac:dyDescent="0.25">
      <c r="A19184" s="17" t="str">
        <f>Material!A224</f>
        <v>MA-223</v>
      </c>
      <c r="B19184" s="72" t="str">
        <f>IFERROR(VLOOKUP(A19184,Material!$A:$H,2,0),"-")</f>
        <v>UNION EMT 3/4"</v>
      </c>
      <c r="C19184" s="76"/>
      <c r="D19184" s="50" t="str">
        <f>IFERROR(VLOOKUP(A19184,Material!$A:$H,4,0),"-")</f>
        <v>UN</v>
      </c>
      <c r="E19184" s="108">
        <f>E19182/3</f>
        <v>1.1666666666666667</v>
      </c>
      <c r="F19184" s="51">
        <f>IFERROR(VLOOKUP(A19184,Material!$A:$H,3,0),"-")</f>
        <v>1495</v>
      </c>
      <c r="G19184" s="51">
        <f t="shared" si="273"/>
        <v>1745</v>
      </c>
    </row>
    <row r="19185" spans="1:7" x14ac:dyDescent="0.25">
      <c r="A19185" s="17" t="str">
        <f>Material!A225</f>
        <v>MA-224</v>
      </c>
      <c r="B19185" s="72" t="str">
        <f>IFERROR(VLOOKUP(A19185,Material!$A:$H,2,0),"-")</f>
        <v>CURVA 90 GRADOS EMT DE 3/4"</v>
      </c>
      <c r="C19185" s="76"/>
      <c r="D19185" s="50" t="str">
        <f>IFERROR(VLOOKUP(A19185,Material!$A:$H,4,0),"-")</f>
        <v>UN</v>
      </c>
      <c r="E19185" s="50">
        <f>1/10</f>
        <v>0.1</v>
      </c>
      <c r="F19185" s="51">
        <f>IFERROR(VLOOKUP(A19185,Material!$A:$H,3,0),"-")</f>
        <v>2340</v>
      </c>
      <c r="G19185" s="51">
        <f t="shared" si="273"/>
        <v>234</v>
      </c>
    </row>
    <row r="19186" spans="1:7" x14ac:dyDescent="0.25">
      <c r="A19186" s="17" t="str">
        <f>Material!A226</f>
        <v>MA-225</v>
      </c>
      <c r="B19186" s="72" t="str">
        <f>IFERROR(VLOOKUP(A19186,Material!$A:$H,2,0),"-")</f>
        <v>ABRAZADERA GRAPA METALICA 3/4"</v>
      </c>
      <c r="C19186" s="76"/>
      <c r="D19186" s="50" t="str">
        <f>IFERROR(VLOOKUP(A19186,Material!$A:$H,4,0),"-")</f>
        <v>UN</v>
      </c>
      <c r="E19186" s="108">
        <v>3</v>
      </c>
      <c r="F19186" s="51">
        <f>IFERROR(VLOOKUP(A19186,Material!$A:$H,3,0),"-")</f>
        <v>325</v>
      </c>
      <c r="G19186" s="51">
        <f t="shared" si="273"/>
        <v>975</v>
      </c>
    </row>
    <row r="19187" spans="1:7" x14ac:dyDescent="0.25">
      <c r="A19187" s="17" t="str">
        <f>Material!A227</f>
        <v>MA-226</v>
      </c>
      <c r="B19187" s="72" t="str">
        <f>IFERROR(VLOOKUP(A19187,Material!$A:$H,2,0),"-")</f>
        <v>CABLE AISLADO NO 14 AWG COBRE THHN</v>
      </c>
      <c r="C19187" s="76"/>
      <c r="D19187" s="50" t="str">
        <f>IFERROR(VLOOKUP(A19187,Material!$A:$H,4,0),"-")</f>
        <v>ML</v>
      </c>
      <c r="E19187" s="50">
        <f>3.5*3</f>
        <v>10.5</v>
      </c>
      <c r="F19187" s="51">
        <f>IFERROR(VLOOKUP(A19187,Material!$A:$H,3,0),"-")</f>
        <v>2210</v>
      </c>
      <c r="G19187" s="51">
        <f t="shared" si="273"/>
        <v>23205</v>
      </c>
    </row>
    <row r="19188" spans="1:7" x14ac:dyDescent="0.25">
      <c r="A19188" s="17" t="str">
        <f>Material!A230</f>
        <v>MA-229</v>
      </c>
      <c r="B19188" s="72" t="str">
        <f>IFERROR(VLOOKUP(A19188,Material!$A:$H,2,0),"-")</f>
        <v>TOMA CORRIENTE LEVITON</v>
      </c>
      <c r="C19188" s="76"/>
      <c r="D19188" s="50" t="str">
        <f>IFERROR(VLOOKUP(A19188,Material!$A:$H,4,0),"-")</f>
        <v>UN</v>
      </c>
      <c r="E19188" s="50">
        <v>1</v>
      </c>
      <c r="F19188" s="51">
        <f>IFERROR(VLOOKUP(A19188,Material!$A:$H,3,0),"-")</f>
        <v>4615</v>
      </c>
      <c r="G19188" s="51">
        <f t="shared" si="273"/>
        <v>4615</v>
      </c>
    </row>
    <row r="19189" spans="1:7" x14ac:dyDescent="0.25">
      <c r="A19189" s="17" t="str">
        <f>Material!A228</f>
        <v>MA-227</v>
      </c>
      <c r="B19189" s="72" t="str">
        <f>IFERROR(VLOOKUP(A19189,Material!$A:$H,2,0),"-")</f>
        <v>TERMINAL SOLDER AMARILLO 22-14 VCP</v>
      </c>
      <c r="C19189" s="76"/>
      <c r="D19189" s="50" t="str">
        <f>IFERROR(VLOOKUP(A19189,Material!$A:$H,4,0),"-")</f>
        <v>UN</v>
      </c>
      <c r="E19189" s="50">
        <v>3</v>
      </c>
      <c r="F19189" s="51">
        <f>IFERROR(VLOOKUP(A19189,Material!$A:$H,3,0),"-")</f>
        <v>299</v>
      </c>
      <c r="G19189" s="51">
        <f t="shared" si="273"/>
        <v>897</v>
      </c>
    </row>
    <row r="19190" spans="1:7" x14ac:dyDescent="0.25">
      <c r="A19190" s="17" t="str">
        <f>Material!A229</f>
        <v>MA-228</v>
      </c>
      <c r="B19190" s="72" t="str">
        <f>IFERROR(VLOOKUP(A19190,Material!$A:$H,2,0),"-")</f>
        <v>CINTA DE COLORES</v>
      </c>
      <c r="C19190" s="76"/>
      <c r="D19190" s="50" t="str">
        <f>IFERROR(VLOOKUP(A19190,Material!$A:$H,4,0),"-")</f>
        <v>ML</v>
      </c>
      <c r="E19190" s="50">
        <v>7.0000000000000007E-2</v>
      </c>
      <c r="F19190" s="51">
        <f>IFERROR(VLOOKUP(A19190,Material!$A:$H,3,0),"-")</f>
        <v>54.080000000000005</v>
      </c>
      <c r="G19190" s="51">
        <f t="shared" si="273"/>
        <v>4</v>
      </c>
    </row>
    <row r="19191" spans="1:7" x14ac:dyDescent="0.25">
      <c r="A19191" s="17" t="str">
        <f>Material!A222</f>
        <v>MA-221</v>
      </c>
      <c r="B19191" s="72" t="str">
        <f>IFERROR(VLOOKUP(A19191,Material!$A:$H,2,0),"-")</f>
        <v>CAJA FS 2X4  4 SALIDAS 3/4"</v>
      </c>
      <c r="C19191" s="76"/>
      <c r="D19191" s="50" t="str">
        <f>IFERROR(VLOOKUP(A19191,Material!$A:$H,4,0),"-")</f>
        <v>UN</v>
      </c>
      <c r="E19191" s="50">
        <v>1</v>
      </c>
      <c r="F19191" s="51">
        <f>IFERROR(VLOOKUP(A19191,Material!$A:$H,3,0),"-")</f>
        <v>16633.5</v>
      </c>
      <c r="G19191" s="51">
        <f t="shared" si="273"/>
        <v>16634</v>
      </c>
    </row>
    <row r="19192" spans="1:7" x14ac:dyDescent="0.25">
      <c r="A19192" s="17" t="str">
        <f>Material!A574</f>
        <v>MA-573</v>
      </c>
      <c r="B19192" s="72" t="str">
        <f>IFERROR(VLOOKUP(A19192,Material!$A:$H,2,0),"-")</f>
        <v>TAPA PARA TOMA DOBLE BLANCA LEVITON</v>
      </c>
      <c r="C19192" s="76"/>
      <c r="D19192" s="50" t="str">
        <f>IFERROR(VLOOKUP(A19192,Material!$A:$H,4,0),"-")</f>
        <v>UN</v>
      </c>
      <c r="E19192" s="50">
        <v>1</v>
      </c>
      <c r="F19192" s="51">
        <f>IFERROR(VLOOKUP(A19192,Material!$A:$H,3,0),"-")</f>
        <v>4355</v>
      </c>
      <c r="G19192" s="51">
        <f t="shared" ref="G19192" si="274">IFERROR(ROUNDUP(F19192*E19192,0),"-")</f>
        <v>4355</v>
      </c>
    </row>
    <row r="19193" spans="1:7" x14ac:dyDescent="0.25">
      <c r="A19193" s="234" t="s">
        <v>41</v>
      </c>
      <c r="B19193" s="236"/>
      <c r="C19193" s="236"/>
      <c r="D19193" s="236"/>
      <c r="E19193" s="236"/>
      <c r="F19193" s="235"/>
      <c r="G19193" s="52">
        <f>SUM(G19182:G19192)</f>
        <v>97059</v>
      </c>
    </row>
    <row r="19194" spans="1:7" x14ac:dyDescent="0.25">
      <c r="A19194" s="56"/>
      <c r="B19194" s="57"/>
      <c r="C19194" s="57"/>
      <c r="D19194" s="57"/>
      <c r="E19194" s="57"/>
      <c r="F19194" s="57"/>
      <c r="G19194" s="58"/>
    </row>
    <row r="19195" spans="1:7" x14ac:dyDescent="0.25">
      <c r="A19195" s="219" t="s">
        <v>42</v>
      </c>
      <c r="B19195" s="219"/>
      <c r="C19195" s="219"/>
      <c r="D19195" s="219"/>
      <c r="E19195" s="219"/>
      <c r="F19195" s="219"/>
      <c r="G19195" s="219"/>
    </row>
    <row r="19196" spans="1:7" x14ac:dyDescent="0.25">
      <c r="A19196" s="49" t="s">
        <v>35</v>
      </c>
      <c r="B19196" s="49" t="s">
        <v>36</v>
      </c>
      <c r="C19196" s="49" t="s">
        <v>38</v>
      </c>
      <c r="D19196" s="49" t="s">
        <v>43</v>
      </c>
      <c r="E19196" s="49" t="s">
        <v>44</v>
      </c>
      <c r="F19196" s="49" t="s">
        <v>45</v>
      </c>
      <c r="G19196" s="49" t="s">
        <v>40</v>
      </c>
    </row>
    <row r="19197" spans="1:7" x14ac:dyDescent="0.25">
      <c r="A19197" s="50" t="s">
        <v>319</v>
      </c>
      <c r="B19197" s="68" t="str">
        <f>VLOOKUP(A19197,'Componentes APUs'!$H$1:$L$25,2,0)</f>
        <v>Ingeniero Residente de Obra</v>
      </c>
      <c r="C19197" s="93">
        <v>0.25</v>
      </c>
      <c r="D19197" s="50">
        <f>VLOOKUP(A19197,'Componentes APUs'!$H$1:$L$25,3,0)</f>
        <v>4</v>
      </c>
      <c r="E19197" s="51">
        <f>VLOOKUP(A19197,'Componentes APUs'!$H$1:$L$25,4,0)</f>
        <v>271142.85714285716</v>
      </c>
      <c r="F19197" s="51">
        <f>VLOOKUP(A19197,'Componentes APUs'!$H$1:$L$25,5,0)</f>
        <v>162685.71428571429</v>
      </c>
      <c r="G19197" s="51">
        <f>ROUNDUP((E19197+F19197)*C19197/E19179,0)</f>
        <v>10846</v>
      </c>
    </row>
    <row r="19198" spans="1:7" x14ac:dyDescent="0.25">
      <c r="A19198" s="50" t="s">
        <v>320</v>
      </c>
      <c r="B19198" s="68" t="str">
        <f>VLOOKUP(A19198,'Componentes APUs'!$H$1:$L$25,2,0)</f>
        <v>Tecnico Supervisor</v>
      </c>
      <c r="C19198" s="93">
        <v>0.25</v>
      </c>
      <c r="D19198" s="50">
        <f>VLOOKUP(A19198,'Componentes APUs'!$H$1:$L$25,3,0)</f>
        <v>2.2999999999999998</v>
      </c>
      <c r="E19198" s="51">
        <f>VLOOKUP(A19198,'Componentes APUs'!$H$1:$L$25,4,0)</f>
        <v>155907.14285714284</v>
      </c>
      <c r="F19198" s="51">
        <f>VLOOKUP(A19198,'Componentes APUs'!$H$1:$L$25,5,0)</f>
        <v>93544.285714285696</v>
      </c>
      <c r="G19198" s="51">
        <f>ROUNDUP((E19198+F19198)*C19198/E19179,0)</f>
        <v>6237</v>
      </c>
    </row>
    <row r="19199" spans="1:7" x14ac:dyDescent="0.25">
      <c r="A19199" s="50" t="s">
        <v>1160</v>
      </c>
      <c r="B19199" s="68" t="str">
        <f>VLOOKUP(A19199,'Componentes APUs'!$H$1:$L$25,2,0)</f>
        <v>Oficial Eléctrico</v>
      </c>
      <c r="C19199" s="93">
        <v>1</v>
      </c>
      <c r="D19199" s="50">
        <f>VLOOKUP(A19199,'Componentes APUs'!$H$1:$L$25,3,0)</f>
        <v>2</v>
      </c>
      <c r="E19199" s="51">
        <f>VLOOKUP(A19199,'Componentes APUs'!$H$1:$L$25,4,0)</f>
        <v>154619.04761904763</v>
      </c>
      <c r="F19199" s="51">
        <f>VLOOKUP(A19199,'Componentes APUs'!$H$1:$L$25,5,0)</f>
        <v>92771.42857142858</v>
      </c>
      <c r="G19199" s="51">
        <f>ROUNDUP((E19199+F19199)*C19199/E19179,0)</f>
        <v>24740</v>
      </c>
    </row>
    <row r="19200" spans="1:7" x14ac:dyDescent="0.25">
      <c r="A19200" s="50" t="s">
        <v>48</v>
      </c>
      <c r="B19200" s="68" t="str">
        <f>VLOOKUP(A19200,'Componentes APUs'!$H$1:$L$25,2,0)</f>
        <v>Ayudante Calificado</v>
      </c>
      <c r="C19200" s="93">
        <v>1</v>
      </c>
      <c r="D19200" s="50">
        <f>VLOOKUP(A19200,'Componentes APUs'!$H$1:$L$25,3,0)</f>
        <v>1.5</v>
      </c>
      <c r="E19200" s="51">
        <f>VLOOKUP(A19200,'Componentes APUs'!$H$1:$L$25,4,0)</f>
        <v>115964.28571428571</v>
      </c>
      <c r="F19200" s="51">
        <f>VLOOKUP(A19200,'Componentes APUs'!$H$1:$L$25,5,0)</f>
        <v>69578.57142857142</v>
      </c>
      <c r="G19200" s="51">
        <f>ROUNDUP((E19200+F19200)*C19200/E19179,0)</f>
        <v>18555</v>
      </c>
    </row>
    <row r="19201" spans="1:7" x14ac:dyDescent="0.25">
      <c r="A19201" s="50" t="s">
        <v>50</v>
      </c>
      <c r="B19201" s="68" t="str">
        <f>VLOOKUP(A19201,'Componentes APUs'!$H$1:$L$25,2,0)</f>
        <v>Profesional en SST</v>
      </c>
      <c r="C19201" s="93">
        <v>0.25</v>
      </c>
      <c r="D19201" s="50">
        <f>VLOOKUP(A19201,'Componentes APUs'!$H$1:$L$25,3,0)</f>
        <v>2.5</v>
      </c>
      <c r="E19201" s="51">
        <f>VLOOKUP(A19201,'Componentes APUs'!$H$1:$L$25,4,0)</f>
        <v>169464.28571428571</v>
      </c>
      <c r="F19201" s="51">
        <f>VLOOKUP(A19201,'Componentes APUs'!$H$1:$L$25,5,0)</f>
        <v>101678.57142857142</v>
      </c>
      <c r="G19201" s="51">
        <f>ROUNDUP((E19201+F19201)*C19201/E19179,0)</f>
        <v>6779</v>
      </c>
    </row>
    <row r="19202" spans="1:7" x14ac:dyDescent="0.25">
      <c r="A19202" s="50" t="s">
        <v>52</v>
      </c>
      <c r="B19202" s="68" t="str">
        <f>VLOOKUP(A19202,'Componentes APUs'!$H$1:$L$25,2,0)</f>
        <v>Ayudante No Calificado</v>
      </c>
      <c r="C19202" s="93">
        <v>0</v>
      </c>
      <c r="D19202" s="50">
        <f>VLOOKUP(A19202,'Componentes APUs'!$H$1:$L$25,3,0)</f>
        <v>1</v>
      </c>
      <c r="E19202" s="51">
        <f>VLOOKUP(A19202,'Componentes APUs'!$H$1:$L$25,4,0)</f>
        <v>77309.523809523816</v>
      </c>
      <c r="F19202" s="51">
        <f>VLOOKUP(A19202,'Componentes APUs'!$H$1:$L$25,5,0)</f>
        <v>46385.71428571429</v>
      </c>
      <c r="G19202" s="51">
        <f>ROUNDUP((E19202+F19202)*C19202/E19179,0)</f>
        <v>0</v>
      </c>
    </row>
    <row r="19203" spans="1:7" x14ac:dyDescent="0.25">
      <c r="A19203" s="219" t="s">
        <v>56</v>
      </c>
      <c r="B19203" s="219"/>
      <c r="C19203" s="219"/>
      <c r="D19203" s="219"/>
      <c r="E19203" s="219"/>
      <c r="F19203" s="219"/>
      <c r="G19203" s="52">
        <f>SUM(G19197:G19202)</f>
        <v>67157</v>
      </c>
    </row>
    <row r="19204" spans="1:7" x14ac:dyDescent="0.25">
      <c r="A19204" s="56"/>
      <c r="B19204" s="57"/>
      <c r="C19204" s="57"/>
      <c r="D19204" s="57"/>
      <c r="E19204" s="57"/>
      <c r="F19204" s="57"/>
      <c r="G19204" s="58"/>
    </row>
    <row r="19205" spans="1:7" x14ac:dyDescent="0.25">
      <c r="A19205" s="219" t="s">
        <v>57</v>
      </c>
      <c r="B19205" s="219"/>
      <c r="C19205" s="219"/>
      <c r="D19205" s="219"/>
      <c r="E19205" s="219"/>
      <c r="F19205" s="219"/>
      <c r="G19205" s="219"/>
    </row>
    <row r="19206" spans="1:7" x14ac:dyDescent="0.25">
      <c r="A19206" s="49" t="s">
        <v>35</v>
      </c>
      <c r="B19206" s="219" t="s">
        <v>36</v>
      </c>
      <c r="C19206" s="219"/>
      <c r="D19206" s="49" t="s">
        <v>37</v>
      </c>
      <c r="E19206" s="49" t="s">
        <v>38</v>
      </c>
      <c r="F19206" s="49" t="s">
        <v>39</v>
      </c>
      <c r="G19206" s="49" t="s">
        <v>40</v>
      </c>
    </row>
    <row r="19207" spans="1:7" x14ac:dyDescent="0.25">
      <c r="A19207" s="50" t="s">
        <v>326</v>
      </c>
      <c r="B19207" s="220" t="str">
        <f>VLOOKUP(A19207,'Componentes APUs'!$S$1:$V$10,2,0)</f>
        <v>Juego Llaves</v>
      </c>
      <c r="C19207" s="220"/>
      <c r="D19207" s="50" t="s">
        <v>18</v>
      </c>
      <c r="E19207" s="50">
        <v>1</v>
      </c>
      <c r="F19207" s="51">
        <f>VLOOKUP(A19207,'Componentes APUs'!$S$1:$V$10,4,0)</f>
        <v>9167</v>
      </c>
      <c r="G19207" s="51">
        <f>ROUNDUP(F19207*((E19207/21)/E19179),0)</f>
        <v>44</v>
      </c>
    </row>
    <row r="19208" spans="1:7" x14ac:dyDescent="0.25">
      <c r="A19208" s="50" t="s">
        <v>58</v>
      </c>
      <c r="B19208" s="220" t="str">
        <f>VLOOKUP(A19208,'Componentes APUs'!$S$1:$V$10,2,0)</f>
        <v>Manila de servicio</v>
      </c>
      <c r="C19208" s="220"/>
      <c r="D19208" s="50" t="s">
        <v>18</v>
      </c>
      <c r="E19208" s="50">
        <v>0</v>
      </c>
      <c r="F19208" s="51">
        <f>VLOOKUP(A19208,'Componentes APUs'!$S$1:$V$10,4,0)</f>
        <v>2333</v>
      </c>
      <c r="G19208" s="51">
        <f>ROUNDUP(F19208*((E19208/21)/E19179),0)</f>
        <v>0</v>
      </c>
    </row>
    <row r="19209" spans="1:7" x14ac:dyDescent="0.25">
      <c r="A19209" s="50" t="s">
        <v>327</v>
      </c>
      <c r="B19209" s="220" t="str">
        <f>VLOOKUP(A19209,'Componentes APUs'!$S$1:$V$10,2,0)</f>
        <v>Tula portaherramientas</v>
      </c>
      <c r="C19209" s="220"/>
      <c r="D19209" s="50" t="s">
        <v>18</v>
      </c>
      <c r="E19209" s="50">
        <v>1</v>
      </c>
      <c r="F19209" s="51">
        <f>VLOOKUP(A19209,'Componentes APUs'!$S$1:$V$10,4,0)</f>
        <v>1250</v>
      </c>
      <c r="G19209" s="51">
        <f>ROUNDUP(F19209*((E19209/21)/E19179),0)</f>
        <v>6</v>
      </c>
    </row>
    <row r="19210" spans="1:7" x14ac:dyDescent="0.25">
      <c r="A19210" s="50" t="s">
        <v>60</v>
      </c>
      <c r="B19210" s="220" t="str">
        <f>VLOOKUP(A19210,'Componentes APUs'!$S$1:$V$10,2,0)</f>
        <v>Agarradoras</v>
      </c>
      <c r="C19210" s="220"/>
      <c r="D19210" s="50" t="s">
        <v>18</v>
      </c>
      <c r="E19210" s="50">
        <v>0</v>
      </c>
      <c r="F19210" s="51">
        <f>VLOOKUP(A19210,'Componentes APUs'!$S$1:$V$10,4,0)</f>
        <v>125000</v>
      </c>
      <c r="G19210" s="51">
        <f>ROUNDUP(F19210*((E19210/21)/E19179),0)</f>
        <v>0</v>
      </c>
    </row>
    <row r="19211" spans="1:7" x14ac:dyDescent="0.25">
      <c r="A19211" s="50" t="s">
        <v>62</v>
      </c>
      <c r="B19211" s="220" t="str">
        <f>VLOOKUP(A19211,'Componentes APUs'!$S$1:$V$10,2,0)</f>
        <v>Templadoras</v>
      </c>
      <c r="C19211" s="220"/>
      <c r="D19211" s="50" t="s">
        <v>18</v>
      </c>
      <c r="E19211" s="50">
        <v>0</v>
      </c>
      <c r="F19211" s="51">
        <f>VLOOKUP(A19211,'Componentes APUs'!$S$1:$V$10,4,0)</f>
        <v>250000</v>
      </c>
      <c r="G19211" s="51">
        <f>ROUNDUP(F19211*((E19211/21)/E19179),0)</f>
        <v>0</v>
      </c>
    </row>
    <row r="19212" spans="1:7" x14ac:dyDescent="0.25">
      <c r="A19212" s="50" t="s">
        <v>328</v>
      </c>
      <c r="B19212" s="220" t="str">
        <f>VLOOKUP(A19212,'Componentes APUs'!$S$1:$V$10,2,0)</f>
        <v>Herramienta Menor</v>
      </c>
      <c r="C19212" s="220"/>
      <c r="D19212" s="50" t="s">
        <v>18</v>
      </c>
      <c r="E19212" s="50">
        <v>1</v>
      </c>
      <c r="F19212" s="51">
        <f>VLOOKUP(A19212,'Componentes APUs'!$S$1:$V$10,4,0)</f>
        <v>75758</v>
      </c>
      <c r="G19212" s="51">
        <f>ROUNDUP(F19212*((E19212/21)/E19179),0)</f>
        <v>361</v>
      </c>
    </row>
    <row r="19213" spans="1:7" x14ac:dyDescent="0.25">
      <c r="A19213" s="219" t="s">
        <v>69</v>
      </c>
      <c r="B19213" s="219"/>
      <c r="C19213" s="219"/>
      <c r="D19213" s="219"/>
      <c r="E19213" s="219"/>
      <c r="F19213" s="219"/>
      <c r="G19213" s="52">
        <f>SUM(G19207:G19212)</f>
        <v>411</v>
      </c>
    </row>
    <row r="19214" spans="1:7" x14ac:dyDescent="0.25">
      <c r="A19214" s="56"/>
      <c r="B19214" s="57"/>
      <c r="C19214" s="57"/>
      <c r="D19214" s="57"/>
      <c r="E19214" s="57"/>
      <c r="F19214" s="57"/>
      <c r="G19214" s="58"/>
    </row>
    <row r="19215" spans="1:7" x14ac:dyDescent="0.25">
      <c r="A19215" s="219" t="s">
        <v>70</v>
      </c>
      <c r="B19215" s="219"/>
      <c r="C19215" s="219"/>
      <c r="D19215" s="219"/>
      <c r="E19215" s="219"/>
      <c r="F19215" s="219"/>
      <c r="G19215" s="219"/>
    </row>
    <row r="19216" spans="1:7" x14ac:dyDescent="0.25">
      <c r="A19216" s="49" t="s">
        <v>35</v>
      </c>
      <c r="B19216" s="219" t="s">
        <v>36</v>
      </c>
      <c r="C19216" s="219"/>
      <c r="D19216" s="49" t="s">
        <v>37</v>
      </c>
      <c r="E19216" s="49" t="s">
        <v>38</v>
      </c>
      <c r="F19216" s="49" t="s">
        <v>39</v>
      </c>
      <c r="G19216" s="49" t="s">
        <v>40</v>
      </c>
    </row>
    <row r="19217" spans="1:7" x14ac:dyDescent="0.25">
      <c r="A19217" s="50" t="s">
        <v>71</v>
      </c>
      <c r="B19217" s="71" t="str">
        <f>VLOOKUP(A19217,'Componentes APUs'!$A$1:$D$14,2,0)</f>
        <v>Camisa indigo sin partes metalicas</v>
      </c>
      <c r="C19217" s="71"/>
      <c r="D19217" s="50" t="str">
        <f>VLOOKUP(A19217,'Componentes APUs'!$A$1:$D$14,3,0)</f>
        <v>U</v>
      </c>
      <c r="E19217" s="50">
        <f>SUM(C19197:C19202)</f>
        <v>2.75</v>
      </c>
      <c r="F19217" s="51">
        <f>VLOOKUP(A19217,'Componentes APUs'!$A$1:$D$14,4,0)</f>
        <v>8585.8585858585866</v>
      </c>
      <c r="G19217" s="51">
        <f>ROUNDUP(F19217*(E19217/21)/E19179,0)</f>
        <v>113</v>
      </c>
    </row>
    <row r="19218" spans="1:7" x14ac:dyDescent="0.25">
      <c r="A19218" s="69" t="s">
        <v>73</v>
      </c>
      <c r="B19218" s="72" t="str">
        <f>VLOOKUP(A19218,'Componentes APUs'!$A$1:$D$14,2,0)</f>
        <v>Bota de seguridad dielectrica</v>
      </c>
      <c r="C19218" s="73"/>
      <c r="D19218" s="70" t="str">
        <f>VLOOKUP(A19218,'Componentes APUs'!$A$1:$D$14,3,0)</f>
        <v>Par</v>
      </c>
      <c r="E19218" s="50">
        <f>SUM(C19197:C19202)</f>
        <v>2.75</v>
      </c>
      <c r="F19218" s="51">
        <f>VLOOKUP(A19218,'Componentes APUs'!$A$1:$D$14,4,0)</f>
        <v>7500</v>
      </c>
      <c r="G19218" s="51">
        <f>ROUNDUP(F19218*(E19218/21)/E19179,0)</f>
        <v>99</v>
      </c>
    </row>
    <row r="19219" spans="1:7" x14ac:dyDescent="0.25">
      <c r="A19219" s="50" t="s">
        <v>76</v>
      </c>
      <c r="B19219" s="72" t="str">
        <f>VLOOKUP(A19219,'Componentes APUs'!$A$1:$D$14,2,0)</f>
        <v>Casco dielectrico Tipo 1 Clase E con barbuquejo</v>
      </c>
      <c r="C19219" s="73"/>
      <c r="D19219" s="50" t="str">
        <f>VLOOKUP(A19219,'Componentes APUs'!$A$1:$D$14,3,0)</f>
        <v>U</v>
      </c>
      <c r="E19219" s="50">
        <f>C19202+C19197+C19200+C19201+C19198+IF(A19199&lt;&gt;"MO-3",C19199,0)</f>
        <v>2.75</v>
      </c>
      <c r="F19219" s="51">
        <f>VLOOKUP(A19219,'Componentes APUs'!$A$1:$D$14,4,0)</f>
        <v>10101.010101010101</v>
      </c>
      <c r="G19219" s="51">
        <f>ROUNDUP(F19219*(E19219/21)/E19179,0)</f>
        <v>133</v>
      </c>
    </row>
    <row r="19220" spans="1:7" x14ac:dyDescent="0.25">
      <c r="A19220" s="69" t="s">
        <v>77</v>
      </c>
      <c r="B19220" s="72" t="str">
        <f>VLOOKUP(A19220,'Componentes APUs'!$A$1:$D$14,2,0)</f>
        <v>Correa plastica y antiflama</v>
      </c>
      <c r="C19220" s="73"/>
      <c r="D19220" s="50" t="str">
        <f>VLOOKUP(A19220,'Componentes APUs'!$A$1:$D$14,3,0)</f>
        <v>U</v>
      </c>
      <c r="E19220" s="50">
        <f>SUM(C19197:C19202)</f>
        <v>2.75</v>
      </c>
      <c r="F19220" s="51">
        <f>VLOOKUP(A19220,'Componentes APUs'!$A$1:$D$14,4,0)</f>
        <v>3787.878787878788</v>
      </c>
      <c r="G19220" s="51">
        <f>ROUNDUP(F19220*(E19220/21)/E19179,0)</f>
        <v>50</v>
      </c>
    </row>
    <row r="19221" spans="1:7" x14ac:dyDescent="0.25">
      <c r="A19221" s="50" t="s">
        <v>79</v>
      </c>
      <c r="B19221" s="72" t="str">
        <f>VLOOKUP(A19221,'Componentes APUs'!$A$1:$D$14,2,0)</f>
        <v>Gafas protectoras filtro UV</v>
      </c>
      <c r="C19221" s="73"/>
      <c r="D19221" s="50" t="str">
        <f>VLOOKUP(A19221,'Componentes APUs'!$A$1:$D$14,3,0)</f>
        <v>U</v>
      </c>
      <c r="E19221" s="50">
        <f>SUM(C19197:C19202)</f>
        <v>2.75</v>
      </c>
      <c r="F19221" s="51">
        <f>VLOOKUP(A19221,'Componentes APUs'!$A$1:$D$14,4,0)</f>
        <v>2777.7777777777778</v>
      </c>
      <c r="G19221" s="51">
        <f>ROUNDUP(F19221*(E19221/21)/E19179,0)</f>
        <v>37</v>
      </c>
    </row>
    <row r="19222" spans="1:7" x14ac:dyDescent="0.25">
      <c r="A19222" s="69" t="s">
        <v>402</v>
      </c>
      <c r="B19222" s="72" t="str">
        <f>VLOOKUP(A19222,'Componentes APUs'!$A$1:$D$14,2,0)</f>
        <v>Bota de seguridad PVC dielectrica</v>
      </c>
      <c r="C19222" s="73"/>
      <c r="D19222" s="50" t="str">
        <f>VLOOKUP(A19222,'Componentes APUs'!$A$1:$D$14,3,0)</f>
        <v>Par</v>
      </c>
      <c r="E19222" s="50">
        <f>SUM(C19197:C19202)</f>
        <v>2.75</v>
      </c>
      <c r="F19222" s="51">
        <f>VLOOKUP(A19222,'Componentes APUs'!$A$1:$D$14,4,0)</f>
        <v>2916.6666666666665</v>
      </c>
      <c r="G19222" s="51">
        <f>ROUNDUP(F19222*(E19222/21)/E19179,0)</f>
        <v>39</v>
      </c>
    </row>
    <row r="19223" spans="1:7" x14ac:dyDescent="0.25">
      <c r="A19223" s="50" t="s">
        <v>403</v>
      </c>
      <c r="B19223" s="72" t="str">
        <f>VLOOKUP(A19223,'Componentes APUs'!$A$1:$D$14,2,0)</f>
        <v>Capuchon</v>
      </c>
      <c r="C19223" s="73"/>
      <c r="D19223" s="50" t="str">
        <f>VLOOKUP(A19223,'Componentes APUs'!$A$1:$D$14,3,0)</f>
        <v>U</v>
      </c>
      <c r="E19223" s="50">
        <f>SUM(C19197:C19202)</f>
        <v>2.75</v>
      </c>
      <c r="F19223" s="51">
        <f>VLOOKUP(A19223,'Componentes APUs'!$A$1:$D$14,4,0)</f>
        <v>2525.2525252525252</v>
      </c>
      <c r="G19223" s="51">
        <f>ROUNDUP(F19223*(E19223/21)/E19179,0)</f>
        <v>34</v>
      </c>
    </row>
    <row r="19224" spans="1:7" x14ac:dyDescent="0.25">
      <c r="A19224" s="69" t="s">
        <v>81</v>
      </c>
      <c r="B19224" s="72" t="str">
        <f>VLOOKUP(A19224,'Componentes APUs'!$A$1:$D$14,2,0)</f>
        <v>Guantes Protectores  - ingeniero reforzados</v>
      </c>
      <c r="C19224" s="73"/>
      <c r="D19224" s="50" t="str">
        <f>VLOOKUP(A19224,'Componentes APUs'!$A$1:$D$14,3,0)</f>
        <v>Par</v>
      </c>
      <c r="E19224" s="50">
        <f>C19199+C19200+C19202</f>
        <v>2</v>
      </c>
      <c r="F19224" s="51">
        <f>VLOOKUP(A19224,'Componentes APUs'!$A$1:$D$14,4,0)</f>
        <v>2525.2525252525252</v>
      </c>
      <c r="G19224" s="51">
        <f>ROUNDUP(F19224*(E19224/21)/E19179,0)</f>
        <v>25</v>
      </c>
    </row>
    <row r="19225" spans="1:7" x14ac:dyDescent="0.25">
      <c r="A19225" s="50" t="s">
        <v>83</v>
      </c>
      <c r="B19225" s="72" t="str">
        <f>VLOOKUP(A19225,'Componentes APUs'!$A$1:$D$14,2,0)</f>
        <v>Impermeable (pantalon camisa)</v>
      </c>
      <c r="C19225" s="73"/>
      <c r="D19225" s="50" t="str">
        <f>VLOOKUP(A19225,'Componentes APUs'!$A$1:$D$14,3,0)</f>
        <v>U</v>
      </c>
      <c r="E19225" s="50">
        <f>SUM(C19197:C19202)</f>
        <v>2.75</v>
      </c>
      <c r="F19225" s="51">
        <f>VLOOKUP(A19225,'Componentes APUs'!$A$1:$D$14,4,0)</f>
        <v>3750</v>
      </c>
      <c r="G19225" s="51">
        <f>ROUNDUP(F19225*(E19225/21)/E19179,0)</f>
        <v>50</v>
      </c>
    </row>
    <row r="19226" spans="1:7" x14ac:dyDescent="0.25">
      <c r="A19226" s="69" t="s">
        <v>85</v>
      </c>
      <c r="B19226" s="72" t="str">
        <f>VLOOKUP(A19226,'Componentes APUs'!$A$1:$D$14,2,0)</f>
        <v>Jean Dielectrico</v>
      </c>
      <c r="C19226" s="73"/>
      <c r="D19226" s="50" t="str">
        <f>VLOOKUP(A19226,'Componentes APUs'!$A$1:$D$14,3,0)</f>
        <v>U</v>
      </c>
      <c r="E19226" s="50">
        <f>SUM(C19197:C19202)</f>
        <v>2.75</v>
      </c>
      <c r="F19226" s="51">
        <f>VLOOKUP(A19226,'Componentes APUs'!$A$1:$D$14,4,0)</f>
        <v>7575.757575757576</v>
      </c>
      <c r="G19226" s="51">
        <f>ROUNDUP(F19226*(E19226/21)/E19179,0)</f>
        <v>100</v>
      </c>
    </row>
    <row r="19227" spans="1:7" x14ac:dyDescent="0.25">
      <c r="A19227" s="50" t="s">
        <v>87</v>
      </c>
      <c r="B19227" s="72" t="str">
        <f>VLOOKUP(A19227,'Componentes APUs'!$A$1:$D$14,2,0)</f>
        <v>Casco dielectrico Tipo 2 Clase E con barboquejo</v>
      </c>
      <c r="C19227" s="73"/>
      <c r="D19227" s="50" t="str">
        <f>VLOOKUP(A19227,'Componentes APUs'!$A$1:$D$14,3,0)</f>
        <v>U</v>
      </c>
      <c r="E19227" s="53">
        <f>IF(A19199="MO-3",C19199,0)</f>
        <v>0</v>
      </c>
      <c r="F19227" s="51">
        <f>VLOOKUP(A19227,'Componentes APUs'!$A$1:$D$14,4,0)</f>
        <v>7500</v>
      </c>
      <c r="G19227" s="51">
        <f>ROUNDUP(F19227*(E19227/21)/E19179,0)</f>
        <v>0</v>
      </c>
    </row>
    <row r="19228" spans="1:7" x14ac:dyDescent="0.25">
      <c r="A19228" s="69" t="s">
        <v>89</v>
      </c>
      <c r="B19228" s="72" t="str">
        <f>VLOOKUP(A19228,'Componentes APUs'!$A$1:$D$14,2,0)</f>
        <v>Kit de rescate para trabajo en alturas</v>
      </c>
      <c r="C19228" s="73"/>
      <c r="D19228" s="50" t="str">
        <f>VLOOKUP(A19228,'Componentes APUs'!$A$1:$D$14,3,0)</f>
        <v>U</v>
      </c>
      <c r="E19228" s="50">
        <f>IF(AND(A19199="MO-3",C19199=2),1,0)</f>
        <v>0</v>
      </c>
      <c r="F19228" s="51">
        <f>VLOOKUP(A19228,'Componentes APUs'!$A$1:$D$14,4,0)</f>
        <v>37500</v>
      </c>
      <c r="G19228" s="51">
        <f>ROUNDUP(F19228*(E19228/21)/E19179,0)</f>
        <v>0</v>
      </c>
    </row>
    <row r="19229" spans="1:7" x14ac:dyDescent="0.25">
      <c r="A19229" s="50" t="s">
        <v>91</v>
      </c>
      <c r="B19229" s="72" t="str">
        <f>VLOOKUP(A19229,'Componentes APUs'!$A$1:$D$14,2,0)</f>
        <v>Equipo completo para trabajo en alturas con pretales (Arnes dielectrico, 1 mosqueton de seguridad, tie off dielectrico, eslinga de posicionamiento, juego de pretales)</v>
      </c>
      <c r="C19229" s="73"/>
      <c r="D19229" s="50" t="str">
        <f>VLOOKUP(A19229,'Componentes APUs'!$A$1:$D$14,3,0)</f>
        <v>U</v>
      </c>
      <c r="E19229" s="50">
        <f>IF(A19199="MO-3",C19199,0)</f>
        <v>0</v>
      </c>
      <c r="F19229" s="51">
        <f>VLOOKUP(A19229,'Componentes APUs'!$A$1:$D$14,4,0)</f>
        <v>26041.666666666668</v>
      </c>
      <c r="G19229" s="51">
        <f>ROUNDUP(F19229*(E19229/21)/E19179,0)</f>
        <v>0</v>
      </c>
    </row>
    <row r="19230" spans="1:7" x14ac:dyDescent="0.25">
      <c r="A19230" s="219" t="s">
        <v>95</v>
      </c>
      <c r="B19230" s="219"/>
      <c r="C19230" s="219"/>
      <c r="D19230" s="219"/>
      <c r="E19230" s="219"/>
      <c r="F19230" s="219"/>
      <c r="G19230" s="52">
        <f>SUM(G19217:G19229)</f>
        <v>680</v>
      </c>
    </row>
    <row r="19231" spans="1:7" x14ac:dyDescent="0.25">
      <c r="A19231" s="56"/>
      <c r="B19231" s="57"/>
      <c r="C19231" s="57"/>
      <c r="D19231" s="57"/>
      <c r="E19231" s="57"/>
      <c r="F19231" s="57"/>
      <c r="G19231" s="58"/>
    </row>
    <row r="19232" spans="1:7" x14ac:dyDescent="0.25">
      <c r="A19232" s="219" t="s">
        <v>96</v>
      </c>
      <c r="B19232" s="219"/>
      <c r="C19232" s="219"/>
      <c r="D19232" s="219"/>
      <c r="E19232" s="219"/>
      <c r="F19232" s="219"/>
      <c r="G19232" s="219"/>
    </row>
    <row r="19233" spans="1:7" x14ac:dyDescent="0.25">
      <c r="A19233" s="49" t="s">
        <v>35</v>
      </c>
      <c r="B19233" s="225" t="s">
        <v>36</v>
      </c>
      <c r="C19233" s="225"/>
      <c r="D19233" s="49" t="s">
        <v>37</v>
      </c>
      <c r="E19233" s="49" t="s">
        <v>38</v>
      </c>
      <c r="F19233" s="49" t="s">
        <v>39</v>
      </c>
      <c r="G19233" s="49" t="s">
        <v>40</v>
      </c>
    </row>
    <row r="19234" spans="1:7" x14ac:dyDescent="0.25">
      <c r="A19234" s="69" t="s">
        <v>97</v>
      </c>
      <c r="B19234" s="72" t="str">
        <f>VLOOKUP(A19234,'Componentes APUs'!$N$1:$Q$30,2,0)</f>
        <v>Camioneta</v>
      </c>
      <c r="C19234" s="73"/>
      <c r="D19234" s="70" t="str">
        <f>VLOOKUP(A19234,'Componentes APUs'!$N$1:$Q$30,3,0)</f>
        <v>U</v>
      </c>
      <c r="E19234" s="50">
        <v>1</v>
      </c>
      <c r="F19234" s="51">
        <f>VLOOKUP(A19234,'Componentes APUs'!$N$1:$Q$30,4,0)</f>
        <v>5500000</v>
      </c>
      <c r="G19234" s="51">
        <f>IFERROR(ROUNDUP(F19234*(E19234/21)/E19179,0),0)</f>
        <v>26191</v>
      </c>
    </row>
    <row r="19235" spans="1:7" x14ac:dyDescent="0.25">
      <c r="A19235" s="50" t="s">
        <v>321</v>
      </c>
      <c r="B19235" s="72" t="str">
        <f>VLOOKUP(A19235,'Componentes APUs'!$N$1:$Q$30,2,0)</f>
        <v>Grúa Hidráulica</v>
      </c>
      <c r="C19235" s="73"/>
      <c r="D19235" s="70" t="str">
        <f>VLOOKUP(A19235,'Componentes APUs'!$N$1:$Q$30,3,0)</f>
        <v>U</v>
      </c>
      <c r="E19235" s="50">
        <v>0</v>
      </c>
      <c r="F19235" s="51">
        <f>VLOOKUP(A19235,'Componentes APUs'!$N$1:$Q$30,4,0)</f>
        <v>21000000</v>
      </c>
      <c r="G19235" s="51">
        <f>IFERROR(ROUNDUP(F19235*(E19235/21)/E19179,0),0)</f>
        <v>0</v>
      </c>
    </row>
    <row r="19236" spans="1:7" x14ac:dyDescent="0.25">
      <c r="A19236" s="69" t="s">
        <v>322</v>
      </c>
      <c r="B19236" s="72" t="str">
        <f>VLOOKUP(A19236,'Componentes APUs'!$N$1:$Q$30,2,0)</f>
        <v>Camabaja</v>
      </c>
      <c r="C19236" s="73"/>
      <c r="D19236" s="70" t="str">
        <f>VLOOKUP(A19236,'Componentes APUs'!$N$1:$Q$30,3,0)</f>
        <v>TON/KM</v>
      </c>
      <c r="E19236" s="50">
        <v>0</v>
      </c>
      <c r="F19236" s="51">
        <f>VLOOKUP(A19236,'Componentes APUs'!$N$1:$Q$30,4,0)</f>
        <v>611</v>
      </c>
      <c r="G19236" s="51">
        <f>IFERROR(ROUNDUP(F19236*(E19236/21)/E19179,0),0)</f>
        <v>0</v>
      </c>
    </row>
    <row r="19237" spans="1:7" x14ac:dyDescent="0.25">
      <c r="A19237" s="50" t="s">
        <v>323</v>
      </c>
      <c r="B19237" s="72" t="str">
        <f>VLOOKUP(A19237,'Componentes APUs'!$N$1:$Q$30,2,0)</f>
        <v>Volqueta</v>
      </c>
      <c r="C19237" s="73"/>
      <c r="D19237" s="70" t="str">
        <f>VLOOKUP(A19237,'Componentes APUs'!$N$1:$Q$30,3,0)</f>
        <v>U</v>
      </c>
      <c r="E19237" s="50">
        <v>0</v>
      </c>
      <c r="F19237" s="51">
        <f>VLOOKUP(A19237,'Componentes APUs'!$N$1:$Q$30,4,0)</f>
        <v>14828184</v>
      </c>
      <c r="G19237" s="51">
        <f>IFERROR(ROUNDUP(F19237*(E19237/21)/E19179,0),0)</f>
        <v>0</v>
      </c>
    </row>
    <row r="19238" spans="1:7" x14ac:dyDescent="0.25">
      <c r="A19238" s="69" t="s">
        <v>324</v>
      </c>
      <c r="B19238" s="72" t="str">
        <f>VLOOKUP(A19238,'Componentes APUs'!$N$1:$Q$30,2,0)</f>
        <v>Retroexcavadora</v>
      </c>
      <c r="C19238" s="73"/>
      <c r="D19238" s="70" t="str">
        <f>VLOOKUP(A19238,'Componentes APUs'!$N$1:$Q$30,3,0)</f>
        <v>U</v>
      </c>
      <c r="E19238" s="50">
        <v>0</v>
      </c>
      <c r="F19238" s="51">
        <f>VLOOKUP(A19238,'Componentes APUs'!$N$1:$Q$30,4,0)</f>
        <v>46030656</v>
      </c>
      <c r="G19238" s="51">
        <f>IFERROR(ROUNDUP(F19238*(E19238/21)/E19179,0),0)</f>
        <v>0</v>
      </c>
    </row>
    <row r="19239" spans="1:7" x14ac:dyDescent="0.25">
      <c r="A19239" s="219" t="s">
        <v>99</v>
      </c>
      <c r="B19239" s="219"/>
      <c r="C19239" s="219"/>
      <c r="D19239" s="219"/>
      <c r="E19239" s="219"/>
      <c r="F19239" s="219"/>
      <c r="G19239" s="52">
        <f>SUM(G19234:G19238)</f>
        <v>26191</v>
      </c>
    </row>
    <row r="19240" spans="1:7" x14ac:dyDescent="0.25">
      <c r="A19240" s="56"/>
      <c r="B19240" s="57"/>
      <c r="C19240" s="57"/>
      <c r="D19240" s="57"/>
      <c r="E19240" s="57"/>
      <c r="F19240" s="57"/>
      <c r="G19240" s="58"/>
    </row>
    <row r="19241" spans="1:7" x14ac:dyDescent="0.25">
      <c r="A19241" s="219" t="s">
        <v>1516</v>
      </c>
      <c r="B19241" s="219"/>
      <c r="C19241" s="219"/>
      <c r="D19241" s="219"/>
      <c r="E19241" s="219"/>
      <c r="F19241" s="219"/>
      <c r="G19241" s="52">
        <f>G19239+G19230+G19213+G19203+G19193</f>
        <v>191498</v>
      </c>
    </row>
    <row r="19242" spans="1:7" x14ac:dyDescent="0.25">
      <c r="A19242" s="59"/>
      <c r="B19242" s="60"/>
      <c r="C19242" s="60"/>
      <c r="D19242" s="60"/>
      <c r="E19242" s="57"/>
      <c r="F19242" s="57"/>
      <c r="G19242" s="58"/>
    </row>
    <row r="19243" spans="1:7" x14ac:dyDescent="0.25">
      <c r="A19243" s="64"/>
      <c r="D19243" s="55"/>
      <c r="E19243" s="49" t="s">
        <v>25</v>
      </c>
      <c r="F19243" s="54">
        <v>0.15</v>
      </c>
      <c r="G19243" s="51">
        <f>G19241*F19243</f>
        <v>28724.7</v>
      </c>
    </row>
    <row r="19244" spans="1:7" x14ac:dyDescent="0.25">
      <c r="A19244" s="64"/>
      <c r="D19244" s="55"/>
      <c r="E19244" s="49" t="s">
        <v>26</v>
      </c>
      <c r="F19244" s="54">
        <v>0.05</v>
      </c>
      <c r="G19244" s="51">
        <f>G19241*F19244</f>
        <v>9574.9</v>
      </c>
    </row>
    <row r="19245" spans="1:7" x14ac:dyDescent="0.25">
      <c r="A19245" s="61"/>
      <c r="B19245" s="65"/>
      <c r="C19245" s="65"/>
      <c r="D19245" s="62"/>
      <c r="E19245" s="49" t="s">
        <v>27</v>
      </c>
      <c r="F19245" s="54">
        <v>0.05</v>
      </c>
      <c r="G19245" s="51">
        <f>G19241*F19245</f>
        <v>9574.9</v>
      </c>
    </row>
    <row r="19246" spans="1:7" x14ac:dyDescent="0.25">
      <c r="A19246" s="61"/>
      <c r="B19246" s="62"/>
      <c r="C19246" s="62"/>
      <c r="D19246" s="62"/>
      <c r="E19246" s="62"/>
      <c r="F19246" s="62"/>
      <c r="G19246" s="63"/>
    </row>
    <row r="19247" spans="1:7" x14ac:dyDescent="0.25">
      <c r="A19247" s="219" t="s">
        <v>1517</v>
      </c>
      <c r="B19247" s="219"/>
      <c r="C19247" s="219"/>
      <c r="D19247" s="219"/>
      <c r="E19247" s="219"/>
      <c r="F19247" s="219"/>
      <c r="G19247" s="52">
        <f>G19241+G19243+G19244+G19245</f>
        <v>239372.5</v>
      </c>
    </row>
    <row r="19248" spans="1:7" x14ac:dyDescent="0.25">
      <c r="A19248" s="59"/>
      <c r="B19248" s="60"/>
      <c r="C19248" s="60"/>
      <c r="D19248" s="60"/>
      <c r="E19248" s="57"/>
      <c r="F19248" s="57"/>
      <c r="G19248" s="58"/>
    </row>
    <row r="19249" spans="1:9" x14ac:dyDescent="0.25">
      <c r="A19249" s="64"/>
      <c r="D19249" s="55"/>
      <c r="E19249" s="49" t="s">
        <v>102</v>
      </c>
      <c r="F19249" s="49" t="s">
        <v>103</v>
      </c>
      <c r="G19249" s="51">
        <f>G19245*19%</f>
        <v>1819.231</v>
      </c>
    </row>
    <row r="19250" spans="1:9" x14ac:dyDescent="0.25">
      <c r="A19250" s="61"/>
      <c r="B19250" s="62"/>
      <c r="C19250" s="62"/>
      <c r="D19250" s="62"/>
      <c r="E19250" s="57"/>
      <c r="F19250" s="57"/>
      <c r="G19250" s="58"/>
    </row>
    <row r="19251" spans="1:9" x14ac:dyDescent="0.25">
      <c r="A19251" s="219" t="s">
        <v>104</v>
      </c>
      <c r="B19251" s="219"/>
      <c r="C19251" s="219"/>
      <c r="D19251" s="219"/>
      <c r="E19251" s="219"/>
      <c r="F19251" s="219"/>
      <c r="G19251" s="52">
        <f>G19249+G19247</f>
        <v>241191.731</v>
      </c>
    </row>
    <row r="19253" spans="1:9" x14ac:dyDescent="0.25">
      <c r="A19253" s="74" t="s">
        <v>29</v>
      </c>
      <c r="B19253" s="226" t="s">
        <v>30</v>
      </c>
      <c r="C19253" s="226"/>
      <c r="D19253" s="74" t="s">
        <v>31</v>
      </c>
      <c r="E19253" s="74" t="s">
        <v>32</v>
      </c>
      <c r="F19253" s="74" t="s">
        <v>189</v>
      </c>
      <c r="G19253" s="74" t="s">
        <v>33</v>
      </c>
    </row>
    <row r="19254" spans="1:9" ht="37.5" customHeight="1" x14ac:dyDescent="0.25">
      <c r="A19254" s="50" t="str">
        <f>Presupuesto!B373</f>
        <v>042_AUX</v>
      </c>
      <c r="B19254" s="220" t="str">
        <f>Presupuesto!C373</f>
        <v>SUMINISTRO E INSTALACIÓN DE LUMINARIA PANEL LED 40 W 60X60. 3200 LUMENES. 100 - 277 V. CABLE 3X14 AWG, CLAVIJA POLO A TIERRA, PRENSAESTOPA, GUAYA, ABRAZADERA EN U</v>
      </c>
      <c r="C19254" s="220"/>
      <c r="D19254" s="50" t="s">
        <v>8</v>
      </c>
      <c r="E19254" s="50">
        <v>19</v>
      </c>
      <c r="F19254" s="50"/>
      <c r="G19254" s="51">
        <f>G19327</f>
        <v>291765.69399999996</v>
      </c>
    </row>
    <row r="19255" spans="1:9" x14ac:dyDescent="0.25">
      <c r="A19255" s="219" t="s">
        <v>34</v>
      </c>
      <c r="B19255" s="219"/>
      <c r="C19255" s="219"/>
      <c r="D19255" s="219"/>
      <c r="E19255" s="219"/>
      <c r="F19255" s="219"/>
      <c r="G19255" s="219"/>
    </row>
    <row r="19256" spans="1:9" x14ac:dyDescent="0.25">
      <c r="A19256" s="49" t="s">
        <v>35</v>
      </c>
      <c r="B19256" s="219" t="s">
        <v>36</v>
      </c>
      <c r="C19256" s="219"/>
      <c r="D19256" s="49" t="s">
        <v>37</v>
      </c>
      <c r="E19256" s="49" t="s">
        <v>38</v>
      </c>
      <c r="F19256" s="49" t="s">
        <v>39</v>
      </c>
      <c r="G19256" s="49" t="s">
        <v>40</v>
      </c>
    </row>
    <row r="19257" spans="1:9" x14ac:dyDescent="0.25">
      <c r="A19257" s="17" t="str">
        <f>Material!A377</f>
        <v>MA-376</v>
      </c>
      <c r="B19257" s="72" t="str">
        <f>IFERROR(VLOOKUP(A19257,Material!$A:$H,2,0),"-")</f>
        <v>PANEL LED CUADRADO 60X60 40W</v>
      </c>
      <c r="C19257" s="73"/>
      <c r="D19257" s="50" t="str">
        <f>IFERROR(VLOOKUP(A19257,Material!$A:$H,4,0),"-")</f>
        <v>UN</v>
      </c>
      <c r="E19257" s="50">
        <v>1</v>
      </c>
      <c r="F19257" s="51">
        <f>IFERROR(VLOOKUP(A19257,Material!$A:$H,3,0),"-")</f>
        <v>104000</v>
      </c>
      <c r="G19257" s="51">
        <f t="shared" ref="G19257:G19266" si="275">IFERROR(ROUNDUP(F19257*E19257,0),"-")</f>
        <v>104000</v>
      </c>
    </row>
    <row r="19258" spans="1:9" x14ac:dyDescent="0.25">
      <c r="A19258" s="17" t="str">
        <f>Material!A239</f>
        <v>MA-238</v>
      </c>
      <c r="B19258" s="72" t="str">
        <f>IFERROR(VLOOKUP(A19258,Material!$A:$H,2,0),"-")</f>
        <v>CABLE ENCAUCHETADO 3 X 14 AWG COBRE HLFS</v>
      </c>
      <c r="C19258" s="76"/>
      <c r="D19258" s="50" t="str">
        <f>IFERROR(VLOOKUP(A19258,Material!$A:$H,4,0),"-")</f>
        <v>ML</v>
      </c>
      <c r="E19258" s="50">
        <v>1</v>
      </c>
      <c r="F19258" s="51">
        <f>IFERROR(VLOOKUP(A19258,Material!$A:$H,3,0),"-")</f>
        <v>8125</v>
      </c>
      <c r="G19258" s="51">
        <f t="shared" si="275"/>
        <v>8125</v>
      </c>
    </row>
    <row r="19259" spans="1:9" x14ac:dyDescent="0.25">
      <c r="A19259" s="17" t="str">
        <f>Material!A240</f>
        <v>MA-239</v>
      </c>
      <c r="B19259" s="72" t="str">
        <f>IFERROR(VLOOKUP(A19259,Material!$A:$H,2,0),"-")</f>
        <v>PRENSA ESTOPA DE 1/2</v>
      </c>
      <c r="C19259" s="76"/>
      <c r="D19259" s="50" t="str">
        <f>IFERROR(VLOOKUP(A19259,Material!$A:$H,4,0),"-")</f>
        <v>UN</v>
      </c>
      <c r="E19259" s="50">
        <v>1</v>
      </c>
      <c r="F19259" s="51">
        <f>IFERROR(VLOOKUP(A19259,Material!$A:$H,3,0),"-")</f>
        <v>3900</v>
      </c>
      <c r="G19259" s="51">
        <f t="shared" si="275"/>
        <v>3900</v>
      </c>
    </row>
    <row r="19260" spans="1:9" x14ac:dyDescent="0.25">
      <c r="A19260" s="17" t="str">
        <f>Material!A149</f>
        <v>MA-148</v>
      </c>
      <c r="B19260" s="72" t="str">
        <f>IFERROR(VLOOKUP(A19260,Material!$A:$H,2,0),"-")</f>
        <v>CLAVIJA CON POLO A TIERRA</v>
      </c>
      <c r="C19260" s="76"/>
      <c r="D19260" s="50" t="str">
        <f>IFERROR(VLOOKUP(A19260,Material!$A:$H,4,0),"-")</f>
        <v>UN</v>
      </c>
      <c r="E19260" s="50">
        <v>1</v>
      </c>
      <c r="F19260" s="51">
        <f>IFERROR(VLOOKUP(A19260,Material!$A:$H,3,0),"-")</f>
        <v>6825</v>
      </c>
      <c r="G19260" s="51">
        <f t="shared" si="275"/>
        <v>6825</v>
      </c>
    </row>
    <row r="19261" spans="1:9" x14ac:dyDescent="0.25">
      <c r="A19261" s="17" t="str">
        <f>Material!A229</f>
        <v>MA-228</v>
      </c>
      <c r="B19261" s="72" t="str">
        <f>IFERROR(VLOOKUP(A19261,Material!$A:$H,2,0),"-")</f>
        <v>CINTA DE COLORES</v>
      </c>
      <c r="C19261" s="76"/>
      <c r="D19261" s="50" t="str">
        <f>IFERROR(VLOOKUP(A19261,Material!$A:$H,4,0),"-")</f>
        <v>ML</v>
      </c>
      <c r="E19261" s="50">
        <v>0.05</v>
      </c>
      <c r="F19261" s="51">
        <f>IFERROR(VLOOKUP(A19261,Material!$A:$H,3,0),"-")</f>
        <v>54.080000000000005</v>
      </c>
      <c r="G19261" s="51">
        <f t="shared" si="275"/>
        <v>3</v>
      </c>
    </row>
    <row r="19262" spans="1:9" x14ac:dyDescent="0.25">
      <c r="A19262" s="17" t="str">
        <f>Material!A241</f>
        <v>MA-240</v>
      </c>
      <c r="B19262" s="72" t="str">
        <f>IFERROR(VLOOKUP(A19262,Material!$A:$H,2,0),"-")</f>
        <v>GUAYA 1/8 ALMA DE YUTE</v>
      </c>
      <c r="C19262" s="76"/>
      <c r="D19262" s="50" t="str">
        <f>IFERROR(VLOOKUP(A19262,Material!$A:$H,4,0),"-")</f>
        <v>UN</v>
      </c>
      <c r="E19262" s="50">
        <v>2</v>
      </c>
      <c r="F19262" s="51">
        <f>IFERROR(VLOOKUP(A19262,Material!$A:$H,3,0),"-")</f>
        <v>1430</v>
      </c>
      <c r="G19262" s="51">
        <f t="shared" si="275"/>
        <v>2860</v>
      </c>
    </row>
    <row r="19263" spans="1:9" x14ac:dyDescent="0.25">
      <c r="A19263" s="17" t="str">
        <f>Material!A242</f>
        <v>MA-241</v>
      </c>
      <c r="B19263" s="72" t="str">
        <f>IFERROR(VLOOKUP(A19263,Material!$A:$H,2,0),"-")</f>
        <v>ABRAZADERA EN U PARA GUAYA DE 1/8</v>
      </c>
      <c r="C19263" s="76"/>
      <c r="D19263" s="50" t="str">
        <f>IFERROR(VLOOKUP(A19263,Material!$A:$H,4,0),"-")</f>
        <v>UN</v>
      </c>
      <c r="E19263" s="50">
        <v>4</v>
      </c>
      <c r="F19263" s="51">
        <f>IFERROR(VLOOKUP(A19263,Material!$A:$H,3,0),"-")</f>
        <v>3120</v>
      </c>
      <c r="G19263" s="51">
        <f t="shared" si="275"/>
        <v>12480</v>
      </c>
      <c r="I19263" s="97"/>
    </row>
    <row r="19264" spans="1:9" x14ac:dyDescent="0.25">
      <c r="A19264" s="17" t="str">
        <f>Material!A243</f>
        <v>MA-242</v>
      </c>
      <c r="B19264" s="72" t="str">
        <f>IFERROR(VLOOKUP(A19264,Material!$A:$H,2,0),"-")</f>
        <v>CÁNCAMO DE UN OJO</v>
      </c>
      <c r="C19264" s="76"/>
      <c r="D19264" s="50" t="str">
        <f>IFERROR(VLOOKUP(A19264,Material!$A:$H,4,0),"-")</f>
        <v>UN</v>
      </c>
      <c r="E19264" s="50">
        <v>2</v>
      </c>
      <c r="F19264" s="51">
        <f>IFERROR(VLOOKUP(A19264,Material!$A:$H,3,0),"-")</f>
        <v>154.70000000000002</v>
      </c>
      <c r="G19264" s="51">
        <f t="shared" si="275"/>
        <v>310</v>
      </c>
    </row>
    <row r="19265" spans="1:11" x14ac:dyDescent="0.25">
      <c r="A19265" s="17" t="str">
        <f>Material!A245</f>
        <v>MA-244</v>
      </c>
      <c r="B19265" s="72" t="str">
        <f>IFERROR(VLOOKUP(A19265,Material!$A:$H,2,0),"-")</f>
        <v>CHAZO DE PLÁSTICO</v>
      </c>
      <c r="C19265" s="76"/>
      <c r="D19265" s="50" t="str">
        <f>IFERROR(VLOOKUP(A19265,Material!$A:$H,4,0),"-")</f>
        <v>UN</v>
      </c>
      <c r="E19265" s="50">
        <v>1</v>
      </c>
      <c r="F19265" s="51">
        <f>IFERROR(VLOOKUP(A19265,Material!$A:$H,3,0),"-")</f>
        <v>585</v>
      </c>
      <c r="G19265" s="51">
        <f t="shared" si="275"/>
        <v>585</v>
      </c>
    </row>
    <row r="19266" spans="1:11" x14ac:dyDescent="0.25">
      <c r="A19266" s="17" t="str">
        <f>Material!A244</f>
        <v>MA-243</v>
      </c>
      <c r="B19266" s="72" t="str">
        <f>IFERROR(VLOOKUP(A19266,Material!$A:$H,2,0),"-")</f>
        <v>ENVÍO DE LUMINARIA</v>
      </c>
      <c r="C19266" s="76"/>
      <c r="D19266" s="50" t="str">
        <f>IFERROR(VLOOKUP(A19266,Material!$A:$H,4,0),"-")</f>
        <v>UN</v>
      </c>
      <c r="E19266" s="50">
        <v>1</v>
      </c>
      <c r="F19266" s="51">
        <f>IFERROR(VLOOKUP(A19266,Material!$A:$H,3,0),"-")</f>
        <v>19500</v>
      </c>
      <c r="G19266" s="51">
        <f t="shared" si="275"/>
        <v>19500</v>
      </c>
    </row>
    <row r="19267" spans="1:11" x14ac:dyDescent="0.25">
      <c r="A19267" s="17" t="str">
        <f>Material!A575</f>
        <v>MA-574</v>
      </c>
      <c r="B19267" s="72" t="str">
        <f>IFERROR(VLOOKUP(A19267,Material!$A:$H,2,0),"-")</f>
        <v>MARCO METÁLICO PARA LUMINARIA</v>
      </c>
      <c r="C19267" s="76"/>
      <c r="D19267" s="50" t="str">
        <f>IFERROR(VLOOKUP(A19267,Material!$A:$H,4,0),"-")</f>
        <v>UN</v>
      </c>
      <c r="E19267" s="50">
        <v>1</v>
      </c>
      <c r="F19267" s="51">
        <f>IFERROR(VLOOKUP(A19267,Material!$A:$H,3,0),"-")</f>
        <v>23138.7</v>
      </c>
      <c r="G19267" s="51">
        <f t="shared" ref="G19267" si="276">IFERROR(ROUNDUP(F19267*E19267,0),"-")</f>
        <v>23139</v>
      </c>
    </row>
    <row r="19268" spans="1:11" x14ac:dyDescent="0.25">
      <c r="A19268" s="219" t="s">
        <v>41</v>
      </c>
      <c r="B19268" s="219"/>
      <c r="C19268" s="219"/>
      <c r="D19268" s="219"/>
      <c r="E19268" s="219"/>
      <c r="F19268" s="219"/>
      <c r="G19268" s="52">
        <f>SUM(G19257:G19267)</f>
        <v>181727</v>
      </c>
    </row>
    <row r="19269" spans="1:11" x14ac:dyDescent="0.25">
      <c r="A19269" s="56"/>
      <c r="B19269" s="57"/>
      <c r="C19269" s="57"/>
      <c r="D19269" s="57"/>
      <c r="E19269" s="57"/>
      <c r="F19269" s="57"/>
      <c r="G19269" s="58"/>
    </row>
    <row r="19270" spans="1:11" x14ac:dyDescent="0.25">
      <c r="A19270" s="219" t="s">
        <v>42</v>
      </c>
      <c r="B19270" s="219"/>
      <c r="C19270" s="219"/>
      <c r="D19270" s="219"/>
      <c r="E19270" s="219"/>
      <c r="F19270" s="219"/>
      <c r="G19270" s="219"/>
    </row>
    <row r="19271" spans="1:11" x14ac:dyDescent="0.25">
      <c r="A19271" s="49" t="s">
        <v>35</v>
      </c>
      <c r="B19271" s="49" t="s">
        <v>36</v>
      </c>
      <c r="C19271" s="49" t="s">
        <v>38</v>
      </c>
      <c r="D19271" s="49" t="s">
        <v>43</v>
      </c>
      <c r="E19271" s="49" t="s">
        <v>44</v>
      </c>
      <c r="F19271" s="49" t="s">
        <v>45</v>
      </c>
      <c r="G19271" s="49" t="s">
        <v>40</v>
      </c>
      <c r="I19271" s="13"/>
      <c r="J19271" s="13"/>
      <c r="K19271" s="13"/>
    </row>
    <row r="19272" spans="1:11" x14ac:dyDescent="0.25">
      <c r="A19272" s="50" t="s">
        <v>319</v>
      </c>
      <c r="B19272" s="68" t="str">
        <f>VLOOKUP(A19272,'Componentes APUs'!$H$1:$L$25,2,0)</f>
        <v>Ingeniero Residente de Obra</v>
      </c>
      <c r="C19272" s="93">
        <v>0.25</v>
      </c>
      <c r="D19272" s="50">
        <f>VLOOKUP(A19272,'Componentes APUs'!$H$1:$L$25,3,0)</f>
        <v>4</v>
      </c>
      <c r="E19272" s="51">
        <f>VLOOKUP(A19272,'Componentes APUs'!$H$1:$L$25,4,0)</f>
        <v>271142.85714285716</v>
      </c>
      <c r="F19272" s="51">
        <f>VLOOKUP(A19272,'Componentes APUs'!$H$1:$L$25,5,0)</f>
        <v>162685.71428571429</v>
      </c>
      <c r="G19272" s="51">
        <f>ROUNDUP((E19272+F19272)*C19272/E19254,0)</f>
        <v>5709</v>
      </c>
      <c r="I19272" s="14"/>
      <c r="J19272" s="14"/>
      <c r="K19272" s="14"/>
    </row>
    <row r="19273" spans="1:11" x14ac:dyDescent="0.25">
      <c r="A19273" s="50" t="s">
        <v>320</v>
      </c>
      <c r="B19273" s="68" t="str">
        <f>VLOOKUP(A19273,'Componentes APUs'!$H$1:$L$25,2,0)</f>
        <v>Tecnico Supervisor</v>
      </c>
      <c r="C19273" s="93">
        <v>0.25</v>
      </c>
      <c r="D19273" s="50">
        <f>VLOOKUP(A19273,'Componentes APUs'!$H$1:$L$25,3,0)</f>
        <v>2.2999999999999998</v>
      </c>
      <c r="E19273" s="51">
        <f>VLOOKUP(A19273,'Componentes APUs'!$H$1:$L$25,4,0)</f>
        <v>155907.14285714284</v>
      </c>
      <c r="F19273" s="51">
        <f>VLOOKUP(A19273,'Componentes APUs'!$H$1:$L$25,5,0)</f>
        <v>93544.285714285696</v>
      </c>
      <c r="G19273" s="51">
        <f>ROUNDUP((E19273+F19273)*C19273/E19254,0)</f>
        <v>3283</v>
      </c>
      <c r="I19273" s="14"/>
      <c r="J19273" s="14"/>
      <c r="K19273" s="14"/>
    </row>
    <row r="19274" spans="1:11" x14ac:dyDescent="0.25">
      <c r="A19274" s="50" t="s">
        <v>1160</v>
      </c>
      <c r="B19274" s="68" t="str">
        <f>VLOOKUP(A19274,'Componentes APUs'!$H$1:$L$25,2,0)</f>
        <v>Oficial Eléctrico</v>
      </c>
      <c r="C19274" s="93">
        <v>1</v>
      </c>
      <c r="D19274" s="50">
        <f>VLOOKUP(A19274,'Componentes APUs'!$H$1:$L$25,3,0)</f>
        <v>2</v>
      </c>
      <c r="E19274" s="51">
        <f>VLOOKUP(A19274,'Componentes APUs'!$H$1:$L$25,4,0)</f>
        <v>154619.04761904763</v>
      </c>
      <c r="F19274" s="51">
        <f>VLOOKUP(A19274,'Componentes APUs'!$H$1:$L$25,5,0)</f>
        <v>92771.42857142858</v>
      </c>
      <c r="G19274" s="51">
        <f>ROUNDUP((E19274+F19274)*C19274/E19254,0)</f>
        <v>13021</v>
      </c>
      <c r="I19274" s="14"/>
      <c r="J19274" s="14"/>
      <c r="K19274" s="14"/>
    </row>
    <row r="19275" spans="1:11" x14ac:dyDescent="0.25">
      <c r="A19275" s="50" t="s">
        <v>48</v>
      </c>
      <c r="B19275" s="68" t="str">
        <f>VLOOKUP(A19275,'Componentes APUs'!$H$1:$L$25,2,0)</f>
        <v>Ayudante Calificado</v>
      </c>
      <c r="C19275" s="93">
        <v>1</v>
      </c>
      <c r="D19275" s="50">
        <f>VLOOKUP(A19275,'Componentes APUs'!$H$1:$L$25,3,0)</f>
        <v>1.5</v>
      </c>
      <c r="E19275" s="51">
        <f>VLOOKUP(A19275,'Componentes APUs'!$H$1:$L$25,4,0)</f>
        <v>115964.28571428571</v>
      </c>
      <c r="F19275" s="51">
        <f>VLOOKUP(A19275,'Componentes APUs'!$H$1:$L$25,5,0)</f>
        <v>69578.57142857142</v>
      </c>
      <c r="G19275" s="51">
        <f>ROUNDUP((E19275+F19275)*C19275/E19254,0)</f>
        <v>9766</v>
      </c>
      <c r="I19275" s="14"/>
      <c r="J19275" s="14"/>
      <c r="K19275" s="14"/>
    </row>
    <row r="19276" spans="1:11" x14ac:dyDescent="0.25">
      <c r="A19276" s="50" t="s">
        <v>50</v>
      </c>
      <c r="B19276" s="68" t="str">
        <f>VLOOKUP(A19276,'Componentes APUs'!$H$1:$L$25,2,0)</f>
        <v>Profesional en SST</v>
      </c>
      <c r="C19276" s="93">
        <v>0.25</v>
      </c>
      <c r="D19276" s="50">
        <f>VLOOKUP(A19276,'Componentes APUs'!$H$1:$L$25,3,0)</f>
        <v>2.5</v>
      </c>
      <c r="E19276" s="51">
        <f>VLOOKUP(A19276,'Componentes APUs'!$H$1:$L$25,4,0)</f>
        <v>169464.28571428571</v>
      </c>
      <c r="F19276" s="51">
        <f>VLOOKUP(A19276,'Componentes APUs'!$H$1:$L$25,5,0)</f>
        <v>101678.57142857142</v>
      </c>
      <c r="G19276" s="51">
        <f>ROUNDUP((E19276+F19276)*C19276/E19254,0)</f>
        <v>3568</v>
      </c>
      <c r="I19276" s="14"/>
      <c r="J19276" s="14"/>
      <c r="K19276" s="14"/>
    </row>
    <row r="19277" spans="1:11" x14ac:dyDescent="0.25">
      <c r="A19277" s="50" t="s">
        <v>52</v>
      </c>
      <c r="B19277" s="68" t="str">
        <f>VLOOKUP(A19277,'Componentes APUs'!$H$1:$L$25,2,0)</f>
        <v>Ayudante No Calificado</v>
      </c>
      <c r="C19277" s="93">
        <v>0</v>
      </c>
      <c r="D19277" s="50">
        <f>VLOOKUP(A19277,'Componentes APUs'!$H$1:$L$25,3,0)</f>
        <v>1</v>
      </c>
      <c r="E19277" s="51">
        <f>VLOOKUP(A19277,'Componentes APUs'!$H$1:$L$25,4,0)</f>
        <v>77309.523809523816</v>
      </c>
      <c r="F19277" s="51">
        <f>VLOOKUP(A19277,'Componentes APUs'!$H$1:$L$25,5,0)</f>
        <v>46385.71428571429</v>
      </c>
      <c r="G19277" s="51">
        <f>ROUNDUP((E19277+F19277)*C19277/E19254,0)</f>
        <v>0</v>
      </c>
      <c r="I19277" s="14"/>
      <c r="J19277" s="14"/>
      <c r="K19277" s="14"/>
    </row>
    <row r="19278" spans="1:11" x14ac:dyDescent="0.25">
      <c r="A19278" s="50" t="s">
        <v>1121</v>
      </c>
      <c r="B19278" s="68" t="str">
        <f>VLOOKUP(A19278,'Componentes APUs'!$H$1:$L$25,2,0)</f>
        <v>Ingeniero Especialista de Control y Protección Subestación</v>
      </c>
      <c r="C19278" s="93">
        <v>0</v>
      </c>
      <c r="D19278" s="50">
        <f>VLOOKUP(A19278,'Componentes APUs'!$H$1:$L$25,3,0)</f>
        <v>14</v>
      </c>
      <c r="E19278" s="51">
        <f>VLOOKUP(A19278,'Componentes APUs'!$H$1:$L$25,4,0)</f>
        <v>949000</v>
      </c>
      <c r="F19278" s="51">
        <f>VLOOKUP(A19278,'Componentes APUs'!$H$1:$L$25,5,0)</f>
        <v>569400</v>
      </c>
      <c r="G19278" s="51">
        <f>ROUNDUP((E19278+F19278)*C19278/E19254,0)</f>
        <v>0</v>
      </c>
      <c r="I19278" s="14"/>
      <c r="J19278" s="14"/>
      <c r="K19278" s="14"/>
    </row>
    <row r="19279" spans="1:11" x14ac:dyDescent="0.25">
      <c r="A19279" s="219" t="s">
        <v>56</v>
      </c>
      <c r="B19279" s="219"/>
      <c r="C19279" s="219"/>
      <c r="D19279" s="219"/>
      <c r="E19279" s="219"/>
      <c r="F19279" s="219"/>
      <c r="G19279" s="52">
        <f>SUM(G19272:G19278)</f>
        <v>35347</v>
      </c>
      <c r="I19279" s="14"/>
      <c r="J19279" s="14"/>
      <c r="K19279" s="14"/>
    </row>
    <row r="19280" spans="1:11" x14ac:dyDescent="0.25">
      <c r="A19280" s="56"/>
      <c r="B19280" s="57"/>
      <c r="C19280" s="57"/>
      <c r="D19280" s="57"/>
      <c r="E19280" s="57"/>
      <c r="F19280" s="57"/>
      <c r="G19280" s="58"/>
      <c r="I19280" s="14"/>
      <c r="J19280" s="14"/>
      <c r="K19280" s="14"/>
    </row>
    <row r="19281" spans="1:11" x14ac:dyDescent="0.25">
      <c r="A19281" s="219" t="s">
        <v>57</v>
      </c>
      <c r="B19281" s="219"/>
      <c r="C19281" s="219"/>
      <c r="D19281" s="219"/>
      <c r="E19281" s="219"/>
      <c r="F19281" s="219"/>
      <c r="G19281" s="219"/>
      <c r="I19281" s="14"/>
      <c r="J19281" s="14"/>
      <c r="K19281" s="14"/>
    </row>
    <row r="19282" spans="1:11" x14ac:dyDescent="0.25">
      <c r="A19282" s="49" t="s">
        <v>35</v>
      </c>
      <c r="B19282" s="219" t="s">
        <v>36</v>
      </c>
      <c r="C19282" s="219"/>
      <c r="D19282" s="49" t="s">
        <v>37</v>
      </c>
      <c r="E19282" s="49" t="s">
        <v>38</v>
      </c>
      <c r="F19282" s="49" t="s">
        <v>39</v>
      </c>
      <c r="G19282" s="49" t="s">
        <v>40</v>
      </c>
    </row>
    <row r="19283" spans="1:11" x14ac:dyDescent="0.25">
      <c r="A19283" s="50" t="s">
        <v>326</v>
      </c>
      <c r="B19283" s="220" t="str">
        <f>VLOOKUP(A19283,'Componentes APUs'!$S$1:$V$10,2,0)</f>
        <v>Juego Llaves</v>
      </c>
      <c r="C19283" s="220"/>
      <c r="D19283" s="50" t="s">
        <v>18</v>
      </c>
      <c r="E19283" s="50">
        <v>2</v>
      </c>
      <c r="F19283" s="51">
        <f>VLOOKUP(A19283,'Componentes APUs'!$S$1:$V$10,4,0)</f>
        <v>9167</v>
      </c>
      <c r="G19283" s="51">
        <f>ROUNDUP(F19283*((E19283/21)/E19254),0)</f>
        <v>46</v>
      </c>
    </row>
    <row r="19284" spans="1:11" x14ac:dyDescent="0.25">
      <c r="A19284" s="50" t="s">
        <v>58</v>
      </c>
      <c r="B19284" s="220" t="str">
        <f>VLOOKUP(A19284,'Componentes APUs'!$S$1:$V$10,2,0)</f>
        <v>Manila de servicio</v>
      </c>
      <c r="C19284" s="220"/>
      <c r="D19284" s="50" t="s">
        <v>18</v>
      </c>
      <c r="E19284" s="50">
        <v>0</v>
      </c>
      <c r="F19284" s="51">
        <f>VLOOKUP(A19284,'Componentes APUs'!$S$1:$V$10,4,0)</f>
        <v>2333</v>
      </c>
      <c r="G19284" s="51">
        <f>ROUNDUP(F19284*((E19284/21)/E19254),0)</f>
        <v>0</v>
      </c>
    </row>
    <row r="19285" spans="1:11" x14ac:dyDescent="0.25">
      <c r="A19285" s="50" t="s">
        <v>327</v>
      </c>
      <c r="B19285" s="220" t="str">
        <f>VLOOKUP(A19285,'Componentes APUs'!$S$1:$V$10,2,0)</f>
        <v>Tula portaherramientas</v>
      </c>
      <c r="C19285" s="220"/>
      <c r="D19285" s="50" t="s">
        <v>18</v>
      </c>
      <c r="E19285" s="50">
        <v>2</v>
      </c>
      <c r="F19285" s="51">
        <f>VLOOKUP(A19285,'Componentes APUs'!$S$1:$V$10,4,0)</f>
        <v>1250</v>
      </c>
      <c r="G19285" s="51">
        <f>ROUNDUP(F19285*((E19285/21)/E19254),0)</f>
        <v>7</v>
      </c>
    </row>
    <row r="19286" spans="1:11" x14ac:dyDescent="0.25">
      <c r="A19286" s="50" t="s">
        <v>60</v>
      </c>
      <c r="B19286" s="220" t="str">
        <f>VLOOKUP(A19286,'Componentes APUs'!$S$1:$V$10,2,0)</f>
        <v>Agarradoras</v>
      </c>
      <c r="C19286" s="220"/>
      <c r="D19286" s="50" t="s">
        <v>18</v>
      </c>
      <c r="E19286" s="50">
        <v>0</v>
      </c>
      <c r="F19286" s="51">
        <f>VLOOKUP(A19286,'Componentes APUs'!$S$1:$V$10,4,0)</f>
        <v>125000</v>
      </c>
      <c r="G19286" s="51">
        <f>ROUNDUP(F19286*((E19286/21)/E19254),0)</f>
        <v>0</v>
      </c>
    </row>
    <row r="19287" spans="1:11" x14ac:dyDescent="0.25">
      <c r="A19287" s="50" t="s">
        <v>62</v>
      </c>
      <c r="B19287" s="220" t="str">
        <f>VLOOKUP(A19287,'Componentes APUs'!$S$1:$V$10,2,0)</f>
        <v>Templadoras</v>
      </c>
      <c r="C19287" s="220"/>
      <c r="D19287" s="50" t="s">
        <v>18</v>
      </c>
      <c r="E19287" s="50">
        <v>0</v>
      </c>
      <c r="F19287" s="51">
        <f>VLOOKUP(A19287,'Componentes APUs'!$S$1:$V$10,4,0)</f>
        <v>250000</v>
      </c>
      <c r="G19287" s="51">
        <f>ROUNDUP(F19287*((E19287/21)/E19254),0)</f>
        <v>0</v>
      </c>
    </row>
    <row r="19288" spans="1:11" x14ac:dyDescent="0.25">
      <c r="A19288" s="50" t="s">
        <v>328</v>
      </c>
      <c r="B19288" s="220" t="str">
        <f>VLOOKUP(A19288,'Componentes APUs'!$S$1:$V$10,2,0)</f>
        <v>Herramienta Menor</v>
      </c>
      <c r="C19288" s="220"/>
      <c r="D19288" s="50" t="s">
        <v>18</v>
      </c>
      <c r="E19288" s="50">
        <v>2</v>
      </c>
      <c r="F19288" s="51">
        <f>VLOOKUP(A19288,'Componentes APUs'!$S$1:$V$10,4,0)</f>
        <v>75758</v>
      </c>
      <c r="G19288" s="51">
        <f>ROUNDUP(F19288*((E19288/21)/E19254),0)</f>
        <v>380</v>
      </c>
    </row>
    <row r="19289" spans="1:11" x14ac:dyDescent="0.25">
      <c r="A19289" s="219" t="s">
        <v>69</v>
      </c>
      <c r="B19289" s="219"/>
      <c r="C19289" s="219"/>
      <c r="D19289" s="219"/>
      <c r="E19289" s="219"/>
      <c r="F19289" s="219"/>
      <c r="G19289" s="52">
        <f>SUM(G19283:G19288)</f>
        <v>433</v>
      </c>
    </row>
    <row r="19290" spans="1:11" x14ac:dyDescent="0.25">
      <c r="A19290" s="56"/>
      <c r="B19290" s="57"/>
      <c r="C19290" s="57"/>
      <c r="D19290" s="57"/>
      <c r="E19290" s="57"/>
      <c r="F19290" s="57"/>
      <c r="G19290" s="58"/>
    </row>
    <row r="19291" spans="1:11" x14ac:dyDescent="0.25">
      <c r="A19291" s="219" t="s">
        <v>70</v>
      </c>
      <c r="B19291" s="219"/>
      <c r="C19291" s="219"/>
      <c r="D19291" s="219"/>
      <c r="E19291" s="219"/>
      <c r="F19291" s="219"/>
      <c r="G19291" s="219"/>
    </row>
    <row r="19292" spans="1:11" x14ac:dyDescent="0.25">
      <c r="A19292" s="49" t="s">
        <v>35</v>
      </c>
      <c r="B19292" s="219" t="s">
        <v>36</v>
      </c>
      <c r="C19292" s="219"/>
      <c r="D19292" s="49" t="s">
        <v>37</v>
      </c>
      <c r="E19292" s="49" t="s">
        <v>38</v>
      </c>
      <c r="F19292" s="49" t="s">
        <v>39</v>
      </c>
      <c r="G19292" s="49" t="s">
        <v>40</v>
      </c>
    </row>
    <row r="19293" spans="1:11" x14ac:dyDescent="0.25">
      <c r="A19293" s="50" t="s">
        <v>71</v>
      </c>
      <c r="B19293" s="71" t="str">
        <f>VLOOKUP(A19293,'Componentes APUs'!$A$1:$D$14,2,0)</f>
        <v>Camisa indigo sin partes metalicas</v>
      </c>
      <c r="C19293" s="71"/>
      <c r="D19293" s="50" t="str">
        <f>VLOOKUP(A19293,'Componentes APUs'!$A$1:$D$14,3,0)</f>
        <v>U</v>
      </c>
      <c r="E19293" s="50">
        <f>SUM(C19272:C19278)</f>
        <v>2.75</v>
      </c>
      <c r="F19293" s="51">
        <f>VLOOKUP(A19293,'Componentes APUs'!$A$1:$D$14,4,0)</f>
        <v>8585.8585858585866</v>
      </c>
      <c r="G19293" s="51">
        <f>ROUNDUP(F19293*(E19293/21)/E19254,0)</f>
        <v>60</v>
      </c>
    </row>
    <row r="19294" spans="1:11" x14ac:dyDescent="0.25">
      <c r="A19294" s="69" t="s">
        <v>73</v>
      </c>
      <c r="B19294" s="72" t="str">
        <f>VLOOKUP(A19294,'Componentes APUs'!$A$1:$D$14,2,0)</f>
        <v>Bota de seguridad dielectrica</v>
      </c>
      <c r="C19294" s="73"/>
      <c r="D19294" s="70" t="str">
        <f>VLOOKUP(A19294,'Componentes APUs'!$A$1:$D$14,3,0)</f>
        <v>Par</v>
      </c>
      <c r="E19294" s="50">
        <f>SUM(C19272:C19278)</f>
        <v>2.75</v>
      </c>
      <c r="F19294" s="51">
        <f>VLOOKUP(A19294,'Componentes APUs'!$A$1:$D$14,4,0)</f>
        <v>7500</v>
      </c>
      <c r="G19294" s="51">
        <f>ROUNDUP(F19294*(E19294/21)/E19254,0)</f>
        <v>52</v>
      </c>
    </row>
    <row r="19295" spans="1:11" x14ac:dyDescent="0.25">
      <c r="A19295" s="50" t="s">
        <v>76</v>
      </c>
      <c r="B19295" s="72" t="str">
        <f>VLOOKUP(A19295,'Componentes APUs'!$A$1:$D$14,2,0)</f>
        <v>Casco dielectrico Tipo 1 Clase E con barbuquejo</v>
      </c>
      <c r="C19295" s="73"/>
      <c r="D19295" s="50" t="str">
        <f>VLOOKUP(A19295,'Componentes APUs'!$A$1:$D$14,3,0)</f>
        <v>U</v>
      </c>
      <c r="E19295" s="50">
        <f>C19272+C19278+C19273+C19276+C19277+C19275+IF(A19274&lt;&gt;"MO-3",C19274,0)</f>
        <v>2.75</v>
      </c>
      <c r="F19295" s="51">
        <f>VLOOKUP(A19295,'Componentes APUs'!$A$1:$D$14,4,0)</f>
        <v>10101.010101010101</v>
      </c>
      <c r="G19295" s="51">
        <f>ROUNDUP(F19295*(E19295/21)/E19254,0)</f>
        <v>70</v>
      </c>
    </row>
    <row r="19296" spans="1:11" x14ac:dyDescent="0.25">
      <c r="A19296" s="69" t="s">
        <v>77</v>
      </c>
      <c r="B19296" s="72" t="str">
        <f>VLOOKUP(A19296,'Componentes APUs'!$A$1:$D$14,2,0)</f>
        <v>Correa plastica y antiflama</v>
      </c>
      <c r="C19296" s="73"/>
      <c r="D19296" s="50" t="str">
        <f>VLOOKUP(A19296,'Componentes APUs'!$A$1:$D$14,3,0)</f>
        <v>U</v>
      </c>
      <c r="E19296" s="50">
        <f>SUM(C19272:C19278)</f>
        <v>2.75</v>
      </c>
      <c r="F19296" s="51">
        <f>VLOOKUP(A19296,'Componentes APUs'!$A$1:$D$14,4,0)</f>
        <v>3787.878787878788</v>
      </c>
      <c r="G19296" s="51">
        <f>ROUNDUP(F19296*(E19296/21)/E19254,0)</f>
        <v>27</v>
      </c>
    </row>
    <row r="19297" spans="1:7" x14ac:dyDescent="0.25">
      <c r="A19297" s="50" t="s">
        <v>79</v>
      </c>
      <c r="B19297" s="72" t="str">
        <f>VLOOKUP(A19297,'Componentes APUs'!$A$1:$D$14,2,0)</f>
        <v>Gafas protectoras filtro UV</v>
      </c>
      <c r="C19297" s="73"/>
      <c r="D19297" s="50" t="str">
        <f>VLOOKUP(A19297,'Componentes APUs'!$A$1:$D$14,3,0)</f>
        <v>U</v>
      </c>
      <c r="E19297" s="50">
        <f>SUM(C19272:C19278)</f>
        <v>2.75</v>
      </c>
      <c r="F19297" s="51">
        <f>VLOOKUP(A19297,'Componentes APUs'!$A$1:$D$14,4,0)</f>
        <v>2777.7777777777778</v>
      </c>
      <c r="G19297" s="51">
        <f>ROUNDUP(F19297*(E19297/21)/E19254,0)</f>
        <v>20</v>
      </c>
    </row>
    <row r="19298" spans="1:7" x14ac:dyDescent="0.25">
      <c r="A19298" s="69" t="s">
        <v>402</v>
      </c>
      <c r="B19298" s="72" t="str">
        <f>VLOOKUP(A19298,'Componentes APUs'!$A$1:$D$14,2,0)</f>
        <v>Bota de seguridad PVC dielectrica</v>
      </c>
      <c r="C19298" s="73"/>
      <c r="D19298" s="50" t="str">
        <f>VLOOKUP(A19298,'Componentes APUs'!$A$1:$D$14,3,0)</f>
        <v>Par</v>
      </c>
      <c r="E19298" s="50">
        <f>SUM(C19272:C19278)</f>
        <v>2.75</v>
      </c>
      <c r="F19298" s="51">
        <f>VLOOKUP(A19298,'Componentes APUs'!$A$1:$D$14,4,0)</f>
        <v>2916.6666666666665</v>
      </c>
      <c r="G19298" s="51">
        <f>ROUNDUP(F19298*(E19298/21)/E19254,0)</f>
        <v>21</v>
      </c>
    </row>
    <row r="19299" spans="1:7" x14ac:dyDescent="0.25">
      <c r="A19299" s="50" t="s">
        <v>403</v>
      </c>
      <c r="B19299" s="72" t="str">
        <f>VLOOKUP(A19299,'Componentes APUs'!$A$1:$D$14,2,0)</f>
        <v>Capuchon</v>
      </c>
      <c r="C19299" s="73"/>
      <c r="D19299" s="50" t="str">
        <f>VLOOKUP(A19299,'Componentes APUs'!$A$1:$D$14,3,0)</f>
        <v>U</v>
      </c>
      <c r="E19299" s="50">
        <f>SUM(C19272:C19277)</f>
        <v>2.75</v>
      </c>
      <c r="F19299" s="51">
        <f>VLOOKUP(A19299,'Componentes APUs'!$A$1:$D$14,4,0)</f>
        <v>2525.2525252525252</v>
      </c>
      <c r="G19299" s="51">
        <f>ROUNDUP(F19299*(E19299/21)/E19254,0)</f>
        <v>18</v>
      </c>
    </row>
    <row r="19300" spans="1:7" x14ac:dyDescent="0.25">
      <c r="A19300" s="69" t="s">
        <v>81</v>
      </c>
      <c r="B19300" s="72" t="str">
        <f>VLOOKUP(A19300,'Componentes APUs'!$A$1:$D$14,2,0)</f>
        <v>Guantes Protectores  - ingeniero reforzados</v>
      </c>
      <c r="C19300" s="73"/>
      <c r="D19300" s="50" t="str">
        <f>VLOOKUP(A19300,'Componentes APUs'!$A$1:$D$14,3,0)</f>
        <v>Par</v>
      </c>
      <c r="E19300" s="50">
        <f>C19274+C19275+C19277+C19278</f>
        <v>2</v>
      </c>
      <c r="F19300" s="51">
        <f>VLOOKUP(A19300,'Componentes APUs'!$A$1:$D$14,4,0)</f>
        <v>2525.2525252525252</v>
      </c>
      <c r="G19300" s="51">
        <f>ROUNDUP(F19300*(E19300/21)/E19254,0)</f>
        <v>13</v>
      </c>
    </row>
    <row r="19301" spans="1:7" x14ac:dyDescent="0.25">
      <c r="A19301" s="50" t="s">
        <v>83</v>
      </c>
      <c r="B19301" s="72" t="str">
        <f>VLOOKUP(A19301,'Componentes APUs'!$A$1:$D$14,2,0)</f>
        <v>Impermeable (pantalon camisa)</v>
      </c>
      <c r="C19301" s="73"/>
      <c r="D19301" s="50" t="str">
        <f>VLOOKUP(A19301,'Componentes APUs'!$A$1:$D$14,3,0)</f>
        <v>U</v>
      </c>
      <c r="E19301" s="50">
        <f>SUM(C19272:C19278)</f>
        <v>2.75</v>
      </c>
      <c r="F19301" s="51">
        <f>VLOOKUP(A19301,'Componentes APUs'!$A$1:$D$14,4,0)</f>
        <v>3750</v>
      </c>
      <c r="G19301" s="51">
        <f>ROUNDUP(F19301*(E19301/21)/E19254,0)</f>
        <v>26</v>
      </c>
    </row>
    <row r="19302" spans="1:7" x14ac:dyDescent="0.25">
      <c r="A19302" s="69" t="s">
        <v>85</v>
      </c>
      <c r="B19302" s="72" t="str">
        <f>VLOOKUP(A19302,'Componentes APUs'!$A$1:$D$14,2,0)</f>
        <v>Jean Dielectrico</v>
      </c>
      <c r="C19302" s="73"/>
      <c r="D19302" s="50" t="str">
        <f>VLOOKUP(A19302,'Componentes APUs'!$A$1:$D$14,3,0)</f>
        <v>U</v>
      </c>
      <c r="E19302" s="50">
        <f>SUM(C19272:C19278)</f>
        <v>2.75</v>
      </c>
      <c r="F19302" s="51">
        <f>VLOOKUP(A19302,'Componentes APUs'!$A$1:$D$14,4,0)</f>
        <v>7575.757575757576</v>
      </c>
      <c r="G19302" s="51">
        <f>ROUNDUP(F19302*(E19302/21)/E19254,0)</f>
        <v>53</v>
      </c>
    </row>
    <row r="19303" spans="1:7" x14ac:dyDescent="0.25">
      <c r="A19303" s="50" t="s">
        <v>87</v>
      </c>
      <c r="B19303" s="72" t="str">
        <f>VLOOKUP(A19303,'Componentes APUs'!$A$1:$D$14,2,0)</f>
        <v>Casco dielectrico Tipo 2 Clase E con barboquejo</v>
      </c>
      <c r="C19303" s="73"/>
      <c r="D19303" s="50" t="str">
        <f>VLOOKUP(A19303,'Componentes APUs'!$A$1:$D$14,3,0)</f>
        <v>U</v>
      </c>
      <c r="E19303" s="53">
        <f>IF(A19274="MO-3",C19274,0)</f>
        <v>0</v>
      </c>
      <c r="F19303" s="51">
        <f>VLOOKUP(A19303,'Componentes APUs'!$A$1:$D$14,4,0)</f>
        <v>7500</v>
      </c>
      <c r="G19303" s="51">
        <f>ROUNDUP(F19303*(E19303/21)/E19254,0)</f>
        <v>0</v>
      </c>
    </row>
    <row r="19304" spans="1:7" x14ac:dyDescent="0.25">
      <c r="A19304" s="69" t="s">
        <v>89</v>
      </c>
      <c r="B19304" s="72" t="str">
        <f>VLOOKUP(A19304,'Componentes APUs'!$A$1:$D$14,2,0)</f>
        <v>Kit de rescate para trabajo en alturas</v>
      </c>
      <c r="C19304" s="73"/>
      <c r="D19304" s="50" t="str">
        <f>VLOOKUP(A19304,'Componentes APUs'!$A$1:$D$14,3,0)</f>
        <v>U</v>
      </c>
      <c r="E19304" s="50">
        <f>IF(AND(A19274="MO-3",C19274=2),1,0)</f>
        <v>0</v>
      </c>
      <c r="F19304" s="51">
        <f>VLOOKUP(A19304,'Componentes APUs'!$A$1:$D$14,4,0)</f>
        <v>37500</v>
      </c>
      <c r="G19304" s="51">
        <f>ROUNDUP(F19304*(E19304/21)/E19254,0)</f>
        <v>0</v>
      </c>
    </row>
    <row r="19305" spans="1:7" x14ac:dyDescent="0.25">
      <c r="A19305" s="50" t="s">
        <v>91</v>
      </c>
      <c r="B19305" s="72" t="str">
        <f>VLOOKUP(A19305,'Componentes APUs'!$A$1:$D$14,2,0)</f>
        <v>Equipo completo para trabajo en alturas con pretales (Arnes dielectrico, 1 mosqueton de seguridad, tie off dielectrico, eslinga de posicionamiento, juego de pretales)</v>
      </c>
      <c r="C19305" s="73"/>
      <c r="D19305" s="50" t="str">
        <f>VLOOKUP(A19305,'Componentes APUs'!$A$1:$D$14,3,0)</f>
        <v>U</v>
      </c>
      <c r="E19305" s="50">
        <f>IF(A19274="MO-3",C19274,0)</f>
        <v>0</v>
      </c>
      <c r="F19305" s="51">
        <f>VLOOKUP(A19305,'Componentes APUs'!$A$1:$D$14,4,0)</f>
        <v>26041.666666666668</v>
      </c>
      <c r="G19305" s="51">
        <f>ROUNDUP(F19305*(E19305/21)/E19254,0)</f>
        <v>0</v>
      </c>
    </row>
    <row r="19306" spans="1:7" x14ac:dyDescent="0.25">
      <c r="A19306" s="219" t="s">
        <v>95</v>
      </c>
      <c r="B19306" s="219"/>
      <c r="C19306" s="219"/>
      <c r="D19306" s="219"/>
      <c r="E19306" s="219"/>
      <c r="F19306" s="219"/>
      <c r="G19306" s="52">
        <f>SUM(G19293:G19305)</f>
        <v>360</v>
      </c>
    </row>
    <row r="19307" spans="1:7" x14ac:dyDescent="0.25">
      <c r="A19307" s="56"/>
      <c r="B19307" s="57"/>
      <c r="C19307" s="57"/>
      <c r="D19307" s="57"/>
      <c r="E19307" s="57"/>
      <c r="F19307" s="57"/>
      <c r="G19307" s="58"/>
    </row>
    <row r="19308" spans="1:7" x14ac:dyDescent="0.25">
      <c r="A19308" s="219" t="s">
        <v>96</v>
      </c>
      <c r="B19308" s="219"/>
      <c r="C19308" s="219"/>
      <c r="D19308" s="219"/>
      <c r="E19308" s="219"/>
      <c r="F19308" s="219"/>
      <c r="G19308" s="219"/>
    </row>
    <row r="19309" spans="1:7" x14ac:dyDescent="0.25">
      <c r="A19309" s="49" t="s">
        <v>35</v>
      </c>
      <c r="B19309" s="225" t="s">
        <v>36</v>
      </c>
      <c r="C19309" s="225"/>
      <c r="D19309" s="49" t="s">
        <v>37</v>
      </c>
      <c r="E19309" s="49" t="s">
        <v>38</v>
      </c>
      <c r="F19309" s="49" t="s">
        <v>39</v>
      </c>
      <c r="G19309" s="49" t="s">
        <v>40</v>
      </c>
    </row>
    <row r="19310" spans="1:7" x14ac:dyDescent="0.25">
      <c r="A19310" s="69" t="s">
        <v>97</v>
      </c>
      <c r="B19310" s="72" t="str">
        <f>VLOOKUP(A19310,'Componentes APUs'!$N$1:$Q$30,2,0)</f>
        <v>Camioneta</v>
      </c>
      <c r="C19310" s="73"/>
      <c r="D19310" s="70" t="str">
        <f>VLOOKUP(A19310,'Componentes APUs'!$N$1:$Q$30,3,0)</f>
        <v>U</v>
      </c>
      <c r="E19310" s="50">
        <v>1</v>
      </c>
      <c r="F19310" s="51">
        <f>VLOOKUP(A19310,'Componentes APUs'!$N$1:$Q$30,4,0)</f>
        <v>5500000</v>
      </c>
      <c r="G19310" s="51">
        <f>IFERROR(ROUNDUP(F19310*(E19310/21)/E19254,0),0)</f>
        <v>13785</v>
      </c>
    </row>
    <row r="19311" spans="1:7" x14ac:dyDescent="0.25">
      <c r="A19311" s="50" t="s">
        <v>321</v>
      </c>
      <c r="B19311" s="72" t="str">
        <f>VLOOKUP(A19311,'Componentes APUs'!$N$1:$Q$30,2,0)</f>
        <v>Grúa Hidráulica</v>
      </c>
      <c r="C19311" s="73"/>
      <c r="D19311" s="70" t="str">
        <f>VLOOKUP(A19311,'Componentes APUs'!$N$1:$Q$30,3,0)</f>
        <v>U</v>
      </c>
      <c r="E19311" s="50">
        <v>0</v>
      </c>
      <c r="F19311" s="51">
        <f>VLOOKUP(A19311,'Componentes APUs'!$N$1:$Q$30,4,0)</f>
        <v>21000000</v>
      </c>
      <c r="G19311" s="51">
        <f>IFERROR(ROUNDUP(F19311*(E19311/21)/E19254,0),0)</f>
        <v>0</v>
      </c>
    </row>
    <row r="19312" spans="1:7" x14ac:dyDescent="0.25">
      <c r="A19312" s="69" t="s">
        <v>322</v>
      </c>
      <c r="B19312" s="72" t="str">
        <f>VLOOKUP(A19312,'Componentes APUs'!$N$1:$Q$30,2,0)</f>
        <v>Camabaja</v>
      </c>
      <c r="C19312" s="73"/>
      <c r="D19312" s="70" t="str">
        <f>VLOOKUP(A19312,'Componentes APUs'!$N$1:$Q$30,3,0)</f>
        <v>TON/KM</v>
      </c>
      <c r="E19312" s="50">
        <v>0</v>
      </c>
      <c r="F19312" s="51">
        <f>VLOOKUP(A19312,'Componentes APUs'!$N$1:$Q$30,4,0)</f>
        <v>611</v>
      </c>
      <c r="G19312" s="51">
        <f>IFERROR(ROUNDUP(F19312*(E19312/21)/E19254,0),0)</f>
        <v>0</v>
      </c>
    </row>
    <row r="19313" spans="1:7" x14ac:dyDescent="0.25">
      <c r="A19313" s="50" t="s">
        <v>323</v>
      </c>
      <c r="B19313" s="72" t="str">
        <f>VLOOKUP(A19313,'Componentes APUs'!$N$1:$Q$30,2,0)</f>
        <v>Volqueta</v>
      </c>
      <c r="C19313" s="73"/>
      <c r="D19313" s="70" t="str">
        <f>VLOOKUP(A19313,'Componentes APUs'!$N$1:$Q$30,3,0)</f>
        <v>U</v>
      </c>
      <c r="E19313" s="50">
        <v>0</v>
      </c>
      <c r="F19313" s="51">
        <f>VLOOKUP(A19313,'Componentes APUs'!$N$1:$Q$30,4,0)</f>
        <v>14828184</v>
      </c>
      <c r="G19313" s="51">
        <f>IFERROR(ROUNDUP(F19313*(E19313/21)/E19254,0),0)</f>
        <v>0</v>
      </c>
    </row>
    <row r="19314" spans="1:7" x14ac:dyDescent="0.25">
      <c r="A19314" s="69" t="s">
        <v>324</v>
      </c>
      <c r="B19314" s="72" t="str">
        <f>VLOOKUP(A19314,'Componentes APUs'!$N$1:$Q$30,2,0)</f>
        <v>Retroexcavadora</v>
      </c>
      <c r="C19314" s="73"/>
      <c r="D19314" s="70" t="str">
        <f>VLOOKUP(A19314,'Componentes APUs'!$N$1:$Q$30,3,0)</f>
        <v>U</v>
      </c>
      <c r="E19314" s="50">
        <v>0</v>
      </c>
      <c r="F19314" s="51">
        <f>VLOOKUP(A19314,'Componentes APUs'!$N$1:$Q$30,4,0)</f>
        <v>46030656</v>
      </c>
      <c r="G19314" s="51">
        <f>IFERROR(ROUNDUP(F19314*(E19314/21)/E19254,0),0)</f>
        <v>0</v>
      </c>
    </row>
    <row r="19315" spans="1:7" x14ac:dyDescent="0.25">
      <c r="A19315" s="219" t="s">
        <v>99</v>
      </c>
      <c r="B19315" s="219"/>
      <c r="C19315" s="219"/>
      <c r="D19315" s="219"/>
      <c r="E19315" s="219"/>
      <c r="F19315" s="219"/>
      <c r="G19315" s="52">
        <f>SUM(G19310:G19314)</f>
        <v>13785</v>
      </c>
    </row>
    <row r="19316" spans="1:7" x14ac:dyDescent="0.25">
      <c r="A19316" s="56"/>
      <c r="B19316" s="57"/>
      <c r="C19316" s="57"/>
      <c r="D19316" s="57"/>
      <c r="E19316" s="57"/>
      <c r="F19316" s="57"/>
      <c r="G19316" s="58"/>
    </row>
    <row r="19317" spans="1:7" x14ac:dyDescent="0.25">
      <c r="A19317" s="219" t="s">
        <v>1516</v>
      </c>
      <c r="B19317" s="219"/>
      <c r="C19317" s="219"/>
      <c r="D19317" s="219"/>
      <c r="E19317" s="219"/>
      <c r="F19317" s="219"/>
      <c r="G19317" s="52">
        <f>G19315+G19306+G19289+G19279+G19268</f>
        <v>231652</v>
      </c>
    </row>
    <row r="19318" spans="1:7" x14ac:dyDescent="0.25">
      <c r="A19318" s="59"/>
      <c r="B19318" s="60"/>
      <c r="C19318" s="60"/>
      <c r="D19318" s="60"/>
      <c r="E19318" s="57"/>
      <c r="F19318" s="57"/>
      <c r="G19318" s="58"/>
    </row>
    <row r="19319" spans="1:7" x14ac:dyDescent="0.25">
      <c r="A19319" s="64"/>
      <c r="D19319" s="55"/>
      <c r="E19319" s="49" t="s">
        <v>25</v>
      </c>
      <c r="F19319" s="54">
        <v>0.15</v>
      </c>
      <c r="G19319" s="51">
        <f>G19317*F19319</f>
        <v>34747.799999999996</v>
      </c>
    </row>
    <row r="19320" spans="1:7" x14ac:dyDescent="0.25">
      <c r="A19320" s="64"/>
      <c r="D19320" s="55"/>
      <c r="E19320" s="49" t="s">
        <v>26</v>
      </c>
      <c r="F19320" s="54">
        <v>0.05</v>
      </c>
      <c r="G19320" s="51">
        <f>G19317*F19320</f>
        <v>11582.6</v>
      </c>
    </row>
    <row r="19321" spans="1:7" x14ac:dyDescent="0.25">
      <c r="A19321" s="61"/>
      <c r="B19321" s="65"/>
      <c r="C19321" s="65"/>
      <c r="D19321" s="62"/>
      <c r="E19321" s="49" t="s">
        <v>27</v>
      </c>
      <c r="F19321" s="54">
        <v>0.05</v>
      </c>
      <c r="G19321" s="51">
        <f>G19317*F19321</f>
        <v>11582.6</v>
      </c>
    </row>
    <row r="19322" spans="1:7" x14ac:dyDescent="0.25">
      <c r="A19322" s="61"/>
      <c r="B19322" s="62"/>
      <c r="C19322" s="62"/>
      <c r="D19322" s="62"/>
      <c r="E19322" s="62"/>
      <c r="F19322" s="62"/>
      <c r="G19322" s="63"/>
    </row>
    <row r="19323" spans="1:7" x14ac:dyDescent="0.25">
      <c r="A19323" s="219" t="s">
        <v>1517</v>
      </c>
      <c r="B19323" s="219"/>
      <c r="C19323" s="219"/>
      <c r="D19323" s="219"/>
      <c r="E19323" s="219"/>
      <c r="F19323" s="219"/>
      <c r="G19323" s="52">
        <f>G19317+G19319+G19320+G19321</f>
        <v>289564.99999999994</v>
      </c>
    </row>
    <row r="19324" spans="1:7" x14ac:dyDescent="0.25">
      <c r="A19324" s="59"/>
      <c r="B19324" s="60"/>
      <c r="C19324" s="60"/>
      <c r="D19324" s="60"/>
      <c r="E19324" s="57"/>
      <c r="F19324" s="57"/>
      <c r="G19324" s="58"/>
    </row>
    <row r="19325" spans="1:7" x14ac:dyDescent="0.25">
      <c r="A19325" s="64"/>
      <c r="D19325" s="55"/>
      <c r="E19325" s="49" t="s">
        <v>102</v>
      </c>
      <c r="F19325" s="49" t="s">
        <v>103</v>
      </c>
      <c r="G19325" s="51">
        <f>G19321*19%</f>
        <v>2200.694</v>
      </c>
    </row>
    <row r="19326" spans="1:7" x14ac:dyDescent="0.25">
      <c r="A19326" s="61"/>
      <c r="B19326" s="62"/>
      <c r="C19326" s="62"/>
      <c r="D19326" s="62"/>
      <c r="E19326" s="57"/>
      <c r="F19326" s="57"/>
      <c r="G19326" s="58"/>
    </row>
    <row r="19327" spans="1:7" x14ac:dyDescent="0.25">
      <c r="A19327" s="219" t="s">
        <v>104</v>
      </c>
      <c r="B19327" s="219"/>
      <c r="C19327" s="219"/>
      <c r="D19327" s="219"/>
      <c r="E19327" s="219"/>
      <c r="F19327" s="219"/>
      <c r="G19327" s="52">
        <f>G19325+G19323</f>
        <v>291765.69399999996</v>
      </c>
    </row>
    <row r="19329" spans="1:9" x14ac:dyDescent="0.25">
      <c r="A19329" s="74" t="s">
        <v>29</v>
      </c>
      <c r="B19329" s="226" t="s">
        <v>30</v>
      </c>
      <c r="C19329" s="226"/>
      <c r="D19329" s="74" t="s">
        <v>31</v>
      </c>
      <c r="E19329" s="74" t="s">
        <v>32</v>
      </c>
      <c r="F19329" s="74" t="s">
        <v>189</v>
      </c>
      <c r="G19329" s="74" t="s">
        <v>33</v>
      </c>
    </row>
    <row r="19330" spans="1:9" ht="44.25" customHeight="1" x14ac:dyDescent="0.25">
      <c r="A19330" s="50" t="str">
        <f>Presupuesto!B374</f>
        <v>043_AUX</v>
      </c>
      <c r="B19330" s="220" t="str">
        <f>Presupuesto!C374</f>
        <v>SUMINISTRO E INSTALACIÓN DE LUMINARIA LED HERMÉTICA 50 W. 5300 LUMENES. 100 - 277 V. POLICARBONATO RESISTENTE AL IMPACTO. CABLE 3X14 AWG, CLAVIJA POLO A TIERRA, PRENSAESTOPA, GUAYA, ABRAZADERA EN U</v>
      </c>
      <c r="C19330" s="220"/>
      <c r="D19330" s="50" t="s">
        <v>8</v>
      </c>
      <c r="E19330" s="50">
        <v>19</v>
      </c>
      <c r="F19330" s="50"/>
      <c r="G19330" s="51">
        <f>G19402</f>
        <v>342197.33350000007</v>
      </c>
    </row>
    <row r="19331" spans="1:9" x14ac:dyDescent="0.25">
      <c r="A19331" s="219" t="s">
        <v>34</v>
      </c>
      <c r="B19331" s="219"/>
      <c r="C19331" s="219"/>
      <c r="D19331" s="219"/>
      <c r="E19331" s="219"/>
      <c r="F19331" s="219"/>
      <c r="G19331" s="219"/>
    </row>
    <row r="19332" spans="1:9" x14ac:dyDescent="0.25">
      <c r="A19332" s="49" t="s">
        <v>35</v>
      </c>
      <c r="B19332" s="219" t="s">
        <v>36</v>
      </c>
      <c r="C19332" s="219"/>
      <c r="D19332" s="49" t="s">
        <v>37</v>
      </c>
      <c r="E19332" s="49" t="s">
        <v>38</v>
      </c>
      <c r="F19332" s="49" t="s">
        <v>39</v>
      </c>
      <c r="G19332" s="49" t="s">
        <v>40</v>
      </c>
    </row>
    <row r="19333" spans="1:9" ht="22.5" customHeight="1" x14ac:dyDescent="0.25">
      <c r="A19333" s="17" t="str">
        <f>Material!A148</f>
        <v>MA-147</v>
      </c>
      <c r="B19333" s="221" t="str">
        <f>IFERROR(VLOOKUP(A19333,Material!$A:$H,2,0),"-")</f>
        <v>LUMINARIA LED HERMÉTICA 50 W. 5300 LUMENES. 100 - 277 V. POLICARBONATO RESISTENTE AL IMPACTO</v>
      </c>
      <c r="C19333" s="222"/>
      <c r="D19333" s="50" t="str">
        <f>IFERROR(VLOOKUP(A19333,Material!$A:$H,4,0),"-")</f>
        <v>UN</v>
      </c>
      <c r="E19333" s="50">
        <v>1</v>
      </c>
      <c r="F19333" s="51">
        <f>IFERROR(VLOOKUP(A19333,Material!$A:$H,3,0),"-")</f>
        <v>167180</v>
      </c>
      <c r="G19333" s="51">
        <f t="shared" ref="G19333:G19342" si="277">IFERROR(ROUNDUP(F19333*E19333,0),"-")</f>
        <v>167180</v>
      </c>
    </row>
    <row r="19334" spans="1:9" x14ac:dyDescent="0.25">
      <c r="A19334" s="17" t="str">
        <f>Material!A239</f>
        <v>MA-238</v>
      </c>
      <c r="B19334" s="72" t="str">
        <f>IFERROR(VLOOKUP(A19334,Material!$A:$H,2,0),"-")</f>
        <v>CABLE ENCAUCHETADO 3 X 14 AWG COBRE HLFS</v>
      </c>
      <c r="C19334" s="76"/>
      <c r="D19334" s="50" t="str">
        <f>IFERROR(VLOOKUP(A19334,Material!$A:$H,4,0),"-")</f>
        <v>ML</v>
      </c>
      <c r="E19334" s="50">
        <v>1</v>
      </c>
      <c r="F19334" s="51">
        <f>IFERROR(VLOOKUP(A19334,Material!$A:$H,3,0),"-")</f>
        <v>8125</v>
      </c>
      <c r="G19334" s="51">
        <f t="shared" si="277"/>
        <v>8125</v>
      </c>
    </row>
    <row r="19335" spans="1:9" x14ac:dyDescent="0.25">
      <c r="A19335" s="17" t="str">
        <f>Material!A240</f>
        <v>MA-239</v>
      </c>
      <c r="B19335" s="72" t="str">
        <f>IFERROR(VLOOKUP(A19335,Material!$A:$H,2,0),"-")</f>
        <v>PRENSA ESTOPA DE 1/2</v>
      </c>
      <c r="C19335" s="76"/>
      <c r="D19335" s="50" t="str">
        <f>IFERROR(VLOOKUP(A19335,Material!$A:$H,4,0),"-")</f>
        <v>UN</v>
      </c>
      <c r="E19335" s="50">
        <v>1</v>
      </c>
      <c r="F19335" s="51">
        <f>IFERROR(VLOOKUP(A19335,Material!$A:$H,3,0),"-")</f>
        <v>3900</v>
      </c>
      <c r="G19335" s="51">
        <f t="shared" si="277"/>
        <v>3900</v>
      </c>
    </row>
    <row r="19336" spans="1:9" x14ac:dyDescent="0.25">
      <c r="A19336" s="17" t="str">
        <f>Material!A149</f>
        <v>MA-148</v>
      </c>
      <c r="B19336" s="72" t="str">
        <f>IFERROR(VLOOKUP(A19336,Material!$A:$H,2,0),"-")</f>
        <v>CLAVIJA CON POLO A TIERRA</v>
      </c>
      <c r="C19336" s="76"/>
      <c r="D19336" s="50" t="str">
        <f>IFERROR(VLOOKUP(A19336,Material!$A:$H,4,0),"-")</f>
        <v>UN</v>
      </c>
      <c r="E19336" s="50">
        <v>1</v>
      </c>
      <c r="F19336" s="51">
        <f>IFERROR(VLOOKUP(A19336,Material!$A:$H,3,0),"-")</f>
        <v>6825</v>
      </c>
      <c r="G19336" s="51">
        <f t="shared" si="277"/>
        <v>6825</v>
      </c>
    </row>
    <row r="19337" spans="1:9" x14ac:dyDescent="0.25">
      <c r="A19337" s="17" t="str">
        <f>Material!A229</f>
        <v>MA-228</v>
      </c>
      <c r="B19337" s="72" t="str">
        <f>IFERROR(VLOOKUP(A19337,Material!$A:$H,2,0),"-")</f>
        <v>CINTA DE COLORES</v>
      </c>
      <c r="C19337" s="76"/>
      <c r="D19337" s="50" t="str">
        <f>IFERROR(VLOOKUP(A19337,Material!$A:$H,4,0),"-")</f>
        <v>ML</v>
      </c>
      <c r="E19337" s="50">
        <v>0.05</v>
      </c>
      <c r="F19337" s="51">
        <f>IFERROR(VLOOKUP(A19337,Material!$A:$H,3,0),"-")</f>
        <v>54.080000000000005</v>
      </c>
      <c r="G19337" s="51">
        <f t="shared" si="277"/>
        <v>3</v>
      </c>
    </row>
    <row r="19338" spans="1:9" x14ac:dyDescent="0.25">
      <c r="A19338" s="17" t="str">
        <f>Material!A241</f>
        <v>MA-240</v>
      </c>
      <c r="B19338" s="72" t="str">
        <f>IFERROR(VLOOKUP(A19338,Material!$A:$H,2,0),"-")</f>
        <v>GUAYA 1/8 ALMA DE YUTE</v>
      </c>
      <c r="C19338" s="76"/>
      <c r="D19338" s="50" t="str">
        <f>IFERROR(VLOOKUP(A19338,Material!$A:$H,4,0),"-")</f>
        <v>UN</v>
      </c>
      <c r="E19338" s="50">
        <v>2</v>
      </c>
      <c r="F19338" s="51">
        <f>IFERROR(VLOOKUP(A19338,Material!$A:$H,3,0),"-")</f>
        <v>1430</v>
      </c>
      <c r="G19338" s="51">
        <f t="shared" si="277"/>
        <v>2860</v>
      </c>
    </row>
    <row r="19339" spans="1:9" x14ac:dyDescent="0.25">
      <c r="A19339" s="17" t="str">
        <f>Material!A242</f>
        <v>MA-241</v>
      </c>
      <c r="B19339" s="72" t="str">
        <f>IFERROR(VLOOKUP(A19339,Material!$A:$H,2,0),"-")</f>
        <v>ABRAZADERA EN U PARA GUAYA DE 1/8</v>
      </c>
      <c r="C19339" s="76"/>
      <c r="D19339" s="50" t="str">
        <f>IFERROR(VLOOKUP(A19339,Material!$A:$H,4,0),"-")</f>
        <v>UN</v>
      </c>
      <c r="E19339" s="50">
        <v>4</v>
      </c>
      <c r="F19339" s="51">
        <f>IFERROR(VLOOKUP(A19339,Material!$A:$H,3,0),"-")</f>
        <v>3120</v>
      </c>
      <c r="G19339" s="51">
        <f t="shared" si="277"/>
        <v>12480</v>
      </c>
      <c r="I19339" s="97"/>
    </row>
    <row r="19340" spans="1:9" x14ac:dyDescent="0.25">
      <c r="A19340" s="17" t="str">
        <f>Material!A243</f>
        <v>MA-242</v>
      </c>
      <c r="B19340" s="72" t="str">
        <f>IFERROR(VLOOKUP(A19340,Material!$A:$H,2,0),"-")</f>
        <v>CÁNCAMO DE UN OJO</v>
      </c>
      <c r="C19340" s="76"/>
      <c r="D19340" s="50" t="str">
        <f>IFERROR(VLOOKUP(A19340,Material!$A:$H,4,0),"-")</f>
        <v>UN</v>
      </c>
      <c r="E19340" s="50">
        <v>2</v>
      </c>
      <c r="F19340" s="51">
        <f>IFERROR(VLOOKUP(A19340,Material!$A:$H,3,0),"-")</f>
        <v>154.70000000000002</v>
      </c>
      <c r="G19340" s="51">
        <f t="shared" si="277"/>
        <v>310</v>
      </c>
    </row>
    <row r="19341" spans="1:9" x14ac:dyDescent="0.25">
      <c r="A19341" s="17" t="str">
        <f>Material!A245</f>
        <v>MA-244</v>
      </c>
      <c r="B19341" s="72" t="str">
        <f>IFERROR(VLOOKUP(A19341,Material!$A:$H,2,0),"-")</f>
        <v>CHAZO DE PLÁSTICO</v>
      </c>
      <c r="C19341" s="76"/>
      <c r="D19341" s="50" t="str">
        <f>IFERROR(VLOOKUP(A19341,Material!$A:$H,4,0),"-")</f>
        <v>UN</v>
      </c>
      <c r="E19341" s="50">
        <v>1</v>
      </c>
      <c r="F19341" s="51">
        <f>IFERROR(VLOOKUP(A19341,Material!$A:$H,3,0),"-")</f>
        <v>585</v>
      </c>
      <c r="G19341" s="51">
        <f t="shared" si="277"/>
        <v>585</v>
      </c>
    </row>
    <row r="19342" spans="1:9" x14ac:dyDescent="0.25">
      <c r="A19342" s="17" t="str">
        <f>Material!A244</f>
        <v>MA-243</v>
      </c>
      <c r="B19342" s="72" t="str">
        <f>IFERROR(VLOOKUP(A19342,Material!$A:$H,2,0),"-")</f>
        <v>ENVÍO DE LUMINARIA</v>
      </c>
      <c r="C19342" s="76"/>
      <c r="D19342" s="50" t="str">
        <f>IFERROR(VLOOKUP(A19342,Material!$A:$H,4,0),"-")</f>
        <v>UN</v>
      </c>
      <c r="E19342" s="50">
        <v>1</v>
      </c>
      <c r="F19342" s="51">
        <f>IFERROR(VLOOKUP(A19342,Material!$A:$H,3,0),"-")</f>
        <v>19500</v>
      </c>
      <c r="G19342" s="51">
        <f t="shared" si="277"/>
        <v>19500</v>
      </c>
    </row>
    <row r="19343" spans="1:9" x14ac:dyDescent="0.25">
      <c r="A19343" s="219" t="s">
        <v>41</v>
      </c>
      <c r="B19343" s="219"/>
      <c r="C19343" s="219"/>
      <c r="D19343" s="219"/>
      <c r="E19343" s="219"/>
      <c r="F19343" s="219"/>
      <c r="G19343" s="52">
        <f>SUM(G19333:G19342)</f>
        <v>221768</v>
      </c>
    </row>
    <row r="19344" spans="1:9" x14ac:dyDescent="0.25">
      <c r="A19344" s="56"/>
      <c r="B19344" s="57"/>
      <c r="C19344" s="57"/>
      <c r="D19344" s="57"/>
      <c r="E19344" s="57"/>
      <c r="F19344" s="57"/>
      <c r="G19344" s="58"/>
    </row>
    <row r="19345" spans="1:11" x14ac:dyDescent="0.25">
      <c r="A19345" s="219" t="s">
        <v>42</v>
      </c>
      <c r="B19345" s="219"/>
      <c r="C19345" s="219"/>
      <c r="D19345" s="219"/>
      <c r="E19345" s="219"/>
      <c r="F19345" s="219"/>
      <c r="G19345" s="219"/>
    </row>
    <row r="19346" spans="1:11" x14ac:dyDescent="0.25">
      <c r="A19346" s="49" t="s">
        <v>35</v>
      </c>
      <c r="B19346" s="49" t="s">
        <v>36</v>
      </c>
      <c r="C19346" s="49" t="s">
        <v>38</v>
      </c>
      <c r="D19346" s="49" t="s">
        <v>43</v>
      </c>
      <c r="E19346" s="49" t="s">
        <v>44</v>
      </c>
      <c r="F19346" s="49" t="s">
        <v>45</v>
      </c>
      <c r="G19346" s="49" t="s">
        <v>40</v>
      </c>
      <c r="I19346" s="13"/>
      <c r="J19346" s="13"/>
      <c r="K19346" s="13"/>
    </row>
    <row r="19347" spans="1:11" x14ac:dyDescent="0.25">
      <c r="A19347" s="50" t="s">
        <v>319</v>
      </c>
      <c r="B19347" s="68" t="str">
        <f>VLOOKUP(A19347,'Componentes APUs'!$H$1:$L$25,2,0)</f>
        <v>Ingeniero Residente de Obra</v>
      </c>
      <c r="C19347" s="93">
        <v>0.25</v>
      </c>
      <c r="D19347" s="50">
        <f>VLOOKUP(A19347,'Componentes APUs'!$H$1:$L$25,3,0)</f>
        <v>4</v>
      </c>
      <c r="E19347" s="51">
        <f>VLOOKUP(A19347,'Componentes APUs'!$H$1:$L$25,4,0)</f>
        <v>271142.85714285716</v>
      </c>
      <c r="F19347" s="51">
        <f>VLOOKUP(A19347,'Componentes APUs'!$H$1:$L$25,5,0)</f>
        <v>162685.71428571429</v>
      </c>
      <c r="G19347" s="51">
        <f>ROUNDUP((E19347+F19347)*C19347/E19330,0)</f>
        <v>5709</v>
      </c>
      <c r="I19347" s="14"/>
      <c r="J19347" s="14"/>
      <c r="K19347" s="14"/>
    </row>
    <row r="19348" spans="1:11" x14ac:dyDescent="0.25">
      <c r="A19348" s="50" t="s">
        <v>320</v>
      </c>
      <c r="B19348" s="68" t="str">
        <f>VLOOKUP(A19348,'Componentes APUs'!$H$1:$L$25,2,0)</f>
        <v>Tecnico Supervisor</v>
      </c>
      <c r="C19348" s="93">
        <v>0.25</v>
      </c>
      <c r="D19348" s="50">
        <f>VLOOKUP(A19348,'Componentes APUs'!$H$1:$L$25,3,0)</f>
        <v>2.2999999999999998</v>
      </c>
      <c r="E19348" s="51">
        <f>VLOOKUP(A19348,'Componentes APUs'!$H$1:$L$25,4,0)</f>
        <v>155907.14285714284</v>
      </c>
      <c r="F19348" s="51">
        <f>VLOOKUP(A19348,'Componentes APUs'!$H$1:$L$25,5,0)</f>
        <v>93544.285714285696</v>
      </c>
      <c r="G19348" s="51">
        <f>ROUNDUP((E19348+F19348)*C19348/E19330,0)</f>
        <v>3283</v>
      </c>
      <c r="I19348" s="14"/>
      <c r="J19348" s="14"/>
      <c r="K19348" s="14"/>
    </row>
    <row r="19349" spans="1:11" x14ac:dyDescent="0.25">
      <c r="A19349" s="50" t="s">
        <v>1160</v>
      </c>
      <c r="B19349" s="68" t="str">
        <f>VLOOKUP(A19349,'Componentes APUs'!$H$1:$L$25,2,0)</f>
        <v>Oficial Eléctrico</v>
      </c>
      <c r="C19349" s="93">
        <v>1</v>
      </c>
      <c r="D19349" s="50">
        <f>VLOOKUP(A19349,'Componentes APUs'!$H$1:$L$25,3,0)</f>
        <v>2</v>
      </c>
      <c r="E19349" s="51">
        <f>VLOOKUP(A19349,'Componentes APUs'!$H$1:$L$25,4,0)</f>
        <v>154619.04761904763</v>
      </c>
      <c r="F19349" s="51">
        <f>VLOOKUP(A19349,'Componentes APUs'!$H$1:$L$25,5,0)</f>
        <v>92771.42857142858</v>
      </c>
      <c r="G19349" s="51">
        <f>ROUNDUP((E19349+F19349)*C19349/E19330,0)</f>
        <v>13021</v>
      </c>
      <c r="I19349" s="14"/>
      <c r="J19349" s="14"/>
      <c r="K19349" s="14"/>
    </row>
    <row r="19350" spans="1:11" x14ac:dyDescent="0.25">
      <c r="A19350" s="50" t="s">
        <v>48</v>
      </c>
      <c r="B19350" s="68" t="str">
        <f>VLOOKUP(A19350,'Componentes APUs'!$H$1:$L$25,2,0)</f>
        <v>Ayudante Calificado</v>
      </c>
      <c r="C19350" s="93">
        <v>1</v>
      </c>
      <c r="D19350" s="50">
        <f>VLOOKUP(A19350,'Componentes APUs'!$H$1:$L$25,3,0)</f>
        <v>1.5</v>
      </c>
      <c r="E19350" s="51">
        <f>VLOOKUP(A19350,'Componentes APUs'!$H$1:$L$25,4,0)</f>
        <v>115964.28571428571</v>
      </c>
      <c r="F19350" s="51">
        <f>VLOOKUP(A19350,'Componentes APUs'!$H$1:$L$25,5,0)</f>
        <v>69578.57142857142</v>
      </c>
      <c r="G19350" s="51">
        <f>ROUNDUP((E19350+F19350)*C19350/E19330,0)</f>
        <v>9766</v>
      </c>
      <c r="I19350" s="14"/>
      <c r="J19350" s="14"/>
      <c r="K19350" s="14"/>
    </row>
    <row r="19351" spans="1:11" x14ac:dyDescent="0.25">
      <c r="A19351" s="50" t="s">
        <v>50</v>
      </c>
      <c r="B19351" s="68" t="str">
        <f>VLOOKUP(A19351,'Componentes APUs'!$H$1:$L$25,2,0)</f>
        <v>Profesional en SST</v>
      </c>
      <c r="C19351" s="93">
        <v>0.25</v>
      </c>
      <c r="D19351" s="50">
        <f>VLOOKUP(A19351,'Componentes APUs'!$H$1:$L$25,3,0)</f>
        <v>2.5</v>
      </c>
      <c r="E19351" s="51">
        <f>VLOOKUP(A19351,'Componentes APUs'!$H$1:$L$25,4,0)</f>
        <v>169464.28571428571</v>
      </c>
      <c r="F19351" s="51">
        <f>VLOOKUP(A19351,'Componentes APUs'!$H$1:$L$25,5,0)</f>
        <v>101678.57142857142</v>
      </c>
      <c r="G19351" s="51">
        <f>ROUNDUP((E19351+F19351)*C19351/E19330,0)</f>
        <v>3568</v>
      </c>
      <c r="I19351" s="14"/>
      <c r="J19351" s="14"/>
      <c r="K19351" s="14"/>
    </row>
    <row r="19352" spans="1:11" x14ac:dyDescent="0.25">
      <c r="A19352" s="50" t="s">
        <v>52</v>
      </c>
      <c r="B19352" s="68" t="str">
        <f>VLOOKUP(A19352,'Componentes APUs'!$H$1:$L$25,2,0)</f>
        <v>Ayudante No Calificado</v>
      </c>
      <c r="C19352" s="93">
        <v>0</v>
      </c>
      <c r="D19352" s="50">
        <f>VLOOKUP(A19352,'Componentes APUs'!$H$1:$L$25,3,0)</f>
        <v>1</v>
      </c>
      <c r="E19352" s="51">
        <f>VLOOKUP(A19352,'Componentes APUs'!$H$1:$L$25,4,0)</f>
        <v>77309.523809523816</v>
      </c>
      <c r="F19352" s="51">
        <f>VLOOKUP(A19352,'Componentes APUs'!$H$1:$L$25,5,0)</f>
        <v>46385.71428571429</v>
      </c>
      <c r="G19352" s="51">
        <f>ROUNDUP((E19352+F19352)*C19352/E19330,0)</f>
        <v>0</v>
      </c>
      <c r="I19352" s="14"/>
      <c r="J19352" s="14"/>
      <c r="K19352" s="14"/>
    </row>
    <row r="19353" spans="1:11" x14ac:dyDescent="0.25">
      <c r="A19353" s="50" t="s">
        <v>1121</v>
      </c>
      <c r="B19353" s="68" t="str">
        <f>VLOOKUP(A19353,'Componentes APUs'!$H$1:$L$25,2,0)</f>
        <v>Ingeniero Especialista de Control y Protección Subestación</v>
      </c>
      <c r="C19353" s="93">
        <v>0</v>
      </c>
      <c r="D19353" s="50">
        <f>VLOOKUP(A19353,'Componentes APUs'!$H$1:$L$25,3,0)</f>
        <v>14</v>
      </c>
      <c r="E19353" s="51">
        <f>VLOOKUP(A19353,'Componentes APUs'!$H$1:$L$25,4,0)</f>
        <v>949000</v>
      </c>
      <c r="F19353" s="51">
        <f>VLOOKUP(A19353,'Componentes APUs'!$H$1:$L$25,5,0)</f>
        <v>569400</v>
      </c>
      <c r="G19353" s="51">
        <f>ROUNDUP((E19353+F19353)*C19353/E19330,0)</f>
        <v>0</v>
      </c>
      <c r="I19353" s="14"/>
      <c r="J19353" s="14"/>
      <c r="K19353" s="14"/>
    </row>
    <row r="19354" spans="1:11" x14ac:dyDescent="0.25">
      <c r="A19354" s="219" t="s">
        <v>56</v>
      </c>
      <c r="B19354" s="219"/>
      <c r="C19354" s="219"/>
      <c r="D19354" s="219"/>
      <c r="E19354" s="219"/>
      <c r="F19354" s="219"/>
      <c r="G19354" s="52">
        <f>SUM(G19347:G19353)</f>
        <v>35347</v>
      </c>
      <c r="I19354" s="14"/>
      <c r="J19354" s="14"/>
      <c r="K19354" s="14"/>
    </row>
    <row r="19355" spans="1:11" x14ac:dyDescent="0.25">
      <c r="A19355" s="56"/>
      <c r="B19355" s="57"/>
      <c r="C19355" s="57"/>
      <c r="D19355" s="57"/>
      <c r="E19355" s="57"/>
      <c r="F19355" s="57"/>
      <c r="G19355" s="58"/>
      <c r="I19355" s="14"/>
      <c r="J19355" s="14"/>
      <c r="K19355" s="14"/>
    </row>
    <row r="19356" spans="1:11" x14ac:dyDescent="0.25">
      <c r="A19356" s="219" t="s">
        <v>57</v>
      </c>
      <c r="B19356" s="219"/>
      <c r="C19356" s="219"/>
      <c r="D19356" s="219"/>
      <c r="E19356" s="219"/>
      <c r="F19356" s="219"/>
      <c r="G19356" s="219"/>
      <c r="I19356" s="14"/>
      <c r="J19356" s="14"/>
      <c r="K19356" s="14"/>
    </row>
    <row r="19357" spans="1:11" x14ac:dyDescent="0.25">
      <c r="A19357" s="49" t="s">
        <v>35</v>
      </c>
      <c r="B19357" s="219" t="s">
        <v>36</v>
      </c>
      <c r="C19357" s="219"/>
      <c r="D19357" s="49" t="s">
        <v>37</v>
      </c>
      <c r="E19357" s="49" t="s">
        <v>38</v>
      </c>
      <c r="F19357" s="49" t="s">
        <v>39</v>
      </c>
      <c r="G19357" s="49" t="s">
        <v>40</v>
      </c>
    </row>
    <row r="19358" spans="1:11" x14ac:dyDescent="0.25">
      <c r="A19358" s="50" t="s">
        <v>326</v>
      </c>
      <c r="B19358" s="220" t="str">
        <f>VLOOKUP(A19358,'Componentes APUs'!$S$1:$V$10,2,0)</f>
        <v>Juego Llaves</v>
      </c>
      <c r="C19358" s="220"/>
      <c r="D19358" s="50" t="s">
        <v>18</v>
      </c>
      <c r="E19358" s="50">
        <v>2</v>
      </c>
      <c r="F19358" s="51">
        <f>VLOOKUP(A19358,'Componentes APUs'!$S$1:$V$10,4,0)</f>
        <v>9167</v>
      </c>
      <c r="G19358" s="51">
        <f>ROUNDUP(F19358*((E19358/21)/E19330),0)</f>
        <v>46</v>
      </c>
    </row>
    <row r="19359" spans="1:11" x14ac:dyDescent="0.25">
      <c r="A19359" s="50" t="s">
        <v>58</v>
      </c>
      <c r="B19359" s="220" t="str">
        <f>VLOOKUP(A19359,'Componentes APUs'!$S$1:$V$10,2,0)</f>
        <v>Manila de servicio</v>
      </c>
      <c r="C19359" s="220"/>
      <c r="D19359" s="50" t="s">
        <v>18</v>
      </c>
      <c r="E19359" s="50">
        <v>0</v>
      </c>
      <c r="F19359" s="51">
        <f>VLOOKUP(A19359,'Componentes APUs'!$S$1:$V$10,4,0)</f>
        <v>2333</v>
      </c>
      <c r="G19359" s="51">
        <f>ROUNDUP(F19359*((E19359/21)/E19330),0)</f>
        <v>0</v>
      </c>
    </row>
    <row r="19360" spans="1:11" x14ac:dyDescent="0.25">
      <c r="A19360" s="50" t="s">
        <v>327</v>
      </c>
      <c r="B19360" s="220" t="str">
        <f>VLOOKUP(A19360,'Componentes APUs'!$S$1:$V$10,2,0)</f>
        <v>Tula portaherramientas</v>
      </c>
      <c r="C19360" s="220"/>
      <c r="D19360" s="50" t="s">
        <v>18</v>
      </c>
      <c r="E19360" s="50">
        <v>2</v>
      </c>
      <c r="F19360" s="51">
        <f>VLOOKUP(A19360,'Componentes APUs'!$S$1:$V$10,4,0)</f>
        <v>1250</v>
      </c>
      <c r="G19360" s="51">
        <f>ROUNDUP(F19360*((E19360/21)/E19330),0)</f>
        <v>7</v>
      </c>
    </row>
    <row r="19361" spans="1:7" x14ac:dyDescent="0.25">
      <c r="A19361" s="50" t="s">
        <v>60</v>
      </c>
      <c r="B19361" s="220" t="str">
        <f>VLOOKUP(A19361,'Componentes APUs'!$S$1:$V$10,2,0)</f>
        <v>Agarradoras</v>
      </c>
      <c r="C19361" s="220"/>
      <c r="D19361" s="50" t="s">
        <v>18</v>
      </c>
      <c r="E19361" s="50">
        <v>0</v>
      </c>
      <c r="F19361" s="51">
        <f>VLOOKUP(A19361,'Componentes APUs'!$S$1:$V$10,4,0)</f>
        <v>125000</v>
      </c>
      <c r="G19361" s="51">
        <f>ROUNDUP(F19361*((E19361/21)/E19330),0)</f>
        <v>0</v>
      </c>
    </row>
    <row r="19362" spans="1:7" x14ac:dyDescent="0.25">
      <c r="A19362" s="50" t="s">
        <v>62</v>
      </c>
      <c r="B19362" s="220" t="str">
        <f>VLOOKUP(A19362,'Componentes APUs'!$S$1:$V$10,2,0)</f>
        <v>Templadoras</v>
      </c>
      <c r="C19362" s="220"/>
      <c r="D19362" s="50" t="s">
        <v>18</v>
      </c>
      <c r="E19362" s="50">
        <v>0</v>
      </c>
      <c r="F19362" s="51">
        <f>VLOOKUP(A19362,'Componentes APUs'!$S$1:$V$10,4,0)</f>
        <v>250000</v>
      </c>
      <c r="G19362" s="51">
        <f>ROUNDUP(F19362*((E19362/21)/E19330),0)</f>
        <v>0</v>
      </c>
    </row>
    <row r="19363" spans="1:7" x14ac:dyDescent="0.25">
      <c r="A19363" s="50" t="s">
        <v>328</v>
      </c>
      <c r="B19363" s="220" t="str">
        <f>VLOOKUP(A19363,'Componentes APUs'!$S$1:$V$10,2,0)</f>
        <v>Herramienta Menor</v>
      </c>
      <c r="C19363" s="220"/>
      <c r="D19363" s="50" t="s">
        <v>18</v>
      </c>
      <c r="E19363" s="50">
        <v>2</v>
      </c>
      <c r="F19363" s="51">
        <f>VLOOKUP(A19363,'Componentes APUs'!$S$1:$V$10,4,0)</f>
        <v>75758</v>
      </c>
      <c r="G19363" s="51">
        <f>ROUNDUP(F19363*((E19363/21)/E19330),0)</f>
        <v>380</v>
      </c>
    </row>
    <row r="19364" spans="1:7" x14ac:dyDescent="0.25">
      <c r="A19364" s="219" t="s">
        <v>69</v>
      </c>
      <c r="B19364" s="219"/>
      <c r="C19364" s="219"/>
      <c r="D19364" s="219"/>
      <c r="E19364" s="219"/>
      <c r="F19364" s="219"/>
      <c r="G19364" s="52">
        <f>SUM(G19358:G19363)</f>
        <v>433</v>
      </c>
    </row>
    <row r="19365" spans="1:7" x14ac:dyDescent="0.25">
      <c r="A19365" s="56"/>
      <c r="B19365" s="57"/>
      <c r="C19365" s="57"/>
      <c r="D19365" s="57"/>
      <c r="E19365" s="57"/>
      <c r="F19365" s="57"/>
      <c r="G19365" s="58"/>
    </row>
    <row r="19366" spans="1:7" x14ac:dyDescent="0.25">
      <c r="A19366" s="219" t="s">
        <v>70</v>
      </c>
      <c r="B19366" s="219"/>
      <c r="C19366" s="219"/>
      <c r="D19366" s="219"/>
      <c r="E19366" s="219"/>
      <c r="F19366" s="219"/>
      <c r="G19366" s="219"/>
    </row>
    <row r="19367" spans="1:7" x14ac:dyDescent="0.25">
      <c r="A19367" s="49" t="s">
        <v>35</v>
      </c>
      <c r="B19367" s="219" t="s">
        <v>36</v>
      </c>
      <c r="C19367" s="219"/>
      <c r="D19367" s="49" t="s">
        <v>37</v>
      </c>
      <c r="E19367" s="49" t="s">
        <v>38</v>
      </c>
      <c r="F19367" s="49" t="s">
        <v>39</v>
      </c>
      <c r="G19367" s="49" t="s">
        <v>40</v>
      </c>
    </row>
    <row r="19368" spans="1:7" x14ac:dyDescent="0.25">
      <c r="A19368" s="50" t="s">
        <v>71</v>
      </c>
      <c r="B19368" s="71" t="str">
        <f>VLOOKUP(A19368,'Componentes APUs'!$A$1:$D$14,2,0)</f>
        <v>Camisa indigo sin partes metalicas</v>
      </c>
      <c r="C19368" s="71"/>
      <c r="D19368" s="50" t="str">
        <f>VLOOKUP(A19368,'Componentes APUs'!$A$1:$D$14,3,0)</f>
        <v>U</v>
      </c>
      <c r="E19368" s="50">
        <f>SUM(C19347:C19353)</f>
        <v>2.75</v>
      </c>
      <c r="F19368" s="51">
        <f>VLOOKUP(A19368,'Componentes APUs'!$A$1:$D$14,4,0)</f>
        <v>8585.8585858585866</v>
      </c>
      <c r="G19368" s="51">
        <f>ROUNDUP(F19368*(E19368/21)/E19330,0)</f>
        <v>60</v>
      </c>
    </row>
    <row r="19369" spans="1:7" x14ac:dyDescent="0.25">
      <c r="A19369" s="69" t="s">
        <v>73</v>
      </c>
      <c r="B19369" s="72" t="str">
        <f>VLOOKUP(A19369,'Componentes APUs'!$A$1:$D$14,2,0)</f>
        <v>Bota de seguridad dielectrica</v>
      </c>
      <c r="C19369" s="73"/>
      <c r="D19369" s="70" t="str">
        <f>VLOOKUP(A19369,'Componentes APUs'!$A$1:$D$14,3,0)</f>
        <v>Par</v>
      </c>
      <c r="E19369" s="50">
        <f>SUM(C19347:C19353)</f>
        <v>2.75</v>
      </c>
      <c r="F19369" s="51">
        <f>VLOOKUP(A19369,'Componentes APUs'!$A$1:$D$14,4,0)</f>
        <v>7500</v>
      </c>
      <c r="G19369" s="51">
        <f>ROUNDUP(F19369*(E19369/21)/E19330,0)</f>
        <v>52</v>
      </c>
    </row>
    <row r="19370" spans="1:7" x14ac:dyDescent="0.25">
      <c r="A19370" s="50" t="s">
        <v>76</v>
      </c>
      <c r="B19370" s="72" t="str">
        <f>VLOOKUP(A19370,'Componentes APUs'!$A$1:$D$14,2,0)</f>
        <v>Casco dielectrico Tipo 1 Clase E con barbuquejo</v>
      </c>
      <c r="C19370" s="73"/>
      <c r="D19370" s="50" t="str">
        <f>VLOOKUP(A19370,'Componentes APUs'!$A$1:$D$14,3,0)</f>
        <v>U</v>
      </c>
      <c r="E19370" s="50">
        <f>C19347+C19353+C19348+C19351+C19352+C19350+IF(A19349&lt;&gt;"MO-3",C19349,0)</f>
        <v>2.75</v>
      </c>
      <c r="F19370" s="51">
        <f>VLOOKUP(A19370,'Componentes APUs'!$A$1:$D$14,4,0)</f>
        <v>10101.010101010101</v>
      </c>
      <c r="G19370" s="51">
        <f>ROUNDUP(F19370*(E19370/21)/E19330,0)</f>
        <v>70</v>
      </c>
    </row>
    <row r="19371" spans="1:7" x14ac:dyDescent="0.25">
      <c r="A19371" s="69" t="s">
        <v>77</v>
      </c>
      <c r="B19371" s="72" t="str">
        <f>VLOOKUP(A19371,'Componentes APUs'!$A$1:$D$14,2,0)</f>
        <v>Correa plastica y antiflama</v>
      </c>
      <c r="C19371" s="73"/>
      <c r="D19371" s="50" t="str">
        <f>VLOOKUP(A19371,'Componentes APUs'!$A$1:$D$14,3,0)</f>
        <v>U</v>
      </c>
      <c r="E19371" s="50">
        <f>SUM(C19347:C19353)</f>
        <v>2.75</v>
      </c>
      <c r="F19371" s="51">
        <f>VLOOKUP(A19371,'Componentes APUs'!$A$1:$D$14,4,0)</f>
        <v>3787.878787878788</v>
      </c>
      <c r="G19371" s="51">
        <f>ROUNDUP(F19371*(E19371/21)/E19330,0)</f>
        <v>27</v>
      </c>
    </row>
    <row r="19372" spans="1:7" x14ac:dyDescent="0.25">
      <c r="A19372" s="50" t="s">
        <v>79</v>
      </c>
      <c r="B19372" s="72" t="str">
        <f>VLOOKUP(A19372,'Componentes APUs'!$A$1:$D$14,2,0)</f>
        <v>Gafas protectoras filtro UV</v>
      </c>
      <c r="C19372" s="73"/>
      <c r="D19372" s="50" t="str">
        <f>VLOOKUP(A19372,'Componentes APUs'!$A$1:$D$14,3,0)</f>
        <v>U</v>
      </c>
      <c r="E19372" s="50">
        <f>SUM(C19347:C19353)</f>
        <v>2.75</v>
      </c>
      <c r="F19372" s="51">
        <f>VLOOKUP(A19372,'Componentes APUs'!$A$1:$D$14,4,0)</f>
        <v>2777.7777777777778</v>
      </c>
      <c r="G19372" s="51">
        <f>ROUNDUP(F19372*(E19372/21)/E19330,0)</f>
        <v>20</v>
      </c>
    </row>
    <row r="19373" spans="1:7" x14ac:dyDescent="0.25">
      <c r="A19373" s="69" t="s">
        <v>402</v>
      </c>
      <c r="B19373" s="72" t="str">
        <f>VLOOKUP(A19373,'Componentes APUs'!$A$1:$D$14,2,0)</f>
        <v>Bota de seguridad PVC dielectrica</v>
      </c>
      <c r="C19373" s="73"/>
      <c r="D19373" s="50" t="str">
        <f>VLOOKUP(A19373,'Componentes APUs'!$A$1:$D$14,3,0)</f>
        <v>Par</v>
      </c>
      <c r="E19373" s="50">
        <f>SUM(C19347:C19353)</f>
        <v>2.75</v>
      </c>
      <c r="F19373" s="51">
        <f>VLOOKUP(A19373,'Componentes APUs'!$A$1:$D$14,4,0)</f>
        <v>2916.6666666666665</v>
      </c>
      <c r="G19373" s="51">
        <f>ROUNDUP(F19373*(E19373/21)/E19330,0)</f>
        <v>21</v>
      </c>
    </row>
    <row r="19374" spans="1:7" x14ac:dyDescent="0.25">
      <c r="A19374" s="50" t="s">
        <v>403</v>
      </c>
      <c r="B19374" s="72" t="str">
        <f>VLOOKUP(A19374,'Componentes APUs'!$A$1:$D$14,2,0)</f>
        <v>Capuchon</v>
      </c>
      <c r="C19374" s="73"/>
      <c r="D19374" s="50" t="str">
        <f>VLOOKUP(A19374,'Componentes APUs'!$A$1:$D$14,3,0)</f>
        <v>U</v>
      </c>
      <c r="E19374" s="50">
        <f>SUM(C19347:C19352)</f>
        <v>2.75</v>
      </c>
      <c r="F19374" s="51">
        <f>VLOOKUP(A19374,'Componentes APUs'!$A$1:$D$14,4,0)</f>
        <v>2525.2525252525252</v>
      </c>
      <c r="G19374" s="51">
        <f>ROUNDUP(F19374*(E19374/21)/E19330,0)</f>
        <v>18</v>
      </c>
    </row>
    <row r="19375" spans="1:7" x14ac:dyDescent="0.25">
      <c r="A19375" s="69" t="s">
        <v>81</v>
      </c>
      <c r="B19375" s="72" t="str">
        <f>VLOOKUP(A19375,'Componentes APUs'!$A$1:$D$14,2,0)</f>
        <v>Guantes Protectores  - ingeniero reforzados</v>
      </c>
      <c r="C19375" s="73"/>
      <c r="D19375" s="50" t="str">
        <f>VLOOKUP(A19375,'Componentes APUs'!$A$1:$D$14,3,0)</f>
        <v>Par</v>
      </c>
      <c r="E19375" s="50">
        <f>C19349+C19350+C19352+C19353</f>
        <v>2</v>
      </c>
      <c r="F19375" s="51">
        <f>VLOOKUP(A19375,'Componentes APUs'!$A$1:$D$14,4,0)</f>
        <v>2525.2525252525252</v>
      </c>
      <c r="G19375" s="51">
        <f>ROUNDUP(F19375*(E19375/21)/E19330,0)</f>
        <v>13</v>
      </c>
    </row>
    <row r="19376" spans="1:7" x14ac:dyDescent="0.25">
      <c r="A19376" s="50" t="s">
        <v>83</v>
      </c>
      <c r="B19376" s="72" t="str">
        <f>VLOOKUP(A19376,'Componentes APUs'!$A$1:$D$14,2,0)</f>
        <v>Impermeable (pantalon camisa)</v>
      </c>
      <c r="C19376" s="73"/>
      <c r="D19376" s="50" t="str">
        <f>VLOOKUP(A19376,'Componentes APUs'!$A$1:$D$14,3,0)</f>
        <v>U</v>
      </c>
      <c r="E19376" s="50">
        <f>SUM(C19347:C19353)</f>
        <v>2.75</v>
      </c>
      <c r="F19376" s="51">
        <f>VLOOKUP(A19376,'Componentes APUs'!$A$1:$D$14,4,0)</f>
        <v>3750</v>
      </c>
      <c r="G19376" s="51">
        <f>ROUNDUP(F19376*(E19376/21)/E19330,0)</f>
        <v>26</v>
      </c>
    </row>
    <row r="19377" spans="1:7" x14ac:dyDescent="0.25">
      <c r="A19377" s="69" t="s">
        <v>85</v>
      </c>
      <c r="B19377" s="72" t="str">
        <f>VLOOKUP(A19377,'Componentes APUs'!$A$1:$D$14,2,0)</f>
        <v>Jean Dielectrico</v>
      </c>
      <c r="C19377" s="73"/>
      <c r="D19377" s="50" t="str">
        <f>VLOOKUP(A19377,'Componentes APUs'!$A$1:$D$14,3,0)</f>
        <v>U</v>
      </c>
      <c r="E19377" s="50">
        <f>SUM(C19347:C19353)</f>
        <v>2.75</v>
      </c>
      <c r="F19377" s="51">
        <f>VLOOKUP(A19377,'Componentes APUs'!$A$1:$D$14,4,0)</f>
        <v>7575.757575757576</v>
      </c>
      <c r="G19377" s="51">
        <f>ROUNDUP(F19377*(E19377/21)/E19330,0)</f>
        <v>53</v>
      </c>
    </row>
    <row r="19378" spans="1:7" x14ac:dyDescent="0.25">
      <c r="A19378" s="50" t="s">
        <v>87</v>
      </c>
      <c r="B19378" s="72" t="str">
        <f>VLOOKUP(A19378,'Componentes APUs'!$A$1:$D$14,2,0)</f>
        <v>Casco dielectrico Tipo 2 Clase E con barboquejo</v>
      </c>
      <c r="C19378" s="73"/>
      <c r="D19378" s="50" t="str">
        <f>VLOOKUP(A19378,'Componentes APUs'!$A$1:$D$14,3,0)</f>
        <v>U</v>
      </c>
      <c r="E19378" s="53">
        <f>IF(A19349="MO-3",C19349,0)</f>
        <v>0</v>
      </c>
      <c r="F19378" s="51">
        <f>VLOOKUP(A19378,'Componentes APUs'!$A$1:$D$14,4,0)</f>
        <v>7500</v>
      </c>
      <c r="G19378" s="51">
        <f>ROUNDUP(F19378*(E19378/21)/E19330,0)</f>
        <v>0</v>
      </c>
    </row>
    <row r="19379" spans="1:7" x14ac:dyDescent="0.25">
      <c r="A19379" s="69" t="s">
        <v>89</v>
      </c>
      <c r="B19379" s="72" t="str">
        <f>VLOOKUP(A19379,'Componentes APUs'!$A$1:$D$14,2,0)</f>
        <v>Kit de rescate para trabajo en alturas</v>
      </c>
      <c r="C19379" s="73"/>
      <c r="D19379" s="50" t="str">
        <f>VLOOKUP(A19379,'Componentes APUs'!$A$1:$D$14,3,0)</f>
        <v>U</v>
      </c>
      <c r="E19379" s="50">
        <f>IF(AND(A19349="MO-3",C19349=2),1,0)</f>
        <v>0</v>
      </c>
      <c r="F19379" s="51">
        <f>VLOOKUP(A19379,'Componentes APUs'!$A$1:$D$14,4,0)</f>
        <v>37500</v>
      </c>
      <c r="G19379" s="51">
        <f>ROUNDUP(F19379*(E19379/21)/E19330,0)</f>
        <v>0</v>
      </c>
    </row>
    <row r="19380" spans="1:7" x14ac:dyDescent="0.25">
      <c r="A19380" s="50" t="s">
        <v>91</v>
      </c>
      <c r="B19380" s="72" t="str">
        <f>VLOOKUP(A19380,'Componentes APUs'!$A$1:$D$14,2,0)</f>
        <v>Equipo completo para trabajo en alturas con pretales (Arnes dielectrico, 1 mosqueton de seguridad, tie off dielectrico, eslinga de posicionamiento, juego de pretales)</v>
      </c>
      <c r="C19380" s="73"/>
      <c r="D19380" s="50" t="str">
        <f>VLOOKUP(A19380,'Componentes APUs'!$A$1:$D$14,3,0)</f>
        <v>U</v>
      </c>
      <c r="E19380" s="50">
        <f>IF(A19349="MO-3",C19349,0)</f>
        <v>0</v>
      </c>
      <c r="F19380" s="51">
        <f>VLOOKUP(A19380,'Componentes APUs'!$A$1:$D$14,4,0)</f>
        <v>26041.666666666668</v>
      </c>
      <c r="G19380" s="51">
        <f>ROUNDUP(F19380*(E19380/21)/E19330,0)</f>
        <v>0</v>
      </c>
    </row>
    <row r="19381" spans="1:7" x14ac:dyDescent="0.25">
      <c r="A19381" s="219" t="s">
        <v>95</v>
      </c>
      <c r="B19381" s="219"/>
      <c r="C19381" s="219"/>
      <c r="D19381" s="219"/>
      <c r="E19381" s="219"/>
      <c r="F19381" s="219"/>
      <c r="G19381" s="52">
        <f>SUM(G19368:G19380)</f>
        <v>360</v>
      </c>
    </row>
    <row r="19382" spans="1:7" x14ac:dyDescent="0.25">
      <c r="A19382" s="56"/>
      <c r="B19382" s="57"/>
      <c r="C19382" s="57"/>
      <c r="D19382" s="57"/>
      <c r="E19382" s="57"/>
      <c r="F19382" s="57"/>
      <c r="G19382" s="58"/>
    </row>
    <row r="19383" spans="1:7" x14ac:dyDescent="0.25">
      <c r="A19383" s="219" t="s">
        <v>96</v>
      </c>
      <c r="B19383" s="219"/>
      <c r="C19383" s="219"/>
      <c r="D19383" s="219"/>
      <c r="E19383" s="219"/>
      <c r="F19383" s="219"/>
      <c r="G19383" s="219"/>
    </row>
    <row r="19384" spans="1:7" x14ac:dyDescent="0.25">
      <c r="A19384" s="49" t="s">
        <v>35</v>
      </c>
      <c r="B19384" s="225" t="s">
        <v>36</v>
      </c>
      <c r="C19384" s="225"/>
      <c r="D19384" s="49" t="s">
        <v>37</v>
      </c>
      <c r="E19384" s="49" t="s">
        <v>38</v>
      </c>
      <c r="F19384" s="49" t="s">
        <v>39</v>
      </c>
      <c r="G19384" s="49" t="s">
        <v>40</v>
      </c>
    </row>
    <row r="19385" spans="1:7" x14ac:dyDescent="0.25">
      <c r="A19385" s="69" t="s">
        <v>97</v>
      </c>
      <c r="B19385" s="72" t="str">
        <f>VLOOKUP(A19385,'Componentes APUs'!$N$1:$Q$30,2,0)</f>
        <v>Camioneta</v>
      </c>
      <c r="C19385" s="73"/>
      <c r="D19385" s="70" t="str">
        <f>VLOOKUP(A19385,'Componentes APUs'!$N$1:$Q$30,3,0)</f>
        <v>U</v>
      </c>
      <c r="E19385" s="50">
        <v>1</v>
      </c>
      <c r="F19385" s="51">
        <f>VLOOKUP(A19385,'Componentes APUs'!$N$1:$Q$30,4,0)</f>
        <v>5500000</v>
      </c>
      <c r="G19385" s="51">
        <f>IFERROR(ROUNDUP(F19385*(E19385/21)/E19330,0),0)</f>
        <v>13785</v>
      </c>
    </row>
    <row r="19386" spans="1:7" x14ac:dyDescent="0.25">
      <c r="A19386" s="50" t="s">
        <v>321</v>
      </c>
      <c r="B19386" s="72" t="str">
        <f>VLOOKUP(A19386,'Componentes APUs'!$N$1:$Q$30,2,0)</f>
        <v>Grúa Hidráulica</v>
      </c>
      <c r="C19386" s="73"/>
      <c r="D19386" s="70" t="str">
        <f>VLOOKUP(A19386,'Componentes APUs'!$N$1:$Q$30,3,0)</f>
        <v>U</v>
      </c>
      <c r="E19386" s="50">
        <v>0</v>
      </c>
      <c r="F19386" s="51">
        <f>VLOOKUP(A19386,'Componentes APUs'!$N$1:$Q$30,4,0)</f>
        <v>21000000</v>
      </c>
      <c r="G19386" s="51">
        <f>IFERROR(ROUNDUP(F19386*(E19386/21)/E19330,0),0)</f>
        <v>0</v>
      </c>
    </row>
    <row r="19387" spans="1:7" x14ac:dyDescent="0.25">
      <c r="A19387" s="69" t="s">
        <v>322</v>
      </c>
      <c r="B19387" s="72" t="str">
        <f>VLOOKUP(A19387,'Componentes APUs'!$N$1:$Q$30,2,0)</f>
        <v>Camabaja</v>
      </c>
      <c r="C19387" s="73"/>
      <c r="D19387" s="70" t="str">
        <f>VLOOKUP(A19387,'Componentes APUs'!$N$1:$Q$30,3,0)</f>
        <v>TON/KM</v>
      </c>
      <c r="E19387" s="50">
        <v>0</v>
      </c>
      <c r="F19387" s="51">
        <f>VLOOKUP(A19387,'Componentes APUs'!$N$1:$Q$30,4,0)</f>
        <v>611</v>
      </c>
      <c r="G19387" s="51">
        <f>IFERROR(ROUNDUP(F19387*(E19387/21)/E19330,0),0)</f>
        <v>0</v>
      </c>
    </row>
    <row r="19388" spans="1:7" x14ac:dyDescent="0.25">
      <c r="A19388" s="50" t="s">
        <v>323</v>
      </c>
      <c r="B19388" s="72" t="str">
        <f>VLOOKUP(A19388,'Componentes APUs'!$N$1:$Q$30,2,0)</f>
        <v>Volqueta</v>
      </c>
      <c r="C19388" s="73"/>
      <c r="D19388" s="70" t="str">
        <f>VLOOKUP(A19388,'Componentes APUs'!$N$1:$Q$30,3,0)</f>
        <v>U</v>
      </c>
      <c r="E19388" s="50">
        <v>0</v>
      </c>
      <c r="F19388" s="51">
        <f>VLOOKUP(A19388,'Componentes APUs'!$N$1:$Q$30,4,0)</f>
        <v>14828184</v>
      </c>
      <c r="G19388" s="51">
        <f>IFERROR(ROUNDUP(F19388*(E19388/21)/E19330,0),0)</f>
        <v>0</v>
      </c>
    </row>
    <row r="19389" spans="1:7" x14ac:dyDescent="0.25">
      <c r="A19389" s="69" t="s">
        <v>324</v>
      </c>
      <c r="B19389" s="72" t="str">
        <f>VLOOKUP(A19389,'Componentes APUs'!$N$1:$Q$30,2,0)</f>
        <v>Retroexcavadora</v>
      </c>
      <c r="C19389" s="73"/>
      <c r="D19389" s="70" t="str">
        <f>VLOOKUP(A19389,'Componentes APUs'!$N$1:$Q$30,3,0)</f>
        <v>U</v>
      </c>
      <c r="E19389" s="50">
        <v>0</v>
      </c>
      <c r="F19389" s="51">
        <f>VLOOKUP(A19389,'Componentes APUs'!$N$1:$Q$30,4,0)</f>
        <v>46030656</v>
      </c>
      <c r="G19389" s="51">
        <f>IFERROR(ROUNDUP(F19389*(E19389/21)/E19330,0),0)</f>
        <v>0</v>
      </c>
    </row>
    <row r="19390" spans="1:7" x14ac:dyDescent="0.25">
      <c r="A19390" s="219" t="s">
        <v>99</v>
      </c>
      <c r="B19390" s="219"/>
      <c r="C19390" s="219"/>
      <c r="D19390" s="219"/>
      <c r="E19390" s="219"/>
      <c r="F19390" s="219"/>
      <c r="G19390" s="52">
        <f>SUM(G19385:G19389)</f>
        <v>13785</v>
      </c>
    </row>
    <row r="19391" spans="1:7" x14ac:dyDescent="0.25">
      <c r="A19391" s="56"/>
      <c r="B19391" s="57"/>
      <c r="C19391" s="57"/>
      <c r="D19391" s="57"/>
      <c r="E19391" s="57"/>
      <c r="F19391" s="57"/>
      <c r="G19391" s="58"/>
    </row>
    <row r="19392" spans="1:7" x14ac:dyDescent="0.25">
      <c r="A19392" s="219" t="s">
        <v>1516</v>
      </c>
      <c r="B19392" s="219"/>
      <c r="C19392" s="219"/>
      <c r="D19392" s="219"/>
      <c r="E19392" s="219"/>
      <c r="F19392" s="219"/>
      <c r="G19392" s="52">
        <f>G19390+G19381+G19364+G19354+G19343</f>
        <v>271693</v>
      </c>
    </row>
    <row r="19393" spans="1:7" x14ac:dyDescent="0.25">
      <c r="A19393" s="59"/>
      <c r="B19393" s="60"/>
      <c r="C19393" s="60"/>
      <c r="D19393" s="60"/>
      <c r="E19393" s="57"/>
      <c r="F19393" s="57"/>
      <c r="G19393" s="58"/>
    </row>
    <row r="19394" spans="1:7" x14ac:dyDescent="0.25">
      <c r="A19394" s="64"/>
      <c r="D19394" s="55"/>
      <c r="E19394" s="49" t="s">
        <v>25</v>
      </c>
      <c r="F19394" s="54">
        <v>0.15</v>
      </c>
      <c r="G19394" s="51">
        <f>G19392*F19394</f>
        <v>40753.949999999997</v>
      </c>
    </row>
    <row r="19395" spans="1:7" x14ac:dyDescent="0.25">
      <c r="A19395" s="64"/>
      <c r="D19395" s="55"/>
      <c r="E19395" s="49" t="s">
        <v>26</v>
      </c>
      <c r="F19395" s="54">
        <v>0.05</v>
      </c>
      <c r="G19395" s="51">
        <f>G19392*F19395</f>
        <v>13584.650000000001</v>
      </c>
    </row>
    <row r="19396" spans="1:7" x14ac:dyDescent="0.25">
      <c r="A19396" s="61"/>
      <c r="B19396" s="65"/>
      <c r="C19396" s="65"/>
      <c r="D19396" s="62"/>
      <c r="E19396" s="49" t="s">
        <v>27</v>
      </c>
      <c r="F19396" s="54">
        <v>0.05</v>
      </c>
      <c r="G19396" s="51">
        <f>G19392*F19396</f>
        <v>13584.650000000001</v>
      </c>
    </row>
    <row r="19397" spans="1:7" x14ac:dyDescent="0.25">
      <c r="A19397" s="61"/>
      <c r="B19397" s="62"/>
      <c r="C19397" s="62"/>
      <c r="D19397" s="62"/>
      <c r="E19397" s="62"/>
      <c r="F19397" s="62"/>
      <c r="G19397" s="63"/>
    </row>
    <row r="19398" spans="1:7" x14ac:dyDescent="0.25">
      <c r="A19398" s="219" t="s">
        <v>1517</v>
      </c>
      <c r="B19398" s="219"/>
      <c r="C19398" s="219"/>
      <c r="D19398" s="219"/>
      <c r="E19398" s="219"/>
      <c r="F19398" s="219"/>
      <c r="G19398" s="52">
        <f>G19392+G19394+G19395+G19396</f>
        <v>339616.25000000006</v>
      </c>
    </row>
    <row r="19399" spans="1:7" x14ac:dyDescent="0.25">
      <c r="A19399" s="59"/>
      <c r="B19399" s="60"/>
      <c r="C19399" s="60"/>
      <c r="D19399" s="60"/>
      <c r="E19399" s="57"/>
      <c r="F19399" s="57"/>
      <c r="G19399" s="58"/>
    </row>
    <row r="19400" spans="1:7" x14ac:dyDescent="0.25">
      <c r="A19400" s="64"/>
      <c r="D19400" s="55"/>
      <c r="E19400" s="49" t="s">
        <v>102</v>
      </c>
      <c r="F19400" s="49" t="s">
        <v>103</v>
      </c>
      <c r="G19400" s="51">
        <f>G19396*19%</f>
        <v>2581.0835000000002</v>
      </c>
    </row>
    <row r="19401" spans="1:7" x14ac:dyDescent="0.25">
      <c r="A19401" s="61"/>
      <c r="B19401" s="62"/>
      <c r="C19401" s="62"/>
      <c r="D19401" s="62"/>
      <c r="E19401" s="57"/>
      <c r="F19401" s="57"/>
      <c r="G19401" s="58"/>
    </row>
    <row r="19402" spans="1:7" x14ac:dyDescent="0.25">
      <c r="A19402" s="219" t="s">
        <v>104</v>
      </c>
      <c r="B19402" s="219"/>
      <c r="C19402" s="219"/>
      <c r="D19402" s="219"/>
      <c r="E19402" s="219"/>
      <c r="F19402" s="219"/>
      <c r="G19402" s="52">
        <f>G19400+G19398</f>
        <v>342197.33350000007</v>
      </c>
    </row>
    <row r="19404" spans="1:7" x14ac:dyDescent="0.25">
      <c r="A19404" s="74" t="s">
        <v>29</v>
      </c>
      <c r="B19404" s="226" t="s">
        <v>30</v>
      </c>
      <c r="C19404" s="226"/>
      <c r="D19404" s="74" t="s">
        <v>31</v>
      </c>
      <c r="E19404" s="74" t="s">
        <v>32</v>
      </c>
      <c r="F19404" s="74" t="s">
        <v>189</v>
      </c>
      <c r="G19404" s="74" t="s">
        <v>33</v>
      </c>
    </row>
    <row r="19405" spans="1:7" ht="37.5" customHeight="1" x14ac:dyDescent="0.25">
      <c r="A19405" s="50" t="str">
        <f>Presupuesto!B375</f>
        <v>044_AUX</v>
      </c>
      <c r="B19405" s="220" t="str">
        <f>Presupuesto!C375</f>
        <v>SUMINISTRO E INSTALACIÓN DE LUMINARIA LED EXPLOSION-PROOF SYL SECURE 80 W. 4110 - 10960 LUMENES. 120 - 277 V. CABLE 3X14 AWG, CLAVIJA POLO A TIERRA, PRENSAESTOPA.</v>
      </c>
      <c r="C19405" s="220"/>
      <c r="D19405" s="50" t="s">
        <v>8</v>
      </c>
      <c r="E19405" s="50">
        <v>6</v>
      </c>
      <c r="F19405" s="50"/>
      <c r="G19405" s="51">
        <f>G19475</f>
        <v>6798058.0470000003</v>
      </c>
    </row>
    <row r="19406" spans="1:7" x14ac:dyDescent="0.25">
      <c r="A19406" s="219" t="s">
        <v>34</v>
      </c>
      <c r="B19406" s="219"/>
      <c r="C19406" s="219"/>
      <c r="D19406" s="219"/>
      <c r="E19406" s="219"/>
      <c r="F19406" s="219"/>
      <c r="G19406" s="219"/>
    </row>
    <row r="19407" spans="1:7" x14ac:dyDescent="0.25">
      <c r="A19407" s="49" t="s">
        <v>35</v>
      </c>
      <c r="B19407" s="219" t="s">
        <v>36</v>
      </c>
      <c r="C19407" s="219"/>
      <c r="D19407" s="49" t="s">
        <v>37</v>
      </c>
      <c r="E19407" s="49" t="s">
        <v>38</v>
      </c>
      <c r="F19407" s="49" t="s">
        <v>39</v>
      </c>
      <c r="G19407" s="49" t="s">
        <v>40</v>
      </c>
    </row>
    <row r="19408" spans="1:7" x14ac:dyDescent="0.25">
      <c r="A19408" s="17" t="str">
        <f>Material!A378</f>
        <v>MA-377</v>
      </c>
      <c r="B19408" s="72" t="str">
        <f>IFERROR(VLOOKUP(A19408,Material!$A:$H,2,0),"-")</f>
        <v>LUMINARIA LED EXPLOSION-PROOF SYL SECURE 80 W</v>
      </c>
      <c r="C19408" s="73"/>
      <c r="D19408" s="50" t="str">
        <f>IFERROR(VLOOKUP(A19408,Material!$A:$H,4,0),"-")</f>
        <v>UN</v>
      </c>
      <c r="E19408" s="50">
        <v>1</v>
      </c>
      <c r="F19408" s="51">
        <f>IFERROR(VLOOKUP(A19408,Material!$A:$H,3,0),"-")</f>
        <v>4753045</v>
      </c>
      <c r="G19408" s="51">
        <f t="shared" ref="G19408:G19413" si="278">IFERROR(ROUNDUP(F19408*E19408,0),"-")</f>
        <v>4753045</v>
      </c>
    </row>
    <row r="19409" spans="1:9" x14ac:dyDescent="0.25">
      <c r="A19409" s="17" t="str">
        <f>Material!A239</f>
        <v>MA-238</v>
      </c>
      <c r="B19409" s="72" t="str">
        <f>IFERROR(VLOOKUP(A19409,Material!$A:$H,2,0),"-")</f>
        <v>CABLE ENCAUCHETADO 3 X 14 AWG COBRE HLFS</v>
      </c>
      <c r="C19409" s="76"/>
      <c r="D19409" s="50" t="str">
        <f>IFERROR(VLOOKUP(A19409,Material!$A:$H,4,0),"-")</f>
        <v>ML</v>
      </c>
      <c r="E19409" s="50">
        <v>3</v>
      </c>
      <c r="F19409" s="51">
        <f>IFERROR(VLOOKUP(A19409,Material!$A:$H,3,0),"-")</f>
        <v>8125</v>
      </c>
      <c r="G19409" s="51">
        <f t="shared" si="278"/>
        <v>24375</v>
      </c>
    </row>
    <row r="19410" spans="1:9" x14ac:dyDescent="0.25">
      <c r="A19410" s="17" t="str">
        <f>Material!A149</f>
        <v>MA-148</v>
      </c>
      <c r="B19410" s="72" t="str">
        <f>IFERROR(VLOOKUP(A19410,Material!$A:$H,2,0),"-")</f>
        <v>CLAVIJA CON POLO A TIERRA</v>
      </c>
      <c r="C19410" s="76"/>
      <c r="D19410" s="50" t="str">
        <f>IFERROR(VLOOKUP(A19410,Material!$A:$H,4,0),"-")</f>
        <v>UN</v>
      </c>
      <c r="E19410" s="50">
        <v>1</v>
      </c>
      <c r="F19410" s="51">
        <f>IFERROR(VLOOKUP(A19410,Material!$A:$H,3,0),"-")</f>
        <v>6825</v>
      </c>
      <c r="G19410" s="51">
        <f t="shared" si="278"/>
        <v>6825</v>
      </c>
    </row>
    <row r="19411" spans="1:9" x14ac:dyDescent="0.25">
      <c r="A19411" s="17" t="str">
        <f>Material!A240</f>
        <v>MA-239</v>
      </c>
      <c r="B19411" s="72" t="str">
        <f>IFERROR(VLOOKUP(A19411,Material!$A:$H,2,0),"-")</f>
        <v>PRENSA ESTOPA DE 1/2</v>
      </c>
      <c r="C19411" s="76"/>
      <c r="D19411" s="50" t="str">
        <f>IFERROR(VLOOKUP(A19411,Material!$A:$H,4,0),"-")</f>
        <v>UN</v>
      </c>
      <c r="E19411" s="50">
        <v>1</v>
      </c>
      <c r="F19411" s="51">
        <f>IFERROR(VLOOKUP(A19411,Material!$A:$H,3,0),"-")</f>
        <v>3900</v>
      </c>
      <c r="G19411" s="51">
        <f t="shared" si="278"/>
        <v>3900</v>
      </c>
    </row>
    <row r="19412" spans="1:9" x14ac:dyDescent="0.25">
      <c r="A19412" s="17" t="str">
        <f>Material!A229</f>
        <v>MA-228</v>
      </c>
      <c r="B19412" s="72" t="str">
        <f>IFERROR(VLOOKUP(A19412,Material!$A:$H,2,0),"-")</f>
        <v>CINTA DE COLORES</v>
      </c>
      <c r="C19412" s="76"/>
      <c r="D19412" s="50" t="str">
        <f>IFERROR(VLOOKUP(A19412,Material!$A:$H,4,0),"-")</f>
        <v>ML</v>
      </c>
      <c r="E19412" s="50">
        <v>0.05</v>
      </c>
      <c r="F19412" s="51">
        <f>IFERROR(VLOOKUP(A19412,Material!$A:$H,3,0),"-")</f>
        <v>54.080000000000005</v>
      </c>
      <c r="G19412" s="51">
        <f t="shared" si="278"/>
        <v>3</v>
      </c>
    </row>
    <row r="19413" spans="1:9" x14ac:dyDescent="0.25">
      <c r="A19413" s="17" t="str">
        <f>Material!A244</f>
        <v>MA-243</v>
      </c>
      <c r="B19413" s="72" t="str">
        <f>IFERROR(VLOOKUP(A19413,Material!$A:$H,2,0),"-")</f>
        <v>ENVÍO DE LUMINARIA</v>
      </c>
      <c r="C19413" s="76"/>
      <c r="D19413" s="50" t="str">
        <f>IFERROR(VLOOKUP(A19413,Material!$A:$H,4,0),"-")</f>
        <v>UN</v>
      </c>
      <c r="E19413" s="50">
        <v>1</v>
      </c>
      <c r="F19413" s="51">
        <f>IFERROR(VLOOKUP(A19413,Material!$A:$H,3,0),"-")</f>
        <v>19500</v>
      </c>
      <c r="G19413" s="51">
        <f t="shared" si="278"/>
        <v>19500</v>
      </c>
    </row>
    <row r="19414" spans="1:9" x14ac:dyDescent="0.25">
      <c r="A19414" s="17" t="str">
        <f>Material!A578</f>
        <v>MA-577</v>
      </c>
      <c r="B19414" s="72" t="str">
        <f>IFERROR(VLOOKUP(A19414,Material!$A:$H,2,0),"-")</f>
        <v>SELLO EXPLOSION PROOF</v>
      </c>
      <c r="C19414" s="76"/>
      <c r="D19414" s="50" t="str">
        <f>IFERROR(VLOOKUP(A19414,Material!$A:$H,4,0),"-")</f>
        <v>UN</v>
      </c>
      <c r="E19414" s="50">
        <v>1</v>
      </c>
      <c r="F19414" s="51">
        <f>IFERROR(VLOOKUP(A19414,Material!$A:$H,3,0),"-")</f>
        <v>41706.6</v>
      </c>
      <c r="G19414" s="51">
        <f t="shared" ref="G19414" si="279">IFERROR(ROUNDUP(F19414*E19414,0),"-")</f>
        <v>41707</v>
      </c>
    </row>
    <row r="19415" spans="1:9" x14ac:dyDescent="0.25">
      <c r="A19415" s="17" t="str">
        <f>Material!A579</f>
        <v>MA-578</v>
      </c>
      <c r="B19415" s="72" t="str">
        <f>IFERROR(VLOOKUP(A19415,Material!$A:$H,2,0),"-")</f>
        <v>MASILLA INTUMECENTE RESISTENTE AL FUEGO</v>
      </c>
      <c r="C19415" s="76"/>
      <c r="D19415" s="50" t="str">
        <f>IFERROR(VLOOKUP(A19415,Material!$A:$H,4,0),"-")</f>
        <v>UN</v>
      </c>
      <c r="E19415" s="50">
        <v>1</v>
      </c>
      <c r="F19415" s="51">
        <f>IFERROR(VLOOKUP(A19415,Material!$A:$H,3,0),"-")</f>
        <v>390000</v>
      </c>
      <c r="G19415" s="51">
        <f t="shared" ref="G19415" si="280">IFERROR(ROUNDUP(F19415*E19415,0),"-")</f>
        <v>390000</v>
      </c>
    </row>
    <row r="19416" spans="1:9" x14ac:dyDescent="0.25">
      <c r="A19416" s="219" t="s">
        <v>41</v>
      </c>
      <c r="B19416" s="219"/>
      <c r="C19416" s="219"/>
      <c r="D19416" s="219"/>
      <c r="E19416" s="219"/>
      <c r="F19416" s="219"/>
      <c r="G19416" s="52">
        <f>SUM(G19408:G19415)</f>
        <v>5239355</v>
      </c>
    </row>
    <row r="19417" spans="1:9" x14ac:dyDescent="0.25">
      <c r="A19417" s="56"/>
      <c r="B19417" s="57"/>
      <c r="C19417" s="57"/>
      <c r="D19417" s="57"/>
      <c r="E19417" s="57"/>
      <c r="F19417" s="57"/>
      <c r="G19417" s="58"/>
      <c r="I19417" s="97"/>
    </row>
    <row r="19418" spans="1:9" x14ac:dyDescent="0.25">
      <c r="A19418" s="219" t="s">
        <v>42</v>
      </c>
      <c r="B19418" s="219"/>
      <c r="C19418" s="219"/>
      <c r="D19418" s="219"/>
      <c r="E19418" s="219"/>
      <c r="F19418" s="219"/>
      <c r="G19418" s="219"/>
    </row>
    <row r="19419" spans="1:9" x14ac:dyDescent="0.25">
      <c r="A19419" s="49" t="s">
        <v>35</v>
      </c>
      <c r="B19419" s="49" t="s">
        <v>36</v>
      </c>
      <c r="C19419" s="49" t="s">
        <v>38</v>
      </c>
      <c r="D19419" s="49" t="s">
        <v>43</v>
      </c>
      <c r="E19419" s="49" t="s">
        <v>44</v>
      </c>
      <c r="F19419" s="49" t="s">
        <v>45</v>
      </c>
      <c r="G19419" s="49" t="s">
        <v>40</v>
      </c>
    </row>
    <row r="19420" spans="1:9" x14ac:dyDescent="0.25">
      <c r="A19420" s="50" t="s">
        <v>319</v>
      </c>
      <c r="B19420" s="68" t="str">
        <f>VLOOKUP(A19420,'Componentes APUs'!$H$1:$L$25,2,0)</f>
        <v>Ingeniero Residente de Obra</v>
      </c>
      <c r="C19420" s="93">
        <v>0.25</v>
      </c>
      <c r="D19420" s="50">
        <f>VLOOKUP(A19420,'Componentes APUs'!$H$1:$L$25,3,0)</f>
        <v>4</v>
      </c>
      <c r="E19420" s="51">
        <f>VLOOKUP(A19420,'Componentes APUs'!$H$1:$L$25,4,0)</f>
        <v>271142.85714285716</v>
      </c>
      <c r="F19420" s="51">
        <f>VLOOKUP(A19420,'Componentes APUs'!$H$1:$L$25,5,0)</f>
        <v>162685.71428571429</v>
      </c>
      <c r="G19420" s="51">
        <f>ROUNDUP((E19420+F19420)*C19420/E19405,0)</f>
        <v>18077</v>
      </c>
    </row>
    <row r="19421" spans="1:9" x14ac:dyDescent="0.25">
      <c r="A19421" s="50" t="s">
        <v>320</v>
      </c>
      <c r="B19421" s="68" t="str">
        <f>VLOOKUP(A19421,'Componentes APUs'!$H$1:$L$25,2,0)</f>
        <v>Tecnico Supervisor</v>
      </c>
      <c r="C19421" s="93">
        <v>0.25</v>
      </c>
      <c r="D19421" s="50">
        <f>VLOOKUP(A19421,'Componentes APUs'!$H$1:$L$25,3,0)</f>
        <v>2.2999999999999998</v>
      </c>
      <c r="E19421" s="51">
        <f>VLOOKUP(A19421,'Componentes APUs'!$H$1:$L$25,4,0)</f>
        <v>155907.14285714284</v>
      </c>
      <c r="F19421" s="51">
        <f>VLOOKUP(A19421,'Componentes APUs'!$H$1:$L$25,5,0)</f>
        <v>93544.285714285696</v>
      </c>
      <c r="G19421" s="51">
        <f>ROUNDUP((E19421+F19421)*C19421/E19405,0)</f>
        <v>10394</v>
      </c>
    </row>
    <row r="19422" spans="1:9" x14ac:dyDescent="0.25">
      <c r="A19422" s="50" t="s">
        <v>1160</v>
      </c>
      <c r="B19422" s="68" t="str">
        <f>VLOOKUP(A19422,'Componentes APUs'!$H$1:$L$25,2,0)</f>
        <v>Oficial Eléctrico</v>
      </c>
      <c r="C19422" s="93">
        <v>1</v>
      </c>
      <c r="D19422" s="50">
        <f>VLOOKUP(A19422,'Componentes APUs'!$H$1:$L$25,3,0)</f>
        <v>2</v>
      </c>
      <c r="E19422" s="51">
        <f>VLOOKUP(A19422,'Componentes APUs'!$H$1:$L$25,4,0)</f>
        <v>154619.04761904763</v>
      </c>
      <c r="F19422" s="51">
        <f>VLOOKUP(A19422,'Componentes APUs'!$H$1:$L$25,5,0)</f>
        <v>92771.42857142858</v>
      </c>
      <c r="G19422" s="51">
        <f>ROUNDUP((E19422+F19422)*C19422/E19405,0)</f>
        <v>41232</v>
      </c>
    </row>
    <row r="19423" spans="1:9" x14ac:dyDescent="0.25">
      <c r="A19423" s="50" t="s">
        <v>48</v>
      </c>
      <c r="B19423" s="68" t="str">
        <f>VLOOKUP(A19423,'Componentes APUs'!$H$1:$L$25,2,0)</f>
        <v>Ayudante Calificado</v>
      </c>
      <c r="C19423" s="93">
        <v>1</v>
      </c>
      <c r="D19423" s="50">
        <f>VLOOKUP(A19423,'Componentes APUs'!$H$1:$L$25,3,0)</f>
        <v>1.5</v>
      </c>
      <c r="E19423" s="51">
        <f>VLOOKUP(A19423,'Componentes APUs'!$H$1:$L$25,4,0)</f>
        <v>115964.28571428571</v>
      </c>
      <c r="F19423" s="51">
        <f>VLOOKUP(A19423,'Componentes APUs'!$H$1:$L$25,5,0)</f>
        <v>69578.57142857142</v>
      </c>
      <c r="G19423" s="51">
        <f>ROUNDUP((E19423+F19423)*C19423/E19405,0)</f>
        <v>30924</v>
      </c>
    </row>
    <row r="19424" spans="1:9" x14ac:dyDescent="0.25">
      <c r="A19424" s="50" t="s">
        <v>50</v>
      </c>
      <c r="B19424" s="68" t="str">
        <f>VLOOKUP(A19424,'Componentes APUs'!$H$1:$L$25,2,0)</f>
        <v>Profesional en SST</v>
      </c>
      <c r="C19424" s="93">
        <v>0.25</v>
      </c>
      <c r="D19424" s="50">
        <f>VLOOKUP(A19424,'Componentes APUs'!$H$1:$L$25,3,0)</f>
        <v>2.5</v>
      </c>
      <c r="E19424" s="51">
        <f>VLOOKUP(A19424,'Componentes APUs'!$H$1:$L$25,4,0)</f>
        <v>169464.28571428571</v>
      </c>
      <c r="F19424" s="51">
        <f>VLOOKUP(A19424,'Componentes APUs'!$H$1:$L$25,5,0)</f>
        <v>101678.57142857142</v>
      </c>
      <c r="G19424" s="51">
        <f>ROUNDUP((E19424+F19424)*C19424/E19405,0)</f>
        <v>11298</v>
      </c>
    </row>
    <row r="19425" spans="1:7" x14ac:dyDescent="0.25">
      <c r="A19425" s="50" t="s">
        <v>52</v>
      </c>
      <c r="B19425" s="68" t="str">
        <f>VLOOKUP(A19425,'Componentes APUs'!$H$1:$L$25,2,0)</f>
        <v>Ayudante No Calificado</v>
      </c>
      <c r="C19425" s="93">
        <v>0</v>
      </c>
      <c r="D19425" s="50">
        <f>VLOOKUP(A19425,'Componentes APUs'!$H$1:$L$25,3,0)</f>
        <v>1</v>
      </c>
      <c r="E19425" s="51">
        <f>VLOOKUP(A19425,'Componentes APUs'!$H$1:$L$25,4,0)</f>
        <v>77309.523809523816</v>
      </c>
      <c r="F19425" s="51">
        <f>VLOOKUP(A19425,'Componentes APUs'!$H$1:$L$25,5,0)</f>
        <v>46385.71428571429</v>
      </c>
      <c r="G19425" s="51">
        <f>ROUNDUP((E19425+F19425)*C19425/E19405,0)</f>
        <v>0</v>
      </c>
    </row>
    <row r="19426" spans="1:7" x14ac:dyDescent="0.25">
      <c r="A19426" s="50" t="s">
        <v>1121</v>
      </c>
      <c r="B19426" s="68" t="str">
        <f>VLOOKUP(A19426,'Componentes APUs'!$H$1:$L$25,2,0)</f>
        <v>Ingeniero Especialista de Control y Protección Subestación</v>
      </c>
      <c r="C19426" s="93">
        <v>0</v>
      </c>
      <c r="D19426" s="50">
        <f>VLOOKUP(A19426,'Componentes APUs'!$H$1:$L$25,3,0)</f>
        <v>14</v>
      </c>
      <c r="E19426" s="51">
        <f>VLOOKUP(A19426,'Componentes APUs'!$H$1:$L$25,4,0)</f>
        <v>949000</v>
      </c>
      <c r="F19426" s="51">
        <f>VLOOKUP(A19426,'Componentes APUs'!$H$1:$L$25,5,0)</f>
        <v>569400</v>
      </c>
      <c r="G19426" s="51">
        <f>ROUNDUP((E19426+F19426)*C19426/E19405,0)</f>
        <v>0</v>
      </c>
    </row>
    <row r="19427" spans="1:7" x14ac:dyDescent="0.25">
      <c r="A19427" s="219" t="s">
        <v>56</v>
      </c>
      <c r="B19427" s="219"/>
      <c r="C19427" s="219"/>
      <c r="D19427" s="219"/>
      <c r="E19427" s="219"/>
      <c r="F19427" s="219"/>
      <c r="G19427" s="52">
        <f>SUM(G19420:G19426)</f>
        <v>111925</v>
      </c>
    </row>
    <row r="19428" spans="1:7" x14ac:dyDescent="0.25">
      <c r="A19428" s="56"/>
      <c r="B19428" s="57"/>
      <c r="C19428" s="57"/>
      <c r="D19428" s="57"/>
      <c r="E19428" s="57"/>
      <c r="F19428" s="57"/>
      <c r="G19428" s="58"/>
    </row>
    <row r="19429" spans="1:7" x14ac:dyDescent="0.25">
      <c r="A19429" s="219" t="s">
        <v>57</v>
      </c>
      <c r="B19429" s="219"/>
      <c r="C19429" s="219"/>
      <c r="D19429" s="219"/>
      <c r="E19429" s="219"/>
      <c r="F19429" s="219"/>
      <c r="G19429" s="219"/>
    </row>
    <row r="19430" spans="1:7" x14ac:dyDescent="0.25">
      <c r="A19430" s="49" t="s">
        <v>35</v>
      </c>
      <c r="B19430" s="219" t="s">
        <v>36</v>
      </c>
      <c r="C19430" s="219"/>
      <c r="D19430" s="49" t="s">
        <v>37</v>
      </c>
      <c r="E19430" s="49" t="s">
        <v>38</v>
      </c>
      <c r="F19430" s="49" t="s">
        <v>39</v>
      </c>
      <c r="G19430" s="49" t="s">
        <v>40</v>
      </c>
    </row>
    <row r="19431" spans="1:7" x14ac:dyDescent="0.25">
      <c r="A19431" s="50" t="s">
        <v>326</v>
      </c>
      <c r="B19431" s="220" t="str">
        <f>VLOOKUP(A19431,'Componentes APUs'!$S$1:$V$10,2,0)</f>
        <v>Juego Llaves</v>
      </c>
      <c r="C19431" s="220"/>
      <c r="D19431" s="50" t="s">
        <v>18</v>
      </c>
      <c r="E19431" s="50">
        <v>2</v>
      </c>
      <c r="F19431" s="51">
        <f>VLOOKUP(A19431,'Componentes APUs'!$S$1:$V$10,4,0)</f>
        <v>9167</v>
      </c>
      <c r="G19431" s="51">
        <f>ROUNDUP(F19431*((E19431/21)/E19405),0)</f>
        <v>146</v>
      </c>
    </row>
    <row r="19432" spans="1:7" x14ac:dyDescent="0.25">
      <c r="A19432" s="50" t="s">
        <v>58</v>
      </c>
      <c r="B19432" s="220" t="str">
        <f>VLOOKUP(A19432,'Componentes APUs'!$S$1:$V$10,2,0)</f>
        <v>Manila de servicio</v>
      </c>
      <c r="C19432" s="220"/>
      <c r="D19432" s="50" t="s">
        <v>18</v>
      </c>
      <c r="E19432" s="50">
        <v>0</v>
      </c>
      <c r="F19432" s="51">
        <f>VLOOKUP(A19432,'Componentes APUs'!$S$1:$V$10,4,0)</f>
        <v>2333</v>
      </c>
      <c r="G19432" s="51">
        <f>ROUNDUP(F19432*((E19432/21)/E19405),0)</f>
        <v>0</v>
      </c>
    </row>
    <row r="19433" spans="1:7" x14ac:dyDescent="0.25">
      <c r="A19433" s="50" t="s">
        <v>327</v>
      </c>
      <c r="B19433" s="220" t="str">
        <f>VLOOKUP(A19433,'Componentes APUs'!$S$1:$V$10,2,0)</f>
        <v>Tula portaherramientas</v>
      </c>
      <c r="C19433" s="220"/>
      <c r="D19433" s="50" t="s">
        <v>18</v>
      </c>
      <c r="E19433" s="50">
        <v>2</v>
      </c>
      <c r="F19433" s="51">
        <f>VLOOKUP(A19433,'Componentes APUs'!$S$1:$V$10,4,0)</f>
        <v>1250</v>
      </c>
      <c r="G19433" s="51">
        <f>ROUNDUP(F19433*((E19433/21)/E19405),0)</f>
        <v>20</v>
      </c>
    </row>
    <row r="19434" spans="1:7" x14ac:dyDescent="0.25">
      <c r="A19434" s="50" t="s">
        <v>60</v>
      </c>
      <c r="B19434" s="220" t="str">
        <f>VLOOKUP(A19434,'Componentes APUs'!$S$1:$V$10,2,0)</f>
        <v>Agarradoras</v>
      </c>
      <c r="C19434" s="220"/>
      <c r="D19434" s="50" t="s">
        <v>18</v>
      </c>
      <c r="E19434" s="50">
        <v>0</v>
      </c>
      <c r="F19434" s="51">
        <f>VLOOKUP(A19434,'Componentes APUs'!$S$1:$V$10,4,0)</f>
        <v>125000</v>
      </c>
      <c r="G19434" s="51">
        <f>ROUNDUP(F19434*((E19434/21)/E19405),0)</f>
        <v>0</v>
      </c>
    </row>
    <row r="19435" spans="1:7" x14ac:dyDescent="0.25">
      <c r="A19435" s="50" t="s">
        <v>62</v>
      </c>
      <c r="B19435" s="220" t="str">
        <f>VLOOKUP(A19435,'Componentes APUs'!$S$1:$V$10,2,0)</f>
        <v>Templadoras</v>
      </c>
      <c r="C19435" s="220"/>
      <c r="D19435" s="50" t="s">
        <v>18</v>
      </c>
      <c r="E19435" s="50">
        <v>0</v>
      </c>
      <c r="F19435" s="51">
        <f>VLOOKUP(A19435,'Componentes APUs'!$S$1:$V$10,4,0)</f>
        <v>250000</v>
      </c>
      <c r="G19435" s="51">
        <f>ROUNDUP(F19435*((E19435/21)/E19405),0)</f>
        <v>0</v>
      </c>
    </row>
    <row r="19436" spans="1:7" x14ac:dyDescent="0.25">
      <c r="A19436" s="50" t="s">
        <v>328</v>
      </c>
      <c r="B19436" s="220" t="str">
        <f>VLOOKUP(A19436,'Componentes APUs'!$S$1:$V$10,2,0)</f>
        <v>Herramienta Menor</v>
      </c>
      <c r="C19436" s="220"/>
      <c r="D19436" s="50" t="s">
        <v>18</v>
      </c>
      <c r="E19436" s="50">
        <v>2</v>
      </c>
      <c r="F19436" s="51">
        <f>VLOOKUP(A19436,'Componentes APUs'!$S$1:$V$10,4,0)</f>
        <v>75758</v>
      </c>
      <c r="G19436" s="51">
        <f>ROUNDUP(F19436*((E19436/21)/E19405),0)</f>
        <v>1203</v>
      </c>
    </row>
    <row r="19437" spans="1:7" x14ac:dyDescent="0.25">
      <c r="A19437" s="219" t="s">
        <v>69</v>
      </c>
      <c r="B19437" s="219"/>
      <c r="C19437" s="219"/>
      <c r="D19437" s="219"/>
      <c r="E19437" s="219"/>
      <c r="F19437" s="219"/>
      <c r="G19437" s="52">
        <f>SUM(G19431:G19436)</f>
        <v>1369</v>
      </c>
    </row>
    <row r="19438" spans="1:7" x14ac:dyDescent="0.25">
      <c r="A19438" s="56"/>
      <c r="B19438" s="57"/>
      <c r="C19438" s="57"/>
      <c r="D19438" s="57"/>
      <c r="E19438" s="57"/>
      <c r="F19438" s="57"/>
      <c r="G19438" s="58"/>
    </row>
    <row r="19439" spans="1:7" x14ac:dyDescent="0.25">
      <c r="A19439" s="219" t="s">
        <v>70</v>
      </c>
      <c r="B19439" s="219"/>
      <c r="C19439" s="219"/>
      <c r="D19439" s="219"/>
      <c r="E19439" s="219"/>
      <c r="F19439" s="219"/>
      <c r="G19439" s="219"/>
    </row>
    <row r="19440" spans="1:7" x14ac:dyDescent="0.25">
      <c r="A19440" s="49" t="s">
        <v>35</v>
      </c>
      <c r="B19440" s="219" t="s">
        <v>36</v>
      </c>
      <c r="C19440" s="219"/>
      <c r="D19440" s="49" t="s">
        <v>37</v>
      </c>
      <c r="E19440" s="49" t="s">
        <v>38</v>
      </c>
      <c r="F19440" s="49" t="s">
        <v>39</v>
      </c>
      <c r="G19440" s="49" t="s">
        <v>40</v>
      </c>
    </row>
    <row r="19441" spans="1:7" x14ac:dyDescent="0.25">
      <c r="A19441" s="50" t="s">
        <v>71</v>
      </c>
      <c r="B19441" s="71" t="str">
        <f>VLOOKUP(A19441,'Componentes APUs'!$A$1:$D$14,2,0)</f>
        <v>Camisa indigo sin partes metalicas</v>
      </c>
      <c r="C19441" s="71"/>
      <c r="D19441" s="50" t="str">
        <f>VLOOKUP(A19441,'Componentes APUs'!$A$1:$D$14,3,0)</f>
        <v>U</v>
      </c>
      <c r="E19441" s="50">
        <f>SUM(C19420:C19426)</f>
        <v>2.75</v>
      </c>
      <c r="F19441" s="51">
        <f>VLOOKUP(A19441,'Componentes APUs'!$A$1:$D$14,4,0)</f>
        <v>8585.8585858585866</v>
      </c>
      <c r="G19441" s="51">
        <f>ROUNDUP(F19441*(E19441/21)/E19405,0)</f>
        <v>188</v>
      </c>
    </row>
    <row r="19442" spans="1:7" x14ac:dyDescent="0.25">
      <c r="A19442" s="69" t="s">
        <v>73</v>
      </c>
      <c r="B19442" s="72" t="str">
        <f>VLOOKUP(A19442,'Componentes APUs'!$A$1:$D$14,2,0)</f>
        <v>Bota de seguridad dielectrica</v>
      </c>
      <c r="C19442" s="73"/>
      <c r="D19442" s="70" t="str">
        <f>VLOOKUP(A19442,'Componentes APUs'!$A$1:$D$14,3,0)</f>
        <v>Par</v>
      </c>
      <c r="E19442" s="50">
        <f>SUM(C19420:C19426)</f>
        <v>2.75</v>
      </c>
      <c r="F19442" s="51">
        <f>VLOOKUP(A19442,'Componentes APUs'!$A$1:$D$14,4,0)</f>
        <v>7500</v>
      </c>
      <c r="G19442" s="51">
        <f>ROUNDUP(F19442*(E19442/21)/E19405,0)</f>
        <v>164</v>
      </c>
    </row>
    <row r="19443" spans="1:7" x14ac:dyDescent="0.25">
      <c r="A19443" s="50" t="s">
        <v>76</v>
      </c>
      <c r="B19443" s="72" t="str">
        <f>VLOOKUP(A19443,'Componentes APUs'!$A$1:$D$14,2,0)</f>
        <v>Casco dielectrico Tipo 1 Clase E con barbuquejo</v>
      </c>
      <c r="C19443" s="73"/>
      <c r="D19443" s="50" t="str">
        <f>VLOOKUP(A19443,'Componentes APUs'!$A$1:$D$14,3,0)</f>
        <v>U</v>
      </c>
      <c r="E19443" s="50">
        <f>C19420+C19426+C19421+C19424+C19425+C19423+IF(A19422&lt;&gt;"MO-3",C19422,0)</f>
        <v>2.75</v>
      </c>
      <c r="F19443" s="51">
        <f>VLOOKUP(A19443,'Componentes APUs'!$A$1:$D$14,4,0)</f>
        <v>10101.010101010101</v>
      </c>
      <c r="G19443" s="51">
        <f>ROUNDUP(F19443*(E19443/21)/E19405,0)</f>
        <v>221</v>
      </c>
    </row>
    <row r="19444" spans="1:7" x14ac:dyDescent="0.25">
      <c r="A19444" s="69" t="s">
        <v>77</v>
      </c>
      <c r="B19444" s="72" t="str">
        <f>VLOOKUP(A19444,'Componentes APUs'!$A$1:$D$14,2,0)</f>
        <v>Correa plastica y antiflama</v>
      </c>
      <c r="C19444" s="73"/>
      <c r="D19444" s="50" t="str">
        <f>VLOOKUP(A19444,'Componentes APUs'!$A$1:$D$14,3,0)</f>
        <v>U</v>
      </c>
      <c r="E19444" s="50">
        <f>SUM(C19420:C19426)</f>
        <v>2.75</v>
      </c>
      <c r="F19444" s="51">
        <f>VLOOKUP(A19444,'Componentes APUs'!$A$1:$D$14,4,0)</f>
        <v>3787.878787878788</v>
      </c>
      <c r="G19444" s="51">
        <f>ROUNDUP(F19444*(E19444/21)/E19405,0)</f>
        <v>83</v>
      </c>
    </row>
    <row r="19445" spans="1:7" x14ac:dyDescent="0.25">
      <c r="A19445" s="50" t="s">
        <v>79</v>
      </c>
      <c r="B19445" s="72" t="str">
        <f>VLOOKUP(A19445,'Componentes APUs'!$A$1:$D$14,2,0)</f>
        <v>Gafas protectoras filtro UV</v>
      </c>
      <c r="C19445" s="73"/>
      <c r="D19445" s="50" t="str">
        <f>VLOOKUP(A19445,'Componentes APUs'!$A$1:$D$14,3,0)</f>
        <v>U</v>
      </c>
      <c r="E19445" s="50">
        <f>SUM(C19420:C19426)</f>
        <v>2.75</v>
      </c>
      <c r="F19445" s="51">
        <f>VLOOKUP(A19445,'Componentes APUs'!$A$1:$D$14,4,0)</f>
        <v>2777.7777777777778</v>
      </c>
      <c r="G19445" s="51">
        <f>ROUNDUP(F19445*(E19445/21)/E19405,0)</f>
        <v>61</v>
      </c>
    </row>
    <row r="19446" spans="1:7" x14ac:dyDescent="0.25">
      <c r="A19446" s="69" t="s">
        <v>402</v>
      </c>
      <c r="B19446" s="72" t="str">
        <f>VLOOKUP(A19446,'Componentes APUs'!$A$1:$D$14,2,0)</f>
        <v>Bota de seguridad PVC dielectrica</v>
      </c>
      <c r="C19446" s="73"/>
      <c r="D19446" s="50" t="str">
        <f>VLOOKUP(A19446,'Componentes APUs'!$A$1:$D$14,3,0)</f>
        <v>Par</v>
      </c>
      <c r="E19446" s="50">
        <f>SUM(C19420:C19426)</f>
        <v>2.75</v>
      </c>
      <c r="F19446" s="51">
        <f>VLOOKUP(A19446,'Componentes APUs'!$A$1:$D$14,4,0)</f>
        <v>2916.6666666666665</v>
      </c>
      <c r="G19446" s="51">
        <f>ROUNDUP(F19446*(E19446/21)/E19405,0)</f>
        <v>64</v>
      </c>
    </row>
    <row r="19447" spans="1:7" x14ac:dyDescent="0.25">
      <c r="A19447" s="50" t="s">
        <v>403</v>
      </c>
      <c r="B19447" s="72" t="str">
        <f>VLOOKUP(A19447,'Componentes APUs'!$A$1:$D$14,2,0)</f>
        <v>Capuchon</v>
      </c>
      <c r="C19447" s="73"/>
      <c r="D19447" s="50" t="str">
        <f>VLOOKUP(A19447,'Componentes APUs'!$A$1:$D$14,3,0)</f>
        <v>U</v>
      </c>
      <c r="E19447" s="50">
        <f>SUM(C19420:C19425)</f>
        <v>2.75</v>
      </c>
      <c r="F19447" s="51">
        <f>VLOOKUP(A19447,'Componentes APUs'!$A$1:$D$14,4,0)</f>
        <v>2525.2525252525252</v>
      </c>
      <c r="G19447" s="51">
        <f>ROUNDUP(F19447*(E19447/21)/E19405,0)</f>
        <v>56</v>
      </c>
    </row>
    <row r="19448" spans="1:7" x14ac:dyDescent="0.25">
      <c r="A19448" s="69" t="s">
        <v>81</v>
      </c>
      <c r="B19448" s="72" t="str">
        <f>VLOOKUP(A19448,'Componentes APUs'!$A$1:$D$14,2,0)</f>
        <v>Guantes Protectores  - ingeniero reforzados</v>
      </c>
      <c r="C19448" s="73"/>
      <c r="D19448" s="50" t="str">
        <f>VLOOKUP(A19448,'Componentes APUs'!$A$1:$D$14,3,0)</f>
        <v>Par</v>
      </c>
      <c r="E19448" s="50">
        <f>C19422+C19423+C19425+C19426</f>
        <v>2</v>
      </c>
      <c r="F19448" s="51">
        <f>VLOOKUP(A19448,'Componentes APUs'!$A$1:$D$14,4,0)</f>
        <v>2525.2525252525252</v>
      </c>
      <c r="G19448" s="51">
        <f>ROUNDUP(F19448*(E19448/21)/E19405,0)</f>
        <v>41</v>
      </c>
    </row>
    <row r="19449" spans="1:7" x14ac:dyDescent="0.25">
      <c r="A19449" s="50" t="s">
        <v>83</v>
      </c>
      <c r="B19449" s="72" t="str">
        <f>VLOOKUP(A19449,'Componentes APUs'!$A$1:$D$14,2,0)</f>
        <v>Impermeable (pantalon camisa)</v>
      </c>
      <c r="C19449" s="73"/>
      <c r="D19449" s="50" t="str">
        <f>VLOOKUP(A19449,'Componentes APUs'!$A$1:$D$14,3,0)</f>
        <v>U</v>
      </c>
      <c r="E19449" s="50">
        <f>SUM(C19420:C19426)</f>
        <v>2.75</v>
      </c>
      <c r="F19449" s="51">
        <f>VLOOKUP(A19449,'Componentes APUs'!$A$1:$D$14,4,0)</f>
        <v>3750</v>
      </c>
      <c r="G19449" s="51">
        <f>ROUNDUP(F19449*(E19449/21)/E19405,0)</f>
        <v>82</v>
      </c>
    </row>
    <row r="19450" spans="1:7" x14ac:dyDescent="0.25">
      <c r="A19450" s="69" t="s">
        <v>85</v>
      </c>
      <c r="B19450" s="72" t="str">
        <f>VLOOKUP(A19450,'Componentes APUs'!$A$1:$D$14,2,0)</f>
        <v>Jean Dielectrico</v>
      </c>
      <c r="C19450" s="73"/>
      <c r="D19450" s="50" t="str">
        <f>VLOOKUP(A19450,'Componentes APUs'!$A$1:$D$14,3,0)</f>
        <v>U</v>
      </c>
      <c r="E19450" s="50">
        <f>SUM(C19420:C19426)</f>
        <v>2.75</v>
      </c>
      <c r="F19450" s="51">
        <f>VLOOKUP(A19450,'Componentes APUs'!$A$1:$D$14,4,0)</f>
        <v>7575.757575757576</v>
      </c>
      <c r="G19450" s="51">
        <f>ROUNDUP(F19450*(E19450/21)/E19405,0)</f>
        <v>166</v>
      </c>
    </row>
    <row r="19451" spans="1:7" x14ac:dyDescent="0.25">
      <c r="A19451" s="50" t="s">
        <v>87</v>
      </c>
      <c r="B19451" s="72" t="str">
        <f>VLOOKUP(A19451,'Componentes APUs'!$A$1:$D$14,2,0)</f>
        <v>Casco dielectrico Tipo 2 Clase E con barboquejo</v>
      </c>
      <c r="C19451" s="73"/>
      <c r="D19451" s="50" t="str">
        <f>VLOOKUP(A19451,'Componentes APUs'!$A$1:$D$14,3,0)</f>
        <v>U</v>
      </c>
      <c r="E19451" s="53">
        <f>IF(A19422="MO-3",C19422,0)</f>
        <v>0</v>
      </c>
      <c r="F19451" s="51">
        <f>VLOOKUP(A19451,'Componentes APUs'!$A$1:$D$14,4,0)</f>
        <v>7500</v>
      </c>
      <c r="G19451" s="51">
        <f>ROUNDUP(F19451*(E19451/21)/E19405,0)</f>
        <v>0</v>
      </c>
    </row>
    <row r="19452" spans="1:7" x14ac:dyDescent="0.25">
      <c r="A19452" s="69" t="s">
        <v>89</v>
      </c>
      <c r="B19452" s="72" t="str">
        <f>VLOOKUP(A19452,'Componentes APUs'!$A$1:$D$14,2,0)</f>
        <v>Kit de rescate para trabajo en alturas</v>
      </c>
      <c r="C19452" s="73"/>
      <c r="D19452" s="50" t="str">
        <f>VLOOKUP(A19452,'Componentes APUs'!$A$1:$D$14,3,0)</f>
        <v>U</v>
      </c>
      <c r="E19452" s="50">
        <f>IF(AND(A19422="MO-3",C19422=2),1,0)</f>
        <v>0</v>
      </c>
      <c r="F19452" s="51">
        <f>VLOOKUP(A19452,'Componentes APUs'!$A$1:$D$14,4,0)</f>
        <v>37500</v>
      </c>
      <c r="G19452" s="51">
        <f>ROUNDUP(F19452*(E19452/21)/E19405,0)</f>
        <v>0</v>
      </c>
    </row>
    <row r="19453" spans="1:7" x14ac:dyDescent="0.25">
      <c r="A19453" s="50" t="s">
        <v>91</v>
      </c>
      <c r="B19453" s="72" t="str">
        <f>VLOOKUP(A19453,'Componentes APUs'!$A$1:$D$14,2,0)</f>
        <v>Equipo completo para trabajo en alturas con pretales (Arnes dielectrico, 1 mosqueton de seguridad, tie off dielectrico, eslinga de posicionamiento, juego de pretales)</v>
      </c>
      <c r="C19453" s="73"/>
      <c r="D19453" s="50" t="str">
        <f>VLOOKUP(A19453,'Componentes APUs'!$A$1:$D$14,3,0)</f>
        <v>U</v>
      </c>
      <c r="E19453" s="50">
        <f>IF(A19422="MO-3",C19422,0)</f>
        <v>0</v>
      </c>
      <c r="F19453" s="51">
        <f>VLOOKUP(A19453,'Componentes APUs'!$A$1:$D$14,4,0)</f>
        <v>26041.666666666668</v>
      </c>
      <c r="G19453" s="51">
        <f>ROUNDUP(F19453*(E19453/21)/E19405,0)</f>
        <v>0</v>
      </c>
    </row>
    <row r="19454" spans="1:7" x14ac:dyDescent="0.25">
      <c r="A19454" s="219" t="s">
        <v>95</v>
      </c>
      <c r="B19454" s="219"/>
      <c r="C19454" s="219"/>
      <c r="D19454" s="219"/>
      <c r="E19454" s="219"/>
      <c r="F19454" s="219"/>
      <c r="G19454" s="52">
        <f>SUM(G19441:G19453)</f>
        <v>1126</v>
      </c>
    </row>
    <row r="19455" spans="1:7" x14ac:dyDescent="0.25">
      <c r="A19455" s="56"/>
      <c r="B19455" s="57"/>
      <c r="C19455" s="57"/>
      <c r="D19455" s="57"/>
      <c r="E19455" s="57"/>
      <c r="F19455" s="57"/>
      <c r="G19455" s="58"/>
    </row>
    <row r="19456" spans="1:7" x14ac:dyDescent="0.25">
      <c r="A19456" s="219" t="s">
        <v>96</v>
      </c>
      <c r="B19456" s="219"/>
      <c r="C19456" s="219"/>
      <c r="D19456" s="219"/>
      <c r="E19456" s="219"/>
      <c r="F19456" s="219"/>
      <c r="G19456" s="219"/>
    </row>
    <row r="19457" spans="1:7" x14ac:dyDescent="0.25">
      <c r="A19457" s="49" t="s">
        <v>35</v>
      </c>
      <c r="B19457" s="225" t="s">
        <v>36</v>
      </c>
      <c r="C19457" s="225"/>
      <c r="D19457" s="49" t="s">
        <v>37</v>
      </c>
      <c r="E19457" s="49" t="s">
        <v>38</v>
      </c>
      <c r="F19457" s="49" t="s">
        <v>39</v>
      </c>
      <c r="G19457" s="49" t="s">
        <v>40</v>
      </c>
    </row>
    <row r="19458" spans="1:7" x14ac:dyDescent="0.25">
      <c r="A19458" s="69" t="s">
        <v>97</v>
      </c>
      <c r="B19458" s="72" t="str">
        <f>VLOOKUP(A19458,'Componentes APUs'!$N$1:$Q$30,2,0)</f>
        <v>Camioneta</v>
      </c>
      <c r="C19458" s="73"/>
      <c r="D19458" s="70" t="str">
        <f>VLOOKUP(A19458,'Componentes APUs'!$N$1:$Q$30,3,0)</f>
        <v>U</v>
      </c>
      <c r="E19458" s="50">
        <v>1</v>
      </c>
      <c r="F19458" s="51">
        <f>VLOOKUP(A19458,'Componentes APUs'!$N$1:$Q$30,4,0)</f>
        <v>5500000</v>
      </c>
      <c r="G19458" s="51">
        <f>IFERROR(ROUNDUP(F19458*(E19458/21)/E19405,0),0)</f>
        <v>43651</v>
      </c>
    </row>
    <row r="19459" spans="1:7" x14ac:dyDescent="0.25">
      <c r="A19459" s="50" t="s">
        <v>321</v>
      </c>
      <c r="B19459" s="72" t="str">
        <f>VLOOKUP(A19459,'Componentes APUs'!$N$1:$Q$30,2,0)</f>
        <v>Grúa Hidráulica</v>
      </c>
      <c r="C19459" s="73"/>
      <c r="D19459" s="70" t="str">
        <f>VLOOKUP(A19459,'Componentes APUs'!$N$1:$Q$30,3,0)</f>
        <v>U</v>
      </c>
      <c r="E19459" s="50">
        <v>0</v>
      </c>
      <c r="F19459" s="51">
        <f>VLOOKUP(A19459,'Componentes APUs'!$N$1:$Q$30,4,0)</f>
        <v>21000000</v>
      </c>
      <c r="G19459" s="51">
        <f>IFERROR(ROUNDUP(F19459*(E19459/21)/E19405,0),0)</f>
        <v>0</v>
      </c>
    </row>
    <row r="19460" spans="1:7" x14ac:dyDescent="0.25">
      <c r="A19460" s="69" t="s">
        <v>322</v>
      </c>
      <c r="B19460" s="72" t="str">
        <f>VLOOKUP(A19460,'Componentes APUs'!$N$1:$Q$30,2,0)</f>
        <v>Camabaja</v>
      </c>
      <c r="C19460" s="73"/>
      <c r="D19460" s="70" t="str">
        <f>VLOOKUP(A19460,'Componentes APUs'!$N$1:$Q$30,3,0)</f>
        <v>TON/KM</v>
      </c>
      <c r="E19460" s="50">
        <v>0</v>
      </c>
      <c r="F19460" s="51">
        <f>VLOOKUP(A19460,'Componentes APUs'!$N$1:$Q$30,4,0)</f>
        <v>611</v>
      </c>
      <c r="G19460" s="51">
        <f>IFERROR(ROUNDUP(F19460*(E19460/21)/E19405,0),0)</f>
        <v>0</v>
      </c>
    </row>
    <row r="19461" spans="1:7" x14ac:dyDescent="0.25">
      <c r="A19461" s="50" t="s">
        <v>323</v>
      </c>
      <c r="B19461" s="72" t="str">
        <f>VLOOKUP(A19461,'Componentes APUs'!$N$1:$Q$30,2,0)</f>
        <v>Volqueta</v>
      </c>
      <c r="C19461" s="73"/>
      <c r="D19461" s="70" t="str">
        <f>VLOOKUP(A19461,'Componentes APUs'!$N$1:$Q$30,3,0)</f>
        <v>U</v>
      </c>
      <c r="E19461" s="50">
        <v>0</v>
      </c>
      <c r="F19461" s="51">
        <f>VLOOKUP(A19461,'Componentes APUs'!$N$1:$Q$30,4,0)</f>
        <v>14828184</v>
      </c>
      <c r="G19461" s="51">
        <f>IFERROR(ROUNDUP(F19461*(E19461/21)/E19405,0),0)</f>
        <v>0</v>
      </c>
    </row>
    <row r="19462" spans="1:7" x14ac:dyDescent="0.25">
      <c r="A19462" s="69" t="s">
        <v>324</v>
      </c>
      <c r="B19462" s="72" t="str">
        <f>VLOOKUP(A19462,'Componentes APUs'!$N$1:$Q$30,2,0)</f>
        <v>Retroexcavadora</v>
      </c>
      <c r="C19462" s="73"/>
      <c r="D19462" s="70" t="str">
        <f>VLOOKUP(A19462,'Componentes APUs'!$N$1:$Q$30,3,0)</f>
        <v>U</v>
      </c>
      <c r="E19462" s="50">
        <v>0</v>
      </c>
      <c r="F19462" s="51">
        <f>VLOOKUP(A19462,'Componentes APUs'!$N$1:$Q$30,4,0)</f>
        <v>46030656</v>
      </c>
      <c r="G19462" s="51">
        <f>IFERROR(ROUNDUP(F19462*(E19462/21)/E19405,0),0)</f>
        <v>0</v>
      </c>
    </row>
    <row r="19463" spans="1:7" x14ac:dyDescent="0.25">
      <c r="A19463" s="219" t="s">
        <v>99</v>
      </c>
      <c r="B19463" s="219"/>
      <c r="C19463" s="219"/>
      <c r="D19463" s="219"/>
      <c r="E19463" s="219"/>
      <c r="F19463" s="219"/>
      <c r="G19463" s="52">
        <f>SUM(G19458:G19462)</f>
        <v>43651</v>
      </c>
    </row>
    <row r="19464" spans="1:7" x14ac:dyDescent="0.25">
      <c r="A19464" s="56"/>
      <c r="B19464" s="57"/>
      <c r="C19464" s="57"/>
      <c r="D19464" s="57"/>
      <c r="E19464" s="57"/>
      <c r="F19464" s="57"/>
      <c r="G19464" s="58"/>
    </row>
    <row r="19465" spans="1:7" x14ac:dyDescent="0.25">
      <c r="A19465" s="219" t="s">
        <v>1516</v>
      </c>
      <c r="B19465" s="219"/>
      <c r="C19465" s="219"/>
      <c r="D19465" s="219"/>
      <c r="E19465" s="219"/>
      <c r="F19465" s="219"/>
      <c r="G19465" s="52">
        <f>G19463+G19454+G19437+G19427+G19416</f>
        <v>5397426</v>
      </c>
    </row>
    <row r="19466" spans="1:7" x14ac:dyDescent="0.25">
      <c r="A19466" s="59"/>
      <c r="B19466" s="60"/>
      <c r="C19466" s="60"/>
      <c r="D19466" s="60"/>
      <c r="E19466" s="57"/>
      <c r="F19466" s="57"/>
      <c r="G19466" s="58"/>
    </row>
    <row r="19467" spans="1:7" x14ac:dyDescent="0.25">
      <c r="A19467" s="64"/>
      <c r="D19467" s="55"/>
      <c r="E19467" s="49" t="s">
        <v>25</v>
      </c>
      <c r="F19467" s="54">
        <v>0.15</v>
      </c>
      <c r="G19467" s="51">
        <f>G19465*F19467</f>
        <v>809613.9</v>
      </c>
    </row>
    <row r="19468" spans="1:7" x14ac:dyDescent="0.25">
      <c r="A19468" s="64"/>
      <c r="D19468" s="55"/>
      <c r="E19468" s="49" t="s">
        <v>26</v>
      </c>
      <c r="F19468" s="54">
        <v>0.05</v>
      </c>
      <c r="G19468" s="51">
        <f>G19465*F19468</f>
        <v>269871.3</v>
      </c>
    </row>
    <row r="19469" spans="1:7" x14ac:dyDescent="0.25">
      <c r="A19469" s="61"/>
      <c r="B19469" s="65"/>
      <c r="C19469" s="65"/>
      <c r="D19469" s="62"/>
      <c r="E19469" s="49" t="s">
        <v>27</v>
      </c>
      <c r="F19469" s="54">
        <v>0.05</v>
      </c>
      <c r="G19469" s="51">
        <f>G19465*F19469</f>
        <v>269871.3</v>
      </c>
    </row>
    <row r="19470" spans="1:7" x14ac:dyDescent="0.25">
      <c r="A19470" s="61"/>
      <c r="B19470" s="62"/>
      <c r="C19470" s="62"/>
      <c r="D19470" s="62"/>
      <c r="E19470" s="62"/>
      <c r="F19470" s="62"/>
      <c r="G19470" s="63"/>
    </row>
    <row r="19471" spans="1:7" x14ac:dyDescent="0.25">
      <c r="A19471" s="219" t="s">
        <v>1517</v>
      </c>
      <c r="B19471" s="219"/>
      <c r="C19471" s="219"/>
      <c r="D19471" s="219"/>
      <c r="E19471" s="219"/>
      <c r="F19471" s="219"/>
      <c r="G19471" s="52">
        <f>G19465+G19467+G19468+G19469</f>
        <v>6746782.5</v>
      </c>
    </row>
    <row r="19472" spans="1:7" x14ac:dyDescent="0.25">
      <c r="A19472" s="59"/>
      <c r="B19472" s="60"/>
      <c r="C19472" s="60"/>
      <c r="D19472" s="60"/>
      <c r="E19472" s="57"/>
      <c r="F19472" s="57"/>
      <c r="G19472" s="58"/>
    </row>
    <row r="19473" spans="1:9" x14ac:dyDescent="0.25">
      <c r="A19473" s="64"/>
      <c r="D19473" s="55"/>
      <c r="E19473" s="49" t="s">
        <v>102</v>
      </c>
      <c r="F19473" s="49" t="s">
        <v>103</v>
      </c>
      <c r="G19473" s="51">
        <f>G19469*19%</f>
        <v>51275.546999999999</v>
      </c>
    </row>
    <row r="19474" spans="1:9" x14ac:dyDescent="0.25">
      <c r="A19474" s="61"/>
      <c r="B19474" s="62"/>
      <c r="C19474" s="62"/>
      <c r="D19474" s="62"/>
      <c r="E19474" s="57"/>
      <c r="F19474" s="57"/>
      <c r="G19474" s="58"/>
    </row>
    <row r="19475" spans="1:9" x14ac:dyDescent="0.25">
      <c r="A19475" s="219" t="s">
        <v>104</v>
      </c>
      <c r="B19475" s="219"/>
      <c r="C19475" s="219"/>
      <c r="D19475" s="219"/>
      <c r="E19475" s="219"/>
      <c r="F19475" s="219"/>
      <c r="G19475" s="52">
        <f>G19473+G19471</f>
        <v>6798058.0470000003</v>
      </c>
    </row>
    <row r="19477" spans="1:9" x14ac:dyDescent="0.25">
      <c r="A19477" s="74" t="s">
        <v>29</v>
      </c>
      <c r="B19477" s="226" t="s">
        <v>30</v>
      </c>
      <c r="C19477" s="226"/>
      <c r="D19477" s="74" t="s">
        <v>31</v>
      </c>
      <c r="E19477" s="74" t="s">
        <v>32</v>
      </c>
      <c r="F19477" s="74" t="s">
        <v>189</v>
      </c>
      <c r="G19477" s="74" t="s">
        <v>33</v>
      </c>
    </row>
    <row r="19478" spans="1:9" ht="37.5" customHeight="1" x14ac:dyDescent="0.25">
      <c r="A19478" s="50" t="str">
        <f>Presupuesto!B376</f>
        <v>045_AUX</v>
      </c>
      <c r="B19478" s="220" t="str">
        <f>Presupuesto!C376</f>
        <v>SUMINISTRO E INSTALACIÓN DE LUMINARIA LED DE EMERGENCIA 16 W. 8  LUMENES. 100 - 277 V.  INCRUSTAR O SOBREPONER. CABLE 3X16 AWG, CLAVIJA POLO A TIERRA, PRENSAESTOPA.</v>
      </c>
      <c r="C19478" s="220"/>
      <c r="D19478" s="50" t="s">
        <v>8</v>
      </c>
      <c r="E19478" s="50">
        <v>25</v>
      </c>
      <c r="F19478" s="50"/>
      <c r="G19478" s="51">
        <f>G19548</f>
        <v>217151.65449999998</v>
      </c>
    </row>
    <row r="19479" spans="1:9" x14ac:dyDescent="0.25">
      <c r="A19479" s="219" t="s">
        <v>34</v>
      </c>
      <c r="B19479" s="219"/>
      <c r="C19479" s="219"/>
      <c r="D19479" s="219"/>
      <c r="E19479" s="219"/>
      <c r="F19479" s="219"/>
      <c r="G19479" s="219"/>
    </row>
    <row r="19480" spans="1:9" x14ac:dyDescent="0.25">
      <c r="A19480" s="49" t="s">
        <v>35</v>
      </c>
      <c r="B19480" s="219" t="s">
        <v>36</v>
      </c>
      <c r="C19480" s="219"/>
      <c r="D19480" s="49" t="s">
        <v>37</v>
      </c>
      <c r="E19480" s="49" t="s">
        <v>38</v>
      </c>
      <c r="F19480" s="49" t="s">
        <v>39</v>
      </c>
      <c r="G19480" s="49" t="s">
        <v>40</v>
      </c>
    </row>
    <row r="19481" spans="1:9" x14ac:dyDescent="0.25">
      <c r="A19481" s="17" t="str">
        <f>Material!A379</f>
        <v>MA-378</v>
      </c>
      <c r="B19481" s="72" t="str">
        <f>IFERROR(VLOOKUP(A19481,Material!$A:$H,2,0),"-")</f>
        <v>LUMINARIA LED EMERGENCIA 2 X 16W</v>
      </c>
      <c r="C19481" s="73"/>
      <c r="D19481" s="50" t="str">
        <f>IFERROR(VLOOKUP(A19481,Material!$A:$H,4,0),"-")</f>
        <v>UN</v>
      </c>
      <c r="E19481" s="50">
        <v>1</v>
      </c>
      <c r="F19481" s="51">
        <f>IFERROR(VLOOKUP(A19481,Material!$A:$H,3,0),"-")</f>
        <v>101140</v>
      </c>
      <c r="G19481" s="51">
        <f t="shared" ref="G19481:G19488" si="281">IFERROR(ROUNDUP(F19481*E19481,0),"-")</f>
        <v>101140</v>
      </c>
    </row>
    <row r="19482" spans="1:9" x14ac:dyDescent="0.25">
      <c r="A19482" s="17" t="str">
        <f>Material!A128</f>
        <v>MA-127</v>
      </c>
      <c r="B19482" s="72" t="str">
        <f>IFERROR(VLOOKUP(A19482,Material!$A:$H,2,0),"-")</f>
        <v>CABLE ENCAUCHETADO 3 X 16 AWG COBRE</v>
      </c>
      <c r="C19482" s="76"/>
      <c r="D19482" s="50" t="str">
        <f>IFERROR(VLOOKUP(A19482,Material!$A:$H,4,0),"-")</f>
        <v>ML</v>
      </c>
      <c r="E19482" s="50">
        <v>0.5</v>
      </c>
      <c r="F19482" s="51">
        <f>IFERROR(VLOOKUP(A19482,Material!$A:$H,3,0),"-")</f>
        <v>6175</v>
      </c>
      <c r="G19482" s="51">
        <f t="shared" si="281"/>
        <v>3088</v>
      </c>
    </row>
    <row r="19483" spans="1:9" x14ac:dyDescent="0.25">
      <c r="A19483" s="17" t="str">
        <f>Material!A149</f>
        <v>MA-148</v>
      </c>
      <c r="B19483" s="72" t="str">
        <f>IFERROR(VLOOKUP(A19483,Material!$A:$H,2,0),"-")</f>
        <v>CLAVIJA CON POLO A TIERRA</v>
      </c>
      <c r="C19483" s="76"/>
      <c r="D19483" s="50" t="str">
        <f>IFERROR(VLOOKUP(A19483,Material!$A:$H,4,0),"-")</f>
        <v>UN</v>
      </c>
      <c r="E19483" s="50">
        <v>1</v>
      </c>
      <c r="F19483" s="51">
        <f>IFERROR(VLOOKUP(A19483,Material!$A:$H,3,0),"-")</f>
        <v>6825</v>
      </c>
      <c r="G19483" s="51">
        <f t="shared" si="281"/>
        <v>6825</v>
      </c>
    </row>
    <row r="19484" spans="1:9" x14ac:dyDescent="0.25">
      <c r="A19484" s="17" t="str">
        <f>Material!A240</f>
        <v>MA-239</v>
      </c>
      <c r="B19484" s="72" t="str">
        <f>IFERROR(VLOOKUP(A19484,Material!$A:$H,2,0),"-")</f>
        <v>PRENSA ESTOPA DE 1/2</v>
      </c>
      <c r="C19484" s="76"/>
      <c r="D19484" s="50" t="str">
        <f>IFERROR(VLOOKUP(A19484,Material!$A:$H,4,0),"-")</f>
        <v>UN</v>
      </c>
      <c r="E19484" s="50">
        <v>1</v>
      </c>
      <c r="F19484" s="51">
        <f>IFERROR(VLOOKUP(A19484,Material!$A:$H,3,0),"-")</f>
        <v>3900</v>
      </c>
      <c r="G19484" s="51">
        <f t="shared" si="281"/>
        <v>3900</v>
      </c>
    </row>
    <row r="19485" spans="1:9" x14ac:dyDescent="0.25">
      <c r="A19485" s="17" t="str">
        <f>Material!A228</f>
        <v>MA-227</v>
      </c>
      <c r="B19485" s="72" t="str">
        <f>IFERROR(VLOOKUP(A19485,Material!$A:$H,2,0),"-")</f>
        <v>TERMINAL SOLDER AMARILLO 22-14 VCP</v>
      </c>
      <c r="C19485" s="76"/>
      <c r="D19485" s="50" t="str">
        <f>IFERROR(VLOOKUP(A19485,Material!$A:$H,4,0),"-")</f>
        <v>UN</v>
      </c>
      <c r="E19485" s="50">
        <v>0.05</v>
      </c>
      <c r="F19485" s="51">
        <f>IFERROR(VLOOKUP(A19485,Material!$A:$H,3,0),"-")</f>
        <v>299</v>
      </c>
      <c r="G19485" s="51">
        <f t="shared" si="281"/>
        <v>15</v>
      </c>
    </row>
    <row r="19486" spans="1:9" x14ac:dyDescent="0.25">
      <c r="A19486" s="17" t="str">
        <f>Material!A244</f>
        <v>MA-243</v>
      </c>
      <c r="B19486" s="72" t="str">
        <f>IFERROR(VLOOKUP(A19486,Material!$A:$H,2,0),"-")</f>
        <v>ENVÍO DE LUMINARIA</v>
      </c>
      <c r="C19486" s="76"/>
      <c r="D19486" s="50" t="str">
        <f>IFERROR(VLOOKUP(A19486,Material!$A:$H,4,0),"-")</f>
        <v>UN</v>
      </c>
      <c r="E19486" s="50">
        <v>1</v>
      </c>
      <c r="F19486" s="51">
        <f>IFERROR(VLOOKUP(A19486,Material!$A:$H,3,0),"-")</f>
        <v>19500</v>
      </c>
      <c r="G19486" s="51">
        <f t="shared" si="281"/>
        <v>19500</v>
      </c>
    </row>
    <row r="19487" spans="1:9" x14ac:dyDescent="0.25">
      <c r="A19487" s="17"/>
      <c r="B19487" s="72" t="str">
        <f>IFERROR(VLOOKUP(A19487,Material!$A:$H,2,0),"-")</f>
        <v>-</v>
      </c>
      <c r="C19487" s="76"/>
      <c r="D19487" s="50" t="str">
        <f>IFERROR(VLOOKUP(A19487,Material!$A:$H,4,0),"-")</f>
        <v>-</v>
      </c>
      <c r="E19487" s="50"/>
      <c r="F19487" s="51" t="str">
        <f>IFERROR(VLOOKUP(A19487,Material!$A:$H,3,0),"-")</f>
        <v>-</v>
      </c>
      <c r="G19487" s="51" t="str">
        <f t="shared" si="281"/>
        <v>-</v>
      </c>
      <c r="I19487" s="97"/>
    </row>
    <row r="19488" spans="1:9" x14ac:dyDescent="0.25">
      <c r="A19488" s="17"/>
      <c r="B19488" s="72" t="str">
        <f>IFERROR(VLOOKUP(A19488,Material!$A:$H,2,0),"-")</f>
        <v>-</v>
      </c>
      <c r="C19488" s="76"/>
      <c r="D19488" s="50" t="str">
        <f>IFERROR(VLOOKUP(A19488,Material!$A:$H,4,0),"-")</f>
        <v>-</v>
      </c>
      <c r="E19488" s="50"/>
      <c r="F19488" s="51" t="str">
        <f>IFERROR(VLOOKUP(A19488,Material!$A:$H,3,0),"-")</f>
        <v>-</v>
      </c>
      <c r="G19488" s="51" t="str">
        <f t="shared" si="281"/>
        <v>-</v>
      </c>
    </row>
    <row r="19489" spans="1:9" x14ac:dyDescent="0.25">
      <c r="A19489" s="219" t="s">
        <v>41</v>
      </c>
      <c r="B19489" s="219"/>
      <c r="C19489" s="219"/>
      <c r="D19489" s="219"/>
      <c r="E19489" s="219"/>
      <c r="F19489" s="219"/>
      <c r="G19489" s="52">
        <f>SUM(G19481:G19488)</f>
        <v>134468</v>
      </c>
    </row>
    <row r="19490" spans="1:9" x14ac:dyDescent="0.25">
      <c r="A19490" s="56"/>
      <c r="B19490" s="57"/>
      <c r="C19490" s="57"/>
      <c r="D19490" s="57"/>
      <c r="E19490" s="57"/>
      <c r="F19490" s="57"/>
      <c r="G19490" s="58"/>
      <c r="I19490" s="97"/>
    </row>
    <row r="19491" spans="1:9" x14ac:dyDescent="0.25">
      <c r="A19491" s="219" t="s">
        <v>42</v>
      </c>
      <c r="B19491" s="219"/>
      <c r="C19491" s="219"/>
      <c r="D19491" s="219"/>
      <c r="E19491" s="219"/>
      <c r="F19491" s="219"/>
      <c r="G19491" s="219"/>
    </row>
    <row r="19492" spans="1:9" x14ac:dyDescent="0.25">
      <c r="A19492" s="49" t="s">
        <v>35</v>
      </c>
      <c r="B19492" s="49" t="s">
        <v>36</v>
      </c>
      <c r="C19492" s="49" t="s">
        <v>38</v>
      </c>
      <c r="D19492" s="49" t="s">
        <v>43</v>
      </c>
      <c r="E19492" s="49" t="s">
        <v>44</v>
      </c>
      <c r="F19492" s="49" t="s">
        <v>45</v>
      </c>
      <c r="G19492" s="49" t="s">
        <v>40</v>
      </c>
    </row>
    <row r="19493" spans="1:9" x14ac:dyDescent="0.25">
      <c r="A19493" s="50" t="s">
        <v>319</v>
      </c>
      <c r="B19493" s="68" t="str">
        <f>VLOOKUP(A19493,'Componentes APUs'!$H$1:$L$25,2,0)</f>
        <v>Ingeniero Residente de Obra</v>
      </c>
      <c r="C19493" s="93">
        <v>0.25</v>
      </c>
      <c r="D19493" s="50">
        <f>VLOOKUP(A19493,'Componentes APUs'!$H$1:$L$25,3,0)</f>
        <v>4</v>
      </c>
      <c r="E19493" s="51">
        <f>VLOOKUP(A19493,'Componentes APUs'!$H$1:$L$25,4,0)</f>
        <v>271142.85714285716</v>
      </c>
      <c r="F19493" s="51">
        <f>VLOOKUP(A19493,'Componentes APUs'!$H$1:$L$25,5,0)</f>
        <v>162685.71428571429</v>
      </c>
      <c r="G19493" s="51">
        <f>ROUNDUP((E19493+F19493)*C19493/E19478,0)</f>
        <v>4339</v>
      </c>
    </row>
    <row r="19494" spans="1:9" x14ac:dyDescent="0.25">
      <c r="A19494" s="50" t="s">
        <v>320</v>
      </c>
      <c r="B19494" s="68" t="str">
        <f>VLOOKUP(A19494,'Componentes APUs'!$H$1:$L$25,2,0)</f>
        <v>Tecnico Supervisor</v>
      </c>
      <c r="C19494" s="93">
        <v>0.25</v>
      </c>
      <c r="D19494" s="50">
        <f>VLOOKUP(A19494,'Componentes APUs'!$H$1:$L$25,3,0)</f>
        <v>2.2999999999999998</v>
      </c>
      <c r="E19494" s="51">
        <f>VLOOKUP(A19494,'Componentes APUs'!$H$1:$L$25,4,0)</f>
        <v>155907.14285714284</v>
      </c>
      <c r="F19494" s="51">
        <f>VLOOKUP(A19494,'Componentes APUs'!$H$1:$L$25,5,0)</f>
        <v>93544.285714285696</v>
      </c>
      <c r="G19494" s="51">
        <f>ROUNDUP((E19494+F19494)*C19494/E19478,0)</f>
        <v>2495</v>
      </c>
    </row>
    <row r="19495" spans="1:9" x14ac:dyDescent="0.25">
      <c r="A19495" s="50" t="s">
        <v>1160</v>
      </c>
      <c r="B19495" s="68" t="str">
        <f>VLOOKUP(A19495,'Componentes APUs'!$H$1:$L$25,2,0)</f>
        <v>Oficial Eléctrico</v>
      </c>
      <c r="C19495" s="93">
        <v>1</v>
      </c>
      <c r="D19495" s="50">
        <f>VLOOKUP(A19495,'Componentes APUs'!$H$1:$L$25,3,0)</f>
        <v>2</v>
      </c>
      <c r="E19495" s="51">
        <f>VLOOKUP(A19495,'Componentes APUs'!$H$1:$L$25,4,0)</f>
        <v>154619.04761904763</v>
      </c>
      <c r="F19495" s="51">
        <f>VLOOKUP(A19495,'Componentes APUs'!$H$1:$L$25,5,0)</f>
        <v>92771.42857142858</v>
      </c>
      <c r="G19495" s="51">
        <f>ROUNDUP((E19495+F19495)*C19495/E19478,0)</f>
        <v>9896</v>
      </c>
    </row>
    <row r="19496" spans="1:9" x14ac:dyDescent="0.25">
      <c r="A19496" s="50" t="s">
        <v>48</v>
      </c>
      <c r="B19496" s="68" t="str">
        <f>VLOOKUP(A19496,'Componentes APUs'!$H$1:$L$25,2,0)</f>
        <v>Ayudante Calificado</v>
      </c>
      <c r="C19496" s="93">
        <v>1</v>
      </c>
      <c r="D19496" s="50">
        <f>VLOOKUP(A19496,'Componentes APUs'!$H$1:$L$25,3,0)</f>
        <v>1.5</v>
      </c>
      <c r="E19496" s="51">
        <f>VLOOKUP(A19496,'Componentes APUs'!$H$1:$L$25,4,0)</f>
        <v>115964.28571428571</v>
      </c>
      <c r="F19496" s="51">
        <f>VLOOKUP(A19496,'Componentes APUs'!$H$1:$L$25,5,0)</f>
        <v>69578.57142857142</v>
      </c>
      <c r="G19496" s="51">
        <f>ROUNDUP((E19496+F19496)*C19496/E19478,0)</f>
        <v>7422</v>
      </c>
    </row>
    <row r="19497" spans="1:9" x14ac:dyDescent="0.25">
      <c r="A19497" s="50" t="s">
        <v>50</v>
      </c>
      <c r="B19497" s="68" t="str">
        <f>VLOOKUP(A19497,'Componentes APUs'!$H$1:$L$25,2,0)</f>
        <v>Profesional en SST</v>
      </c>
      <c r="C19497" s="93">
        <v>0.25</v>
      </c>
      <c r="D19497" s="50">
        <f>VLOOKUP(A19497,'Componentes APUs'!$H$1:$L$25,3,0)</f>
        <v>2.5</v>
      </c>
      <c r="E19497" s="51">
        <f>VLOOKUP(A19497,'Componentes APUs'!$H$1:$L$25,4,0)</f>
        <v>169464.28571428571</v>
      </c>
      <c r="F19497" s="51">
        <f>VLOOKUP(A19497,'Componentes APUs'!$H$1:$L$25,5,0)</f>
        <v>101678.57142857142</v>
      </c>
      <c r="G19497" s="51">
        <f>ROUNDUP((E19497+F19497)*C19497/E19478,0)</f>
        <v>2712</v>
      </c>
    </row>
    <row r="19498" spans="1:9" x14ac:dyDescent="0.25">
      <c r="A19498" s="50" t="s">
        <v>52</v>
      </c>
      <c r="B19498" s="68" t="str">
        <f>VLOOKUP(A19498,'Componentes APUs'!$H$1:$L$25,2,0)</f>
        <v>Ayudante No Calificado</v>
      </c>
      <c r="C19498" s="93">
        <v>0</v>
      </c>
      <c r="D19498" s="50">
        <f>VLOOKUP(A19498,'Componentes APUs'!$H$1:$L$25,3,0)</f>
        <v>1</v>
      </c>
      <c r="E19498" s="51">
        <f>VLOOKUP(A19498,'Componentes APUs'!$H$1:$L$25,4,0)</f>
        <v>77309.523809523816</v>
      </c>
      <c r="F19498" s="51">
        <f>VLOOKUP(A19498,'Componentes APUs'!$H$1:$L$25,5,0)</f>
        <v>46385.71428571429</v>
      </c>
      <c r="G19498" s="51">
        <f>ROUNDUP((E19498+F19498)*C19498/E19478,0)</f>
        <v>0</v>
      </c>
    </row>
    <row r="19499" spans="1:9" x14ac:dyDescent="0.25">
      <c r="A19499" s="50" t="s">
        <v>1121</v>
      </c>
      <c r="B19499" s="68" t="str">
        <f>VLOOKUP(A19499,'Componentes APUs'!$H$1:$L$25,2,0)</f>
        <v>Ingeniero Especialista de Control y Protección Subestación</v>
      </c>
      <c r="C19499" s="93">
        <v>0</v>
      </c>
      <c r="D19499" s="50">
        <f>VLOOKUP(A19499,'Componentes APUs'!$H$1:$L$25,3,0)</f>
        <v>14</v>
      </c>
      <c r="E19499" s="51">
        <f>VLOOKUP(A19499,'Componentes APUs'!$H$1:$L$25,4,0)</f>
        <v>949000</v>
      </c>
      <c r="F19499" s="51">
        <f>VLOOKUP(A19499,'Componentes APUs'!$H$1:$L$25,5,0)</f>
        <v>569400</v>
      </c>
      <c r="G19499" s="51">
        <f>ROUNDUP((E19499+F19499)*C19499/E19478,0)</f>
        <v>0</v>
      </c>
    </row>
    <row r="19500" spans="1:9" x14ac:dyDescent="0.25">
      <c r="A19500" s="219" t="s">
        <v>56</v>
      </c>
      <c r="B19500" s="219"/>
      <c r="C19500" s="219"/>
      <c r="D19500" s="219"/>
      <c r="E19500" s="219"/>
      <c r="F19500" s="219"/>
      <c r="G19500" s="52">
        <f>SUM(G19493:G19499)</f>
        <v>26864</v>
      </c>
    </row>
    <row r="19501" spans="1:9" x14ac:dyDescent="0.25">
      <c r="A19501" s="56"/>
      <c r="B19501" s="57"/>
      <c r="C19501" s="57"/>
      <c r="D19501" s="57"/>
      <c r="E19501" s="57"/>
      <c r="F19501" s="57"/>
      <c r="G19501" s="58"/>
    </row>
    <row r="19502" spans="1:9" x14ac:dyDescent="0.25">
      <c r="A19502" s="219" t="s">
        <v>57</v>
      </c>
      <c r="B19502" s="219"/>
      <c r="C19502" s="219"/>
      <c r="D19502" s="219"/>
      <c r="E19502" s="219"/>
      <c r="F19502" s="219"/>
      <c r="G19502" s="219"/>
    </row>
    <row r="19503" spans="1:9" x14ac:dyDescent="0.25">
      <c r="A19503" s="49" t="s">
        <v>35</v>
      </c>
      <c r="B19503" s="219" t="s">
        <v>36</v>
      </c>
      <c r="C19503" s="219"/>
      <c r="D19503" s="49" t="s">
        <v>37</v>
      </c>
      <c r="E19503" s="49" t="s">
        <v>38</v>
      </c>
      <c r="F19503" s="49" t="s">
        <v>39</v>
      </c>
      <c r="G19503" s="49" t="s">
        <v>40</v>
      </c>
    </row>
    <row r="19504" spans="1:9" x14ac:dyDescent="0.25">
      <c r="A19504" s="50" t="s">
        <v>326</v>
      </c>
      <c r="B19504" s="220" t="str">
        <f>VLOOKUP(A19504,'Componentes APUs'!$S$1:$V$10,2,0)</f>
        <v>Juego Llaves</v>
      </c>
      <c r="C19504" s="220"/>
      <c r="D19504" s="50" t="s">
        <v>18</v>
      </c>
      <c r="E19504" s="50">
        <v>2</v>
      </c>
      <c r="F19504" s="51">
        <f>VLOOKUP(A19504,'Componentes APUs'!$S$1:$V$10,4,0)</f>
        <v>9167</v>
      </c>
      <c r="G19504" s="51">
        <f>ROUNDUP(F19504*((E19504/21)/E19478),0)</f>
        <v>35</v>
      </c>
    </row>
    <row r="19505" spans="1:7" x14ac:dyDescent="0.25">
      <c r="A19505" s="50" t="s">
        <v>58</v>
      </c>
      <c r="B19505" s="220" t="str">
        <f>VLOOKUP(A19505,'Componentes APUs'!$S$1:$V$10,2,0)</f>
        <v>Manila de servicio</v>
      </c>
      <c r="C19505" s="220"/>
      <c r="D19505" s="50" t="s">
        <v>18</v>
      </c>
      <c r="E19505" s="50">
        <v>0</v>
      </c>
      <c r="F19505" s="51">
        <f>VLOOKUP(A19505,'Componentes APUs'!$S$1:$V$10,4,0)</f>
        <v>2333</v>
      </c>
      <c r="G19505" s="51">
        <f>ROUNDUP(F19505*((E19505/21)/E19478),0)</f>
        <v>0</v>
      </c>
    </row>
    <row r="19506" spans="1:7" x14ac:dyDescent="0.25">
      <c r="A19506" s="50" t="s">
        <v>327</v>
      </c>
      <c r="B19506" s="220" t="str">
        <f>VLOOKUP(A19506,'Componentes APUs'!$S$1:$V$10,2,0)</f>
        <v>Tula portaherramientas</v>
      </c>
      <c r="C19506" s="220"/>
      <c r="D19506" s="50" t="s">
        <v>18</v>
      </c>
      <c r="E19506" s="50">
        <v>2</v>
      </c>
      <c r="F19506" s="51">
        <f>VLOOKUP(A19506,'Componentes APUs'!$S$1:$V$10,4,0)</f>
        <v>1250</v>
      </c>
      <c r="G19506" s="51">
        <f>ROUNDUP(F19506*((E19506/21)/E19478),0)</f>
        <v>5</v>
      </c>
    </row>
    <row r="19507" spans="1:7" x14ac:dyDescent="0.25">
      <c r="A19507" s="50" t="s">
        <v>60</v>
      </c>
      <c r="B19507" s="220" t="str">
        <f>VLOOKUP(A19507,'Componentes APUs'!$S$1:$V$10,2,0)</f>
        <v>Agarradoras</v>
      </c>
      <c r="C19507" s="220"/>
      <c r="D19507" s="50" t="s">
        <v>18</v>
      </c>
      <c r="E19507" s="50">
        <v>0</v>
      </c>
      <c r="F19507" s="51">
        <f>VLOOKUP(A19507,'Componentes APUs'!$S$1:$V$10,4,0)</f>
        <v>125000</v>
      </c>
      <c r="G19507" s="51">
        <f>ROUNDUP(F19507*((E19507/21)/E19478),0)</f>
        <v>0</v>
      </c>
    </row>
    <row r="19508" spans="1:7" x14ac:dyDescent="0.25">
      <c r="A19508" s="50" t="s">
        <v>62</v>
      </c>
      <c r="B19508" s="220" t="str">
        <f>VLOOKUP(A19508,'Componentes APUs'!$S$1:$V$10,2,0)</f>
        <v>Templadoras</v>
      </c>
      <c r="C19508" s="220"/>
      <c r="D19508" s="50" t="s">
        <v>18</v>
      </c>
      <c r="E19508" s="50">
        <v>0</v>
      </c>
      <c r="F19508" s="51">
        <f>VLOOKUP(A19508,'Componentes APUs'!$S$1:$V$10,4,0)</f>
        <v>250000</v>
      </c>
      <c r="G19508" s="51">
        <f>ROUNDUP(F19508*((E19508/21)/E19478),0)</f>
        <v>0</v>
      </c>
    </row>
    <row r="19509" spans="1:7" x14ac:dyDescent="0.25">
      <c r="A19509" s="50" t="s">
        <v>328</v>
      </c>
      <c r="B19509" s="220" t="str">
        <f>VLOOKUP(A19509,'Componentes APUs'!$S$1:$V$10,2,0)</f>
        <v>Herramienta Menor</v>
      </c>
      <c r="C19509" s="220"/>
      <c r="D19509" s="50" t="s">
        <v>18</v>
      </c>
      <c r="E19509" s="50">
        <v>2</v>
      </c>
      <c r="F19509" s="51">
        <f>VLOOKUP(A19509,'Componentes APUs'!$S$1:$V$10,4,0)</f>
        <v>75758</v>
      </c>
      <c r="G19509" s="51">
        <f>ROUNDUP(F19509*((E19509/21)/E19478),0)</f>
        <v>289</v>
      </c>
    </row>
    <row r="19510" spans="1:7" x14ac:dyDescent="0.25">
      <c r="A19510" s="219" t="s">
        <v>69</v>
      </c>
      <c r="B19510" s="219"/>
      <c r="C19510" s="219"/>
      <c r="D19510" s="219"/>
      <c r="E19510" s="219"/>
      <c r="F19510" s="219"/>
      <c r="G19510" s="52">
        <f>SUM(G19504:G19509)</f>
        <v>329</v>
      </c>
    </row>
    <row r="19511" spans="1:7" x14ac:dyDescent="0.25">
      <c r="A19511" s="56"/>
      <c r="B19511" s="57"/>
      <c r="C19511" s="57"/>
      <c r="D19511" s="57"/>
      <c r="E19511" s="57"/>
      <c r="F19511" s="57"/>
      <c r="G19511" s="58"/>
    </row>
    <row r="19512" spans="1:7" x14ac:dyDescent="0.25">
      <c r="A19512" s="219" t="s">
        <v>70</v>
      </c>
      <c r="B19512" s="219"/>
      <c r="C19512" s="219"/>
      <c r="D19512" s="219"/>
      <c r="E19512" s="219"/>
      <c r="F19512" s="219"/>
      <c r="G19512" s="219"/>
    </row>
    <row r="19513" spans="1:7" x14ac:dyDescent="0.25">
      <c r="A19513" s="49" t="s">
        <v>35</v>
      </c>
      <c r="B19513" s="219" t="s">
        <v>36</v>
      </c>
      <c r="C19513" s="219"/>
      <c r="D19513" s="49" t="s">
        <v>37</v>
      </c>
      <c r="E19513" s="49" t="s">
        <v>38</v>
      </c>
      <c r="F19513" s="49" t="s">
        <v>39</v>
      </c>
      <c r="G19513" s="49" t="s">
        <v>40</v>
      </c>
    </row>
    <row r="19514" spans="1:7" x14ac:dyDescent="0.25">
      <c r="A19514" s="50" t="s">
        <v>71</v>
      </c>
      <c r="B19514" s="71" t="str">
        <f>VLOOKUP(A19514,'Componentes APUs'!$A$1:$D$14,2,0)</f>
        <v>Camisa indigo sin partes metalicas</v>
      </c>
      <c r="C19514" s="71"/>
      <c r="D19514" s="50" t="str">
        <f>VLOOKUP(A19514,'Componentes APUs'!$A$1:$D$14,3,0)</f>
        <v>U</v>
      </c>
      <c r="E19514" s="50">
        <f>SUM(C19493:C19499)</f>
        <v>2.75</v>
      </c>
      <c r="F19514" s="51">
        <f>VLOOKUP(A19514,'Componentes APUs'!$A$1:$D$14,4,0)</f>
        <v>8585.8585858585866</v>
      </c>
      <c r="G19514" s="51">
        <f>ROUNDUP(F19514*(E19514/21)/E19478,0)</f>
        <v>45</v>
      </c>
    </row>
    <row r="19515" spans="1:7" x14ac:dyDescent="0.25">
      <c r="A19515" s="69" t="s">
        <v>73</v>
      </c>
      <c r="B19515" s="72" t="str">
        <f>VLOOKUP(A19515,'Componentes APUs'!$A$1:$D$14,2,0)</f>
        <v>Bota de seguridad dielectrica</v>
      </c>
      <c r="C19515" s="73"/>
      <c r="D19515" s="70" t="str">
        <f>VLOOKUP(A19515,'Componentes APUs'!$A$1:$D$14,3,0)</f>
        <v>Par</v>
      </c>
      <c r="E19515" s="50">
        <f>SUM(C19493:C19499)</f>
        <v>2.75</v>
      </c>
      <c r="F19515" s="51">
        <f>VLOOKUP(A19515,'Componentes APUs'!$A$1:$D$14,4,0)</f>
        <v>7500</v>
      </c>
      <c r="G19515" s="51">
        <f>ROUNDUP(F19515*(E19515/21)/E19478,0)</f>
        <v>40</v>
      </c>
    </row>
    <row r="19516" spans="1:7" x14ac:dyDescent="0.25">
      <c r="A19516" s="50" t="s">
        <v>76</v>
      </c>
      <c r="B19516" s="72" t="str">
        <f>VLOOKUP(A19516,'Componentes APUs'!$A$1:$D$14,2,0)</f>
        <v>Casco dielectrico Tipo 1 Clase E con barbuquejo</v>
      </c>
      <c r="C19516" s="73"/>
      <c r="D19516" s="50" t="str">
        <f>VLOOKUP(A19516,'Componentes APUs'!$A$1:$D$14,3,0)</f>
        <v>U</v>
      </c>
      <c r="E19516" s="50">
        <f>C19493+C19499+C19494+C19497+C19498+C19496+IF(A19495&lt;&gt;"MO-3",C19495,0)</f>
        <v>2.75</v>
      </c>
      <c r="F19516" s="51">
        <f>VLOOKUP(A19516,'Componentes APUs'!$A$1:$D$14,4,0)</f>
        <v>10101.010101010101</v>
      </c>
      <c r="G19516" s="51">
        <f>ROUNDUP(F19516*(E19516/21)/E19478,0)</f>
        <v>53</v>
      </c>
    </row>
    <row r="19517" spans="1:7" x14ac:dyDescent="0.25">
      <c r="A19517" s="69" t="s">
        <v>77</v>
      </c>
      <c r="B19517" s="72" t="str">
        <f>VLOOKUP(A19517,'Componentes APUs'!$A$1:$D$14,2,0)</f>
        <v>Correa plastica y antiflama</v>
      </c>
      <c r="C19517" s="73"/>
      <c r="D19517" s="50" t="str">
        <f>VLOOKUP(A19517,'Componentes APUs'!$A$1:$D$14,3,0)</f>
        <v>U</v>
      </c>
      <c r="E19517" s="50">
        <f>SUM(C19493:C19499)</f>
        <v>2.75</v>
      </c>
      <c r="F19517" s="51">
        <f>VLOOKUP(A19517,'Componentes APUs'!$A$1:$D$14,4,0)</f>
        <v>3787.878787878788</v>
      </c>
      <c r="G19517" s="51">
        <f>ROUNDUP(F19517*(E19517/21)/E19478,0)</f>
        <v>20</v>
      </c>
    </row>
    <row r="19518" spans="1:7" x14ac:dyDescent="0.25">
      <c r="A19518" s="50" t="s">
        <v>79</v>
      </c>
      <c r="B19518" s="72" t="str">
        <f>VLOOKUP(A19518,'Componentes APUs'!$A$1:$D$14,2,0)</f>
        <v>Gafas protectoras filtro UV</v>
      </c>
      <c r="C19518" s="73"/>
      <c r="D19518" s="50" t="str">
        <f>VLOOKUP(A19518,'Componentes APUs'!$A$1:$D$14,3,0)</f>
        <v>U</v>
      </c>
      <c r="E19518" s="50">
        <f>SUM(C19493:C19499)</f>
        <v>2.75</v>
      </c>
      <c r="F19518" s="51">
        <f>VLOOKUP(A19518,'Componentes APUs'!$A$1:$D$14,4,0)</f>
        <v>2777.7777777777778</v>
      </c>
      <c r="G19518" s="51">
        <f>ROUNDUP(F19518*(E19518/21)/E19478,0)</f>
        <v>15</v>
      </c>
    </row>
    <row r="19519" spans="1:7" x14ac:dyDescent="0.25">
      <c r="A19519" s="69" t="s">
        <v>402</v>
      </c>
      <c r="B19519" s="72" t="str">
        <f>VLOOKUP(A19519,'Componentes APUs'!$A$1:$D$14,2,0)</f>
        <v>Bota de seguridad PVC dielectrica</v>
      </c>
      <c r="C19519" s="73"/>
      <c r="D19519" s="50" t="str">
        <f>VLOOKUP(A19519,'Componentes APUs'!$A$1:$D$14,3,0)</f>
        <v>Par</v>
      </c>
      <c r="E19519" s="50">
        <f>SUM(C19493:C19499)</f>
        <v>2.75</v>
      </c>
      <c r="F19519" s="51">
        <f>VLOOKUP(A19519,'Componentes APUs'!$A$1:$D$14,4,0)</f>
        <v>2916.6666666666665</v>
      </c>
      <c r="G19519" s="51">
        <f>ROUNDUP(F19519*(E19519/21)/E19478,0)</f>
        <v>16</v>
      </c>
    </row>
    <row r="19520" spans="1:7" x14ac:dyDescent="0.25">
      <c r="A19520" s="50" t="s">
        <v>403</v>
      </c>
      <c r="B19520" s="72" t="str">
        <f>VLOOKUP(A19520,'Componentes APUs'!$A$1:$D$14,2,0)</f>
        <v>Capuchon</v>
      </c>
      <c r="C19520" s="73"/>
      <c r="D19520" s="50" t="str">
        <f>VLOOKUP(A19520,'Componentes APUs'!$A$1:$D$14,3,0)</f>
        <v>U</v>
      </c>
      <c r="E19520" s="50">
        <f>SUM(C19493:C19498)</f>
        <v>2.75</v>
      </c>
      <c r="F19520" s="51">
        <f>VLOOKUP(A19520,'Componentes APUs'!$A$1:$D$14,4,0)</f>
        <v>2525.2525252525252</v>
      </c>
      <c r="G19520" s="51">
        <f>ROUNDUP(F19520*(E19520/21)/E19478,0)</f>
        <v>14</v>
      </c>
    </row>
    <row r="19521" spans="1:7" x14ac:dyDescent="0.25">
      <c r="A19521" s="69" t="s">
        <v>81</v>
      </c>
      <c r="B19521" s="72" t="str">
        <f>VLOOKUP(A19521,'Componentes APUs'!$A$1:$D$14,2,0)</f>
        <v>Guantes Protectores  - ingeniero reforzados</v>
      </c>
      <c r="C19521" s="73"/>
      <c r="D19521" s="50" t="str">
        <f>VLOOKUP(A19521,'Componentes APUs'!$A$1:$D$14,3,0)</f>
        <v>Par</v>
      </c>
      <c r="E19521" s="50">
        <f>C19495+C19496+C19498+C19499</f>
        <v>2</v>
      </c>
      <c r="F19521" s="51">
        <f>VLOOKUP(A19521,'Componentes APUs'!$A$1:$D$14,4,0)</f>
        <v>2525.2525252525252</v>
      </c>
      <c r="G19521" s="51">
        <f>ROUNDUP(F19521*(E19521/21)/E19478,0)</f>
        <v>10</v>
      </c>
    </row>
    <row r="19522" spans="1:7" x14ac:dyDescent="0.25">
      <c r="A19522" s="50" t="s">
        <v>83</v>
      </c>
      <c r="B19522" s="72" t="str">
        <f>VLOOKUP(A19522,'Componentes APUs'!$A$1:$D$14,2,0)</f>
        <v>Impermeable (pantalon camisa)</v>
      </c>
      <c r="C19522" s="73"/>
      <c r="D19522" s="50" t="str">
        <f>VLOOKUP(A19522,'Componentes APUs'!$A$1:$D$14,3,0)</f>
        <v>U</v>
      </c>
      <c r="E19522" s="50">
        <f>SUM(C19493:C19499)</f>
        <v>2.75</v>
      </c>
      <c r="F19522" s="51">
        <f>VLOOKUP(A19522,'Componentes APUs'!$A$1:$D$14,4,0)</f>
        <v>3750</v>
      </c>
      <c r="G19522" s="51">
        <f>ROUNDUP(F19522*(E19522/21)/E19478,0)</f>
        <v>20</v>
      </c>
    </row>
    <row r="19523" spans="1:7" x14ac:dyDescent="0.25">
      <c r="A19523" s="69" t="s">
        <v>85</v>
      </c>
      <c r="B19523" s="72" t="str">
        <f>VLOOKUP(A19523,'Componentes APUs'!$A$1:$D$14,2,0)</f>
        <v>Jean Dielectrico</v>
      </c>
      <c r="C19523" s="73"/>
      <c r="D19523" s="50" t="str">
        <f>VLOOKUP(A19523,'Componentes APUs'!$A$1:$D$14,3,0)</f>
        <v>U</v>
      </c>
      <c r="E19523" s="50">
        <f>SUM(C19493:C19499)</f>
        <v>2.75</v>
      </c>
      <c r="F19523" s="51">
        <f>VLOOKUP(A19523,'Componentes APUs'!$A$1:$D$14,4,0)</f>
        <v>7575.757575757576</v>
      </c>
      <c r="G19523" s="51">
        <f>ROUNDUP(F19523*(E19523/21)/E19478,0)</f>
        <v>40</v>
      </c>
    </row>
    <row r="19524" spans="1:7" x14ac:dyDescent="0.25">
      <c r="A19524" s="50" t="s">
        <v>87</v>
      </c>
      <c r="B19524" s="72" t="str">
        <f>VLOOKUP(A19524,'Componentes APUs'!$A$1:$D$14,2,0)</f>
        <v>Casco dielectrico Tipo 2 Clase E con barboquejo</v>
      </c>
      <c r="C19524" s="73"/>
      <c r="D19524" s="50" t="str">
        <f>VLOOKUP(A19524,'Componentes APUs'!$A$1:$D$14,3,0)</f>
        <v>U</v>
      </c>
      <c r="E19524" s="53">
        <f>IF(A19495="MO-3",C19495,0)</f>
        <v>0</v>
      </c>
      <c r="F19524" s="51">
        <f>VLOOKUP(A19524,'Componentes APUs'!$A$1:$D$14,4,0)</f>
        <v>7500</v>
      </c>
      <c r="G19524" s="51">
        <f>ROUNDUP(F19524*(E19524/21)/E19478,0)</f>
        <v>0</v>
      </c>
    </row>
    <row r="19525" spans="1:7" x14ac:dyDescent="0.25">
      <c r="A19525" s="69" t="s">
        <v>89</v>
      </c>
      <c r="B19525" s="72" t="str">
        <f>VLOOKUP(A19525,'Componentes APUs'!$A$1:$D$14,2,0)</f>
        <v>Kit de rescate para trabajo en alturas</v>
      </c>
      <c r="C19525" s="73"/>
      <c r="D19525" s="50" t="str">
        <f>VLOOKUP(A19525,'Componentes APUs'!$A$1:$D$14,3,0)</f>
        <v>U</v>
      </c>
      <c r="E19525" s="50">
        <f>IF(AND(A19495="MO-3",C19495=2),1,0)</f>
        <v>0</v>
      </c>
      <c r="F19525" s="51">
        <f>VLOOKUP(A19525,'Componentes APUs'!$A$1:$D$14,4,0)</f>
        <v>37500</v>
      </c>
      <c r="G19525" s="51">
        <f>ROUNDUP(F19525*(E19525/21)/E19478,0)</f>
        <v>0</v>
      </c>
    </row>
    <row r="19526" spans="1:7" x14ac:dyDescent="0.25">
      <c r="A19526" s="50" t="s">
        <v>91</v>
      </c>
      <c r="B19526" s="72" t="str">
        <f>VLOOKUP(A19526,'Componentes APUs'!$A$1:$D$14,2,0)</f>
        <v>Equipo completo para trabajo en alturas con pretales (Arnes dielectrico, 1 mosqueton de seguridad, tie off dielectrico, eslinga de posicionamiento, juego de pretales)</v>
      </c>
      <c r="C19526" s="73"/>
      <c r="D19526" s="50" t="str">
        <f>VLOOKUP(A19526,'Componentes APUs'!$A$1:$D$14,3,0)</f>
        <v>U</v>
      </c>
      <c r="E19526" s="50">
        <f>IF(A19495="MO-3",C19495,0)</f>
        <v>0</v>
      </c>
      <c r="F19526" s="51">
        <f>VLOOKUP(A19526,'Componentes APUs'!$A$1:$D$14,4,0)</f>
        <v>26041.666666666668</v>
      </c>
      <c r="G19526" s="51">
        <f>ROUNDUP(F19526*(E19526/21)/E19478,0)</f>
        <v>0</v>
      </c>
    </row>
    <row r="19527" spans="1:7" x14ac:dyDescent="0.25">
      <c r="A19527" s="219" t="s">
        <v>95</v>
      </c>
      <c r="B19527" s="219"/>
      <c r="C19527" s="219"/>
      <c r="D19527" s="219"/>
      <c r="E19527" s="219"/>
      <c r="F19527" s="219"/>
      <c r="G19527" s="52">
        <f>SUM(G19514:G19526)</f>
        <v>273</v>
      </c>
    </row>
    <row r="19528" spans="1:7" x14ac:dyDescent="0.25">
      <c r="A19528" s="56"/>
      <c r="B19528" s="57"/>
      <c r="C19528" s="57"/>
      <c r="D19528" s="57"/>
      <c r="E19528" s="57"/>
      <c r="F19528" s="57"/>
      <c r="G19528" s="58"/>
    </row>
    <row r="19529" spans="1:7" x14ac:dyDescent="0.25">
      <c r="A19529" s="219" t="s">
        <v>96</v>
      </c>
      <c r="B19529" s="219"/>
      <c r="C19529" s="219"/>
      <c r="D19529" s="219"/>
      <c r="E19529" s="219"/>
      <c r="F19529" s="219"/>
      <c r="G19529" s="219"/>
    </row>
    <row r="19530" spans="1:7" x14ac:dyDescent="0.25">
      <c r="A19530" s="49" t="s">
        <v>35</v>
      </c>
      <c r="B19530" s="225" t="s">
        <v>36</v>
      </c>
      <c r="C19530" s="225"/>
      <c r="D19530" s="49" t="s">
        <v>37</v>
      </c>
      <c r="E19530" s="49" t="s">
        <v>38</v>
      </c>
      <c r="F19530" s="49" t="s">
        <v>39</v>
      </c>
      <c r="G19530" s="49" t="s">
        <v>40</v>
      </c>
    </row>
    <row r="19531" spans="1:7" x14ac:dyDescent="0.25">
      <c r="A19531" s="69" t="s">
        <v>97</v>
      </c>
      <c r="B19531" s="72" t="str">
        <f>VLOOKUP(A19531,'Componentes APUs'!$N$1:$Q$30,2,0)</f>
        <v>Camioneta</v>
      </c>
      <c r="C19531" s="73"/>
      <c r="D19531" s="70" t="str">
        <f>VLOOKUP(A19531,'Componentes APUs'!$N$1:$Q$30,3,0)</f>
        <v>U</v>
      </c>
      <c r="E19531" s="50">
        <v>1</v>
      </c>
      <c r="F19531" s="51">
        <f>VLOOKUP(A19531,'Componentes APUs'!$N$1:$Q$30,4,0)</f>
        <v>5500000</v>
      </c>
      <c r="G19531" s="51">
        <f>IFERROR(ROUNDUP(F19531*(E19531/21)/E19478,0),0)</f>
        <v>10477</v>
      </c>
    </row>
    <row r="19532" spans="1:7" x14ac:dyDescent="0.25">
      <c r="A19532" s="50" t="s">
        <v>321</v>
      </c>
      <c r="B19532" s="72" t="str">
        <f>VLOOKUP(A19532,'Componentes APUs'!$N$1:$Q$30,2,0)</f>
        <v>Grúa Hidráulica</v>
      </c>
      <c r="C19532" s="73"/>
      <c r="D19532" s="70" t="str">
        <f>VLOOKUP(A19532,'Componentes APUs'!$N$1:$Q$30,3,0)</f>
        <v>U</v>
      </c>
      <c r="E19532" s="50">
        <v>0</v>
      </c>
      <c r="F19532" s="51">
        <f>VLOOKUP(A19532,'Componentes APUs'!$N$1:$Q$30,4,0)</f>
        <v>21000000</v>
      </c>
      <c r="G19532" s="51">
        <f>IFERROR(ROUNDUP(F19532*(E19532/21)/E19478,0),0)</f>
        <v>0</v>
      </c>
    </row>
    <row r="19533" spans="1:7" x14ac:dyDescent="0.25">
      <c r="A19533" s="69" t="s">
        <v>322</v>
      </c>
      <c r="B19533" s="72" t="str">
        <f>VLOOKUP(A19533,'Componentes APUs'!$N$1:$Q$30,2,0)</f>
        <v>Camabaja</v>
      </c>
      <c r="C19533" s="73"/>
      <c r="D19533" s="70" t="str">
        <f>VLOOKUP(A19533,'Componentes APUs'!$N$1:$Q$30,3,0)</f>
        <v>TON/KM</v>
      </c>
      <c r="E19533" s="50">
        <v>0</v>
      </c>
      <c r="F19533" s="51">
        <f>VLOOKUP(A19533,'Componentes APUs'!$N$1:$Q$30,4,0)</f>
        <v>611</v>
      </c>
      <c r="G19533" s="51">
        <f>IFERROR(ROUNDUP(F19533*(E19533/21)/E19478,0),0)</f>
        <v>0</v>
      </c>
    </row>
    <row r="19534" spans="1:7" x14ac:dyDescent="0.25">
      <c r="A19534" s="50" t="s">
        <v>323</v>
      </c>
      <c r="B19534" s="72" t="str">
        <f>VLOOKUP(A19534,'Componentes APUs'!$N$1:$Q$30,2,0)</f>
        <v>Volqueta</v>
      </c>
      <c r="C19534" s="73"/>
      <c r="D19534" s="70" t="str">
        <f>VLOOKUP(A19534,'Componentes APUs'!$N$1:$Q$30,3,0)</f>
        <v>U</v>
      </c>
      <c r="E19534" s="50">
        <v>0</v>
      </c>
      <c r="F19534" s="51">
        <f>VLOOKUP(A19534,'Componentes APUs'!$N$1:$Q$30,4,0)</f>
        <v>14828184</v>
      </c>
      <c r="G19534" s="51">
        <f>IFERROR(ROUNDUP(F19534*(E19534/21)/E19478,0),0)</f>
        <v>0</v>
      </c>
    </row>
    <row r="19535" spans="1:7" x14ac:dyDescent="0.25">
      <c r="A19535" s="69" t="s">
        <v>324</v>
      </c>
      <c r="B19535" s="72" t="str">
        <f>VLOOKUP(A19535,'Componentes APUs'!$N$1:$Q$30,2,0)</f>
        <v>Retroexcavadora</v>
      </c>
      <c r="C19535" s="73"/>
      <c r="D19535" s="70" t="str">
        <f>VLOOKUP(A19535,'Componentes APUs'!$N$1:$Q$30,3,0)</f>
        <v>U</v>
      </c>
      <c r="E19535" s="50">
        <v>0</v>
      </c>
      <c r="F19535" s="51">
        <f>VLOOKUP(A19535,'Componentes APUs'!$N$1:$Q$30,4,0)</f>
        <v>46030656</v>
      </c>
      <c r="G19535" s="51">
        <f>IFERROR(ROUNDUP(F19535*(E19535/21)/E19478,0),0)</f>
        <v>0</v>
      </c>
    </row>
    <row r="19536" spans="1:7" x14ac:dyDescent="0.25">
      <c r="A19536" s="219" t="s">
        <v>99</v>
      </c>
      <c r="B19536" s="219"/>
      <c r="C19536" s="219"/>
      <c r="D19536" s="219"/>
      <c r="E19536" s="219"/>
      <c r="F19536" s="219"/>
      <c r="G19536" s="52">
        <f>SUM(G19531:G19535)</f>
        <v>10477</v>
      </c>
    </row>
    <row r="19537" spans="1:7" x14ac:dyDescent="0.25">
      <c r="A19537" s="56"/>
      <c r="B19537" s="57"/>
      <c r="C19537" s="57"/>
      <c r="D19537" s="57"/>
      <c r="E19537" s="57"/>
      <c r="F19537" s="57"/>
      <c r="G19537" s="58"/>
    </row>
    <row r="19538" spans="1:7" x14ac:dyDescent="0.25">
      <c r="A19538" s="219" t="s">
        <v>1516</v>
      </c>
      <c r="B19538" s="219"/>
      <c r="C19538" s="219"/>
      <c r="D19538" s="219"/>
      <c r="E19538" s="219"/>
      <c r="F19538" s="219"/>
      <c r="G19538" s="52">
        <f>G19536+G19527+G19510+G19500+G19489</f>
        <v>172411</v>
      </c>
    </row>
    <row r="19539" spans="1:7" x14ac:dyDescent="0.25">
      <c r="A19539" s="59"/>
      <c r="B19539" s="60"/>
      <c r="C19539" s="60"/>
      <c r="D19539" s="60"/>
      <c r="E19539" s="57"/>
      <c r="F19539" s="57"/>
      <c r="G19539" s="58"/>
    </row>
    <row r="19540" spans="1:7" x14ac:dyDescent="0.25">
      <c r="A19540" s="64"/>
      <c r="D19540" s="55"/>
      <c r="E19540" s="49" t="s">
        <v>25</v>
      </c>
      <c r="F19540" s="54">
        <v>0.15</v>
      </c>
      <c r="G19540" s="51">
        <f>G19538*F19540</f>
        <v>25861.649999999998</v>
      </c>
    </row>
    <row r="19541" spans="1:7" x14ac:dyDescent="0.25">
      <c r="A19541" s="64"/>
      <c r="D19541" s="55"/>
      <c r="E19541" s="49" t="s">
        <v>26</v>
      </c>
      <c r="F19541" s="54">
        <v>0.05</v>
      </c>
      <c r="G19541" s="51">
        <f>G19538*F19541</f>
        <v>8620.5500000000011</v>
      </c>
    </row>
    <row r="19542" spans="1:7" x14ac:dyDescent="0.25">
      <c r="A19542" s="61"/>
      <c r="B19542" s="65"/>
      <c r="C19542" s="65"/>
      <c r="D19542" s="62"/>
      <c r="E19542" s="49" t="s">
        <v>27</v>
      </c>
      <c r="F19542" s="54">
        <v>0.05</v>
      </c>
      <c r="G19542" s="51">
        <f>G19538*F19542</f>
        <v>8620.5500000000011</v>
      </c>
    </row>
    <row r="19543" spans="1:7" x14ac:dyDescent="0.25">
      <c r="A19543" s="61"/>
      <c r="B19543" s="62"/>
      <c r="C19543" s="62"/>
      <c r="D19543" s="62"/>
      <c r="E19543" s="62"/>
      <c r="F19543" s="62"/>
      <c r="G19543" s="63"/>
    </row>
    <row r="19544" spans="1:7" x14ac:dyDescent="0.25">
      <c r="A19544" s="219" t="s">
        <v>1517</v>
      </c>
      <c r="B19544" s="219"/>
      <c r="C19544" s="219"/>
      <c r="D19544" s="219"/>
      <c r="E19544" s="219"/>
      <c r="F19544" s="219"/>
      <c r="G19544" s="52">
        <f>G19538+G19540+G19541+G19542</f>
        <v>215513.74999999997</v>
      </c>
    </row>
    <row r="19545" spans="1:7" x14ac:dyDescent="0.25">
      <c r="A19545" s="59"/>
      <c r="B19545" s="60"/>
      <c r="C19545" s="60"/>
      <c r="D19545" s="60"/>
      <c r="E19545" s="57"/>
      <c r="F19545" s="57"/>
      <c r="G19545" s="58"/>
    </row>
    <row r="19546" spans="1:7" x14ac:dyDescent="0.25">
      <c r="A19546" s="64"/>
      <c r="D19546" s="55"/>
      <c r="E19546" s="49" t="s">
        <v>102</v>
      </c>
      <c r="F19546" s="49" t="s">
        <v>103</v>
      </c>
      <c r="G19546" s="51">
        <f>G19542*19%</f>
        <v>1637.9045000000003</v>
      </c>
    </row>
    <row r="19547" spans="1:7" x14ac:dyDescent="0.25">
      <c r="A19547" s="61"/>
      <c r="B19547" s="62"/>
      <c r="C19547" s="62"/>
      <c r="D19547" s="62"/>
      <c r="E19547" s="57"/>
      <c r="F19547" s="57"/>
      <c r="G19547" s="58"/>
    </row>
    <row r="19548" spans="1:7" x14ac:dyDescent="0.25">
      <c r="A19548" s="219" t="s">
        <v>104</v>
      </c>
      <c r="B19548" s="219"/>
      <c r="C19548" s="219"/>
      <c r="D19548" s="219"/>
      <c r="E19548" s="219"/>
      <c r="F19548" s="219"/>
      <c r="G19548" s="52">
        <f>G19546+G19544</f>
        <v>217151.65449999998</v>
      </c>
    </row>
    <row r="19550" spans="1:7" x14ac:dyDescent="0.25">
      <c r="A19550" s="74" t="s">
        <v>29</v>
      </c>
      <c r="B19550" s="226" t="s">
        <v>30</v>
      </c>
      <c r="C19550" s="226"/>
      <c r="D19550" s="74" t="s">
        <v>31</v>
      </c>
      <c r="E19550" s="74" t="s">
        <v>32</v>
      </c>
      <c r="F19550" s="74" t="s">
        <v>189</v>
      </c>
      <c r="G19550" s="74" t="s">
        <v>33</v>
      </c>
    </row>
    <row r="19551" spans="1:7" ht="37.5" customHeight="1" x14ac:dyDescent="0.25">
      <c r="A19551" s="50" t="str">
        <f>Presupuesto!B377</f>
        <v>046_AUX</v>
      </c>
      <c r="B19551" s="220" t="str">
        <f>Presupuesto!C377</f>
        <v>SUMINISTRO E INSTALACIÓN DE LUMINARIA LED AVISO DE EMERGENCIA 2 W. 300 LUMENES. 110 - 130 V. CABLE 3X16 AWG, CLAVIJA POLO A TIERRA, PRENSAESTOPA</v>
      </c>
      <c r="C19551" s="220"/>
      <c r="D19551" s="50" t="s">
        <v>8</v>
      </c>
      <c r="E19551" s="50">
        <v>25</v>
      </c>
      <c r="F19551" s="50"/>
      <c r="G19551" s="51">
        <f>G19621</f>
        <v>212224.49050000004</v>
      </c>
    </row>
    <row r="19552" spans="1:7" x14ac:dyDescent="0.25">
      <c r="A19552" s="219" t="s">
        <v>34</v>
      </c>
      <c r="B19552" s="219"/>
      <c r="C19552" s="219"/>
      <c r="D19552" s="219"/>
      <c r="E19552" s="219"/>
      <c r="F19552" s="219"/>
      <c r="G19552" s="219"/>
    </row>
    <row r="19553" spans="1:9" x14ac:dyDescent="0.25">
      <c r="A19553" s="49" t="s">
        <v>35</v>
      </c>
      <c r="B19553" s="219" t="s">
        <v>36</v>
      </c>
      <c r="C19553" s="219"/>
      <c r="D19553" s="49" t="s">
        <v>37</v>
      </c>
      <c r="E19553" s="49" t="s">
        <v>38</v>
      </c>
      <c r="F19553" s="49" t="s">
        <v>39</v>
      </c>
      <c r="G19553" s="49" t="s">
        <v>40</v>
      </c>
    </row>
    <row r="19554" spans="1:9" x14ac:dyDescent="0.25">
      <c r="A19554" s="17" t="str">
        <f>Material!A380</f>
        <v>MA-379</v>
      </c>
      <c r="B19554" s="72" t="str">
        <f>IFERROR(VLOOKUP(A19554,Material!$A:$H,2,0),"-")</f>
        <v>LUMINARIA LED EMERGENCIA AVISO SALIDA RECTANGULAR VERDE 1.8W 110-130V</v>
      </c>
      <c r="C19554" s="73"/>
      <c r="D19554" s="50" t="str">
        <f>IFERROR(VLOOKUP(A19554,Material!$A:$H,4,0),"-")</f>
        <v>UN</v>
      </c>
      <c r="E19554" s="50">
        <v>1</v>
      </c>
      <c r="F19554" s="51">
        <f>IFERROR(VLOOKUP(A19554,Material!$A:$H,3,0),"-")</f>
        <v>97240</v>
      </c>
      <c r="G19554" s="51">
        <f t="shared" ref="G19554:G19561" si="282">IFERROR(ROUNDUP(F19554*E19554,0),"-")</f>
        <v>97240</v>
      </c>
    </row>
    <row r="19555" spans="1:9" x14ac:dyDescent="0.25">
      <c r="A19555" s="17" t="str">
        <f>Material!A128</f>
        <v>MA-127</v>
      </c>
      <c r="B19555" s="72" t="str">
        <f>IFERROR(VLOOKUP(A19555,Material!$A:$H,2,0),"-")</f>
        <v>CABLE ENCAUCHETADO 3 X 16 AWG COBRE</v>
      </c>
      <c r="C19555" s="76"/>
      <c r="D19555" s="50" t="str">
        <f>IFERROR(VLOOKUP(A19555,Material!$A:$H,4,0),"-")</f>
        <v>ML</v>
      </c>
      <c r="E19555" s="50">
        <v>0.5</v>
      </c>
      <c r="F19555" s="51">
        <f>IFERROR(VLOOKUP(A19555,Material!$A:$H,3,0),"-")</f>
        <v>6175</v>
      </c>
      <c r="G19555" s="51">
        <f t="shared" si="282"/>
        <v>3088</v>
      </c>
    </row>
    <row r="19556" spans="1:9" x14ac:dyDescent="0.25">
      <c r="A19556" s="17" t="str">
        <f>Material!A149</f>
        <v>MA-148</v>
      </c>
      <c r="B19556" s="72" t="str">
        <f>IFERROR(VLOOKUP(A19556,Material!$A:$H,2,0),"-")</f>
        <v>CLAVIJA CON POLO A TIERRA</v>
      </c>
      <c r="C19556" s="76"/>
      <c r="D19556" s="50" t="str">
        <f>IFERROR(VLOOKUP(A19556,Material!$A:$H,4,0),"-")</f>
        <v>UN</v>
      </c>
      <c r="E19556" s="50">
        <v>1</v>
      </c>
      <c r="F19556" s="51">
        <f>IFERROR(VLOOKUP(A19556,Material!$A:$H,3,0),"-")</f>
        <v>6825</v>
      </c>
      <c r="G19556" s="51">
        <f t="shared" si="282"/>
        <v>6825</v>
      </c>
    </row>
    <row r="19557" spans="1:9" x14ac:dyDescent="0.25">
      <c r="A19557" s="17" t="str">
        <f>Material!A240</f>
        <v>MA-239</v>
      </c>
      <c r="B19557" s="72" t="str">
        <f>IFERROR(VLOOKUP(A19557,Material!$A:$H,2,0),"-")</f>
        <v>PRENSA ESTOPA DE 1/2</v>
      </c>
      <c r="C19557" s="76"/>
      <c r="D19557" s="50" t="str">
        <f>IFERROR(VLOOKUP(A19557,Material!$A:$H,4,0),"-")</f>
        <v>UN</v>
      </c>
      <c r="E19557" s="50">
        <v>1</v>
      </c>
      <c r="F19557" s="51">
        <f>IFERROR(VLOOKUP(A19557,Material!$A:$H,3,0),"-")</f>
        <v>3900</v>
      </c>
      <c r="G19557" s="51">
        <f t="shared" si="282"/>
        <v>3900</v>
      </c>
    </row>
    <row r="19558" spans="1:9" x14ac:dyDescent="0.25">
      <c r="A19558" s="17" t="str">
        <f>Material!A229</f>
        <v>MA-228</v>
      </c>
      <c r="B19558" s="72" t="str">
        <f>IFERROR(VLOOKUP(A19558,Material!$A:$H,2,0),"-")</f>
        <v>CINTA DE COLORES</v>
      </c>
      <c r="C19558" s="76"/>
      <c r="D19558" s="50" t="str">
        <f>IFERROR(VLOOKUP(A19558,Material!$A:$H,4,0),"-")</f>
        <v>ML</v>
      </c>
      <c r="E19558" s="50">
        <v>0.05</v>
      </c>
      <c r="F19558" s="51">
        <f>IFERROR(VLOOKUP(A19558,Material!$A:$H,3,0),"-")</f>
        <v>54.080000000000005</v>
      </c>
      <c r="G19558" s="51">
        <f t="shared" si="282"/>
        <v>3</v>
      </c>
    </row>
    <row r="19559" spans="1:9" x14ac:dyDescent="0.25">
      <c r="A19559" s="17" t="str">
        <f>Material!A244</f>
        <v>MA-243</v>
      </c>
      <c r="B19559" s="72" t="str">
        <f>IFERROR(VLOOKUP(A19559,Material!$A:$H,2,0),"-")</f>
        <v>ENVÍO DE LUMINARIA</v>
      </c>
      <c r="C19559" s="76"/>
      <c r="D19559" s="50" t="str">
        <f>IFERROR(VLOOKUP(A19559,Material!$A:$H,4,0),"-")</f>
        <v>UN</v>
      </c>
      <c r="E19559" s="50">
        <v>1</v>
      </c>
      <c r="F19559" s="51">
        <f>IFERROR(VLOOKUP(A19559,Material!$A:$H,3,0),"-")</f>
        <v>19500</v>
      </c>
      <c r="G19559" s="51">
        <f t="shared" si="282"/>
        <v>19500</v>
      </c>
    </row>
    <row r="19560" spans="1:9" x14ac:dyDescent="0.25">
      <c r="A19560" s="17"/>
      <c r="B19560" s="72" t="str">
        <f>IFERROR(VLOOKUP(A19560,Material!$A:$H,2,0),"-")</f>
        <v>-</v>
      </c>
      <c r="C19560" s="76"/>
      <c r="D19560" s="50" t="str">
        <f>IFERROR(VLOOKUP(A19560,Material!$A:$H,4,0),"-")</f>
        <v>-</v>
      </c>
      <c r="E19560" s="50"/>
      <c r="F19560" s="51" t="str">
        <f>IFERROR(VLOOKUP(A19560,Material!$A:$H,3,0),"-")</f>
        <v>-</v>
      </c>
      <c r="G19560" s="51" t="str">
        <f t="shared" si="282"/>
        <v>-</v>
      </c>
      <c r="I19560" s="97"/>
    </row>
    <row r="19561" spans="1:9" x14ac:dyDescent="0.25">
      <c r="A19561" s="17"/>
      <c r="B19561" s="72" t="str">
        <f>IFERROR(VLOOKUP(A19561,Material!$A:$H,2,0),"-")</f>
        <v>-</v>
      </c>
      <c r="C19561" s="76"/>
      <c r="D19561" s="50" t="str">
        <f>IFERROR(VLOOKUP(A19561,Material!$A:$H,4,0),"-")</f>
        <v>-</v>
      </c>
      <c r="E19561" s="50"/>
      <c r="F19561" s="51" t="str">
        <f>IFERROR(VLOOKUP(A19561,Material!$A:$H,3,0),"-")</f>
        <v>-</v>
      </c>
      <c r="G19561" s="51" t="str">
        <f t="shared" si="282"/>
        <v>-</v>
      </c>
    </row>
    <row r="19562" spans="1:9" x14ac:dyDescent="0.25">
      <c r="A19562" s="219" t="s">
        <v>41</v>
      </c>
      <c r="B19562" s="219"/>
      <c r="C19562" s="219"/>
      <c r="D19562" s="219"/>
      <c r="E19562" s="219"/>
      <c r="F19562" s="219"/>
      <c r="G19562" s="52">
        <f>SUM(G19554:G19561)</f>
        <v>130556</v>
      </c>
    </row>
    <row r="19563" spans="1:9" x14ac:dyDescent="0.25">
      <c r="A19563" s="56"/>
      <c r="B19563" s="57"/>
      <c r="C19563" s="57"/>
      <c r="D19563" s="57"/>
      <c r="E19563" s="57"/>
      <c r="F19563" s="57"/>
      <c r="G19563" s="58"/>
      <c r="I19563" s="97"/>
    </row>
    <row r="19564" spans="1:9" x14ac:dyDescent="0.25">
      <c r="A19564" s="219" t="s">
        <v>42</v>
      </c>
      <c r="B19564" s="219"/>
      <c r="C19564" s="219"/>
      <c r="D19564" s="219"/>
      <c r="E19564" s="219"/>
      <c r="F19564" s="219"/>
      <c r="G19564" s="219"/>
    </row>
    <row r="19565" spans="1:9" x14ac:dyDescent="0.25">
      <c r="A19565" s="49" t="s">
        <v>35</v>
      </c>
      <c r="B19565" s="49" t="s">
        <v>36</v>
      </c>
      <c r="C19565" s="49" t="s">
        <v>38</v>
      </c>
      <c r="D19565" s="49" t="s">
        <v>43</v>
      </c>
      <c r="E19565" s="49" t="s">
        <v>44</v>
      </c>
      <c r="F19565" s="49" t="s">
        <v>45</v>
      </c>
      <c r="G19565" s="49" t="s">
        <v>40</v>
      </c>
    </row>
    <row r="19566" spans="1:9" x14ac:dyDescent="0.25">
      <c r="A19566" s="50" t="s">
        <v>319</v>
      </c>
      <c r="B19566" s="68" t="str">
        <f>VLOOKUP(A19566,'Componentes APUs'!$H$1:$L$25,2,0)</f>
        <v>Ingeniero Residente de Obra</v>
      </c>
      <c r="C19566" s="93">
        <v>0.25</v>
      </c>
      <c r="D19566" s="50">
        <f>VLOOKUP(A19566,'Componentes APUs'!$H$1:$L$25,3,0)</f>
        <v>4</v>
      </c>
      <c r="E19566" s="51">
        <f>VLOOKUP(A19566,'Componentes APUs'!$H$1:$L$25,4,0)</f>
        <v>271142.85714285716</v>
      </c>
      <c r="F19566" s="51">
        <f>VLOOKUP(A19566,'Componentes APUs'!$H$1:$L$25,5,0)</f>
        <v>162685.71428571429</v>
      </c>
      <c r="G19566" s="51">
        <f>ROUNDUP((E19566+F19566)*C19566/E19551,0)</f>
        <v>4339</v>
      </c>
    </row>
    <row r="19567" spans="1:9" x14ac:dyDescent="0.25">
      <c r="A19567" s="50" t="s">
        <v>320</v>
      </c>
      <c r="B19567" s="68" t="str">
        <f>VLOOKUP(A19567,'Componentes APUs'!$H$1:$L$25,2,0)</f>
        <v>Tecnico Supervisor</v>
      </c>
      <c r="C19567" s="93">
        <v>0.25</v>
      </c>
      <c r="D19567" s="50">
        <f>VLOOKUP(A19567,'Componentes APUs'!$H$1:$L$25,3,0)</f>
        <v>2.2999999999999998</v>
      </c>
      <c r="E19567" s="51">
        <f>VLOOKUP(A19567,'Componentes APUs'!$H$1:$L$25,4,0)</f>
        <v>155907.14285714284</v>
      </c>
      <c r="F19567" s="51">
        <f>VLOOKUP(A19567,'Componentes APUs'!$H$1:$L$25,5,0)</f>
        <v>93544.285714285696</v>
      </c>
      <c r="G19567" s="51">
        <f>ROUNDUP((E19567+F19567)*C19567/E19551,0)</f>
        <v>2495</v>
      </c>
    </row>
    <row r="19568" spans="1:9" x14ac:dyDescent="0.25">
      <c r="A19568" s="50" t="s">
        <v>1160</v>
      </c>
      <c r="B19568" s="68" t="str">
        <f>VLOOKUP(A19568,'Componentes APUs'!$H$1:$L$25,2,0)</f>
        <v>Oficial Eléctrico</v>
      </c>
      <c r="C19568" s="93">
        <v>1</v>
      </c>
      <c r="D19568" s="50">
        <f>VLOOKUP(A19568,'Componentes APUs'!$H$1:$L$25,3,0)</f>
        <v>2</v>
      </c>
      <c r="E19568" s="51">
        <f>VLOOKUP(A19568,'Componentes APUs'!$H$1:$L$25,4,0)</f>
        <v>154619.04761904763</v>
      </c>
      <c r="F19568" s="51">
        <f>VLOOKUP(A19568,'Componentes APUs'!$H$1:$L$25,5,0)</f>
        <v>92771.42857142858</v>
      </c>
      <c r="G19568" s="51">
        <f>ROUNDUP((E19568+F19568)*C19568/E19551,0)</f>
        <v>9896</v>
      </c>
    </row>
    <row r="19569" spans="1:7" x14ac:dyDescent="0.25">
      <c r="A19569" s="50" t="s">
        <v>48</v>
      </c>
      <c r="B19569" s="68" t="str">
        <f>VLOOKUP(A19569,'Componentes APUs'!$H$1:$L$25,2,0)</f>
        <v>Ayudante Calificado</v>
      </c>
      <c r="C19569" s="93">
        <v>1</v>
      </c>
      <c r="D19569" s="50">
        <f>VLOOKUP(A19569,'Componentes APUs'!$H$1:$L$25,3,0)</f>
        <v>1.5</v>
      </c>
      <c r="E19569" s="51">
        <f>VLOOKUP(A19569,'Componentes APUs'!$H$1:$L$25,4,0)</f>
        <v>115964.28571428571</v>
      </c>
      <c r="F19569" s="51">
        <f>VLOOKUP(A19569,'Componentes APUs'!$H$1:$L$25,5,0)</f>
        <v>69578.57142857142</v>
      </c>
      <c r="G19569" s="51">
        <f>ROUNDUP((E19569+F19569)*C19569/E19551,0)</f>
        <v>7422</v>
      </c>
    </row>
    <row r="19570" spans="1:7" x14ac:dyDescent="0.25">
      <c r="A19570" s="50" t="s">
        <v>50</v>
      </c>
      <c r="B19570" s="68" t="str">
        <f>VLOOKUP(A19570,'Componentes APUs'!$H$1:$L$25,2,0)</f>
        <v>Profesional en SST</v>
      </c>
      <c r="C19570" s="93">
        <v>0.25</v>
      </c>
      <c r="D19570" s="50">
        <f>VLOOKUP(A19570,'Componentes APUs'!$H$1:$L$25,3,0)</f>
        <v>2.5</v>
      </c>
      <c r="E19570" s="51">
        <f>VLOOKUP(A19570,'Componentes APUs'!$H$1:$L$25,4,0)</f>
        <v>169464.28571428571</v>
      </c>
      <c r="F19570" s="51">
        <f>VLOOKUP(A19570,'Componentes APUs'!$H$1:$L$25,5,0)</f>
        <v>101678.57142857142</v>
      </c>
      <c r="G19570" s="51">
        <f>ROUNDUP((E19570+F19570)*C19570/E19551,0)</f>
        <v>2712</v>
      </c>
    </row>
    <row r="19571" spans="1:7" x14ac:dyDescent="0.25">
      <c r="A19571" s="50" t="s">
        <v>52</v>
      </c>
      <c r="B19571" s="68" t="str">
        <f>VLOOKUP(A19571,'Componentes APUs'!$H$1:$L$25,2,0)</f>
        <v>Ayudante No Calificado</v>
      </c>
      <c r="C19571" s="93">
        <v>0</v>
      </c>
      <c r="D19571" s="50">
        <f>VLOOKUP(A19571,'Componentes APUs'!$H$1:$L$25,3,0)</f>
        <v>1</v>
      </c>
      <c r="E19571" s="51">
        <f>VLOOKUP(A19571,'Componentes APUs'!$H$1:$L$25,4,0)</f>
        <v>77309.523809523816</v>
      </c>
      <c r="F19571" s="51">
        <f>VLOOKUP(A19571,'Componentes APUs'!$H$1:$L$25,5,0)</f>
        <v>46385.71428571429</v>
      </c>
      <c r="G19571" s="51">
        <f>ROUNDUP((E19571+F19571)*C19571/E19551,0)</f>
        <v>0</v>
      </c>
    </row>
    <row r="19572" spans="1:7" x14ac:dyDescent="0.25">
      <c r="A19572" s="50" t="s">
        <v>1121</v>
      </c>
      <c r="B19572" s="68" t="str">
        <f>VLOOKUP(A19572,'Componentes APUs'!$H$1:$L$25,2,0)</f>
        <v>Ingeniero Especialista de Control y Protección Subestación</v>
      </c>
      <c r="C19572" s="93">
        <v>0</v>
      </c>
      <c r="D19572" s="50">
        <f>VLOOKUP(A19572,'Componentes APUs'!$H$1:$L$25,3,0)</f>
        <v>14</v>
      </c>
      <c r="E19572" s="51">
        <f>VLOOKUP(A19572,'Componentes APUs'!$H$1:$L$25,4,0)</f>
        <v>949000</v>
      </c>
      <c r="F19572" s="51">
        <f>VLOOKUP(A19572,'Componentes APUs'!$H$1:$L$25,5,0)</f>
        <v>569400</v>
      </c>
      <c r="G19572" s="51">
        <f>ROUNDUP((E19572+F19572)*C19572/E19551,0)</f>
        <v>0</v>
      </c>
    </row>
    <row r="19573" spans="1:7" x14ac:dyDescent="0.25">
      <c r="A19573" s="219" t="s">
        <v>56</v>
      </c>
      <c r="B19573" s="219"/>
      <c r="C19573" s="219"/>
      <c r="D19573" s="219"/>
      <c r="E19573" s="219"/>
      <c r="F19573" s="219"/>
      <c r="G19573" s="52">
        <f>SUM(G19566:G19572)</f>
        <v>26864</v>
      </c>
    </row>
    <row r="19574" spans="1:7" x14ac:dyDescent="0.25">
      <c r="A19574" s="56"/>
      <c r="B19574" s="57"/>
      <c r="C19574" s="57"/>
      <c r="D19574" s="57"/>
      <c r="E19574" s="57"/>
      <c r="F19574" s="57"/>
      <c r="G19574" s="58"/>
    </row>
    <row r="19575" spans="1:7" x14ac:dyDescent="0.25">
      <c r="A19575" s="219" t="s">
        <v>57</v>
      </c>
      <c r="B19575" s="219"/>
      <c r="C19575" s="219"/>
      <c r="D19575" s="219"/>
      <c r="E19575" s="219"/>
      <c r="F19575" s="219"/>
      <c r="G19575" s="219"/>
    </row>
    <row r="19576" spans="1:7" x14ac:dyDescent="0.25">
      <c r="A19576" s="49" t="s">
        <v>35</v>
      </c>
      <c r="B19576" s="219" t="s">
        <v>36</v>
      </c>
      <c r="C19576" s="219"/>
      <c r="D19576" s="49" t="s">
        <v>37</v>
      </c>
      <c r="E19576" s="49" t="s">
        <v>38</v>
      </c>
      <c r="F19576" s="49" t="s">
        <v>39</v>
      </c>
      <c r="G19576" s="49" t="s">
        <v>40</v>
      </c>
    </row>
    <row r="19577" spans="1:7" x14ac:dyDescent="0.25">
      <c r="A19577" s="50" t="s">
        <v>326</v>
      </c>
      <c r="B19577" s="220" t="str">
        <f>VLOOKUP(A19577,'Componentes APUs'!$S$1:$V$10,2,0)</f>
        <v>Juego Llaves</v>
      </c>
      <c r="C19577" s="220"/>
      <c r="D19577" s="50" t="s">
        <v>18</v>
      </c>
      <c r="E19577" s="50">
        <v>2</v>
      </c>
      <c r="F19577" s="51">
        <f>VLOOKUP(A19577,'Componentes APUs'!$S$1:$V$10,4,0)</f>
        <v>9167</v>
      </c>
      <c r="G19577" s="51">
        <f>ROUNDUP(F19577*((E19577/21)/E19551),0)</f>
        <v>35</v>
      </c>
    </row>
    <row r="19578" spans="1:7" x14ac:dyDescent="0.25">
      <c r="A19578" s="50" t="s">
        <v>58</v>
      </c>
      <c r="B19578" s="220" t="str">
        <f>VLOOKUP(A19578,'Componentes APUs'!$S$1:$V$10,2,0)</f>
        <v>Manila de servicio</v>
      </c>
      <c r="C19578" s="220"/>
      <c r="D19578" s="50" t="s">
        <v>18</v>
      </c>
      <c r="E19578" s="50">
        <v>0</v>
      </c>
      <c r="F19578" s="51">
        <f>VLOOKUP(A19578,'Componentes APUs'!$S$1:$V$10,4,0)</f>
        <v>2333</v>
      </c>
      <c r="G19578" s="51">
        <f>ROUNDUP(F19578*((E19578/21)/E19551),0)</f>
        <v>0</v>
      </c>
    </row>
    <row r="19579" spans="1:7" x14ac:dyDescent="0.25">
      <c r="A19579" s="50" t="s">
        <v>327</v>
      </c>
      <c r="B19579" s="220" t="str">
        <f>VLOOKUP(A19579,'Componentes APUs'!$S$1:$V$10,2,0)</f>
        <v>Tula portaherramientas</v>
      </c>
      <c r="C19579" s="220"/>
      <c r="D19579" s="50" t="s">
        <v>18</v>
      </c>
      <c r="E19579" s="50">
        <v>2</v>
      </c>
      <c r="F19579" s="51">
        <f>VLOOKUP(A19579,'Componentes APUs'!$S$1:$V$10,4,0)</f>
        <v>1250</v>
      </c>
      <c r="G19579" s="51">
        <f>ROUNDUP(F19579*((E19579/21)/E19551),0)</f>
        <v>5</v>
      </c>
    </row>
    <row r="19580" spans="1:7" x14ac:dyDescent="0.25">
      <c r="A19580" s="50" t="s">
        <v>60</v>
      </c>
      <c r="B19580" s="220" t="str">
        <f>VLOOKUP(A19580,'Componentes APUs'!$S$1:$V$10,2,0)</f>
        <v>Agarradoras</v>
      </c>
      <c r="C19580" s="220"/>
      <c r="D19580" s="50" t="s">
        <v>18</v>
      </c>
      <c r="E19580" s="50">
        <v>0</v>
      </c>
      <c r="F19580" s="51">
        <f>VLOOKUP(A19580,'Componentes APUs'!$S$1:$V$10,4,0)</f>
        <v>125000</v>
      </c>
      <c r="G19580" s="51">
        <f>ROUNDUP(F19580*((E19580/21)/E19551),0)</f>
        <v>0</v>
      </c>
    </row>
    <row r="19581" spans="1:7" x14ac:dyDescent="0.25">
      <c r="A19581" s="50" t="s">
        <v>62</v>
      </c>
      <c r="B19581" s="220" t="str">
        <f>VLOOKUP(A19581,'Componentes APUs'!$S$1:$V$10,2,0)</f>
        <v>Templadoras</v>
      </c>
      <c r="C19581" s="220"/>
      <c r="D19581" s="50" t="s">
        <v>18</v>
      </c>
      <c r="E19581" s="50">
        <v>0</v>
      </c>
      <c r="F19581" s="51">
        <f>VLOOKUP(A19581,'Componentes APUs'!$S$1:$V$10,4,0)</f>
        <v>250000</v>
      </c>
      <c r="G19581" s="51">
        <f>ROUNDUP(F19581*((E19581/21)/E19551),0)</f>
        <v>0</v>
      </c>
    </row>
    <row r="19582" spans="1:7" x14ac:dyDescent="0.25">
      <c r="A19582" s="50" t="s">
        <v>328</v>
      </c>
      <c r="B19582" s="220" t="str">
        <f>VLOOKUP(A19582,'Componentes APUs'!$S$1:$V$10,2,0)</f>
        <v>Herramienta Menor</v>
      </c>
      <c r="C19582" s="220"/>
      <c r="D19582" s="50" t="s">
        <v>18</v>
      </c>
      <c r="E19582" s="50">
        <v>2</v>
      </c>
      <c r="F19582" s="51">
        <f>VLOOKUP(A19582,'Componentes APUs'!$S$1:$V$10,4,0)</f>
        <v>75758</v>
      </c>
      <c r="G19582" s="51">
        <f>ROUNDUP(F19582*((E19582/21)/E19551),0)</f>
        <v>289</v>
      </c>
    </row>
    <row r="19583" spans="1:7" x14ac:dyDescent="0.25">
      <c r="A19583" s="219" t="s">
        <v>69</v>
      </c>
      <c r="B19583" s="219"/>
      <c r="C19583" s="219"/>
      <c r="D19583" s="219"/>
      <c r="E19583" s="219"/>
      <c r="F19583" s="219"/>
      <c r="G19583" s="52">
        <f>SUM(G19577:G19582)</f>
        <v>329</v>
      </c>
    </row>
    <row r="19584" spans="1:7" x14ac:dyDescent="0.25">
      <c r="A19584" s="56"/>
      <c r="B19584" s="57"/>
      <c r="C19584" s="57"/>
      <c r="D19584" s="57"/>
      <c r="E19584" s="57"/>
      <c r="F19584" s="57"/>
      <c r="G19584" s="58"/>
    </row>
    <row r="19585" spans="1:7" x14ac:dyDescent="0.25">
      <c r="A19585" s="219" t="s">
        <v>70</v>
      </c>
      <c r="B19585" s="219"/>
      <c r="C19585" s="219"/>
      <c r="D19585" s="219"/>
      <c r="E19585" s="219"/>
      <c r="F19585" s="219"/>
      <c r="G19585" s="219"/>
    </row>
    <row r="19586" spans="1:7" x14ac:dyDescent="0.25">
      <c r="A19586" s="49" t="s">
        <v>35</v>
      </c>
      <c r="B19586" s="219" t="s">
        <v>36</v>
      </c>
      <c r="C19586" s="219"/>
      <c r="D19586" s="49" t="s">
        <v>37</v>
      </c>
      <c r="E19586" s="49" t="s">
        <v>38</v>
      </c>
      <c r="F19586" s="49" t="s">
        <v>39</v>
      </c>
      <c r="G19586" s="49" t="s">
        <v>40</v>
      </c>
    </row>
    <row r="19587" spans="1:7" x14ac:dyDescent="0.25">
      <c r="A19587" s="50" t="s">
        <v>71</v>
      </c>
      <c r="B19587" s="71" t="str">
        <f>VLOOKUP(A19587,'Componentes APUs'!$A$1:$D$14,2,0)</f>
        <v>Camisa indigo sin partes metalicas</v>
      </c>
      <c r="C19587" s="71"/>
      <c r="D19587" s="50" t="str">
        <f>VLOOKUP(A19587,'Componentes APUs'!$A$1:$D$14,3,0)</f>
        <v>U</v>
      </c>
      <c r="E19587" s="50">
        <f>SUM(C19566:C19572)</f>
        <v>2.75</v>
      </c>
      <c r="F19587" s="51">
        <f>VLOOKUP(A19587,'Componentes APUs'!$A$1:$D$14,4,0)</f>
        <v>8585.8585858585866</v>
      </c>
      <c r="G19587" s="51">
        <f>ROUNDUP(F19587*(E19587/21)/E19551,0)</f>
        <v>45</v>
      </c>
    </row>
    <row r="19588" spans="1:7" x14ac:dyDescent="0.25">
      <c r="A19588" s="69" t="s">
        <v>73</v>
      </c>
      <c r="B19588" s="72" t="str">
        <f>VLOOKUP(A19588,'Componentes APUs'!$A$1:$D$14,2,0)</f>
        <v>Bota de seguridad dielectrica</v>
      </c>
      <c r="C19588" s="73"/>
      <c r="D19588" s="70" t="str">
        <f>VLOOKUP(A19588,'Componentes APUs'!$A$1:$D$14,3,0)</f>
        <v>Par</v>
      </c>
      <c r="E19588" s="50">
        <f>SUM(C19566:C19572)</f>
        <v>2.75</v>
      </c>
      <c r="F19588" s="51">
        <f>VLOOKUP(A19588,'Componentes APUs'!$A$1:$D$14,4,0)</f>
        <v>7500</v>
      </c>
      <c r="G19588" s="51">
        <f>ROUNDUP(F19588*(E19588/21)/E19551,0)</f>
        <v>40</v>
      </c>
    </row>
    <row r="19589" spans="1:7" x14ac:dyDescent="0.25">
      <c r="A19589" s="50" t="s">
        <v>76</v>
      </c>
      <c r="B19589" s="72" t="str">
        <f>VLOOKUP(A19589,'Componentes APUs'!$A$1:$D$14,2,0)</f>
        <v>Casco dielectrico Tipo 1 Clase E con barbuquejo</v>
      </c>
      <c r="C19589" s="73"/>
      <c r="D19589" s="50" t="str">
        <f>VLOOKUP(A19589,'Componentes APUs'!$A$1:$D$14,3,0)</f>
        <v>U</v>
      </c>
      <c r="E19589" s="50">
        <f>C19566+C19572+C19567+C19570+C19571+C19569+IF(A19568&lt;&gt;"MO-3",C19568,0)</f>
        <v>2.75</v>
      </c>
      <c r="F19589" s="51">
        <f>VLOOKUP(A19589,'Componentes APUs'!$A$1:$D$14,4,0)</f>
        <v>10101.010101010101</v>
      </c>
      <c r="G19589" s="51">
        <f>ROUNDUP(F19589*(E19589/21)/E19551,0)</f>
        <v>53</v>
      </c>
    </row>
    <row r="19590" spans="1:7" x14ac:dyDescent="0.25">
      <c r="A19590" s="69" t="s">
        <v>77</v>
      </c>
      <c r="B19590" s="72" t="str">
        <f>VLOOKUP(A19590,'Componentes APUs'!$A$1:$D$14,2,0)</f>
        <v>Correa plastica y antiflama</v>
      </c>
      <c r="C19590" s="73"/>
      <c r="D19590" s="50" t="str">
        <f>VLOOKUP(A19590,'Componentes APUs'!$A$1:$D$14,3,0)</f>
        <v>U</v>
      </c>
      <c r="E19590" s="50">
        <f>SUM(C19566:C19572)</f>
        <v>2.75</v>
      </c>
      <c r="F19590" s="51">
        <f>VLOOKUP(A19590,'Componentes APUs'!$A$1:$D$14,4,0)</f>
        <v>3787.878787878788</v>
      </c>
      <c r="G19590" s="51">
        <f>ROUNDUP(F19590*(E19590/21)/E19551,0)</f>
        <v>20</v>
      </c>
    </row>
    <row r="19591" spans="1:7" x14ac:dyDescent="0.25">
      <c r="A19591" s="50" t="s">
        <v>79</v>
      </c>
      <c r="B19591" s="72" t="str">
        <f>VLOOKUP(A19591,'Componentes APUs'!$A$1:$D$14,2,0)</f>
        <v>Gafas protectoras filtro UV</v>
      </c>
      <c r="C19591" s="73"/>
      <c r="D19591" s="50" t="str">
        <f>VLOOKUP(A19591,'Componentes APUs'!$A$1:$D$14,3,0)</f>
        <v>U</v>
      </c>
      <c r="E19591" s="50">
        <f>SUM(C19566:C19572)</f>
        <v>2.75</v>
      </c>
      <c r="F19591" s="51">
        <f>VLOOKUP(A19591,'Componentes APUs'!$A$1:$D$14,4,0)</f>
        <v>2777.7777777777778</v>
      </c>
      <c r="G19591" s="51">
        <f>ROUNDUP(F19591*(E19591/21)/E19551,0)</f>
        <v>15</v>
      </c>
    </row>
    <row r="19592" spans="1:7" x14ac:dyDescent="0.25">
      <c r="A19592" s="69" t="s">
        <v>402</v>
      </c>
      <c r="B19592" s="72" t="str">
        <f>VLOOKUP(A19592,'Componentes APUs'!$A$1:$D$14,2,0)</f>
        <v>Bota de seguridad PVC dielectrica</v>
      </c>
      <c r="C19592" s="73"/>
      <c r="D19592" s="50" t="str">
        <f>VLOOKUP(A19592,'Componentes APUs'!$A$1:$D$14,3,0)</f>
        <v>Par</v>
      </c>
      <c r="E19592" s="50">
        <f>SUM(C19566:C19572)</f>
        <v>2.75</v>
      </c>
      <c r="F19592" s="51">
        <f>VLOOKUP(A19592,'Componentes APUs'!$A$1:$D$14,4,0)</f>
        <v>2916.6666666666665</v>
      </c>
      <c r="G19592" s="51">
        <f>ROUNDUP(F19592*(E19592/21)/E19551,0)</f>
        <v>16</v>
      </c>
    </row>
    <row r="19593" spans="1:7" x14ac:dyDescent="0.25">
      <c r="A19593" s="50" t="s">
        <v>403</v>
      </c>
      <c r="B19593" s="72" t="str">
        <f>VLOOKUP(A19593,'Componentes APUs'!$A$1:$D$14,2,0)</f>
        <v>Capuchon</v>
      </c>
      <c r="C19593" s="73"/>
      <c r="D19593" s="50" t="str">
        <f>VLOOKUP(A19593,'Componentes APUs'!$A$1:$D$14,3,0)</f>
        <v>U</v>
      </c>
      <c r="E19593" s="50">
        <f>SUM(C19566:C19571)</f>
        <v>2.75</v>
      </c>
      <c r="F19593" s="51">
        <f>VLOOKUP(A19593,'Componentes APUs'!$A$1:$D$14,4,0)</f>
        <v>2525.2525252525252</v>
      </c>
      <c r="G19593" s="51">
        <f>ROUNDUP(F19593*(E19593/21)/E19551,0)</f>
        <v>14</v>
      </c>
    </row>
    <row r="19594" spans="1:7" x14ac:dyDescent="0.25">
      <c r="A19594" s="69" t="s">
        <v>81</v>
      </c>
      <c r="B19594" s="72" t="str">
        <f>VLOOKUP(A19594,'Componentes APUs'!$A$1:$D$14,2,0)</f>
        <v>Guantes Protectores  - ingeniero reforzados</v>
      </c>
      <c r="C19594" s="73"/>
      <c r="D19594" s="50" t="str">
        <f>VLOOKUP(A19594,'Componentes APUs'!$A$1:$D$14,3,0)</f>
        <v>Par</v>
      </c>
      <c r="E19594" s="50">
        <f>C19568+C19569+C19571+C19572</f>
        <v>2</v>
      </c>
      <c r="F19594" s="51">
        <f>VLOOKUP(A19594,'Componentes APUs'!$A$1:$D$14,4,0)</f>
        <v>2525.2525252525252</v>
      </c>
      <c r="G19594" s="51">
        <f>ROUNDUP(F19594*(E19594/21)/E19551,0)</f>
        <v>10</v>
      </c>
    </row>
    <row r="19595" spans="1:7" x14ac:dyDescent="0.25">
      <c r="A19595" s="50" t="s">
        <v>83</v>
      </c>
      <c r="B19595" s="72" t="str">
        <f>VLOOKUP(A19595,'Componentes APUs'!$A$1:$D$14,2,0)</f>
        <v>Impermeable (pantalon camisa)</v>
      </c>
      <c r="C19595" s="73"/>
      <c r="D19595" s="50" t="str">
        <f>VLOOKUP(A19595,'Componentes APUs'!$A$1:$D$14,3,0)</f>
        <v>U</v>
      </c>
      <c r="E19595" s="50">
        <f>SUM(C19566:C19572)</f>
        <v>2.75</v>
      </c>
      <c r="F19595" s="51">
        <f>VLOOKUP(A19595,'Componentes APUs'!$A$1:$D$14,4,0)</f>
        <v>3750</v>
      </c>
      <c r="G19595" s="51">
        <f>ROUNDUP(F19595*(E19595/21)/E19551,0)</f>
        <v>20</v>
      </c>
    </row>
    <row r="19596" spans="1:7" x14ac:dyDescent="0.25">
      <c r="A19596" s="69" t="s">
        <v>85</v>
      </c>
      <c r="B19596" s="72" t="str">
        <f>VLOOKUP(A19596,'Componentes APUs'!$A$1:$D$14,2,0)</f>
        <v>Jean Dielectrico</v>
      </c>
      <c r="C19596" s="73"/>
      <c r="D19596" s="50" t="str">
        <f>VLOOKUP(A19596,'Componentes APUs'!$A$1:$D$14,3,0)</f>
        <v>U</v>
      </c>
      <c r="E19596" s="50">
        <f>SUM(C19566:C19572)</f>
        <v>2.75</v>
      </c>
      <c r="F19596" s="51">
        <f>VLOOKUP(A19596,'Componentes APUs'!$A$1:$D$14,4,0)</f>
        <v>7575.757575757576</v>
      </c>
      <c r="G19596" s="51">
        <f>ROUNDUP(F19596*(E19596/21)/E19551,0)</f>
        <v>40</v>
      </c>
    </row>
    <row r="19597" spans="1:7" x14ac:dyDescent="0.25">
      <c r="A19597" s="50" t="s">
        <v>87</v>
      </c>
      <c r="B19597" s="72" t="str">
        <f>VLOOKUP(A19597,'Componentes APUs'!$A$1:$D$14,2,0)</f>
        <v>Casco dielectrico Tipo 2 Clase E con barboquejo</v>
      </c>
      <c r="C19597" s="73"/>
      <c r="D19597" s="50" t="str">
        <f>VLOOKUP(A19597,'Componentes APUs'!$A$1:$D$14,3,0)</f>
        <v>U</v>
      </c>
      <c r="E19597" s="53">
        <f>IF(A19568="MO-3",C19568,0)</f>
        <v>0</v>
      </c>
      <c r="F19597" s="51">
        <f>VLOOKUP(A19597,'Componentes APUs'!$A$1:$D$14,4,0)</f>
        <v>7500</v>
      </c>
      <c r="G19597" s="51">
        <f>ROUNDUP(F19597*(E19597/21)/E19551,0)</f>
        <v>0</v>
      </c>
    </row>
    <row r="19598" spans="1:7" x14ac:dyDescent="0.25">
      <c r="A19598" s="69" t="s">
        <v>89</v>
      </c>
      <c r="B19598" s="72" t="str">
        <f>VLOOKUP(A19598,'Componentes APUs'!$A$1:$D$14,2,0)</f>
        <v>Kit de rescate para trabajo en alturas</v>
      </c>
      <c r="C19598" s="73"/>
      <c r="D19598" s="50" t="str">
        <f>VLOOKUP(A19598,'Componentes APUs'!$A$1:$D$14,3,0)</f>
        <v>U</v>
      </c>
      <c r="E19598" s="50">
        <f>IF(AND(A19568="MO-3",C19568=2),1,0)</f>
        <v>0</v>
      </c>
      <c r="F19598" s="51">
        <f>VLOOKUP(A19598,'Componentes APUs'!$A$1:$D$14,4,0)</f>
        <v>37500</v>
      </c>
      <c r="G19598" s="51">
        <f>ROUNDUP(F19598*(E19598/21)/E19551,0)</f>
        <v>0</v>
      </c>
    </row>
    <row r="19599" spans="1:7" x14ac:dyDescent="0.25">
      <c r="A19599" s="50" t="s">
        <v>91</v>
      </c>
      <c r="B19599" s="72" t="str">
        <f>VLOOKUP(A19599,'Componentes APUs'!$A$1:$D$14,2,0)</f>
        <v>Equipo completo para trabajo en alturas con pretales (Arnes dielectrico, 1 mosqueton de seguridad, tie off dielectrico, eslinga de posicionamiento, juego de pretales)</v>
      </c>
      <c r="C19599" s="73"/>
      <c r="D19599" s="50" t="str">
        <f>VLOOKUP(A19599,'Componentes APUs'!$A$1:$D$14,3,0)</f>
        <v>U</v>
      </c>
      <c r="E19599" s="50">
        <f>IF(A19568="MO-3",C19568,0)</f>
        <v>0</v>
      </c>
      <c r="F19599" s="51">
        <f>VLOOKUP(A19599,'Componentes APUs'!$A$1:$D$14,4,0)</f>
        <v>26041.666666666668</v>
      </c>
      <c r="G19599" s="51">
        <f>ROUNDUP(F19599*(E19599/21)/E19551,0)</f>
        <v>0</v>
      </c>
    </row>
    <row r="19600" spans="1:7" x14ac:dyDescent="0.25">
      <c r="A19600" s="219" t="s">
        <v>95</v>
      </c>
      <c r="B19600" s="219"/>
      <c r="C19600" s="219"/>
      <c r="D19600" s="219"/>
      <c r="E19600" s="219"/>
      <c r="F19600" s="219"/>
      <c r="G19600" s="52">
        <f>SUM(G19587:G19599)</f>
        <v>273</v>
      </c>
    </row>
    <row r="19601" spans="1:7" x14ac:dyDescent="0.25">
      <c r="A19601" s="56"/>
      <c r="B19601" s="57"/>
      <c r="C19601" s="57"/>
      <c r="D19601" s="57"/>
      <c r="E19601" s="57"/>
      <c r="F19601" s="57"/>
      <c r="G19601" s="58"/>
    </row>
    <row r="19602" spans="1:7" x14ac:dyDescent="0.25">
      <c r="A19602" s="219" t="s">
        <v>96</v>
      </c>
      <c r="B19602" s="219"/>
      <c r="C19602" s="219"/>
      <c r="D19602" s="219"/>
      <c r="E19602" s="219"/>
      <c r="F19602" s="219"/>
      <c r="G19602" s="219"/>
    </row>
    <row r="19603" spans="1:7" x14ac:dyDescent="0.25">
      <c r="A19603" s="49" t="s">
        <v>35</v>
      </c>
      <c r="B19603" s="225" t="s">
        <v>36</v>
      </c>
      <c r="C19603" s="225"/>
      <c r="D19603" s="49" t="s">
        <v>37</v>
      </c>
      <c r="E19603" s="49" t="s">
        <v>38</v>
      </c>
      <c r="F19603" s="49" t="s">
        <v>39</v>
      </c>
      <c r="G19603" s="49" t="s">
        <v>40</v>
      </c>
    </row>
    <row r="19604" spans="1:7" x14ac:dyDescent="0.25">
      <c r="A19604" s="69" t="s">
        <v>97</v>
      </c>
      <c r="B19604" s="72" t="str">
        <f>VLOOKUP(A19604,'Componentes APUs'!$N$1:$Q$30,2,0)</f>
        <v>Camioneta</v>
      </c>
      <c r="C19604" s="73"/>
      <c r="D19604" s="70" t="str">
        <f>VLOOKUP(A19604,'Componentes APUs'!$N$1:$Q$30,3,0)</f>
        <v>U</v>
      </c>
      <c r="E19604" s="50">
        <v>1</v>
      </c>
      <c r="F19604" s="51">
        <f>VLOOKUP(A19604,'Componentes APUs'!$N$1:$Q$30,4,0)</f>
        <v>5500000</v>
      </c>
      <c r="G19604" s="51">
        <f>IFERROR(ROUNDUP(F19604*(E19604/21)/E19551,0),0)</f>
        <v>10477</v>
      </c>
    </row>
    <row r="19605" spans="1:7" x14ac:dyDescent="0.25">
      <c r="A19605" s="50" t="s">
        <v>321</v>
      </c>
      <c r="B19605" s="72" t="str">
        <f>VLOOKUP(A19605,'Componentes APUs'!$N$1:$Q$30,2,0)</f>
        <v>Grúa Hidráulica</v>
      </c>
      <c r="C19605" s="73"/>
      <c r="D19605" s="70" t="str">
        <f>VLOOKUP(A19605,'Componentes APUs'!$N$1:$Q$30,3,0)</f>
        <v>U</v>
      </c>
      <c r="E19605" s="50">
        <v>0</v>
      </c>
      <c r="F19605" s="51">
        <f>VLOOKUP(A19605,'Componentes APUs'!$N$1:$Q$30,4,0)</f>
        <v>21000000</v>
      </c>
      <c r="G19605" s="51">
        <f>IFERROR(ROUNDUP(F19605*(E19605/21)/E19551,0),0)</f>
        <v>0</v>
      </c>
    </row>
    <row r="19606" spans="1:7" x14ac:dyDescent="0.25">
      <c r="A19606" s="69" t="s">
        <v>322</v>
      </c>
      <c r="B19606" s="72" t="str">
        <f>VLOOKUP(A19606,'Componentes APUs'!$N$1:$Q$30,2,0)</f>
        <v>Camabaja</v>
      </c>
      <c r="C19606" s="73"/>
      <c r="D19606" s="70" t="str">
        <f>VLOOKUP(A19606,'Componentes APUs'!$N$1:$Q$30,3,0)</f>
        <v>TON/KM</v>
      </c>
      <c r="E19606" s="50">
        <v>0</v>
      </c>
      <c r="F19606" s="51">
        <f>VLOOKUP(A19606,'Componentes APUs'!$N$1:$Q$30,4,0)</f>
        <v>611</v>
      </c>
      <c r="G19606" s="51">
        <f>IFERROR(ROUNDUP(F19606*(E19606/21)/E19551,0),0)</f>
        <v>0</v>
      </c>
    </row>
    <row r="19607" spans="1:7" x14ac:dyDescent="0.25">
      <c r="A19607" s="50" t="s">
        <v>323</v>
      </c>
      <c r="B19607" s="72" t="str">
        <f>VLOOKUP(A19607,'Componentes APUs'!$N$1:$Q$30,2,0)</f>
        <v>Volqueta</v>
      </c>
      <c r="C19607" s="73"/>
      <c r="D19607" s="70" t="str">
        <f>VLOOKUP(A19607,'Componentes APUs'!$N$1:$Q$30,3,0)</f>
        <v>U</v>
      </c>
      <c r="E19607" s="50">
        <v>0</v>
      </c>
      <c r="F19607" s="51">
        <f>VLOOKUP(A19607,'Componentes APUs'!$N$1:$Q$30,4,0)</f>
        <v>14828184</v>
      </c>
      <c r="G19607" s="51">
        <f>IFERROR(ROUNDUP(F19607*(E19607/21)/E19551,0),0)</f>
        <v>0</v>
      </c>
    </row>
    <row r="19608" spans="1:7" x14ac:dyDescent="0.25">
      <c r="A19608" s="69" t="s">
        <v>324</v>
      </c>
      <c r="B19608" s="72" t="str">
        <f>VLOOKUP(A19608,'Componentes APUs'!$N$1:$Q$30,2,0)</f>
        <v>Retroexcavadora</v>
      </c>
      <c r="C19608" s="73"/>
      <c r="D19608" s="70" t="str">
        <f>VLOOKUP(A19608,'Componentes APUs'!$N$1:$Q$30,3,0)</f>
        <v>U</v>
      </c>
      <c r="E19608" s="50">
        <v>0</v>
      </c>
      <c r="F19608" s="51">
        <f>VLOOKUP(A19608,'Componentes APUs'!$N$1:$Q$30,4,0)</f>
        <v>46030656</v>
      </c>
      <c r="G19608" s="51">
        <f>IFERROR(ROUNDUP(F19608*(E19608/21)/E19551,0),0)</f>
        <v>0</v>
      </c>
    </row>
    <row r="19609" spans="1:7" x14ac:dyDescent="0.25">
      <c r="A19609" s="219" t="s">
        <v>99</v>
      </c>
      <c r="B19609" s="219"/>
      <c r="C19609" s="219"/>
      <c r="D19609" s="219"/>
      <c r="E19609" s="219"/>
      <c r="F19609" s="219"/>
      <c r="G19609" s="52">
        <f>SUM(G19604:G19608)</f>
        <v>10477</v>
      </c>
    </row>
    <row r="19610" spans="1:7" x14ac:dyDescent="0.25">
      <c r="A19610" s="56"/>
      <c r="B19610" s="57"/>
      <c r="C19610" s="57"/>
      <c r="D19610" s="57"/>
      <c r="E19610" s="57"/>
      <c r="F19610" s="57"/>
      <c r="G19610" s="58"/>
    </row>
    <row r="19611" spans="1:7" x14ac:dyDescent="0.25">
      <c r="A19611" s="219" t="s">
        <v>1516</v>
      </c>
      <c r="B19611" s="219"/>
      <c r="C19611" s="219"/>
      <c r="D19611" s="219"/>
      <c r="E19611" s="219"/>
      <c r="F19611" s="219"/>
      <c r="G19611" s="52">
        <f>G19609+G19600+G19583+G19573+G19562</f>
        <v>168499</v>
      </c>
    </row>
    <row r="19612" spans="1:7" x14ac:dyDescent="0.25">
      <c r="A19612" s="59"/>
      <c r="B19612" s="60"/>
      <c r="C19612" s="60"/>
      <c r="D19612" s="60"/>
      <c r="E19612" s="57"/>
      <c r="F19612" s="57"/>
      <c r="G19612" s="58"/>
    </row>
    <row r="19613" spans="1:7" x14ac:dyDescent="0.25">
      <c r="A19613" s="64"/>
      <c r="D19613" s="55"/>
      <c r="E19613" s="49" t="s">
        <v>25</v>
      </c>
      <c r="F19613" s="54">
        <v>0.15</v>
      </c>
      <c r="G19613" s="51">
        <f>G19611*F19613</f>
        <v>25274.85</v>
      </c>
    </row>
    <row r="19614" spans="1:7" x14ac:dyDescent="0.25">
      <c r="A19614" s="64"/>
      <c r="D19614" s="55"/>
      <c r="E19614" s="49" t="s">
        <v>26</v>
      </c>
      <c r="F19614" s="54">
        <v>0.05</v>
      </c>
      <c r="G19614" s="51">
        <f>G19611*F19614</f>
        <v>8424.9500000000007</v>
      </c>
    </row>
    <row r="19615" spans="1:7" x14ac:dyDescent="0.25">
      <c r="A19615" s="61"/>
      <c r="B19615" s="65"/>
      <c r="C19615" s="65"/>
      <c r="D19615" s="62"/>
      <c r="E19615" s="49" t="s">
        <v>27</v>
      </c>
      <c r="F19615" s="54">
        <v>0.05</v>
      </c>
      <c r="G19615" s="51">
        <f>G19611*F19615</f>
        <v>8424.9500000000007</v>
      </c>
    </row>
    <row r="19616" spans="1:7" x14ac:dyDescent="0.25">
      <c r="A19616" s="61"/>
      <c r="B19616" s="62"/>
      <c r="C19616" s="62"/>
      <c r="D19616" s="62"/>
      <c r="E19616" s="62"/>
      <c r="F19616" s="62"/>
      <c r="G19616" s="63"/>
    </row>
    <row r="19617" spans="1:8" x14ac:dyDescent="0.25">
      <c r="A19617" s="219" t="s">
        <v>1517</v>
      </c>
      <c r="B19617" s="219"/>
      <c r="C19617" s="219"/>
      <c r="D19617" s="219"/>
      <c r="E19617" s="219"/>
      <c r="F19617" s="219"/>
      <c r="G19617" s="52">
        <f>G19611+G19613+G19614+G19615</f>
        <v>210623.75000000003</v>
      </c>
    </row>
    <row r="19618" spans="1:8" x14ac:dyDescent="0.25">
      <c r="A19618" s="59"/>
      <c r="B19618" s="60"/>
      <c r="C19618" s="60"/>
      <c r="D19618" s="60"/>
      <c r="E19618" s="57"/>
      <c r="F19618" s="57"/>
      <c r="G19618" s="58"/>
    </row>
    <row r="19619" spans="1:8" x14ac:dyDescent="0.25">
      <c r="A19619" s="64"/>
      <c r="D19619" s="55"/>
      <c r="E19619" s="49" t="s">
        <v>102</v>
      </c>
      <c r="F19619" s="49" t="s">
        <v>103</v>
      </c>
      <c r="G19619" s="51">
        <f>G19615*19%</f>
        <v>1600.7405000000001</v>
      </c>
    </row>
    <row r="19620" spans="1:8" x14ac:dyDescent="0.25">
      <c r="A19620" s="61"/>
      <c r="B19620" s="62"/>
      <c r="C19620" s="62"/>
      <c r="D19620" s="62"/>
      <c r="E19620" s="57"/>
      <c r="F19620" s="57"/>
      <c r="G19620" s="58"/>
    </row>
    <row r="19621" spans="1:8" x14ac:dyDescent="0.25">
      <c r="A19621" s="219" t="s">
        <v>104</v>
      </c>
      <c r="B19621" s="219"/>
      <c r="C19621" s="219"/>
      <c r="D19621" s="219"/>
      <c r="E19621" s="219"/>
      <c r="F19621" s="219"/>
      <c r="G19621" s="52">
        <f>G19619+G19617</f>
        <v>212224.49050000004</v>
      </c>
    </row>
    <row r="19623" spans="1:8" x14ac:dyDescent="0.25">
      <c r="A19623" s="74" t="s">
        <v>29</v>
      </c>
      <c r="B19623" s="237" t="s">
        <v>30</v>
      </c>
      <c r="C19623" s="238"/>
      <c r="D19623" s="74" t="s">
        <v>31</v>
      </c>
      <c r="E19623" s="74" t="s">
        <v>32</v>
      </c>
      <c r="F19623" s="74" t="s">
        <v>189</v>
      </c>
      <c r="G19623" s="74" t="s">
        <v>33</v>
      </c>
    </row>
    <row r="19624" spans="1:8" ht="41.25" customHeight="1" x14ac:dyDescent="0.25">
      <c r="A19624" s="50" t="str">
        <f>Presupuesto!B378</f>
        <v>047_AUX</v>
      </c>
      <c r="B19624" s="220" t="str">
        <f>Presupuesto!C378</f>
        <v>SUMINISTRO E INSTALACIÓN DE INTERRUPTOR SENCILLO EN TUBERIA EMT DE  3/4" CON CABLE Cu (1#14F+1#14N+1#14T) AWG + CAJA GALVANIZADA 2X4. (LINEA GENESIS) (Longitud Promedio 5m)</v>
      </c>
      <c r="C19624" s="239"/>
      <c r="D19624" s="50" t="s">
        <v>8</v>
      </c>
      <c r="E19624" s="50">
        <v>6</v>
      </c>
      <c r="F19624" s="50"/>
      <c r="G19624" s="51">
        <f>G19696</f>
        <v>354653.78850000008</v>
      </c>
    </row>
    <row r="19625" spans="1:8" x14ac:dyDescent="0.25">
      <c r="A19625" s="219" t="s">
        <v>34</v>
      </c>
      <c r="B19625" s="219"/>
      <c r="C19625" s="219"/>
      <c r="D19625" s="219"/>
      <c r="E19625" s="219"/>
      <c r="F19625" s="219"/>
      <c r="G19625" s="219"/>
    </row>
    <row r="19626" spans="1:8" x14ac:dyDescent="0.25">
      <c r="A19626" s="49" t="s">
        <v>35</v>
      </c>
      <c r="B19626" s="234" t="s">
        <v>36</v>
      </c>
      <c r="C19626" s="235"/>
      <c r="D19626" s="49" t="s">
        <v>37</v>
      </c>
      <c r="E19626" s="49" t="s">
        <v>38</v>
      </c>
      <c r="F19626" s="49" t="s">
        <v>39</v>
      </c>
      <c r="G19626" s="49" t="s">
        <v>40</v>
      </c>
    </row>
    <row r="19627" spans="1:8" x14ac:dyDescent="0.25">
      <c r="A19627" s="17" t="str">
        <f>Material!A221</f>
        <v>MA-220</v>
      </c>
      <c r="B19627" s="72" t="str">
        <f>IFERROR(VLOOKUP(A19627,Material!$A:$H,2,0),"-")</f>
        <v>TUBO METALICO EMT CONDUIT GALVANIZADO DE 3/4"</v>
      </c>
      <c r="C19627" s="73"/>
      <c r="D19627" s="50" t="str">
        <f>IFERROR(VLOOKUP(A19627,Material!$A:$H,4,0),"-")</f>
        <v>ML</v>
      </c>
      <c r="E19627" s="50">
        <v>5</v>
      </c>
      <c r="F19627" s="51">
        <f>IFERROR(VLOOKUP(A19627,Material!$A:$H,3,0),"-")</f>
        <v>11830</v>
      </c>
      <c r="G19627" s="51">
        <f t="shared" ref="G19627:G19637" si="283">IFERROR(ROUNDUP(F19627*E19627,0),"-")</f>
        <v>59150</v>
      </c>
    </row>
    <row r="19628" spans="1:8" x14ac:dyDescent="0.25">
      <c r="A19628" s="17" t="str">
        <f>Material!A223</f>
        <v>MA-222</v>
      </c>
      <c r="B19628" s="72" t="str">
        <f>IFERROR(VLOOKUP(A19628,Material!$A:$H,2,0),"-")</f>
        <v xml:space="preserve">TERMINAL-CONECTOR EMT DE 3/4" </v>
      </c>
      <c r="C19628" s="76"/>
      <c r="D19628" s="50" t="str">
        <f>IFERROR(VLOOKUP(A19628,Material!$A:$H,4,0),"-")</f>
        <v>UN</v>
      </c>
      <c r="E19628" s="50">
        <v>2</v>
      </c>
      <c r="F19628" s="51">
        <f>IFERROR(VLOOKUP(A19628,Material!$A:$H,3,0),"-")</f>
        <v>1495</v>
      </c>
      <c r="G19628" s="51">
        <f t="shared" si="283"/>
        <v>2990</v>
      </c>
      <c r="H19628" s="1"/>
    </row>
    <row r="19629" spans="1:8" x14ac:dyDescent="0.25">
      <c r="A19629" s="17" t="str">
        <f>Material!A224</f>
        <v>MA-223</v>
      </c>
      <c r="B19629" s="72" t="str">
        <f>IFERROR(VLOOKUP(A19629,Material!$A:$H,2,0),"-")</f>
        <v>UNION EMT 3/4"</v>
      </c>
      <c r="C19629" s="76"/>
      <c r="D19629" s="50" t="str">
        <f>IFERROR(VLOOKUP(A19629,Material!$A:$H,4,0),"-")</f>
        <v>UN</v>
      </c>
      <c r="E19629" s="107">
        <f>2+E19627/3</f>
        <v>3.666666666666667</v>
      </c>
      <c r="F19629" s="51">
        <f>IFERROR(VLOOKUP(A19629,Material!$A:$H,3,0),"-")</f>
        <v>1495</v>
      </c>
      <c r="G19629" s="51">
        <f t="shared" si="283"/>
        <v>5482</v>
      </c>
    </row>
    <row r="19630" spans="1:8" x14ac:dyDescent="0.25">
      <c r="A19630" s="17" t="str">
        <f>Material!A225</f>
        <v>MA-224</v>
      </c>
      <c r="B19630" s="72" t="str">
        <f>IFERROR(VLOOKUP(A19630,Material!$A:$H,2,0),"-")</f>
        <v>CURVA 90 GRADOS EMT DE 3/4"</v>
      </c>
      <c r="C19630" s="76"/>
      <c r="D19630" s="50" t="str">
        <f>IFERROR(VLOOKUP(A19630,Material!$A:$H,4,0),"-")</f>
        <v>UN</v>
      </c>
      <c r="E19630" s="50">
        <v>1</v>
      </c>
      <c r="F19630" s="51">
        <f>IFERROR(VLOOKUP(A19630,Material!$A:$H,3,0),"-")</f>
        <v>2340</v>
      </c>
      <c r="G19630" s="51">
        <f t="shared" si="283"/>
        <v>2340</v>
      </c>
    </row>
    <row r="19631" spans="1:8" x14ac:dyDescent="0.25">
      <c r="A19631" s="17" t="str">
        <f>Material!A226</f>
        <v>MA-225</v>
      </c>
      <c r="B19631" s="72" t="str">
        <f>IFERROR(VLOOKUP(A19631,Material!$A:$H,2,0),"-")</f>
        <v>ABRAZADERA GRAPA METALICA 3/4"</v>
      </c>
      <c r="C19631" s="76"/>
      <c r="D19631" s="50" t="str">
        <f>IFERROR(VLOOKUP(A19631,Material!$A:$H,4,0),"-")</f>
        <v>UN</v>
      </c>
      <c r="E19631" s="50">
        <v>3</v>
      </c>
      <c r="F19631" s="51">
        <f>IFERROR(VLOOKUP(A19631,Material!$A:$H,3,0),"-")</f>
        <v>325</v>
      </c>
      <c r="G19631" s="51">
        <f t="shared" si="283"/>
        <v>975</v>
      </c>
    </row>
    <row r="19632" spans="1:8" x14ac:dyDescent="0.25">
      <c r="A19632" s="17" t="str">
        <f>Material!A227</f>
        <v>MA-226</v>
      </c>
      <c r="B19632" s="72" t="str">
        <f>IFERROR(VLOOKUP(A19632,Material!$A:$H,2,0),"-")</f>
        <v>CABLE AISLADO NO 14 AWG COBRE THHN</v>
      </c>
      <c r="C19632" s="76"/>
      <c r="D19632" s="50" t="str">
        <f>IFERROR(VLOOKUP(A19632,Material!$A:$H,4,0),"-")</f>
        <v>ML</v>
      </c>
      <c r="E19632" s="50">
        <f>2*5</f>
        <v>10</v>
      </c>
      <c r="F19632" s="51">
        <f>IFERROR(VLOOKUP(A19632,Material!$A:$H,3,0),"-")</f>
        <v>2210</v>
      </c>
      <c r="G19632" s="51">
        <f t="shared" si="283"/>
        <v>22100</v>
      </c>
    </row>
    <row r="19633" spans="1:7" x14ac:dyDescent="0.25">
      <c r="A19633" s="17" t="str">
        <f>Material!A227</f>
        <v>MA-226</v>
      </c>
      <c r="B19633" s="72" t="str">
        <f>IFERROR(VLOOKUP(A19633,Material!$A:$H,2,0),"-")</f>
        <v>CABLE AISLADO NO 14 AWG COBRE THHN</v>
      </c>
      <c r="C19633" s="76"/>
      <c r="D19633" s="50" t="str">
        <f>IFERROR(VLOOKUP(A19633,Material!$A:$H,4,0),"-")</f>
        <v>ML</v>
      </c>
      <c r="E19633" s="50">
        <v>5</v>
      </c>
      <c r="F19633" s="51">
        <f>IFERROR(VLOOKUP(A19633,Material!$A:$H,3,0),"-")</f>
        <v>2210</v>
      </c>
      <c r="G19633" s="51">
        <f t="shared" si="283"/>
        <v>11050</v>
      </c>
    </row>
    <row r="19634" spans="1:7" x14ac:dyDescent="0.25">
      <c r="A19634" s="17" t="str">
        <f>Material!A151</f>
        <v>MA-150</v>
      </c>
      <c r="B19634" s="72" t="str">
        <f>IFERROR(VLOOKUP(A19634,Material!$A:$H,2,0),"-")</f>
        <v>INTERRUPTOR SENCILLO</v>
      </c>
      <c r="C19634" s="76"/>
      <c r="D19634" s="50" t="str">
        <f>IFERROR(VLOOKUP(A19634,Material!$A:$H,4,0),"-")</f>
        <v>UN</v>
      </c>
      <c r="E19634" s="50">
        <v>1</v>
      </c>
      <c r="F19634" s="51">
        <f>IFERROR(VLOOKUP(A19634,Material!$A:$H,3,0),"-")</f>
        <v>2574</v>
      </c>
      <c r="G19634" s="51">
        <f t="shared" si="283"/>
        <v>2574</v>
      </c>
    </row>
    <row r="19635" spans="1:7" x14ac:dyDescent="0.25">
      <c r="A19635" s="17" t="str">
        <f>Material!A228</f>
        <v>MA-227</v>
      </c>
      <c r="B19635" s="72" t="str">
        <f>IFERROR(VLOOKUP(A19635,Material!$A:$H,2,0),"-")</f>
        <v>TERMINAL SOLDER AMARILLO 22-14 VCP</v>
      </c>
      <c r="C19635" s="76"/>
      <c r="D19635" s="50" t="str">
        <f>IFERROR(VLOOKUP(A19635,Material!$A:$H,4,0),"-")</f>
        <v>UN</v>
      </c>
      <c r="E19635" s="50">
        <v>3</v>
      </c>
      <c r="F19635" s="51">
        <f>IFERROR(VLOOKUP(A19635,Material!$A:$H,3,0),"-")</f>
        <v>299</v>
      </c>
      <c r="G19635" s="51">
        <f t="shared" si="283"/>
        <v>897</v>
      </c>
    </row>
    <row r="19636" spans="1:7" x14ac:dyDescent="0.25">
      <c r="A19636" s="17" t="str">
        <f>Material!A229</f>
        <v>MA-228</v>
      </c>
      <c r="B19636" s="72" t="str">
        <f>IFERROR(VLOOKUP(A19636,Material!$A:$H,2,0),"-")</f>
        <v>CINTA DE COLORES</v>
      </c>
      <c r="C19636" s="76"/>
      <c r="D19636" s="50" t="str">
        <f>IFERROR(VLOOKUP(A19636,Material!$A:$H,4,0),"-")</f>
        <v>ML</v>
      </c>
      <c r="E19636" s="50">
        <v>7.0000000000000007E-2</v>
      </c>
      <c r="F19636" s="51">
        <f>IFERROR(VLOOKUP(A19636,Material!$A:$H,3,0),"-")</f>
        <v>54.080000000000005</v>
      </c>
      <c r="G19636" s="51">
        <f t="shared" si="283"/>
        <v>4</v>
      </c>
    </row>
    <row r="19637" spans="1:7" x14ac:dyDescent="0.25">
      <c r="A19637" s="17" t="str">
        <f>Material!A222</f>
        <v>MA-221</v>
      </c>
      <c r="B19637" s="72" t="str">
        <f>IFERROR(VLOOKUP(A19637,Material!$A:$H,2,0),"-")</f>
        <v>CAJA FS 2X4  4 SALIDAS 3/4"</v>
      </c>
      <c r="C19637" s="76"/>
      <c r="D19637" s="50" t="str">
        <f>IFERROR(VLOOKUP(A19637,Material!$A:$H,4,0),"-")</f>
        <v>UN</v>
      </c>
      <c r="E19637" s="50">
        <v>1</v>
      </c>
      <c r="F19637" s="51">
        <f>IFERROR(VLOOKUP(A19637,Material!$A:$H,3,0),"-")</f>
        <v>16633.5</v>
      </c>
      <c r="G19637" s="51">
        <f t="shared" si="283"/>
        <v>16634</v>
      </c>
    </row>
    <row r="19638" spans="1:7" x14ac:dyDescent="0.25">
      <c r="A19638" s="234" t="s">
        <v>41</v>
      </c>
      <c r="B19638" s="236"/>
      <c r="C19638" s="236"/>
      <c r="D19638" s="236"/>
      <c r="E19638" s="236"/>
      <c r="F19638" s="235"/>
      <c r="G19638" s="52">
        <f>SUM(G19627:G19637)</f>
        <v>124196</v>
      </c>
    </row>
    <row r="19639" spans="1:7" x14ac:dyDescent="0.25">
      <c r="A19639" s="56"/>
      <c r="B19639" s="57"/>
      <c r="C19639" s="57"/>
      <c r="D19639" s="57"/>
      <c r="E19639" s="57"/>
      <c r="F19639" s="57"/>
      <c r="G19639" s="58"/>
    </row>
    <row r="19640" spans="1:7" x14ac:dyDescent="0.25">
      <c r="A19640" s="219" t="s">
        <v>42</v>
      </c>
      <c r="B19640" s="219"/>
      <c r="C19640" s="219"/>
      <c r="D19640" s="219"/>
      <c r="E19640" s="219"/>
      <c r="F19640" s="219"/>
      <c r="G19640" s="219"/>
    </row>
    <row r="19641" spans="1:7" x14ac:dyDescent="0.25">
      <c r="A19641" s="49" t="s">
        <v>35</v>
      </c>
      <c r="B19641" s="49" t="s">
        <v>36</v>
      </c>
      <c r="C19641" s="49" t="s">
        <v>38</v>
      </c>
      <c r="D19641" s="49" t="s">
        <v>43</v>
      </c>
      <c r="E19641" s="49" t="s">
        <v>44</v>
      </c>
      <c r="F19641" s="49" t="s">
        <v>45</v>
      </c>
      <c r="G19641" s="49" t="s">
        <v>40</v>
      </c>
    </row>
    <row r="19642" spans="1:7" x14ac:dyDescent="0.25">
      <c r="A19642" s="50" t="s">
        <v>319</v>
      </c>
      <c r="B19642" s="68" t="str">
        <f>VLOOKUP(A19642,'Componentes APUs'!$H$1:$L$25,2,0)</f>
        <v>Ingeniero Residente de Obra</v>
      </c>
      <c r="C19642" s="93">
        <v>0.25</v>
      </c>
      <c r="D19642" s="50">
        <f>VLOOKUP(A19642,'Componentes APUs'!$H$1:$L$25,3,0)</f>
        <v>4</v>
      </c>
      <c r="E19642" s="51">
        <f>VLOOKUP(A19642,'Componentes APUs'!$H$1:$L$25,4,0)</f>
        <v>271142.85714285716</v>
      </c>
      <c r="F19642" s="51">
        <f>VLOOKUP(A19642,'Componentes APUs'!$H$1:$L$25,5,0)</f>
        <v>162685.71428571429</v>
      </c>
      <c r="G19642" s="51">
        <f>ROUNDUP((E19642+F19642)*C19642/E19624,0)</f>
        <v>18077</v>
      </c>
    </row>
    <row r="19643" spans="1:7" x14ac:dyDescent="0.25">
      <c r="A19643" s="50" t="s">
        <v>320</v>
      </c>
      <c r="B19643" s="68" t="str">
        <f>VLOOKUP(A19643,'Componentes APUs'!$H$1:$L$25,2,0)</f>
        <v>Tecnico Supervisor</v>
      </c>
      <c r="C19643" s="93">
        <v>0.25</v>
      </c>
      <c r="D19643" s="50">
        <f>VLOOKUP(A19643,'Componentes APUs'!$H$1:$L$25,3,0)</f>
        <v>2.2999999999999998</v>
      </c>
      <c r="E19643" s="51">
        <f>VLOOKUP(A19643,'Componentes APUs'!$H$1:$L$25,4,0)</f>
        <v>155907.14285714284</v>
      </c>
      <c r="F19643" s="51">
        <f>VLOOKUP(A19643,'Componentes APUs'!$H$1:$L$25,5,0)</f>
        <v>93544.285714285696</v>
      </c>
      <c r="G19643" s="51">
        <f>ROUNDUP((E19643+F19643)*C19643/E19624,0)</f>
        <v>10394</v>
      </c>
    </row>
    <row r="19644" spans="1:7" x14ac:dyDescent="0.25">
      <c r="A19644" s="50" t="s">
        <v>1160</v>
      </c>
      <c r="B19644" s="68" t="str">
        <f>VLOOKUP(A19644,'Componentes APUs'!$H$1:$L$25,2,0)</f>
        <v>Oficial Eléctrico</v>
      </c>
      <c r="C19644" s="93">
        <v>1</v>
      </c>
      <c r="D19644" s="50">
        <f>VLOOKUP(A19644,'Componentes APUs'!$H$1:$L$25,3,0)</f>
        <v>2</v>
      </c>
      <c r="E19644" s="51">
        <f>VLOOKUP(A19644,'Componentes APUs'!$H$1:$L$25,4,0)</f>
        <v>154619.04761904763</v>
      </c>
      <c r="F19644" s="51">
        <f>VLOOKUP(A19644,'Componentes APUs'!$H$1:$L$25,5,0)</f>
        <v>92771.42857142858</v>
      </c>
      <c r="G19644" s="51">
        <f>ROUNDUP((E19644+F19644)*C19644/E19624,0)</f>
        <v>41232</v>
      </c>
    </row>
    <row r="19645" spans="1:7" x14ac:dyDescent="0.25">
      <c r="A19645" s="50" t="s">
        <v>48</v>
      </c>
      <c r="B19645" s="68" t="str">
        <f>VLOOKUP(A19645,'Componentes APUs'!$H$1:$L$25,2,0)</f>
        <v>Ayudante Calificado</v>
      </c>
      <c r="C19645" s="93">
        <v>1</v>
      </c>
      <c r="D19645" s="50">
        <f>VLOOKUP(A19645,'Componentes APUs'!$H$1:$L$25,3,0)</f>
        <v>1.5</v>
      </c>
      <c r="E19645" s="51">
        <f>VLOOKUP(A19645,'Componentes APUs'!$H$1:$L$25,4,0)</f>
        <v>115964.28571428571</v>
      </c>
      <c r="F19645" s="51">
        <f>VLOOKUP(A19645,'Componentes APUs'!$H$1:$L$25,5,0)</f>
        <v>69578.57142857142</v>
      </c>
      <c r="G19645" s="51">
        <f>ROUNDUP((E19645+F19645)*C19645/E19624,0)</f>
        <v>30924</v>
      </c>
    </row>
    <row r="19646" spans="1:7" x14ac:dyDescent="0.25">
      <c r="A19646" s="50" t="s">
        <v>50</v>
      </c>
      <c r="B19646" s="68" t="str">
        <f>VLOOKUP(A19646,'Componentes APUs'!$H$1:$L$25,2,0)</f>
        <v>Profesional en SST</v>
      </c>
      <c r="C19646" s="93">
        <v>0.25</v>
      </c>
      <c r="D19646" s="50">
        <f>VLOOKUP(A19646,'Componentes APUs'!$H$1:$L$25,3,0)</f>
        <v>2.5</v>
      </c>
      <c r="E19646" s="51">
        <f>VLOOKUP(A19646,'Componentes APUs'!$H$1:$L$25,4,0)</f>
        <v>169464.28571428571</v>
      </c>
      <c r="F19646" s="51">
        <f>VLOOKUP(A19646,'Componentes APUs'!$H$1:$L$25,5,0)</f>
        <v>101678.57142857142</v>
      </c>
      <c r="G19646" s="51">
        <f>ROUNDUP((E19646+F19646)*C19646/E19624,0)</f>
        <v>11298</v>
      </c>
    </row>
    <row r="19647" spans="1:7" x14ac:dyDescent="0.25">
      <c r="A19647" s="50" t="s">
        <v>52</v>
      </c>
      <c r="B19647" s="68" t="str">
        <f>VLOOKUP(A19647,'Componentes APUs'!$H$1:$L$25,2,0)</f>
        <v>Ayudante No Calificado</v>
      </c>
      <c r="C19647" s="93">
        <v>0</v>
      </c>
      <c r="D19647" s="50">
        <f>VLOOKUP(A19647,'Componentes APUs'!$H$1:$L$25,3,0)</f>
        <v>1</v>
      </c>
      <c r="E19647" s="51">
        <f>VLOOKUP(A19647,'Componentes APUs'!$H$1:$L$25,4,0)</f>
        <v>77309.523809523816</v>
      </c>
      <c r="F19647" s="51">
        <f>VLOOKUP(A19647,'Componentes APUs'!$H$1:$L$25,5,0)</f>
        <v>46385.71428571429</v>
      </c>
      <c r="G19647" s="51">
        <f>ROUNDUP((E19647+F19647)*C19647/E19624,0)</f>
        <v>0</v>
      </c>
    </row>
    <row r="19648" spans="1:7" x14ac:dyDescent="0.25">
      <c r="A19648" s="219" t="s">
        <v>56</v>
      </c>
      <c r="B19648" s="219"/>
      <c r="C19648" s="219"/>
      <c r="D19648" s="219"/>
      <c r="E19648" s="219"/>
      <c r="F19648" s="219"/>
      <c r="G19648" s="52">
        <f>SUM(G19642:G19647)</f>
        <v>111925</v>
      </c>
    </row>
    <row r="19649" spans="1:7" x14ac:dyDescent="0.25">
      <c r="A19649" s="56"/>
      <c r="B19649" s="57"/>
      <c r="C19649" s="57"/>
      <c r="D19649" s="57"/>
      <c r="E19649" s="57"/>
      <c r="F19649" s="57"/>
      <c r="G19649" s="58"/>
    </row>
    <row r="19650" spans="1:7" x14ac:dyDescent="0.25">
      <c r="A19650" s="219" t="s">
        <v>57</v>
      </c>
      <c r="B19650" s="219"/>
      <c r="C19650" s="219"/>
      <c r="D19650" s="219"/>
      <c r="E19650" s="219"/>
      <c r="F19650" s="219"/>
      <c r="G19650" s="219"/>
    </row>
    <row r="19651" spans="1:7" x14ac:dyDescent="0.25">
      <c r="A19651" s="49" t="s">
        <v>35</v>
      </c>
      <c r="B19651" s="219" t="s">
        <v>36</v>
      </c>
      <c r="C19651" s="219"/>
      <c r="D19651" s="49" t="s">
        <v>37</v>
      </c>
      <c r="E19651" s="49" t="s">
        <v>38</v>
      </c>
      <c r="F19651" s="49" t="s">
        <v>39</v>
      </c>
      <c r="G19651" s="49" t="s">
        <v>40</v>
      </c>
    </row>
    <row r="19652" spans="1:7" x14ac:dyDescent="0.25">
      <c r="A19652" s="50" t="s">
        <v>326</v>
      </c>
      <c r="B19652" s="220" t="str">
        <f>VLOOKUP(A19652,'Componentes APUs'!$S$1:$V$10,2,0)</f>
        <v>Juego Llaves</v>
      </c>
      <c r="C19652" s="220"/>
      <c r="D19652" s="50" t="s">
        <v>18</v>
      </c>
      <c r="E19652" s="50">
        <v>1</v>
      </c>
      <c r="F19652" s="51">
        <f>VLOOKUP(A19652,'Componentes APUs'!$S$1:$V$10,4,0)</f>
        <v>9167</v>
      </c>
      <c r="G19652" s="51">
        <f>ROUNDUP(F19652*((E19652/21)/E19624),0)</f>
        <v>73</v>
      </c>
    </row>
    <row r="19653" spans="1:7" x14ac:dyDescent="0.25">
      <c r="A19653" s="50" t="s">
        <v>58</v>
      </c>
      <c r="B19653" s="220" t="str">
        <f>VLOOKUP(A19653,'Componentes APUs'!$S$1:$V$10,2,0)</f>
        <v>Manila de servicio</v>
      </c>
      <c r="C19653" s="220"/>
      <c r="D19653" s="50" t="s">
        <v>18</v>
      </c>
      <c r="E19653" s="50">
        <v>0</v>
      </c>
      <c r="F19653" s="51">
        <f>VLOOKUP(A19653,'Componentes APUs'!$S$1:$V$10,4,0)</f>
        <v>2333</v>
      </c>
      <c r="G19653" s="51">
        <f>ROUNDUP(F19653*((E19653/21)/E19624),0)</f>
        <v>0</v>
      </c>
    </row>
    <row r="19654" spans="1:7" x14ac:dyDescent="0.25">
      <c r="A19654" s="50" t="s">
        <v>327</v>
      </c>
      <c r="B19654" s="220" t="str">
        <f>VLOOKUP(A19654,'Componentes APUs'!$S$1:$V$10,2,0)</f>
        <v>Tula portaherramientas</v>
      </c>
      <c r="C19654" s="220"/>
      <c r="D19654" s="50" t="s">
        <v>18</v>
      </c>
      <c r="E19654" s="50">
        <v>1</v>
      </c>
      <c r="F19654" s="51">
        <f>VLOOKUP(A19654,'Componentes APUs'!$S$1:$V$10,4,0)</f>
        <v>1250</v>
      </c>
      <c r="G19654" s="51">
        <f>ROUNDUP(F19654*((E19654/21)/E19624),0)</f>
        <v>10</v>
      </c>
    </row>
    <row r="19655" spans="1:7" x14ac:dyDescent="0.25">
      <c r="A19655" s="50" t="s">
        <v>60</v>
      </c>
      <c r="B19655" s="220" t="str">
        <f>VLOOKUP(A19655,'Componentes APUs'!$S$1:$V$10,2,0)</f>
        <v>Agarradoras</v>
      </c>
      <c r="C19655" s="220"/>
      <c r="D19655" s="50" t="s">
        <v>18</v>
      </c>
      <c r="E19655" s="50">
        <v>0</v>
      </c>
      <c r="F19655" s="51">
        <f>VLOOKUP(A19655,'Componentes APUs'!$S$1:$V$10,4,0)</f>
        <v>125000</v>
      </c>
      <c r="G19655" s="51">
        <f>ROUNDUP(F19655*((E19655/21)/E19624),0)</f>
        <v>0</v>
      </c>
    </row>
    <row r="19656" spans="1:7" x14ac:dyDescent="0.25">
      <c r="A19656" s="50" t="s">
        <v>62</v>
      </c>
      <c r="B19656" s="220" t="str">
        <f>VLOOKUP(A19656,'Componentes APUs'!$S$1:$V$10,2,0)</f>
        <v>Templadoras</v>
      </c>
      <c r="C19656" s="220"/>
      <c r="D19656" s="50" t="s">
        <v>18</v>
      </c>
      <c r="E19656" s="50">
        <v>0</v>
      </c>
      <c r="F19656" s="51">
        <f>VLOOKUP(A19656,'Componentes APUs'!$S$1:$V$10,4,0)</f>
        <v>250000</v>
      </c>
      <c r="G19656" s="51">
        <f>ROUNDUP(F19656*((E19656/21)/E19624),0)</f>
        <v>0</v>
      </c>
    </row>
    <row r="19657" spans="1:7" x14ac:dyDescent="0.25">
      <c r="A19657" s="50" t="s">
        <v>328</v>
      </c>
      <c r="B19657" s="220" t="str">
        <f>VLOOKUP(A19657,'Componentes APUs'!$S$1:$V$10,2,0)</f>
        <v>Herramienta Menor</v>
      </c>
      <c r="C19657" s="220"/>
      <c r="D19657" s="50" t="s">
        <v>18</v>
      </c>
      <c r="E19657" s="50">
        <v>1</v>
      </c>
      <c r="F19657" s="51">
        <f>VLOOKUP(A19657,'Componentes APUs'!$S$1:$V$10,4,0)</f>
        <v>75758</v>
      </c>
      <c r="G19657" s="51">
        <f>ROUNDUP(F19657*((E19657/21)/E19624),0)</f>
        <v>602</v>
      </c>
    </row>
    <row r="19658" spans="1:7" x14ac:dyDescent="0.25">
      <c r="A19658" s="219" t="s">
        <v>69</v>
      </c>
      <c r="B19658" s="219"/>
      <c r="C19658" s="219"/>
      <c r="D19658" s="219"/>
      <c r="E19658" s="219"/>
      <c r="F19658" s="219"/>
      <c r="G19658" s="52">
        <f>SUM(G19652:G19657)</f>
        <v>685</v>
      </c>
    </row>
    <row r="19659" spans="1:7" x14ac:dyDescent="0.25">
      <c r="A19659" s="56"/>
      <c r="B19659" s="57"/>
      <c r="C19659" s="57"/>
      <c r="D19659" s="57"/>
      <c r="E19659" s="57"/>
      <c r="F19659" s="57"/>
      <c r="G19659" s="58"/>
    </row>
    <row r="19660" spans="1:7" x14ac:dyDescent="0.25">
      <c r="A19660" s="219" t="s">
        <v>70</v>
      </c>
      <c r="B19660" s="219"/>
      <c r="C19660" s="219"/>
      <c r="D19660" s="219"/>
      <c r="E19660" s="219"/>
      <c r="F19660" s="219"/>
      <c r="G19660" s="219"/>
    </row>
    <row r="19661" spans="1:7" x14ac:dyDescent="0.25">
      <c r="A19661" s="49" t="s">
        <v>35</v>
      </c>
      <c r="B19661" s="219" t="s">
        <v>36</v>
      </c>
      <c r="C19661" s="219"/>
      <c r="D19661" s="49" t="s">
        <v>37</v>
      </c>
      <c r="E19661" s="49" t="s">
        <v>38</v>
      </c>
      <c r="F19661" s="49" t="s">
        <v>39</v>
      </c>
      <c r="G19661" s="49" t="s">
        <v>40</v>
      </c>
    </row>
    <row r="19662" spans="1:7" x14ac:dyDescent="0.25">
      <c r="A19662" s="50" t="s">
        <v>71</v>
      </c>
      <c r="B19662" s="71" t="str">
        <f>VLOOKUP(A19662,'Componentes APUs'!$A$1:$D$14,2,0)</f>
        <v>Camisa indigo sin partes metalicas</v>
      </c>
      <c r="C19662" s="71"/>
      <c r="D19662" s="50" t="str">
        <f>VLOOKUP(A19662,'Componentes APUs'!$A$1:$D$14,3,0)</f>
        <v>U</v>
      </c>
      <c r="E19662" s="50">
        <f>SUM(C19642:C19647)</f>
        <v>2.75</v>
      </c>
      <c r="F19662" s="51">
        <f>VLOOKUP(A19662,'Componentes APUs'!$A$1:$D$14,4,0)</f>
        <v>8585.8585858585866</v>
      </c>
      <c r="G19662" s="51">
        <f>ROUNDUP(F19662*(E19662/21)/E19624,0)</f>
        <v>188</v>
      </c>
    </row>
    <row r="19663" spans="1:7" x14ac:dyDescent="0.25">
      <c r="A19663" s="69" t="s">
        <v>73</v>
      </c>
      <c r="B19663" s="72" t="str">
        <f>VLOOKUP(A19663,'Componentes APUs'!$A$1:$D$14,2,0)</f>
        <v>Bota de seguridad dielectrica</v>
      </c>
      <c r="C19663" s="73"/>
      <c r="D19663" s="70" t="str">
        <f>VLOOKUP(A19663,'Componentes APUs'!$A$1:$D$14,3,0)</f>
        <v>Par</v>
      </c>
      <c r="E19663" s="50">
        <f>SUM(C19642:C19647)</f>
        <v>2.75</v>
      </c>
      <c r="F19663" s="51">
        <f>VLOOKUP(A19663,'Componentes APUs'!$A$1:$D$14,4,0)</f>
        <v>7500</v>
      </c>
      <c r="G19663" s="51">
        <f>ROUNDUP(F19663*(E19663/21)/E19624,0)</f>
        <v>164</v>
      </c>
    </row>
    <row r="19664" spans="1:7" x14ac:dyDescent="0.25">
      <c r="A19664" s="50" t="s">
        <v>76</v>
      </c>
      <c r="B19664" s="72" t="str">
        <f>VLOOKUP(A19664,'Componentes APUs'!$A$1:$D$14,2,0)</f>
        <v>Casco dielectrico Tipo 1 Clase E con barbuquejo</v>
      </c>
      <c r="C19664" s="73"/>
      <c r="D19664" s="50" t="str">
        <f>VLOOKUP(A19664,'Componentes APUs'!$A$1:$D$14,3,0)</f>
        <v>U</v>
      </c>
      <c r="E19664" s="50">
        <f>C19647+C19642+C19645+C19646+C19643+IF(A19644&lt;&gt;"MO-3",C19644,0)</f>
        <v>2.75</v>
      </c>
      <c r="F19664" s="51">
        <f>VLOOKUP(A19664,'Componentes APUs'!$A$1:$D$14,4,0)</f>
        <v>10101.010101010101</v>
      </c>
      <c r="G19664" s="51">
        <f>ROUNDUP(F19664*(E19664/21)/E19624,0)</f>
        <v>221</v>
      </c>
    </row>
    <row r="19665" spans="1:7" x14ac:dyDescent="0.25">
      <c r="A19665" s="69" t="s">
        <v>77</v>
      </c>
      <c r="B19665" s="72" t="str">
        <f>VLOOKUP(A19665,'Componentes APUs'!$A$1:$D$14,2,0)</f>
        <v>Correa plastica y antiflama</v>
      </c>
      <c r="C19665" s="73"/>
      <c r="D19665" s="50" t="str">
        <f>VLOOKUP(A19665,'Componentes APUs'!$A$1:$D$14,3,0)</f>
        <v>U</v>
      </c>
      <c r="E19665" s="50">
        <f>SUM(C19642:C19647)</f>
        <v>2.75</v>
      </c>
      <c r="F19665" s="51">
        <f>VLOOKUP(A19665,'Componentes APUs'!$A$1:$D$14,4,0)</f>
        <v>3787.878787878788</v>
      </c>
      <c r="G19665" s="51">
        <f>ROUNDUP(F19665*(E19665/21)/E19624,0)</f>
        <v>83</v>
      </c>
    </row>
    <row r="19666" spans="1:7" x14ac:dyDescent="0.25">
      <c r="A19666" s="50" t="s">
        <v>79</v>
      </c>
      <c r="B19666" s="72" t="str">
        <f>VLOOKUP(A19666,'Componentes APUs'!$A$1:$D$14,2,0)</f>
        <v>Gafas protectoras filtro UV</v>
      </c>
      <c r="C19666" s="73"/>
      <c r="D19666" s="50" t="str">
        <f>VLOOKUP(A19666,'Componentes APUs'!$A$1:$D$14,3,0)</f>
        <v>U</v>
      </c>
      <c r="E19666" s="50">
        <f>SUM(C19642:C19647)</f>
        <v>2.75</v>
      </c>
      <c r="F19666" s="51">
        <f>VLOOKUP(A19666,'Componentes APUs'!$A$1:$D$14,4,0)</f>
        <v>2777.7777777777778</v>
      </c>
      <c r="G19666" s="51">
        <f>ROUNDUP(F19666*(E19666/21)/E19624,0)</f>
        <v>61</v>
      </c>
    </row>
    <row r="19667" spans="1:7" x14ac:dyDescent="0.25">
      <c r="A19667" s="69" t="s">
        <v>402</v>
      </c>
      <c r="B19667" s="72" t="str">
        <f>VLOOKUP(A19667,'Componentes APUs'!$A$1:$D$14,2,0)</f>
        <v>Bota de seguridad PVC dielectrica</v>
      </c>
      <c r="C19667" s="73"/>
      <c r="D19667" s="50" t="str">
        <f>VLOOKUP(A19667,'Componentes APUs'!$A$1:$D$14,3,0)</f>
        <v>Par</v>
      </c>
      <c r="E19667" s="50">
        <f>SUM(C19642:C19647)</f>
        <v>2.75</v>
      </c>
      <c r="F19667" s="51">
        <f>VLOOKUP(A19667,'Componentes APUs'!$A$1:$D$14,4,0)</f>
        <v>2916.6666666666665</v>
      </c>
      <c r="G19667" s="51">
        <f>ROUNDUP(F19667*(E19667/21)/E19624,0)</f>
        <v>64</v>
      </c>
    </row>
    <row r="19668" spans="1:7" x14ac:dyDescent="0.25">
      <c r="A19668" s="50" t="s">
        <v>403</v>
      </c>
      <c r="B19668" s="72" t="str">
        <f>VLOOKUP(A19668,'Componentes APUs'!$A$1:$D$14,2,0)</f>
        <v>Capuchon</v>
      </c>
      <c r="C19668" s="73"/>
      <c r="D19668" s="50" t="str">
        <f>VLOOKUP(A19668,'Componentes APUs'!$A$1:$D$14,3,0)</f>
        <v>U</v>
      </c>
      <c r="E19668" s="50">
        <f>SUM(C19642:C19647)</f>
        <v>2.75</v>
      </c>
      <c r="F19668" s="51">
        <f>VLOOKUP(A19668,'Componentes APUs'!$A$1:$D$14,4,0)</f>
        <v>2525.2525252525252</v>
      </c>
      <c r="G19668" s="51">
        <f>ROUNDUP(F19668*(E19668/21)/E19624,0)</f>
        <v>56</v>
      </c>
    </row>
    <row r="19669" spans="1:7" x14ac:dyDescent="0.25">
      <c r="A19669" s="69" t="s">
        <v>81</v>
      </c>
      <c r="B19669" s="72" t="str">
        <f>VLOOKUP(A19669,'Componentes APUs'!$A$1:$D$14,2,0)</f>
        <v>Guantes Protectores  - ingeniero reforzados</v>
      </c>
      <c r="C19669" s="73"/>
      <c r="D19669" s="50" t="str">
        <f>VLOOKUP(A19669,'Componentes APUs'!$A$1:$D$14,3,0)</f>
        <v>Par</v>
      </c>
      <c r="E19669" s="50">
        <f>C19644+C19645+C19647</f>
        <v>2</v>
      </c>
      <c r="F19669" s="51">
        <f>VLOOKUP(A19669,'Componentes APUs'!$A$1:$D$14,4,0)</f>
        <v>2525.2525252525252</v>
      </c>
      <c r="G19669" s="51">
        <f>ROUNDUP(F19669*(E19669/21)/E19624,0)</f>
        <v>41</v>
      </c>
    </row>
    <row r="19670" spans="1:7" x14ac:dyDescent="0.25">
      <c r="A19670" s="50" t="s">
        <v>83</v>
      </c>
      <c r="B19670" s="72" t="str">
        <f>VLOOKUP(A19670,'Componentes APUs'!$A$1:$D$14,2,0)</f>
        <v>Impermeable (pantalon camisa)</v>
      </c>
      <c r="C19670" s="73"/>
      <c r="D19670" s="50" t="str">
        <f>VLOOKUP(A19670,'Componentes APUs'!$A$1:$D$14,3,0)</f>
        <v>U</v>
      </c>
      <c r="E19670" s="50">
        <f>SUM(C19642:C19647)</f>
        <v>2.75</v>
      </c>
      <c r="F19670" s="51">
        <f>VLOOKUP(A19670,'Componentes APUs'!$A$1:$D$14,4,0)</f>
        <v>3750</v>
      </c>
      <c r="G19670" s="51">
        <f>ROUNDUP(F19670*(E19670/21)/E19624,0)</f>
        <v>82</v>
      </c>
    </row>
    <row r="19671" spans="1:7" x14ac:dyDescent="0.25">
      <c r="A19671" s="69" t="s">
        <v>85</v>
      </c>
      <c r="B19671" s="72" t="str">
        <f>VLOOKUP(A19671,'Componentes APUs'!$A$1:$D$14,2,0)</f>
        <v>Jean Dielectrico</v>
      </c>
      <c r="C19671" s="73"/>
      <c r="D19671" s="50" t="str">
        <f>VLOOKUP(A19671,'Componentes APUs'!$A$1:$D$14,3,0)</f>
        <v>U</v>
      </c>
      <c r="E19671" s="50">
        <f>SUM(C19642:C19647)</f>
        <v>2.75</v>
      </c>
      <c r="F19671" s="51">
        <f>VLOOKUP(A19671,'Componentes APUs'!$A$1:$D$14,4,0)</f>
        <v>7575.757575757576</v>
      </c>
      <c r="G19671" s="51">
        <f>ROUNDUP(F19671*(E19671/21)/E19624,0)</f>
        <v>166</v>
      </c>
    </row>
    <row r="19672" spans="1:7" x14ac:dyDescent="0.25">
      <c r="A19672" s="50" t="s">
        <v>87</v>
      </c>
      <c r="B19672" s="72" t="str">
        <f>VLOOKUP(A19672,'Componentes APUs'!$A$1:$D$14,2,0)</f>
        <v>Casco dielectrico Tipo 2 Clase E con barboquejo</v>
      </c>
      <c r="C19672" s="73"/>
      <c r="D19672" s="50" t="str">
        <f>VLOOKUP(A19672,'Componentes APUs'!$A$1:$D$14,3,0)</f>
        <v>U</v>
      </c>
      <c r="E19672" s="53">
        <f>IF(A19644="MO-3",C19644,0)</f>
        <v>0</v>
      </c>
      <c r="F19672" s="51">
        <f>VLOOKUP(A19672,'Componentes APUs'!$A$1:$D$14,4,0)</f>
        <v>7500</v>
      </c>
      <c r="G19672" s="51">
        <f>ROUNDUP(F19672*(E19672/21)/E19624,0)</f>
        <v>0</v>
      </c>
    </row>
    <row r="19673" spans="1:7" x14ac:dyDescent="0.25">
      <c r="A19673" s="69" t="s">
        <v>89</v>
      </c>
      <c r="B19673" s="72" t="str">
        <f>VLOOKUP(A19673,'Componentes APUs'!$A$1:$D$14,2,0)</f>
        <v>Kit de rescate para trabajo en alturas</v>
      </c>
      <c r="C19673" s="73"/>
      <c r="D19673" s="50" t="str">
        <f>VLOOKUP(A19673,'Componentes APUs'!$A$1:$D$14,3,0)</f>
        <v>U</v>
      </c>
      <c r="E19673" s="50">
        <f>IF(AND(A19644="MO-3",C19644=2),1,0)</f>
        <v>0</v>
      </c>
      <c r="F19673" s="51">
        <f>VLOOKUP(A19673,'Componentes APUs'!$A$1:$D$14,4,0)</f>
        <v>37500</v>
      </c>
      <c r="G19673" s="51">
        <f>ROUNDUP(F19673*(E19673/21)/E19624,0)</f>
        <v>0</v>
      </c>
    </row>
    <row r="19674" spans="1:7" x14ac:dyDescent="0.25">
      <c r="A19674" s="50" t="s">
        <v>91</v>
      </c>
      <c r="B19674" s="72" t="str">
        <f>VLOOKUP(A19674,'Componentes APUs'!$A$1:$D$14,2,0)</f>
        <v>Equipo completo para trabajo en alturas con pretales (Arnes dielectrico, 1 mosqueton de seguridad, tie off dielectrico, eslinga de posicionamiento, juego de pretales)</v>
      </c>
      <c r="C19674" s="73"/>
      <c r="D19674" s="50" t="str">
        <f>VLOOKUP(A19674,'Componentes APUs'!$A$1:$D$14,3,0)</f>
        <v>U</v>
      </c>
      <c r="E19674" s="50">
        <f>IF(A19644="MO-3",C19644,0)</f>
        <v>0</v>
      </c>
      <c r="F19674" s="51">
        <f>VLOOKUP(A19674,'Componentes APUs'!$A$1:$D$14,4,0)</f>
        <v>26041.666666666668</v>
      </c>
      <c r="G19674" s="51">
        <f>ROUNDUP(F19674*(E19674/21)/E19624,0)</f>
        <v>0</v>
      </c>
    </row>
    <row r="19675" spans="1:7" x14ac:dyDescent="0.25">
      <c r="A19675" s="219" t="s">
        <v>95</v>
      </c>
      <c r="B19675" s="219"/>
      <c r="C19675" s="219"/>
      <c r="D19675" s="219"/>
      <c r="E19675" s="219"/>
      <c r="F19675" s="219"/>
      <c r="G19675" s="52">
        <f>SUM(G19662:G19674)</f>
        <v>1126</v>
      </c>
    </row>
    <row r="19676" spans="1:7" x14ac:dyDescent="0.25">
      <c r="A19676" s="56"/>
      <c r="B19676" s="57"/>
      <c r="C19676" s="57"/>
      <c r="D19676" s="57"/>
      <c r="E19676" s="57"/>
      <c r="F19676" s="57"/>
      <c r="G19676" s="58"/>
    </row>
    <row r="19677" spans="1:7" x14ac:dyDescent="0.25">
      <c r="A19677" s="219" t="s">
        <v>96</v>
      </c>
      <c r="B19677" s="219"/>
      <c r="C19677" s="219"/>
      <c r="D19677" s="219"/>
      <c r="E19677" s="219"/>
      <c r="F19677" s="219"/>
      <c r="G19677" s="219"/>
    </row>
    <row r="19678" spans="1:7" x14ac:dyDescent="0.25">
      <c r="A19678" s="49" t="s">
        <v>35</v>
      </c>
      <c r="B19678" s="225" t="s">
        <v>36</v>
      </c>
      <c r="C19678" s="225"/>
      <c r="D19678" s="49" t="s">
        <v>37</v>
      </c>
      <c r="E19678" s="49" t="s">
        <v>38</v>
      </c>
      <c r="F19678" s="49" t="s">
        <v>39</v>
      </c>
      <c r="G19678" s="49" t="s">
        <v>40</v>
      </c>
    </row>
    <row r="19679" spans="1:7" x14ac:dyDescent="0.25">
      <c r="A19679" s="69" t="s">
        <v>97</v>
      </c>
      <c r="B19679" s="72" t="str">
        <f>VLOOKUP(A19679,'Componentes APUs'!$N$1:$Q$30,2,0)</f>
        <v>Camioneta</v>
      </c>
      <c r="C19679" s="73"/>
      <c r="D19679" s="70" t="str">
        <f>VLOOKUP(A19679,'Componentes APUs'!$N$1:$Q$30,3,0)</f>
        <v>U</v>
      </c>
      <c r="E19679" s="50">
        <v>1</v>
      </c>
      <c r="F19679" s="51">
        <f>VLOOKUP(A19679,'Componentes APUs'!$N$1:$Q$30,4,0)</f>
        <v>5500000</v>
      </c>
      <c r="G19679" s="51">
        <f>IFERROR(ROUNDUP(F19679*(E19679/21)/E19624,0),0)</f>
        <v>43651</v>
      </c>
    </row>
    <row r="19680" spans="1:7" x14ac:dyDescent="0.25">
      <c r="A19680" s="50" t="s">
        <v>321</v>
      </c>
      <c r="B19680" s="72" t="str">
        <f>VLOOKUP(A19680,'Componentes APUs'!$N$1:$Q$30,2,0)</f>
        <v>Grúa Hidráulica</v>
      </c>
      <c r="C19680" s="73"/>
      <c r="D19680" s="70" t="str">
        <f>VLOOKUP(A19680,'Componentes APUs'!$N$1:$Q$30,3,0)</f>
        <v>U</v>
      </c>
      <c r="E19680" s="50">
        <v>0</v>
      </c>
      <c r="F19680" s="51">
        <f>VLOOKUP(A19680,'Componentes APUs'!$N$1:$Q$30,4,0)</f>
        <v>21000000</v>
      </c>
      <c r="G19680" s="51">
        <f>IFERROR(ROUNDUP(F19680*(E19680/21)/E19624,0),0)</f>
        <v>0</v>
      </c>
    </row>
    <row r="19681" spans="1:7" x14ac:dyDescent="0.25">
      <c r="A19681" s="69" t="s">
        <v>322</v>
      </c>
      <c r="B19681" s="72" t="str">
        <f>VLOOKUP(A19681,'Componentes APUs'!$N$1:$Q$30,2,0)</f>
        <v>Camabaja</v>
      </c>
      <c r="C19681" s="73"/>
      <c r="D19681" s="70" t="str">
        <f>VLOOKUP(A19681,'Componentes APUs'!$N$1:$Q$30,3,0)</f>
        <v>TON/KM</v>
      </c>
      <c r="E19681" s="50">
        <v>0</v>
      </c>
      <c r="F19681" s="51">
        <f>VLOOKUP(A19681,'Componentes APUs'!$N$1:$Q$30,4,0)</f>
        <v>611</v>
      </c>
      <c r="G19681" s="51">
        <f>IFERROR(ROUNDUP(F19681*(E19681/21)/E19624,0),0)</f>
        <v>0</v>
      </c>
    </row>
    <row r="19682" spans="1:7" x14ac:dyDescent="0.25">
      <c r="A19682" s="50" t="s">
        <v>323</v>
      </c>
      <c r="B19682" s="72" t="str">
        <f>VLOOKUP(A19682,'Componentes APUs'!$N$1:$Q$30,2,0)</f>
        <v>Volqueta</v>
      </c>
      <c r="C19682" s="73"/>
      <c r="D19682" s="70" t="str">
        <f>VLOOKUP(A19682,'Componentes APUs'!$N$1:$Q$30,3,0)</f>
        <v>U</v>
      </c>
      <c r="E19682" s="50">
        <v>0</v>
      </c>
      <c r="F19682" s="51">
        <f>VLOOKUP(A19682,'Componentes APUs'!$N$1:$Q$30,4,0)</f>
        <v>14828184</v>
      </c>
      <c r="G19682" s="51">
        <f>IFERROR(ROUNDUP(F19682*(E19682/21)/E19624,0),0)</f>
        <v>0</v>
      </c>
    </row>
    <row r="19683" spans="1:7" x14ac:dyDescent="0.25">
      <c r="A19683" s="69" t="s">
        <v>324</v>
      </c>
      <c r="B19683" s="72" t="str">
        <f>VLOOKUP(A19683,'Componentes APUs'!$N$1:$Q$30,2,0)</f>
        <v>Retroexcavadora</v>
      </c>
      <c r="C19683" s="73"/>
      <c r="D19683" s="70" t="str">
        <f>VLOOKUP(A19683,'Componentes APUs'!$N$1:$Q$30,3,0)</f>
        <v>U</v>
      </c>
      <c r="E19683" s="50">
        <v>0</v>
      </c>
      <c r="F19683" s="51">
        <f>VLOOKUP(A19683,'Componentes APUs'!$N$1:$Q$30,4,0)</f>
        <v>46030656</v>
      </c>
      <c r="G19683" s="51">
        <f>IFERROR(ROUNDUP(F19683*(E19683/21)/E19624,0),0)</f>
        <v>0</v>
      </c>
    </row>
    <row r="19684" spans="1:7" x14ac:dyDescent="0.25">
      <c r="A19684" s="219" t="s">
        <v>99</v>
      </c>
      <c r="B19684" s="219"/>
      <c r="C19684" s="219"/>
      <c r="D19684" s="219"/>
      <c r="E19684" s="219"/>
      <c r="F19684" s="219"/>
      <c r="G19684" s="52">
        <f>SUM(G19679:G19683)</f>
        <v>43651</v>
      </c>
    </row>
    <row r="19685" spans="1:7" x14ac:dyDescent="0.25">
      <c r="A19685" s="56"/>
      <c r="B19685" s="57"/>
      <c r="C19685" s="57"/>
      <c r="D19685" s="57"/>
      <c r="E19685" s="57"/>
      <c r="F19685" s="57"/>
      <c r="G19685" s="58"/>
    </row>
    <row r="19686" spans="1:7" x14ac:dyDescent="0.25">
      <c r="A19686" s="219" t="s">
        <v>1516</v>
      </c>
      <c r="B19686" s="219"/>
      <c r="C19686" s="219"/>
      <c r="D19686" s="219"/>
      <c r="E19686" s="219"/>
      <c r="F19686" s="219"/>
      <c r="G19686" s="52">
        <f>G19684+G19675+G19658+G19648+G19638</f>
        <v>281583</v>
      </c>
    </row>
    <row r="19687" spans="1:7" x14ac:dyDescent="0.25">
      <c r="A19687" s="59"/>
      <c r="B19687" s="60"/>
      <c r="C19687" s="60"/>
      <c r="D19687" s="60"/>
      <c r="E19687" s="57"/>
      <c r="F19687" s="57"/>
      <c r="G19687" s="58"/>
    </row>
    <row r="19688" spans="1:7" x14ac:dyDescent="0.25">
      <c r="A19688" s="64"/>
      <c r="D19688" s="55"/>
      <c r="E19688" s="49" t="s">
        <v>25</v>
      </c>
      <c r="F19688" s="54">
        <v>0.15</v>
      </c>
      <c r="G19688" s="51">
        <f>G19686*F19688</f>
        <v>42237.45</v>
      </c>
    </row>
    <row r="19689" spans="1:7" x14ac:dyDescent="0.25">
      <c r="A19689" s="64"/>
      <c r="D19689" s="55"/>
      <c r="E19689" s="49" t="s">
        <v>26</v>
      </c>
      <c r="F19689" s="54">
        <v>0.05</v>
      </c>
      <c r="G19689" s="51">
        <f>G19686*F19689</f>
        <v>14079.150000000001</v>
      </c>
    </row>
    <row r="19690" spans="1:7" x14ac:dyDescent="0.25">
      <c r="A19690" s="61"/>
      <c r="B19690" s="65"/>
      <c r="C19690" s="65"/>
      <c r="D19690" s="62"/>
      <c r="E19690" s="49" t="s">
        <v>27</v>
      </c>
      <c r="F19690" s="54">
        <v>0.05</v>
      </c>
      <c r="G19690" s="51">
        <f>G19686*F19690</f>
        <v>14079.150000000001</v>
      </c>
    </row>
    <row r="19691" spans="1:7" x14ac:dyDescent="0.25">
      <c r="A19691" s="61"/>
      <c r="B19691" s="62"/>
      <c r="C19691" s="62"/>
      <c r="D19691" s="62"/>
      <c r="E19691" s="62"/>
      <c r="F19691" s="62"/>
      <c r="G19691" s="63"/>
    </row>
    <row r="19692" spans="1:7" x14ac:dyDescent="0.25">
      <c r="A19692" s="219" t="s">
        <v>1517</v>
      </c>
      <c r="B19692" s="219"/>
      <c r="C19692" s="219"/>
      <c r="D19692" s="219"/>
      <c r="E19692" s="219"/>
      <c r="F19692" s="219"/>
      <c r="G19692" s="52">
        <f>G19686+G19688+G19689+G19690</f>
        <v>351978.75000000006</v>
      </c>
    </row>
    <row r="19693" spans="1:7" x14ac:dyDescent="0.25">
      <c r="A19693" s="59"/>
      <c r="B19693" s="60"/>
      <c r="C19693" s="60"/>
      <c r="D19693" s="60"/>
      <c r="E19693" s="57"/>
      <c r="F19693" s="57"/>
      <c r="G19693" s="58"/>
    </row>
    <row r="19694" spans="1:7" x14ac:dyDescent="0.25">
      <c r="A19694" s="64"/>
      <c r="D19694" s="55"/>
      <c r="E19694" s="49" t="s">
        <v>102</v>
      </c>
      <c r="F19694" s="49" t="s">
        <v>103</v>
      </c>
      <c r="G19694" s="51">
        <f>G19690*19%</f>
        <v>2675.0385000000001</v>
      </c>
    </row>
    <row r="19695" spans="1:7" x14ac:dyDescent="0.25">
      <c r="A19695" s="61"/>
      <c r="B19695" s="62"/>
      <c r="C19695" s="62"/>
      <c r="D19695" s="62"/>
      <c r="E19695" s="57"/>
      <c r="F19695" s="57"/>
      <c r="G19695" s="58"/>
    </row>
    <row r="19696" spans="1:7" x14ac:dyDescent="0.25">
      <c r="A19696" s="219" t="s">
        <v>104</v>
      </c>
      <c r="B19696" s="219"/>
      <c r="C19696" s="219"/>
      <c r="D19696" s="219"/>
      <c r="E19696" s="219"/>
      <c r="F19696" s="219"/>
      <c r="G19696" s="52">
        <f>G19694+G19692</f>
        <v>354653.78850000008</v>
      </c>
    </row>
    <row r="19699" spans="1:8" x14ac:dyDescent="0.25">
      <c r="A19699" s="74" t="s">
        <v>29</v>
      </c>
      <c r="B19699" s="237" t="s">
        <v>30</v>
      </c>
      <c r="C19699" s="238"/>
      <c r="D19699" s="74" t="s">
        <v>31</v>
      </c>
      <c r="E19699" s="74" t="s">
        <v>32</v>
      </c>
      <c r="F19699" s="74" t="s">
        <v>189</v>
      </c>
      <c r="G19699" s="74" t="s">
        <v>33</v>
      </c>
    </row>
    <row r="19700" spans="1:8" ht="41.25" customHeight="1" x14ac:dyDescent="0.25">
      <c r="A19700" s="50" t="str">
        <f>Presupuesto!B379</f>
        <v>048_AUX</v>
      </c>
      <c r="B19700" s="220" t="str">
        <f>Presupuesto!C379</f>
        <v>SUMINISTRO E INSTALACIÓN DE INTERRUPTOR SENCILLO 4 VIAS / CONMUTABLE EN TUBERIA EMT DE  3/4" CON CABLE Cu (1#14F+1#14N+1#14T) AWG + CAJA GALVANIZADA 2X4. (LINEA GENESIS) (Longitud Promedio 5m)</v>
      </c>
      <c r="C19700" s="239"/>
      <c r="D19700" s="50" t="s">
        <v>8</v>
      </c>
      <c r="E19700" s="50">
        <v>3</v>
      </c>
      <c r="F19700" s="50"/>
      <c r="G19700" s="51">
        <f>G19772</f>
        <v>682802.65899999999</v>
      </c>
    </row>
    <row r="19701" spans="1:8" x14ac:dyDescent="0.25">
      <c r="A19701" s="219" t="s">
        <v>34</v>
      </c>
      <c r="B19701" s="219"/>
      <c r="C19701" s="219"/>
      <c r="D19701" s="219"/>
      <c r="E19701" s="219"/>
      <c r="F19701" s="219"/>
      <c r="G19701" s="219"/>
    </row>
    <row r="19702" spans="1:8" x14ac:dyDescent="0.25">
      <c r="A19702" s="49" t="s">
        <v>35</v>
      </c>
      <c r="B19702" s="234" t="s">
        <v>36</v>
      </c>
      <c r="C19702" s="235"/>
      <c r="D19702" s="49" t="s">
        <v>37</v>
      </c>
      <c r="E19702" s="49" t="s">
        <v>38</v>
      </c>
      <c r="F19702" s="49" t="s">
        <v>39</v>
      </c>
      <c r="G19702" s="49" t="s">
        <v>40</v>
      </c>
    </row>
    <row r="19703" spans="1:8" x14ac:dyDescent="0.25">
      <c r="A19703" s="17" t="str">
        <f>Material!A221</f>
        <v>MA-220</v>
      </c>
      <c r="B19703" s="72" t="str">
        <f>IFERROR(VLOOKUP(A19703,Material!$A:$H,2,0),"-")</f>
        <v>TUBO METALICO EMT CONDUIT GALVANIZADO DE 3/4"</v>
      </c>
      <c r="C19703" s="73"/>
      <c r="D19703" s="50" t="str">
        <f>IFERROR(VLOOKUP(A19703,Material!$A:$H,4,0),"-")</f>
        <v>ML</v>
      </c>
      <c r="E19703" s="50">
        <v>5</v>
      </c>
      <c r="F19703" s="51">
        <f>IFERROR(VLOOKUP(A19703,Material!$A:$H,3,0),"-")</f>
        <v>11830</v>
      </c>
      <c r="G19703" s="51">
        <f t="shared" ref="G19703:G19713" si="284">IFERROR(ROUNDUP(F19703*E19703,0),"-")</f>
        <v>59150</v>
      </c>
    </row>
    <row r="19704" spans="1:8" x14ac:dyDescent="0.25">
      <c r="A19704" s="17" t="str">
        <f>Material!A223</f>
        <v>MA-222</v>
      </c>
      <c r="B19704" s="72" t="str">
        <f>IFERROR(VLOOKUP(A19704,Material!$A:$H,2,0),"-")</f>
        <v xml:space="preserve">TERMINAL-CONECTOR EMT DE 3/4" </v>
      </c>
      <c r="C19704" s="76"/>
      <c r="D19704" s="50" t="str">
        <f>IFERROR(VLOOKUP(A19704,Material!$A:$H,4,0),"-")</f>
        <v>UN</v>
      </c>
      <c r="E19704" s="50">
        <v>2</v>
      </c>
      <c r="F19704" s="51">
        <f>IFERROR(VLOOKUP(A19704,Material!$A:$H,3,0),"-")</f>
        <v>1495</v>
      </c>
      <c r="G19704" s="51">
        <f t="shared" si="284"/>
        <v>2990</v>
      </c>
      <c r="H19704" s="1"/>
    </row>
    <row r="19705" spans="1:8" x14ac:dyDescent="0.25">
      <c r="A19705" s="17" t="str">
        <f>Material!A224</f>
        <v>MA-223</v>
      </c>
      <c r="B19705" s="72" t="str">
        <f>IFERROR(VLOOKUP(A19705,Material!$A:$H,2,0),"-")</f>
        <v>UNION EMT 3/4"</v>
      </c>
      <c r="C19705" s="76"/>
      <c r="D19705" s="50" t="str">
        <f>IFERROR(VLOOKUP(A19705,Material!$A:$H,4,0),"-")</f>
        <v>UN</v>
      </c>
      <c r="E19705" s="50">
        <v>3</v>
      </c>
      <c r="F19705" s="51">
        <f>IFERROR(VLOOKUP(A19705,Material!$A:$H,3,0),"-")</f>
        <v>1495</v>
      </c>
      <c r="G19705" s="51">
        <f t="shared" si="284"/>
        <v>4485</v>
      </c>
    </row>
    <row r="19706" spans="1:8" x14ac:dyDescent="0.25">
      <c r="A19706" s="17" t="str">
        <f>Material!A225</f>
        <v>MA-224</v>
      </c>
      <c r="B19706" s="72" t="str">
        <f>IFERROR(VLOOKUP(A19706,Material!$A:$H,2,0),"-")</f>
        <v>CURVA 90 GRADOS EMT DE 3/4"</v>
      </c>
      <c r="C19706" s="76"/>
      <c r="D19706" s="50" t="str">
        <f>IFERROR(VLOOKUP(A19706,Material!$A:$H,4,0),"-")</f>
        <v>UN</v>
      </c>
      <c r="E19706" s="50">
        <v>1</v>
      </c>
      <c r="F19706" s="51">
        <f>IFERROR(VLOOKUP(A19706,Material!$A:$H,3,0),"-")</f>
        <v>2340</v>
      </c>
      <c r="G19706" s="51">
        <f t="shared" si="284"/>
        <v>2340</v>
      </c>
    </row>
    <row r="19707" spans="1:8" x14ac:dyDescent="0.25">
      <c r="A19707" s="17" t="str">
        <f>Material!A226</f>
        <v>MA-225</v>
      </c>
      <c r="B19707" s="72" t="str">
        <f>IFERROR(VLOOKUP(A19707,Material!$A:$H,2,0),"-")</f>
        <v>ABRAZADERA GRAPA METALICA 3/4"</v>
      </c>
      <c r="C19707" s="76"/>
      <c r="D19707" s="50" t="str">
        <f>IFERROR(VLOOKUP(A19707,Material!$A:$H,4,0),"-")</f>
        <v>UN</v>
      </c>
      <c r="E19707" s="50">
        <v>3</v>
      </c>
      <c r="F19707" s="51">
        <f>IFERROR(VLOOKUP(A19707,Material!$A:$H,3,0),"-")</f>
        <v>325</v>
      </c>
      <c r="G19707" s="51">
        <f t="shared" si="284"/>
        <v>975</v>
      </c>
    </row>
    <row r="19708" spans="1:8" x14ac:dyDescent="0.25">
      <c r="A19708" s="17" t="str">
        <f>Material!A227</f>
        <v>MA-226</v>
      </c>
      <c r="B19708" s="72" t="str">
        <f>IFERROR(VLOOKUP(A19708,Material!$A:$H,2,0),"-")</f>
        <v>CABLE AISLADO NO 14 AWG COBRE THHN</v>
      </c>
      <c r="C19708" s="76"/>
      <c r="D19708" s="50" t="str">
        <f>IFERROR(VLOOKUP(A19708,Material!$A:$H,4,0),"-")</f>
        <v>ML</v>
      </c>
      <c r="E19708" s="50">
        <f>15*3</f>
        <v>45</v>
      </c>
      <c r="F19708" s="51">
        <f>IFERROR(VLOOKUP(A19708,Material!$A:$H,3,0),"-")</f>
        <v>2210</v>
      </c>
      <c r="G19708" s="51">
        <f t="shared" si="284"/>
        <v>99450</v>
      </c>
    </row>
    <row r="19709" spans="1:8" x14ac:dyDescent="0.25">
      <c r="A19709" s="17" t="str">
        <f>Material!A227</f>
        <v>MA-226</v>
      </c>
      <c r="B19709" s="72" t="str">
        <f>IFERROR(VLOOKUP(A19709,Material!$A:$H,2,0),"-")</f>
        <v>CABLE AISLADO NO 14 AWG COBRE THHN</v>
      </c>
      <c r="C19709" s="76"/>
      <c r="D19709" s="50" t="str">
        <f>IFERROR(VLOOKUP(A19709,Material!$A:$H,4,0),"-")</f>
        <v>ML</v>
      </c>
      <c r="E19709" s="50">
        <v>15</v>
      </c>
      <c r="F19709" s="51">
        <f>IFERROR(VLOOKUP(A19709,Material!$A:$H,3,0),"-")</f>
        <v>2210</v>
      </c>
      <c r="G19709" s="51">
        <f t="shared" si="284"/>
        <v>33150</v>
      </c>
    </row>
    <row r="19710" spans="1:8" x14ac:dyDescent="0.25">
      <c r="A19710" s="17" t="str">
        <f>Material!A381</f>
        <v>MA-380</v>
      </c>
      <c r="B19710" s="72" t="str">
        <f>IFERROR(VLOOKUP(A19710,Material!$A:$H,2,0),"-")</f>
        <v>INTERRUPTOR SENCILLO CONMUTABLE</v>
      </c>
      <c r="C19710" s="76"/>
      <c r="D19710" s="50" t="str">
        <f>IFERROR(VLOOKUP(A19710,Material!$A:$H,4,0),"-")</f>
        <v>UN</v>
      </c>
      <c r="E19710" s="50">
        <v>1</v>
      </c>
      <c r="F19710" s="51">
        <f>IFERROR(VLOOKUP(A19710,Material!$A:$H,3,0),"-")</f>
        <v>7280</v>
      </c>
      <c r="G19710" s="51">
        <f t="shared" si="284"/>
        <v>7280</v>
      </c>
    </row>
    <row r="19711" spans="1:8" x14ac:dyDescent="0.25">
      <c r="A19711" s="17" t="str">
        <f>Material!A228</f>
        <v>MA-227</v>
      </c>
      <c r="B19711" s="72" t="str">
        <f>IFERROR(VLOOKUP(A19711,Material!$A:$H,2,0),"-")</f>
        <v>TERMINAL SOLDER AMARILLO 22-14 VCP</v>
      </c>
      <c r="C19711" s="76"/>
      <c r="D19711" s="50" t="str">
        <f>IFERROR(VLOOKUP(A19711,Material!$A:$H,4,0),"-")</f>
        <v>UN</v>
      </c>
      <c r="E19711" s="50">
        <v>3</v>
      </c>
      <c r="F19711" s="51">
        <f>IFERROR(VLOOKUP(A19711,Material!$A:$H,3,0),"-")</f>
        <v>299</v>
      </c>
      <c r="G19711" s="51">
        <f t="shared" si="284"/>
        <v>897</v>
      </c>
    </row>
    <row r="19712" spans="1:8" x14ac:dyDescent="0.25">
      <c r="A19712" s="17" t="str">
        <f>Material!A229</f>
        <v>MA-228</v>
      </c>
      <c r="B19712" s="72" t="str">
        <f>IFERROR(VLOOKUP(A19712,Material!$A:$H,2,0),"-")</f>
        <v>CINTA DE COLORES</v>
      </c>
      <c r="C19712" s="76"/>
      <c r="D19712" s="50" t="str">
        <f>IFERROR(VLOOKUP(A19712,Material!$A:$H,4,0),"-")</f>
        <v>ML</v>
      </c>
      <c r="E19712" s="50">
        <v>7.0000000000000007E-2</v>
      </c>
      <c r="F19712" s="51">
        <f>IFERROR(VLOOKUP(A19712,Material!$A:$H,3,0),"-")</f>
        <v>54.080000000000005</v>
      </c>
      <c r="G19712" s="51">
        <f t="shared" si="284"/>
        <v>4</v>
      </c>
    </row>
    <row r="19713" spans="1:7" x14ac:dyDescent="0.25">
      <c r="A19713" s="17" t="str">
        <f>Material!A222</f>
        <v>MA-221</v>
      </c>
      <c r="B19713" s="72" t="str">
        <f>IFERROR(VLOOKUP(A19713,Material!$A:$H,2,0),"-")</f>
        <v>CAJA FS 2X4  4 SALIDAS 3/4"</v>
      </c>
      <c r="C19713" s="76"/>
      <c r="D19713" s="50" t="str">
        <f>IFERROR(VLOOKUP(A19713,Material!$A:$H,4,0),"-")</f>
        <v>UN</v>
      </c>
      <c r="E19713" s="50">
        <v>1</v>
      </c>
      <c r="F19713" s="51">
        <f>IFERROR(VLOOKUP(A19713,Material!$A:$H,3,0),"-")</f>
        <v>16633.5</v>
      </c>
      <c r="G19713" s="51">
        <f t="shared" si="284"/>
        <v>16634</v>
      </c>
    </row>
    <row r="19714" spans="1:7" x14ac:dyDescent="0.25">
      <c r="A19714" s="234" t="s">
        <v>41</v>
      </c>
      <c r="B19714" s="236"/>
      <c r="C19714" s="236"/>
      <c r="D19714" s="236"/>
      <c r="E19714" s="236"/>
      <c r="F19714" s="235"/>
      <c r="G19714" s="52">
        <f>SUM(G19703:G19713)</f>
        <v>227355</v>
      </c>
    </row>
    <row r="19715" spans="1:7" x14ac:dyDescent="0.25">
      <c r="A19715" s="56"/>
      <c r="B19715" s="57"/>
      <c r="C19715" s="57"/>
      <c r="D19715" s="57"/>
      <c r="E19715" s="57"/>
      <c r="F19715" s="57"/>
      <c r="G19715" s="58"/>
    </row>
    <row r="19716" spans="1:7" x14ac:dyDescent="0.25">
      <c r="A19716" s="219" t="s">
        <v>42</v>
      </c>
      <c r="B19716" s="219"/>
      <c r="C19716" s="219"/>
      <c r="D19716" s="219"/>
      <c r="E19716" s="219"/>
      <c r="F19716" s="219"/>
      <c r="G19716" s="219"/>
    </row>
    <row r="19717" spans="1:7" x14ac:dyDescent="0.25">
      <c r="A19717" s="49" t="s">
        <v>35</v>
      </c>
      <c r="B19717" s="49" t="s">
        <v>36</v>
      </c>
      <c r="C19717" s="49" t="s">
        <v>38</v>
      </c>
      <c r="D19717" s="49" t="s">
        <v>43</v>
      </c>
      <c r="E19717" s="49" t="s">
        <v>44</v>
      </c>
      <c r="F19717" s="49" t="s">
        <v>45</v>
      </c>
      <c r="G19717" s="49" t="s">
        <v>40</v>
      </c>
    </row>
    <row r="19718" spans="1:7" x14ac:dyDescent="0.25">
      <c r="A19718" s="50" t="s">
        <v>319</v>
      </c>
      <c r="B19718" s="68" t="str">
        <f>VLOOKUP(A19718,'Componentes APUs'!$H$1:$L$25,2,0)</f>
        <v>Ingeniero Residente de Obra</v>
      </c>
      <c r="C19718" s="93">
        <v>0.25</v>
      </c>
      <c r="D19718" s="50">
        <f>VLOOKUP(A19718,'Componentes APUs'!$H$1:$L$25,3,0)</f>
        <v>4</v>
      </c>
      <c r="E19718" s="51">
        <f>VLOOKUP(A19718,'Componentes APUs'!$H$1:$L$25,4,0)</f>
        <v>271142.85714285716</v>
      </c>
      <c r="F19718" s="51">
        <f>VLOOKUP(A19718,'Componentes APUs'!$H$1:$L$25,5,0)</f>
        <v>162685.71428571429</v>
      </c>
      <c r="G19718" s="51">
        <f>ROUNDUP((E19718+F19718)*C19718/E19700,0)</f>
        <v>36153</v>
      </c>
    </row>
    <row r="19719" spans="1:7" x14ac:dyDescent="0.25">
      <c r="A19719" s="50" t="s">
        <v>320</v>
      </c>
      <c r="B19719" s="68" t="str">
        <f>VLOOKUP(A19719,'Componentes APUs'!$H$1:$L$25,2,0)</f>
        <v>Tecnico Supervisor</v>
      </c>
      <c r="C19719" s="93">
        <v>0.25</v>
      </c>
      <c r="D19719" s="50">
        <f>VLOOKUP(A19719,'Componentes APUs'!$H$1:$L$25,3,0)</f>
        <v>2.2999999999999998</v>
      </c>
      <c r="E19719" s="51">
        <f>VLOOKUP(A19719,'Componentes APUs'!$H$1:$L$25,4,0)</f>
        <v>155907.14285714284</v>
      </c>
      <c r="F19719" s="51">
        <f>VLOOKUP(A19719,'Componentes APUs'!$H$1:$L$25,5,0)</f>
        <v>93544.285714285696</v>
      </c>
      <c r="G19719" s="51">
        <f>ROUNDUP((E19719+F19719)*C19719/E19700,0)</f>
        <v>20788</v>
      </c>
    </row>
    <row r="19720" spans="1:7" x14ac:dyDescent="0.25">
      <c r="A19720" s="50" t="s">
        <v>1160</v>
      </c>
      <c r="B19720" s="68" t="str">
        <f>VLOOKUP(A19720,'Componentes APUs'!$H$1:$L$25,2,0)</f>
        <v>Oficial Eléctrico</v>
      </c>
      <c r="C19720" s="93">
        <v>1</v>
      </c>
      <c r="D19720" s="50">
        <f>VLOOKUP(A19720,'Componentes APUs'!$H$1:$L$25,3,0)</f>
        <v>2</v>
      </c>
      <c r="E19720" s="51">
        <f>VLOOKUP(A19720,'Componentes APUs'!$H$1:$L$25,4,0)</f>
        <v>154619.04761904763</v>
      </c>
      <c r="F19720" s="51">
        <f>VLOOKUP(A19720,'Componentes APUs'!$H$1:$L$25,5,0)</f>
        <v>92771.42857142858</v>
      </c>
      <c r="G19720" s="51">
        <f>ROUNDUP((E19720+F19720)*C19720/E19700,0)</f>
        <v>82464</v>
      </c>
    </row>
    <row r="19721" spans="1:7" x14ac:dyDescent="0.25">
      <c r="A19721" s="50" t="s">
        <v>48</v>
      </c>
      <c r="B19721" s="68" t="str">
        <f>VLOOKUP(A19721,'Componentes APUs'!$H$1:$L$25,2,0)</f>
        <v>Ayudante Calificado</v>
      </c>
      <c r="C19721" s="93">
        <v>1</v>
      </c>
      <c r="D19721" s="50">
        <f>VLOOKUP(A19721,'Componentes APUs'!$H$1:$L$25,3,0)</f>
        <v>1.5</v>
      </c>
      <c r="E19721" s="51">
        <f>VLOOKUP(A19721,'Componentes APUs'!$H$1:$L$25,4,0)</f>
        <v>115964.28571428571</v>
      </c>
      <c r="F19721" s="51">
        <f>VLOOKUP(A19721,'Componentes APUs'!$H$1:$L$25,5,0)</f>
        <v>69578.57142857142</v>
      </c>
      <c r="G19721" s="51">
        <f>ROUNDUP((E19721+F19721)*C19721/E19700,0)</f>
        <v>61848</v>
      </c>
    </row>
    <row r="19722" spans="1:7" x14ac:dyDescent="0.25">
      <c r="A19722" s="50" t="s">
        <v>50</v>
      </c>
      <c r="B19722" s="68" t="str">
        <f>VLOOKUP(A19722,'Componentes APUs'!$H$1:$L$25,2,0)</f>
        <v>Profesional en SST</v>
      </c>
      <c r="C19722" s="93">
        <v>0.25</v>
      </c>
      <c r="D19722" s="50">
        <f>VLOOKUP(A19722,'Componentes APUs'!$H$1:$L$25,3,0)</f>
        <v>2.5</v>
      </c>
      <c r="E19722" s="51">
        <f>VLOOKUP(A19722,'Componentes APUs'!$H$1:$L$25,4,0)</f>
        <v>169464.28571428571</v>
      </c>
      <c r="F19722" s="51">
        <f>VLOOKUP(A19722,'Componentes APUs'!$H$1:$L$25,5,0)</f>
        <v>101678.57142857142</v>
      </c>
      <c r="G19722" s="51">
        <f>ROUNDUP((E19722+F19722)*C19722/E19700,0)</f>
        <v>22596</v>
      </c>
    </row>
    <row r="19723" spans="1:7" x14ac:dyDescent="0.25">
      <c r="A19723" s="50" t="s">
        <v>52</v>
      </c>
      <c r="B19723" s="68" t="str">
        <f>VLOOKUP(A19723,'Componentes APUs'!$H$1:$L$25,2,0)</f>
        <v>Ayudante No Calificado</v>
      </c>
      <c r="C19723" s="93">
        <v>0</v>
      </c>
      <c r="D19723" s="50">
        <f>VLOOKUP(A19723,'Componentes APUs'!$H$1:$L$25,3,0)</f>
        <v>1</v>
      </c>
      <c r="E19723" s="51">
        <f>VLOOKUP(A19723,'Componentes APUs'!$H$1:$L$25,4,0)</f>
        <v>77309.523809523816</v>
      </c>
      <c r="F19723" s="51">
        <f>VLOOKUP(A19723,'Componentes APUs'!$H$1:$L$25,5,0)</f>
        <v>46385.71428571429</v>
      </c>
      <c r="G19723" s="51">
        <f>ROUNDUP((E19723+F19723)*C19723/E19700,0)</f>
        <v>0</v>
      </c>
    </row>
    <row r="19724" spans="1:7" x14ac:dyDescent="0.25">
      <c r="A19724" s="219" t="s">
        <v>56</v>
      </c>
      <c r="B19724" s="219"/>
      <c r="C19724" s="219"/>
      <c r="D19724" s="219"/>
      <c r="E19724" s="219"/>
      <c r="F19724" s="219"/>
      <c r="G19724" s="52">
        <f>SUM(G19718:G19723)</f>
        <v>223849</v>
      </c>
    </row>
    <row r="19725" spans="1:7" x14ac:dyDescent="0.25">
      <c r="A19725" s="56"/>
      <c r="B19725" s="57"/>
      <c r="C19725" s="57"/>
      <c r="D19725" s="57"/>
      <c r="E19725" s="57"/>
      <c r="F19725" s="57"/>
      <c r="G19725" s="58"/>
    </row>
    <row r="19726" spans="1:7" x14ac:dyDescent="0.25">
      <c r="A19726" s="219" t="s">
        <v>57</v>
      </c>
      <c r="B19726" s="219"/>
      <c r="C19726" s="219"/>
      <c r="D19726" s="219"/>
      <c r="E19726" s="219"/>
      <c r="F19726" s="219"/>
      <c r="G19726" s="219"/>
    </row>
    <row r="19727" spans="1:7" x14ac:dyDescent="0.25">
      <c r="A19727" s="49" t="s">
        <v>35</v>
      </c>
      <c r="B19727" s="219" t="s">
        <v>36</v>
      </c>
      <c r="C19727" s="219"/>
      <c r="D19727" s="49" t="s">
        <v>37</v>
      </c>
      <c r="E19727" s="49" t="s">
        <v>38</v>
      </c>
      <c r="F19727" s="49" t="s">
        <v>39</v>
      </c>
      <c r="G19727" s="49" t="s">
        <v>40</v>
      </c>
    </row>
    <row r="19728" spans="1:7" x14ac:dyDescent="0.25">
      <c r="A19728" s="50" t="s">
        <v>326</v>
      </c>
      <c r="B19728" s="220" t="str">
        <f>VLOOKUP(A19728,'Componentes APUs'!$S$1:$V$10,2,0)</f>
        <v>Juego Llaves</v>
      </c>
      <c r="C19728" s="220"/>
      <c r="D19728" s="50" t="s">
        <v>18</v>
      </c>
      <c r="E19728" s="50">
        <v>1</v>
      </c>
      <c r="F19728" s="51">
        <f>VLOOKUP(A19728,'Componentes APUs'!$S$1:$V$10,4,0)</f>
        <v>9167</v>
      </c>
      <c r="G19728" s="51">
        <f>ROUNDUP(F19728*((E19728/21)/E19700),0)</f>
        <v>146</v>
      </c>
    </row>
    <row r="19729" spans="1:7" x14ac:dyDescent="0.25">
      <c r="A19729" s="50" t="s">
        <v>58</v>
      </c>
      <c r="B19729" s="220" t="str">
        <f>VLOOKUP(A19729,'Componentes APUs'!$S$1:$V$10,2,0)</f>
        <v>Manila de servicio</v>
      </c>
      <c r="C19729" s="220"/>
      <c r="D19729" s="50" t="s">
        <v>18</v>
      </c>
      <c r="E19729" s="50">
        <v>0</v>
      </c>
      <c r="F19729" s="51">
        <f>VLOOKUP(A19729,'Componentes APUs'!$S$1:$V$10,4,0)</f>
        <v>2333</v>
      </c>
      <c r="G19729" s="51">
        <f>ROUNDUP(F19729*((E19729/21)/E19700),0)</f>
        <v>0</v>
      </c>
    </row>
    <row r="19730" spans="1:7" x14ac:dyDescent="0.25">
      <c r="A19730" s="50" t="s">
        <v>327</v>
      </c>
      <c r="B19730" s="220" t="str">
        <f>VLOOKUP(A19730,'Componentes APUs'!$S$1:$V$10,2,0)</f>
        <v>Tula portaherramientas</v>
      </c>
      <c r="C19730" s="220"/>
      <c r="D19730" s="50" t="s">
        <v>18</v>
      </c>
      <c r="E19730" s="50">
        <v>1</v>
      </c>
      <c r="F19730" s="51">
        <f>VLOOKUP(A19730,'Componentes APUs'!$S$1:$V$10,4,0)</f>
        <v>1250</v>
      </c>
      <c r="G19730" s="51">
        <f>ROUNDUP(F19730*((E19730/21)/E19700),0)</f>
        <v>20</v>
      </c>
    </row>
    <row r="19731" spans="1:7" x14ac:dyDescent="0.25">
      <c r="A19731" s="50" t="s">
        <v>60</v>
      </c>
      <c r="B19731" s="220" t="str">
        <f>VLOOKUP(A19731,'Componentes APUs'!$S$1:$V$10,2,0)</f>
        <v>Agarradoras</v>
      </c>
      <c r="C19731" s="220"/>
      <c r="D19731" s="50" t="s">
        <v>18</v>
      </c>
      <c r="E19731" s="50">
        <v>0</v>
      </c>
      <c r="F19731" s="51">
        <f>VLOOKUP(A19731,'Componentes APUs'!$S$1:$V$10,4,0)</f>
        <v>125000</v>
      </c>
      <c r="G19731" s="51">
        <f>ROUNDUP(F19731*((E19731/21)/E19700),0)</f>
        <v>0</v>
      </c>
    </row>
    <row r="19732" spans="1:7" x14ac:dyDescent="0.25">
      <c r="A19732" s="50" t="s">
        <v>62</v>
      </c>
      <c r="B19732" s="220" t="str">
        <f>VLOOKUP(A19732,'Componentes APUs'!$S$1:$V$10,2,0)</f>
        <v>Templadoras</v>
      </c>
      <c r="C19732" s="220"/>
      <c r="D19732" s="50" t="s">
        <v>18</v>
      </c>
      <c r="E19732" s="50">
        <v>0</v>
      </c>
      <c r="F19732" s="51">
        <f>VLOOKUP(A19732,'Componentes APUs'!$S$1:$V$10,4,0)</f>
        <v>250000</v>
      </c>
      <c r="G19732" s="51">
        <f>ROUNDUP(F19732*((E19732/21)/E19700),0)</f>
        <v>0</v>
      </c>
    </row>
    <row r="19733" spans="1:7" x14ac:dyDescent="0.25">
      <c r="A19733" s="50" t="s">
        <v>328</v>
      </c>
      <c r="B19733" s="220" t="str">
        <f>VLOOKUP(A19733,'Componentes APUs'!$S$1:$V$10,2,0)</f>
        <v>Herramienta Menor</v>
      </c>
      <c r="C19733" s="220"/>
      <c r="D19733" s="50" t="s">
        <v>18</v>
      </c>
      <c r="E19733" s="50">
        <v>1</v>
      </c>
      <c r="F19733" s="51">
        <f>VLOOKUP(A19733,'Componentes APUs'!$S$1:$V$10,4,0)</f>
        <v>75758</v>
      </c>
      <c r="G19733" s="51">
        <f>ROUNDUP(F19733*((E19733/21)/E19700),0)</f>
        <v>1203</v>
      </c>
    </row>
    <row r="19734" spans="1:7" x14ac:dyDescent="0.25">
      <c r="A19734" s="219" t="s">
        <v>69</v>
      </c>
      <c r="B19734" s="219"/>
      <c r="C19734" s="219"/>
      <c r="D19734" s="219"/>
      <c r="E19734" s="219"/>
      <c r="F19734" s="219"/>
      <c r="G19734" s="52">
        <f>SUM(G19728:G19733)</f>
        <v>1369</v>
      </c>
    </row>
    <row r="19735" spans="1:7" x14ac:dyDescent="0.25">
      <c r="A19735" s="56"/>
      <c r="B19735" s="57"/>
      <c r="C19735" s="57"/>
      <c r="D19735" s="57"/>
      <c r="E19735" s="57"/>
      <c r="F19735" s="57"/>
      <c r="G19735" s="58"/>
    </row>
    <row r="19736" spans="1:7" x14ac:dyDescent="0.25">
      <c r="A19736" s="219" t="s">
        <v>70</v>
      </c>
      <c r="B19736" s="219"/>
      <c r="C19736" s="219"/>
      <c r="D19736" s="219"/>
      <c r="E19736" s="219"/>
      <c r="F19736" s="219"/>
      <c r="G19736" s="219"/>
    </row>
    <row r="19737" spans="1:7" x14ac:dyDescent="0.25">
      <c r="A19737" s="49" t="s">
        <v>35</v>
      </c>
      <c r="B19737" s="219" t="s">
        <v>36</v>
      </c>
      <c r="C19737" s="219"/>
      <c r="D19737" s="49" t="s">
        <v>37</v>
      </c>
      <c r="E19737" s="49" t="s">
        <v>38</v>
      </c>
      <c r="F19737" s="49" t="s">
        <v>39</v>
      </c>
      <c r="G19737" s="49" t="s">
        <v>40</v>
      </c>
    </row>
    <row r="19738" spans="1:7" x14ac:dyDescent="0.25">
      <c r="A19738" s="50" t="s">
        <v>71</v>
      </c>
      <c r="B19738" s="71" t="str">
        <f>VLOOKUP(A19738,'Componentes APUs'!$A$1:$D$14,2,0)</f>
        <v>Camisa indigo sin partes metalicas</v>
      </c>
      <c r="C19738" s="71"/>
      <c r="D19738" s="50" t="str">
        <f>VLOOKUP(A19738,'Componentes APUs'!$A$1:$D$14,3,0)</f>
        <v>U</v>
      </c>
      <c r="E19738" s="50">
        <f>SUM(C19718:C19723)</f>
        <v>2.75</v>
      </c>
      <c r="F19738" s="51">
        <f>VLOOKUP(A19738,'Componentes APUs'!$A$1:$D$14,4,0)</f>
        <v>8585.8585858585866</v>
      </c>
      <c r="G19738" s="51">
        <f>ROUNDUP(F19738*(E19738/21)/E19700,0)</f>
        <v>375</v>
      </c>
    </row>
    <row r="19739" spans="1:7" x14ac:dyDescent="0.25">
      <c r="A19739" s="69" t="s">
        <v>73</v>
      </c>
      <c r="B19739" s="72" t="str">
        <f>VLOOKUP(A19739,'Componentes APUs'!$A$1:$D$14,2,0)</f>
        <v>Bota de seguridad dielectrica</v>
      </c>
      <c r="C19739" s="73"/>
      <c r="D19739" s="70" t="str">
        <f>VLOOKUP(A19739,'Componentes APUs'!$A$1:$D$14,3,0)</f>
        <v>Par</v>
      </c>
      <c r="E19739" s="50">
        <f>SUM(C19718:C19723)</f>
        <v>2.75</v>
      </c>
      <c r="F19739" s="51">
        <f>VLOOKUP(A19739,'Componentes APUs'!$A$1:$D$14,4,0)</f>
        <v>7500</v>
      </c>
      <c r="G19739" s="51">
        <f>ROUNDUP(F19739*(E19739/21)/E19700,0)</f>
        <v>328</v>
      </c>
    </row>
    <row r="19740" spans="1:7" x14ac:dyDescent="0.25">
      <c r="A19740" s="50" t="s">
        <v>76</v>
      </c>
      <c r="B19740" s="72" t="str">
        <f>VLOOKUP(A19740,'Componentes APUs'!$A$1:$D$14,2,0)</f>
        <v>Casco dielectrico Tipo 1 Clase E con barbuquejo</v>
      </c>
      <c r="C19740" s="73"/>
      <c r="D19740" s="50" t="str">
        <f>VLOOKUP(A19740,'Componentes APUs'!$A$1:$D$14,3,0)</f>
        <v>U</v>
      </c>
      <c r="E19740" s="50">
        <f>C19723+C19718+C19721+C19722+C19719+IF(A19720&lt;&gt;"MO-3",C19720,0)</f>
        <v>2.75</v>
      </c>
      <c r="F19740" s="51">
        <f>VLOOKUP(A19740,'Componentes APUs'!$A$1:$D$14,4,0)</f>
        <v>10101.010101010101</v>
      </c>
      <c r="G19740" s="51">
        <f>ROUNDUP(F19740*(E19740/21)/E19700,0)</f>
        <v>441</v>
      </c>
    </row>
    <row r="19741" spans="1:7" x14ac:dyDescent="0.25">
      <c r="A19741" s="69" t="s">
        <v>77</v>
      </c>
      <c r="B19741" s="72" t="str">
        <f>VLOOKUP(A19741,'Componentes APUs'!$A$1:$D$14,2,0)</f>
        <v>Correa plastica y antiflama</v>
      </c>
      <c r="C19741" s="73"/>
      <c r="D19741" s="50" t="str">
        <f>VLOOKUP(A19741,'Componentes APUs'!$A$1:$D$14,3,0)</f>
        <v>U</v>
      </c>
      <c r="E19741" s="50">
        <f>SUM(C19718:C19723)</f>
        <v>2.75</v>
      </c>
      <c r="F19741" s="51">
        <f>VLOOKUP(A19741,'Componentes APUs'!$A$1:$D$14,4,0)</f>
        <v>3787.878787878788</v>
      </c>
      <c r="G19741" s="51">
        <f>ROUNDUP(F19741*(E19741/21)/E19700,0)</f>
        <v>166</v>
      </c>
    </row>
    <row r="19742" spans="1:7" x14ac:dyDescent="0.25">
      <c r="A19742" s="50" t="s">
        <v>79</v>
      </c>
      <c r="B19742" s="72" t="str">
        <f>VLOOKUP(A19742,'Componentes APUs'!$A$1:$D$14,2,0)</f>
        <v>Gafas protectoras filtro UV</v>
      </c>
      <c r="C19742" s="73"/>
      <c r="D19742" s="50" t="str">
        <f>VLOOKUP(A19742,'Componentes APUs'!$A$1:$D$14,3,0)</f>
        <v>U</v>
      </c>
      <c r="E19742" s="50">
        <f>SUM(C19718:C19723)</f>
        <v>2.75</v>
      </c>
      <c r="F19742" s="51">
        <f>VLOOKUP(A19742,'Componentes APUs'!$A$1:$D$14,4,0)</f>
        <v>2777.7777777777778</v>
      </c>
      <c r="G19742" s="51">
        <f>ROUNDUP(F19742*(E19742/21)/E19700,0)</f>
        <v>122</v>
      </c>
    </row>
    <row r="19743" spans="1:7" x14ac:dyDescent="0.25">
      <c r="A19743" s="69" t="s">
        <v>402</v>
      </c>
      <c r="B19743" s="72" t="str">
        <f>VLOOKUP(A19743,'Componentes APUs'!$A$1:$D$14,2,0)</f>
        <v>Bota de seguridad PVC dielectrica</v>
      </c>
      <c r="C19743" s="73"/>
      <c r="D19743" s="50" t="str">
        <f>VLOOKUP(A19743,'Componentes APUs'!$A$1:$D$14,3,0)</f>
        <v>Par</v>
      </c>
      <c r="E19743" s="50">
        <f>SUM(C19718:C19723)</f>
        <v>2.75</v>
      </c>
      <c r="F19743" s="51">
        <f>VLOOKUP(A19743,'Componentes APUs'!$A$1:$D$14,4,0)</f>
        <v>2916.6666666666665</v>
      </c>
      <c r="G19743" s="51">
        <f>ROUNDUP(F19743*(E19743/21)/E19700,0)</f>
        <v>128</v>
      </c>
    </row>
    <row r="19744" spans="1:7" x14ac:dyDescent="0.25">
      <c r="A19744" s="50" t="s">
        <v>403</v>
      </c>
      <c r="B19744" s="72" t="str">
        <f>VLOOKUP(A19744,'Componentes APUs'!$A$1:$D$14,2,0)</f>
        <v>Capuchon</v>
      </c>
      <c r="C19744" s="73"/>
      <c r="D19744" s="50" t="str">
        <f>VLOOKUP(A19744,'Componentes APUs'!$A$1:$D$14,3,0)</f>
        <v>U</v>
      </c>
      <c r="E19744" s="50">
        <f>SUM(C19718:C19723)</f>
        <v>2.75</v>
      </c>
      <c r="F19744" s="51">
        <f>VLOOKUP(A19744,'Componentes APUs'!$A$1:$D$14,4,0)</f>
        <v>2525.2525252525252</v>
      </c>
      <c r="G19744" s="51">
        <f>ROUNDUP(F19744*(E19744/21)/E19700,0)</f>
        <v>111</v>
      </c>
    </row>
    <row r="19745" spans="1:7" x14ac:dyDescent="0.25">
      <c r="A19745" s="69" t="s">
        <v>81</v>
      </c>
      <c r="B19745" s="72" t="str">
        <f>VLOOKUP(A19745,'Componentes APUs'!$A$1:$D$14,2,0)</f>
        <v>Guantes Protectores  - ingeniero reforzados</v>
      </c>
      <c r="C19745" s="73"/>
      <c r="D19745" s="50" t="str">
        <f>VLOOKUP(A19745,'Componentes APUs'!$A$1:$D$14,3,0)</f>
        <v>Par</v>
      </c>
      <c r="E19745" s="50">
        <f>C19720+C19721+C19723</f>
        <v>2</v>
      </c>
      <c r="F19745" s="51">
        <f>VLOOKUP(A19745,'Componentes APUs'!$A$1:$D$14,4,0)</f>
        <v>2525.2525252525252</v>
      </c>
      <c r="G19745" s="51">
        <f>ROUNDUP(F19745*(E19745/21)/E19700,0)</f>
        <v>81</v>
      </c>
    </row>
    <row r="19746" spans="1:7" x14ac:dyDescent="0.25">
      <c r="A19746" s="50" t="s">
        <v>83</v>
      </c>
      <c r="B19746" s="72" t="str">
        <f>VLOOKUP(A19746,'Componentes APUs'!$A$1:$D$14,2,0)</f>
        <v>Impermeable (pantalon camisa)</v>
      </c>
      <c r="C19746" s="73"/>
      <c r="D19746" s="50" t="str">
        <f>VLOOKUP(A19746,'Componentes APUs'!$A$1:$D$14,3,0)</f>
        <v>U</v>
      </c>
      <c r="E19746" s="50">
        <f>SUM(C19718:C19723)</f>
        <v>2.75</v>
      </c>
      <c r="F19746" s="51">
        <f>VLOOKUP(A19746,'Componentes APUs'!$A$1:$D$14,4,0)</f>
        <v>3750</v>
      </c>
      <c r="G19746" s="51">
        <f>ROUNDUP(F19746*(E19746/21)/E19700,0)</f>
        <v>164</v>
      </c>
    </row>
    <row r="19747" spans="1:7" x14ac:dyDescent="0.25">
      <c r="A19747" s="69" t="s">
        <v>85</v>
      </c>
      <c r="B19747" s="72" t="str">
        <f>VLOOKUP(A19747,'Componentes APUs'!$A$1:$D$14,2,0)</f>
        <v>Jean Dielectrico</v>
      </c>
      <c r="C19747" s="73"/>
      <c r="D19747" s="50" t="str">
        <f>VLOOKUP(A19747,'Componentes APUs'!$A$1:$D$14,3,0)</f>
        <v>U</v>
      </c>
      <c r="E19747" s="50">
        <f>SUM(C19718:C19723)</f>
        <v>2.75</v>
      </c>
      <c r="F19747" s="51">
        <f>VLOOKUP(A19747,'Componentes APUs'!$A$1:$D$14,4,0)</f>
        <v>7575.757575757576</v>
      </c>
      <c r="G19747" s="51">
        <f>ROUNDUP(F19747*(E19747/21)/E19700,0)</f>
        <v>331</v>
      </c>
    </row>
    <row r="19748" spans="1:7" x14ac:dyDescent="0.25">
      <c r="A19748" s="50" t="s">
        <v>87</v>
      </c>
      <c r="B19748" s="72" t="str">
        <f>VLOOKUP(A19748,'Componentes APUs'!$A$1:$D$14,2,0)</f>
        <v>Casco dielectrico Tipo 2 Clase E con barboquejo</v>
      </c>
      <c r="C19748" s="73"/>
      <c r="D19748" s="50" t="str">
        <f>VLOOKUP(A19748,'Componentes APUs'!$A$1:$D$14,3,0)</f>
        <v>U</v>
      </c>
      <c r="E19748" s="53">
        <f>IF(A19720="MO-3",C19720,0)</f>
        <v>0</v>
      </c>
      <c r="F19748" s="51">
        <f>VLOOKUP(A19748,'Componentes APUs'!$A$1:$D$14,4,0)</f>
        <v>7500</v>
      </c>
      <c r="G19748" s="51">
        <f>ROUNDUP(F19748*(E19748/21)/E19700,0)</f>
        <v>0</v>
      </c>
    </row>
    <row r="19749" spans="1:7" x14ac:dyDescent="0.25">
      <c r="A19749" s="69" t="s">
        <v>89</v>
      </c>
      <c r="B19749" s="72" t="str">
        <f>VLOOKUP(A19749,'Componentes APUs'!$A$1:$D$14,2,0)</f>
        <v>Kit de rescate para trabajo en alturas</v>
      </c>
      <c r="C19749" s="73"/>
      <c r="D19749" s="50" t="str">
        <f>VLOOKUP(A19749,'Componentes APUs'!$A$1:$D$14,3,0)</f>
        <v>U</v>
      </c>
      <c r="E19749" s="50">
        <f>IF(AND(A19720="MO-3",C19720=2),1,0)</f>
        <v>0</v>
      </c>
      <c r="F19749" s="51">
        <f>VLOOKUP(A19749,'Componentes APUs'!$A$1:$D$14,4,0)</f>
        <v>37500</v>
      </c>
      <c r="G19749" s="51">
        <f>ROUNDUP(F19749*(E19749/21)/E19700,0)</f>
        <v>0</v>
      </c>
    </row>
    <row r="19750" spans="1:7" x14ac:dyDescent="0.25">
      <c r="A19750" s="50" t="s">
        <v>91</v>
      </c>
      <c r="B19750" s="72" t="str">
        <f>VLOOKUP(A19750,'Componentes APUs'!$A$1:$D$14,2,0)</f>
        <v>Equipo completo para trabajo en alturas con pretales (Arnes dielectrico, 1 mosqueton de seguridad, tie off dielectrico, eslinga de posicionamiento, juego de pretales)</v>
      </c>
      <c r="C19750" s="73"/>
      <c r="D19750" s="50" t="str">
        <f>VLOOKUP(A19750,'Componentes APUs'!$A$1:$D$14,3,0)</f>
        <v>U</v>
      </c>
      <c r="E19750" s="50">
        <f>IF(A19720="MO-3",C19720,0)</f>
        <v>0</v>
      </c>
      <c r="F19750" s="51">
        <f>VLOOKUP(A19750,'Componentes APUs'!$A$1:$D$14,4,0)</f>
        <v>26041.666666666668</v>
      </c>
      <c r="G19750" s="51">
        <f>ROUNDUP(F19750*(E19750/21)/E19700,0)</f>
        <v>0</v>
      </c>
    </row>
    <row r="19751" spans="1:7" x14ac:dyDescent="0.25">
      <c r="A19751" s="219" t="s">
        <v>95</v>
      </c>
      <c r="B19751" s="219"/>
      <c r="C19751" s="219"/>
      <c r="D19751" s="219"/>
      <c r="E19751" s="219"/>
      <c r="F19751" s="219"/>
      <c r="G19751" s="52">
        <f>SUM(G19738:G19750)</f>
        <v>2247</v>
      </c>
    </row>
    <row r="19752" spans="1:7" x14ac:dyDescent="0.25">
      <c r="A19752" s="56"/>
      <c r="B19752" s="57"/>
      <c r="C19752" s="57"/>
      <c r="D19752" s="57"/>
      <c r="E19752" s="57"/>
      <c r="F19752" s="57"/>
      <c r="G19752" s="58"/>
    </row>
    <row r="19753" spans="1:7" x14ac:dyDescent="0.25">
      <c r="A19753" s="219" t="s">
        <v>96</v>
      </c>
      <c r="B19753" s="219"/>
      <c r="C19753" s="219"/>
      <c r="D19753" s="219"/>
      <c r="E19753" s="219"/>
      <c r="F19753" s="219"/>
      <c r="G19753" s="219"/>
    </row>
    <row r="19754" spans="1:7" x14ac:dyDescent="0.25">
      <c r="A19754" s="49" t="s">
        <v>35</v>
      </c>
      <c r="B19754" s="225" t="s">
        <v>36</v>
      </c>
      <c r="C19754" s="225"/>
      <c r="D19754" s="49" t="s">
        <v>37</v>
      </c>
      <c r="E19754" s="49" t="s">
        <v>38</v>
      </c>
      <c r="F19754" s="49" t="s">
        <v>39</v>
      </c>
      <c r="G19754" s="49" t="s">
        <v>40</v>
      </c>
    </row>
    <row r="19755" spans="1:7" x14ac:dyDescent="0.25">
      <c r="A19755" s="69" t="s">
        <v>97</v>
      </c>
      <c r="B19755" s="72" t="str">
        <f>VLOOKUP(A19755,'Componentes APUs'!$N$1:$Q$30,2,0)</f>
        <v>Camioneta</v>
      </c>
      <c r="C19755" s="73"/>
      <c r="D19755" s="70" t="str">
        <f>VLOOKUP(A19755,'Componentes APUs'!$N$1:$Q$30,3,0)</f>
        <v>U</v>
      </c>
      <c r="E19755" s="50">
        <v>1</v>
      </c>
      <c r="F19755" s="51">
        <f>VLOOKUP(A19755,'Componentes APUs'!$N$1:$Q$30,4,0)</f>
        <v>5500000</v>
      </c>
      <c r="G19755" s="51">
        <f>IFERROR(ROUNDUP(F19755*(E19755/21)/E19700,0),0)</f>
        <v>87302</v>
      </c>
    </row>
    <row r="19756" spans="1:7" x14ac:dyDescent="0.25">
      <c r="A19756" s="50" t="s">
        <v>321</v>
      </c>
      <c r="B19756" s="72" t="str">
        <f>VLOOKUP(A19756,'Componentes APUs'!$N$1:$Q$30,2,0)</f>
        <v>Grúa Hidráulica</v>
      </c>
      <c r="C19756" s="73"/>
      <c r="D19756" s="70" t="str">
        <f>VLOOKUP(A19756,'Componentes APUs'!$N$1:$Q$30,3,0)</f>
        <v>U</v>
      </c>
      <c r="E19756" s="50">
        <v>0</v>
      </c>
      <c r="F19756" s="51">
        <f>VLOOKUP(A19756,'Componentes APUs'!$N$1:$Q$30,4,0)</f>
        <v>21000000</v>
      </c>
      <c r="G19756" s="51">
        <f>IFERROR(ROUNDUP(F19756*(E19756/21)/E19700,0),0)</f>
        <v>0</v>
      </c>
    </row>
    <row r="19757" spans="1:7" x14ac:dyDescent="0.25">
      <c r="A19757" s="69" t="s">
        <v>322</v>
      </c>
      <c r="B19757" s="72" t="str">
        <f>VLOOKUP(A19757,'Componentes APUs'!$N$1:$Q$30,2,0)</f>
        <v>Camabaja</v>
      </c>
      <c r="C19757" s="73"/>
      <c r="D19757" s="70" t="str">
        <f>VLOOKUP(A19757,'Componentes APUs'!$N$1:$Q$30,3,0)</f>
        <v>TON/KM</v>
      </c>
      <c r="E19757" s="50">
        <v>0</v>
      </c>
      <c r="F19757" s="51">
        <f>VLOOKUP(A19757,'Componentes APUs'!$N$1:$Q$30,4,0)</f>
        <v>611</v>
      </c>
      <c r="G19757" s="51">
        <f>IFERROR(ROUNDUP(F19757*(E19757/21)/E19700,0),0)</f>
        <v>0</v>
      </c>
    </row>
    <row r="19758" spans="1:7" x14ac:dyDescent="0.25">
      <c r="A19758" s="50" t="s">
        <v>323</v>
      </c>
      <c r="B19758" s="72" t="str">
        <f>VLOOKUP(A19758,'Componentes APUs'!$N$1:$Q$30,2,0)</f>
        <v>Volqueta</v>
      </c>
      <c r="C19758" s="73"/>
      <c r="D19758" s="70" t="str">
        <f>VLOOKUP(A19758,'Componentes APUs'!$N$1:$Q$30,3,0)</f>
        <v>U</v>
      </c>
      <c r="E19758" s="50">
        <v>0</v>
      </c>
      <c r="F19758" s="51">
        <f>VLOOKUP(A19758,'Componentes APUs'!$N$1:$Q$30,4,0)</f>
        <v>14828184</v>
      </c>
      <c r="G19758" s="51">
        <f>IFERROR(ROUNDUP(F19758*(E19758/21)/E19700,0),0)</f>
        <v>0</v>
      </c>
    </row>
    <row r="19759" spans="1:7" x14ac:dyDescent="0.25">
      <c r="A19759" s="69" t="s">
        <v>324</v>
      </c>
      <c r="B19759" s="72" t="str">
        <f>VLOOKUP(A19759,'Componentes APUs'!$N$1:$Q$30,2,0)</f>
        <v>Retroexcavadora</v>
      </c>
      <c r="C19759" s="73"/>
      <c r="D19759" s="70" t="str">
        <f>VLOOKUP(A19759,'Componentes APUs'!$N$1:$Q$30,3,0)</f>
        <v>U</v>
      </c>
      <c r="E19759" s="50">
        <v>0</v>
      </c>
      <c r="F19759" s="51">
        <f>VLOOKUP(A19759,'Componentes APUs'!$N$1:$Q$30,4,0)</f>
        <v>46030656</v>
      </c>
      <c r="G19759" s="51">
        <f>IFERROR(ROUNDUP(F19759*(E19759/21)/E19700,0),0)</f>
        <v>0</v>
      </c>
    </row>
    <row r="19760" spans="1:7" x14ac:dyDescent="0.25">
      <c r="A19760" s="219" t="s">
        <v>99</v>
      </c>
      <c r="B19760" s="219"/>
      <c r="C19760" s="219"/>
      <c r="D19760" s="219"/>
      <c r="E19760" s="219"/>
      <c r="F19760" s="219"/>
      <c r="G19760" s="52">
        <f>SUM(G19755:G19759)</f>
        <v>87302</v>
      </c>
    </row>
    <row r="19761" spans="1:7" x14ac:dyDescent="0.25">
      <c r="A19761" s="56"/>
      <c r="B19761" s="57"/>
      <c r="C19761" s="57"/>
      <c r="D19761" s="57"/>
      <c r="E19761" s="57"/>
      <c r="F19761" s="57"/>
      <c r="G19761" s="58"/>
    </row>
    <row r="19762" spans="1:7" x14ac:dyDescent="0.25">
      <c r="A19762" s="219" t="s">
        <v>1516</v>
      </c>
      <c r="B19762" s="219"/>
      <c r="C19762" s="219"/>
      <c r="D19762" s="219"/>
      <c r="E19762" s="219"/>
      <c r="F19762" s="219"/>
      <c r="G19762" s="52">
        <f>G19760+G19751+G19734+G19724+G19714</f>
        <v>542122</v>
      </c>
    </row>
    <row r="19763" spans="1:7" x14ac:dyDescent="0.25">
      <c r="A19763" s="59"/>
      <c r="B19763" s="60"/>
      <c r="C19763" s="60"/>
      <c r="D19763" s="60"/>
      <c r="E19763" s="57"/>
      <c r="F19763" s="57"/>
      <c r="G19763" s="58"/>
    </row>
    <row r="19764" spans="1:7" x14ac:dyDescent="0.25">
      <c r="A19764" s="64"/>
      <c r="D19764" s="55"/>
      <c r="E19764" s="49" t="s">
        <v>25</v>
      </c>
      <c r="F19764" s="54">
        <v>0.15</v>
      </c>
      <c r="G19764" s="51">
        <f>G19762*F19764</f>
        <v>81318.3</v>
      </c>
    </row>
    <row r="19765" spans="1:7" x14ac:dyDescent="0.25">
      <c r="A19765" s="64"/>
      <c r="D19765" s="55"/>
      <c r="E19765" s="49" t="s">
        <v>26</v>
      </c>
      <c r="F19765" s="54">
        <v>0.05</v>
      </c>
      <c r="G19765" s="51">
        <f>G19762*F19765</f>
        <v>27106.100000000002</v>
      </c>
    </row>
    <row r="19766" spans="1:7" x14ac:dyDescent="0.25">
      <c r="A19766" s="61"/>
      <c r="B19766" s="65"/>
      <c r="C19766" s="65"/>
      <c r="D19766" s="62"/>
      <c r="E19766" s="49" t="s">
        <v>27</v>
      </c>
      <c r="F19766" s="54">
        <v>0.05</v>
      </c>
      <c r="G19766" s="51">
        <f>G19762*F19766</f>
        <v>27106.100000000002</v>
      </c>
    </row>
    <row r="19767" spans="1:7" x14ac:dyDescent="0.25">
      <c r="A19767" s="61"/>
      <c r="B19767" s="62"/>
      <c r="C19767" s="62"/>
      <c r="D19767" s="62"/>
      <c r="E19767" s="62"/>
      <c r="F19767" s="62"/>
      <c r="G19767" s="63"/>
    </row>
    <row r="19768" spans="1:7" x14ac:dyDescent="0.25">
      <c r="A19768" s="219" t="s">
        <v>1517</v>
      </c>
      <c r="B19768" s="219"/>
      <c r="C19768" s="219"/>
      <c r="D19768" s="219"/>
      <c r="E19768" s="219"/>
      <c r="F19768" s="219"/>
      <c r="G19768" s="52">
        <f>G19762+G19764+G19765+G19766</f>
        <v>677652.5</v>
      </c>
    </row>
    <row r="19769" spans="1:7" x14ac:dyDescent="0.25">
      <c r="A19769" s="59"/>
      <c r="B19769" s="60"/>
      <c r="C19769" s="60"/>
      <c r="D19769" s="60"/>
      <c r="E19769" s="57"/>
      <c r="F19769" s="57"/>
      <c r="G19769" s="58"/>
    </row>
    <row r="19770" spans="1:7" x14ac:dyDescent="0.25">
      <c r="A19770" s="64"/>
      <c r="D19770" s="55"/>
      <c r="E19770" s="49" t="s">
        <v>102</v>
      </c>
      <c r="F19770" s="49" t="s">
        <v>103</v>
      </c>
      <c r="G19770" s="51">
        <f>G19766*19%</f>
        <v>5150.1590000000006</v>
      </c>
    </row>
    <row r="19771" spans="1:7" x14ac:dyDescent="0.25">
      <c r="A19771" s="61"/>
      <c r="B19771" s="62"/>
      <c r="C19771" s="62"/>
      <c r="D19771" s="62"/>
      <c r="E19771" s="57"/>
      <c r="F19771" s="57"/>
      <c r="G19771" s="58"/>
    </row>
    <row r="19772" spans="1:7" x14ac:dyDescent="0.25">
      <c r="A19772" s="219" t="s">
        <v>104</v>
      </c>
      <c r="B19772" s="219"/>
      <c r="C19772" s="219"/>
      <c r="D19772" s="219"/>
      <c r="E19772" s="219"/>
      <c r="F19772" s="219"/>
      <c r="G19772" s="52">
        <f>G19770+G19768</f>
        <v>682802.65899999999</v>
      </c>
    </row>
    <row r="19774" spans="1:7" x14ac:dyDescent="0.25">
      <c r="A19774" s="74" t="s">
        <v>29</v>
      </c>
      <c r="B19774" s="237" t="s">
        <v>30</v>
      </c>
      <c r="C19774" s="238"/>
      <c r="D19774" s="74" t="s">
        <v>31</v>
      </c>
      <c r="E19774" s="74" t="s">
        <v>32</v>
      </c>
      <c r="F19774" s="74" t="s">
        <v>189</v>
      </c>
      <c r="G19774" s="74" t="s">
        <v>33</v>
      </c>
    </row>
    <row r="19775" spans="1:7" ht="41.25" customHeight="1" x14ac:dyDescent="0.25">
      <c r="A19775" s="50" t="str">
        <f>Presupuesto!B380</f>
        <v>049_AUX</v>
      </c>
      <c r="B19775" s="220" t="str">
        <f>Presupuesto!C380</f>
        <v>SUMINISTRO E INSTALACIÓN DE INTERRUPTOR CONMUTABLE DOBLE EN TUBERIA EMT DE  3/4" CON CABLE Cu (1#14F+1#14N+1#14T) AWG + CAJA GALVANIZADA 2X4. (LINEA GENESIS) (Longitud Promedio 5m)</v>
      </c>
      <c r="C19775" s="239"/>
      <c r="D19775" s="50" t="s">
        <v>8</v>
      </c>
      <c r="E19775" s="50">
        <v>2.5</v>
      </c>
      <c r="F19775" s="50"/>
      <c r="G19775" s="51">
        <f>G19847</f>
        <v>796590.92700000014</v>
      </c>
    </row>
    <row r="19776" spans="1:7" x14ac:dyDescent="0.25">
      <c r="A19776" s="219" t="s">
        <v>34</v>
      </c>
      <c r="B19776" s="219"/>
      <c r="C19776" s="219"/>
      <c r="D19776" s="219"/>
      <c r="E19776" s="219"/>
      <c r="F19776" s="219"/>
      <c r="G19776" s="219"/>
    </row>
    <row r="19777" spans="1:8" x14ac:dyDescent="0.25">
      <c r="A19777" s="49" t="s">
        <v>35</v>
      </c>
      <c r="B19777" s="234" t="s">
        <v>36</v>
      </c>
      <c r="C19777" s="235"/>
      <c r="D19777" s="49" t="s">
        <v>37</v>
      </c>
      <c r="E19777" s="49" t="s">
        <v>38</v>
      </c>
      <c r="F19777" s="49" t="s">
        <v>39</v>
      </c>
      <c r="G19777" s="49" t="s">
        <v>40</v>
      </c>
    </row>
    <row r="19778" spans="1:8" x14ac:dyDescent="0.25">
      <c r="A19778" s="17" t="str">
        <f>Material!A221</f>
        <v>MA-220</v>
      </c>
      <c r="B19778" s="72" t="str">
        <f>IFERROR(VLOOKUP(A19778,Material!$A:$H,2,0),"-")</f>
        <v>TUBO METALICO EMT CONDUIT GALVANIZADO DE 3/4"</v>
      </c>
      <c r="C19778" s="73"/>
      <c r="D19778" s="50" t="str">
        <f>IFERROR(VLOOKUP(A19778,Material!$A:$H,4,0),"-")</f>
        <v>ML</v>
      </c>
      <c r="E19778" s="50">
        <v>5</v>
      </c>
      <c r="F19778" s="51">
        <f>IFERROR(VLOOKUP(A19778,Material!$A:$H,3,0),"-")</f>
        <v>11830</v>
      </c>
      <c r="G19778" s="51">
        <f t="shared" ref="G19778:G19788" si="285">IFERROR(ROUNDUP(F19778*E19778,0),"-")</f>
        <v>59150</v>
      </c>
    </row>
    <row r="19779" spans="1:8" x14ac:dyDescent="0.25">
      <c r="A19779" s="17" t="str">
        <f>Material!A223</f>
        <v>MA-222</v>
      </c>
      <c r="B19779" s="72" t="str">
        <f>IFERROR(VLOOKUP(A19779,Material!$A:$H,2,0),"-")</f>
        <v xml:space="preserve">TERMINAL-CONECTOR EMT DE 3/4" </v>
      </c>
      <c r="C19779" s="76"/>
      <c r="D19779" s="50" t="str">
        <f>IFERROR(VLOOKUP(A19779,Material!$A:$H,4,0),"-")</f>
        <v>UN</v>
      </c>
      <c r="E19779" s="50">
        <v>2</v>
      </c>
      <c r="F19779" s="51">
        <f>IFERROR(VLOOKUP(A19779,Material!$A:$H,3,0),"-")</f>
        <v>1495</v>
      </c>
      <c r="G19779" s="51">
        <f t="shared" si="285"/>
        <v>2990</v>
      </c>
      <c r="H19779" s="1"/>
    </row>
    <row r="19780" spans="1:8" x14ac:dyDescent="0.25">
      <c r="A19780" s="17" t="str">
        <f>Material!A224</f>
        <v>MA-223</v>
      </c>
      <c r="B19780" s="72" t="str">
        <f>IFERROR(VLOOKUP(A19780,Material!$A:$H,2,0),"-")</f>
        <v>UNION EMT 3/4"</v>
      </c>
      <c r="C19780" s="76"/>
      <c r="D19780" s="50" t="str">
        <f>IFERROR(VLOOKUP(A19780,Material!$A:$H,4,0),"-")</f>
        <v>UN</v>
      </c>
      <c r="E19780" s="50">
        <v>3.67</v>
      </c>
      <c r="F19780" s="51">
        <f>IFERROR(VLOOKUP(A19780,Material!$A:$H,3,0),"-")</f>
        <v>1495</v>
      </c>
      <c r="G19780" s="51">
        <f t="shared" si="285"/>
        <v>5487</v>
      </c>
    </row>
    <row r="19781" spans="1:8" x14ac:dyDescent="0.25">
      <c r="A19781" s="17" t="str">
        <f>Material!A225</f>
        <v>MA-224</v>
      </c>
      <c r="B19781" s="72" t="str">
        <f>IFERROR(VLOOKUP(A19781,Material!$A:$H,2,0),"-")</f>
        <v>CURVA 90 GRADOS EMT DE 3/4"</v>
      </c>
      <c r="C19781" s="76"/>
      <c r="D19781" s="50" t="str">
        <f>IFERROR(VLOOKUP(A19781,Material!$A:$H,4,0),"-")</f>
        <v>UN</v>
      </c>
      <c r="E19781" s="50">
        <v>1</v>
      </c>
      <c r="F19781" s="51">
        <f>IFERROR(VLOOKUP(A19781,Material!$A:$H,3,0),"-")</f>
        <v>2340</v>
      </c>
      <c r="G19781" s="51">
        <f t="shared" si="285"/>
        <v>2340</v>
      </c>
    </row>
    <row r="19782" spans="1:8" x14ac:dyDescent="0.25">
      <c r="A19782" s="17" t="str">
        <f>Material!A226</f>
        <v>MA-225</v>
      </c>
      <c r="B19782" s="72" t="str">
        <f>IFERROR(VLOOKUP(A19782,Material!$A:$H,2,0),"-")</f>
        <v>ABRAZADERA GRAPA METALICA 3/4"</v>
      </c>
      <c r="C19782" s="76"/>
      <c r="D19782" s="50" t="str">
        <f>IFERROR(VLOOKUP(A19782,Material!$A:$H,4,0),"-")</f>
        <v>UN</v>
      </c>
      <c r="E19782" s="50">
        <v>3</v>
      </c>
      <c r="F19782" s="51">
        <f>IFERROR(VLOOKUP(A19782,Material!$A:$H,3,0),"-")</f>
        <v>325</v>
      </c>
      <c r="G19782" s="51">
        <f t="shared" si="285"/>
        <v>975</v>
      </c>
    </row>
    <row r="19783" spans="1:8" x14ac:dyDescent="0.25">
      <c r="A19783" s="17" t="str">
        <f>Material!A227</f>
        <v>MA-226</v>
      </c>
      <c r="B19783" s="72" t="str">
        <f>IFERROR(VLOOKUP(A19783,Material!$A:$H,2,0),"-")</f>
        <v>CABLE AISLADO NO 14 AWG COBRE THHN</v>
      </c>
      <c r="C19783" s="76"/>
      <c r="D19783" s="50" t="str">
        <f>IFERROR(VLOOKUP(A19783,Material!$A:$H,4,0),"-")</f>
        <v>ML</v>
      </c>
      <c r="E19783" s="50">
        <f>6*10</f>
        <v>60</v>
      </c>
      <c r="F19783" s="51">
        <f>IFERROR(VLOOKUP(A19783,Material!$A:$H,3,0),"-")</f>
        <v>2210</v>
      </c>
      <c r="G19783" s="51">
        <f t="shared" si="285"/>
        <v>132600</v>
      </c>
    </row>
    <row r="19784" spans="1:8" x14ac:dyDescent="0.25">
      <c r="A19784" s="17" t="str">
        <f>Material!A227</f>
        <v>MA-226</v>
      </c>
      <c r="B19784" s="72" t="str">
        <f>IFERROR(VLOOKUP(A19784,Material!$A:$H,2,0),"-")</f>
        <v>CABLE AISLADO NO 14 AWG COBRE THHN</v>
      </c>
      <c r="C19784" s="76"/>
      <c r="D19784" s="50" t="str">
        <f>IFERROR(VLOOKUP(A19784,Material!$A:$H,4,0),"-")</f>
        <v>ML</v>
      </c>
      <c r="E19784" s="50">
        <v>10</v>
      </c>
      <c r="F19784" s="51">
        <f>IFERROR(VLOOKUP(A19784,Material!$A:$H,3,0),"-")</f>
        <v>2210</v>
      </c>
      <c r="G19784" s="51">
        <f t="shared" si="285"/>
        <v>22100</v>
      </c>
    </row>
    <row r="19785" spans="1:8" x14ac:dyDescent="0.25">
      <c r="A19785" s="17" t="str">
        <f>Material!A382</f>
        <v>MA-381</v>
      </c>
      <c r="B19785" s="72" t="str">
        <f>IFERROR(VLOOKUP(A19785,Material!$A:$H,2,0),"-")</f>
        <v>INTERRUPTOR DOBLE CONMUTABLE</v>
      </c>
      <c r="C19785" s="76"/>
      <c r="D19785" s="50" t="str">
        <f>IFERROR(VLOOKUP(A19785,Material!$A:$H,4,0),"-")</f>
        <v>UN</v>
      </c>
      <c r="E19785" s="50">
        <v>1</v>
      </c>
      <c r="F19785" s="51">
        <f>IFERROR(VLOOKUP(A19785,Material!$A:$H,3,0),"-")</f>
        <v>11570</v>
      </c>
      <c r="G19785" s="51">
        <f t="shared" si="285"/>
        <v>11570</v>
      </c>
    </row>
    <row r="19786" spans="1:8" x14ac:dyDescent="0.25">
      <c r="A19786" s="17" t="str">
        <f>Material!A228</f>
        <v>MA-227</v>
      </c>
      <c r="B19786" s="72" t="str">
        <f>IFERROR(VLOOKUP(A19786,Material!$A:$H,2,0),"-")</f>
        <v>TERMINAL SOLDER AMARILLO 22-14 VCP</v>
      </c>
      <c r="C19786" s="76"/>
      <c r="D19786" s="50" t="str">
        <f>IFERROR(VLOOKUP(A19786,Material!$A:$H,4,0),"-")</f>
        <v>UN</v>
      </c>
      <c r="E19786" s="50">
        <v>3</v>
      </c>
      <c r="F19786" s="51">
        <f>IFERROR(VLOOKUP(A19786,Material!$A:$H,3,0),"-")</f>
        <v>299</v>
      </c>
      <c r="G19786" s="51">
        <f t="shared" si="285"/>
        <v>897</v>
      </c>
    </row>
    <row r="19787" spans="1:8" x14ac:dyDescent="0.25">
      <c r="A19787" s="17" t="str">
        <f>Material!A229</f>
        <v>MA-228</v>
      </c>
      <c r="B19787" s="72" t="str">
        <f>IFERROR(VLOOKUP(A19787,Material!$A:$H,2,0),"-")</f>
        <v>CINTA DE COLORES</v>
      </c>
      <c r="C19787" s="76"/>
      <c r="D19787" s="50" t="str">
        <f>IFERROR(VLOOKUP(A19787,Material!$A:$H,4,0),"-")</f>
        <v>ML</v>
      </c>
      <c r="E19787" s="50">
        <v>7.0000000000000007E-2</v>
      </c>
      <c r="F19787" s="51">
        <f>IFERROR(VLOOKUP(A19787,Material!$A:$H,3,0),"-")</f>
        <v>54.080000000000005</v>
      </c>
      <c r="G19787" s="51">
        <f t="shared" si="285"/>
        <v>4</v>
      </c>
    </row>
    <row r="19788" spans="1:8" x14ac:dyDescent="0.25">
      <c r="A19788" s="17" t="str">
        <f>Material!A222</f>
        <v>MA-221</v>
      </c>
      <c r="B19788" s="72" t="str">
        <f>IFERROR(VLOOKUP(A19788,Material!$A:$H,2,0),"-")</f>
        <v>CAJA FS 2X4  4 SALIDAS 3/4"</v>
      </c>
      <c r="C19788" s="76"/>
      <c r="D19788" s="50" t="str">
        <f>IFERROR(VLOOKUP(A19788,Material!$A:$H,4,0),"-")</f>
        <v>UN</v>
      </c>
      <c r="E19788" s="50">
        <v>1</v>
      </c>
      <c r="F19788" s="51">
        <f>IFERROR(VLOOKUP(A19788,Material!$A:$H,3,0),"-")</f>
        <v>16633.5</v>
      </c>
      <c r="G19788" s="51">
        <f t="shared" si="285"/>
        <v>16634</v>
      </c>
    </row>
    <row r="19789" spans="1:8" x14ac:dyDescent="0.25">
      <c r="A19789" s="234" t="s">
        <v>41</v>
      </c>
      <c r="B19789" s="236"/>
      <c r="C19789" s="236"/>
      <c r="D19789" s="236"/>
      <c r="E19789" s="236"/>
      <c r="F19789" s="235"/>
      <c r="G19789" s="52">
        <f>SUM(G19778:G19788)</f>
        <v>254747</v>
      </c>
    </row>
    <row r="19790" spans="1:8" x14ac:dyDescent="0.25">
      <c r="A19790" s="56"/>
      <c r="B19790" s="57"/>
      <c r="C19790" s="57"/>
      <c r="D19790" s="57"/>
      <c r="E19790" s="57"/>
      <c r="F19790" s="57"/>
      <c r="G19790" s="58"/>
    </row>
    <row r="19791" spans="1:8" x14ac:dyDescent="0.25">
      <c r="A19791" s="219" t="s">
        <v>42</v>
      </c>
      <c r="B19791" s="219"/>
      <c r="C19791" s="219"/>
      <c r="D19791" s="219"/>
      <c r="E19791" s="219"/>
      <c r="F19791" s="219"/>
      <c r="G19791" s="219"/>
    </row>
    <row r="19792" spans="1:8" x14ac:dyDescent="0.25">
      <c r="A19792" s="49" t="s">
        <v>35</v>
      </c>
      <c r="B19792" s="49" t="s">
        <v>36</v>
      </c>
      <c r="C19792" s="49" t="s">
        <v>38</v>
      </c>
      <c r="D19792" s="49" t="s">
        <v>43</v>
      </c>
      <c r="E19792" s="49" t="s">
        <v>44</v>
      </c>
      <c r="F19792" s="49" t="s">
        <v>45</v>
      </c>
      <c r="G19792" s="49" t="s">
        <v>40</v>
      </c>
    </row>
    <row r="19793" spans="1:7" x14ac:dyDescent="0.25">
      <c r="A19793" s="50" t="s">
        <v>319</v>
      </c>
      <c r="B19793" s="68" t="str">
        <f>VLOOKUP(A19793,'Componentes APUs'!$H$1:$L$25,2,0)</f>
        <v>Ingeniero Residente de Obra</v>
      </c>
      <c r="C19793" s="93">
        <v>0.25</v>
      </c>
      <c r="D19793" s="50">
        <f>VLOOKUP(A19793,'Componentes APUs'!$H$1:$L$25,3,0)</f>
        <v>4</v>
      </c>
      <c r="E19793" s="51">
        <f>VLOOKUP(A19793,'Componentes APUs'!$H$1:$L$25,4,0)</f>
        <v>271142.85714285716</v>
      </c>
      <c r="F19793" s="51">
        <f>VLOOKUP(A19793,'Componentes APUs'!$H$1:$L$25,5,0)</f>
        <v>162685.71428571429</v>
      </c>
      <c r="G19793" s="51">
        <f>ROUNDUP((E19793+F19793)*C19793/E19775,0)</f>
        <v>43383</v>
      </c>
    </row>
    <row r="19794" spans="1:7" x14ac:dyDescent="0.25">
      <c r="A19794" s="50" t="s">
        <v>320</v>
      </c>
      <c r="B19794" s="68" t="str">
        <f>VLOOKUP(A19794,'Componentes APUs'!$H$1:$L$25,2,0)</f>
        <v>Tecnico Supervisor</v>
      </c>
      <c r="C19794" s="93">
        <v>0.25</v>
      </c>
      <c r="D19794" s="50">
        <f>VLOOKUP(A19794,'Componentes APUs'!$H$1:$L$25,3,0)</f>
        <v>2.2999999999999998</v>
      </c>
      <c r="E19794" s="51">
        <f>VLOOKUP(A19794,'Componentes APUs'!$H$1:$L$25,4,0)</f>
        <v>155907.14285714284</v>
      </c>
      <c r="F19794" s="51">
        <f>VLOOKUP(A19794,'Componentes APUs'!$H$1:$L$25,5,0)</f>
        <v>93544.285714285696</v>
      </c>
      <c r="G19794" s="51">
        <f>ROUNDUP((E19794+F19794)*C19794/E19775,0)</f>
        <v>24946</v>
      </c>
    </row>
    <row r="19795" spans="1:7" x14ac:dyDescent="0.25">
      <c r="A19795" s="50" t="s">
        <v>1160</v>
      </c>
      <c r="B19795" s="68" t="str">
        <f>VLOOKUP(A19795,'Componentes APUs'!$H$1:$L$25,2,0)</f>
        <v>Oficial Eléctrico</v>
      </c>
      <c r="C19795" s="93">
        <v>1</v>
      </c>
      <c r="D19795" s="50">
        <f>VLOOKUP(A19795,'Componentes APUs'!$H$1:$L$25,3,0)</f>
        <v>2</v>
      </c>
      <c r="E19795" s="51">
        <f>VLOOKUP(A19795,'Componentes APUs'!$H$1:$L$25,4,0)</f>
        <v>154619.04761904763</v>
      </c>
      <c r="F19795" s="51">
        <f>VLOOKUP(A19795,'Componentes APUs'!$H$1:$L$25,5,0)</f>
        <v>92771.42857142858</v>
      </c>
      <c r="G19795" s="51">
        <f>ROUNDUP((E19795+F19795)*C19795/E19775,0)</f>
        <v>98957</v>
      </c>
    </row>
    <row r="19796" spans="1:7" x14ac:dyDescent="0.25">
      <c r="A19796" s="50" t="s">
        <v>48</v>
      </c>
      <c r="B19796" s="68" t="str">
        <f>VLOOKUP(A19796,'Componentes APUs'!$H$1:$L$25,2,0)</f>
        <v>Ayudante Calificado</v>
      </c>
      <c r="C19796" s="93">
        <v>1</v>
      </c>
      <c r="D19796" s="50">
        <f>VLOOKUP(A19796,'Componentes APUs'!$H$1:$L$25,3,0)</f>
        <v>1.5</v>
      </c>
      <c r="E19796" s="51">
        <f>VLOOKUP(A19796,'Componentes APUs'!$H$1:$L$25,4,0)</f>
        <v>115964.28571428571</v>
      </c>
      <c r="F19796" s="51">
        <f>VLOOKUP(A19796,'Componentes APUs'!$H$1:$L$25,5,0)</f>
        <v>69578.57142857142</v>
      </c>
      <c r="G19796" s="51">
        <f>ROUNDUP((E19796+F19796)*C19796/E19775,0)</f>
        <v>74218</v>
      </c>
    </row>
    <row r="19797" spans="1:7" x14ac:dyDescent="0.25">
      <c r="A19797" s="50" t="s">
        <v>50</v>
      </c>
      <c r="B19797" s="68" t="str">
        <f>VLOOKUP(A19797,'Componentes APUs'!$H$1:$L$25,2,0)</f>
        <v>Profesional en SST</v>
      </c>
      <c r="C19797" s="93">
        <v>0.25</v>
      </c>
      <c r="D19797" s="50">
        <f>VLOOKUP(A19797,'Componentes APUs'!$H$1:$L$25,3,0)</f>
        <v>2.5</v>
      </c>
      <c r="E19797" s="51">
        <f>VLOOKUP(A19797,'Componentes APUs'!$H$1:$L$25,4,0)</f>
        <v>169464.28571428571</v>
      </c>
      <c r="F19797" s="51">
        <f>VLOOKUP(A19797,'Componentes APUs'!$H$1:$L$25,5,0)</f>
        <v>101678.57142857142</v>
      </c>
      <c r="G19797" s="51">
        <f>ROUNDUP((E19797+F19797)*C19797/E19775,0)</f>
        <v>27115</v>
      </c>
    </row>
    <row r="19798" spans="1:7" x14ac:dyDescent="0.25">
      <c r="A19798" s="50" t="s">
        <v>52</v>
      </c>
      <c r="B19798" s="68" t="str">
        <f>VLOOKUP(A19798,'Componentes APUs'!$H$1:$L$25,2,0)</f>
        <v>Ayudante No Calificado</v>
      </c>
      <c r="C19798" s="93">
        <v>0</v>
      </c>
      <c r="D19798" s="50">
        <f>VLOOKUP(A19798,'Componentes APUs'!$H$1:$L$25,3,0)</f>
        <v>1</v>
      </c>
      <c r="E19798" s="51">
        <f>VLOOKUP(A19798,'Componentes APUs'!$H$1:$L$25,4,0)</f>
        <v>77309.523809523816</v>
      </c>
      <c r="F19798" s="51">
        <f>VLOOKUP(A19798,'Componentes APUs'!$H$1:$L$25,5,0)</f>
        <v>46385.71428571429</v>
      </c>
      <c r="G19798" s="51">
        <f>ROUNDUP((E19798+F19798)*C19798/E19775,0)</f>
        <v>0</v>
      </c>
    </row>
    <row r="19799" spans="1:7" x14ac:dyDescent="0.25">
      <c r="A19799" s="219" t="s">
        <v>56</v>
      </c>
      <c r="B19799" s="219"/>
      <c r="C19799" s="219"/>
      <c r="D19799" s="219"/>
      <c r="E19799" s="219"/>
      <c r="F19799" s="219"/>
      <c r="G19799" s="52">
        <f>SUM(G19793:G19798)</f>
        <v>268619</v>
      </c>
    </row>
    <row r="19800" spans="1:7" x14ac:dyDescent="0.25">
      <c r="A19800" s="56"/>
      <c r="B19800" s="57"/>
      <c r="C19800" s="57"/>
      <c r="D19800" s="57"/>
      <c r="E19800" s="57"/>
      <c r="F19800" s="57"/>
      <c r="G19800" s="58"/>
    </row>
    <row r="19801" spans="1:7" x14ac:dyDescent="0.25">
      <c r="A19801" s="219" t="s">
        <v>57</v>
      </c>
      <c r="B19801" s="219"/>
      <c r="C19801" s="219"/>
      <c r="D19801" s="219"/>
      <c r="E19801" s="219"/>
      <c r="F19801" s="219"/>
      <c r="G19801" s="219"/>
    </row>
    <row r="19802" spans="1:7" x14ac:dyDescent="0.25">
      <c r="A19802" s="49" t="s">
        <v>35</v>
      </c>
      <c r="B19802" s="219" t="s">
        <v>36</v>
      </c>
      <c r="C19802" s="219"/>
      <c r="D19802" s="49" t="s">
        <v>37</v>
      </c>
      <c r="E19802" s="49" t="s">
        <v>38</v>
      </c>
      <c r="F19802" s="49" t="s">
        <v>39</v>
      </c>
      <c r="G19802" s="49" t="s">
        <v>40</v>
      </c>
    </row>
    <row r="19803" spans="1:7" x14ac:dyDescent="0.25">
      <c r="A19803" s="50" t="s">
        <v>326</v>
      </c>
      <c r="B19803" s="220" t="str">
        <f>VLOOKUP(A19803,'Componentes APUs'!$S$1:$V$10,2,0)</f>
        <v>Juego Llaves</v>
      </c>
      <c r="C19803" s="220"/>
      <c r="D19803" s="50" t="s">
        <v>18</v>
      </c>
      <c r="E19803" s="50">
        <v>1</v>
      </c>
      <c r="F19803" s="51">
        <f>VLOOKUP(A19803,'Componentes APUs'!$S$1:$V$10,4,0)</f>
        <v>9167</v>
      </c>
      <c r="G19803" s="51">
        <f>ROUNDUP(F19803*((E19803/21)/E19775),0)</f>
        <v>175</v>
      </c>
    </row>
    <row r="19804" spans="1:7" x14ac:dyDescent="0.25">
      <c r="A19804" s="50" t="s">
        <v>58</v>
      </c>
      <c r="B19804" s="220" t="str">
        <f>VLOOKUP(A19804,'Componentes APUs'!$S$1:$V$10,2,0)</f>
        <v>Manila de servicio</v>
      </c>
      <c r="C19804" s="220"/>
      <c r="D19804" s="50" t="s">
        <v>18</v>
      </c>
      <c r="E19804" s="50">
        <v>0</v>
      </c>
      <c r="F19804" s="51">
        <f>VLOOKUP(A19804,'Componentes APUs'!$S$1:$V$10,4,0)</f>
        <v>2333</v>
      </c>
      <c r="G19804" s="51">
        <f>ROUNDUP(F19804*((E19804/21)/E19775),0)</f>
        <v>0</v>
      </c>
    </row>
    <row r="19805" spans="1:7" x14ac:dyDescent="0.25">
      <c r="A19805" s="50" t="s">
        <v>327</v>
      </c>
      <c r="B19805" s="220" t="str">
        <f>VLOOKUP(A19805,'Componentes APUs'!$S$1:$V$10,2,0)</f>
        <v>Tula portaherramientas</v>
      </c>
      <c r="C19805" s="220"/>
      <c r="D19805" s="50" t="s">
        <v>18</v>
      </c>
      <c r="E19805" s="50">
        <v>1</v>
      </c>
      <c r="F19805" s="51">
        <f>VLOOKUP(A19805,'Componentes APUs'!$S$1:$V$10,4,0)</f>
        <v>1250</v>
      </c>
      <c r="G19805" s="51">
        <f>ROUNDUP(F19805*((E19805/21)/E19775),0)</f>
        <v>24</v>
      </c>
    </row>
    <row r="19806" spans="1:7" x14ac:dyDescent="0.25">
      <c r="A19806" s="50" t="s">
        <v>60</v>
      </c>
      <c r="B19806" s="220" t="str">
        <f>VLOOKUP(A19806,'Componentes APUs'!$S$1:$V$10,2,0)</f>
        <v>Agarradoras</v>
      </c>
      <c r="C19806" s="220"/>
      <c r="D19806" s="50" t="s">
        <v>18</v>
      </c>
      <c r="E19806" s="50">
        <v>0</v>
      </c>
      <c r="F19806" s="51">
        <f>VLOOKUP(A19806,'Componentes APUs'!$S$1:$V$10,4,0)</f>
        <v>125000</v>
      </c>
      <c r="G19806" s="51">
        <f>ROUNDUP(F19806*((E19806/21)/E19775),0)</f>
        <v>0</v>
      </c>
    </row>
    <row r="19807" spans="1:7" x14ac:dyDescent="0.25">
      <c r="A19807" s="50" t="s">
        <v>62</v>
      </c>
      <c r="B19807" s="220" t="str">
        <f>VLOOKUP(A19807,'Componentes APUs'!$S$1:$V$10,2,0)</f>
        <v>Templadoras</v>
      </c>
      <c r="C19807" s="220"/>
      <c r="D19807" s="50" t="s">
        <v>18</v>
      </c>
      <c r="E19807" s="50">
        <v>0</v>
      </c>
      <c r="F19807" s="51">
        <f>VLOOKUP(A19807,'Componentes APUs'!$S$1:$V$10,4,0)</f>
        <v>250000</v>
      </c>
      <c r="G19807" s="51">
        <f>ROUNDUP(F19807*((E19807/21)/E19775),0)</f>
        <v>0</v>
      </c>
    </row>
    <row r="19808" spans="1:7" x14ac:dyDescent="0.25">
      <c r="A19808" s="50" t="s">
        <v>328</v>
      </c>
      <c r="B19808" s="220" t="str">
        <f>VLOOKUP(A19808,'Componentes APUs'!$S$1:$V$10,2,0)</f>
        <v>Herramienta Menor</v>
      </c>
      <c r="C19808" s="220"/>
      <c r="D19808" s="50" t="s">
        <v>18</v>
      </c>
      <c r="E19808" s="50">
        <v>1</v>
      </c>
      <c r="F19808" s="51">
        <f>VLOOKUP(A19808,'Componentes APUs'!$S$1:$V$10,4,0)</f>
        <v>75758</v>
      </c>
      <c r="G19808" s="51">
        <f>ROUNDUP(F19808*((E19808/21)/E19775),0)</f>
        <v>1444</v>
      </c>
    </row>
    <row r="19809" spans="1:7" x14ac:dyDescent="0.25">
      <c r="A19809" s="219" t="s">
        <v>69</v>
      </c>
      <c r="B19809" s="219"/>
      <c r="C19809" s="219"/>
      <c r="D19809" s="219"/>
      <c r="E19809" s="219"/>
      <c r="F19809" s="219"/>
      <c r="G19809" s="52">
        <f>SUM(G19803:G19808)</f>
        <v>1643</v>
      </c>
    </row>
    <row r="19810" spans="1:7" x14ac:dyDescent="0.25">
      <c r="A19810" s="56"/>
      <c r="B19810" s="57"/>
      <c r="C19810" s="57"/>
      <c r="D19810" s="57"/>
      <c r="E19810" s="57"/>
      <c r="F19810" s="57"/>
      <c r="G19810" s="58"/>
    </row>
    <row r="19811" spans="1:7" x14ac:dyDescent="0.25">
      <c r="A19811" s="219" t="s">
        <v>70</v>
      </c>
      <c r="B19811" s="219"/>
      <c r="C19811" s="219"/>
      <c r="D19811" s="219"/>
      <c r="E19811" s="219"/>
      <c r="F19811" s="219"/>
      <c r="G19811" s="219"/>
    </row>
    <row r="19812" spans="1:7" x14ac:dyDescent="0.25">
      <c r="A19812" s="49" t="s">
        <v>35</v>
      </c>
      <c r="B19812" s="219" t="s">
        <v>36</v>
      </c>
      <c r="C19812" s="219"/>
      <c r="D19812" s="49" t="s">
        <v>37</v>
      </c>
      <c r="E19812" s="49" t="s">
        <v>38</v>
      </c>
      <c r="F19812" s="49" t="s">
        <v>39</v>
      </c>
      <c r="G19812" s="49" t="s">
        <v>40</v>
      </c>
    </row>
    <row r="19813" spans="1:7" x14ac:dyDescent="0.25">
      <c r="A19813" s="50" t="s">
        <v>71</v>
      </c>
      <c r="B19813" s="71" t="str">
        <f>VLOOKUP(A19813,'Componentes APUs'!$A$1:$D$14,2,0)</f>
        <v>Camisa indigo sin partes metalicas</v>
      </c>
      <c r="C19813" s="71"/>
      <c r="D19813" s="50" t="str">
        <f>VLOOKUP(A19813,'Componentes APUs'!$A$1:$D$14,3,0)</f>
        <v>U</v>
      </c>
      <c r="E19813" s="50">
        <f>SUM(C19793:C19798)</f>
        <v>2.75</v>
      </c>
      <c r="F19813" s="51">
        <f>VLOOKUP(A19813,'Componentes APUs'!$A$1:$D$14,4,0)</f>
        <v>8585.8585858585866</v>
      </c>
      <c r="G19813" s="51">
        <f>ROUNDUP(F19813*(E19813/21)/E19775,0)</f>
        <v>450</v>
      </c>
    </row>
    <row r="19814" spans="1:7" x14ac:dyDescent="0.25">
      <c r="A19814" s="69" t="s">
        <v>73</v>
      </c>
      <c r="B19814" s="72" t="str">
        <f>VLOOKUP(A19814,'Componentes APUs'!$A$1:$D$14,2,0)</f>
        <v>Bota de seguridad dielectrica</v>
      </c>
      <c r="C19814" s="73"/>
      <c r="D19814" s="70" t="str">
        <f>VLOOKUP(A19814,'Componentes APUs'!$A$1:$D$14,3,0)</f>
        <v>Par</v>
      </c>
      <c r="E19814" s="50">
        <f>SUM(C19793:C19798)</f>
        <v>2.75</v>
      </c>
      <c r="F19814" s="51">
        <f>VLOOKUP(A19814,'Componentes APUs'!$A$1:$D$14,4,0)</f>
        <v>7500</v>
      </c>
      <c r="G19814" s="51">
        <f>ROUNDUP(F19814*(E19814/21)/E19775,0)</f>
        <v>393</v>
      </c>
    </row>
    <row r="19815" spans="1:7" x14ac:dyDescent="0.25">
      <c r="A19815" s="50" t="s">
        <v>76</v>
      </c>
      <c r="B19815" s="72" t="str">
        <f>VLOOKUP(A19815,'Componentes APUs'!$A$1:$D$14,2,0)</f>
        <v>Casco dielectrico Tipo 1 Clase E con barbuquejo</v>
      </c>
      <c r="C19815" s="73"/>
      <c r="D19815" s="50" t="str">
        <f>VLOOKUP(A19815,'Componentes APUs'!$A$1:$D$14,3,0)</f>
        <v>U</v>
      </c>
      <c r="E19815" s="50">
        <f>C19798+C19793+C19796+C19797+C19794+IF(A19795&lt;&gt;"MO-3",C19795,0)</f>
        <v>2.75</v>
      </c>
      <c r="F19815" s="51">
        <f>VLOOKUP(A19815,'Componentes APUs'!$A$1:$D$14,4,0)</f>
        <v>10101.010101010101</v>
      </c>
      <c r="G19815" s="51">
        <f>ROUNDUP(F19815*(E19815/21)/E19775,0)</f>
        <v>530</v>
      </c>
    </row>
    <row r="19816" spans="1:7" x14ac:dyDescent="0.25">
      <c r="A19816" s="69" t="s">
        <v>77</v>
      </c>
      <c r="B19816" s="72" t="str">
        <f>VLOOKUP(A19816,'Componentes APUs'!$A$1:$D$14,2,0)</f>
        <v>Correa plastica y antiflama</v>
      </c>
      <c r="C19816" s="73"/>
      <c r="D19816" s="50" t="str">
        <f>VLOOKUP(A19816,'Componentes APUs'!$A$1:$D$14,3,0)</f>
        <v>U</v>
      </c>
      <c r="E19816" s="50">
        <f>SUM(C19793:C19798)</f>
        <v>2.75</v>
      </c>
      <c r="F19816" s="51">
        <f>VLOOKUP(A19816,'Componentes APUs'!$A$1:$D$14,4,0)</f>
        <v>3787.878787878788</v>
      </c>
      <c r="G19816" s="51">
        <f>ROUNDUP(F19816*(E19816/21)/E19775,0)</f>
        <v>199</v>
      </c>
    </row>
    <row r="19817" spans="1:7" x14ac:dyDescent="0.25">
      <c r="A19817" s="50" t="s">
        <v>79</v>
      </c>
      <c r="B19817" s="72" t="str">
        <f>VLOOKUP(A19817,'Componentes APUs'!$A$1:$D$14,2,0)</f>
        <v>Gafas protectoras filtro UV</v>
      </c>
      <c r="C19817" s="73"/>
      <c r="D19817" s="50" t="str">
        <f>VLOOKUP(A19817,'Componentes APUs'!$A$1:$D$14,3,0)</f>
        <v>U</v>
      </c>
      <c r="E19817" s="50">
        <f>SUM(C19793:C19798)</f>
        <v>2.75</v>
      </c>
      <c r="F19817" s="51">
        <f>VLOOKUP(A19817,'Componentes APUs'!$A$1:$D$14,4,0)</f>
        <v>2777.7777777777778</v>
      </c>
      <c r="G19817" s="51">
        <f>ROUNDUP(F19817*(E19817/21)/E19775,0)</f>
        <v>146</v>
      </c>
    </row>
    <row r="19818" spans="1:7" x14ac:dyDescent="0.25">
      <c r="A19818" s="69" t="s">
        <v>402</v>
      </c>
      <c r="B19818" s="72" t="str">
        <f>VLOOKUP(A19818,'Componentes APUs'!$A$1:$D$14,2,0)</f>
        <v>Bota de seguridad PVC dielectrica</v>
      </c>
      <c r="C19818" s="73"/>
      <c r="D19818" s="50" t="str">
        <f>VLOOKUP(A19818,'Componentes APUs'!$A$1:$D$14,3,0)</f>
        <v>Par</v>
      </c>
      <c r="E19818" s="50">
        <f>SUM(C19793:C19798)</f>
        <v>2.75</v>
      </c>
      <c r="F19818" s="51">
        <f>VLOOKUP(A19818,'Componentes APUs'!$A$1:$D$14,4,0)</f>
        <v>2916.6666666666665</v>
      </c>
      <c r="G19818" s="51">
        <f>ROUNDUP(F19818*(E19818/21)/E19775,0)</f>
        <v>153</v>
      </c>
    </row>
    <row r="19819" spans="1:7" x14ac:dyDescent="0.25">
      <c r="A19819" s="50" t="s">
        <v>403</v>
      </c>
      <c r="B19819" s="72" t="str">
        <f>VLOOKUP(A19819,'Componentes APUs'!$A$1:$D$14,2,0)</f>
        <v>Capuchon</v>
      </c>
      <c r="C19819" s="73"/>
      <c r="D19819" s="50" t="str">
        <f>VLOOKUP(A19819,'Componentes APUs'!$A$1:$D$14,3,0)</f>
        <v>U</v>
      </c>
      <c r="E19819" s="50">
        <f>SUM(C19793:C19798)</f>
        <v>2.75</v>
      </c>
      <c r="F19819" s="51">
        <f>VLOOKUP(A19819,'Componentes APUs'!$A$1:$D$14,4,0)</f>
        <v>2525.2525252525252</v>
      </c>
      <c r="G19819" s="51">
        <f>ROUNDUP(F19819*(E19819/21)/E19775,0)</f>
        <v>133</v>
      </c>
    </row>
    <row r="19820" spans="1:7" x14ac:dyDescent="0.25">
      <c r="A19820" s="69" t="s">
        <v>81</v>
      </c>
      <c r="B19820" s="72" t="str">
        <f>VLOOKUP(A19820,'Componentes APUs'!$A$1:$D$14,2,0)</f>
        <v>Guantes Protectores  - ingeniero reforzados</v>
      </c>
      <c r="C19820" s="73"/>
      <c r="D19820" s="50" t="str">
        <f>VLOOKUP(A19820,'Componentes APUs'!$A$1:$D$14,3,0)</f>
        <v>Par</v>
      </c>
      <c r="E19820" s="50">
        <f>C19795+C19796+C19798</f>
        <v>2</v>
      </c>
      <c r="F19820" s="51">
        <f>VLOOKUP(A19820,'Componentes APUs'!$A$1:$D$14,4,0)</f>
        <v>2525.2525252525252</v>
      </c>
      <c r="G19820" s="51">
        <f>ROUNDUP(F19820*(E19820/21)/E19775,0)</f>
        <v>97</v>
      </c>
    </row>
    <row r="19821" spans="1:7" x14ac:dyDescent="0.25">
      <c r="A19821" s="50" t="s">
        <v>83</v>
      </c>
      <c r="B19821" s="72" t="str">
        <f>VLOOKUP(A19821,'Componentes APUs'!$A$1:$D$14,2,0)</f>
        <v>Impermeable (pantalon camisa)</v>
      </c>
      <c r="C19821" s="73"/>
      <c r="D19821" s="50" t="str">
        <f>VLOOKUP(A19821,'Componentes APUs'!$A$1:$D$14,3,0)</f>
        <v>U</v>
      </c>
      <c r="E19821" s="50">
        <f>SUM(C19793:C19798)</f>
        <v>2.75</v>
      </c>
      <c r="F19821" s="51">
        <f>VLOOKUP(A19821,'Componentes APUs'!$A$1:$D$14,4,0)</f>
        <v>3750</v>
      </c>
      <c r="G19821" s="51">
        <f>ROUNDUP(F19821*(E19821/21)/E19775,0)</f>
        <v>197</v>
      </c>
    </row>
    <row r="19822" spans="1:7" x14ac:dyDescent="0.25">
      <c r="A19822" s="69" t="s">
        <v>85</v>
      </c>
      <c r="B19822" s="72" t="str">
        <f>VLOOKUP(A19822,'Componentes APUs'!$A$1:$D$14,2,0)</f>
        <v>Jean Dielectrico</v>
      </c>
      <c r="C19822" s="73"/>
      <c r="D19822" s="50" t="str">
        <f>VLOOKUP(A19822,'Componentes APUs'!$A$1:$D$14,3,0)</f>
        <v>U</v>
      </c>
      <c r="E19822" s="50">
        <f>SUM(C19793:C19798)</f>
        <v>2.75</v>
      </c>
      <c r="F19822" s="51">
        <f>VLOOKUP(A19822,'Componentes APUs'!$A$1:$D$14,4,0)</f>
        <v>7575.757575757576</v>
      </c>
      <c r="G19822" s="51">
        <f>ROUNDUP(F19822*(E19822/21)/E19775,0)</f>
        <v>397</v>
      </c>
    </row>
    <row r="19823" spans="1:7" x14ac:dyDescent="0.25">
      <c r="A19823" s="50" t="s">
        <v>87</v>
      </c>
      <c r="B19823" s="72" t="str">
        <f>VLOOKUP(A19823,'Componentes APUs'!$A$1:$D$14,2,0)</f>
        <v>Casco dielectrico Tipo 2 Clase E con barboquejo</v>
      </c>
      <c r="C19823" s="73"/>
      <c r="D19823" s="50" t="str">
        <f>VLOOKUP(A19823,'Componentes APUs'!$A$1:$D$14,3,0)</f>
        <v>U</v>
      </c>
      <c r="E19823" s="53">
        <f>IF(A19795="MO-3",C19795,0)</f>
        <v>0</v>
      </c>
      <c r="F19823" s="51">
        <f>VLOOKUP(A19823,'Componentes APUs'!$A$1:$D$14,4,0)</f>
        <v>7500</v>
      </c>
      <c r="G19823" s="51">
        <f>ROUNDUP(F19823*(E19823/21)/E19775,0)</f>
        <v>0</v>
      </c>
    </row>
    <row r="19824" spans="1:7" x14ac:dyDescent="0.25">
      <c r="A19824" s="69" t="s">
        <v>89</v>
      </c>
      <c r="B19824" s="72" t="str">
        <f>VLOOKUP(A19824,'Componentes APUs'!$A$1:$D$14,2,0)</f>
        <v>Kit de rescate para trabajo en alturas</v>
      </c>
      <c r="C19824" s="73"/>
      <c r="D19824" s="50" t="str">
        <f>VLOOKUP(A19824,'Componentes APUs'!$A$1:$D$14,3,0)</f>
        <v>U</v>
      </c>
      <c r="E19824" s="50">
        <f>IF(AND(A19795="MO-3",C19795=2),1,0)</f>
        <v>0</v>
      </c>
      <c r="F19824" s="51">
        <f>VLOOKUP(A19824,'Componentes APUs'!$A$1:$D$14,4,0)</f>
        <v>37500</v>
      </c>
      <c r="G19824" s="51">
        <f>ROUNDUP(F19824*(E19824/21)/E19775,0)</f>
        <v>0</v>
      </c>
    </row>
    <row r="19825" spans="1:7" x14ac:dyDescent="0.25">
      <c r="A19825" s="50" t="s">
        <v>91</v>
      </c>
      <c r="B19825" s="72" t="str">
        <f>VLOOKUP(A19825,'Componentes APUs'!$A$1:$D$14,2,0)</f>
        <v>Equipo completo para trabajo en alturas con pretales (Arnes dielectrico, 1 mosqueton de seguridad, tie off dielectrico, eslinga de posicionamiento, juego de pretales)</v>
      </c>
      <c r="C19825" s="73"/>
      <c r="D19825" s="50" t="str">
        <f>VLOOKUP(A19825,'Componentes APUs'!$A$1:$D$14,3,0)</f>
        <v>U</v>
      </c>
      <c r="E19825" s="50">
        <f>IF(A19795="MO-3",C19795,0)</f>
        <v>0</v>
      </c>
      <c r="F19825" s="51">
        <f>VLOOKUP(A19825,'Componentes APUs'!$A$1:$D$14,4,0)</f>
        <v>26041.666666666668</v>
      </c>
      <c r="G19825" s="51">
        <f>ROUNDUP(F19825*(E19825/21)/E19775,0)</f>
        <v>0</v>
      </c>
    </row>
    <row r="19826" spans="1:7" x14ac:dyDescent="0.25">
      <c r="A19826" s="219" t="s">
        <v>95</v>
      </c>
      <c r="B19826" s="219"/>
      <c r="C19826" s="219"/>
      <c r="D19826" s="219"/>
      <c r="E19826" s="219"/>
      <c r="F19826" s="219"/>
      <c r="G19826" s="52">
        <f>SUM(G19813:G19825)</f>
        <v>2695</v>
      </c>
    </row>
    <row r="19827" spans="1:7" x14ac:dyDescent="0.25">
      <c r="A19827" s="56"/>
      <c r="B19827" s="57"/>
      <c r="C19827" s="57"/>
      <c r="D19827" s="57"/>
      <c r="E19827" s="57"/>
      <c r="F19827" s="57"/>
      <c r="G19827" s="58"/>
    </row>
    <row r="19828" spans="1:7" x14ac:dyDescent="0.25">
      <c r="A19828" s="219" t="s">
        <v>96</v>
      </c>
      <c r="B19828" s="219"/>
      <c r="C19828" s="219"/>
      <c r="D19828" s="219"/>
      <c r="E19828" s="219"/>
      <c r="F19828" s="219"/>
      <c r="G19828" s="219"/>
    </row>
    <row r="19829" spans="1:7" x14ac:dyDescent="0.25">
      <c r="A19829" s="49" t="s">
        <v>35</v>
      </c>
      <c r="B19829" s="225" t="s">
        <v>36</v>
      </c>
      <c r="C19829" s="225"/>
      <c r="D19829" s="49" t="s">
        <v>37</v>
      </c>
      <c r="E19829" s="49" t="s">
        <v>38</v>
      </c>
      <c r="F19829" s="49" t="s">
        <v>39</v>
      </c>
      <c r="G19829" s="49" t="s">
        <v>40</v>
      </c>
    </row>
    <row r="19830" spans="1:7" x14ac:dyDescent="0.25">
      <c r="A19830" s="69" t="s">
        <v>97</v>
      </c>
      <c r="B19830" s="72" t="str">
        <f>VLOOKUP(A19830,'Componentes APUs'!$N$1:$Q$30,2,0)</f>
        <v>Camioneta</v>
      </c>
      <c r="C19830" s="73"/>
      <c r="D19830" s="70" t="str">
        <f>VLOOKUP(A19830,'Componentes APUs'!$N$1:$Q$30,3,0)</f>
        <v>U</v>
      </c>
      <c r="E19830" s="50">
        <v>1</v>
      </c>
      <c r="F19830" s="51">
        <f>VLOOKUP(A19830,'Componentes APUs'!$N$1:$Q$30,4,0)</f>
        <v>5500000</v>
      </c>
      <c r="G19830" s="51">
        <f>IFERROR(ROUNDUP(F19830*(E19830/21)/E19775,0),0)</f>
        <v>104762</v>
      </c>
    </row>
    <row r="19831" spans="1:7" x14ac:dyDescent="0.25">
      <c r="A19831" s="50" t="s">
        <v>321</v>
      </c>
      <c r="B19831" s="72" t="str">
        <f>VLOOKUP(A19831,'Componentes APUs'!$N$1:$Q$30,2,0)</f>
        <v>Grúa Hidráulica</v>
      </c>
      <c r="C19831" s="73"/>
      <c r="D19831" s="70" t="str">
        <f>VLOOKUP(A19831,'Componentes APUs'!$N$1:$Q$30,3,0)</f>
        <v>U</v>
      </c>
      <c r="E19831" s="50">
        <v>0</v>
      </c>
      <c r="F19831" s="51">
        <f>VLOOKUP(A19831,'Componentes APUs'!$N$1:$Q$30,4,0)</f>
        <v>21000000</v>
      </c>
      <c r="G19831" s="51">
        <f>IFERROR(ROUNDUP(F19831*(E19831/21)/E19775,0),0)</f>
        <v>0</v>
      </c>
    </row>
    <row r="19832" spans="1:7" x14ac:dyDescent="0.25">
      <c r="A19832" s="69" t="s">
        <v>322</v>
      </c>
      <c r="B19832" s="72" t="str">
        <f>VLOOKUP(A19832,'Componentes APUs'!$N$1:$Q$30,2,0)</f>
        <v>Camabaja</v>
      </c>
      <c r="C19832" s="73"/>
      <c r="D19832" s="70" t="str">
        <f>VLOOKUP(A19832,'Componentes APUs'!$N$1:$Q$30,3,0)</f>
        <v>TON/KM</v>
      </c>
      <c r="E19832" s="50">
        <v>0</v>
      </c>
      <c r="F19832" s="51">
        <f>VLOOKUP(A19832,'Componentes APUs'!$N$1:$Q$30,4,0)</f>
        <v>611</v>
      </c>
      <c r="G19832" s="51">
        <f>IFERROR(ROUNDUP(F19832*(E19832/21)/E19775,0),0)</f>
        <v>0</v>
      </c>
    </row>
    <row r="19833" spans="1:7" x14ac:dyDescent="0.25">
      <c r="A19833" s="50" t="s">
        <v>323</v>
      </c>
      <c r="B19833" s="72" t="str">
        <f>VLOOKUP(A19833,'Componentes APUs'!$N$1:$Q$30,2,0)</f>
        <v>Volqueta</v>
      </c>
      <c r="C19833" s="73"/>
      <c r="D19833" s="70" t="str">
        <f>VLOOKUP(A19833,'Componentes APUs'!$N$1:$Q$30,3,0)</f>
        <v>U</v>
      </c>
      <c r="E19833" s="50">
        <v>0</v>
      </c>
      <c r="F19833" s="51">
        <f>VLOOKUP(A19833,'Componentes APUs'!$N$1:$Q$30,4,0)</f>
        <v>14828184</v>
      </c>
      <c r="G19833" s="51">
        <f>IFERROR(ROUNDUP(F19833*(E19833/21)/E19775,0),0)</f>
        <v>0</v>
      </c>
    </row>
    <row r="19834" spans="1:7" x14ac:dyDescent="0.25">
      <c r="A19834" s="69" t="s">
        <v>324</v>
      </c>
      <c r="B19834" s="72" t="str">
        <f>VLOOKUP(A19834,'Componentes APUs'!$N$1:$Q$30,2,0)</f>
        <v>Retroexcavadora</v>
      </c>
      <c r="C19834" s="73"/>
      <c r="D19834" s="70" t="str">
        <f>VLOOKUP(A19834,'Componentes APUs'!$N$1:$Q$30,3,0)</f>
        <v>U</v>
      </c>
      <c r="E19834" s="50">
        <v>0</v>
      </c>
      <c r="F19834" s="51">
        <f>VLOOKUP(A19834,'Componentes APUs'!$N$1:$Q$30,4,0)</f>
        <v>46030656</v>
      </c>
      <c r="G19834" s="51">
        <f>IFERROR(ROUNDUP(F19834*(E19834/21)/E19775,0),0)</f>
        <v>0</v>
      </c>
    </row>
    <row r="19835" spans="1:7" x14ac:dyDescent="0.25">
      <c r="A19835" s="219" t="s">
        <v>99</v>
      </c>
      <c r="B19835" s="219"/>
      <c r="C19835" s="219"/>
      <c r="D19835" s="219"/>
      <c r="E19835" s="219"/>
      <c r="F19835" s="219"/>
      <c r="G19835" s="52">
        <f>SUM(G19830:G19834)</f>
        <v>104762</v>
      </c>
    </row>
    <row r="19836" spans="1:7" x14ac:dyDescent="0.25">
      <c r="A19836" s="56"/>
      <c r="B19836" s="57"/>
      <c r="C19836" s="57"/>
      <c r="D19836" s="57"/>
      <c r="E19836" s="57"/>
      <c r="F19836" s="57"/>
      <c r="G19836" s="58"/>
    </row>
    <row r="19837" spans="1:7" x14ac:dyDescent="0.25">
      <c r="A19837" s="219" t="s">
        <v>1516</v>
      </c>
      <c r="B19837" s="219"/>
      <c r="C19837" s="219"/>
      <c r="D19837" s="219"/>
      <c r="E19837" s="219"/>
      <c r="F19837" s="219"/>
      <c r="G19837" s="52">
        <f>G19835+G19826+G19809+G19799+G19789</f>
        <v>632466</v>
      </c>
    </row>
    <row r="19838" spans="1:7" x14ac:dyDescent="0.25">
      <c r="A19838" s="59"/>
      <c r="B19838" s="60"/>
      <c r="C19838" s="60"/>
      <c r="D19838" s="60"/>
      <c r="E19838" s="57"/>
      <c r="F19838" s="57"/>
      <c r="G19838" s="58"/>
    </row>
    <row r="19839" spans="1:7" x14ac:dyDescent="0.25">
      <c r="A19839" s="64"/>
      <c r="D19839" s="55"/>
      <c r="E19839" s="49" t="s">
        <v>25</v>
      </c>
      <c r="F19839" s="54">
        <v>0.15</v>
      </c>
      <c r="G19839" s="51">
        <f>G19837*F19839</f>
        <v>94869.9</v>
      </c>
    </row>
    <row r="19840" spans="1:7" x14ac:dyDescent="0.25">
      <c r="A19840" s="64"/>
      <c r="D19840" s="55"/>
      <c r="E19840" s="49" t="s">
        <v>26</v>
      </c>
      <c r="F19840" s="54">
        <v>0.05</v>
      </c>
      <c r="G19840" s="51">
        <f>G19837*F19840</f>
        <v>31623.300000000003</v>
      </c>
    </row>
    <row r="19841" spans="1:8" x14ac:dyDescent="0.25">
      <c r="A19841" s="61"/>
      <c r="B19841" s="65"/>
      <c r="C19841" s="65"/>
      <c r="D19841" s="62"/>
      <c r="E19841" s="49" t="s">
        <v>27</v>
      </c>
      <c r="F19841" s="54">
        <v>0.05</v>
      </c>
      <c r="G19841" s="51">
        <f>G19837*F19841</f>
        <v>31623.300000000003</v>
      </c>
    </row>
    <row r="19842" spans="1:8" x14ac:dyDescent="0.25">
      <c r="A19842" s="61"/>
      <c r="B19842" s="62"/>
      <c r="C19842" s="62"/>
      <c r="D19842" s="62"/>
      <c r="E19842" s="62"/>
      <c r="F19842" s="62"/>
      <c r="G19842" s="63"/>
    </row>
    <row r="19843" spans="1:8" x14ac:dyDescent="0.25">
      <c r="A19843" s="219" t="s">
        <v>1517</v>
      </c>
      <c r="B19843" s="219"/>
      <c r="C19843" s="219"/>
      <c r="D19843" s="219"/>
      <c r="E19843" s="219"/>
      <c r="F19843" s="219"/>
      <c r="G19843" s="52">
        <f>G19837+G19839+G19840+G19841</f>
        <v>790582.50000000012</v>
      </c>
    </row>
    <row r="19844" spans="1:8" x14ac:dyDescent="0.25">
      <c r="A19844" s="59"/>
      <c r="B19844" s="60"/>
      <c r="C19844" s="60"/>
      <c r="D19844" s="60"/>
      <c r="E19844" s="57"/>
      <c r="F19844" s="57"/>
      <c r="G19844" s="58"/>
    </row>
    <row r="19845" spans="1:8" x14ac:dyDescent="0.25">
      <c r="A19845" s="64"/>
      <c r="D19845" s="55"/>
      <c r="E19845" s="49" t="s">
        <v>102</v>
      </c>
      <c r="F19845" s="49" t="s">
        <v>103</v>
      </c>
      <c r="G19845" s="51">
        <f>G19841*19%</f>
        <v>6008.4270000000006</v>
      </c>
    </row>
    <row r="19846" spans="1:8" x14ac:dyDescent="0.25">
      <c r="A19846" s="61"/>
      <c r="B19846" s="62"/>
      <c r="C19846" s="62"/>
      <c r="D19846" s="62"/>
      <c r="E19846" s="57"/>
      <c r="F19846" s="57"/>
      <c r="G19846" s="58"/>
    </row>
    <row r="19847" spans="1:8" x14ac:dyDescent="0.25">
      <c r="A19847" s="219" t="s">
        <v>104</v>
      </c>
      <c r="B19847" s="219"/>
      <c r="C19847" s="219"/>
      <c r="D19847" s="219"/>
      <c r="E19847" s="219"/>
      <c r="F19847" s="219"/>
      <c r="G19847" s="52">
        <f>G19845+G19843</f>
        <v>796590.92700000014</v>
      </c>
    </row>
    <row r="19849" spans="1:8" x14ac:dyDescent="0.25">
      <c r="A19849" s="74" t="s">
        <v>29</v>
      </c>
      <c r="B19849" s="237" t="s">
        <v>30</v>
      </c>
      <c r="C19849" s="238"/>
      <c r="D19849" s="74" t="s">
        <v>31</v>
      </c>
      <c r="E19849" s="74" t="s">
        <v>32</v>
      </c>
      <c r="F19849" s="74" t="s">
        <v>189</v>
      </c>
      <c r="G19849" s="74" t="s">
        <v>33</v>
      </c>
    </row>
    <row r="19850" spans="1:8" ht="39.75" customHeight="1" x14ac:dyDescent="0.25">
      <c r="A19850" s="50" t="str">
        <f>Presupuesto!B381</f>
        <v>050_AUX</v>
      </c>
      <c r="B19850" s="220" t="str">
        <f>Presupuesto!C381</f>
        <v>SUMINISTRO E INSTALACIÓN DE INTERRUPTOR 4 VIAS DOBLE EN TUBERIA EMT DE  3/4" CON CABLE Cu (1#14F+1#14N+1#14T) AWG + CAJA GALVANIZADA 2X4. (LINEA GENESIS) (Longitud Promedio 5m)</v>
      </c>
      <c r="C19850" s="239"/>
      <c r="D19850" s="50" t="s">
        <v>8</v>
      </c>
      <c r="E19850" s="50">
        <v>2</v>
      </c>
      <c r="F19850" s="50"/>
      <c r="G19850" s="51">
        <f>G19922</f>
        <v>1054215.3545000001</v>
      </c>
    </row>
    <row r="19851" spans="1:8" x14ac:dyDescent="0.25">
      <c r="A19851" s="219" t="s">
        <v>34</v>
      </c>
      <c r="B19851" s="219"/>
      <c r="C19851" s="219"/>
      <c r="D19851" s="219"/>
      <c r="E19851" s="219"/>
      <c r="F19851" s="219"/>
      <c r="G19851" s="219"/>
    </row>
    <row r="19852" spans="1:8" x14ac:dyDescent="0.25">
      <c r="A19852" s="49" t="s">
        <v>35</v>
      </c>
      <c r="B19852" s="234" t="s">
        <v>36</v>
      </c>
      <c r="C19852" s="235"/>
      <c r="D19852" s="49" t="s">
        <v>37</v>
      </c>
      <c r="E19852" s="49" t="s">
        <v>38</v>
      </c>
      <c r="F19852" s="49" t="s">
        <v>39</v>
      </c>
      <c r="G19852" s="49" t="s">
        <v>40</v>
      </c>
    </row>
    <row r="19853" spans="1:8" x14ac:dyDescent="0.25">
      <c r="A19853" s="17" t="str">
        <f>Material!A221</f>
        <v>MA-220</v>
      </c>
      <c r="B19853" s="72" t="str">
        <f>IFERROR(VLOOKUP(A19853,Material!$A:$H,2,0),"-")</f>
        <v>TUBO METALICO EMT CONDUIT GALVANIZADO DE 3/4"</v>
      </c>
      <c r="C19853" s="73"/>
      <c r="D19853" s="50" t="str">
        <f>IFERROR(VLOOKUP(A19853,Material!$A:$H,4,0),"-")</f>
        <v>ML</v>
      </c>
      <c r="E19853" s="50">
        <v>5</v>
      </c>
      <c r="F19853" s="51">
        <f>IFERROR(VLOOKUP(A19853,Material!$A:$H,3,0),"-")</f>
        <v>11830</v>
      </c>
      <c r="G19853" s="51">
        <f t="shared" ref="G19853:G19863" si="286">IFERROR(ROUNDUP(F19853*E19853,0),"-")</f>
        <v>59150</v>
      </c>
    </row>
    <row r="19854" spans="1:8" x14ac:dyDescent="0.25">
      <c r="A19854" s="17" t="str">
        <f>Material!A223</f>
        <v>MA-222</v>
      </c>
      <c r="B19854" s="72" t="str">
        <f>IFERROR(VLOOKUP(A19854,Material!$A:$H,2,0),"-")</f>
        <v xml:space="preserve">TERMINAL-CONECTOR EMT DE 3/4" </v>
      </c>
      <c r="C19854" s="76"/>
      <c r="D19854" s="50" t="str">
        <f>IFERROR(VLOOKUP(A19854,Material!$A:$H,4,0),"-")</f>
        <v>UN</v>
      </c>
      <c r="E19854" s="50">
        <v>2</v>
      </c>
      <c r="F19854" s="51">
        <f>IFERROR(VLOOKUP(A19854,Material!$A:$H,3,0),"-")</f>
        <v>1495</v>
      </c>
      <c r="G19854" s="51">
        <f t="shared" si="286"/>
        <v>2990</v>
      </c>
      <c r="H19854" s="1"/>
    </row>
    <row r="19855" spans="1:8" x14ac:dyDescent="0.25">
      <c r="A19855" s="17" t="str">
        <f>Material!A224</f>
        <v>MA-223</v>
      </c>
      <c r="B19855" s="72" t="str">
        <f>IFERROR(VLOOKUP(A19855,Material!$A:$H,2,0),"-")</f>
        <v>UNION EMT 3/4"</v>
      </c>
      <c r="C19855" s="76"/>
      <c r="D19855" s="50" t="str">
        <f>IFERROR(VLOOKUP(A19855,Material!$A:$H,4,0),"-")</f>
        <v>UN</v>
      </c>
      <c r="E19855" s="50">
        <v>3.67</v>
      </c>
      <c r="F19855" s="51">
        <f>IFERROR(VLOOKUP(A19855,Material!$A:$H,3,0),"-")</f>
        <v>1495</v>
      </c>
      <c r="G19855" s="51">
        <f t="shared" si="286"/>
        <v>5487</v>
      </c>
    </row>
    <row r="19856" spans="1:8" x14ac:dyDescent="0.25">
      <c r="A19856" s="17" t="str">
        <f>Material!A225</f>
        <v>MA-224</v>
      </c>
      <c r="B19856" s="72" t="str">
        <f>IFERROR(VLOOKUP(A19856,Material!$A:$H,2,0),"-")</f>
        <v>CURVA 90 GRADOS EMT DE 3/4"</v>
      </c>
      <c r="C19856" s="76"/>
      <c r="D19856" s="50" t="str">
        <f>IFERROR(VLOOKUP(A19856,Material!$A:$H,4,0),"-")</f>
        <v>UN</v>
      </c>
      <c r="E19856" s="50">
        <v>1</v>
      </c>
      <c r="F19856" s="51">
        <f>IFERROR(VLOOKUP(A19856,Material!$A:$H,3,0),"-")</f>
        <v>2340</v>
      </c>
      <c r="G19856" s="51">
        <f t="shared" si="286"/>
        <v>2340</v>
      </c>
    </row>
    <row r="19857" spans="1:7" x14ac:dyDescent="0.25">
      <c r="A19857" s="17" t="str">
        <f>Material!A226</f>
        <v>MA-225</v>
      </c>
      <c r="B19857" s="72" t="str">
        <f>IFERROR(VLOOKUP(A19857,Material!$A:$H,2,0),"-")</f>
        <v>ABRAZADERA GRAPA METALICA 3/4"</v>
      </c>
      <c r="C19857" s="76"/>
      <c r="D19857" s="50" t="str">
        <f>IFERROR(VLOOKUP(A19857,Material!$A:$H,4,0),"-")</f>
        <v>UN</v>
      </c>
      <c r="E19857" s="50">
        <v>3</v>
      </c>
      <c r="F19857" s="51">
        <f>IFERROR(VLOOKUP(A19857,Material!$A:$H,3,0),"-")</f>
        <v>325</v>
      </c>
      <c r="G19857" s="51">
        <f t="shared" si="286"/>
        <v>975</v>
      </c>
    </row>
    <row r="19858" spans="1:7" x14ac:dyDescent="0.25">
      <c r="A19858" s="17" t="str">
        <f>Material!A227</f>
        <v>MA-226</v>
      </c>
      <c r="B19858" s="72" t="str">
        <f>IFERROR(VLOOKUP(A19858,Material!$A:$H,2,0),"-")</f>
        <v>CABLE AISLADO NO 14 AWG COBRE THHN</v>
      </c>
      <c r="C19858" s="76"/>
      <c r="D19858" s="50" t="str">
        <f>IFERROR(VLOOKUP(A19858,Material!$A:$H,4,0),"-")</f>
        <v>ML</v>
      </c>
      <c r="E19858" s="50">
        <f>9*10</f>
        <v>90</v>
      </c>
      <c r="F19858" s="51">
        <f>IFERROR(VLOOKUP(A19858,Material!$A:$H,3,0),"-")</f>
        <v>2210</v>
      </c>
      <c r="G19858" s="51">
        <f t="shared" si="286"/>
        <v>198900</v>
      </c>
    </row>
    <row r="19859" spans="1:7" x14ac:dyDescent="0.25">
      <c r="A19859" s="17" t="str">
        <f>Material!A227</f>
        <v>MA-226</v>
      </c>
      <c r="B19859" s="72" t="str">
        <f>IFERROR(VLOOKUP(A19859,Material!$A:$H,2,0),"-")</f>
        <v>CABLE AISLADO NO 14 AWG COBRE THHN</v>
      </c>
      <c r="C19859" s="76"/>
      <c r="D19859" s="50" t="str">
        <f>IFERROR(VLOOKUP(A19859,Material!$A:$H,4,0),"-")</f>
        <v>ML</v>
      </c>
      <c r="E19859" s="50">
        <v>10</v>
      </c>
      <c r="F19859" s="51">
        <f>IFERROR(VLOOKUP(A19859,Material!$A:$H,3,0),"-")</f>
        <v>2210</v>
      </c>
      <c r="G19859" s="51">
        <f t="shared" si="286"/>
        <v>22100</v>
      </c>
    </row>
    <row r="19860" spans="1:7" x14ac:dyDescent="0.25">
      <c r="A19860" s="17" t="str">
        <f>Material!A385</f>
        <v>MA-384</v>
      </c>
      <c r="B19860" s="72" t="str">
        <f>IFERROR(VLOOKUP(A19860,Material!$A:$H,2,0),"-")</f>
        <v>INTERRUPTOR DOBLE 4 VÍAS</v>
      </c>
      <c r="C19860" s="76"/>
      <c r="D19860" s="50" t="str">
        <f>IFERROR(VLOOKUP(A19860,Material!$A:$H,4,0),"-")</f>
        <v>UN</v>
      </c>
      <c r="E19860" s="50">
        <v>1</v>
      </c>
      <c r="F19860" s="51">
        <f>IFERROR(VLOOKUP(A19860,Material!$A:$H,3,0),"-")</f>
        <v>55386.5</v>
      </c>
      <c r="G19860" s="51">
        <f t="shared" si="286"/>
        <v>55387</v>
      </c>
    </row>
    <row r="19861" spans="1:7" x14ac:dyDescent="0.25">
      <c r="A19861" s="17" t="str">
        <f>Material!A228</f>
        <v>MA-227</v>
      </c>
      <c r="B19861" s="72" t="str">
        <f>IFERROR(VLOOKUP(A19861,Material!$A:$H,2,0),"-")</f>
        <v>TERMINAL SOLDER AMARILLO 22-14 VCP</v>
      </c>
      <c r="C19861" s="76"/>
      <c r="D19861" s="50" t="str">
        <f>IFERROR(VLOOKUP(A19861,Material!$A:$H,4,0),"-")</f>
        <v>UN</v>
      </c>
      <c r="E19861" s="50">
        <v>3</v>
      </c>
      <c r="F19861" s="51">
        <f>IFERROR(VLOOKUP(A19861,Material!$A:$H,3,0),"-")</f>
        <v>299</v>
      </c>
      <c r="G19861" s="51">
        <f t="shared" si="286"/>
        <v>897</v>
      </c>
    </row>
    <row r="19862" spans="1:7" x14ac:dyDescent="0.25">
      <c r="A19862" s="17" t="str">
        <f>Material!A229</f>
        <v>MA-228</v>
      </c>
      <c r="B19862" s="72" t="str">
        <f>IFERROR(VLOOKUP(A19862,Material!$A:$H,2,0),"-")</f>
        <v>CINTA DE COLORES</v>
      </c>
      <c r="C19862" s="76"/>
      <c r="D19862" s="50" t="str">
        <f>IFERROR(VLOOKUP(A19862,Material!$A:$H,4,0),"-")</f>
        <v>ML</v>
      </c>
      <c r="E19862" s="50">
        <v>7.0000000000000007E-2</v>
      </c>
      <c r="F19862" s="51">
        <f>IFERROR(VLOOKUP(A19862,Material!$A:$H,3,0),"-")</f>
        <v>54.080000000000005</v>
      </c>
      <c r="G19862" s="51">
        <f t="shared" si="286"/>
        <v>4</v>
      </c>
    </row>
    <row r="19863" spans="1:7" x14ac:dyDescent="0.25">
      <c r="A19863" s="17" t="str">
        <f>Material!A222</f>
        <v>MA-221</v>
      </c>
      <c r="B19863" s="72" t="str">
        <f>IFERROR(VLOOKUP(A19863,Material!$A:$H,2,0),"-")</f>
        <v>CAJA FS 2X4  4 SALIDAS 3/4"</v>
      </c>
      <c r="C19863" s="76"/>
      <c r="D19863" s="50" t="str">
        <f>IFERROR(VLOOKUP(A19863,Material!$A:$H,4,0),"-")</f>
        <v>UN</v>
      </c>
      <c r="E19863" s="50">
        <v>1</v>
      </c>
      <c r="F19863" s="51">
        <f>IFERROR(VLOOKUP(A19863,Material!$A:$H,3,0),"-")</f>
        <v>16633.5</v>
      </c>
      <c r="G19863" s="51">
        <f t="shared" si="286"/>
        <v>16634</v>
      </c>
    </row>
    <row r="19864" spans="1:7" x14ac:dyDescent="0.25">
      <c r="A19864" s="234" t="s">
        <v>41</v>
      </c>
      <c r="B19864" s="236"/>
      <c r="C19864" s="236"/>
      <c r="D19864" s="236"/>
      <c r="E19864" s="236"/>
      <c r="F19864" s="235"/>
      <c r="G19864" s="52">
        <f>SUM(G19853:G19863)</f>
        <v>364864</v>
      </c>
    </row>
    <row r="19865" spans="1:7" x14ac:dyDescent="0.25">
      <c r="A19865" s="56"/>
      <c r="B19865" s="57"/>
      <c r="C19865" s="57"/>
      <c r="D19865" s="57"/>
      <c r="E19865" s="57"/>
      <c r="F19865" s="57"/>
      <c r="G19865" s="58"/>
    </row>
    <row r="19866" spans="1:7" x14ac:dyDescent="0.25">
      <c r="A19866" s="219" t="s">
        <v>42</v>
      </c>
      <c r="B19866" s="219"/>
      <c r="C19866" s="219"/>
      <c r="D19866" s="219"/>
      <c r="E19866" s="219"/>
      <c r="F19866" s="219"/>
      <c r="G19866" s="219"/>
    </row>
    <row r="19867" spans="1:7" x14ac:dyDescent="0.25">
      <c r="A19867" s="49" t="s">
        <v>35</v>
      </c>
      <c r="B19867" s="49" t="s">
        <v>36</v>
      </c>
      <c r="C19867" s="49" t="s">
        <v>38</v>
      </c>
      <c r="D19867" s="49" t="s">
        <v>43</v>
      </c>
      <c r="E19867" s="49" t="s">
        <v>44</v>
      </c>
      <c r="F19867" s="49" t="s">
        <v>45</v>
      </c>
      <c r="G19867" s="49" t="s">
        <v>40</v>
      </c>
    </row>
    <row r="19868" spans="1:7" x14ac:dyDescent="0.25">
      <c r="A19868" s="50" t="s">
        <v>319</v>
      </c>
      <c r="B19868" s="68" t="str">
        <f>VLOOKUP(A19868,'Componentes APUs'!$H$1:$L$25,2,0)</f>
        <v>Ingeniero Residente de Obra</v>
      </c>
      <c r="C19868" s="93">
        <v>0.25</v>
      </c>
      <c r="D19868" s="50">
        <f>VLOOKUP(A19868,'Componentes APUs'!$H$1:$L$25,3,0)</f>
        <v>4</v>
      </c>
      <c r="E19868" s="51">
        <f>VLOOKUP(A19868,'Componentes APUs'!$H$1:$L$25,4,0)</f>
        <v>271142.85714285716</v>
      </c>
      <c r="F19868" s="51">
        <f>VLOOKUP(A19868,'Componentes APUs'!$H$1:$L$25,5,0)</f>
        <v>162685.71428571429</v>
      </c>
      <c r="G19868" s="51">
        <f>ROUNDUP((E19868+F19868)*C19868/E19850,0)</f>
        <v>54229</v>
      </c>
    </row>
    <row r="19869" spans="1:7" x14ac:dyDescent="0.25">
      <c r="A19869" s="50" t="s">
        <v>320</v>
      </c>
      <c r="B19869" s="68" t="str">
        <f>VLOOKUP(A19869,'Componentes APUs'!$H$1:$L$25,2,0)</f>
        <v>Tecnico Supervisor</v>
      </c>
      <c r="C19869" s="93">
        <v>0.25</v>
      </c>
      <c r="D19869" s="50">
        <f>VLOOKUP(A19869,'Componentes APUs'!$H$1:$L$25,3,0)</f>
        <v>2.2999999999999998</v>
      </c>
      <c r="E19869" s="51">
        <f>VLOOKUP(A19869,'Componentes APUs'!$H$1:$L$25,4,0)</f>
        <v>155907.14285714284</v>
      </c>
      <c r="F19869" s="51">
        <f>VLOOKUP(A19869,'Componentes APUs'!$H$1:$L$25,5,0)</f>
        <v>93544.285714285696</v>
      </c>
      <c r="G19869" s="51">
        <f>ROUNDUP((E19869+F19869)*C19869/E19850,0)</f>
        <v>31182</v>
      </c>
    </row>
    <row r="19870" spans="1:7" x14ac:dyDescent="0.25">
      <c r="A19870" s="50" t="s">
        <v>1160</v>
      </c>
      <c r="B19870" s="68" t="str">
        <f>VLOOKUP(A19870,'Componentes APUs'!$H$1:$L$25,2,0)</f>
        <v>Oficial Eléctrico</v>
      </c>
      <c r="C19870" s="93">
        <v>1</v>
      </c>
      <c r="D19870" s="50">
        <f>VLOOKUP(A19870,'Componentes APUs'!$H$1:$L$25,3,0)</f>
        <v>2</v>
      </c>
      <c r="E19870" s="51">
        <f>VLOOKUP(A19870,'Componentes APUs'!$H$1:$L$25,4,0)</f>
        <v>154619.04761904763</v>
      </c>
      <c r="F19870" s="51">
        <f>VLOOKUP(A19870,'Componentes APUs'!$H$1:$L$25,5,0)</f>
        <v>92771.42857142858</v>
      </c>
      <c r="G19870" s="51">
        <f>ROUNDUP((E19870+F19870)*C19870/E19850,0)</f>
        <v>123696</v>
      </c>
    </row>
    <row r="19871" spans="1:7" x14ac:dyDescent="0.25">
      <c r="A19871" s="50" t="s">
        <v>48</v>
      </c>
      <c r="B19871" s="68" t="str">
        <f>VLOOKUP(A19871,'Componentes APUs'!$H$1:$L$25,2,0)</f>
        <v>Ayudante Calificado</v>
      </c>
      <c r="C19871" s="93">
        <v>1</v>
      </c>
      <c r="D19871" s="50">
        <f>VLOOKUP(A19871,'Componentes APUs'!$H$1:$L$25,3,0)</f>
        <v>1.5</v>
      </c>
      <c r="E19871" s="51">
        <f>VLOOKUP(A19871,'Componentes APUs'!$H$1:$L$25,4,0)</f>
        <v>115964.28571428571</v>
      </c>
      <c r="F19871" s="51">
        <f>VLOOKUP(A19871,'Componentes APUs'!$H$1:$L$25,5,0)</f>
        <v>69578.57142857142</v>
      </c>
      <c r="G19871" s="51">
        <f>ROUNDUP((E19871+F19871)*C19871/E19850,0)</f>
        <v>92772</v>
      </c>
    </row>
    <row r="19872" spans="1:7" x14ac:dyDescent="0.25">
      <c r="A19872" s="50" t="s">
        <v>50</v>
      </c>
      <c r="B19872" s="68" t="str">
        <f>VLOOKUP(A19872,'Componentes APUs'!$H$1:$L$25,2,0)</f>
        <v>Profesional en SST</v>
      </c>
      <c r="C19872" s="93">
        <v>0.25</v>
      </c>
      <c r="D19872" s="50">
        <f>VLOOKUP(A19872,'Componentes APUs'!$H$1:$L$25,3,0)</f>
        <v>2.5</v>
      </c>
      <c r="E19872" s="51">
        <f>VLOOKUP(A19872,'Componentes APUs'!$H$1:$L$25,4,0)</f>
        <v>169464.28571428571</v>
      </c>
      <c r="F19872" s="51">
        <f>VLOOKUP(A19872,'Componentes APUs'!$H$1:$L$25,5,0)</f>
        <v>101678.57142857142</v>
      </c>
      <c r="G19872" s="51">
        <f>ROUNDUP((E19872+F19872)*C19872/E19850,0)</f>
        <v>33893</v>
      </c>
    </row>
    <row r="19873" spans="1:7" x14ac:dyDescent="0.25">
      <c r="A19873" s="50" t="s">
        <v>52</v>
      </c>
      <c r="B19873" s="68" t="str">
        <f>VLOOKUP(A19873,'Componentes APUs'!$H$1:$L$25,2,0)</f>
        <v>Ayudante No Calificado</v>
      </c>
      <c r="C19873" s="93">
        <v>0</v>
      </c>
      <c r="D19873" s="50">
        <f>VLOOKUP(A19873,'Componentes APUs'!$H$1:$L$25,3,0)</f>
        <v>1</v>
      </c>
      <c r="E19873" s="51">
        <f>VLOOKUP(A19873,'Componentes APUs'!$H$1:$L$25,4,0)</f>
        <v>77309.523809523816</v>
      </c>
      <c r="F19873" s="51">
        <f>VLOOKUP(A19873,'Componentes APUs'!$H$1:$L$25,5,0)</f>
        <v>46385.71428571429</v>
      </c>
      <c r="G19873" s="51">
        <f>ROUNDUP((E19873+F19873)*C19873/E19850,0)</f>
        <v>0</v>
      </c>
    </row>
    <row r="19874" spans="1:7" x14ac:dyDescent="0.25">
      <c r="A19874" s="219" t="s">
        <v>56</v>
      </c>
      <c r="B19874" s="219"/>
      <c r="C19874" s="219"/>
      <c r="D19874" s="219"/>
      <c r="E19874" s="219"/>
      <c r="F19874" s="219"/>
      <c r="G19874" s="52">
        <f>SUM(G19868:G19873)</f>
        <v>335772</v>
      </c>
    </row>
    <row r="19875" spans="1:7" x14ac:dyDescent="0.25">
      <c r="A19875" s="56"/>
      <c r="B19875" s="57"/>
      <c r="C19875" s="57"/>
      <c r="D19875" s="57"/>
      <c r="E19875" s="57"/>
      <c r="F19875" s="57"/>
      <c r="G19875" s="58"/>
    </row>
    <row r="19876" spans="1:7" x14ac:dyDescent="0.25">
      <c r="A19876" s="219" t="s">
        <v>57</v>
      </c>
      <c r="B19876" s="219"/>
      <c r="C19876" s="219"/>
      <c r="D19876" s="219"/>
      <c r="E19876" s="219"/>
      <c r="F19876" s="219"/>
      <c r="G19876" s="219"/>
    </row>
    <row r="19877" spans="1:7" x14ac:dyDescent="0.25">
      <c r="A19877" s="49" t="s">
        <v>35</v>
      </c>
      <c r="B19877" s="219" t="s">
        <v>36</v>
      </c>
      <c r="C19877" s="219"/>
      <c r="D19877" s="49" t="s">
        <v>37</v>
      </c>
      <c r="E19877" s="49" t="s">
        <v>38</v>
      </c>
      <c r="F19877" s="49" t="s">
        <v>39</v>
      </c>
      <c r="G19877" s="49" t="s">
        <v>40</v>
      </c>
    </row>
    <row r="19878" spans="1:7" x14ac:dyDescent="0.25">
      <c r="A19878" s="50" t="s">
        <v>326</v>
      </c>
      <c r="B19878" s="220" t="str">
        <f>VLOOKUP(A19878,'Componentes APUs'!$S$1:$V$10,2,0)</f>
        <v>Juego Llaves</v>
      </c>
      <c r="C19878" s="220"/>
      <c r="D19878" s="50" t="s">
        <v>18</v>
      </c>
      <c r="E19878" s="50">
        <v>1</v>
      </c>
      <c r="F19878" s="51">
        <f>VLOOKUP(A19878,'Componentes APUs'!$S$1:$V$10,4,0)</f>
        <v>9167</v>
      </c>
      <c r="G19878" s="51">
        <f>ROUNDUP(F19878*((E19878/21)/E19850),0)</f>
        <v>219</v>
      </c>
    </row>
    <row r="19879" spans="1:7" x14ac:dyDescent="0.25">
      <c r="A19879" s="50" t="s">
        <v>58</v>
      </c>
      <c r="B19879" s="220" t="str">
        <f>VLOOKUP(A19879,'Componentes APUs'!$S$1:$V$10,2,0)</f>
        <v>Manila de servicio</v>
      </c>
      <c r="C19879" s="220"/>
      <c r="D19879" s="50" t="s">
        <v>18</v>
      </c>
      <c r="E19879" s="50">
        <v>0</v>
      </c>
      <c r="F19879" s="51">
        <f>VLOOKUP(A19879,'Componentes APUs'!$S$1:$V$10,4,0)</f>
        <v>2333</v>
      </c>
      <c r="G19879" s="51">
        <f>ROUNDUP(F19879*((E19879/21)/E19850),0)</f>
        <v>0</v>
      </c>
    </row>
    <row r="19880" spans="1:7" x14ac:dyDescent="0.25">
      <c r="A19880" s="50" t="s">
        <v>327</v>
      </c>
      <c r="B19880" s="220" t="str">
        <f>VLOOKUP(A19880,'Componentes APUs'!$S$1:$V$10,2,0)</f>
        <v>Tula portaherramientas</v>
      </c>
      <c r="C19880" s="220"/>
      <c r="D19880" s="50" t="s">
        <v>18</v>
      </c>
      <c r="E19880" s="50">
        <v>1</v>
      </c>
      <c r="F19880" s="51">
        <f>VLOOKUP(A19880,'Componentes APUs'!$S$1:$V$10,4,0)</f>
        <v>1250</v>
      </c>
      <c r="G19880" s="51">
        <f>ROUNDUP(F19880*((E19880/21)/E19850),0)</f>
        <v>30</v>
      </c>
    </row>
    <row r="19881" spans="1:7" x14ac:dyDescent="0.25">
      <c r="A19881" s="50" t="s">
        <v>60</v>
      </c>
      <c r="B19881" s="220" t="str">
        <f>VLOOKUP(A19881,'Componentes APUs'!$S$1:$V$10,2,0)</f>
        <v>Agarradoras</v>
      </c>
      <c r="C19881" s="220"/>
      <c r="D19881" s="50" t="s">
        <v>18</v>
      </c>
      <c r="E19881" s="50">
        <v>0</v>
      </c>
      <c r="F19881" s="51">
        <f>VLOOKUP(A19881,'Componentes APUs'!$S$1:$V$10,4,0)</f>
        <v>125000</v>
      </c>
      <c r="G19881" s="51">
        <f>ROUNDUP(F19881*((E19881/21)/E19850),0)</f>
        <v>0</v>
      </c>
    </row>
    <row r="19882" spans="1:7" x14ac:dyDescent="0.25">
      <c r="A19882" s="50" t="s">
        <v>62</v>
      </c>
      <c r="B19882" s="220" t="str">
        <f>VLOOKUP(A19882,'Componentes APUs'!$S$1:$V$10,2,0)</f>
        <v>Templadoras</v>
      </c>
      <c r="C19882" s="220"/>
      <c r="D19882" s="50" t="s">
        <v>18</v>
      </c>
      <c r="E19882" s="50">
        <v>0</v>
      </c>
      <c r="F19882" s="51">
        <f>VLOOKUP(A19882,'Componentes APUs'!$S$1:$V$10,4,0)</f>
        <v>250000</v>
      </c>
      <c r="G19882" s="51">
        <f>ROUNDUP(F19882*((E19882/21)/E19850),0)</f>
        <v>0</v>
      </c>
    </row>
    <row r="19883" spans="1:7" x14ac:dyDescent="0.25">
      <c r="A19883" s="50" t="s">
        <v>328</v>
      </c>
      <c r="B19883" s="220" t="str">
        <f>VLOOKUP(A19883,'Componentes APUs'!$S$1:$V$10,2,0)</f>
        <v>Herramienta Menor</v>
      </c>
      <c r="C19883" s="220"/>
      <c r="D19883" s="50" t="s">
        <v>18</v>
      </c>
      <c r="E19883" s="50">
        <v>1</v>
      </c>
      <c r="F19883" s="51">
        <f>VLOOKUP(A19883,'Componentes APUs'!$S$1:$V$10,4,0)</f>
        <v>75758</v>
      </c>
      <c r="G19883" s="51">
        <f>ROUNDUP(F19883*((E19883/21)/E19850),0)</f>
        <v>1804</v>
      </c>
    </row>
    <row r="19884" spans="1:7" x14ac:dyDescent="0.25">
      <c r="A19884" s="219" t="s">
        <v>69</v>
      </c>
      <c r="B19884" s="219"/>
      <c r="C19884" s="219"/>
      <c r="D19884" s="219"/>
      <c r="E19884" s="219"/>
      <c r="F19884" s="219"/>
      <c r="G19884" s="52">
        <f>SUM(G19878:G19883)</f>
        <v>2053</v>
      </c>
    </row>
    <row r="19885" spans="1:7" x14ac:dyDescent="0.25">
      <c r="A19885" s="56"/>
      <c r="B19885" s="57"/>
      <c r="C19885" s="57"/>
      <c r="D19885" s="57"/>
      <c r="E19885" s="57"/>
      <c r="F19885" s="57"/>
      <c r="G19885" s="58"/>
    </row>
    <row r="19886" spans="1:7" x14ac:dyDescent="0.25">
      <c r="A19886" s="219" t="s">
        <v>70</v>
      </c>
      <c r="B19886" s="219"/>
      <c r="C19886" s="219"/>
      <c r="D19886" s="219"/>
      <c r="E19886" s="219"/>
      <c r="F19886" s="219"/>
      <c r="G19886" s="219"/>
    </row>
    <row r="19887" spans="1:7" x14ac:dyDescent="0.25">
      <c r="A19887" s="49" t="s">
        <v>35</v>
      </c>
      <c r="B19887" s="219" t="s">
        <v>36</v>
      </c>
      <c r="C19887" s="219"/>
      <c r="D19887" s="49" t="s">
        <v>37</v>
      </c>
      <c r="E19887" s="49" t="s">
        <v>38</v>
      </c>
      <c r="F19887" s="49" t="s">
        <v>39</v>
      </c>
      <c r="G19887" s="49" t="s">
        <v>40</v>
      </c>
    </row>
    <row r="19888" spans="1:7" x14ac:dyDescent="0.25">
      <c r="A19888" s="50" t="s">
        <v>71</v>
      </c>
      <c r="B19888" s="71" t="str">
        <f>VLOOKUP(A19888,'Componentes APUs'!$A$1:$D$14,2,0)</f>
        <v>Camisa indigo sin partes metalicas</v>
      </c>
      <c r="C19888" s="71"/>
      <c r="D19888" s="50" t="str">
        <f>VLOOKUP(A19888,'Componentes APUs'!$A$1:$D$14,3,0)</f>
        <v>U</v>
      </c>
      <c r="E19888" s="50">
        <f>SUM(C19868:C19873)</f>
        <v>2.75</v>
      </c>
      <c r="F19888" s="51">
        <f>VLOOKUP(A19888,'Componentes APUs'!$A$1:$D$14,4,0)</f>
        <v>8585.8585858585866</v>
      </c>
      <c r="G19888" s="51">
        <f>ROUNDUP(F19888*(E19888/21)/E19850,0)</f>
        <v>563</v>
      </c>
    </row>
    <row r="19889" spans="1:7" x14ac:dyDescent="0.25">
      <c r="A19889" s="69" t="s">
        <v>73</v>
      </c>
      <c r="B19889" s="72" t="str">
        <f>VLOOKUP(A19889,'Componentes APUs'!$A$1:$D$14,2,0)</f>
        <v>Bota de seguridad dielectrica</v>
      </c>
      <c r="C19889" s="73"/>
      <c r="D19889" s="70" t="str">
        <f>VLOOKUP(A19889,'Componentes APUs'!$A$1:$D$14,3,0)</f>
        <v>Par</v>
      </c>
      <c r="E19889" s="50">
        <f>SUM(C19868:C19873)</f>
        <v>2.75</v>
      </c>
      <c r="F19889" s="51">
        <f>VLOOKUP(A19889,'Componentes APUs'!$A$1:$D$14,4,0)</f>
        <v>7500</v>
      </c>
      <c r="G19889" s="51">
        <f>ROUNDUP(F19889*(E19889/21)/E19850,0)</f>
        <v>492</v>
      </c>
    </row>
    <row r="19890" spans="1:7" x14ac:dyDescent="0.25">
      <c r="A19890" s="50" t="s">
        <v>76</v>
      </c>
      <c r="B19890" s="72" t="str">
        <f>VLOOKUP(A19890,'Componentes APUs'!$A$1:$D$14,2,0)</f>
        <v>Casco dielectrico Tipo 1 Clase E con barbuquejo</v>
      </c>
      <c r="C19890" s="73"/>
      <c r="D19890" s="50" t="str">
        <f>VLOOKUP(A19890,'Componentes APUs'!$A$1:$D$14,3,0)</f>
        <v>U</v>
      </c>
      <c r="E19890" s="50">
        <f>C19873+C19868+C19871+C19872+C19869+IF(A19870&lt;&gt;"MO-3",C19870,0)</f>
        <v>2.75</v>
      </c>
      <c r="F19890" s="51">
        <f>VLOOKUP(A19890,'Componentes APUs'!$A$1:$D$14,4,0)</f>
        <v>10101.010101010101</v>
      </c>
      <c r="G19890" s="51">
        <f>ROUNDUP(F19890*(E19890/21)/E19850,0)</f>
        <v>662</v>
      </c>
    </row>
    <row r="19891" spans="1:7" x14ac:dyDescent="0.25">
      <c r="A19891" s="69" t="s">
        <v>77</v>
      </c>
      <c r="B19891" s="72" t="str">
        <f>VLOOKUP(A19891,'Componentes APUs'!$A$1:$D$14,2,0)</f>
        <v>Correa plastica y antiflama</v>
      </c>
      <c r="C19891" s="73"/>
      <c r="D19891" s="50" t="str">
        <f>VLOOKUP(A19891,'Componentes APUs'!$A$1:$D$14,3,0)</f>
        <v>U</v>
      </c>
      <c r="E19891" s="50">
        <f>SUM(C19868:C19873)</f>
        <v>2.75</v>
      </c>
      <c r="F19891" s="51">
        <f>VLOOKUP(A19891,'Componentes APUs'!$A$1:$D$14,4,0)</f>
        <v>3787.878787878788</v>
      </c>
      <c r="G19891" s="51">
        <f>ROUNDUP(F19891*(E19891/21)/E19850,0)</f>
        <v>249</v>
      </c>
    </row>
    <row r="19892" spans="1:7" x14ac:dyDescent="0.25">
      <c r="A19892" s="50" t="s">
        <v>79</v>
      </c>
      <c r="B19892" s="72" t="str">
        <f>VLOOKUP(A19892,'Componentes APUs'!$A$1:$D$14,2,0)</f>
        <v>Gafas protectoras filtro UV</v>
      </c>
      <c r="C19892" s="73"/>
      <c r="D19892" s="50" t="str">
        <f>VLOOKUP(A19892,'Componentes APUs'!$A$1:$D$14,3,0)</f>
        <v>U</v>
      </c>
      <c r="E19892" s="50">
        <f>SUM(C19868:C19873)</f>
        <v>2.75</v>
      </c>
      <c r="F19892" s="51">
        <f>VLOOKUP(A19892,'Componentes APUs'!$A$1:$D$14,4,0)</f>
        <v>2777.7777777777778</v>
      </c>
      <c r="G19892" s="51">
        <f>ROUNDUP(F19892*(E19892/21)/E19850,0)</f>
        <v>182</v>
      </c>
    </row>
    <row r="19893" spans="1:7" x14ac:dyDescent="0.25">
      <c r="A19893" s="69" t="s">
        <v>402</v>
      </c>
      <c r="B19893" s="72" t="str">
        <f>VLOOKUP(A19893,'Componentes APUs'!$A$1:$D$14,2,0)</f>
        <v>Bota de seguridad PVC dielectrica</v>
      </c>
      <c r="C19893" s="73"/>
      <c r="D19893" s="50" t="str">
        <f>VLOOKUP(A19893,'Componentes APUs'!$A$1:$D$14,3,0)</f>
        <v>Par</v>
      </c>
      <c r="E19893" s="50">
        <f>SUM(C19868:C19873)</f>
        <v>2.75</v>
      </c>
      <c r="F19893" s="51">
        <f>VLOOKUP(A19893,'Componentes APUs'!$A$1:$D$14,4,0)</f>
        <v>2916.6666666666665</v>
      </c>
      <c r="G19893" s="51">
        <f>ROUNDUP(F19893*(E19893/21)/E19850,0)</f>
        <v>191</v>
      </c>
    </row>
    <row r="19894" spans="1:7" x14ac:dyDescent="0.25">
      <c r="A19894" s="50" t="s">
        <v>403</v>
      </c>
      <c r="B19894" s="72" t="str">
        <f>VLOOKUP(A19894,'Componentes APUs'!$A$1:$D$14,2,0)</f>
        <v>Capuchon</v>
      </c>
      <c r="C19894" s="73"/>
      <c r="D19894" s="50" t="str">
        <f>VLOOKUP(A19894,'Componentes APUs'!$A$1:$D$14,3,0)</f>
        <v>U</v>
      </c>
      <c r="E19894" s="50">
        <f>SUM(C19868:C19873)</f>
        <v>2.75</v>
      </c>
      <c r="F19894" s="51">
        <f>VLOOKUP(A19894,'Componentes APUs'!$A$1:$D$14,4,0)</f>
        <v>2525.2525252525252</v>
      </c>
      <c r="G19894" s="51">
        <f>ROUNDUP(F19894*(E19894/21)/E19850,0)</f>
        <v>166</v>
      </c>
    </row>
    <row r="19895" spans="1:7" x14ac:dyDescent="0.25">
      <c r="A19895" s="69" t="s">
        <v>81</v>
      </c>
      <c r="B19895" s="72" t="str">
        <f>VLOOKUP(A19895,'Componentes APUs'!$A$1:$D$14,2,0)</f>
        <v>Guantes Protectores  - ingeniero reforzados</v>
      </c>
      <c r="C19895" s="73"/>
      <c r="D19895" s="50" t="str">
        <f>VLOOKUP(A19895,'Componentes APUs'!$A$1:$D$14,3,0)</f>
        <v>Par</v>
      </c>
      <c r="E19895" s="50">
        <f>C19870+C19871+C19873</f>
        <v>2</v>
      </c>
      <c r="F19895" s="51">
        <f>VLOOKUP(A19895,'Componentes APUs'!$A$1:$D$14,4,0)</f>
        <v>2525.2525252525252</v>
      </c>
      <c r="G19895" s="51">
        <f>ROUNDUP(F19895*(E19895/21)/E19850,0)</f>
        <v>121</v>
      </c>
    </row>
    <row r="19896" spans="1:7" x14ac:dyDescent="0.25">
      <c r="A19896" s="50" t="s">
        <v>83</v>
      </c>
      <c r="B19896" s="72" t="str">
        <f>VLOOKUP(A19896,'Componentes APUs'!$A$1:$D$14,2,0)</f>
        <v>Impermeable (pantalon camisa)</v>
      </c>
      <c r="C19896" s="73"/>
      <c r="D19896" s="50" t="str">
        <f>VLOOKUP(A19896,'Componentes APUs'!$A$1:$D$14,3,0)</f>
        <v>U</v>
      </c>
      <c r="E19896" s="50">
        <f>SUM(C19868:C19873)</f>
        <v>2.75</v>
      </c>
      <c r="F19896" s="51">
        <f>VLOOKUP(A19896,'Componentes APUs'!$A$1:$D$14,4,0)</f>
        <v>3750</v>
      </c>
      <c r="G19896" s="51">
        <f>ROUNDUP(F19896*(E19896/21)/E19850,0)</f>
        <v>246</v>
      </c>
    </row>
    <row r="19897" spans="1:7" x14ac:dyDescent="0.25">
      <c r="A19897" s="69" t="s">
        <v>85</v>
      </c>
      <c r="B19897" s="72" t="str">
        <f>VLOOKUP(A19897,'Componentes APUs'!$A$1:$D$14,2,0)</f>
        <v>Jean Dielectrico</v>
      </c>
      <c r="C19897" s="73"/>
      <c r="D19897" s="50" t="str">
        <f>VLOOKUP(A19897,'Componentes APUs'!$A$1:$D$14,3,0)</f>
        <v>U</v>
      </c>
      <c r="E19897" s="50">
        <f>SUM(C19868:C19873)</f>
        <v>2.75</v>
      </c>
      <c r="F19897" s="51">
        <f>VLOOKUP(A19897,'Componentes APUs'!$A$1:$D$14,4,0)</f>
        <v>7575.757575757576</v>
      </c>
      <c r="G19897" s="51">
        <f>ROUNDUP(F19897*(E19897/21)/E19850,0)</f>
        <v>497</v>
      </c>
    </row>
    <row r="19898" spans="1:7" x14ac:dyDescent="0.25">
      <c r="A19898" s="50" t="s">
        <v>87</v>
      </c>
      <c r="B19898" s="72" t="str">
        <f>VLOOKUP(A19898,'Componentes APUs'!$A$1:$D$14,2,0)</f>
        <v>Casco dielectrico Tipo 2 Clase E con barboquejo</v>
      </c>
      <c r="C19898" s="73"/>
      <c r="D19898" s="50" t="str">
        <f>VLOOKUP(A19898,'Componentes APUs'!$A$1:$D$14,3,0)</f>
        <v>U</v>
      </c>
      <c r="E19898" s="53">
        <f>IF(A19870="MO-3",C19870,0)</f>
        <v>0</v>
      </c>
      <c r="F19898" s="51">
        <f>VLOOKUP(A19898,'Componentes APUs'!$A$1:$D$14,4,0)</f>
        <v>7500</v>
      </c>
      <c r="G19898" s="51">
        <f>ROUNDUP(F19898*(E19898/21)/E19850,0)</f>
        <v>0</v>
      </c>
    </row>
    <row r="19899" spans="1:7" x14ac:dyDescent="0.25">
      <c r="A19899" s="69" t="s">
        <v>89</v>
      </c>
      <c r="B19899" s="72" t="str">
        <f>VLOOKUP(A19899,'Componentes APUs'!$A$1:$D$14,2,0)</f>
        <v>Kit de rescate para trabajo en alturas</v>
      </c>
      <c r="C19899" s="73"/>
      <c r="D19899" s="50" t="str">
        <f>VLOOKUP(A19899,'Componentes APUs'!$A$1:$D$14,3,0)</f>
        <v>U</v>
      </c>
      <c r="E19899" s="50">
        <f>IF(AND(A19870="MO-3",C19870=2),1,0)</f>
        <v>0</v>
      </c>
      <c r="F19899" s="51">
        <f>VLOOKUP(A19899,'Componentes APUs'!$A$1:$D$14,4,0)</f>
        <v>37500</v>
      </c>
      <c r="G19899" s="51">
        <f>ROUNDUP(F19899*(E19899/21)/E19850,0)</f>
        <v>0</v>
      </c>
    </row>
    <row r="19900" spans="1:7" x14ac:dyDescent="0.25">
      <c r="A19900" s="50" t="s">
        <v>91</v>
      </c>
      <c r="B19900" s="72" t="str">
        <f>VLOOKUP(A19900,'Componentes APUs'!$A$1:$D$14,2,0)</f>
        <v>Equipo completo para trabajo en alturas con pretales (Arnes dielectrico, 1 mosqueton de seguridad, tie off dielectrico, eslinga de posicionamiento, juego de pretales)</v>
      </c>
      <c r="C19900" s="73"/>
      <c r="D19900" s="50" t="str">
        <f>VLOOKUP(A19900,'Componentes APUs'!$A$1:$D$14,3,0)</f>
        <v>U</v>
      </c>
      <c r="E19900" s="50">
        <f>IF(A19870="MO-3",C19870,0)</f>
        <v>0</v>
      </c>
      <c r="F19900" s="51">
        <f>VLOOKUP(A19900,'Componentes APUs'!$A$1:$D$14,4,0)</f>
        <v>26041.666666666668</v>
      </c>
      <c r="G19900" s="51">
        <f>ROUNDUP(F19900*(E19900/21)/E19850,0)</f>
        <v>0</v>
      </c>
    </row>
    <row r="19901" spans="1:7" x14ac:dyDescent="0.25">
      <c r="A19901" s="219" t="s">
        <v>95</v>
      </c>
      <c r="B19901" s="219"/>
      <c r="C19901" s="219"/>
      <c r="D19901" s="219"/>
      <c r="E19901" s="219"/>
      <c r="F19901" s="219"/>
      <c r="G19901" s="52">
        <f>SUM(G19888:G19900)</f>
        <v>3369</v>
      </c>
    </row>
    <row r="19902" spans="1:7" x14ac:dyDescent="0.25">
      <c r="A19902" s="56"/>
      <c r="B19902" s="57"/>
      <c r="C19902" s="57"/>
      <c r="D19902" s="57"/>
      <c r="E19902" s="57"/>
      <c r="F19902" s="57"/>
      <c r="G19902" s="58"/>
    </row>
    <row r="19903" spans="1:7" x14ac:dyDescent="0.25">
      <c r="A19903" s="219" t="s">
        <v>96</v>
      </c>
      <c r="B19903" s="219"/>
      <c r="C19903" s="219"/>
      <c r="D19903" s="219"/>
      <c r="E19903" s="219"/>
      <c r="F19903" s="219"/>
      <c r="G19903" s="219"/>
    </row>
    <row r="19904" spans="1:7" x14ac:dyDescent="0.25">
      <c r="A19904" s="49" t="s">
        <v>35</v>
      </c>
      <c r="B19904" s="225" t="s">
        <v>36</v>
      </c>
      <c r="C19904" s="225"/>
      <c r="D19904" s="49" t="s">
        <v>37</v>
      </c>
      <c r="E19904" s="49" t="s">
        <v>38</v>
      </c>
      <c r="F19904" s="49" t="s">
        <v>39</v>
      </c>
      <c r="G19904" s="49" t="s">
        <v>40</v>
      </c>
    </row>
    <row r="19905" spans="1:7" x14ac:dyDescent="0.25">
      <c r="A19905" s="69" t="s">
        <v>97</v>
      </c>
      <c r="B19905" s="72" t="str">
        <f>VLOOKUP(A19905,'Componentes APUs'!$N$1:$Q$30,2,0)</f>
        <v>Camioneta</v>
      </c>
      <c r="C19905" s="73"/>
      <c r="D19905" s="70" t="str">
        <f>VLOOKUP(A19905,'Componentes APUs'!$N$1:$Q$30,3,0)</f>
        <v>U</v>
      </c>
      <c r="E19905" s="50">
        <v>1</v>
      </c>
      <c r="F19905" s="51">
        <f>VLOOKUP(A19905,'Componentes APUs'!$N$1:$Q$30,4,0)</f>
        <v>5500000</v>
      </c>
      <c r="G19905" s="51">
        <f>IFERROR(ROUNDUP(F19905*(E19905/21)/E19850,0),0)</f>
        <v>130953</v>
      </c>
    </row>
    <row r="19906" spans="1:7" x14ac:dyDescent="0.25">
      <c r="A19906" s="50" t="s">
        <v>321</v>
      </c>
      <c r="B19906" s="72" t="str">
        <f>VLOOKUP(A19906,'Componentes APUs'!$N$1:$Q$30,2,0)</f>
        <v>Grúa Hidráulica</v>
      </c>
      <c r="C19906" s="73"/>
      <c r="D19906" s="70" t="str">
        <f>VLOOKUP(A19906,'Componentes APUs'!$N$1:$Q$30,3,0)</f>
        <v>U</v>
      </c>
      <c r="E19906" s="50">
        <v>0</v>
      </c>
      <c r="F19906" s="51">
        <f>VLOOKUP(A19906,'Componentes APUs'!$N$1:$Q$30,4,0)</f>
        <v>21000000</v>
      </c>
      <c r="G19906" s="51">
        <f>IFERROR(ROUNDUP(F19906*(E19906/21)/E19850,0),0)</f>
        <v>0</v>
      </c>
    </row>
    <row r="19907" spans="1:7" x14ac:dyDescent="0.25">
      <c r="A19907" s="69" t="s">
        <v>322</v>
      </c>
      <c r="B19907" s="72" t="str">
        <f>VLOOKUP(A19907,'Componentes APUs'!$N$1:$Q$30,2,0)</f>
        <v>Camabaja</v>
      </c>
      <c r="C19907" s="73"/>
      <c r="D19907" s="70" t="str">
        <f>VLOOKUP(A19907,'Componentes APUs'!$N$1:$Q$30,3,0)</f>
        <v>TON/KM</v>
      </c>
      <c r="E19907" s="50">
        <v>0</v>
      </c>
      <c r="F19907" s="51">
        <f>VLOOKUP(A19907,'Componentes APUs'!$N$1:$Q$30,4,0)</f>
        <v>611</v>
      </c>
      <c r="G19907" s="51">
        <f>IFERROR(ROUNDUP(F19907*(E19907/21)/E19850,0),0)</f>
        <v>0</v>
      </c>
    </row>
    <row r="19908" spans="1:7" x14ac:dyDescent="0.25">
      <c r="A19908" s="50" t="s">
        <v>323</v>
      </c>
      <c r="B19908" s="72" t="str">
        <f>VLOOKUP(A19908,'Componentes APUs'!$N$1:$Q$30,2,0)</f>
        <v>Volqueta</v>
      </c>
      <c r="C19908" s="73"/>
      <c r="D19908" s="70" t="str">
        <f>VLOOKUP(A19908,'Componentes APUs'!$N$1:$Q$30,3,0)</f>
        <v>U</v>
      </c>
      <c r="E19908" s="50">
        <v>0</v>
      </c>
      <c r="F19908" s="51">
        <f>VLOOKUP(A19908,'Componentes APUs'!$N$1:$Q$30,4,0)</f>
        <v>14828184</v>
      </c>
      <c r="G19908" s="51">
        <f>IFERROR(ROUNDUP(F19908*(E19908/21)/E19850,0),0)</f>
        <v>0</v>
      </c>
    </row>
    <row r="19909" spans="1:7" x14ac:dyDescent="0.25">
      <c r="A19909" s="69" t="s">
        <v>324</v>
      </c>
      <c r="B19909" s="72" t="str">
        <f>VLOOKUP(A19909,'Componentes APUs'!$N$1:$Q$30,2,0)</f>
        <v>Retroexcavadora</v>
      </c>
      <c r="C19909" s="73"/>
      <c r="D19909" s="70" t="str">
        <f>VLOOKUP(A19909,'Componentes APUs'!$N$1:$Q$30,3,0)</f>
        <v>U</v>
      </c>
      <c r="E19909" s="50">
        <v>0</v>
      </c>
      <c r="F19909" s="51">
        <f>VLOOKUP(A19909,'Componentes APUs'!$N$1:$Q$30,4,0)</f>
        <v>46030656</v>
      </c>
      <c r="G19909" s="51">
        <f>IFERROR(ROUNDUP(F19909*(E19909/21)/E19850,0),0)</f>
        <v>0</v>
      </c>
    </row>
    <row r="19910" spans="1:7" x14ac:dyDescent="0.25">
      <c r="A19910" s="219" t="s">
        <v>99</v>
      </c>
      <c r="B19910" s="219"/>
      <c r="C19910" s="219"/>
      <c r="D19910" s="219"/>
      <c r="E19910" s="219"/>
      <c r="F19910" s="219"/>
      <c r="G19910" s="52">
        <f>SUM(G19905:G19909)</f>
        <v>130953</v>
      </c>
    </row>
    <row r="19911" spans="1:7" x14ac:dyDescent="0.25">
      <c r="A19911" s="56"/>
      <c r="B19911" s="57"/>
      <c r="C19911" s="57"/>
      <c r="D19911" s="57"/>
      <c r="E19911" s="57"/>
      <c r="F19911" s="57"/>
      <c r="G19911" s="58"/>
    </row>
    <row r="19912" spans="1:7" x14ac:dyDescent="0.25">
      <c r="A19912" s="219" t="s">
        <v>1516</v>
      </c>
      <c r="B19912" s="219"/>
      <c r="C19912" s="219"/>
      <c r="D19912" s="219"/>
      <c r="E19912" s="219"/>
      <c r="F19912" s="219"/>
      <c r="G19912" s="52">
        <f>G19910+G19901+G19884+G19874+G19864</f>
        <v>837011</v>
      </c>
    </row>
    <row r="19913" spans="1:7" x14ac:dyDescent="0.25">
      <c r="A19913" s="59"/>
      <c r="B19913" s="60"/>
      <c r="C19913" s="60"/>
      <c r="D19913" s="60"/>
      <c r="E19913" s="57"/>
      <c r="F19913" s="57"/>
      <c r="G19913" s="58"/>
    </row>
    <row r="19914" spans="1:7" x14ac:dyDescent="0.25">
      <c r="A19914" s="64"/>
      <c r="D19914" s="55"/>
      <c r="E19914" s="49" t="s">
        <v>25</v>
      </c>
      <c r="F19914" s="54">
        <v>0.15</v>
      </c>
      <c r="G19914" s="51">
        <f>G19912*F19914</f>
        <v>125551.65</v>
      </c>
    </row>
    <row r="19915" spans="1:7" x14ac:dyDescent="0.25">
      <c r="A19915" s="64"/>
      <c r="D19915" s="55"/>
      <c r="E19915" s="49" t="s">
        <v>26</v>
      </c>
      <c r="F19915" s="54">
        <v>0.05</v>
      </c>
      <c r="G19915" s="51">
        <f>G19912*F19915</f>
        <v>41850.550000000003</v>
      </c>
    </row>
    <row r="19916" spans="1:7" x14ac:dyDescent="0.25">
      <c r="A19916" s="61"/>
      <c r="B19916" s="65"/>
      <c r="C19916" s="65"/>
      <c r="D19916" s="62"/>
      <c r="E19916" s="49" t="s">
        <v>27</v>
      </c>
      <c r="F19916" s="54">
        <v>0.05</v>
      </c>
      <c r="G19916" s="51">
        <f>G19912*F19916</f>
        <v>41850.550000000003</v>
      </c>
    </row>
    <row r="19917" spans="1:7" x14ac:dyDescent="0.25">
      <c r="A19917" s="61"/>
      <c r="B19917" s="62"/>
      <c r="C19917" s="62"/>
      <c r="D19917" s="62"/>
      <c r="E19917" s="62"/>
      <c r="F19917" s="62"/>
      <c r="G19917" s="63"/>
    </row>
    <row r="19918" spans="1:7" x14ac:dyDescent="0.25">
      <c r="A19918" s="219" t="s">
        <v>1517</v>
      </c>
      <c r="B19918" s="219"/>
      <c r="C19918" s="219"/>
      <c r="D19918" s="219"/>
      <c r="E19918" s="219"/>
      <c r="F19918" s="219"/>
      <c r="G19918" s="52">
        <f>G19912+G19914+G19915+G19916</f>
        <v>1046263.7500000001</v>
      </c>
    </row>
    <row r="19919" spans="1:7" x14ac:dyDescent="0.25">
      <c r="A19919" s="59"/>
      <c r="B19919" s="60"/>
      <c r="C19919" s="60"/>
      <c r="D19919" s="60"/>
      <c r="E19919" s="57"/>
      <c r="F19919" s="57"/>
      <c r="G19919" s="58"/>
    </row>
    <row r="19920" spans="1:7" x14ac:dyDescent="0.25">
      <c r="A19920" s="64"/>
      <c r="D19920" s="55"/>
      <c r="E19920" s="49" t="s">
        <v>102</v>
      </c>
      <c r="F19920" s="49" t="s">
        <v>103</v>
      </c>
      <c r="G19920" s="51">
        <f>G19916*19%</f>
        <v>7951.6045000000004</v>
      </c>
    </row>
    <row r="19921" spans="1:8" x14ac:dyDescent="0.25">
      <c r="A19921" s="61"/>
      <c r="B19921" s="62"/>
      <c r="C19921" s="62"/>
      <c r="D19921" s="62"/>
      <c r="E19921" s="57"/>
      <c r="F19921" s="57"/>
      <c r="G19921" s="58"/>
    </row>
    <row r="19922" spans="1:8" x14ac:dyDescent="0.25">
      <c r="A19922" s="219" t="s">
        <v>104</v>
      </c>
      <c r="B19922" s="219"/>
      <c r="C19922" s="219"/>
      <c r="D19922" s="219"/>
      <c r="E19922" s="219"/>
      <c r="F19922" s="219"/>
      <c r="G19922" s="52">
        <f>G19920+G19918</f>
        <v>1054215.3545000001</v>
      </c>
    </row>
    <row r="19924" spans="1:8" x14ac:dyDescent="0.25">
      <c r="A19924" s="74" t="s">
        <v>29</v>
      </c>
      <c r="B19924" s="226" t="s">
        <v>30</v>
      </c>
      <c r="C19924" s="226"/>
      <c r="D19924" s="74" t="s">
        <v>31</v>
      </c>
      <c r="E19924" s="74" t="s">
        <v>32</v>
      </c>
      <c r="F19924" s="74" t="s">
        <v>189</v>
      </c>
      <c r="G19924" s="74" t="s">
        <v>33</v>
      </c>
      <c r="H19924" s="100"/>
    </row>
    <row r="19925" spans="1:8" ht="29.25" customHeight="1" x14ac:dyDescent="0.25">
      <c r="A19925" s="50" t="str">
        <f>Presupuesto!B383</f>
        <v>051_AUX</v>
      </c>
      <c r="B19925" s="220" t="str">
        <f>Presupuesto!C383</f>
        <v>SUMINISTRO E INSTALACIÓN DE ALIMENTADOR EN CABLE  1X10 F+1X 10 N+10 T AWG Cu-THHN - 600 V, TUBO PVC 3/4" (PARA TOMAS DE PATIO)</v>
      </c>
      <c r="C19925" s="220"/>
      <c r="D19925" s="50" t="s">
        <v>108</v>
      </c>
      <c r="E19925" s="50">
        <v>100</v>
      </c>
      <c r="F19925" s="50"/>
      <c r="G19925" s="51">
        <f>G19992</f>
        <v>38768.669500000011</v>
      </c>
    </row>
    <row r="19926" spans="1:8" x14ac:dyDescent="0.25">
      <c r="A19926" s="219" t="s">
        <v>34</v>
      </c>
      <c r="B19926" s="219"/>
      <c r="C19926" s="219"/>
      <c r="D19926" s="219"/>
      <c r="E19926" s="219"/>
      <c r="F19926" s="219"/>
      <c r="G19926" s="219"/>
    </row>
    <row r="19927" spans="1:8" x14ac:dyDescent="0.25">
      <c r="A19927" s="49" t="s">
        <v>35</v>
      </c>
      <c r="B19927" s="219" t="s">
        <v>36</v>
      </c>
      <c r="C19927" s="219"/>
      <c r="D19927" s="49" t="s">
        <v>37</v>
      </c>
      <c r="E19927" s="49" t="s">
        <v>38</v>
      </c>
      <c r="F19927" s="49" t="s">
        <v>39</v>
      </c>
      <c r="G19927" s="49" t="s">
        <v>40</v>
      </c>
    </row>
    <row r="19928" spans="1:8" x14ac:dyDescent="0.25">
      <c r="A19928" s="17" t="str">
        <f>Material!A390</f>
        <v>MA-389</v>
      </c>
      <c r="B19928" s="72" t="str">
        <f>IFERROR(VLOOKUP(A19928,Material!$A:$H,2,0),"-")</f>
        <v>CABLE AISLADO NO 10 AWG COBRE THHN</v>
      </c>
      <c r="C19928" s="73"/>
      <c r="D19928" s="50" t="str">
        <f>IFERROR(VLOOKUP(A19928,Material!$A:$H,4,0),"-")</f>
        <v>ML</v>
      </c>
      <c r="E19928" s="50">
        <v>3</v>
      </c>
      <c r="F19928" s="51">
        <f>IFERROR(VLOOKUP(A19928,Material!$A:$H,3,0),"-")</f>
        <v>5200</v>
      </c>
      <c r="G19928" s="51">
        <f t="shared" ref="G19928:G19933" si="287">IFERROR(ROUNDUP(F19928*E19928,0),"-")</f>
        <v>15600</v>
      </c>
    </row>
    <row r="19929" spans="1:8" x14ac:dyDescent="0.25">
      <c r="A19929" s="17" t="str">
        <f>Material!A72</f>
        <v>MA-71</v>
      </c>
      <c r="B19929" s="72" t="str">
        <f>IFERROR(VLOOKUP(A19929,Material!$A:$H,2,0),"-")</f>
        <v>TUBERÍA PVC 3/4"</v>
      </c>
      <c r="C19929" s="73"/>
      <c r="D19929" s="50" t="str">
        <f>IFERROR(VLOOKUP(A19929,Material!$A:$H,4,0),"-")</f>
        <v>ML</v>
      </c>
      <c r="E19929" s="50">
        <v>1</v>
      </c>
      <c r="F19929" s="51">
        <f>IFERROR(VLOOKUP(A19929,Material!$A:$H,3,0),"-")</f>
        <v>2253.3333333333335</v>
      </c>
      <c r="G19929" s="51">
        <f t="shared" si="287"/>
        <v>2254</v>
      </c>
    </row>
    <row r="19930" spans="1:8" x14ac:dyDescent="0.25">
      <c r="A19930" s="17" t="str">
        <f>Material!A73</f>
        <v>MA-72</v>
      </c>
      <c r="B19930" s="72" t="str">
        <f>IFERROR(VLOOKUP(A19930,Material!$A:$H,2,0),"-")</f>
        <v>CURVA PVC 3/4"</v>
      </c>
      <c r="C19930" s="73"/>
      <c r="D19930" s="50" t="str">
        <f>IFERROR(VLOOKUP(A19930,Material!$A:$H,4,0),"-")</f>
        <v>UN</v>
      </c>
      <c r="E19930" s="50">
        <f>1/10</f>
        <v>0.1</v>
      </c>
      <c r="F19930" s="51">
        <f>IFERROR(VLOOKUP(A19930,Material!$A:$H,3,0),"-")</f>
        <v>975</v>
      </c>
      <c r="G19930" s="51">
        <f t="shared" si="287"/>
        <v>98</v>
      </c>
    </row>
    <row r="19931" spans="1:8" x14ac:dyDescent="0.25">
      <c r="A19931" s="17" t="str">
        <f>Material!A201</f>
        <v>MA-200</v>
      </c>
      <c r="B19931" s="72" t="str">
        <f>IFERROR(VLOOKUP(A19931,Material!$A:$H,2,0),"-")</f>
        <v>SOLDADURA PVC 1/4 GL</v>
      </c>
      <c r="C19931" s="73"/>
      <c r="D19931" s="50" t="str">
        <f>IFERROR(VLOOKUP(A19931,Material!$A:$H,4,0),"-")</f>
        <v>GALÓN</v>
      </c>
      <c r="E19931" s="50">
        <f>1/100</f>
        <v>0.01</v>
      </c>
      <c r="F19931" s="51">
        <f>IFERROR(VLOOKUP(A19931,Material!$A:$H,3,0),"-")</f>
        <v>88270</v>
      </c>
      <c r="G19931" s="51">
        <f t="shared" si="287"/>
        <v>883</v>
      </c>
    </row>
    <row r="19932" spans="1:8" x14ac:dyDescent="0.25">
      <c r="A19932" s="17" t="str">
        <f>Material!A253</f>
        <v>MA-252</v>
      </c>
      <c r="B19932" s="72" t="str">
        <f>IFERROR(VLOOKUP(A19932,Material!$A:$H,2,0),"-")</f>
        <v>LIMPIADOR DE TUBERÍA PVC 1/4 GL</v>
      </c>
      <c r="C19932" s="73"/>
      <c r="D19932" s="50" t="str">
        <f>IFERROR(VLOOKUP(A19932,Material!$A:$H,4,0),"-")</f>
        <v>GALÓN</v>
      </c>
      <c r="E19932" s="50">
        <f>1/100</f>
        <v>0.01</v>
      </c>
      <c r="F19932" s="51">
        <f>IFERROR(VLOOKUP(A19932,Material!$A:$H,3,0),"-")</f>
        <v>60970</v>
      </c>
      <c r="G19932" s="51">
        <f t="shared" si="287"/>
        <v>610</v>
      </c>
    </row>
    <row r="19933" spans="1:8" x14ac:dyDescent="0.25">
      <c r="A19933" s="17" t="str">
        <f>Material!A254</f>
        <v>MA-253</v>
      </c>
      <c r="B19933" s="72" t="str">
        <f>IFERROR(VLOOKUP(A19933,Material!$A:$H,2,0),"-")</f>
        <v>TERMINAL-CONECTOR PVC DE 3/4"</v>
      </c>
      <c r="C19933" s="73"/>
      <c r="D19933" s="50" t="str">
        <f>IFERROR(VLOOKUP(A19933,Material!$A:$H,4,0),"-")</f>
        <v>UN</v>
      </c>
      <c r="E19933" s="50">
        <f>1/100</f>
        <v>0.01</v>
      </c>
      <c r="F19933" s="51">
        <f>IFERROR(VLOOKUP(A19933,Material!$A:$H,3,0),"-")</f>
        <v>325</v>
      </c>
      <c r="G19933" s="51">
        <f t="shared" si="287"/>
        <v>4</v>
      </c>
    </row>
    <row r="19934" spans="1:8" x14ac:dyDescent="0.25">
      <c r="A19934" s="219" t="s">
        <v>41</v>
      </c>
      <c r="B19934" s="219"/>
      <c r="C19934" s="219"/>
      <c r="D19934" s="219"/>
      <c r="E19934" s="219"/>
      <c r="F19934" s="219"/>
      <c r="G19934" s="52">
        <f>SUM(G19928:G19933)</f>
        <v>19449</v>
      </c>
    </row>
    <row r="19935" spans="1:8" x14ac:dyDescent="0.25">
      <c r="A19935" s="56"/>
      <c r="B19935" s="57"/>
      <c r="C19935" s="57"/>
      <c r="D19935" s="57"/>
      <c r="E19935" s="57"/>
      <c r="F19935" s="57"/>
      <c r="G19935" s="58"/>
    </row>
    <row r="19936" spans="1:8" x14ac:dyDescent="0.25">
      <c r="A19936" s="219" t="s">
        <v>42</v>
      </c>
      <c r="B19936" s="219"/>
      <c r="C19936" s="219"/>
      <c r="D19936" s="219"/>
      <c r="E19936" s="219"/>
      <c r="F19936" s="219"/>
      <c r="G19936" s="219"/>
    </row>
    <row r="19937" spans="1:7" x14ac:dyDescent="0.25">
      <c r="A19937" s="49" t="s">
        <v>35</v>
      </c>
      <c r="B19937" s="49" t="s">
        <v>36</v>
      </c>
      <c r="C19937" s="49" t="s">
        <v>38</v>
      </c>
      <c r="D19937" s="49" t="s">
        <v>43</v>
      </c>
      <c r="E19937" s="49" t="s">
        <v>44</v>
      </c>
      <c r="F19937" s="49" t="s">
        <v>45</v>
      </c>
      <c r="G19937" s="49" t="s">
        <v>40</v>
      </c>
    </row>
    <row r="19938" spans="1:7" x14ac:dyDescent="0.25">
      <c r="A19938" s="50" t="s">
        <v>319</v>
      </c>
      <c r="B19938" s="68" t="str">
        <f>VLOOKUP(A19938,'Componentes APUs'!$H$1:$L$25,2,0)</f>
        <v>Ingeniero Residente de Obra</v>
      </c>
      <c r="C19938" s="93">
        <v>0.25</v>
      </c>
      <c r="D19938" s="50">
        <f>VLOOKUP(A19938,'Componentes APUs'!$H$1:$L$25,3,0)</f>
        <v>4</v>
      </c>
      <c r="E19938" s="51">
        <f>VLOOKUP(A19938,'Componentes APUs'!$H$1:$L$25,4,0)</f>
        <v>271142.85714285716</v>
      </c>
      <c r="F19938" s="51">
        <f>VLOOKUP(A19938,'Componentes APUs'!$H$1:$L$25,5,0)</f>
        <v>162685.71428571429</v>
      </c>
      <c r="G19938" s="51">
        <f>ROUNDUP((E19938+F19938)*C19938/E19925,0)</f>
        <v>1085</v>
      </c>
    </row>
    <row r="19939" spans="1:7" x14ac:dyDescent="0.25">
      <c r="A19939" s="50" t="s">
        <v>320</v>
      </c>
      <c r="B19939" s="68" t="str">
        <f>VLOOKUP(A19939,'Componentes APUs'!$H$1:$L$25,2,0)</f>
        <v>Tecnico Supervisor</v>
      </c>
      <c r="C19939" s="93">
        <v>0.25</v>
      </c>
      <c r="D19939" s="50">
        <f>VLOOKUP(A19939,'Componentes APUs'!$H$1:$L$25,3,0)</f>
        <v>2.2999999999999998</v>
      </c>
      <c r="E19939" s="51">
        <f>VLOOKUP(A19939,'Componentes APUs'!$H$1:$L$25,4,0)</f>
        <v>155907.14285714284</v>
      </c>
      <c r="F19939" s="51">
        <f>VLOOKUP(A19939,'Componentes APUs'!$H$1:$L$25,5,0)</f>
        <v>93544.285714285696</v>
      </c>
      <c r="G19939" s="51">
        <f>ROUNDUP((E19939+F19939)*C19939/E19925,0)</f>
        <v>624</v>
      </c>
    </row>
    <row r="19940" spans="1:7" x14ac:dyDescent="0.25">
      <c r="A19940" s="50" t="s">
        <v>1160</v>
      </c>
      <c r="B19940" s="68" t="str">
        <f>VLOOKUP(A19940,'Componentes APUs'!$H$1:$L$25,2,0)</f>
        <v>Oficial Eléctrico</v>
      </c>
      <c r="C19940" s="93">
        <v>1</v>
      </c>
      <c r="D19940" s="50">
        <f>VLOOKUP(A19940,'Componentes APUs'!$H$1:$L$25,3,0)</f>
        <v>2</v>
      </c>
      <c r="E19940" s="51">
        <f>VLOOKUP(A19940,'Componentes APUs'!$H$1:$L$25,4,0)</f>
        <v>154619.04761904763</v>
      </c>
      <c r="F19940" s="51">
        <f>VLOOKUP(A19940,'Componentes APUs'!$H$1:$L$25,5,0)</f>
        <v>92771.42857142858</v>
      </c>
      <c r="G19940" s="51">
        <f>ROUNDUP((E19940+F19940)*C19940/E19925,0)</f>
        <v>2474</v>
      </c>
    </row>
    <row r="19941" spans="1:7" x14ac:dyDescent="0.25">
      <c r="A19941" s="50" t="s">
        <v>48</v>
      </c>
      <c r="B19941" s="68" t="str">
        <f>VLOOKUP(A19941,'Componentes APUs'!$H$1:$L$25,2,0)</f>
        <v>Ayudante Calificado</v>
      </c>
      <c r="C19941" s="93">
        <v>2</v>
      </c>
      <c r="D19941" s="50">
        <f>VLOOKUP(A19941,'Componentes APUs'!$H$1:$L$25,3,0)</f>
        <v>1.5</v>
      </c>
      <c r="E19941" s="51">
        <f>VLOOKUP(A19941,'Componentes APUs'!$H$1:$L$25,4,0)</f>
        <v>115964.28571428571</v>
      </c>
      <c r="F19941" s="51">
        <f>VLOOKUP(A19941,'Componentes APUs'!$H$1:$L$25,5,0)</f>
        <v>69578.57142857142</v>
      </c>
      <c r="G19941" s="51">
        <f>ROUNDUP((E19941+F19941)*C19941/E19925,0)</f>
        <v>3711</v>
      </c>
    </row>
    <row r="19942" spans="1:7" x14ac:dyDescent="0.25">
      <c r="A19942" s="50" t="s">
        <v>50</v>
      </c>
      <c r="B19942" s="68" t="str">
        <f>VLOOKUP(A19942,'Componentes APUs'!$H$1:$L$25,2,0)</f>
        <v>Profesional en SST</v>
      </c>
      <c r="C19942" s="93">
        <v>0.25</v>
      </c>
      <c r="D19942" s="50">
        <f>VLOOKUP(A19942,'Componentes APUs'!$H$1:$L$25,3,0)</f>
        <v>2.5</v>
      </c>
      <c r="E19942" s="51">
        <f>VLOOKUP(A19942,'Componentes APUs'!$H$1:$L$25,4,0)</f>
        <v>169464.28571428571</v>
      </c>
      <c r="F19942" s="51">
        <f>VLOOKUP(A19942,'Componentes APUs'!$H$1:$L$25,5,0)</f>
        <v>101678.57142857142</v>
      </c>
      <c r="G19942" s="51">
        <f>ROUNDUP((E19942+F19942)*C19942/E19925,0)</f>
        <v>678</v>
      </c>
    </row>
    <row r="19943" spans="1:7" x14ac:dyDescent="0.25">
      <c r="A19943" s="50" t="s">
        <v>52</v>
      </c>
      <c r="B19943" s="68" t="str">
        <f>VLOOKUP(A19943,'Componentes APUs'!$H$1:$L$25,2,0)</f>
        <v>Ayudante No Calificado</v>
      </c>
      <c r="C19943" s="93">
        <v>0</v>
      </c>
      <c r="D19943" s="50">
        <f>VLOOKUP(A19943,'Componentes APUs'!$H$1:$L$25,3,0)</f>
        <v>1</v>
      </c>
      <c r="E19943" s="51">
        <f>VLOOKUP(A19943,'Componentes APUs'!$H$1:$L$25,4,0)</f>
        <v>77309.523809523816</v>
      </c>
      <c r="F19943" s="51">
        <f>VLOOKUP(A19943,'Componentes APUs'!$H$1:$L$25,5,0)</f>
        <v>46385.71428571429</v>
      </c>
      <c r="G19943" s="51">
        <f>ROUNDUP((E19943+F19943)*C19943/E19925,0)</f>
        <v>0</v>
      </c>
    </row>
    <row r="19944" spans="1:7" x14ac:dyDescent="0.25">
      <c r="A19944" s="219" t="s">
        <v>56</v>
      </c>
      <c r="B19944" s="219"/>
      <c r="C19944" s="219"/>
      <c r="D19944" s="219"/>
      <c r="E19944" s="219"/>
      <c r="F19944" s="219"/>
      <c r="G19944" s="52">
        <f>SUM(G19938:G19943)</f>
        <v>8572</v>
      </c>
    </row>
    <row r="19945" spans="1:7" x14ac:dyDescent="0.25">
      <c r="A19945" s="56"/>
      <c r="B19945" s="57"/>
      <c r="C19945" s="57"/>
      <c r="D19945" s="57"/>
      <c r="E19945" s="57"/>
      <c r="F19945" s="57"/>
      <c r="G19945" s="58"/>
    </row>
    <row r="19946" spans="1:7" x14ac:dyDescent="0.25">
      <c r="A19946" s="219" t="s">
        <v>57</v>
      </c>
      <c r="B19946" s="219"/>
      <c r="C19946" s="219"/>
      <c r="D19946" s="219"/>
      <c r="E19946" s="219"/>
      <c r="F19946" s="219"/>
      <c r="G19946" s="219"/>
    </row>
    <row r="19947" spans="1:7" x14ac:dyDescent="0.25">
      <c r="A19947" s="49" t="s">
        <v>35</v>
      </c>
      <c r="B19947" s="219" t="s">
        <v>36</v>
      </c>
      <c r="C19947" s="219"/>
      <c r="D19947" s="49" t="s">
        <v>37</v>
      </c>
      <c r="E19947" s="49" t="s">
        <v>38</v>
      </c>
      <c r="F19947" s="49" t="s">
        <v>39</v>
      </c>
      <c r="G19947" s="49" t="s">
        <v>40</v>
      </c>
    </row>
    <row r="19948" spans="1:7" x14ac:dyDescent="0.25">
      <c r="A19948" s="50" t="s">
        <v>326</v>
      </c>
      <c r="B19948" s="220" t="str">
        <f>VLOOKUP(A19948,'Componentes APUs'!$S$1:$V$10,2,0)</f>
        <v>Juego Llaves</v>
      </c>
      <c r="C19948" s="220"/>
      <c r="D19948" s="50" t="s">
        <v>18</v>
      </c>
      <c r="E19948" s="50">
        <v>1</v>
      </c>
      <c r="F19948" s="51">
        <f>VLOOKUP(A19948,'Componentes APUs'!$S$1:$V$10,4,0)</f>
        <v>9167</v>
      </c>
      <c r="G19948" s="51">
        <f>ROUNDUP(F19948*((E19948/21)/E19925),0)</f>
        <v>5</v>
      </c>
    </row>
    <row r="19949" spans="1:7" x14ac:dyDescent="0.25">
      <c r="A19949" s="50" t="s">
        <v>58</v>
      </c>
      <c r="B19949" s="220" t="str">
        <f>VLOOKUP(A19949,'Componentes APUs'!$S$1:$V$10,2,0)</f>
        <v>Manila de servicio</v>
      </c>
      <c r="C19949" s="220"/>
      <c r="D19949" s="50" t="s">
        <v>18</v>
      </c>
      <c r="E19949" s="50">
        <v>0</v>
      </c>
      <c r="F19949" s="51">
        <f>VLOOKUP(A19949,'Componentes APUs'!$S$1:$V$10,4,0)</f>
        <v>2333</v>
      </c>
      <c r="G19949" s="51">
        <f>ROUNDUP(F19949*((E19949/21)/E19925),0)</f>
        <v>0</v>
      </c>
    </row>
    <row r="19950" spans="1:7" x14ac:dyDescent="0.25">
      <c r="A19950" s="50" t="s">
        <v>327</v>
      </c>
      <c r="B19950" s="220" t="str">
        <f>VLOOKUP(A19950,'Componentes APUs'!$S$1:$V$10,2,0)</f>
        <v>Tula portaherramientas</v>
      </c>
      <c r="C19950" s="220"/>
      <c r="D19950" s="50" t="s">
        <v>18</v>
      </c>
      <c r="E19950" s="50">
        <v>1</v>
      </c>
      <c r="F19950" s="51">
        <f>VLOOKUP(A19950,'Componentes APUs'!$S$1:$V$10,4,0)</f>
        <v>1250</v>
      </c>
      <c r="G19950" s="51">
        <f>ROUNDUP(F19950*((E19950/21)/E19925),0)</f>
        <v>1</v>
      </c>
    </row>
    <row r="19951" spans="1:7" x14ac:dyDescent="0.25">
      <c r="A19951" s="50" t="s">
        <v>60</v>
      </c>
      <c r="B19951" s="220" t="str">
        <f>VLOOKUP(A19951,'Componentes APUs'!$S$1:$V$10,2,0)</f>
        <v>Agarradoras</v>
      </c>
      <c r="C19951" s="220"/>
      <c r="D19951" s="50" t="s">
        <v>18</v>
      </c>
      <c r="E19951" s="50">
        <v>0</v>
      </c>
      <c r="F19951" s="51">
        <f>VLOOKUP(A19951,'Componentes APUs'!$S$1:$V$10,4,0)</f>
        <v>125000</v>
      </c>
      <c r="G19951" s="51">
        <f>ROUNDUP(F19951*((E19951/21)/E19925),0)</f>
        <v>0</v>
      </c>
    </row>
    <row r="19952" spans="1:7" x14ac:dyDescent="0.25">
      <c r="A19952" s="50" t="s">
        <v>62</v>
      </c>
      <c r="B19952" s="220" t="str">
        <f>VLOOKUP(A19952,'Componentes APUs'!$S$1:$V$10,2,0)</f>
        <v>Templadoras</v>
      </c>
      <c r="C19952" s="220"/>
      <c r="D19952" s="50" t="s">
        <v>18</v>
      </c>
      <c r="E19952" s="50">
        <v>0</v>
      </c>
      <c r="F19952" s="51">
        <f>VLOOKUP(A19952,'Componentes APUs'!$S$1:$V$10,4,0)</f>
        <v>250000</v>
      </c>
      <c r="G19952" s="51">
        <f>ROUNDUP(F19952*((E19952/21)/E19925),0)</f>
        <v>0</v>
      </c>
    </row>
    <row r="19953" spans="1:7" x14ac:dyDescent="0.25">
      <c r="A19953" s="50" t="s">
        <v>328</v>
      </c>
      <c r="B19953" s="220" t="str">
        <f>VLOOKUP(A19953,'Componentes APUs'!$S$1:$V$10,2,0)</f>
        <v>Herramienta Menor</v>
      </c>
      <c r="C19953" s="220"/>
      <c r="D19953" s="50" t="s">
        <v>18</v>
      </c>
      <c r="E19953" s="50">
        <v>1</v>
      </c>
      <c r="F19953" s="51">
        <f>VLOOKUP(A19953,'Componentes APUs'!$S$1:$V$10,4,0)</f>
        <v>75758</v>
      </c>
      <c r="G19953" s="51">
        <f>ROUNDUP(F19953*((E19953/21)/E19925),0)</f>
        <v>37</v>
      </c>
    </row>
    <row r="19954" spans="1:7" x14ac:dyDescent="0.25">
      <c r="A19954" s="219" t="s">
        <v>69</v>
      </c>
      <c r="B19954" s="219"/>
      <c r="C19954" s="219"/>
      <c r="D19954" s="219"/>
      <c r="E19954" s="219"/>
      <c r="F19954" s="219"/>
      <c r="G19954" s="52">
        <f>SUM(G19948:G19953)</f>
        <v>43</v>
      </c>
    </row>
    <row r="19955" spans="1:7" x14ac:dyDescent="0.25">
      <c r="A19955" s="56"/>
      <c r="B19955" s="57"/>
      <c r="C19955" s="57"/>
      <c r="D19955" s="57"/>
      <c r="E19955" s="57"/>
      <c r="F19955" s="57"/>
      <c r="G19955" s="58"/>
    </row>
    <row r="19956" spans="1:7" x14ac:dyDescent="0.25">
      <c r="A19956" s="219" t="s">
        <v>70</v>
      </c>
      <c r="B19956" s="219"/>
      <c r="C19956" s="219"/>
      <c r="D19956" s="219"/>
      <c r="E19956" s="219"/>
      <c r="F19956" s="219"/>
      <c r="G19956" s="219"/>
    </row>
    <row r="19957" spans="1:7" x14ac:dyDescent="0.25">
      <c r="A19957" s="49" t="s">
        <v>35</v>
      </c>
      <c r="B19957" s="219" t="s">
        <v>36</v>
      </c>
      <c r="C19957" s="219"/>
      <c r="D19957" s="49" t="s">
        <v>37</v>
      </c>
      <c r="E19957" s="49" t="s">
        <v>38</v>
      </c>
      <c r="F19957" s="49" t="s">
        <v>39</v>
      </c>
      <c r="G19957" s="49" t="s">
        <v>40</v>
      </c>
    </row>
    <row r="19958" spans="1:7" x14ac:dyDescent="0.25">
      <c r="A19958" s="50" t="s">
        <v>71</v>
      </c>
      <c r="B19958" s="71" t="str">
        <f>VLOOKUP(A19958,'Componentes APUs'!$A$1:$D$14,2,0)</f>
        <v>Camisa indigo sin partes metalicas</v>
      </c>
      <c r="C19958" s="71"/>
      <c r="D19958" s="50" t="str">
        <f>VLOOKUP(A19958,'Componentes APUs'!$A$1:$D$14,3,0)</f>
        <v>U</v>
      </c>
      <c r="E19958" s="50">
        <f>SUM(C19938:C19943)</f>
        <v>3.75</v>
      </c>
      <c r="F19958" s="51">
        <f>VLOOKUP(A19958,'Componentes APUs'!$A$1:$D$14,4,0)</f>
        <v>8585.8585858585866</v>
      </c>
      <c r="G19958" s="51">
        <f>ROUNDUP(F19958*(E19958/21)/E19925,0)</f>
        <v>16</v>
      </c>
    </row>
    <row r="19959" spans="1:7" x14ac:dyDescent="0.25">
      <c r="A19959" s="69" t="s">
        <v>73</v>
      </c>
      <c r="B19959" s="72" t="str">
        <f>VLOOKUP(A19959,'Componentes APUs'!$A$1:$D$14,2,0)</f>
        <v>Bota de seguridad dielectrica</v>
      </c>
      <c r="C19959" s="73"/>
      <c r="D19959" s="70" t="str">
        <f>VLOOKUP(A19959,'Componentes APUs'!$A$1:$D$14,3,0)</f>
        <v>Par</v>
      </c>
      <c r="E19959" s="50">
        <f>SUM(C19938:C19943)</f>
        <v>3.75</v>
      </c>
      <c r="F19959" s="51">
        <f>VLOOKUP(A19959,'Componentes APUs'!$A$1:$D$14,4,0)</f>
        <v>7500</v>
      </c>
      <c r="G19959" s="51">
        <f>ROUNDUP(F19959*(E19959/21)/E19925,0)</f>
        <v>14</v>
      </c>
    </row>
    <row r="19960" spans="1:7" x14ac:dyDescent="0.25">
      <c r="A19960" s="50" t="s">
        <v>76</v>
      </c>
      <c r="B19960" s="72" t="str">
        <f>VLOOKUP(A19960,'Componentes APUs'!$A$1:$D$14,2,0)</f>
        <v>Casco dielectrico Tipo 1 Clase E con barbuquejo</v>
      </c>
      <c r="C19960" s="73"/>
      <c r="D19960" s="50" t="str">
        <f>VLOOKUP(A19960,'Componentes APUs'!$A$1:$D$14,3,0)</f>
        <v>U</v>
      </c>
      <c r="E19960" s="50">
        <f>C19943+C19938+C19941+C19942+C19939+IF(A19940&lt;&gt;"MO-3",C19940,0)</f>
        <v>3.75</v>
      </c>
      <c r="F19960" s="51">
        <f>VLOOKUP(A19960,'Componentes APUs'!$A$1:$D$14,4,0)</f>
        <v>10101.010101010101</v>
      </c>
      <c r="G19960" s="51">
        <f>ROUNDUP(F19960*(E19960/21)/E19925,0)</f>
        <v>19</v>
      </c>
    </row>
    <row r="19961" spans="1:7" x14ac:dyDescent="0.25">
      <c r="A19961" s="69" t="s">
        <v>77</v>
      </c>
      <c r="B19961" s="72" t="str">
        <f>VLOOKUP(A19961,'Componentes APUs'!$A$1:$D$14,2,0)</f>
        <v>Correa plastica y antiflama</v>
      </c>
      <c r="C19961" s="73"/>
      <c r="D19961" s="50" t="str">
        <f>VLOOKUP(A19961,'Componentes APUs'!$A$1:$D$14,3,0)</f>
        <v>U</v>
      </c>
      <c r="E19961" s="50">
        <f>SUM(C19938:C19943)</f>
        <v>3.75</v>
      </c>
      <c r="F19961" s="51">
        <f>VLOOKUP(A19961,'Componentes APUs'!$A$1:$D$14,4,0)</f>
        <v>3787.878787878788</v>
      </c>
      <c r="G19961" s="51">
        <f>ROUNDUP(F19961*(E19961/21)/E19925,0)</f>
        <v>7</v>
      </c>
    </row>
    <row r="19962" spans="1:7" x14ac:dyDescent="0.25">
      <c r="A19962" s="50" t="s">
        <v>79</v>
      </c>
      <c r="B19962" s="72" t="str">
        <f>VLOOKUP(A19962,'Componentes APUs'!$A$1:$D$14,2,0)</f>
        <v>Gafas protectoras filtro UV</v>
      </c>
      <c r="C19962" s="73"/>
      <c r="D19962" s="50" t="str">
        <f>VLOOKUP(A19962,'Componentes APUs'!$A$1:$D$14,3,0)</f>
        <v>U</v>
      </c>
      <c r="E19962" s="50">
        <f>SUM(C19938:C19943)</f>
        <v>3.75</v>
      </c>
      <c r="F19962" s="51">
        <f>VLOOKUP(A19962,'Componentes APUs'!$A$1:$D$14,4,0)</f>
        <v>2777.7777777777778</v>
      </c>
      <c r="G19962" s="51">
        <f>ROUNDUP(F19962*(E19962/21)/E19925,0)</f>
        <v>5</v>
      </c>
    </row>
    <row r="19963" spans="1:7" x14ac:dyDescent="0.25">
      <c r="A19963" s="69" t="s">
        <v>402</v>
      </c>
      <c r="B19963" s="72" t="str">
        <f>VLOOKUP(A19963,'Componentes APUs'!$A$1:$D$14,2,0)</f>
        <v>Bota de seguridad PVC dielectrica</v>
      </c>
      <c r="C19963" s="73"/>
      <c r="D19963" s="50" t="str">
        <f>VLOOKUP(A19963,'Componentes APUs'!$A$1:$D$14,3,0)</f>
        <v>Par</v>
      </c>
      <c r="E19963" s="50">
        <f>SUM(C19938:C19943)</f>
        <v>3.75</v>
      </c>
      <c r="F19963" s="51">
        <f>VLOOKUP(A19963,'Componentes APUs'!$A$1:$D$14,4,0)</f>
        <v>2916.6666666666665</v>
      </c>
      <c r="G19963" s="51">
        <f>ROUNDUP(F19963*(E19963/21)/E19925,0)</f>
        <v>6</v>
      </c>
    </row>
    <row r="19964" spans="1:7" x14ac:dyDescent="0.25">
      <c r="A19964" s="50" t="s">
        <v>403</v>
      </c>
      <c r="B19964" s="72" t="str">
        <f>VLOOKUP(A19964,'Componentes APUs'!$A$1:$D$14,2,0)</f>
        <v>Capuchon</v>
      </c>
      <c r="C19964" s="73"/>
      <c r="D19964" s="50" t="str">
        <f>VLOOKUP(A19964,'Componentes APUs'!$A$1:$D$14,3,0)</f>
        <v>U</v>
      </c>
      <c r="E19964" s="50">
        <f>SUM(C19938:C19943)</f>
        <v>3.75</v>
      </c>
      <c r="F19964" s="51">
        <f>VLOOKUP(A19964,'Componentes APUs'!$A$1:$D$14,4,0)</f>
        <v>2525.2525252525252</v>
      </c>
      <c r="G19964" s="51">
        <f>ROUNDUP(F19964*(E19964/21)/E19925,0)</f>
        <v>5</v>
      </c>
    </row>
    <row r="19965" spans="1:7" x14ac:dyDescent="0.25">
      <c r="A19965" s="69" t="s">
        <v>81</v>
      </c>
      <c r="B19965" s="72" t="str">
        <f>VLOOKUP(A19965,'Componentes APUs'!$A$1:$D$14,2,0)</f>
        <v>Guantes Protectores  - ingeniero reforzados</v>
      </c>
      <c r="C19965" s="73"/>
      <c r="D19965" s="50" t="str">
        <f>VLOOKUP(A19965,'Componentes APUs'!$A$1:$D$14,3,0)</f>
        <v>Par</v>
      </c>
      <c r="E19965" s="50">
        <f>C19940+C19941+C19943</f>
        <v>3</v>
      </c>
      <c r="F19965" s="51">
        <f>VLOOKUP(A19965,'Componentes APUs'!$A$1:$D$14,4,0)</f>
        <v>2525.2525252525252</v>
      </c>
      <c r="G19965" s="51">
        <f>ROUNDUP(F19965*(E19965/21)/E19925,0)</f>
        <v>4</v>
      </c>
    </row>
    <row r="19966" spans="1:7" x14ac:dyDescent="0.25">
      <c r="A19966" s="50" t="s">
        <v>83</v>
      </c>
      <c r="B19966" s="72" t="str">
        <f>VLOOKUP(A19966,'Componentes APUs'!$A$1:$D$14,2,0)</f>
        <v>Impermeable (pantalon camisa)</v>
      </c>
      <c r="C19966" s="73"/>
      <c r="D19966" s="50" t="str">
        <f>VLOOKUP(A19966,'Componentes APUs'!$A$1:$D$14,3,0)</f>
        <v>U</v>
      </c>
      <c r="E19966" s="50">
        <f>SUM(C19938:C19943)</f>
        <v>3.75</v>
      </c>
      <c r="F19966" s="51">
        <f>VLOOKUP(A19966,'Componentes APUs'!$A$1:$D$14,4,0)</f>
        <v>3750</v>
      </c>
      <c r="G19966" s="51">
        <f>ROUNDUP(F19966*(E19966/21)/E19925,0)</f>
        <v>7</v>
      </c>
    </row>
    <row r="19967" spans="1:7" x14ac:dyDescent="0.25">
      <c r="A19967" s="69" t="s">
        <v>85</v>
      </c>
      <c r="B19967" s="72" t="str">
        <f>VLOOKUP(A19967,'Componentes APUs'!$A$1:$D$14,2,0)</f>
        <v>Jean Dielectrico</v>
      </c>
      <c r="C19967" s="73"/>
      <c r="D19967" s="50" t="str">
        <f>VLOOKUP(A19967,'Componentes APUs'!$A$1:$D$14,3,0)</f>
        <v>U</v>
      </c>
      <c r="E19967" s="50">
        <f>SUM(C19938:C19943)</f>
        <v>3.75</v>
      </c>
      <c r="F19967" s="51">
        <f>VLOOKUP(A19967,'Componentes APUs'!$A$1:$D$14,4,0)</f>
        <v>7575.757575757576</v>
      </c>
      <c r="G19967" s="51">
        <f>ROUNDUP(F19967*(E19967/21)/E19925,0)</f>
        <v>14</v>
      </c>
    </row>
    <row r="19968" spans="1:7" x14ac:dyDescent="0.25">
      <c r="A19968" s="50" t="s">
        <v>87</v>
      </c>
      <c r="B19968" s="72" t="str">
        <f>VLOOKUP(A19968,'Componentes APUs'!$A$1:$D$14,2,0)</f>
        <v>Casco dielectrico Tipo 2 Clase E con barboquejo</v>
      </c>
      <c r="C19968" s="73"/>
      <c r="D19968" s="50" t="str">
        <f>VLOOKUP(A19968,'Componentes APUs'!$A$1:$D$14,3,0)</f>
        <v>U</v>
      </c>
      <c r="E19968" s="53">
        <f>IF(A19940="MO-3",C19940,0)</f>
        <v>0</v>
      </c>
      <c r="F19968" s="51">
        <f>VLOOKUP(A19968,'Componentes APUs'!$A$1:$D$14,4,0)</f>
        <v>7500</v>
      </c>
      <c r="G19968" s="51">
        <f>ROUNDUP(F19968*(E19968/21)/E19925,0)</f>
        <v>0</v>
      </c>
    </row>
    <row r="19969" spans="1:7" x14ac:dyDescent="0.25">
      <c r="A19969" s="69" t="s">
        <v>89</v>
      </c>
      <c r="B19969" s="72" t="str">
        <f>VLOOKUP(A19969,'Componentes APUs'!$A$1:$D$14,2,0)</f>
        <v>Kit de rescate para trabajo en alturas</v>
      </c>
      <c r="C19969" s="73"/>
      <c r="D19969" s="50" t="str">
        <f>VLOOKUP(A19969,'Componentes APUs'!$A$1:$D$14,3,0)</f>
        <v>U</v>
      </c>
      <c r="E19969" s="50">
        <f>IF(AND(A19940="MO-3",C19940=2),1,0)</f>
        <v>0</v>
      </c>
      <c r="F19969" s="51">
        <f>VLOOKUP(A19969,'Componentes APUs'!$A$1:$D$14,4,0)</f>
        <v>37500</v>
      </c>
      <c r="G19969" s="51">
        <f>ROUNDUP(F19969*(E19969/21)/E19925,0)</f>
        <v>0</v>
      </c>
    </row>
    <row r="19970" spans="1:7" x14ac:dyDescent="0.25">
      <c r="A19970" s="50" t="s">
        <v>91</v>
      </c>
      <c r="B19970" s="72" t="str">
        <f>VLOOKUP(A19970,'Componentes APUs'!$A$1:$D$14,2,0)</f>
        <v>Equipo completo para trabajo en alturas con pretales (Arnes dielectrico, 1 mosqueton de seguridad, tie off dielectrico, eslinga de posicionamiento, juego de pretales)</v>
      </c>
      <c r="C19970" s="73"/>
      <c r="D19970" s="50" t="str">
        <f>VLOOKUP(A19970,'Componentes APUs'!$A$1:$D$14,3,0)</f>
        <v>U</v>
      </c>
      <c r="E19970" s="50">
        <f>IF(A19940="MO-3",C19940,0)</f>
        <v>0</v>
      </c>
      <c r="F19970" s="51">
        <f>VLOOKUP(A19970,'Componentes APUs'!$A$1:$D$14,4,0)</f>
        <v>26041.666666666668</v>
      </c>
      <c r="G19970" s="51">
        <f>ROUNDUP(F19970*(E19970/21)/E19925,0)</f>
        <v>0</v>
      </c>
    </row>
    <row r="19971" spans="1:7" x14ac:dyDescent="0.25">
      <c r="A19971" s="219" t="s">
        <v>95</v>
      </c>
      <c r="B19971" s="219"/>
      <c r="C19971" s="219"/>
      <c r="D19971" s="219"/>
      <c r="E19971" s="219"/>
      <c r="F19971" s="219"/>
      <c r="G19971" s="52">
        <f>SUM(G19958:G19970)</f>
        <v>97</v>
      </c>
    </row>
    <row r="19972" spans="1:7" x14ac:dyDescent="0.25">
      <c r="A19972" s="56"/>
      <c r="B19972" s="57"/>
      <c r="C19972" s="57"/>
      <c r="D19972" s="57"/>
      <c r="E19972" s="57"/>
      <c r="F19972" s="57"/>
      <c r="G19972" s="58"/>
    </row>
    <row r="19973" spans="1:7" x14ac:dyDescent="0.25">
      <c r="A19973" s="219" t="s">
        <v>96</v>
      </c>
      <c r="B19973" s="219"/>
      <c r="C19973" s="219"/>
      <c r="D19973" s="219"/>
      <c r="E19973" s="219"/>
      <c r="F19973" s="219"/>
      <c r="G19973" s="219"/>
    </row>
    <row r="19974" spans="1:7" x14ac:dyDescent="0.25">
      <c r="A19974" s="49" t="s">
        <v>35</v>
      </c>
      <c r="B19974" s="225" t="s">
        <v>36</v>
      </c>
      <c r="C19974" s="225"/>
      <c r="D19974" s="49" t="s">
        <v>37</v>
      </c>
      <c r="E19974" s="49" t="s">
        <v>38</v>
      </c>
      <c r="F19974" s="49" t="s">
        <v>39</v>
      </c>
      <c r="G19974" s="49" t="s">
        <v>40</v>
      </c>
    </row>
    <row r="19975" spans="1:7" x14ac:dyDescent="0.25">
      <c r="A19975" s="69" t="s">
        <v>97</v>
      </c>
      <c r="B19975" s="72" t="str">
        <f>VLOOKUP(A19975,'Componentes APUs'!$N$1:$Q$30,2,0)</f>
        <v>Camioneta</v>
      </c>
      <c r="C19975" s="73"/>
      <c r="D19975" s="70" t="str">
        <f>VLOOKUP(A19975,'Componentes APUs'!$N$1:$Q$30,3,0)</f>
        <v>U</v>
      </c>
      <c r="E19975" s="50">
        <v>1</v>
      </c>
      <c r="F19975" s="51">
        <f>VLOOKUP(A19975,'Componentes APUs'!$N$1:$Q$30,4,0)</f>
        <v>5500000</v>
      </c>
      <c r="G19975" s="51">
        <f>IFERROR(ROUNDUP(F19975*(E19975/21)/E19925,0),0)</f>
        <v>2620</v>
      </c>
    </row>
    <row r="19976" spans="1:7" x14ac:dyDescent="0.25">
      <c r="A19976" s="50" t="s">
        <v>321</v>
      </c>
      <c r="B19976" s="72" t="str">
        <f>VLOOKUP(A19976,'Componentes APUs'!$N$1:$Q$30,2,0)</f>
        <v>Grúa Hidráulica</v>
      </c>
      <c r="C19976" s="73"/>
      <c r="D19976" s="70" t="str">
        <f>VLOOKUP(A19976,'Componentes APUs'!$N$1:$Q$30,3,0)</f>
        <v>U</v>
      </c>
      <c r="E19976" s="50">
        <v>0</v>
      </c>
      <c r="F19976" s="51">
        <f>VLOOKUP(A19976,'Componentes APUs'!$N$1:$Q$30,4,0)</f>
        <v>21000000</v>
      </c>
      <c r="G19976" s="51">
        <f>IFERROR(ROUNDUP(F19976*(E19976/21)/E19925,0),0)</f>
        <v>0</v>
      </c>
    </row>
    <row r="19977" spans="1:7" x14ac:dyDescent="0.25">
      <c r="A19977" s="69" t="s">
        <v>322</v>
      </c>
      <c r="B19977" s="72" t="str">
        <f>VLOOKUP(A19977,'Componentes APUs'!$N$1:$Q$30,2,0)</f>
        <v>Camabaja</v>
      </c>
      <c r="C19977" s="73"/>
      <c r="D19977" s="70" t="str">
        <f>VLOOKUP(A19977,'Componentes APUs'!$N$1:$Q$30,3,0)</f>
        <v>TON/KM</v>
      </c>
      <c r="E19977" s="50">
        <v>0</v>
      </c>
      <c r="F19977" s="51">
        <f>VLOOKUP(A19977,'Componentes APUs'!$N$1:$Q$30,4,0)</f>
        <v>611</v>
      </c>
      <c r="G19977" s="51">
        <f>IFERROR(ROUNDUP(F19977*(E19977/21)/E19925,0),0)</f>
        <v>0</v>
      </c>
    </row>
    <row r="19978" spans="1:7" x14ac:dyDescent="0.25">
      <c r="A19978" s="50" t="s">
        <v>323</v>
      </c>
      <c r="B19978" s="72" t="str">
        <f>VLOOKUP(A19978,'Componentes APUs'!$N$1:$Q$30,2,0)</f>
        <v>Volqueta</v>
      </c>
      <c r="C19978" s="73"/>
      <c r="D19978" s="70" t="str">
        <f>VLOOKUP(A19978,'Componentes APUs'!$N$1:$Q$30,3,0)</f>
        <v>U</v>
      </c>
      <c r="E19978" s="50">
        <v>0</v>
      </c>
      <c r="F19978" s="51">
        <f>VLOOKUP(A19978,'Componentes APUs'!$N$1:$Q$30,4,0)</f>
        <v>14828184</v>
      </c>
      <c r="G19978" s="51">
        <f>IFERROR(ROUNDUP(F19978*(E19978/21)/E19925,0),0)</f>
        <v>0</v>
      </c>
    </row>
    <row r="19979" spans="1:7" x14ac:dyDescent="0.25">
      <c r="A19979" s="69" t="s">
        <v>324</v>
      </c>
      <c r="B19979" s="72" t="str">
        <f>VLOOKUP(A19979,'Componentes APUs'!$N$1:$Q$30,2,0)</f>
        <v>Retroexcavadora</v>
      </c>
      <c r="C19979" s="73"/>
      <c r="D19979" s="70" t="str">
        <f>VLOOKUP(A19979,'Componentes APUs'!$N$1:$Q$30,3,0)</f>
        <v>U</v>
      </c>
      <c r="E19979" s="50">
        <v>0</v>
      </c>
      <c r="F19979" s="51">
        <f>VLOOKUP(A19979,'Componentes APUs'!$N$1:$Q$30,4,0)</f>
        <v>46030656</v>
      </c>
      <c r="G19979" s="51">
        <f>IFERROR(ROUNDUP(F19979*(E19979/21)/E19925,0),0)</f>
        <v>0</v>
      </c>
    </row>
    <row r="19980" spans="1:7" x14ac:dyDescent="0.25">
      <c r="A19980" s="219" t="s">
        <v>99</v>
      </c>
      <c r="B19980" s="219"/>
      <c r="C19980" s="219"/>
      <c r="D19980" s="219"/>
      <c r="E19980" s="219"/>
      <c r="F19980" s="219"/>
      <c r="G19980" s="52">
        <f>SUM(G19975:G19979)</f>
        <v>2620</v>
      </c>
    </row>
    <row r="19981" spans="1:7" x14ac:dyDescent="0.25">
      <c r="A19981" s="56"/>
      <c r="B19981" s="57"/>
      <c r="C19981" s="57"/>
      <c r="D19981" s="57"/>
      <c r="E19981" s="57"/>
      <c r="F19981" s="57"/>
      <c r="G19981" s="58"/>
    </row>
    <row r="19982" spans="1:7" x14ac:dyDescent="0.25">
      <c r="A19982" s="219" t="s">
        <v>1516</v>
      </c>
      <c r="B19982" s="219"/>
      <c r="C19982" s="219"/>
      <c r="D19982" s="219"/>
      <c r="E19982" s="219"/>
      <c r="F19982" s="219"/>
      <c r="G19982" s="52">
        <f>G19980+G19971+G19954+G19944+G19934</f>
        <v>30781</v>
      </c>
    </row>
    <row r="19983" spans="1:7" x14ac:dyDescent="0.25">
      <c r="A19983" s="59"/>
      <c r="B19983" s="60"/>
      <c r="C19983" s="60"/>
      <c r="D19983" s="60"/>
      <c r="E19983" s="57"/>
      <c r="F19983" s="57"/>
      <c r="G19983" s="58"/>
    </row>
    <row r="19984" spans="1:7" x14ac:dyDescent="0.25">
      <c r="A19984" s="64"/>
      <c r="D19984" s="55"/>
      <c r="E19984" s="49" t="s">
        <v>25</v>
      </c>
      <c r="F19984" s="54">
        <v>0.15</v>
      </c>
      <c r="G19984" s="51">
        <f>G19982*F19984</f>
        <v>4617.1499999999996</v>
      </c>
    </row>
    <row r="19985" spans="1:8" x14ac:dyDescent="0.25">
      <c r="A19985" s="64"/>
      <c r="D19985" s="55"/>
      <c r="E19985" s="49" t="s">
        <v>26</v>
      </c>
      <c r="F19985" s="54">
        <v>0.05</v>
      </c>
      <c r="G19985" s="51">
        <f>G19982*F19985</f>
        <v>1539.0500000000002</v>
      </c>
    </row>
    <row r="19986" spans="1:8" x14ac:dyDescent="0.25">
      <c r="A19986" s="61"/>
      <c r="B19986" s="65"/>
      <c r="C19986" s="65"/>
      <c r="D19986" s="62"/>
      <c r="E19986" s="49" t="s">
        <v>27</v>
      </c>
      <c r="F19986" s="54">
        <v>0.05</v>
      </c>
      <c r="G19986" s="51">
        <f>G19982*F19986</f>
        <v>1539.0500000000002</v>
      </c>
    </row>
    <row r="19987" spans="1:8" x14ac:dyDescent="0.25">
      <c r="A19987" s="61"/>
      <c r="B19987" s="62"/>
      <c r="C19987" s="62"/>
      <c r="D19987" s="62"/>
      <c r="E19987" s="62"/>
      <c r="F19987" s="62"/>
      <c r="G19987" s="63"/>
    </row>
    <row r="19988" spans="1:8" x14ac:dyDescent="0.25">
      <c r="A19988" s="219" t="s">
        <v>1517</v>
      </c>
      <c r="B19988" s="219"/>
      <c r="C19988" s="219"/>
      <c r="D19988" s="219"/>
      <c r="E19988" s="219"/>
      <c r="F19988" s="219"/>
      <c r="G19988" s="52">
        <f>G19982+G19984+G19985+G19986</f>
        <v>38476.250000000007</v>
      </c>
    </row>
    <row r="19989" spans="1:8" x14ac:dyDescent="0.25">
      <c r="A19989" s="59"/>
      <c r="B19989" s="60"/>
      <c r="C19989" s="60"/>
      <c r="D19989" s="60"/>
      <c r="E19989" s="57"/>
      <c r="F19989" s="57"/>
      <c r="G19989" s="58"/>
    </row>
    <row r="19990" spans="1:8" x14ac:dyDescent="0.25">
      <c r="A19990" s="64"/>
      <c r="D19990" s="55"/>
      <c r="E19990" s="49" t="s">
        <v>102</v>
      </c>
      <c r="F19990" s="49" t="s">
        <v>103</v>
      </c>
      <c r="G19990" s="51">
        <f>G19986*19%</f>
        <v>292.41950000000003</v>
      </c>
    </row>
    <row r="19991" spans="1:8" x14ac:dyDescent="0.25">
      <c r="A19991" s="61"/>
      <c r="B19991" s="62"/>
      <c r="C19991" s="62"/>
      <c r="D19991" s="62"/>
      <c r="E19991" s="57"/>
      <c r="F19991" s="57"/>
      <c r="G19991" s="58"/>
    </row>
    <row r="19992" spans="1:8" x14ac:dyDescent="0.25">
      <c r="A19992" s="219" t="s">
        <v>104</v>
      </c>
      <c r="B19992" s="219"/>
      <c r="C19992" s="219"/>
      <c r="D19992" s="219"/>
      <c r="E19992" s="219"/>
      <c r="F19992" s="219"/>
      <c r="G19992" s="52">
        <f>G19990+G19988</f>
        <v>38768.669500000011</v>
      </c>
    </row>
    <row r="19994" spans="1:8" x14ac:dyDescent="0.25">
      <c r="A19994" s="74" t="s">
        <v>29</v>
      </c>
      <c r="B19994" s="226" t="s">
        <v>30</v>
      </c>
      <c r="C19994" s="226"/>
      <c r="D19994" s="74" t="s">
        <v>31</v>
      </c>
      <c r="E19994" s="74" t="s">
        <v>32</v>
      </c>
      <c r="F19994" s="74" t="s">
        <v>189</v>
      </c>
      <c r="G19994" s="74" t="s">
        <v>33</v>
      </c>
      <c r="H19994" s="100"/>
    </row>
    <row r="19995" spans="1:8" ht="30.75" customHeight="1" x14ac:dyDescent="0.25">
      <c r="A19995" s="50" t="str">
        <f>Presupuesto!B384</f>
        <v>052_AUX</v>
      </c>
      <c r="B19995" s="220" t="str">
        <f>Presupuesto!C384</f>
        <v>SUMINISTRO E INSTALACIÓN DE ALIMENTADOR EN CABLE 1X12 F+1X12 N+12 T AWG Cu-THHN - 600 V, TUBO EMT 1/2" (PARA TOMAS DE CASETA.)</v>
      </c>
      <c r="C19995" s="220"/>
      <c r="D19995" s="50" t="s">
        <v>108</v>
      </c>
      <c r="E19995" s="50">
        <v>80</v>
      </c>
      <c r="F19995" s="50"/>
      <c r="G19995" s="51">
        <f>G20064</f>
        <v>46334.485999999997</v>
      </c>
    </row>
    <row r="19996" spans="1:8" x14ac:dyDescent="0.25">
      <c r="A19996" s="219" t="s">
        <v>34</v>
      </c>
      <c r="B19996" s="219"/>
      <c r="C19996" s="219"/>
      <c r="D19996" s="219"/>
      <c r="E19996" s="219"/>
      <c r="F19996" s="219"/>
      <c r="G19996" s="219"/>
    </row>
    <row r="19997" spans="1:8" x14ac:dyDescent="0.25">
      <c r="A19997" s="49" t="s">
        <v>35</v>
      </c>
      <c r="B19997" s="219" t="s">
        <v>36</v>
      </c>
      <c r="C19997" s="219"/>
      <c r="D19997" s="49" t="s">
        <v>37</v>
      </c>
      <c r="E19997" s="49" t="s">
        <v>38</v>
      </c>
      <c r="F19997" s="49" t="s">
        <v>39</v>
      </c>
      <c r="G19997" s="49" t="s">
        <v>40</v>
      </c>
    </row>
    <row r="19998" spans="1:8" x14ac:dyDescent="0.25">
      <c r="A19998" s="17" t="str">
        <f>Material!A158</f>
        <v>MA-157</v>
      </c>
      <c r="B19998" s="72" t="str">
        <f>IFERROR(VLOOKUP(A19998,Material!$A:$H,2,0),"-")</f>
        <v xml:space="preserve">TUBERIA EMT 1/2" </v>
      </c>
      <c r="C19998" s="73"/>
      <c r="D19998" s="50" t="str">
        <f>IFERROR(VLOOKUP(A19998,Material!$A:$H,4,0),"-")</f>
        <v>ML</v>
      </c>
      <c r="E19998" s="50">
        <v>1</v>
      </c>
      <c r="F19998" s="51">
        <f>IFERROR(VLOOKUP(A19998,Material!$A:$H,3,0),"-")</f>
        <v>8580</v>
      </c>
      <c r="G19998" s="51">
        <f t="shared" ref="G19998:G20003" si="288">IFERROR(ROUNDUP(F19998*E19998,0),"-")</f>
        <v>8580</v>
      </c>
    </row>
    <row r="19999" spans="1:8" x14ac:dyDescent="0.25">
      <c r="A19999" s="17" t="str">
        <f>Material!A220</f>
        <v>MA-219</v>
      </c>
      <c r="B19999" s="72" t="str">
        <f>IFERROR(VLOOKUP(A19999,Material!$A:$H,2,0),"-")</f>
        <v>CABLE AISLADO NO 12 AWG COBRE THHN</v>
      </c>
      <c r="C19999" s="73"/>
      <c r="D19999" s="50" t="str">
        <f>IFERROR(VLOOKUP(A19999,Material!$A:$H,4,0),"-")</f>
        <v>ML</v>
      </c>
      <c r="E19999" s="50">
        <v>3</v>
      </c>
      <c r="F19999" s="51">
        <f>IFERROR(VLOOKUP(A19999,Material!$A:$H,3,0),"-")</f>
        <v>3445</v>
      </c>
      <c r="G19999" s="51">
        <f t="shared" si="288"/>
        <v>10335</v>
      </c>
    </row>
    <row r="20000" spans="1:8" x14ac:dyDescent="0.25">
      <c r="A20000" s="17" t="str">
        <f>Material!A161</f>
        <v>MA-160</v>
      </c>
      <c r="B20000" s="72" t="str">
        <f>IFERROR(VLOOKUP(A20000,Material!$A:$H,2,0),"-")</f>
        <v>CURVA 90 GRADOS EMT DE 1/2"</v>
      </c>
      <c r="C20000" s="73"/>
      <c r="D20000" s="50" t="str">
        <f>IFERROR(VLOOKUP(A20000,Material!$A:$H,4,0),"-")</f>
        <v>UN</v>
      </c>
      <c r="E20000" s="50">
        <f>1/10</f>
        <v>0.1</v>
      </c>
      <c r="F20000" s="51">
        <f>IFERROR(VLOOKUP(A20000,Material!$A:$H,3,0),"-")</f>
        <v>1430</v>
      </c>
      <c r="G20000" s="51">
        <f t="shared" si="288"/>
        <v>143</v>
      </c>
    </row>
    <row r="20001" spans="1:7" x14ac:dyDescent="0.25">
      <c r="A20001" s="17" t="str">
        <f>Material!A400</f>
        <v>MA-399</v>
      </c>
      <c r="B20001" s="72" t="str">
        <f>IFERROR(VLOOKUP(A20001,Material!$A:$H,2,0),"-")</f>
        <v>UNION EMT DE 1/2 "</v>
      </c>
      <c r="C20001" s="73"/>
      <c r="D20001" s="50" t="str">
        <f>IFERROR(VLOOKUP(A20001,Material!$A:$H,4,0),"-")</f>
        <v>UN</v>
      </c>
      <c r="E20001" s="107">
        <f>1/3</f>
        <v>0.33333333333333331</v>
      </c>
      <c r="F20001" s="51">
        <f>IFERROR(VLOOKUP(A20001,Material!$A:$H,3,0),"-")</f>
        <v>1170</v>
      </c>
      <c r="G20001" s="51">
        <f t="shared" si="288"/>
        <v>390</v>
      </c>
    </row>
    <row r="20002" spans="1:7" x14ac:dyDescent="0.25">
      <c r="A20002" s="17" t="str">
        <f>Material!A251</f>
        <v>MA-250</v>
      </c>
      <c r="B20002" s="72" t="str">
        <f>IFERROR(VLOOKUP(A20002,Material!$A:$H,2,0),"-")</f>
        <v>TERMINAL-CONECTOR EMT DE 1/2"</v>
      </c>
      <c r="C20002" s="73"/>
      <c r="D20002" s="50" t="str">
        <f>IFERROR(VLOOKUP(A20002,Material!$A:$H,4,0),"-")</f>
        <v>UN</v>
      </c>
      <c r="E20002" s="50">
        <f>1/10</f>
        <v>0.1</v>
      </c>
      <c r="F20002" s="51">
        <f>IFERROR(VLOOKUP(A20002,Material!$A:$H,3,0),"-")</f>
        <v>1300</v>
      </c>
      <c r="G20002" s="51">
        <f t="shared" si="288"/>
        <v>130</v>
      </c>
    </row>
    <row r="20003" spans="1:7" x14ac:dyDescent="0.25">
      <c r="A20003" s="17" t="str">
        <f>Material!A401</f>
        <v>MA-400</v>
      </c>
      <c r="B20003" s="72" t="str">
        <f>IFERROR(VLOOKUP(A20003,Material!$A:$H,2,0),"-")</f>
        <v>ABRAZADERA GRAPA METALICA 1/2"</v>
      </c>
      <c r="C20003" s="73"/>
      <c r="D20003" s="50" t="str">
        <f>IFERROR(VLOOKUP(A20003,Material!$A:$H,4,0),"-")</f>
        <v>UN</v>
      </c>
      <c r="E20003" s="50">
        <v>1</v>
      </c>
      <c r="F20003" s="51">
        <f>IFERROR(VLOOKUP(A20003,Material!$A:$H,3,0),"-")</f>
        <v>1040</v>
      </c>
      <c r="G20003" s="51">
        <f t="shared" si="288"/>
        <v>1040</v>
      </c>
    </row>
    <row r="20004" spans="1:7" x14ac:dyDescent="0.25">
      <c r="A20004" s="17" t="str">
        <f>Material!A576</f>
        <v>MA-575</v>
      </c>
      <c r="B20004" s="72" t="str">
        <f>IFERROR(VLOOKUP(A20004,Material!$A:$H,2,0),"-")</f>
        <v>CAJA METÁLICA GALVANIZADA 5800</v>
      </c>
      <c r="C20004" s="73"/>
      <c r="D20004" s="50" t="str">
        <f>IFERROR(VLOOKUP(A20004,Material!$A:$H,4,0),"-")</f>
        <v>UN</v>
      </c>
      <c r="E20004" s="50">
        <f>1/10</f>
        <v>0.1</v>
      </c>
      <c r="F20004" s="51">
        <f>IFERROR(VLOOKUP(A20004,Material!$A:$H,3,0),"-")</f>
        <v>2730</v>
      </c>
      <c r="G20004" s="51">
        <f t="shared" ref="G20004" si="289">IFERROR(ROUNDUP(F20004*E20004,0),"-")</f>
        <v>273</v>
      </c>
    </row>
    <row r="20005" spans="1:7" x14ac:dyDescent="0.25">
      <c r="A20005" s="17" t="str">
        <f>Material!A196</f>
        <v>MA-195</v>
      </c>
      <c r="B20005" s="72" t="str">
        <f>IFERROR(VLOOKUP(A20005,Material!$A:$H,2,0),"-")</f>
        <v>VARILLA ROSCADA DE 3/8"</v>
      </c>
      <c r="C20005" s="73"/>
      <c r="D20005" s="50" t="str">
        <f>IFERROR(VLOOKUP(A20005,Material!$A:$H,4,0),"-")</f>
        <v>UN</v>
      </c>
      <c r="E20005" s="50">
        <v>0.5</v>
      </c>
      <c r="F20005" s="51">
        <f>IFERROR(VLOOKUP(A20005,Material!$A:$H,3,0),"-")</f>
        <v>3466.6666666666665</v>
      </c>
      <c r="G20005" s="51">
        <f t="shared" ref="G20005" si="290">IFERROR(ROUNDUP(F20005*E20005,0),"-")</f>
        <v>1734</v>
      </c>
    </row>
    <row r="20006" spans="1:7" x14ac:dyDescent="0.25">
      <c r="A20006" s="219" t="s">
        <v>41</v>
      </c>
      <c r="B20006" s="219"/>
      <c r="C20006" s="219"/>
      <c r="D20006" s="219"/>
      <c r="E20006" s="219"/>
      <c r="F20006" s="219"/>
      <c r="G20006" s="52">
        <f>SUM(G19998:G20005)</f>
        <v>22625</v>
      </c>
    </row>
    <row r="20007" spans="1:7" x14ac:dyDescent="0.25">
      <c r="A20007" s="56"/>
      <c r="B20007" s="57"/>
      <c r="C20007" s="57"/>
      <c r="D20007" s="57"/>
      <c r="E20007" s="57"/>
      <c r="F20007" s="57"/>
      <c r="G20007" s="58"/>
    </row>
    <row r="20008" spans="1:7" x14ac:dyDescent="0.25">
      <c r="A20008" s="219" t="s">
        <v>42</v>
      </c>
      <c r="B20008" s="219"/>
      <c r="C20008" s="219"/>
      <c r="D20008" s="219"/>
      <c r="E20008" s="219"/>
      <c r="F20008" s="219"/>
      <c r="G20008" s="219"/>
    </row>
    <row r="20009" spans="1:7" x14ac:dyDescent="0.25">
      <c r="A20009" s="49" t="s">
        <v>35</v>
      </c>
      <c r="B20009" s="49" t="s">
        <v>36</v>
      </c>
      <c r="C20009" s="49" t="s">
        <v>38</v>
      </c>
      <c r="D20009" s="49" t="s">
        <v>43</v>
      </c>
      <c r="E20009" s="49" t="s">
        <v>44</v>
      </c>
      <c r="F20009" s="49" t="s">
        <v>45</v>
      </c>
      <c r="G20009" s="49" t="s">
        <v>40</v>
      </c>
    </row>
    <row r="20010" spans="1:7" x14ac:dyDescent="0.25">
      <c r="A20010" s="50" t="s">
        <v>319</v>
      </c>
      <c r="B20010" s="68" t="str">
        <f>VLOOKUP(A20010,'Componentes APUs'!$H$1:$L$25,2,0)</f>
        <v>Ingeniero Residente de Obra</v>
      </c>
      <c r="C20010" s="93">
        <v>0.25</v>
      </c>
      <c r="D20010" s="50">
        <f>VLOOKUP(A20010,'Componentes APUs'!$H$1:$L$25,3,0)</f>
        <v>4</v>
      </c>
      <c r="E20010" s="51">
        <f>VLOOKUP(A20010,'Componentes APUs'!$H$1:$L$25,4,0)</f>
        <v>271142.85714285716</v>
      </c>
      <c r="F20010" s="51">
        <f>VLOOKUP(A20010,'Componentes APUs'!$H$1:$L$25,5,0)</f>
        <v>162685.71428571429</v>
      </c>
      <c r="G20010" s="51">
        <f>ROUNDUP((E20010+F20010)*C20010/E19995,0)</f>
        <v>1356</v>
      </c>
    </row>
    <row r="20011" spans="1:7" x14ac:dyDescent="0.25">
      <c r="A20011" s="50" t="s">
        <v>320</v>
      </c>
      <c r="B20011" s="68" t="str">
        <f>VLOOKUP(A20011,'Componentes APUs'!$H$1:$L$25,2,0)</f>
        <v>Tecnico Supervisor</v>
      </c>
      <c r="C20011" s="93">
        <v>0.25</v>
      </c>
      <c r="D20011" s="50">
        <f>VLOOKUP(A20011,'Componentes APUs'!$H$1:$L$25,3,0)</f>
        <v>2.2999999999999998</v>
      </c>
      <c r="E20011" s="51">
        <f>VLOOKUP(A20011,'Componentes APUs'!$H$1:$L$25,4,0)</f>
        <v>155907.14285714284</v>
      </c>
      <c r="F20011" s="51">
        <f>VLOOKUP(A20011,'Componentes APUs'!$H$1:$L$25,5,0)</f>
        <v>93544.285714285696</v>
      </c>
      <c r="G20011" s="51">
        <f>ROUNDUP((E20011+F20011)*C20011/E19995,0)</f>
        <v>780</v>
      </c>
    </row>
    <row r="20012" spans="1:7" x14ac:dyDescent="0.25">
      <c r="A20012" s="50" t="s">
        <v>1160</v>
      </c>
      <c r="B20012" s="68" t="str">
        <f>VLOOKUP(A20012,'Componentes APUs'!$H$1:$L$25,2,0)</f>
        <v>Oficial Eléctrico</v>
      </c>
      <c r="C20012" s="93">
        <v>1</v>
      </c>
      <c r="D20012" s="50">
        <f>VLOOKUP(A20012,'Componentes APUs'!$H$1:$L$25,3,0)</f>
        <v>2</v>
      </c>
      <c r="E20012" s="51">
        <f>VLOOKUP(A20012,'Componentes APUs'!$H$1:$L$25,4,0)</f>
        <v>154619.04761904763</v>
      </c>
      <c r="F20012" s="51">
        <f>VLOOKUP(A20012,'Componentes APUs'!$H$1:$L$25,5,0)</f>
        <v>92771.42857142858</v>
      </c>
      <c r="G20012" s="51">
        <f>ROUNDUP((E20012+F20012)*C20012/E19995,0)</f>
        <v>3093</v>
      </c>
    </row>
    <row r="20013" spans="1:7" x14ac:dyDescent="0.25">
      <c r="A20013" s="50" t="s">
        <v>48</v>
      </c>
      <c r="B20013" s="68" t="str">
        <f>VLOOKUP(A20013,'Componentes APUs'!$H$1:$L$25,2,0)</f>
        <v>Ayudante Calificado</v>
      </c>
      <c r="C20013" s="93">
        <v>2</v>
      </c>
      <c r="D20013" s="50">
        <f>VLOOKUP(A20013,'Componentes APUs'!$H$1:$L$25,3,0)</f>
        <v>1.5</v>
      </c>
      <c r="E20013" s="51">
        <f>VLOOKUP(A20013,'Componentes APUs'!$H$1:$L$25,4,0)</f>
        <v>115964.28571428571</v>
      </c>
      <c r="F20013" s="51">
        <f>VLOOKUP(A20013,'Componentes APUs'!$H$1:$L$25,5,0)</f>
        <v>69578.57142857142</v>
      </c>
      <c r="G20013" s="51">
        <f>ROUNDUP((E20013+F20013)*C20013/E19995,0)</f>
        <v>4639</v>
      </c>
    </row>
    <row r="20014" spans="1:7" x14ac:dyDescent="0.25">
      <c r="A20014" s="50" t="s">
        <v>50</v>
      </c>
      <c r="B20014" s="68" t="str">
        <f>VLOOKUP(A20014,'Componentes APUs'!$H$1:$L$25,2,0)</f>
        <v>Profesional en SST</v>
      </c>
      <c r="C20014" s="93">
        <v>0.25</v>
      </c>
      <c r="D20014" s="50">
        <f>VLOOKUP(A20014,'Componentes APUs'!$H$1:$L$25,3,0)</f>
        <v>2.5</v>
      </c>
      <c r="E20014" s="51">
        <f>VLOOKUP(A20014,'Componentes APUs'!$H$1:$L$25,4,0)</f>
        <v>169464.28571428571</v>
      </c>
      <c r="F20014" s="51">
        <f>VLOOKUP(A20014,'Componentes APUs'!$H$1:$L$25,5,0)</f>
        <v>101678.57142857142</v>
      </c>
      <c r="G20014" s="51">
        <f>ROUNDUP((E20014+F20014)*C20014/E19995,0)</f>
        <v>848</v>
      </c>
    </row>
    <row r="20015" spans="1:7" x14ac:dyDescent="0.25">
      <c r="A20015" s="50" t="s">
        <v>52</v>
      </c>
      <c r="B20015" s="68" t="str">
        <f>VLOOKUP(A20015,'Componentes APUs'!$H$1:$L$25,2,0)</f>
        <v>Ayudante No Calificado</v>
      </c>
      <c r="C20015" s="93">
        <v>0</v>
      </c>
      <c r="D20015" s="50">
        <f>VLOOKUP(A20015,'Componentes APUs'!$H$1:$L$25,3,0)</f>
        <v>1</v>
      </c>
      <c r="E20015" s="51">
        <f>VLOOKUP(A20015,'Componentes APUs'!$H$1:$L$25,4,0)</f>
        <v>77309.523809523816</v>
      </c>
      <c r="F20015" s="51">
        <f>VLOOKUP(A20015,'Componentes APUs'!$H$1:$L$25,5,0)</f>
        <v>46385.71428571429</v>
      </c>
      <c r="G20015" s="51">
        <f>ROUNDUP((E20015+F20015)*C20015/E19995,0)</f>
        <v>0</v>
      </c>
    </row>
    <row r="20016" spans="1:7" x14ac:dyDescent="0.25">
      <c r="A20016" s="219" t="s">
        <v>56</v>
      </c>
      <c r="B20016" s="219"/>
      <c r="C20016" s="219"/>
      <c r="D20016" s="219"/>
      <c r="E20016" s="219"/>
      <c r="F20016" s="219"/>
      <c r="G20016" s="52">
        <f>SUM(G20010:G20015)</f>
        <v>10716</v>
      </c>
    </row>
    <row r="20017" spans="1:7" x14ac:dyDescent="0.25">
      <c r="A20017" s="56"/>
      <c r="B20017" s="57"/>
      <c r="C20017" s="57"/>
      <c r="D20017" s="57"/>
      <c r="E20017" s="57"/>
      <c r="F20017" s="57"/>
      <c r="G20017" s="58"/>
    </row>
    <row r="20018" spans="1:7" x14ac:dyDescent="0.25">
      <c r="A20018" s="219" t="s">
        <v>57</v>
      </c>
      <c r="B20018" s="219"/>
      <c r="C20018" s="219"/>
      <c r="D20018" s="219"/>
      <c r="E20018" s="219"/>
      <c r="F20018" s="219"/>
      <c r="G20018" s="219"/>
    </row>
    <row r="20019" spans="1:7" x14ac:dyDescent="0.25">
      <c r="A20019" s="49" t="s">
        <v>35</v>
      </c>
      <c r="B20019" s="219" t="s">
        <v>36</v>
      </c>
      <c r="C20019" s="219"/>
      <c r="D20019" s="49" t="s">
        <v>37</v>
      </c>
      <c r="E20019" s="49" t="s">
        <v>38</v>
      </c>
      <c r="F20019" s="49" t="s">
        <v>39</v>
      </c>
      <c r="G20019" s="49" t="s">
        <v>40</v>
      </c>
    </row>
    <row r="20020" spans="1:7" x14ac:dyDescent="0.25">
      <c r="A20020" s="50" t="s">
        <v>326</v>
      </c>
      <c r="B20020" s="220" t="str">
        <f>VLOOKUP(A20020,'Componentes APUs'!$S$1:$V$10,2,0)</f>
        <v>Juego Llaves</v>
      </c>
      <c r="C20020" s="220"/>
      <c r="D20020" s="50" t="s">
        <v>18</v>
      </c>
      <c r="E20020" s="50">
        <v>1</v>
      </c>
      <c r="F20020" s="51">
        <f>VLOOKUP(A20020,'Componentes APUs'!$S$1:$V$10,4,0)</f>
        <v>9167</v>
      </c>
      <c r="G20020" s="51">
        <f>ROUNDUP(F20020*((E20020/21)/E19995),0)</f>
        <v>6</v>
      </c>
    </row>
    <row r="20021" spans="1:7" x14ac:dyDescent="0.25">
      <c r="A20021" s="50" t="s">
        <v>58</v>
      </c>
      <c r="B20021" s="220" t="str">
        <f>VLOOKUP(A20021,'Componentes APUs'!$S$1:$V$10,2,0)</f>
        <v>Manila de servicio</v>
      </c>
      <c r="C20021" s="220"/>
      <c r="D20021" s="50" t="s">
        <v>18</v>
      </c>
      <c r="E20021" s="50">
        <v>0</v>
      </c>
      <c r="F20021" s="51">
        <f>VLOOKUP(A20021,'Componentes APUs'!$S$1:$V$10,4,0)</f>
        <v>2333</v>
      </c>
      <c r="G20021" s="51">
        <f>ROUNDUP(F20021*((E20021/21)/E19995),0)</f>
        <v>0</v>
      </c>
    </row>
    <row r="20022" spans="1:7" x14ac:dyDescent="0.25">
      <c r="A20022" s="50" t="s">
        <v>327</v>
      </c>
      <c r="B20022" s="220" t="str">
        <f>VLOOKUP(A20022,'Componentes APUs'!$S$1:$V$10,2,0)</f>
        <v>Tula portaherramientas</v>
      </c>
      <c r="C20022" s="220"/>
      <c r="D20022" s="50" t="s">
        <v>18</v>
      </c>
      <c r="E20022" s="50">
        <v>1</v>
      </c>
      <c r="F20022" s="51">
        <f>VLOOKUP(A20022,'Componentes APUs'!$S$1:$V$10,4,0)</f>
        <v>1250</v>
      </c>
      <c r="G20022" s="51">
        <f>ROUNDUP(F20022*((E20022/21)/E19995),0)</f>
        <v>1</v>
      </c>
    </row>
    <row r="20023" spans="1:7" x14ac:dyDescent="0.25">
      <c r="A20023" s="50" t="s">
        <v>60</v>
      </c>
      <c r="B20023" s="220" t="str">
        <f>VLOOKUP(A20023,'Componentes APUs'!$S$1:$V$10,2,0)</f>
        <v>Agarradoras</v>
      </c>
      <c r="C20023" s="220"/>
      <c r="D20023" s="50" t="s">
        <v>18</v>
      </c>
      <c r="E20023" s="50">
        <v>0</v>
      </c>
      <c r="F20023" s="51">
        <f>VLOOKUP(A20023,'Componentes APUs'!$S$1:$V$10,4,0)</f>
        <v>125000</v>
      </c>
      <c r="G20023" s="51">
        <f>ROUNDUP(F20023*((E20023/21)/E19995),0)</f>
        <v>0</v>
      </c>
    </row>
    <row r="20024" spans="1:7" x14ac:dyDescent="0.25">
      <c r="A20024" s="50" t="s">
        <v>62</v>
      </c>
      <c r="B20024" s="220" t="str">
        <f>VLOOKUP(A20024,'Componentes APUs'!$S$1:$V$10,2,0)</f>
        <v>Templadoras</v>
      </c>
      <c r="C20024" s="220"/>
      <c r="D20024" s="50" t="s">
        <v>18</v>
      </c>
      <c r="E20024" s="50">
        <v>0</v>
      </c>
      <c r="F20024" s="51">
        <f>VLOOKUP(A20024,'Componentes APUs'!$S$1:$V$10,4,0)</f>
        <v>250000</v>
      </c>
      <c r="G20024" s="51">
        <f>ROUNDUP(F20024*((E20024/21)/E19995),0)</f>
        <v>0</v>
      </c>
    </row>
    <row r="20025" spans="1:7" x14ac:dyDescent="0.25">
      <c r="A20025" s="50" t="s">
        <v>328</v>
      </c>
      <c r="B20025" s="220" t="str">
        <f>VLOOKUP(A20025,'Componentes APUs'!$S$1:$V$10,2,0)</f>
        <v>Herramienta Menor</v>
      </c>
      <c r="C20025" s="220"/>
      <c r="D20025" s="50" t="s">
        <v>18</v>
      </c>
      <c r="E20025" s="50">
        <v>1</v>
      </c>
      <c r="F20025" s="51">
        <f>VLOOKUP(A20025,'Componentes APUs'!$S$1:$V$10,4,0)</f>
        <v>75758</v>
      </c>
      <c r="G20025" s="51">
        <f>ROUNDUP(F20025*((E20025/21)/E19995),0)</f>
        <v>46</v>
      </c>
    </row>
    <row r="20026" spans="1:7" x14ac:dyDescent="0.25">
      <c r="A20026" s="219" t="s">
        <v>69</v>
      </c>
      <c r="B20026" s="219"/>
      <c r="C20026" s="219"/>
      <c r="D20026" s="219"/>
      <c r="E20026" s="219"/>
      <c r="F20026" s="219"/>
      <c r="G20026" s="52">
        <f>SUM(G20020:G20025)</f>
        <v>53</v>
      </c>
    </row>
    <row r="20027" spans="1:7" x14ac:dyDescent="0.25">
      <c r="A20027" s="56"/>
      <c r="B20027" s="57"/>
      <c r="C20027" s="57"/>
      <c r="D20027" s="57"/>
      <c r="E20027" s="57"/>
      <c r="F20027" s="57"/>
      <c r="G20027" s="58"/>
    </row>
    <row r="20028" spans="1:7" x14ac:dyDescent="0.25">
      <c r="A20028" s="219" t="s">
        <v>70</v>
      </c>
      <c r="B20028" s="219"/>
      <c r="C20028" s="219"/>
      <c r="D20028" s="219"/>
      <c r="E20028" s="219"/>
      <c r="F20028" s="219"/>
      <c r="G20028" s="219"/>
    </row>
    <row r="20029" spans="1:7" x14ac:dyDescent="0.25">
      <c r="A20029" s="49" t="s">
        <v>35</v>
      </c>
      <c r="B20029" s="219" t="s">
        <v>36</v>
      </c>
      <c r="C20029" s="219"/>
      <c r="D20029" s="49" t="s">
        <v>37</v>
      </c>
      <c r="E20029" s="49" t="s">
        <v>38</v>
      </c>
      <c r="F20029" s="49" t="s">
        <v>39</v>
      </c>
      <c r="G20029" s="49" t="s">
        <v>40</v>
      </c>
    </row>
    <row r="20030" spans="1:7" x14ac:dyDescent="0.25">
      <c r="A20030" s="50" t="s">
        <v>71</v>
      </c>
      <c r="B20030" s="71" t="str">
        <f>VLOOKUP(A20030,'Componentes APUs'!$A$1:$D$14,2,0)</f>
        <v>Camisa indigo sin partes metalicas</v>
      </c>
      <c r="C20030" s="71"/>
      <c r="D20030" s="50" t="str">
        <f>VLOOKUP(A20030,'Componentes APUs'!$A$1:$D$14,3,0)</f>
        <v>U</v>
      </c>
      <c r="E20030" s="50">
        <f>SUM(C20010:C20015)</f>
        <v>3.75</v>
      </c>
      <c r="F20030" s="51">
        <f>VLOOKUP(A20030,'Componentes APUs'!$A$1:$D$14,4,0)</f>
        <v>8585.8585858585866</v>
      </c>
      <c r="G20030" s="51">
        <f>ROUNDUP(F20030*(E20030/21)/E19995,0)</f>
        <v>20</v>
      </c>
    </row>
    <row r="20031" spans="1:7" x14ac:dyDescent="0.25">
      <c r="A20031" s="69" t="s">
        <v>73</v>
      </c>
      <c r="B20031" s="72" t="str">
        <f>VLOOKUP(A20031,'Componentes APUs'!$A$1:$D$14,2,0)</f>
        <v>Bota de seguridad dielectrica</v>
      </c>
      <c r="C20031" s="73"/>
      <c r="D20031" s="70" t="str">
        <f>VLOOKUP(A20031,'Componentes APUs'!$A$1:$D$14,3,0)</f>
        <v>Par</v>
      </c>
      <c r="E20031" s="50">
        <f>SUM(C20010:C20015)</f>
        <v>3.75</v>
      </c>
      <c r="F20031" s="51">
        <f>VLOOKUP(A20031,'Componentes APUs'!$A$1:$D$14,4,0)</f>
        <v>7500</v>
      </c>
      <c r="G20031" s="51">
        <f>ROUNDUP(F20031*(E20031/21)/E19995,0)</f>
        <v>17</v>
      </c>
    </row>
    <row r="20032" spans="1:7" x14ac:dyDescent="0.25">
      <c r="A20032" s="50" t="s">
        <v>76</v>
      </c>
      <c r="B20032" s="72" t="str">
        <f>VLOOKUP(A20032,'Componentes APUs'!$A$1:$D$14,2,0)</f>
        <v>Casco dielectrico Tipo 1 Clase E con barbuquejo</v>
      </c>
      <c r="C20032" s="73"/>
      <c r="D20032" s="50" t="str">
        <f>VLOOKUP(A20032,'Componentes APUs'!$A$1:$D$14,3,0)</f>
        <v>U</v>
      </c>
      <c r="E20032" s="50">
        <f>C20015+C20010+C20013+C20014+C20011+IF(A20012&lt;&gt;"MO-3",C20012,0)</f>
        <v>3.75</v>
      </c>
      <c r="F20032" s="51">
        <f>VLOOKUP(A20032,'Componentes APUs'!$A$1:$D$14,4,0)</f>
        <v>10101.010101010101</v>
      </c>
      <c r="G20032" s="51">
        <f>ROUNDUP(F20032*(E20032/21)/E19995,0)</f>
        <v>23</v>
      </c>
    </row>
    <row r="20033" spans="1:7" x14ac:dyDescent="0.25">
      <c r="A20033" s="69" t="s">
        <v>77</v>
      </c>
      <c r="B20033" s="72" t="str">
        <f>VLOOKUP(A20033,'Componentes APUs'!$A$1:$D$14,2,0)</f>
        <v>Correa plastica y antiflama</v>
      </c>
      <c r="C20033" s="73"/>
      <c r="D20033" s="50" t="str">
        <f>VLOOKUP(A20033,'Componentes APUs'!$A$1:$D$14,3,0)</f>
        <v>U</v>
      </c>
      <c r="E20033" s="50">
        <f>SUM(C20010:C20015)</f>
        <v>3.75</v>
      </c>
      <c r="F20033" s="51">
        <f>VLOOKUP(A20033,'Componentes APUs'!$A$1:$D$14,4,0)</f>
        <v>3787.878787878788</v>
      </c>
      <c r="G20033" s="51">
        <f>ROUNDUP(F20033*(E20033/21)/E19995,0)</f>
        <v>9</v>
      </c>
    </row>
    <row r="20034" spans="1:7" x14ac:dyDescent="0.25">
      <c r="A20034" s="50" t="s">
        <v>79</v>
      </c>
      <c r="B20034" s="72" t="str">
        <f>VLOOKUP(A20034,'Componentes APUs'!$A$1:$D$14,2,0)</f>
        <v>Gafas protectoras filtro UV</v>
      </c>
      <c r="C20034" s="73"/>
      <c r="D20034" s="50" t="str">
        <f>VLOOKUP(A20034,'Componentes APUs'!$A$1:$D$14,3,0)</f>
        <v>U</v>
      </c>
      <c r="E20034" s="50">
        <f>SUM(C20010:C20015)</f>
        <v>3.75</v>
      </c>
      <c r="F20034" s="51">
        <f>VLOOKUP(A20034,'Componentes APUs'!$A$1:$D$14,4,0)</f>
        <v>2777.7777777777778</v>
      </c>
      <c r="G20034" s="51">
        <f>ROUNDUP(F20034*(E20034/21)/E19995,0)</f>
        <v>7</v>
      </c>
    </row>
    <row r="20035" spans="1:7" x14ac:dyDescent="0.25">
      <c r="A20035" s="69" t="s">
        <v>402</v>
      </c>
      <c r="B20035" s="72" t="str">
        <f>VLOOKUP(A20035,'Componentes APUs'!$A$1:$D$14,2,0)</f>
        <v>Bota de seguridad PVC dielectrica</v>
      </c>
      <c r="C20035" s="73"/>
      <c r="D20035" s="50" t="str">
        <f>VLOOKUP(A20035,'Componentes APUs'!$A$1:$D$14,3,0)</f>
        <v>Par</v>
      </c>
      <c r="E20035" s="50">
        <f>SUM(C20010:C20015)</f>
        <v>3.75</v>
      </c>
      <c r="F20035" s="51">
        <f>VLOOKUP(A20035,'Componentes APUs'!$A$1:$D$14,4,0)</f>
        <v>2916.6666666666665</v>
      </c>
      <c r="G20035" s="51">
        <f>ROUNDUP(F20035*(E20035/21)/E19995,0)</f>
        <v>7</v>
      </c>
    </row>
    <row r="20036" spans="1:7" x14ac:dyDescent="0.25">
      <c r="A20036" s="50" t="s">
        <v>403</v>
      </c>
      <c r="B20036" s="72" t="str">
        <f>VLOOKUP(A20036,'Componentes APUs'!$A$1:$D$14,2,0)</f>
        <v>Capuchon</v>
      </c>
      <c r="C20036" s="73"/>
      <c r="D20036" s="50" t="str">
        <f>VLOOKUP(A20036,'Componentes APUs'!$A$1:$D$14,3,0)</f>
        <v>U</v>
      </c>
      <c r="E20036" s="50">
        <f>SUM(C20010:C20015)</f>
        <v>3.75</v>
      </c>
      <c r="F20036" s="51">
        <f>VLOOKUP(A20036,'Componentes APUs'!$A$1:$D$14,4,0)</f>
        <v>2525.2525252525252</v>
      </c>
      <c r="G20036" s="51">
        <f>ROUNDUP(F20036*(E20036/21)/E19995,0)</f>
        <v>6</v>
      </c>
    </row>
    <row r="20037" spans="1:7" x14ac:dyDescent="0.25">
      <c r="A20037" s="69" t="s">
        <v>81</v>
      </c>
      <c r="B20037" s="72" t="str">
        <f>VLOOKUP(A20037,'Componentes APUs'!$A$1:$D$14,2,0)</f>
        <v>Guantes Protectores  - ingeniero reforzados</v>
      </c>
      <c r="C20037" s="73"/>
      <c r="D20037" s="50" t="str">
        <f>VLOOKUP(A20037,'Componentes APUs'!$A$1:$D$14,3,0)</f>
        <v>Par</v>
      </c>
      <c r="E20037" s="50">
        <f>C20012+C20013+C20015</f>
        <v>3</v>
      </c>
      <c r="F20037" s="51">
        <f>VLOOKUP(A20037,'Componentes APUs'!$A$1:$D$14,4,0)</f>
        <v>2525.2525252525252</v>
      </c>
      <c r="G20037" s="51">
        <f>ROUNDUP(F20037*(E20037/21)/E19995,0)</f>
        <v>5</v>
      </c>
    </row>
    <row r="20038" spans="1:7" x14ac:dyDescent="0.25">
      <c r="A20038" s="50" t="s">
        <v>83</v>
      </c>
      <c r="B20038" s="72" t="str">
        <f>VLOOKUP(A20038,'Componentes APUs'!$A$1:$D$14,2,0)</f>
        <v>Impermeable (pantalon camisa)</v>
      </c>
      <c r="C20038" s="73"/>
      <c r="D20038" s="50" t="str">
        <f>VLOOKUP(A20038,'Componentes APUs'!$A$1:$D$14,3,0)</f>
        <v>U</v>
      </c>
      <c r="E20038" s="50">
        <f>SUM(C20010:C20015)</f>
        <v>3.75</v>
      </c>
      <c r="F20038" s="51">
        <f>VLOOKUP(A20038,'Componentes APUs'!$A$1:$D$14,4,0)</f>
        <v>3750</v>
      </c>
      <c r="G20038" s="51">
        <f>ROUNDUP(F20038*(E20038/21)/E19995,0)</f>
        <v>9</v>
      </c>
    </row>
    <row r="20039" spans="1:7" x14ac:dyDescent="0.25">
      <c r="A20039" s="69" t="s">
        <v>85</v>
      </c>
      <c r="B20039" s="72" t="str">
        <f>VLOOKUP(A20039,'Componentes APUs'!$A$1:$D$14,2,0)</f>
        <v>Jean Dielectrico</v>
      </c>
      <c r="C20039" s="73"/>
      <c r="D20039" s="50" t="str">
        <f>VLOOKUP(A20039,'Componentes APUs'!$A$1:$D$14,3,0)</f>
        <v>U</v>
      </c>
      <c r="E20039" s="50">
        <f>SUM(C20010:C20015)</f>
        <v>3.75</v>
      </c>
      <c r="F20039" s="51">
        <f>VLOOKUP(A20039,'Componentes APUs'!$A$1:$D$14,4,0)</f>
        <v>7575.757575757576</v>
      </c>
      <c r="G20039" s="51">
        <f>ROUNDUP(F20039*(E20039/21)/E19995,0)</f>
        <v>17</v>
      </c>
    </row>
    <row r="20040" spans="1:7" x14ac:dyDescent="0.25">
      <c r="A20040" s="50" t="s">
        <v>87</v>
      </c>
      <c r="B20040" s="72" t="str">
        <f>VLOOKUP(A20040,'Componentes APUs'!$A$1:$D$14,2,0)</f>
        <v>Casco dielectrico Tipo 2 Clase E con barboquejo</v>
      </c>
      <c r="C20040" s="73"/>
      <c r="D20040" s="50" t="str">
        <f>VLOOKUP(A20040,'Componentes APUs'!$A$1:$D$14,3,0)</f>
        <v>U</v>
      </c>
      <c r="E20040" s="53">
        <f>IF(A20012="MO-3",C20012,0)</f>
        <v>0</v>
      </c>
      <c r="F20040" s="51">
        <f>VLOOKUP(A20040,'Componentes APUs'!$A$1:$D$14,4,0)</f>
        <v>7500</v>
      </c>
      <c r="G20040" s="51">
        <f>ROUNDUP(F20040*(E20040/21)/E19995,0)</f>
        <v>0</v>
      </c>
    </row>
    <row r="20041" spans="1:7" x14ac:dyDescent="0.25">
      <c r="A20041" s="69" t="s">
        <v>89</v>
      </c>
      <c r="B20041" s="72" t="str">
        <f>VLOOKUP(A20041,'Componentes APUs'!$A$1:$D$14,2,0)</f>
        <v>Kit de rescate para trabajo en alturas</v>
      </c>
      <c r="C20041" s="73"/>
      <c r="D20041" s="50" t="str">
        <f>VLOOKUP(A20041,'Componentes APUs'!$A$1:$D$14,3,0)</f>
        <v>U</v>
      </c>
      <c r="E20041" s="50">
        <f>IF(AND(A20012="MO-3",C20012=2),1,0)</f>
        <v>0</v>
      </c>
      <c r="F20041" s="51">
        <f>VLOOKUP(A20041,'Componentes APUs'!$A$1:$D$14,4,0)</f>
        <v>37500</v>
      </c>
      <c r="G20041" s="51">
        <f>ROUNDUP(F20041*(E20041/21)/E19995,0)</f>
        <v>0</v>
      </c>
    </row>
    <row r="20042" spans="1:7" x14ac:dyDescent="0.25">
      <c r="A20042" s="50" t="s">
        <v>91</v>
      </c>
      <c r="B20042" s="72" t="str">
        <f>VLOOKUP(A20042,'Componentes APUs'!$A$1:$D$14,2,0)</f>
        <v>Equipo completo para trabajo en alturas con pretales (Arnes dielectrico, 1 mosqueton de seguridad, tie off dielectrico, eslinga de posicionamiento, juego de pretales)</v>
      </c>
      <c r="C20042" s="73"/>
      <c r="D20042" s="50" t="str">
        <f>VLOOKUP(A20042,'Componentes APUs'!$A$1:$D$14,3,0)</f>
        <v>U</v>
      </c>
      <c r="E20042" s="50">
        <f>IF(A20012="MO-3",C20012,0)</f>
        <v>0</v>
      </c>
      <c r="F20042" s="51">
        <f>VLOOKUP(A20042,'Componentes APUs'!$A$1:$D$14,4,0)</f>
        <v>26041.666666666668</v>
      </c>
      <c r="G20042" s="51">
        <f>ROUNDUP(F20042*(E20042/21)/E19995,0)</f>
        <v>0</v>
      </c>
    </row>
    <row r="20043" spans="1:7" x14ac:dyDescent="0.25">
      <c r="A20043" s="219" t="s">
        <v>95</v>
      </c>
      <c r="B20043" s="219"/>
      <c r="C20043" s="219"/>
      <c r="D20043" s="219"/>
      <c r="E20043" s="219"/>
      <c r="F20043" s="219"/>
      <c r="G20043" s="52">
        <f>SUM(G20030:G20042)</f>
        <v>120</v>
      </c>
    </row>
    <row r="20044" spans="1:7" x14ac:dyDescent="0.25">
      <c r="A20044" s="56"/>
      <c r="B20044" s="57"/>
      <c r="C20044" s="57"/>
      <c r="D20044" s="57"/>
      <c r="E20044" s="57"/>
      <c r="F20044" s="57"/>
      <c r="G20044" s="58"/>
    </row>
    <row r="20045" spans="1:7" x14ac:dyDescent="0.25">
      <c r="A20045" s="219" t="s">
        <v>96</v>
      </c>
      <c r="B20045" s="219"/>
      <c r="C20045" s="219"/>
      <c r="D20045" s="219"/>
      <c r="E20045" s="219"/>
      <c r="F20045" s="219"/>
      <c r="G20045" s="219"/>
    </row>
    <row r="20046" spans="1:7" x14ac:dyDescent="0.25">
      <c r="A20046" s="49" t="s">
        <v>35</v>
      </c>
      <c r="B20046" s="225" t="s">
        <v>36</v>
      </c>
      <c r="C20046" s="225"/>
      <c r="D20046" s="49" t="s">
        <v>37</v>
      </c>
      <c r="E20046" s="49" t="s">
        <v>38</v>
      </c>
      <c r="F20046" s="49" t="s">
        <v>39</v>
      </c>
      <c r="G20046" s="49" t="s">
        <v>40</v>
      </c>
    </row>
    <row r="20047" spans="1:7" x14ac:dyDescent="0.25">
      <c r="A20047" s="69" t="s">
        <v>97</v>
      </c>
      <c r="B20047" s="72" t="str">
        <f>VLOOKUP(A20047,'Componentes APUs'!$N$1:$Q$30,2,0)</f>
        <v>Camioneta</v>
      </c>
      <c r="C20047" s="73"/>
      <c r="D20047" s="70" t="str">
        <f>VLOOKUP(A20047,'Componentes APUs'!$N$1:$Q$30,3,0)</f>
        <v>U</v>
      </c>
      <c r="E20047" s="50">
        <v>1</v>
      </c>
      <c r="F20047" s="51">
        <f>VLOOKUP(A20047,'Componentes APUs'!$N$1:$Q$30,4,0)</f>
        <v>5500000</v>
      </c>
      <c r="G20047" s="51">
        <f>IFERROR(ROUNDUP(F20047*(E20047/21)/E19995,0),0)</f>
        <v>3274</v>
      </c>
    </row>
    <row r="20048" spans="1:7" x14ac:dyDescent="0.25">
      <c r="A20048" s="50" t="s">
        <v>321</v>
      </c>
      <c r="B20048" s="72" t="str">
        <f>VLOOKUP(A20048,'Componentes APUs'!$N$1:$Q$30,2,0)</f>
        <v>Grúa Hidráulica</v>
      </c>
      <c r="C20048" s="73"/>
      <c r="D20048" s="70" t="str">
        <f>VLOOKUP(A20048,'Componentes APUs'!$N$1:$Q$30,3,0)</f>
        <v>U</v>
      </c>
      <c r="E20048" s="50">
        <v>0</v>
      </c>
      <c r="F20048" s="51">
        <f>VLOOKUP(A20048,'Componentes APUs'!$N$1:$Q$30,4,0)</f>
        <v>21000000</v>
      </c>
      <c r="G20048" s="51">
        <f>IFERROR(ROUNDUP(F20048*(E20048/21)/E19995,0),0)</f>
        <v>0</v>
      </c>
    </row>
    <row r="20049" spans="1:7" x14ac:dyDescent="0.25">
      <c r="A20049" s="69" t="s">
        <v>322</v>
      </c>
      <c r="B20049" s="72" t="str">
        <f>VLOOKUP(A20049,'Componentes APUs'!$N$1:$Q$30,2,0)</f>
        <v>Camabaja</v>
      </c>
      <c r="C20049" s="73"/>
      <c r="D20049" s="70" t="str">
        <f>VLOOKUP(A20049,'Componentes APUs'!$N$1:$Q$30,3,0)</f>
        <v>TON/KM</v>
      </c>
      <c r="E20049" s="50">
        <v>0</v>
      </c>
      <c r="F20049" s="51">
        <f>VLOOKUP(A20049,'Componentes APUs'!$N$1:$Q$30,4,0)</f>
        <v>611</v>
      </c>
      <c r="G20049" s="51">
        <f>IFERROR(ROUNDUP(F20049*(E20049/21)/E19995,0),0)</f>
        <v>0</v>
      </c>
    </row>
    <row r="20050" spans="1:7" x14ac:dyDescent="0.25">
      <c r="A20050" s="50" t="s">
        <v>323</v>
      </c>
      <c r="B20050" s="72" t="str">
        <f>VLOOKUP(A20050,'Componentes APUs'!$N$1:$Q$30,2,0)</f>
        <v>Volqueta</v>
      </c>
      <c r="C20050" s="73"/>
      <c r="D20050" s="70" t="str">
        <f>VLOOKUP(A20050,'Componentes APUs'!$N$1:$Q$30,3,0)</f>
        <v>U</v>
      </c>
      <c r="E20050" s="50">
        <v>0</v>
      </c>
      <c r="F20050" s="51">
        <f>VLOOKUP(A20050,'Componentes APUs'!$N$1:$Q$30,4,0)</f>
        <v>14828184</v>
      </c>
      <c r="G20050" s="51">
        <f>IFERROR(ROUNDUP(F20050*(E20050/21)/E19995,0),0)</f>
        <v>0</v>
      </c>
    </row>
    <row r="20051" spans="1:7" x14ac:dyDescent="0.25">
      <c r="A20051" s="69" t="s">
        <v>324</v>
      </c>
      <c r="B20051" s="72" t="str">
        <f>VLOOKUP(A20051,'Componentes APUs'!$N$1:$Q$30,2,0)</f>
        <v>Retroexcavadora</v>
      </c>
      <c r="C20051" s="73"/>
      <c r="D20051" s="70" t="str">
        <f>VLOOKUP(A20051,'Componentes APUs'!$N$1:$Q$30,3,0)</f>
        <v>U</v>
      </c>
      <c r="E20051" s="50">
        <v>0</v>
      </c>
      <c r="F20051" s="51">
        <f>VLOOKUP(A20051,'Componentes APUs'!$N$1:$Q$30,4,0)</f>
        <v>46030656</v>
      </c>
      <c r="G20051" s="51">
        <f>IFERROR(ROUNDUP(F20051*(E20051/21)/E19995,0),0)</f>
        <v>0</v>
      </c>
    </row>
    <row r="20052" spans="1:7" x14ac:dyDescent="0.25">
      <c r="A20052" s="219" t="s">
        <v>99</v>
      </c>
      <c r="B20052" s="219"/>
      <c r="C20052" s="219"/>
      <c r="D20052" s="219"/>
      <c r="E20052" s="219"/>
      <c r="F20052" s="219"/>
      <c r="G20052" s="52">
        <f>SUM(G20047:G20051)</f>
        <v>3274</v>
      </c>
    </row>
    <row r="20053" spans="1:7" x14ac:dyDescent="0.25">
      <c r="A20053" s="56"/>
      <c r="B20053" s="57"/>
      <c r="C20053" s="57"/>
      <c r="D20053" s="57"/>
      <c r="E20053" s="57"/>
      <c r="F20053" s="57"/>
      <c r="G20053" s="58"/>
    </row>
    <row r="20054" spans="1:7" x14ac:dyDescent="0.25">
      <c r="A20054" s="219" t="s">
        <v>1516</v>
      </c>
      <c r="B20054" s="219"/>
      <c r="C20054" s="219"/>
      <c r="D20054" s="219"/>
      <c r="E20054" s="219"/>
      <c r="F20054" s="219"/>
      <c r="G20054" s="52">
        <f>G20052+G20043+G20026+G20016+G20006</f>
        <v>36788</v>
      </c>
    </row>
    <row r="20055" spans="1:7" x14ac:dyDescent="0.25">
      <c r="A20055" s="59"/>
      <c r="B20055" s="60"/>
      <c r="C20055" s="60"/>
      <c r="D20055" s="60"/>
      <c r="E20055" s="57"/>
      <c r="F20055" s="57"/>
      <c r="G20055" s="58"/>
    </row>
    <row r="20056" spans="1:7" x14ac:dyDescent="0.25">
      <c r="A20056" s="64"/>
      <c r="D20056" s="55"/>
      <c r="E20056" s="49" t="s">
        <v>25</v>
      </c>
      <c r="F20056" s="54">
        <v>0.15</v>
      </c>
      <c r="G20056" s="51">
        <f>G20054*F20056</f>
        <v>5518.2</v>
      </c>
    </row>
    <row r="20057" spans="1:7" x14ac:dyDescent="0.25">
      <c r="A20057" s="64"/>
      <c r="D20057" s="55"/>
      <c r="E20057" s="49" t="s">
        <v>26</v>
      </c>
      <c r="F20057" s="54">
        <v>0.05</v>
      </c>
      <c r="G20057" s="51">
        <f>G20054*F20057</f>
        <v>1839.4</v>
      </c>
    </row>
    <row r="20058" spans="1:7" x14ac:dyDescent="0.25">
      <c r="A20058" s="61"/>
      <c r="B20058" s="65"/>
      <c r="C20058" s="65"/>
      <c r="D20058" s="62"/>
      <c r="E20058" s="49" t="s">
        <v>27</v>
      </c>
      <c r="F20058" s="54">
        <v>0.05</v>
      </c>
      <c r="G20058" s="51">
        <f>G20054*F20058</f>
        <v>1839.4</v>
      </c>
    </row>
    <row r="20059" spans="1:7" x14ac:dyDescent="0.25">
      <c r="A20059" s="61"/>
      <c r="B20059" s="62"/>
      <c r="C20059" s="62"/>
      <c r="D20059" s="62"/>
      <c r="E20059" s="62"/>
      <c r="F20059" s="62"/>
      <c r="G20059" s="63"/>
    </row>
    <row r="20060" spans="1:7" x14ac:dyDescent="0.25">
      <c r="A20060" s="219" t="s">
        <v>1517</v>
      </c>
      <c r="B20060" s="219"/>
      <c r="C20060" s="219"/>
      <c r="D20060" s="219"/>
      <c r="E20060" s="219"/>
      <c r="F20060" s="219"/>
      <c r="G20060" s="52">
        <f>G20054+G20056+G20057+G20058</f>
        <v>45985</v>
      </c>
    </row>
    <row r="20061" spans="1:7" x14ac:dyDescent="0.25">
      <c r="A20061" s="59"/>
      <c r="B20061" s="60"/>
      <c r="C20061" s="60"/>
      <c r="D20061" s="60"/>
      <c r="E20061" s="57"/>
      <c r="F20061" s="57"/>
      <c r="G20061" s="58"/>
    </row>
    <row r="20062" spans="1:7" x14ac:dyDescent="0.25">
      <c r="A20062" s="64"/>
      <c r="D20062" s="55"/>
      <c r="E20062" s="49" t="s">
        <v>102</v>
      </c>
      <c r="F20062" s="49" t="s">
        <v>103</v>
      </c>
      <c r="G20062" s="51">
        <f>G20058*19%</f>
        <v>349.48600000000005</v>
      </c>
    </row>
    <row r="20063" spans="1:7" x14ac:dyDescent="0.25">
      <c r="A20063" s="61"/>
      <c r="B20063" s="62"/>
      <c r="C20063" s="62"/>
      <c r="D20063" s="62"/>
      <c r="E20063" s="57"/>
      <c r="F20063" s="57"/>
      <c r="G20063" s="58"/>
    </row>
    <row r="20064" spans="1:7" x14ac:dyDescent="0.25">
      <c r="A20064" s="219" t="s">
        <v>104</v>
      </c>
      <c r="B20064" s="219"/>
      <c r="C20064" s="219"/>
      <c r="D20064" s="219"/>
      <c r="E20064" s="219"/>
      <c r="F20064" s="219"/>
      <c r="G20064" s="52">
        <f>G20062+G20060</f>
        <v>46334.485999999997</v>
      </c>
    </row>
    <row r="20066" spans="1:8" x14ac:dyDescent="0.25">
      <c r="A20066" s="74" t="s">
        <v>29</v>
      </c>
      <c r="B20066" s="237" t="s">
        <v>30</v>
      </c>
      <c r="C20066" s="238"/>
      <c r="D20066" s="74" t="s">
        <v>31</v>
      </c>
      <c r="E20066" s="74" t="s">
        <v>32</v>
      </c>
      <c r="F20066" s="74" t="s">
        <v>189</v>
      </c>
      <c r="G20066" s="74" t="s">
        <v>33</v>
      </c>
    </row>
    <row r="20067" spans="1:8" ht="41.25" customHeight="1" x14ac:dyDescent="0.25">
      <c r="A20067" s="50" t="str">
        <f>Presupuesto!B385</f>
        <v>053_AUX</v>
      </c>
      <c r="B20067" s="220" t="str">
        <f>Presupuesto!C385</f>
        <v>SUMINISTRO E INSTALACIÓN DE SALIDA DE TOMA MONOFÁSICA EN TUBERÍA EMT DE  1/2" CON CABLE Cu (1#12+1#12+1#12 AWG )+CAJA RAWELT. (Longitud Promedio 15M)</v>
      </c>
      <c r="C20067" s="239"/>
      <c r="D20067" s="50" t="s">
        <v>108</v>
      </c>
      <c r="E20067" s="50">
        <v>6</v>
      </c>
      <c r="F20067" s="50"/>
      <c r="G20067" s="51">
        <f>G20139</f>
        <v>624002.90150000004</v>
      </c>
    </row>
    <row r="20068" spans="1:8" x14ac:dyDescent="0.25">
      <c r="A20068" s="219" t="s">
        <v>34</v>
      </c>
      <c r="B20068" s="219"/>
      <c r="C20068" s="219"/>
      <c r="D20068" s="219"/>
      <c r="E20068" s="219"/>
      <c r="F20068" s="219"/>
      <c r="G20068" s="219"/>
    </row>
    <row r="20069" spans="1:8" x14ac:dyDescent="0.25">
      <c r="A20069" s="49" t="s">
        <v>35</v>
      </c>
      <c r="B20069" s="234" t="s">
        <v>36</v>
      </c>
      <c r="C20069" s="235"/>
      <c r="D20069" s="49" t="s">
        <v>37</v>
      </c>
      <c r="E20069" s="49" t="s">
        <v>38</v>
      </c>
      <c r="F20069" s="49" t="s">
        <v>39</v>
      </c>
      <c r="G20069" s="49" t="s">
        <v>40</v>
      </c>
    </row>
    <row r="20070" spans="1:8" x14ac:dyDescent="0.25">
      <c r="A20070" s="17" t="str">
        <f>Material!A158</f>
        <v>MA-157</v>
      </c>
      <c r="B20070" s="72" t="str">
        <f>IFERROR(VLOOKUP(A20070,Material!$A:$H,2,0),"-")</f>
        <v xml:space="preserve">TUBERIA EMT 1/2" </v>
      </c>
      <c r="C20070" s="73"/>
      <c r="D20070" s="50" t="str">
        <f>IFERROR(VLOOKUP(A20070,Material!$A:$H,4,0),"-")</f>
        <v>ML</v>
      </c>
      <c r="E20070" s="50">
        <v>15</v>
      </c>
      <c r="F20070" s="51">
        <f>IFERROR(VLOOKUP(A20070,Material!$A:$H,3,0),"-")</f>
        <v>8580</v>
      </c>
      <c r="G20070" s="51">
        <f t="shared" ref="G20070:G20079" si="291">IFERROR(ROUNDUP(F20070*E20070,0),"-")</f>
        <v>128700</v>
      </c>
    </row>
    <row r="20071" spans="1:8" x14ac:dyDescent="0.25">
      <c r="A20071" s="17" t="str">
        <f>Material!A251</f>
        <v>MA-250</v>
      </c>
      <c r="B20071" s="72" t="str">
        <f>IFERROR(VLOOKUP(A20071,Material!$A:$H,2,0),"-")</f>
        <v>TERMINAL-CONECTOR EMT DE 1/2"</v>
      </c>
      <c r="C20071" s="76"/>
      <c r="D20071" s="50" t="str">
        <f>IFERROR(VLOOKUP(A20071,Material!$A:$H,4,0),"-")</f>
        <v>UN</v>
      </c>
      <c r="E20071" s="50">
        <v>2</v>
      </c>
      <c r="F20071" s="51">
        <f>IFERROR(VLOOKUP(A20071,Material!$A:$H,3,0),"-")</f>
        <v>1300</v>
      </c>
      <c r="G20071" s="51">
        <f t="shared" si="291"/>
        <v>2600</v>
      </c>
      <c r="H20071" s="1"/>
    </row>
    <row r="20072" spans="1:8" x14ac:dyDescent="0.25">
      <c r="A20072" s="17" t="str">
        <f>Material!A400</f>
        <v>MA-399</v>
      </c>
      <c r="B20072" s="72" t="str">
        <f>IFERROR(VLOOKUP(A20072,Material!$A:$H,2,0),"-")</f>
        <v>UNION EMT DE 1/2 "</v>
      </c>
      <c r="C20072" s="76"/>
      <c r="D20072" s="50" t="str">
        <f>IFERROR(VLOOKUP(A20072,Material!$A:$H,4,0),"-")</f>
        <v>UN</v>
      </c>
      <c r="E20072" s="50">
        <f>2+E20070/3</f>
        <v>7</v>
      </c>
      <c r="F20072" s="51">
        <f>IFERROR(VLOOKUP(A20072,Material!$A:$H,3,0),"-")</f>
        <v>1170</v>
      </c>
      <c r="G20072" s="51">
        <f t="shared" si="291"/>
        <v>8190</v>
      </c>
    </row>
    <row r="20073" spans="1:8" x14ac:dyDescent="0.25">
      <c r="A20073" s="17" t="str">
        <f>Material!A161</f>
        <v>MA-160</v>
      </c>
      <c r="B20073" s="72" t="str">
        <f>IFERROR(VLOOKUP(A20073,Material!$A:$H,2,0),"-")</f>
        <v>CURVA 90 GRADOS EMT DE 1/2"</v>
      </c>
      <c r="C20073" s="76"/>
      <c r="D20073" s="50" t="str">
        <f>IFERROR(VLOOKUP(A20073,Material!$A:$H,4,0),"-")</f>
        <v>UN</v>
      </c>
      <c r="E20073" s="50">
        <v>1</v>
      </c>
      <c r="F20073" s="51">
        <f>IFERROR(VLOOKUP(A20073,Material!$A:$H,3,0),"-")</f>
        <v>1430</v>
      </c>
      <c r="G20073" s="51">
        <f t="shared" si="291"/>
        <v>1430</v>
      </c>
    </row>
    <row r="20074" spans="1:8" x14ac:dyDescent="0.25">
      <c r="A20074" s="17" t="str">
        <f>Material!A401</f>
        <v>MA-400</v>
      </c>
      <c r="B20074" s="72" t="str">
        <f>IFERROR(VLOOKUP(A20074,Material!$A:$H,2,0),"-")</f>
        <v>ABRAZADERA GRAPA METALICA 1/2"</v>
      </c>
      <c r="C20074" s="76"/>
      <c r="D20074" s="50" t="str">
        <f>IFERROR(VLOOKUP(A20074,Material!$A:$H,4,0),"-")</f>
        <v>UN</v>
      </c>
      <c r="E20074" s="50">
        <f>E20070</f>
        <v>15</v>
      </c>
      <c r="F20074" s="51">
        <f>IFERROR(VLOOKUP(A20074,Material!$A:$H,3,0),"-")</f>
        <v>1040</v>
      </c>
      <c r="G20074" s="51">
        <f t="shared" si="291"/>
        <v>15600</v>
      </c>
    </row>
    <row r="20075" spans="1:8" x14ac:dyDescent="0.25">
      <c r="A20075" s="17" t="str">
        <f>Material!A220</f>
        <v>MA-219</v>
      </c>
      <c r="B20075" s="72" t="str">
        <f>IFERROR(VLOOKUP(A20075,Material!$A:$H,2,0),"-")</f>
        <v>CABLE AISLADO NO 12 AWG COBRE THHN</v>
      </c>
      <c r="C20075" s="76"/>
      <c r="D20075" s="50" t="str">
        <f>IFERROR(VLOOKUP(A20075,Material!$A:$H,4,0),"-")</f>
        <v>ML</v>
      </c>
      <c r="E20075" s="50">
        <f>15*3</f>
        <v>45</v>
      </c>
      <c r="F20075" s="51">
        <f>IFERROR(VLOOKUP(A20075,Material!$A:$H,3,0),"-")</f>
        <v>3445</v>
      </c>
      <c r="G20075" s="51">
        <f t="shared" si="291"/>
        <v>155025</v>
      </c>
    </row>
    <row r="20076" spans="1:8" x14ac:dyDescent="0.25">
      <c r="A20076" s="17" t="str">
        <f>Material!A230</f>
        <v>MA-229</v>
      </c>
      <c r="B20076" s="72" t="str">
        <f>IFERROR(VLOOKUP(A20076,Material!$A:$H,2,0),"-")</f>
        <v>TOMA CORRIENTE LEVITON</v>
      </c>
      <c r="C20076" s="76"/>
      <c r="D20076" s="50" t="str">
        <f>IFERROR(VLOOKUP(A20076,Material!$A:$H,4,0),"-")</f>
        <v>UN</v>
      </c>
      <c r="E20076" s="50">
        <v>1</v>
      </c>
      <c r="F20076" s="51">
        <f>IFERROR(VLOOKUP(A20076,Material!$A:$H,3,0),"-")</f>
        <v>4615</v>
      </c>
      <c r="G20076" s="51">
        <f t="shared" si="291"/>
        <v>4615</v>
      </c>
    </row>
    <row r="20077" spans="1:8" x14ac:dyDescent="0.25">
      <c r="A20077" s="17" t="str">
        <f>Material!A228</f>
        <v>MA-227</v>
      </c>
      <c r="B20077" s="72" t="str">
        <f>IFERROR(VLOOKUP(A20077,Material!$A:$H,2,0),"-")</f>
        <v>TERMINAL SOLDER AMARILLO 22-14 VCP</v>
      </c>
      <c r="C20077" s="76"/>
      <c r="D20077" s="50" t="str">
        <f>IFERROR(VLOOKUP(A20077,Material!$A:$H,4,0),"-")</f>
        <v>UN</v>
      </c>
      <c r="E20077" s="50">
        <v>3</v>
      </c>
      <c r="F20077" s="51">
        <f>IFERROR(VLOOKUP(A20077,Material!$A:$H,3,0),"-")</f>
        <v>299</v>
      </c>
      <c r="G20077" s="51">
        <f t="shared" si="291"/>
        <v>897</v>
      </c>
    </row>
    <row r="20078" spans="1:8" x14ac:dyDescent="0.25">
      <c r="A20078" s="17" t="str">
        <f>Material!A229</f>
        <v>MA-228</v>
      </c>
      <c r="B20078" s="72" t="str">
        <f>IFERROR(VLOOKUP(A20078,Material!$A:$H,2,0),"-")</f>
        <v>CINTA DE COLORES</v>
      </c>
      <c r="C20078" s="76"/>
      <c r="D20078" s="50" t="str">
        <f>IFERROR(VLOOKUP(A20078,Material!$A:$H,4,0),"-")</f>
        <v>ML</v>
      </c>
      <c r="E20078" s="50">
        <v>7.0000000000000007E-2</v>
      </c>
      <c r="F20078" s="51">
        <f>IFERROR(VLOOKUP(A20078,Material!$A:$H,3,0),"-")</f>
        <v>54.080000000000005</v>
      </c>
      <c r="G20078" s="51">
        <f t="shared" si="291"/>
        <v>4</v>
      </c>
    </row>
    <row r="20079" spans="1:8" x14ac:dyDescent="0.25">
      <c r="A20079" s="17" t="str">
        <f>Material!A451</f>
        <v>MA-450</v>
      </c>
      <c r="B20079" s="72" t="str">
        <f>IFERROR(VLOOKUP(A20079,Material!$A:$H,2,0),"-")</f>
        <v>CAJA FS 2X4  4 SALIDAS 1/2"</v>
      </c>
      <c r="C20079" s="76"/>
      <c r="D20079" s="50" t="str">
        <f>IFERROR(VLOOKUP(A20079,Material!$A:$H,4,0),"-")</f>
        <v>UN</v>
      </c>
      <c r="E20079" s="50">
        <v>1</v>
      </c>
      <c r="F20079" s="51">
        <f>IFERROR(VLOOKUP(A20079,Material!$A:$H,3,0),"-")</f>
        <v>16633.5</v>
      </c>
      <c r="G20079" s="51">
        <f t="shared" si="291"/>
        <v>16634</v>
      </c>
    </row>
    <row r="20080" spans="1:8" x14ac:dyDescent="0.25">
      <c r="A20080" s="17" t="str">
        <f>Material!A574</f>
        <v>MA-573</v>
      </c>
      <c r="B20080" s="72" t="str">
        <f>IFERROR(VLOOKUP(A20080,Material!$A:$H,2,0),"-")</f>
        <v>TAPA PARA TOMA DOBLE BLANCA LEVITON</v>
      </c>
      <c r="C20080" s="76"/>
      <c r="D20080" s="50" t="str">
        <f>IFERROR(VLOOKUP(A20080,Material!$A:$H,4,0),"-")</f>
        <v>UN</v>
      </c>
      <c r="E20080" s="50">
        <v>1</v>
      </c>
      <c r="F20080" s="51">
        <f>IFERROR(VLOOKUP(A20080,Material!$A:$H,3,0),"-")</f>
        <v>4355</v>
      </c>
      <c r="G20080" s="51">
        <f t="shared" ref="G20080" si="292">IFERROR(ROUNDUP(F20080*E20080,0),"-")</f>
        <v>4355</v>
      </c>
    </row>
    <row r="20081" spans="1:7" x14ac:dyDescent="0.25">
      <c r="A20081" s="234" t="s">
        <v>41</v>
      </c>
      <c r="B20081" s="236"/>
      <c r="C20081" s="236"/>
      <c r="D20081" s="236"/>
      <c r="E20081" s="236"/>
      <c r="F20081" s="235"/>
      <c r="G20081" s="52">
        <f>SUM(G20070:G20080)</f>
        <v>338050</v>
      </c>
    </row>
    <row r="20082" spans="1:7" x14ac:dyDescent="0.25">
      <c r="A20082" s="56"/>
      <c r="B20082" s="57"/>
      <c r="C20082" s="57"/>
      <c r="D20082" s="57"/>
      <c r="E20082" s="57"/>
      <c r="F20082" s="57"/>
      <c r="G20082" s="58"/>
    </row>
    <row r="20083" spans="1:7" x14ac:dyDescent="0.25">
      <c r="A20083" s="219" t="s">
        <v>42</v>
      </c>
      <c r="B20083" s="219"/>
      <c r="C20083" s="219"/>
      <c r="D20083" s="219"/>
      <c r="E20083" s="219"/>
      <c r="F20083" s="219"/>
      <c r="G20083" s="219"/>
    </row>
    <row r="20084" spans="1:7" x14ac:dyDescent="0.25">
      <c r="A20084" s="49" t="s">
        <v>35</v>
      </c>
      <c r="B20084" s="49" t="s">
        <v>36</v>
      </c>
      <c r="C20084" s="49" t="s">
        <v>38</v>
      </c>
      <c r="D20084" s="49" t="s">
        <v>43</v>
      </c>
      <c r="E20084" s="49" t="s">
        <v>44</v>
      </c>
      <c r="F20084" s="49" t="s">
        <v>45</v>
      </c>
      <c r="G20084" s="49" t="s">
        <v>40</v>
      </c>
    </row>
    <row r="20085" spans="1:7" x14ac:dyDescent="0.25">
      <c r="A20085" s="50" t="s">
        <v>319</v>
      </c>
      <c r="B20085" s="68" t="str">
        <f>VLOOKUP(A20085,'Componentes APUs'!$H$1:$L$25,2,0)</f>
        <v>Ingeniero Residente de Obra</v>
      </c>
      <c r="C20085" s="93">
        <v>0.25</v>
      </c>
      <c r="D20085" s="50">
        <f>VLOOKUP(A20085,'Componentes APUs'!$H$1:$L$25,3,0)</f>
        <v>4</v>
      </c>
      <c r="E20085" s="51">
        <f>VLOOKUP(A20085,'Componentes APUs'!$H$1:$L$25,4,0)</f>
        <v>271142.85714285716</v>
      </c>
      <c r="F20085" s="51">
        <f>VLOOKUP(A20085,'Componentes APUs'!$H$1:$L$25,5,0)</f>
        <v>162685.71428571429</v>
      </c>
      <c r="G20085" s="51">
        <f>ROUNDUP((E20085+F20085)*C20085/E20067,0)</f>
        <v>18077</v>
      </c>
    </row>
    <row r="20086" spans="1:7" x14ac:dyDescent="0.25">
      <c r="A20086" s="50" t="s">
        <v>320</v>
      </c>
      <c r="B20086" s="68" t="str">
        <f>VLOOKUP(A20086,'Componentes APUs'!$H$1:$L$25,2,0)</f>
        <v>Tecnico Supervisor</v>
      </c>
      <c r="C20086" s="93">
        <v>0.25</v>
      </c>
      <c r="D20086" s="50">
        <f>VLOOKUP(A20086,'Componentes APUs'!$H$1:$L$25,3,0)</f>
        <v>2.2999999999999998</v>
      </c>
      <c r="E20086" s="51">
        <f>VLOOKUP(A20086,'Componentes APUs'!$H$1:$L$25,4,0)</f>
        <v>155907.14285714284</v>
      </c>
      <c r="F20086" s="51">
        <f>VLOOKUP(A20086,'Componentes APUs'!$H$1:$L$25,5,0)</f>
        <v>93544.285714285696</v>
      </c>
      <c r="G20086" s="51">
        <f>ROUNDUP((E20086+F20086)*C20086/E20067,0)</f>
        <v>10394</v>
      </c>
    </row>
    <row r="20087" spans="1:7" x14ac:dyDescent="0.25">
      <c r="A20087" s="50" t="s">
        <v>1160</v>
      </c>
      <c r="B20087" s="68" t="str">
        <f>VLOOKUP(A20087,'Componentes APUs'!$H$1:$L$25,2,0)</f>
        <v>Oficial Eléctrico</v>
      </c>
      <c r="C20087" s="93">
        <v>1</v>
      </c>
      <c r="D20087" s="50">
        <f>VLOOKUP(A20087,'Componentes APUs'!$H$1:$L$25,3,0)</f>
        <v>2</v>
      </c>
      <c r="E20087" s="51">
        <f>VLOOKUP(A20087,'Componentes APUs'!$H$1:$L$25,4,0)</f>
        <v>154619.04761904763</v>
      </c>
      <c r="F20087" s="51">
        <f>VLOOKUP(A20087,'Componentes APUs'!$H$1:$L$25,5,0)</f>
        <v>92771.42857142858</v>
      </c>
      <c r="G20087" s="51">
        <f>ROUNDUP((E20087+F20087)*C20087/E20067,0)</f>
        <v>41232</v>
      </c>
    </row>
    <row r="20088" spans="1:7" x14ac:dyDescent="0.25">
      <c r="A20088" s="50" t="s">
        <v>48</v>
      </c>
      <c r="B20088" s="68" t="str">
        <f>VLOOKUP(A20088,'Componentes APUs'!$H$1:$L$25,2,0)</f>
        <v>Ayudante Calificado</v>
      </c>
      <c r="C20088" s="93">
        <v>1</v>
      </c>
      <c r="D20088" s="50">
        <f>VLOOKUP(A20088,'Componentes APUs'!$H$1:$L$25,3,0)</f>
        <v>1.5</v>
      </c>
      <c r="E20088" s="51">
        <f>VLOOKUP(A20088,'Componentes APUs'!$H$1:$L$25,4,0)</f>
        <v>115964.28571428571</v>
      </c>
      <c r="F20088" s="51">
        <f>VLOOKUP(A20088,'Componentes APUs'!$H$1:$L$25,5,0)</f>
        <v>69578.57142857142</v>
      </c>
      <c r="G20088" s="51">
        <f>ROUNDUP((E20088+F20088)*C20088/E20067,0)</f>
        <v>30924</v>
      </c>
    </row>
    <row r="20089" spans="1:7" x14ac:dyDescent="0.25">
      <c r="A20089" s="50" t="s">
        <v>50</v>
      </c>
      <c r="B20089" s="68" t="str">
        <f>VLOOKUP(A20089,'Componentes APUs'!$H$1:$L$25,2,0)</f>
        <v>Profesional en SST</v>
      </c>
      <c r="C20089" s="93">
        <v>0.25</v>
      </c>
      <c r="D20089" s="50">
        <f>VLOOKUP(A20089,'Componentes APUs'!$H$1:$L$25,3,0)</f>
        <v>2.5</v>
      </c>
      <c r="E20089" s="51">
        <f>VLOOKUP(A20089,'Componentes APUs'!$H$1:$L$25,4,0)</f>
        <v>169464.28571428571</v>
      </c>
      <c r="F20089" s="51">
        <f>VLOOKUP(A20089,'Componentes APUs'!$H$1:$L$25,5,0)</f>
        <v>101678.57142857142</v>
      </c>
      <c r="G20089" s="51">
        <f>ROUNDUP((E20089+F20089)*C20089/E20067,0)</f>
        <v>11298</v>
      </c>
    </row>
    <row r="20090" spans="1:7" x14ac:dyDescent="0.25">
      <c r="A20090" s="50" t="s">
        <v>52</v>
      </c>
      <c r="B20090" s="68" t="str">
        <f>VLOOKUP(A20090,'Componentes APUs'!$H$1:$L$25,2,0)</f>
        <v>Ayudante No Calificado</v>
      </c>
      <c r="C20090" s="93">
        <v>0</v>
      </c>
      <c r="D20090" s="50">
        <f>VLOOKUP(A20090,'Componentes APUs'!$H$1:$L$25,3,0)</f>
        <v>1</v>
      </c>
      <c r="E20090" s="51">
        <f>VLOOKUP(A20090,'Componentes APUs'!$H$1:$L$25,4,0)</f>
        <v>77309.523809523816</v>
      </c>
      <c r="F20090" s="51">
        <f>VLOOKUP(A20090,'Componentes APUs'!$H$1:$L$25,5,0)</f>
        <v>46385.71428571429</v>
      </c>
      <c r="G20090" s="51">
        <f>ROUNDUP((E20090+F20090)*C20090/E20067,0)</f>
        <v>0</v>
      </c>
    </row>
    <row r="20091" spans="1:7" x14ac:dyDescent="0.25">
      <c r="A20091" s="219" t="s">
        <v>56</v>
      </c>
      <c r="B20091" s="219"/>
      <c r="C20091" s="219"/>
      <c r="D20091" s="219"/>
      <c r="E20091" s="219"/>
      <c r="F20091" s="219"/>
      <c r="G20091" s="52">
        <f>SUM(G20085:G20090)</f>
        <v>111925</v>
      </c>
    </row>
    <row r="20092" spans="1:7" x14ac:dyDescent="0.25">
      <c r="A20092" s="56"/>
      <c r="B20092" s="57"/>
      <c r="C20092" s="57"/>
      <c r="D20092" s="57"/>
      <c r="E20092" s="57"/>
      <c r="F20092" s="57"/>
      <c r="G20092" s="58"/>
    </row>
    <row r="20093" spans="1:7" x14ac:dyDescent="0.25">
      <c r="A20093" s="219" t="s">
        <v>57</v>
      </c>
      <c r="B20093" s="219"/>
      <c r="C20093" s="219"/>
      <c r="D20093" s="219"/>
      <c r="E20093" s="219"/>
      <c r="F20093" s="219"/>
      <c r="G20093" s="219"/>
    </row>
    <row r="20094" spans="1:7" x14ac:dyDescent="0.25">
      <c r="A20094" s="49" t="s">
        <v>35</v>
      </c>
      <c r="B20094" s="219" t="s">
        <v>36</v>
      </c>
      <c r="C20094" s="219"/>
      <c r="D20094" s="49" t="s">
        <v>37</v>
      </c>
      <c r="E20094" s="49" t="s">
        <v>38</v>
      </c>
      <c r="F20094" s="49" t="s">
        <v>39</v>
      </c>
      <c r="G20094" s="49" t="s">
        <v>40</v>
      </c>
    </row>
    <row r="20095" spans="1:7" x14ac:dyDescent="0.25">
      <c r="A20095" s="50" t="s">
        <v>326</v>
      </c>
      <c r="B20095" s="220" t="str">
        <f>VLOOKUP(A20095,'Componentes APUs'!$S$1:$V$10,2,0)</f>
        <v>Juego Llaves</v>
      </c>
      <c r="C20095" s="220"/>
      <c r="D20095" s="50" t="s">
        <v>18</v>
      </c>
      <c r="E20095" s="50">
        <v>1</v>
      </c>
      <c r="F20095" s="51">
        <f>VLOOKUP(A20095,'Componentes APUs'!$S$1:$V$10,4,0)</f>
        <v>9167</v>
      </c>
      <c r="G20095" s="51">
        <f>ROUNDUP(F20095*((E20095/21)/E20067),0)</f>
        <v>73</v>
      </c>
    </row>
    <row r="20096" spans="1:7" x14ac:dyDescent="0.25">
      <c r="A20096" s="50" t="s">
        <v>58</v>
      </c>
      <c r="B20096" s="220" t="str">
        <f>VLOOKUP(A20096,'Componentes APUs'!$S$1:$V$10,2,0)</f>
        <v>Manila de servicio</v>
      </c>
      <c r="C20096" s="220"/>
      <c r="D20096" s="50" t="s">
        <v>18</v>
      </c>
      <c r="E20096" s="50">
        <v>0</v>
      </c>
      <c r="F20096" s="51">
        <f>VLOOKUP(A20096,'Componentes APUs'!$S$1:$V$10,4,0)</f>
        <v>2333</v>
      </c>
      <c r="G20096" s="51">
        <f>ROUNDUP(F20096*((E20096/21)/E20067),0)</f>
        <v>0</v>
      </c>
    </row>
    <row r="20097" spans="1:7" x14ac:dyDescent="0.25">
      <c r="A20097" s="50" t="s">
        <v>327</v>
      </c>
      <c r="B20097" s="220" t="str">
        <f>VLOOKUP(A20097,'Componentes APUs'!$S$1:$V$10,2,0)</f>
        <v>Tula portaherramientas</v>
      </c>
      <c r="C20097" s="220"/>
      <c r="D20097" s="50" t="s">
        <v>18</v>
      </c>
      <c r="E20097" s="50">
        <v>1</v>
      </c>
      <c r="F20097" s="51">
        <f>VLOOKUP(A20097,'Componentes APUs'!$S$1:$V$10,4,0)</f>
        <v>1250</v>
      </c>
      <c r="G20097" s="51">
        <f>ROUNDUP(F20097*((E20097/21)/E20067),0)</f>
        <v>10</v>
      </c>
    </row>
    <row r="20098" spans="1:7" x14ac:dyDescent="0.25">
      <c r="A20098" s="50" t="s">
        <v>60</v>
      </c>
      <c r="B20098" s="220" t="str">
        <f>VLOOKUP(A20098,'Componentes APUs'!$S$1:$V$10,2,0)</f>
        <v>Agarradoras</v>
      </c>
      <c r="C20098" s="220"/>
      <c r="D20098" s="50" t="s">
        <v>18</v>
      </c>
      <c r="E20098" s="50">
        <v>0</v>
      </c>
      <c r="F20098" s="51">
        <f>VLOOKUP(A20098,'Componentes APUs'!$S$1:$V$10,4,0)</f>
        <v>125000</v>
      </c>
      <c r="G20098" s="51">
        <f>ROUNDUP(F20098*((E20098/21)/E20067),0)</f>
        <v>0</v>
      </c>
    </row>
    <row r="20099" spans="1:7" x14ac:dyDescent="0.25">
      <c r="A20099" s="50" t="s">
        <v>62</v>
      </c>
      <c r="B20099" s="220" t="str">
        <f>VLOOKUP(A20099,'Componentes APUs'!$S$1:$V$10,2,0)</f>
        <v>Templadoras</v>
      </c>
      <c r="C20099" s="220"/>
      <c r="D20099" s="50" t="s">
        <v>18</v>
      </c>
      <c r="E20099" s="50">
        <v>0</v>
      </c>
      <c r="F20099" s="51">
        <f>VLOOKUP(A20099,'Componentes APUs'!$S$1:$V$10,4,0)</f>
        <v>250000</v>
      </c>
      <c r="G20099" s="51">
        <f>ROUNDUP(F20099*((E20099/21)/E20067),0)</f>
        <v>0</v>
      </c>
    </row>
    <row r="20100" spans="1:7" x14ac:dyDescent="0.25">
      <c r="A20100" s="50" t="s">
        <v>328</v>
      </c>
      <c r="B20100" s="220" t="str">
        <f>VLOOKUP(A20100,'Componentes APUs'!$S$1:$V$10,2,0)</f>
        <v>Herramienta Menor</v>
      </c>
      <c r="C20100" s="220"/>
      <c r="D20100" s="50" t="s">
        <v>18</v>
      </c>
      <c r="E20100" s="50">
        <v>1</v>
      </c>
      <c r="F20100" s="51">
        <f>VLOOKUP(A20100,'Componentes APUs'!$S$1:$V$10,4,0)</f>
        <v>75758</v>
      </c>
      <c r="G20100" s="51">
        <f>ROUNDUP(F20100*((E20100/21)/E20067),0)</f>
        <v>602</v>
      </c>
    </row>
    <row r="20101" spans="1:7" x14ac:dyDescent="0.25">
      <c r="A20101" s="219" t="s">
        <v>69</v>
      </c>
      <c r="B20101" s="219"/>
      <c r="C20101" s="219"/>
      <c r="D20101" s="219"/>
      <c r="E20101" s="219"/>
      <c r="F20101" s="219"/>
      <c r="G20101" s="52">
        <f>SUM(G20095:G20100)</f>
        <v>685</v>
      </c>
    </row>
    <row r="20102" spans="1:7" x14ac:dyDescent="0.25">
      <c r="A20102" s="56"/>
      <c r="B20102" s="57"/>
      <c r="C20102" s="57"/>
      <c r="D20102" s="57"/>
      <c r="E20102" s="57"/>
      <c r="F20102" s="57"/>
      <c r="G20102" s="58"/>
    </row>
    <row r="20103" spans="1:7" x14ac:dyDescent="0.25">
      <c r="A20103" s="219" t="s">
        <v>70</v>
      </c>
      <c r="B20103" s="219"/>
      <c r="C20103" s="219"/>
      <c r="D20103" s="219"/>
      <c r="E20103" s="219"/>
      <c r="F20103" s="219"/>
      <c r="G20103" s="219"/>
    </row>
    <row r="20104" spans="1:7" x14ac:dyDescent="0.25">
      <c r="A20104" s="49" t="s">
        <v>35</v>
      </c>
      <c r="B20104" s="219" t="s">
        <v>36</v>
      </c>
      <c r="C20104" s="219"/>
      <c r="D20104" s="49" t="s">
        <v>37</v>
      </c>
      <c r="E20104" s="49" t="s">
        <v>38</v>
      </c>
      <c r="F20104" s="49" t="s">
        <v>39</v>
      </c>
      <c r="G20104" s="49" t="s">
        <v>40</v>
      </c>
    </row>
    <row r="20105" spans="1:7" x14ac:dyDescent="0.25">
      <c r="A20105" s="50" t="s">
        <v>71</v>
      </c>
      <c r="B20105" s="71" t="str">
        <f>VLOOKUP(A20105,'Componentes APUs'!$A$1:$D$14,2,0)</f>
        <v>Camisa indigo sin partes metalicas</v>
      </c>
      <c r="C20105" s="71"/>
      <c r="D20105" s="50" t="str">
        <f>VLOOKUP(A20105,'Componentes APUs'!$A$1:$D$14,3,0)</f>
        <v>U</v>
      </c>
      <c r="E20105" s="50">
        <f>SUM(C20085:C20090)</f>
        <v>2.75</v>
      </c>
      <c r="F20105" s="51">
        <f>VLOOKUP(A20105,'Componentes APUs'!$A$1:$D$14,4,0)</f>
        <v>8585.8585858585866</v>
      </c>
      <c r="G20105" s="51">
        <f>ROUNDUP(F20105*(E20105/21)/E20067,0)</f>
        <v>188</v>
      </c>
    </row>
    <row r="20106" spans="1:7" x14ac:dyDescent="0.25">
      <c r="A20106" s="69" t="s">
        <v>73</v>
      </c>
      <c r="B20106" s="72" t="str">
        <f>VLOOKUP(A20106,'Componentes APUs'!$A$1:$D$14,2,0)</f>
        <v>Bota de seguridad dielectrica</v>
      </c>
      <c r="C20106" s="73"/>
      <c r="D20106" s="70" t="str">
        <f>VLOOKUP(A20106,'Componentes APUs'!$A$1:$D$14,3,0)</f>
        <v>Par</v>
      </c>
      <c r="E20106" s="50">
        <f>SUM(C20085:C20090)</f>
        <v>2.75</v>
      </c>
      <c r="F20106" s="51">
        <f>VLOOKUP(A20106,'Componentes APUs'!$A$1:$D$14,4,0)</f>
        <v>7500</v>
      </c>
      <c r="G20106" s="51">
        <f>ROUNDUP(F20106*(E20106/21)/E20067,0)</f>
        <v>164</v>
      </c>
    </row>
    <row r="20107" spans="1:7" x14ac:dyDescent="0.25">
      <c r="A20107" s="50" t="s">
        <v>76</v>
      </c>
      <c r="B20107" s="72" t="str">
        <f>VLOOKUP(A20107,'Componentes APUs'!$A$1:$D$14,2,0)</f>
        <v>Casco dielectrico Tipo 1 Clase E con barbuquejo</v>
      </c>
      <c r="C20107" s="73"/>
      <c r="D20107" s="50" t="str">
        <f>VLOOKUP(A20107,'Componentes APUs'!$A$1:$D$14,3,0)</f>
        <v>U</v>
      </c>
      <c r="E20107" s="50">
        <f>C20090+C20085+C20088+C20089+C20086+IF(A20087&lt;&gt;"MO-3",C20087,0)</f>
        <v>2.75</v>
      </c>
      <c r="F20107" s="51">
        <f>VLOOKUP(A20107,'Componentes APUs'!$A$1:$D$14,4,0)</f>
        <v>10101.010101010101</v>
      </c>
      <c r="G20107" s="51">
        <f>ROUNDUP(F20107*(E20107/21)/E20067,0)</f>
        <v>221</v>
      </c>
    </row>
    <row r="20108" spans="1:7" x14ac:dyDescent="0.25">
      <c r="A20108" s="69" t="s">
        <v>77</v>
      </c>
      <c r="B20108" s="72" t="str">
        <f>VLOOKUP(A20108,'Componentes APUs'!$A$1:$D$14,2,0)</f>
        <v>Correa plastica y antiflama</v>
      </c>
      <c r="C20108" s="73"/>
      <c r="D20108" s="50" t="str">
        <f>VLOOKUP(A20108,'Componentes APUs'!$A$1:$D$14,3,0)</f>
        <v>U</v>
      </c>
      <c r="E20108" s="50">
        <f>SUM(C20085:C20090)</f>
        <v>2.75</v>
      </c>
      <c r="F20108" s="51">
        <f>VLOOKUP(A20108,'Componentes APUs'!$A$1:$D$14,4,0)</f>
        <v>3787.878787878788</v>
      </c>
      <c r="G20108" s="51">
        <f>ROUNDUP(F20108*(E20108/21)/E20067,0)</f>
        <v>83</v>
      </c>
    </row>
    <row r="20109" spans="1:7" x14ac:dyDescent="0.25">
      <c r="A20109" s="50" t="s">
        <v>79</v>
      </c>
      <c r="B20109" s="72" t="str">
        <f>VLOOKUP(A20109,'Componentes APUs'!$A$1:$D$14,2,0)</f>
        <v>Gafas protectoras filtro UV</v>
      </c>
      <c r="C20109" s="73"/>
      <c r="D20109" s="50" t="str">
        <f>VLOOKUP(A20109,'Componentes APUs'!$A$1:$D$14,3,0)</f>
        <v>U</v>
      </c>
      <c r="E20109" s="50">
        <f>SUM(C20085:C20090)</f>
        <v>2.75</v>
      </c>
      <c r="F20109" s="51">
        <f>VLOOKUP(A20109,'Componentes APUs'!$A$1:$D$14,4,0)</f>
        <v>2777.7777777777778</v>
      </c>
      <c r="G20109" s="51">
        <f>ROUNDUP(F20109*(E20109/21)/E20067,0)</f>
        <v>61</v>
      </c>
    </row>
    <row r="20110" spans="1:7" x14ac:dyDescent="0.25">
      <c r="A20110" s="69" t="s">
        <v>402</v>
      </c>
      <c r="B20110" s="72" t="str">
        <f>VLOOKUP(A20110,'Componentes APUs'!$A$1:$D$14,2,0)</f>
        <v>Bota de seguridad PVC dielectrica</v>
      </c>
      <c r="C20110" s="73"/>
      <c r="D20110" s="50" t="str">
        <f>VLOOKUP(A20110,'Componentes APUs'!$A$1:$D$14,3,0)</f>
        <v>Par</v>
      </c>
      <c r="E20110" s="50">
        <f>SUM(C20085:C20090)</f>
        <v>2.75</v>
      </c>
      <c r="F20110" s="51">
        <f>VLOOKUP(A20110,'Componentes APUs'!$A$1:$D$14,4,0)</f>
        <v>2916.6666666666665</v>
      </c>
      <c r="G20110" s="51">
        <f>ROUNDUP(F20110*(E20110/21)/E20067,0)</f>
        <v>64</v>
      </c>
    </row>
    <row r="20111" spans="1:7" x14ac:dyDescent="0.25">
      <c r="A20111" s="50" t="s">
        <v>403</v>
      </c>
      <c r="B20111" s="72" t="str">
        <f>VLOOKUP(A20111,'Componentes APUs'!$A$1:$D$14,2,0)</f>
        <v>Capuchon</v>
      </c>
      <c r="C20111" s="73"/>
      <c r="D20111" s="50" t="str">
        <f>VLOOKUP(A20111,'Componentes APUs'!$A$1:$D$14,3,0)</f>
        <v>U</v>
      </c>
      <c r="E20111" s="50">
        <f>SUM(C20085:C20090)</f>
        <v>2.75</v>
      </c>
      <c r="F20111" s="51">
        <f>VLOOKUP(A20111,'Componentes APUs'!$A$1:$D$14,4,0)</f>
        <v>2525.2525252525252</v>
      </c>
      <c r="G20111" s="51">
        <f>ROUNDUP(F20111*(E20111/21)/E20067,0)</f>
        <v>56</v>
      </c>
    </row>
    <row r="20112" spans="1:7" x14ac:dyDescent="0.25">
      <c r="A20112" s="69" t="s">
        <v>81</v>
      </c>
      <c r="B20112" s="72" t="str">
        <f>VLOOKUP(A20112,'Componentes APUs'!$A$1:$D$14,2,0)</f>
        <v>Guantes Protectores  - ingeniero reforzados</v>
      </c>
      <c r="C20112" s="73"/>
      <c r="D20112" s="50" t="str">
        <f>VLOOKUP(A20112,'Componentes APUs'!$A$1:$D$14,3,0)</f>
        <v>Par</v>
      </c>
      <c r="E20112" s="50">
        <f>C20087+C20088+C20090</f>
        <v>2</v>
      </c>
      <c r="F20112" s="51">
        <f>VLOOKUP(A20112,'Componentes APUs'!$A$1:$D$14,4,0)</f>
        <v>2525.2525252525252</v>
      </c>
      <c r="G20112" s="51">
        <f>ROUNDUP(F20112*(E20112/21)/E20067,0)</f>
        <v>41</v>
      </c>
    </row>
    <row r="20113" spans="1:7" x14ac:dyDescent="0.25">
      <c r="A20113" s="50" t="s">
        <v>83</v>
      </c>
      <c r="B20113" s="72" t="str">
        <f>VLOOKUP(A20113,'Componentes APUs'!$A$1:$D$14,2,0)</f>
        <v>Impermeable (pantalon camisa)</v>
      </c>
      <c r="C20113" s="73"/>
      <c r="D20113" s="50" t="str">
        <f>VLOOKUP(A20113,'Componentes APUs'!$A$1:$D$14,3,0)</f>
        <v>U</v>
      </c>
      <c r="E20113" s="50">
        <f>SUM(C20085:C20090)</f>
        <v>2.75</v>
      </c>
      <c r="F20113" s="51">
        <f>VLOOKUP(A20113,'Componentes APUs'!$A$1:$D$14,4,0)</f>
        <v>3750</v>
      </c>
      <c r="G20113" s="51">
        <f>ROUNDUP(F20113*(E20113/21)/E20067,0)</f>
        <v>82</v>
      </c>
    </row>
    <row r="20114" spans="1:7" x14ac:dyDescent="0.25">
      <c r="A20114" s="69" t="s">
        <v>85</v>
      </c>
      <c r="B20114" s="72" t="str">
        <f>VLOOKUP(A20114,'Componentes APUs'!$A$1:$D$14,2,0)</f>
        <v>Jean Dielectrico</v>
      </c>
      <c r="C20114" s="73"/>
      <c r="D20114" s="50" t="str">
        <f>VLOOKUP(A20114,'Componentes APUs'!$A$1:$D$14,3,0)</f>
        <v>U</v>
      </c>
      <c r="E20114" s="50">
        <f>SUM(C20085:C20090)</f>
        <v>2.75</v>
      </c>
      <c r="F20114" s="51">
        <f>VLOOKUP(A20114,'Componentes APUs'!$A$1:$D$14,4,0)</f>
        <v>7575.757575757576</v>
      </c>
      <c r="G20114" s="51">
        <f>ROUNDUP(F20114*(E20114/21)/E20067,0)</f>
        <v>166</v>
      </c>
    </row>
    <row r="20115" spans="1:7" x14ac:dyDescent="0.25">
      <c r="A20115" s="50" t="s">
        <v>87</v>
      </c>
      <c r="B20115" s="72" t="str">
        <f>VLOOKUP(A20115,'Componentes APUs'!$A$1:$D$14,2,0)</f>
        <v>Casco dielectrico Tipo 2 Clase E con barboquejo</v>
      </c>
      <c r="C20115" s="73"/>
      <c r="D20115" s="50" t="str">
        <f>VLOOKUP(A20115,'Componentes APUs'!$A$1:$D$14,3,0)</f>
        <v>U</v>
      </c>
      <c r="E20115" s="53">
        <f>IF(A20087="MO-3",C20087,0)</f>
        <v>0</v>
      </c>
      <c r="F20115" s="51">
        <f>VLOOKUP(A20115,'Componentes APUs'!$A$1:$D$14,4,0)</f>
        <v>7500</v>
      </c>
      <c r="G20115" s="51">
        <f>ROUNDUP(F20115*(E20115/21)/E20067,0)</f>
        <v>0</v>
      </c>
    </row>
    <row r="20116" spans="1:7" x14ac:dyDescent="0.25">
      <c r="A20116" s="69" t="s">
        <v>89</v>
      </c>
      <c r="B20116" s="72" t="str">
        <f>VLOOKUP(A20116,'Componentes APUs'!$A$1:$D$14,2,0)</f>
        <v>Kit de rescate para trabajo en alturas</v>
      </c>
      <c r="C20116" s="73"/>
      <c r="D20116" s="50" t="str">
        <f>VLOOKUP(A20116,'Componentes APUs'!$A$1:$D$14,3,0)</f>
        <v>U</v>
      </c>
      <c r="E20116" s="50">
        <f>IF(AND(A20087="MO-3",C20087=2),1,0)</f>
        <v>0</v>
      </c>
      <c r="F20116" s="51">
        <f>VLOOKUP(A20116,'Componentes APUs'!$A$1:$D$14,4,0)</f>
        <v>37500</v>
      </c>
      <c r="G20116" s="51">
        <f>ROUNDUP(F20116*(E20116/21)/E20067,0)</f>
        <v>0</v>
      </c>
    </row>
    <row r="20117" spans="1:7" x14ac:dyDescent="0.25">
      <c r="A20117" s="50" t="s">
        <v>91</v>
      </c>
      <c r="B20117" s="72" t="str">
        <f>VLOOKUP(A20117,'Componentes APUs'!$A$1:$D$14,2,0)</f>
        <v>Equipo completo para trabajo en alturas con pretales (Arnes dielectrico, 1 mosqueton de seguridad, tie off dielectrico, eslinga de posicionamiento, juego de pretales)</v>
      </c>
      <c r="C20117" s="73"/>
      <c r="D20117" s="50" t="str">
        <f>VLOOKUP(A20117,'Componentes APUs'!$A$1:$D$14,3,0)</f>
        <v>U</v>
      </c>
      <c r="E20117" s="50">
        <f>IF(A20087="MO-3",C20087,0)</f>
        <v>0</v>
      </c>
      <c r="F20117" s="51">
        <f>VLOOKUP(A20117,'Componentes APUs'!$A$1:$D$14,4,0)</f>
        <v>26041.666666666668</v>
      </c>
      <c r="G20117" s="51">
        <f>ROUNDUP(F20117*(E20117/21)/E20067,0)</f>
        <v>0</v>
      </c>
    </row>
    <row r="20118" spans="1:7" x14ac:dyDescent="0.25">
      <c r="A20118" s="219" t="s">
        <v>95</v>
      </c>
      <c r="B20118" s="219"/>
      <c r="C20118" s="219"/>
      <c r="D20118" s="219"/>
      <c r="E20118" s="219"/>
      <c r="F20118" s="219"/>
      <c r="G20118" s="52">
        <f>SUM(G20105:G20117)</f>
        <v>1126</v>
      </c>
    </row>
    <row r="20119" spans="1:7" x14ac:dyDescent="0.25">
      <c r="A20119" s="56"/>
      <c r="B20119" s="57"/>
      <c r="C20119" s="57"/>
      <c r="D20119" s="57"/>
      <c r="E20119" s="57"/>
      <c r="F20119" s="57"/>
      <c r="G20119" s="58"/>
    </row>
    <row r="20120" spans="1:7" x14ac:dyDescent="0.25">
      <c r="A20120" s="219" t="s">
        <v>96</v>
      </c>
      <c r="B20120" s="219"/>
      <c r="C20120" s="219"/>
      <c r="D20120" s="219"/>
      <c r="E20120" s="219"/>
      <c r="F20120" s="219"/>
      <c r="G20120" s="219"/>
    </row>
    <row r="20121" spans="1:7" x14ac:dyDescent="0.25">
      <c r="A20121" s="49" t="s">
        <v>35</v>
      </c>
      <c r="B20121" s="225" t="s">
        <v>36</v>
      </c>
      <c r="C20121" s="225"/>
      <c r="D20121" s="49" t="s">
        <v>37</v>
      </c>
      <c r="E20121" s="49" t="s">
        <v>38</v>
      </c>
      <c r="F20121" s="49" t="s">
        <v>39</v>
      </c>
      <c r="G20121" s="49" t="s">
        <v>40</v>
      </c>
    </row>
    <row r="20122" spans="1:7" x14ac:dyDescent="0.25">
      <c r="A20122" s="69" t="s">
        <v>97</v>
      </c>
      <c r="B20122" s="72" t="str">
        <f>VLOOKUP(A20122,'Componentes APUs'!$N$1:$Q$30,2,0)</f>
        <v>Camioneta</v>
      </c>
      <c r="C20122" s="73"/>
      <c r="D20122" s="70" t="str">
        <f>VLOOKUP(A20122,'Componentes APUs'!$N$1:$Q$30,3,0)</f>
        <v>U</v>
      </c>
      <c r="E20122" s="50">
        <v>1</v>
      </c>
      <c r="F20122" s="51">
        <f>VLOOKUP(A20122,'Componentes APUs'!$N$1:$Q$30,4,0)</f>
        <v>5500000</v>
      </c>
      <c r="G20122" s="51">
        <f>IFERROR(ROUNDUP(F20122*(E20122/21)/E20067,0),0)</f>
        <v>43651</v>
      </c>
    </row>
    <row r="20123" spans="1:7" x14ac:dyDescent="0.25">
      <c r="A20123" s="50" t="s">
        <v>321</v>
      </c>
      <c r="B20123" s="72" t="str">
        <f>VLOOKUP(A20123,'Componentes APUs'!$N$1:$Q$30,2,0)</f>
        <v>Grúa Hidráulica</v>
      </c>
      <c r="C20123" s="73"/>
      <c r="D20123" s="70" t="str">
        <f>VLOOKUP(A20123,'Componentes APUs'!$N$1:$Q$30,3,0)</f>
        <v>U</v>
      </c>
      <c r="E20123" s="50">
        <v>0</v>
      </c>
      <c r="F20123" s="51">
        <f>VLOOKUP(A20123,'Componentes APUs'!$N$1:$Q$30,4,0)</f>
        <v>21000000</v>
      </c>
      <c r="G20123" s="51">
        <f>IFERROR(ROUNDUP(F20123*(E20123/21)/E20067,0),0)</f>
        <v>0</v>
      </c>
    </row>
    <row r="20124" spans="1:7" x14ac:dyDescent="0.25">
      <c r="A20124" s="69" t="s">
        <v>322</v>
      </c>
      <c r="B20124" s="72" t="str">
        <f>VLOOKUP(A20124,'Componentes APUs'!$N$1:$Q$30,2,0)</f>
        <v>Camabaja</v>
      </c>
      <c r="C20124" s="73"/>
      <c r="D20124" s="70" t="str">
        <f>VLOOKUP(A20124,'Componentes APUs'!$N$1:$Q$30,3,0)</f>
        <v>TON/KM</v>
      </c>
      <c r="E20124" s="50">
        <v>0</v>
      </c>
      <c r="F20124" s="51">
        <f>VLOOKUP(A20124,'Componentes APUs'!$N$1:$Q$30,4,0)</f>
        <v>611</v>
      </c>
      <c r="G20124" s="51">
        <f>IFERROR(ROUNDUP(F20124*(E20124/21)/E20067,0),0)</f>
        <v>0</v>
      </c>
    </row>
    <row r="20125" spans="1:7" x14ac:dyDescent="0.25">
      <c r="A20125" s="50" t="s">
        <v>323</v>
      </c>
      <c r="B20125" s="72" t="str">
        <f>VLOOKUP(A20125,'Componentes APUs'!$N$1:$Q$30,2,0)</f>
        <v>Volqueta</v>
      </c>
      <c r="C20125" s="73"/>
      <c r="D20125" s="70" t="str">
        <f>VLOOKUP(A20125,'Componentes APUs'!$N$1:$Q$30,3,0)</f>
        <v>U</v>
      </c>
      <c r="E20125" s="50">
        <v>0</v>
      </c>
      <c r="F20125" s="51">
        <f>VLOOKUP(A20125,'Componentes APUs'!$N$1:$Q$30,4,0)</f>
        <v>14828184</v>
      </c>
      <c r="G20125" s="51">
        <f>IFERROR(ROUNDUP(F20125*(E20125/21)/E20067,0),0)</f>
        <v>0</v>
      </c>
    </row>
    <row r="20126" spans="1:7" x14ac:dyDescent="0.25">
      <c r="A20126" s="69" t="s">
        <v>324</v>
      </c>
      <c r="B20126" s="72" t="str">
        <f>VLOOKUP(A20126,'Componentes APUs'!$N$1:$Q$30,2,0)</f>
        <v>Retroexcavadora</v>
      </c>
      <c r="C20126" s="73"/>
      <c r="D20126" s="70" t="str">
        <f>VLOOKUP(A20126,'Componentes APUs'!$N$1:$Q$30,3,0)</f>
        <v>U</v>
      </c>
      <c r="E20126" s="50">
        <v>0</v>
      </c>
      <c r="F20126" s="51">
        <f>VLOOKUP(A20126,'Componentes APUs'!$N$1:$Q$30,4,0)</f>
        <v>46030656</v>
      </c>
      <c r="G20126" s="51">
        <f>IFERROR(ROUNDUP(F20126*(E20126/21)/E20067,0),0)</f>
        <v>0</v>
      </c>
    </row>
    <row r="20127" spans="1:7" x14ac:dyDescent="0.25">
      <c r="A20127" s="219" t="s">
        <v>99</v>
      </c>
      <c r="B20127" s="219"/>
      <c r="C20127" s="219"/>
      <c r="D20127" s="219"/>
      <c r="E20127" s="219"/>
      <c r="F20127" s="219"/>
      <c r="G20127" s="52">
        <f>SUM(G20122:G20126)</f>
        <v>43651</v>
      </c>
    </row>
    <row r="20128" spans="1:7" x14ac:dyDescent="0.25">
      <c r="A20128" s="56"/>
      <c r="B20128" s="57"/>
      <c r="C20128" s="57"/>
      <c r="D20128" s="57"/>
      <c r="E20128" s="57"/>
      <c r="F20128" s="57"/>
      <c r="G20128" s="58"/>
    </row>
    <row r="20129" spans="1:7" x14ac:dyDescent="0.25">
      <c r="A20129" s="219" t="s">
        <v>1516</v>
      </c>
      <c r="B20129" s="219"/>
      <c r="C20129" s="219"/>
      <c r="D20129" s="219"/>
      <c r="E20129" s="219"/>
      <c r="F20129" s="219"/>
      <c r="G20129" s="52">
        <f>G20127+G20118+G20101+G20091+G20081</f>
        <v>495437</v>
      </c>
    </row>
    <row r="20130" spans="1:7" x14ac:dyDescent="0.25">
      <c r="A20130" s="59"/>
      <c r="B20130" s="60"/>
      <c r="C20130" s="60"/>
      <c r="D20130" s="60"/>
      <c r="E20130" s="57"/>
      <c r="F20130" s="57"/>
      <c r="G20130" s="58"/>
    </row>
    <row r="20131" spans="1:7" x14ac:dyDescent="0.25">
      <c r="A20131" s="64"/>
      <c r="D20131" s="55"/>
      <c r="E20131" s="49" t="s">
        <v>25</v>
      </c>
      <c r="F20131" s="54">
        <v>0.15</v>
      </c>
      <c r="G20131" s="51">
        <f>G20129*F20131</f>
        <v>74315.55</v>
      </c>
    </row>
    <row r="20132" spans="1:7" x14ac:dyDescent="0.25">
      <c r="A20132" s="64"/>
      <c r="D20132" s="55"/>
      <c r="E20132" s="49" t="s">
        <v>26</v>
      </c>
      <c r="F20132" s="54">
        <v>0.05</v>
      </c>
      <c r="G20132" s="51">
        <f>G20129*F20132</f>
        <v>24771.850000000002</v>
      </c>
    </row>
    <row r="20133" spans="1:7" x14ac:dyDescent="0.25">
      <c r="A20133" s="61"/>
      <c r="B20133" s="65"/>
      <c r="C20133" s="65"/>
      <c r="D20133" s="62"/>
      <c r="E20133" s="49" t="s">
        <v>27</v>
      </c>
      <c r="F20133" s="54">
        <v>0.05</v>
      </c>
      <c r="G20133" s="51">
        <f>G20129*F20133</f>
        <v>24771.850000000002</v>
      </c>
    </row>
    <row r="20134" spans="1:7" x14ac:dyDescent="0.25">
      <c r="A20134" s="61"/>
      <c r="B20134" s="62"/>
      <c r="C20134" s="62"/>
      <c r="D20134" s="62"/>
      <c r="E20134" s="62"/>
      <c r="F20134" s="62"/>
      <c r="G20134" s="63"/>
    </row>
    <row r="20135" spans="1:7" x14ac:dyDescent="0.25">
      <c r="A20135" s="219" t="s">
        <v>1517</v>
      </c>
      <c r="B20135" s="219"/>
      <c r="C20135" s="219"/>
      <c r="D20135" s="219"/>
      <c r="E20135" s="219"/>
      <c r="F20135" s="219"/>
      <c r="G20135" s="52">
        <f>G20129+G20131+G20132+G20133</f>
        <v>619296.25</v>
      </c>
    </row>
    <row r="20136" spans="1:7" x14ac:dyDescent="0.25">
      <c r="A20136" s="59"/>
      <c r="B20136" s="60"/>
      <c r="C20136" s="60"/>
      <c r="D20136" s="60"/>
      <c r="E20136" s="57"/>
      <c r="F20136" s="57"/>
      <c r="G20136" s="58"/>
    </row>
    <row r="20137" spans="1:7" x14ac:dyDescent="0.25">
      <c r="A20137" s="64"/>
      <c r="D20137" s="55"/>
      <c r="E20137" s="49" t="s">
        <v>102</v>
      </c>
      <c r="F20137" s="49" t="s">
        <v>103</v>
      </c>
      <c r="G20137" s="51">
        <f>G20133*19%</f>
        <v>4706.6515000000009</v>
      </c>
    </row>
    <row r="20138" spans="1:7" x14ac:dyDescent="0.25">
      <c r="A20138" s="61"/>
      <c r="B20138" s="62"/>
      <c r="C20138" s="62"/>
      <c r="D20138" s="62"/>
      <c r="E20138" s="57"/>
      <c r="F20138" s="57"/>
      <c r="G20138" s="58"/>
    </row>
    <row r="20139" spans="1:7" x14ac:dyDescent="0.25">
      <c r="A20139" s="219" t="s">
        <v>104</v>
      </c>
      <c r="B20139" s="219"/>
      <c r="C20139" s="219"/>
      <c r="D20139" s="219"/>
      <c r="E20139" s="219"/>
      <c r="F20139" s="219"/>
      <c r="G20139" s="52">
        <f>G20137+G20135</f>
        <v>624002.90150000004</v>
      </c>
    </row>
    <row r="20141" spans="1:7" x14ac:dyDescent="0.25">
      <c r="A20141" s="74" t="s">
        <v>29</v>
      </c>
      <c r="B20141" s="237" t="s">
        <v>30</v>
      </c>
      <c r="C20141" s="238"/>
      <c r="D20141" s="74" t="s">
        <v>31</v>
      </c>
      <c r="E20141" s="74" t="s">
        <v>32</v>
      </c>
      <c r="F20141" s="74" t="s">
        <v>189</v>
      </c>
      <c r="G20141" s="74" t="s">
        <v>33</v>
      </c>
    </row>
    <row r="20142" spans="1:7" ht="41.25" customHeight="1" x14ac:dyDescent="0.25">
      <c r="A20142" s="50" t="str">
        <f>Presupuesto!B386</f>
        <v>054_AUX</v>
      </c>
      <c r="B20142" s="220" t="str">
        <f>Presupuesto!C386</f>
        <v>SUMINISTRO E INSTALACIÓN DE SALIDA DE TOMA MONOFÁSICA EN TUBERÍA PVC DE  1/2" CON CABLE Cu (1#12+1#12+1#12 AWG )+CAJA RAWELT. (Longitud Promedio 10M)</v>
      </c>
      <c r="C20142" s="239"/>
      <c r="D20142" s="50" t="s">
        <v>8</v>
      </c>
      <c r="E20142" s="50">
        <v>7</v>
      </c>
      <c r="F20142" s="50"/>
      <c r="G20142" s="51">
        <f>G20215</f>
        <v>347326.01750000002</v>
      </c>
    </row>
    <row r="20143" spans="1:7" x14ac:dyDescent="0.25">
      <c r="A20143" s="219" t="s">
        <v>34</v>
      </c>
      <c r="B20143" s="219"/>
      <c r="C20143" s="219"/>
      <c r="D20143" s="219"/>
      <c r="E20143" s="219"/>
      <c r="F20143" s="219"/>
      <c r="G20143" s="219"/>
    </row>
    <row r="20144" spans="1:7" x14ac:dyDescent="0.25">
      <c r="A20144" s="49" t="s">
        <v>35</v>
      </c>
      <c r="B20144" s="234" t="s">
        <v>36</v>
      </c>
      <c r="C20144" s="235"/>
      <c r="D20144" s="49" t="s">
        <v>37</v>
      </c>
      <c r="E20144" s="49" t="s">
        <v>38</v>
      </c>
      <c r="F20144" s="49" t="s">
        <v>39</v>
      </c>
      <c r="G20144" s="49" t="s">
        <v>40</v>
      </c>
    </row>
    <row r="20145" spans="1:8" x14ac:dyDescent="0.25">
      <c r="A20145" s="17" t="str">
        <f>Material!A131</f>
        <v>MA-130</v>
      </c>
      <c r="B20145" s="72" t="str">
        <f>IFERROR(VLOOKUP(A20145,Material!$A:$H,2,0),"-")</f>
        <v>TUBO PVC 1/2"</v>
      </c>
      <c r="C20145" s="73"/>
      <c r="D20145" s="50" t="str">
        <f>IFERROR(VLOOKUP(A20145,Material!$A:$H,4,0),"-")</f>
        <v>ML</v>
      </c>
      <c r="E20145" s="50">
        <v>10</v>
      </c>
      <c r="F20145" s="51">
        <f>IFERROR(VLOOKUP(A20145,Material!$A:$H,3,0),"-")</f>
        <v>1668.3333333333333</v>
      </c>
      <c r="G20145" s="51">
        <f t="shared" ref="G20145:G20153" si="293">IFERROR(ROUNDUP(F20145*E20145,0),"-")</f>
        <v>16684</v>
      </c>
    </row>
    <row r="20146" spans="1:8" x14ac:dyDescent="0.25">
      <c r="A20146" s="17" t="str">
        <f>Material!A577</f>
        <v>MA-576</v>
      </c>
      <c r="B20146" s="72" t="str">
        <f>IFERROR(VLOOKUP(A20146,Material!$A:$H,2,0),"-")</f>
        <v>TERMINAL PVC 1/2"</v>
      </c>
      <c r="C20146" s="76"/>
      <c r="D20146" s="50" t="str">
        <f>IFERROR(VLOOKUP(A20146,Material!$A:$H,4,0),"-")</f>
        <v>UN</v>
      </c>
      <c r="E20146" s="50">
        <v>2</v>
      </c>
      <c r="F20146" s="51">
        <f>IFERROR(VLOOKUP(A20146,Material!$A:$H,3,0),"-")</f>
        <v>260</v>
      </c>
      <c r="G20146" s="51">
        <f t="shared" si="293"/>
        <v>520</v>
      </c>
      <c r="H20146" s="1"/>
    </row>
    <row r="20147" spans="1:8" x14ac:dyDescent="0.25">
      <c r="A20147" s="17" t="str">
        <f>Material!A132</f>
        <v>MA-131</v>
      </c>
      <c r="B20147" s="72" t="str">
        <f>IFERROR(VLOOKUP(A20147,Material!$A:$H,2,0),"-")</f>
        <v>UNION PVC 1/2"</v>
      </c>
      <c r="C20147" s="76"/>
      <c r="D20147" s="50" t="str">
        <f>IFERROR(VLOOKUP(A20147,Material!$A:$H,4,0),"-")</f>
        <v>UN</v>
      </c>
      <c r="E20147" s="50">
        <v>4</v>
      </c>
      <c r="F20147" s="51">
        <f>IFERROR(VLOOKUP(A20147,Material!$A:$H,3,0),"-")</f>
        <v>455</v>
      </c>
      <c r="G20147" s="51">
        <f t="shared" si="293"/>
        <v>1820</v>
      </c>
    </row>
    <row r="20148" spans="1:8" x14ac:dyDescent="0.25">
      <c r="A20148" s="17" t="str">
        <f>Material!A546</f>
        <v>MA-545</v>
      </c>
      <c r="B20148" s="72" t="str">
        <f>IFERROR(VLOOKUP(A20148,Material!$A:$H,2,0),"-")</f>
        <v>CURVA PVC 1/2"</v>
      </c>
      <c r="C20148" s="76"/>
      <c r="D20148" s="50" t="str">
        <f>IFERROR(VLOOKUP(A20148,Material!$A:$H,4,0),"-")</f>
        <v>UN</v>
      </c>
      <c r="E20148" s="50">
        <v>2</v>
      </c>
      <c r="F20148" s="51">
        <f>IFERROR(VLOOKUP(A20148,Material!$A:$H,3,0),"-")</f>
        <v>455</v>
      </c>
      <c r="G20148" s="51">
        <f t="shared" si="293"/>
        <v>910</v>
      </c>
    </row>
    <row r="20149" spans="1:8" x14ac:dyDescent="0.25">
      <c r="A20149" s="17" t="str">
        <f>Material!A220</f>
        <v>MA-219</v>
      </c>
      <c r="B20149" s="72" t="str">
        <f>IFERROR(VLOOKUP(A20149,Material!$A:$H,2,0),"-")</f>
        <v>CABLE AISLADO NO 12 AWG COBRE THHN</v>
      </c>
      <c r="C20149" s="76"/>
      <c r="D20149" s="50" t="str">
        <f>IFERROR(VLOOKUP(A20149,Material!$A:$H,4,0),"-")</f>
        <v>ML</v>
      </c>
      <c r="E20149" s="50">
        <f>10*3</f>
        <v>30</v>
      </c>
      <c r="F20149" s="51">
        <f>IFERROR(VLOOKUP(A20149,Material!$A:$H,3,0),"-")</f>
        <v>3445</v>
      </c>
      <c r="G20149" s="51">
        <f t="shared" si="293"/>
        <v>103350</v>
      </c>
    </row>
    <row r="20150" spans="1:8" x14ac:dyDescent="0.25">
      <c r="A20150" s="17" t="str">
        <f>Material!A230</f>
        <v>MA-229</v>
      </c>
      <c r="B20150" s="72" t="str">
        <f>IFERROR(VLOOKUP(A20150,Material!$A:$H,2,0),"-")</f>
        <v>TOMA CORRIENTE LEVITON</v>
      </c>
      <c r="C20150" s="76"/>
      <c r="D20150" s="50" t="str">
        <f>IFERROR(VLOOKUP(A20150,Material!$A:$H,4,0),"-")</f>
        <v>UN</v>
      </c>
      <c r="E20150" s="50">
        <v>1</v>
      </c>
      <c r="F20150" s="51">
        <f>IFERROR(VLOOKUP(A20150,Material!$A:$H,3,0),"-")</f>
        <v>4615</v>
      </c>
      <c r="G20150" s="51">
        <f t="shared" si="293"/>
        <v>4615</v>
      </c>
    </row>
    <row r="20151" spans="1:8" x14ac:dyDescent="0.25">
      <c r="A20151" s="17" t="str">
        <f>Material!A228</f>
        <v>MA-227</v>
      </c>
      <c r="B20151" s="72" t="str">
        <f>IFERROR(VLOOKUP(A20151,Material!$A:$H,2,0),"-")</f>
        <v>TERMINAL SOLDER AMARILLO 22-14 VCP</v>
      </c>
      <c r="C20151" s="76"/>
      <c r="D20151" s="50" t="str">
        <f>IFERROR(VLOOKUP(A20151,Material!$A:$H,4,0),"-")</f>
        <v>UN</v>
      </c>
      <c r="E20151" s="50">
        <v>3</v>
      </c>
      <c r="F20151" s="51">
        <f>IFERROR(VLOOKUP(A20151,Material!$A:$H,3,0),"-")</f>
        <v>299</v>
      </c>
      <c r="G20151" s="51">
        <f t="shared" si="293"/>
        <v>897</v>
      </c>
    </row>
    <row r="20152" spans="1:8" x14ac:dyDescent="0.25">
      <c r="A20152" s="17" t="str">
        <f>Material!A229</f>
        <v>MA-228</v>
      </c>
      <c r="B20152" s="72" t="str">
        <f>IFERROR(VLOOKUP(A20152,Material!$A:$H,2,0),"-")</f>
        <v>CINTA DE COLORES</v>
      </c>
      <c r="C20152" s="76"/>
      <c r="D20152" s="50" t="str">
        <f>IFERROR(VLOOKUP(A20152,Material!$A:$H,4,0),"-")</f>
        <v>ML</v>
      </c>
      <c r="E20152" s="50">
        <v>7.0000000000000007E-2</v>
      </c>
      <c r="F20152" s="51">
        <f>IFERROR(VLOOKUP(A20152,Material!$A:$H,3,0),"-")</f>
        <v>54.080000000000005</v>
      </c>
      <c r="G20152" s="51">
        <f t="shared" si="293"/>
        <v>4</v>
      </c>
    </row>
    <row r="20153" spans="1:8" x14ac:dyDescent="0.25">
      <c r="A20153" s="17" t="str">
        <f>Material!A576</f>
        <v>MA-575</v>
      </c>
      <c r="B20153" s="72" t="str">
        <f>IFERROR(VLOOKUP(A20153,Material!$A:$H,2,0),"-")</f>
        <v>CAJA METÁLICA GALVANIZADA 5800</v>
      </c>
      <c r="C20153" s="76"/>
      <c r="D20153" s="50" t="str">
        <f>IFERROR(VLOOKUP(A20153,Material!$A:$H,4,0),"-")</f>
        <v>UN</v>
      </c>
      <c r="E20153" s="50">
        <v>1</v>
      </c>
      <c r="F20153" s="51">
        <f>IFERROR(VLOOKUP(A20153,Material!$A:$H,3,0),"-")</f>
        <v>2730</v>
      </c>
      <c r="G20153" s="51">
        <f t="shared" si="293"/>
        <v>2730</v>
      </c>
    </row>
    <row r="20154" spans="1:8" x14ac:dyDescent="0.25">
      <c r="A20154" s="17" t="str">
        <f>Material!A201</f>
        <v>MA-200</v>
      </c>
      <c r="B20154" s="72" t="str">
        <f>IFERROR(VLOOKUP(A20154,Material!$A:$H,2,0),"-")</f>
        <v>SOLDADURA PVC 1/4 GL</v>
      </c>
      <c r="C20154" s="76"/>
      <c r="D20154" s="50" t="str">
        <f>IFERROR(VLOOKUP(A20154,Material!$A:$H,4,0),"-")</f>
        <v>GALÓN</v>
      </c>
      <c r="E20154" s="107">
        <f>1/30</f>
        <v>3.3333333333333333E-2</v>
      </c>
      <c r="F20154" s="51">
        <f>IFERROR(VLOOKUP(A20154,Material!$A:$H,3,0),"-")</f>
        <v>88270</v>
      </c>
      <c r="G20154" s="51">
        <f t="shared" ref="G20154:G20155" si="294">IFERROR(ROUNDUP(F20154*E20154,0),"-")</f>
        <v>2943</v>
      </c>
    </row>
    <row r="20155" spans="1:8" x14ac:dyDescent="0.25">
      <c r="A20155" s="17" t="str">
        <f>Material!A253</f>
        <v>MA-252</v>
      </c>
      <c r="B20155" s="72" t="str">
        <f>IFERROR(VLOOKUP(A20155,Material!$A:$H,2,0),"-")</f>
        <v>LIMPIADOR DE TUBERÍA PVC 1/4 GL</v>
      </c>
      <c r="C20155" s="76"/>
      <c r="D20155" s="50" t="str">
        <f>IFERROR(VLOOKUP(A20155,Material!$A:$H,4,0),"-")</f>
        <v>GALÓN</v>
      </c>
      <c r="E20155" s="107">
        <f>1/30</f>
        <v>3.3333333333333333E-2</v>
      </c>
      <c r="F20155" s="51">
        <f>IFERROR(VLOOKUP(A20155,Material!$A:$H,3,0),"-")</f>
        <v>60970</v>
      </c>
      <c r="G20155" s="51">
        <f t="shared" si="294"/>
        <v>2033</v>
      </c>
    </row>
    <row r="20156" spans="1:8" x14ac:dyDescent="0.25">
      <c r="A20156" s="17" t="str">
        <f>Material!A574</f>
        <v>MA-573</v>
      </c>
      <c r="B20156" s="72" t="str">
        <f>IFERROR(VLOOKUP(A20156,Material!$A:$H,2,0),"-")</f>
        <v>TAPA PARA TOMA DOBLE BLANCA LEVITON</v>
      </c>
      <c r="C20156" s="76"/>
      <c r="D20156" s="50" t="str">
        <f>IFERROR(VLOOKUP(A20156,Material!$A:$H,4,0),"-")</f>
        <v>UN</v>
      </c>
      <c r="E20156" s="50">
        <v>1</v>
      </c>
      <c r="F20156" s="51">
        <f>IFERROR(VLOOKUP(A20156,Material!$A:$H,3,0),"-")</f>
        <v>4355</v>
      </c>
      <c r="G20156" s="51">
        <f t="shared" ref="G20156" si="295">IFERROR(ROUNDUP(F20156*E20156,0),"-")</f>
        <v>4355</v>
      </c>
    </row>
    <row r="20157" spans="1:8" x14ac:dyDescent="0.25">
      <c r="A20157" s="234" t="s">
        <v>41</v>
      </c>
      <c r="B20157" s="236"/>
      <c r="C20157" s="236"/>
      <c r="D20157" s="236"/>
      <c r="E20157" s="236"/>
      <c r="F20157" s="235"/>
      <c r="G20157" s="52">
        <f>SUM(G20145:G20156)</f>
        <v>140861</v>
      </c>
    </row>
    <row r="20158" spans="1:8" x14ac:dyDescent="0.25">
      <c r="A20158" s="56"/>
      <c r="B20158" s="57"/>
      <c r="C20158" s="57"/>
      <c r="D20158" s="57"/>
      <c r="E20158" s="57"/>
      <c r="F20158" s="57"/>
      <c r="G20158" s="58"/>
    </row>
    <row r="20159" spans="1:8" x14ac:dyDescent="0.25">
      <c r="A20159" s="219" t="s">
        <v>42</v>
      </c>
      <c r="B20159" s="219"/>
      <c r="C20159" s="219"/>
      <c r="D20159" s="219"/>
      <c r="E20159" s="219"/>
      <c r="F20159" s="219"/>
      <c r="G20159" s="219"/>
    </row>
    <row r="20160" spans="1:8" x14ac:dyDescent="0.25">
      <c r="A20160" s="49" t="s">
        <v>35</v>
      </c>
      <c r="B20160" s="49" t="s">
        <v>36</v>
      </c>
      <c r="C20160" s="49" t="s">
        <v>38</v>
      </c>
      <c r="D20160" s="49" t="s">
        <v>43</v>
      </c>
      <c r="E20160" s="49" t="s">
        <v>44</v>
      </c>
      <c r="F20160" s="49" t="s">
        <v>45</v>
      </c>
      <c r="G20160" s="49" t="s">
        <v>40</v>
      </c>
    </row>
    <row r="20161" spans="1:7" x14ac:dyDescent="0.25">
      <c r="A20161" s="50" t="s">
        <v>319</v>
      </c>
      <c r="B20161" s="68" t="str">
        <f>VLOOKUP(A20161,'Componentes APUs'!$H$1:$L$25,2,0)</f>
        <v>Ingeniero Residente de Obra</v>
      </c>
      <c r="C20161" s="93">
        <v>0.25</v>
      </c>
      <c r="D20161" s="50">
        <f>VLOOKUP(A20161,'Componentes APUs'!$H$1:$L$25,3,0)</f>
        <v>4</v>
      </c>
      <c r="E20161" s="51">
        <f>VLOOKUP(A20161,'Componentes APUs'!$H$1:$L$25,4,0)</f>
        <v>271142.85714285716</v>
      </c>
      <c r="F20161" s="51">
        <f>VLOOKUP(A20161,'Componentes APUs'!$H$1:$L$25,5,0)</f>
        <v>162685.71428571429</v>
      </c>
      <c r="G20161" s="51">
        <f>ROUNDUP((E20161+F20161)*C20161/E20142,0)</f>
        <v>15494</v>
      </c>
    </row>
    <row r="20162" spans="1:7" x14ac:dyDescent="0.25">
      <c r="A20162" s="50" t="s">
        <v>320</v>
      </c>
      <c r="B20162" s="68" t="str">
        <f>VLOOKUP(A20162,'Componentes APUs'!$H$1:$L$25,2,0)</f>
        <v>Tecnico Supervisor</v>
      </c>
      <c r="C20162" s="93">
        <v>0.25</v>
      </c>
      <c r="D20162" s="50">
        <f>VLOOKUP(A20162,'Componentes APUs'!$H$1:$L$25,3,0)</f>
        <v>2.2999999999999998</v>
      </c>
      <c r="E20162" s="51">
        <f>VLOOKUP(A20162,'Componentes APUs'!$H$1:$L$25,4,0)</f>
        <v>155907.14285714284</v>
      </c>
      <c r="F20162" s="51">
        <f>VLOOKUP(A20162,'Componentes APUs'!$H$1:$L$25,5,0)</f>
        <v>93544.285714285696</v>
      </c>
      <c r="G20162" s="51">
        <f>ROUNDUP((E20162+F20162)*C20162/E20142,0)</f>
        <v>8909</v>
      </c>
    </row>
    <row r="20163" spans="1:7" x14ac:dyDescent="0.25">
      <c r="A20163" s="50" t="s">
        <v>1160</v>
      </c>
      <c r="B20163" s="68" t="str">
        <f>VLOOKUP(A20163,'Componentes APUs'!$H$1:$L$25,2,0)</f>
        <v>Oficial Eléctrico</v>
      </c>
      <c r="C20163" s="93">
        <v>1</v>
      </c>
      <c r="D20163" s="50">
        <f>VLOOKUP(A20163,'Componentes APUs'!$H$1:$L$25,3,0)</f>
        <v>2</v>
      </c>
      <c r="E20163" s="51">
        <f>VLOOKUP(A20163,'Componentes APUs'!$H$1:$L$25,4,0)</f>
        <v>154619.04761904763</v>
      </c>
      <c r="F20163" s="51">
        <f>VLOOKUP(A20163,'Componentes APUs'!$H$1:$L$25,5,0)</f>
        <v>92771.42857142858</v>
      </c>
      <c r="G20163" s="51">
        <f>ROUNDUP((E20163+F20163)*C20163/E20142,0)</f>
        <v>35342</v>
      </c>
    </row>
    <row r="20164" spans="1:7" x14ac:dyDescent="0.25">
      <c r="A20164" s="50" t="s">
        <v>48</v>
      </c>
      <c r="B20164" s="68" t="str">
        <f>VLOOKUP(A20164,'Componentes APUs'!$H$1:$L$25,2,0)</f>
        <v>Ayudante Calificado</v>
      </c>
      <c r="C20164" s="93">
        <v>1</v>
      </c>
      <c r="D20164" s="50">
        <f>VLOOKUP(A20164,'Componentes APUs'!$H$1:$L$25,3,0)</f>
        <v>1.5</v>
      </c>
      <c r="E20164" s="51">
        <f>VLOOKUP(A20164,'Componentes APUs'!$H$1:$L$25,4,0)</f>
        <v>115964.28571428571</v>
      </c>
      <c r="F20164" s="51">
        <f>VLOOKUP(A20164,'Componentes APUs'!$H$1:$L$25,5,0)</f>
        <v>69578.57142857142</v>
      </c>
      <c r="G20164" s="51">
        <f>ROUNDUP((E20164+F20164)*C20164/E20142,0)</f>
        <v>26507</v>
      </c>
    </row>
    <row r="20165" spans="1:7" x14ac:dyDescent="0.25">
      <c r="A20165" s="50" t="s">
        <v>50</v>
      </c>
      <c r="B20165" s="68" t="str">
        <f>VLOOKUP(A20165,'Componentes APUs'!$H$1:$L$25,2,0)</f>
        <v>Profesional en SST</v>
      </c>
      <c r="C20165" s="93">
        <v>0.25</v>
      </c>
      <c r="D20165" s="50">
        <f>VLOOKUP(A20165,'Componentes APUs'!$H$1:$L$25,3,0)</f>
        <v>2.5</v>
      </c>
      <c r="E20165" s="51">
        <f>VLOOKUP(A20165,'Componentes APUs'!$H$1:$L$25,4,0)</f>
        <v>169464.28571428571</v>
      </c>
      <c r="F20165" s="51">
        <f>VLOOKUP(A20165,'Componentes APUs'!$H$1:$L$25,5,0)</f>
        <v>101678.57142857142</v>
      </c>
      <c r="G20165" s="51">
        <f>ROUNDUP((E20165+F20165)*C20165/E20142,0)</f>
        <v>9684</v>
      </c>
    </row>
    <row r="20166" spans="1:7" x14ac:dyDescent="0.25">
      <c r="A20166" s="50" t="s">
        <v>52</v>
      </c>
      <c r="B20166" s="68" t="str">
        <f>VLOOKUP(A20166,'Componentes APUs'!$H$1:$L$25,2,0)</f>
        <v>Ayudante No Calificado</v>
      </c>
      <c r="C20166" s="93">
        <v>0</v>
      </c>
      <c r="D20166" s="50">
        <f>VLOOKUP(A20166,'Componentes APUs'!$H$1:$L$25,3,0)</f>
        <v>1</v>
      </c>
      <c r="E20166" s="51">
        <f>VLOOKUP(A20166,'Componentes APUs'!$H$1:$L$25,4,0)</f>
        <v>77309.523809523816</v>
      </c>
      <c r="F20166" s="51">
        <f>VLOOKUP(A20166,'Componentes APUs'!$H$1:$L$25,5,0)</f>
        <v>46385.71428571429</v>
      </c>
      <c r="G20166" s="51">
        <f>ROUNDUP((E20166+F20166)*C20166/E20142,0)</f>
        <v>0</v>
      </c>
    </row>
    <row r="20167" spans="1:7" x14ac:dyDescent="0.25">
      <c r="A20167" s="219" t="s">
        <v>56</v>
      </c>
      <c r="B20167" s="219"/>
      <c r="C20167" s="219"/>
      <c r="D20167" s="219"/>
      <c r="E20167" s="219"/>
      <c r="F20167" s="219"/>
      <c r="G20167" s="52">
        <f>SUM(G20161:G20166)</f>
        <v>95936</v>
      </c>
    </row>
    <row r="20168" spans="1:7" x14ac:dyDescent="0.25">
      <c r="A20168" s="56"/>
      <c r="B20168" s="57"/>
      <c r="C20168" s="57"/>
      <c r="D20168" s="57"/>
      <c r="E20168" s="57"/>
      <c r="F20168" s="57"/>
      <c r="G20168" s="58"/>
    </row>
    <row r="20169" spans="1:7" x14ac:dyDescent="0.25">
      <c r="A20169" s="219" t="s">
        <v>57</v>
      </c>
      <c r="B20169" s="219"/>
      <c r="C20169" s="219"/>
      <c r="D20169" s="219"/>
      <c r="E20169" s="219"/>
      <c r="F20169" s="219"/>
      <c r="G20169" s="219"/>
    </row>
    <row r="20170" spans="1:7" x14ac:dyDescent="0.25">
      <c r="A20170" s="49" t="s">
        <v>35</v>
      </c>
      <c r="B20170" s="219" t="s">
        <v>36</v>
      </c>
      <c r="C20170" s="219"/>
      <c r="D20170" s="49" t="s">
        <v>37</v>
      </c>
      <c r="E20170" s="49" t="s">
        <v>38</v>
      </c>
      <c r="F20170" s="49" t="s">
        <v>39</v>
      </c>
      <c r="G20170" s="49" t="s">
        <v>40</v>
      </c>
    </row>
    <row r="20171" spans="1:7" x14ac:dyDescent="0.25">
      <c r="A20171" s="50" t="s">
        <v>326</v>
      </c>
      <c r="B20171" s="220" t="str">
        <f>VLOOKUP(A20171,'Componentes APUs'!$S$1:$V$10,2,0)</f>
        <v>Juego Llaves</v>
      </c>
      <c r="C20171" s="220"/>
      <c r="D20171" s="50" t="s">
        <v>18</v>
      </c>
      <c r="E20171" s="50">
        <v>1</v>
      </c>
      <c r="F20171" s="51">
        <f>VLOOKUP(A20171,'Componentes APUs'!$S$1:$V$10,4,0)</f>
        <v>9167</v>
      </c>
      <c r="G20171" s="51">
        <f>ROUNDUP(F20171*((E20171/21)/E20142),0)</f>
        <v>63</v>
      </c>
    </row>
    <row r="20172" spans="1:7" x14ac:dyDescent="0.25">
      <c r="A20172" s="50" t="s">
        <v>58</v>
      </c>
      <c r="B20172" s="220" t="str">
        <f>VLOOKUP(A20172,'Componentes APUs'!$S$1:$V$10,2,0)</f>
        <v>Manila de servicio</v>
      </c>
      <c r="C20172" s="220"/>
      <c r="D20172" s="50" t="s">
        <v>18</v>
      </c>
      <c r="E20172" s="50">
        <v>0</v>
      </c>
      <c r="F20172" s="51">
        <f>VLOOKUP(A20172,'Componentes APUs'!$S$1:$V$10,4,0)</f>
        <v>2333</v>
      </c>
      <c r="G20172" s="51">
        <f>ROUNDUP(F20172*((E20172/21)/E20142),0)</f>
        <v>0</v>
      </c>
    </row>
    <row r="20173" spans="1:7" x14ac:dyDescent="0.25">
      <c r="A20173" s="50" t="s">
        <v>327</v>
      </c>
      <c r="B20173" s="220" t="str">
        <f>VLOOKUP(A20173,'Componentes APUs'!$S$1:$V$10,2,0)</f>
        <v>Tula portaherramientas</v>
      </c>
      <c r="C20173" s="220"/>
      <c r="D20173" s="50" t="s">
        <v>18</v>
      </c>
      <c r="E20173" s="50">
        <v>1</v>
      </c>
      <c r="F20173" s="51">
        <f>VLOOKUP(A20173,'Componentes APUs'!$S$1:$V$10,4,0)</f>
        <v>1250</v>
      </c>
      <c r="G20173" s="51">
        <f>ROUNDUP(F20173*((E20173/21)/E20142),0)</f>
        <v>9</v>
      </c>
    </row>
    <row r="20174" spans="1:7" x14ac:dyDescent="0.25">
      <c r="A20174" s="50" t="s">
        <v>60</v>
      </c>
      <c r="B20174" s="220" t="str">
        <f>VLOOKUP(A20174,'Componentes APUs'!$S$1:$V$10,2,0)</f>
        <v>Agarradoras</v>
      </c>
      <c r="C20174" s="220"/>
      <c r="D20174" s="50" t="s">
        <v>18</v>
      </c>
      <c r="E20174" s="50">
        <v>0</v>
      </c>
      <c r="F20174" s="51">
        <f>VLOOKUP(A20174,'Componentes APUs'!$S$1:$V$10,4,0)</f>
        <v>125000</v>
      </c>
      <c r="G20174" s="51">
        <f>ROUNDUP(F20174*((E20174/21)/E20142),0)</f>
        <v>0</v>
      </c>
    </row>
    <row r="20175" spans="1:7" x14ac:dyDescent="0.25">
      <c r="A20175" s="50" t="s">
        <v>62</v>
      </c>
      <c r="B20175" s="220" t="str">
        <f>VLOOKUP(A20175,'Componentes APUs'!$S$1:$V$10,2,0)</f>
        <v>Templadoras</v>
      </c>
      <c r="C20175" s="220"/>
      <c r="D20175" s="50" t="s">
        <v>18</v>
      </c>
      <c r="E20175" s="50">
        <v>0</v>
      </c>
      <c r="F20175" s="51">
        <f>VLOOKUP(A20175,'Componentes APUs'!$S$1:$V$10,4,0)</f>
        <v>250000</v>
      </c>
      <c r="G20175" s="51">
        <f>ROUNDUP(F20175*((E20175/21)/E20142),0)</f>
        <v>0</v>
      </c>
    </row>
    <row r="20176" spans="1:7" x14ac:dyDescent="0.25">
      <c r="A20176" s="50" t="s">
        <v>328</v>
      </c>
      <c r="B20176" s="220" t="str">
        <f>VLOOKUP(A20176,'Componentes APUs'!$S$1:$V$10,2,0)</f>
        <v>Herramienta Menor</v>
      </c>
      <c r="C20176" s="220"/>
      <c r="D20176" s="50" t="s">
        <v>18</v>
      </c>
      <c r="E20176" s="50">
        <v>1</v>
      </c>
      <c r="F20176" s="51">
        <f>VLOOKUP(A20176,'Componentes APUs'!$S$1:$V$10,4,0)</f>
        <v>75758</v>
      </c>
      <c r="G20176" s="51">
        <f>ROUNDUP(F20176*((E20176/21)/E20142),0)</f>
        <v>516</v>
      </c>
    </row>
    <row r="20177" spans="1:7" x14ac:dyDescent="0.25">
      <c r="A20177" s="219" t="s">
        <v>69</v>
      </c>
      <c r="B20177" s="219"/>
      <c r="C20177" s="219"/>
      <c r="D20177" s="219"/>
      <c r="E20177" s="219"/>
      <c r="F20177" s="219"/>
      <c r="G20177" s="52">
        <f>SUM(G20171:G20176)</f>
        <v>588</v>
      </c>
    </row>
    <row r="20178" spans="1:7" x14ac:dyDescent="0.25">
      <c r="A20178" s="56"/>
      <c r="B20178" s="57"/>
      <c r="C20178" s="57"/>
      <c r="D20178" s="57"/>
      <c r="E20178" s="57"/>
      <c r="F20178" s="57"/>
      <c r="G20178" s="58"/>
    </row>
    <row r="20179" spans="1:7" x14ac:dyDescent="0.25">
      <c r="A20179" s="219" t="s">
        <v>70</v>
      </c>
      <c r="B20179" s="219"/>
      <c r="C20179" s="219"/>
      <c r="D20179" s="219"/>
      <c r="E20179" s="219"/>
      <c r="F20179" s="219"/>
      <c r="G20179" s="219"/>
    </row>
    <row r="20180" spans="1:7" x14ac:dyDescent="0.25">
      <c r="A20180" s="49" t="s">
        <v>35</v>
      </c>
      <c r="B20180" s="219" t="s">
        <v>36</v>
      </c>
      <c r="C20180" s="219"/>
      <c r="D20180" s="49" t="s">
        <v>37</v>
      </c>
      <c r="E20180" s="49" t="s">
        <v>38</v>
      </c>
      <c r="F20180" s="49" t="s">
        <v>39</v>
      </c>
      <c r="G20180" s="49" t="s">
        <v>40</v>
      </c>
    </row>
    <row r="20181" spans="1:7" x14ac:dyDescent="0.25">
      <c r="A20181" s="50" t="s">
        <v>71</v>
      </c>
      <c r="B20181" s="71" t="str">
        <f>VLOOKUP(A20181,'Componentes APUs'!$A$1:$D$14,2,0)</f>
        <v>Camisa indigo sin partes metalicas</v>
      </c>
      <c r="C20181" s="71"/>
      <c r="D20181" s="50" t="str">
        <f>VLOOKUP(A20181,'Componentes APUs'!$A$1:$D$14,3,0)</f>
        <v>U</v>
      </c>
      <c r="E20181" s="50">
        <f>SUM(C20161:C20166)</f>
        <v>2.75</v>
      </c>
      <c r="F20181" s="51">
        <f>VLOOKUP(A20181,'Componentes APUs'!$A$1:$D$14,4,0)</f>
        <v>8585.8585858585866</v>
      </c>
      <c r="G20181" s="51">
        <f>ROUNDUP(F20181*(E20181/21)/E20142,0)</f>
        <v>161</v>
      </c>
    </row>
    <row r="20182" spans="1:7" x14ac:dyDescent="0.25">
      <c r="A20182" s="69" t="s">
        <v>73</v>
      </c>
      <c r="B20182" s="72" t="str">
        <f>VLOOKUP(A20182,'Componentes APUs'!$A$1:$D$14,2,0)</f>
        <v>Bota de seguridad dielectrica</v>
      </c>
      <c r="C20182" s="73"/>
      <c r="D20182" s="70" t="str">
        <f>VLOOKUP(A20182,'Componentes APUs'!$A$1:$D$14,3,0)</f>
        <v>Par</v>
      </c>
      <c r="E20182" s="50">
        <f>SUM(C20161:C20166)</f>
        <v>2.75</v>
      </c>
      <c r="F20182" s="51">
        <f>VLOOKUP(A20182,'Componentes APUs'!$A$1:$D$14,4,0)</f>
        <v>7500</v>
      </c>
      <c r="G20182" s="51">
        <f>ROUNDUP(F20182*(E20182/21)/E20142,0)</f>
        <v>141</v>
      </c>
    </row>
    <row r="20183" spans="1:7" x14ac:dyDescent="0.25">
      <c r="A20183" s="50" t="s">
        <v>76</v>
      </c>
      <c r="B20183" s="72" t="str">
        <f>VLOOKUP(A20183,'Componentes APUs'!$A$1:$D$14,2,0)</f>
        <v>Casco dielectrico Tipo 1 Clase E con barbuquejo</v>
      </c>
      <c r="C20183" s="73"/>
      <c r="D20183" s="50" t="str">
        <f>VLOOKUP(A20183,'Componentes APUs'!$A$1:$D$14,3,0)</f>
        <v>U</v>
      </c>
      <c r="E20183" s="50">
        <f>C20166+C20161+C20164+C20165+C20162+IF(A20163&lt;&gt;"MO-3",C20163,0)</f>
        <v>2.75</v>
      </c>
      <c r="F20183" s="51">
        <f>VLOOKUP(A20183,'Componentes APUs'!$A$1:$D$14,4,0)</f>
        <v>10101.010101010101</v>
      </c>
      <c r="G20183" s="51">
        <f>ROUNDUP(F20183*(E20183/21)/E20142,0)</f>
        <v>189</v>
      </c>
    </row>
    <row r="20184" spans="1:7" x14ac:dyDescent="0.25">
      <c r="A20184" s="69" t="s">
        <v>77</v>
      </c>
      <c r="B20184" s="72" t="str">
        <f>VLOOKUP(A20184,'Componentes APUs'!$A$1:$D$14,2,0)</f>
        <v>Correa plastica y antiflama</v>
      </c>
      <c r="C20184" s="73"/>
      <c r="D20184" s="50" t="str">
        <f>VLOOKUP(A20184,'Componentes APUs'!$A$1:$D$14,3,0)</f>
        <v>U</v>
      </c>
      <c r="E20184" s="50">
        <f>SUM(C20161:C20166)</f>
        <v>2.75</v>
      </c>
      <c r="F20184" s="51">
        <f>VLOOKUP(A20184,'Componentes APUs'!$A$1:$D$14,4,0)</f>
        <v>3787.878787878788</v>
      </c>
      <c r="G20184" s="51">
        <f>ROUNDUP(F20184*(E20184/21)/E20142,0)</f>
        <v>71</v>
      </c>
    </row>
    <row r="20185" spans="1:7" x14ac:dyDescent="0.25">
      <c r="A20185" s="50" t="s">
        <v>79</v>
      </c>
      <c r="B20185" s="72" t="str">
        <f>VLOOKUP(A20185,'Componentes APUs'!$A$1:$D$14,2,0)</f>
        <v>Gafas protectoras filtro UV</v>
      </c>
      <c r="C20185" s="73"/>
      <c r="D20185" s="50" t="str">
        <f>VLOOKUP(A20185,'Componentes APUs'!$A$1:$D$14,3,0)</f>
        <v>U</v>
      </c>
      <c r="E20185" s="50">
        <f>SUM(C20161:C20166)</f>
        <v>2.75</v>
      </c>
      <c r="F20185" s="51">
        <f>VLOOKUP(A20185,'Componentes APUs'!$A$1:$D$14,4,0)</f>
        <v>2777.7777777777778</v>
      </c>
      <c r="G20185" s="51">
        <f>ROUNDUP(F20185*(E20185/21)/E20142,0)</f>
        <v>52</v>
      </c>
    </row>
    <row r="20186" spans="1:7" x14ac:dyDescent="0.25">
      <c r="A20186" s="69" t="s">
        <v>402</v>
      </c>
      <c r="B20186" s="72" t="str">
        <f>VLOOKUP(A20186,'Componentes APUs'!$A$1:$D$14,2,0)</f>
        <v>Bota de seguridad PVC dielectrica</v>
      </c>
      <c r="C20186" s="73"/>
      <c r="D20186" s="50" t="str">
        <f>VLOOKUP(A20186,'Componentes APUs'!$A$1:$D$14,3,0)</f>
        <v>Par</v>
      </c>
      <c r="E20186" s="50">
        <f>SUM(C20161:C20166)</f>
        <v>2.75</v>
      </c>
      <c r="F20186" s="51">
        <f>VLOOKUP(A20186,'Componentes APUs'!$A$1:$D$14,4,0)</f>
        <v>2916.6666666666665</v>
      </c>
      <c r="G20186" s="51">
        <f>ROUNDUP(F20186*(E20186/21)/E20142,0)</f>
        <v>55</v>
      </c>
    </row>
    <row r="20187" spans="1:7" x14ac:dyDescent="0.25">
      <c r="A20187" s="50" t="s">
        <v>403</v>
      </c>
      <c r="B20187" s="72" t="str">
        <f>VLOOKUP(A20187,'Componentes APUs'!$A$1:$D$14,2,0)</f>
        <v>Capuchon</v>
      </c>
      <c r="C20187" s="73"/>
      <c r="D20187" s="50" t="str">
        <f>VLOOKUP(A20187,'Componentes APUs'!$A$1:$D$14,3,0)</f>
        <v>U</v>
      </c>
      <c r="E20187" s="50">
        <f>SUM(C20161:C20166)</f>
        <v>2.75</v>
      </c>
      <c r="F20187" s="51">
        <f>VLOOKUP(A20187,'Componentes APUs'!$A$1:$D$14,4,0)</f>
        <v>2525.2525252525252</v>
      </c>
      <c r="G20187" s="51">
        <f>ROUNDUP(F20187*(E20187/21)/E20142,0)</f>
        <v>48</v>
      </c>
    </row>
    <row r="20188" spans="1:7" x14ac:dyDescent="0.25">
      <c r="A20188" s="69" t="s">
        <v>81</v>
      </c>
      <c r="B20188" s="72" t="str">
        <f>VLOOKUP(A20188,'Componentes APUs'!$A$1:$D$14,2,0)</f>
        <v>Guantes Protectores  - ingeniero reforzados</v>
      </c>
      <c r="C20188" s="73"/>
      <c r="D20188" s="50" t="str">
        <f>VLOOKUP(A20188,'Componentes APUs'!$A$1:$D$14,3,0)</f>
        <v>Par</v>
      </c>
      <c r="E20188" s="50">
        <f>C20163+C20164+C20166</f>
        <v>2</v>
      </c>
      <c r="F20188" s="51">
        <f>VLOOKUP(A20188,'Componentes APUs'!$A$1:$D$14,4,0)</f>
        <v>2525.2525252525252</v>
      </c>
      <c r="G20188" s="51">
        <f>ROUNDUP(F20188*(E20188/21)/E20142,0)</f>
        <v>35</v>
      </c>
    </row>
    <row r="20189" spans="1:7" x14ac:dyDescent="0.25">
      <c r="A20189" s="50" t="s">
        <v>83</v>
      </c>
      <c r="B20189" s="72" t="str">
        <f>VLOOKUP(A20189,'Componentes APUs'!$A$1:$D$14,2,0)</f>
        <v>Impermeable (pantalon camisa)</v>
      </c>
      <c r="C20189" s="73"/>
      <c r="D20189" s="50" t="str">
        <f>VLOOKUP(A20189,'Componentes APUs'!$A$1:$D$14,3,0)</f>
        <v>U</v>
      </c>
      <c r="E20189" s="50">
        <f>SUM(C20161:C20166)</f>
        <v>2.75</v>
      </c>
      <c r="F20189" s="51">
        <f>VLOOKUP(A20189,'Componentes APUs'!$A$1:$D$14,4,0)</f>
        <v>3750</v>
      </c>
      <c r="G20189" s="51">
        <f>ROUNDUP(F20189*(E20189/21)/E20142,0)</f>
        <v>71</v>
      </c>
    </row>
    <row r="20190" spans="1:7" x14ac:dyDescent="0.25">
      <c r="A20190" s="69" t="s">
        <v>85</v>
      </c>
      <c r="B20190" s="72" t="str">
        <f>VLOOKUP(A20190,'Componentes APUs'!$A$1:$D$14,2,0)</f>
        <v>Jean Dielectrico</v>
      </c>
      <c r="C20190" s="73"/>
      <c r="D20190" s="50" t="str">
        <f>VLOOKUP(A20190,'Componentes APUs'!$A$1:$D$14,3,0)</f>
        <v>U</v>
      </c>
      <c r="E20190" s="50">
        <f>SUM(C20161:C20166)</f>
        <v>2.75</v>
      </c>
      <c r="F20190" s="51">
        <f>VLOOKUP(A20190,'Componentes APUs'!$A$1:$D$14,4,0)</f>
        <v>7575.757575757576</v>
      </c>
      <c r="G20190" s="51">
        <f>ROUNDUP(F20190*(E20190/21)/E20142,0)</f>
        <v>142</v>
      </c>
    </row>
    <row r="20191" spans="1:7" x14ac:dyDescent="0.25">
      <c r="A20191" s="50" t="s">
        <v>87</v>
      </c>
      <c r="B20191" s="72" t="str">
        <f>VLOOKUP(A20191,'Componentes APUs'!$A$1:$D$14,2,0)</f>
        <v>Casco dielectrico Tipo 2 Clase E con barboquejo</v>
      </c>
      <c r="C20191" s="73"/>
      <c r="D20191" s="50" t="str">
        <f>VLOOKUP(A20191,'Componentes APUs'!$A$1:$D$14,3,0)</f>
        <v>U</v>
      </c>
      <c r="E20191" s="53">
        <f>IF(A20163="MO-3",C20163,0)</f>
        <v>0</v>
      </c>
      <c r="F20191" s="51">
        <f>VLOOKUP(A20191,'Componentes APUs'!$A$1:$D$14,4,0)</f>
        <v>7500</v>
      </c>
      <c r="G20191" s="51">
        <f>ROUNDUP(F20191*(E20191/21)/E20142,0)</f>
        <v>0</v>
      </c>
    </row>
    <row r="20192" spans="1:7" x14ac:dyDescent="0.25">
      <c r="A20192" s="69" t="s">
        <v>89</v>
      </c>
      <c r="B20192" s="72" t="str">
        <f>VLOOKUP(A20192,'Componentes APUs'!$A$1:$D$14,2,0)</f>
        <v>Kit de rescate para trabajo en alturas</v>
      </c>
      <c r="C20192" s="73"/>
      <c r="D20192" s="50" t="str">
        <f>VLOOKUP(A20192,'Componentes APUs'!$A$1:$D$14,3,0)</f>
        <v>U</v>
      </c>
      <c r="E20192" s="50">
        <f>IF(AND(A20163="MO-3",C20163=2),1,0)</f>
        <v>0</v>
      </c>
      <c r="F20192" s="51">
        <f>VLOOKUP(A20192,'Componentes APUs'!$A$1:$D$14,4,0)</f>
        <v>37500</v>
      </c>
      <c r="G20192" s="51">
        <f>ROUNDUP(F20192*(E20192/21)/E20142,0)</f>
        <v>0</v>
      </c>
    </row>
    <row r="20193" spans="1:7" x14ac:dyDescent="0.25">
      <c r="A20193" s="50" t="s">
        <v>91</v>
      </c>
      <c r="B20193" s="72" t="str">
        <f>VLOOKUP(A20193,'Componentes APUs'!$A$1:$D$14,2,0)</f>
        <v>Equipo completo para trabajo en alturas con pretales (Arnes dielectrico, 1 mosqueton de seguridad, tie off dielectrico, eslinga de posicionamiento, juego de pretales)</v>
      </c>
      <c r="C20193" s="73"/>
      <c r="D20193" s="50" t="str">
        <f>VLOOKUP(A20193,'Componentes APUs'!$A$1:$D$14,3,0)</f>
        <v>U</v>
      </c>
      <c r="E20193" s="50">
        <f>IF(A20163="MO-3",C20163,0)</f>
        <v>0</v>
      </c>
      <c r="F20193" s="51">
        <f>VLOOKUP(A20193,'Componentes APUs'!$A$1:$D$14,4,0)</f>
        <v>26041.666666666668</v>
      </c>
      <c r="G20193" s="51">
        <f>ROUNDUP(F20193*(E20193/21)/E20142,0)</f>
        <v>0</v>
      </c>
    </row>
    <row r="20194" spans="1:7" x14ac:dyDescent="0.25">
      <c r="A20194" s="219" t="s">
        <v>95</v>
      </c>
      <c r="B20194" s="219"/>
      <c r="C20194" s="219"/>
      <c r="D20194" s="219"/>
      <c r="E20194" s="219"/>
      <c r="F20194" s="219"/>
      <c r="G20194" s="52">
        <f>SUM(G20181:G20193)</f>
        <v>965</v>
      </c>
    </row>
    <row r="20195" spans="1:7" x14ac:dyDescent="0.25">
      <c r="A20195" s="56"/>
      <c r="B20195" s="57"/>
      <c r="C20195" s="57"/>
      <c r="D20195" s="57"/>
      <c r="E20195" s="57"/>
      <c r="F20195" s="57"/>
      <c r="G20195" s="58"/>
    </row>
    <row r="20196" spans="1:7" x14ac:dyDescent="0.25">
      <c r="A20196" s="219" t="s">
        <v>96</v>
      </c>
      <c r="B20196" s="219"/>
      <c r="C20196" s="219"/>
      <c r="D20196" s="219"/>
      <c r="E20196" s="219"/>
      <c r="F20196" s="219"/>
      <c r="G20196" s="219"/>
    </row>
    <row r="20197" spans="1:7" x14ac:dyDescent="0.25">
      <c r="A20197" s="49" t="s">
        <v>35</v>
      </c>
      <c r="B20197" s="225" t="s">
        <v>36</v>
      </c>
      <c r="C20197" s="225"/>
      <c r="D20197" s="49" t="s">
        <v>37</v>
      </c>
      <c r="E20197" s="49" t="s">
        <v>38</v>
      </c>
      <c r="F20197" s="49" t="s">
        <v>39</v>
      </c>
      <c r="G20197" s="49" t="s">
        <v>40</v>
      </c>
    </row>
    <row r="20198" spans="1:7" x14ac:dyDescent="0.25">
      <c r="A20198" s="69" t="s">
        <v>97</v>
      </c>
      <c r="B20198" s="72" t="str">
        <f>VLOOKUP(A20198,'Componentes APUs'!$N$1:$Q$30,2,0)</f>
        <v>Camioneta</v>
      </c>
      <c r="C20198" s="73"/>
      <c r="D20198" s="70" t="str">
        <f>VLOOKUP(A20198,'Componentes APUs'!$N$1:$Q$30,3,0)</f>
        <v>U</v>
      </c>
      <c r="E20198" s="50">
        <v>1</v>
      </c>
      <c r="F20198" s="51">
        <f>VLOOKUP(A20198,'Componentes APUs'!$N$1:$Q$30,4,0)</f>
        <v>5500000</v>
      </c>
      <c r="G20198" s="51">
        <f>IFERROR(ROUNDUP(F20198*(E20198/21)/E20142,0),0)</f>
        <v>37415</v>
      </c>
    </row>
    <row r="20199" spans="1:7" x14ac:dyDescent="0.25">
      <c r="A20199" s="50" t="s">
        <v>321</v>
      </c>
      <c r="B20199" s="72" t="str">
        <f>VLOOKUP(A20199,'Componentes APUs'!$N$1:$Q$30,2,0)</f>
        <v>Grúa Hidráulica</v>
      </c>
      <c r="C20199" s="73"/>
      <c r="D20199" s="70" t="str">
        <f>VLOOKUP(A20199,'Componentes APUs'!$N$1:$Q$30,3,0)</f>
        <v>U</v>
      </c>
      <c r="E20199" s="50">
        <v>0</v>
      </c>
      <c r="F20199" s="51">
        <f>VLOOKUP(A20199,'Componentes APUs'!$N$1:$Q$30,4,0)</f>
        <v>21000000</v>
      </c>
      <c r="G20199" s="51">
        <f>IFERROR(ROUNDUP(F20199*(E20199/21)/E20142,0),0)</f>
        <v>0</v>
      </c>
    </row>
    <row r="20200" spans="1:7" x14ac:dyDescent="0.25">
      <c r="A20200" s="69" t="s">
        <v>322</v>
      </c>
      <c r="B20200" s="72" t="str">
        <f>VLOOKUP(A20200,'Componentes APUs'!$N$1:$Q$30,2,0)</f>
        <v>Camabaja</v>
      </c>
      <c r="C20200" s="73"/>
      <c r="D20200" s="70" t="str">
        <f>VLOOKUP(A20200,'Componentes APUs'!$N$1:$Q$30,3,0)</f>
        <v>TON/KM</v>
      </c>
      <c r="E20200" s="50">
        <v>0</v>
      </c>
      <c r="F20200" s="51">
        <f>VLOOKUP(A20200,'Componentes APUs'!$N$1:$Q$30,4,0)</f>
        <v>611</v>
      </c>
      <c r="G20200" s="51">
        <f>IFERROR(ROUNDUP(F20200*(E20200/21)/E20142,0),0)</f>
        <v>0</v>
      </c>
    </row>
    <row r="20201" spans="1:7" x14ac:dyDescent="0.25">
      <c r="A20201" s="50" t="s">
        <v>323</v>
      </c>
      <c r="B20201" s="72" t="str">
        <f>VLOOKUP(A20201,'Componentes APUs'!$N$1:$Q$30,2,0)</f>
        <v>Volqueta</v>
      </c>
      <c r="C20201" s="73"/>
      <c r="D20201" s="70" t="str">
        <f>VLOOKUP(A20201,'Componentes APUs'!$N$1:$Q$30,3,0)</f>
        <v>U</v>
      </c>
      <c r="E20201" s="50">
        <v>0</v>
      </c>
      <c r="F20201" s="51">
        <f>VLOOKUP(A20201,'Componentes APUs'!$N$1:$Q$30,4,0)</f>
        <v>14828184</v>
      </c>
      <c r="G20201" s="51">
        <f>IFERROR(ROUNDUP(F20201*(E20201/21)/E20142,0),0)</f>
        <v>0</v>
      </c>
    </row>
    <row r="20202" spans="1:7" x14ac:dyDescent="0.25">
      <c r="A20202" s="69" t="s">
        <v>324</v>
      </c>
      <c r="B20202" s="72" t="str">
        <f>VLOOKUP(A20202,'Componentes APUs'!$N$1:$Q$30,2,0)</f>
        <v>Retroexcavadora</v>
      </c>
      <c r="C20202" s="73"/>
      <c r="D20202" s="70" t="str">
        <f>VLOOKUP(A20202,'Componentes APUs'!$N$1:$Q$30,3,0)</f>
        <v>U</v>
      </c>
      <c r="E20202" s="50">
        <v>0</v>
      </c>
      <c r="F20202" s="51">
        <f>VLOOKUP(A20202,'Componentes APUs'!$N$1:$Q$30,4,0)</f>
        <v>46030656</v>
      </c>
      <c r="G20202" s="51">
        <f>IFERROR(ROUNDUP(F20202*(E20202/21)/E20142,0),0)</f>
        <v>0</v>
      </c>
    </row>
    <row r="20203" spans="1:7" x14ac:dyDescent="0.25">
      <c r="A20203" s="219" t="s">
        <v>99</v>
      </c>
      <c r="B20203" s="219"/>
      <c r="C20203" s="219"/>
      <c r="D20203" s="219"/>
      <c r="E20203" s="219"/>
      <c r="F20203" s="219"/>
      <c r="G20203" s="52">
        <f>SUM(G20198:G20202)</f>
        <v>37415</v>
      </c>
    </row>
    <row r="20204" spans="1:7" x14ac:dyDescent="0.25">
      <c r="A20204" s="56"/>
      <c r="B20204" s="57"/>
      <c r="C20204" s="57"/>
      <c r="D20204" s="57"/>
      <c r="E20204" s="57"/>
      <c r="F20204" s="57"/>
      <c r="G20204" s="58"/>
    </row>
    <row r="20205" spans="1:7" x14ac:dyDescent="0.25">
      <c r="A20205" s="219" t="s">
        <v>1516</v>
      </c>
      <c r="B20205" s="219"/>
      <c r="C20205" s="219"/>
      <c r="D20205" s="219"/>
      <c r="E20205" s="219"/>
      <c r="F20205" s="219"/>
      <c r="G20205" s="52">
        <f>G20203+G20194+G20177+G20167+G20157</f>
        <v>275765</v>
      </c>
    </row>
    <row r="20206" spans="1:7" x14ac:dyDescent="0.25">
      <c r="A20206" s="59"/>
      <c r="B20206" s="60"/>
      <c r="C20206" s="60"/>
      <c r="D20206" s="60"/>
      <c r="E20206" s="57"/>
      <c r="F20206" s="57"/>
      <c r="G20206" s="58"/>
    </row>
    <row r="20207" spans="1:7" x14ac:dyDescent="0.25">
      <c r="A20207" s="64"/>
      <c r="D20207" s="55"/>
      <c r="E20207" s="49" t="s">
        <v>25</v>
      </c>
      <c r="F20207" s="54">
        <v>0.15</v>
      </c>
      <c r="G20207" s="51">
        <f>G20205*F20207</f>
        <v>41364.75</v>
      </c>
    </row>
    <row r="20208" spans="1:7" x14ac:dyDescent="0.25">
      <c r="A20208" s="64"/>
      <c r="D20208" s="55"/>
      <c r="E20208" s="49" t="s">
        <v>26</v>
      </c>
      <c r="F20208" s="54">
        <v>0.05</v>
      </c>
      <c r="G20208" s="51">
        <f>G20205*F20208</f>
        <v>13788.25</v>
      </c>
    </row>
    <row r="20209" spans="1:8" x14ac:dyDescent="0.25">
      <c r="A20209" s="61"/>
      <c r="B20209" s="65"/>
      <c r="C20209" s="65"/>
      <c r="D20209" s="62"/>
      <c r="E20209" s="49" t="s">
        <v>27</v>
      </c>
      <c r="F20209" s="54">
        <v>0.05</v>
      </c>
      <c r="G20209" s="51">
        <f>G20205*F20209</f>
        <v>13788.25</v>
      </c>
    </row>
    <row r="20210" spans="1:8" x14ac:dyDescent="0.25">
      <c r="A20210" s="61"/>
      <c r="B20210" s="62"/>
      <c r="C20210" s="62"/>
      <c r="D20210" s="62"/>
      <c r="E20210" s="62"/>
      <c r="F20210" s="62"/>
      <c r="G20210" s="63"/>
    </row>
    <row r="20211" spans="1:8" x14ac:dyDescent="0.25">
      <c r="A20211" s="219" t="s">
        <v>1517</v>
      </c>
      <c r="B20211" s="219"/>
      <c r="C20211" s="219"/>
      <c r="D20211" s="219"/>
      <c r="E20211" s="219"/>
      <c r="F20211" s="219"/>
      <c r="G20211" s="52">
        <f>G20205+G20207+G20208+G20209</f>
        <v>344706.25</v>
      </c>
    </row>
    <row r="20212" spans="1:8" x14ac:dyDescent="0.25">
      <c r="A20212" s="59"/>
      <c r="B20212" s="60"/>
      <c r="C20212" s="60"/>
      <c r="D20212" s="60"/>
      <c r="E20212" s="57"/>
      <c r="F20212" s="57"/>
      <c r="G20212" s="58"/>
    </row>
    <row r="20213" spans="1:8" x14ac:dyDescent="0.25">
      <c r="A20213" s="64"/>
      <c r="D20213" s="55"/>
      <c r="E20213" s="49" t="s">
        <v>102</v>
      </c>
      <c r="F20213" s="49" t="s">
        <v>103</v>
      </c>
      <c r="G20213" s="51">
        <f>G20209*19%</f>
        <v>2619.7674999999999</v>
      </c>
    </row>
    <row r="20214" spans="1:8" x14ac:dyDescent="0.25">
      <c r="A20214" s="61"/>
      <c r="B20214" s="62"/>
      <c r="C20214" s="62"/>
      <c r="D20214" s="62"/>
      <c r="E20214" s="57"/>
      <c r="F20214" s="57"/>
      <c r="G20214" s="58"/>
    </row>
    <row r="20215" spans="1:8" x14ac:dyDescent="0.25">
      <c r="A20215" s="219" t="s">
        <v>104</v>
      </c>
      <c r="B20215" s="219"/>
      <c r="C20215" s="219"/>
      <c r="D20215" s="219"/>
      <c r="E20215" s="219"/>
      <c r="F20215" s="219"/>
      <c r="G20215" s="52">
        <f>G20213+G20211</f>
        <v>347326.01750000002</v>
      </c>
    </row>
    <row r="20217" spans="1:8" x14ac:dyDescent="0.25">
      <c r="A20217" s="74" t="s">
        <v>29</v>
      </c>
      <c r="B20217" s="237" t="s">
        <v>30</v>
      </c>
      <c r="C20217" s="238"/>
      <c r="D20217" s="74" t="s">
        <v>31</v>
      </c>
      <c r="E20217" s="74" t="s">
        <v>32</v>
      </c>
      <c r="F20217" s="74" t="s">
        <v>189</v>
      </c>
      <c r="G20217" s="74" t="s">
        <v>33</v>
      </c>
    </row>
    <row r="20218" spans="1:8" ht="33" customHeight="1" x14ac:dyDescent="0.25">
      <c r="A20218" s="50" t="str">
        <f>Presupuesto!B387</f>
        <v>055_AUX</v>
      </c>
      <c r="B20218" s="220" t="str">
        <f>Presupuesto!C387</f>
        <v>SUMINISTRO E INSTALACIÓN DE SALIDA DE TOMA MONOFÁSICA IP65 EN TUBERÍA PVC DE  1/2" CON CABLE Cu (1#12+1#12+1#12 AWG )+CAJA RAWELT. (Longitud Promedio 10m)</v>
      </c>
      <c r="C20218" s="239"/>
      <c r="D20218" s="50" t="s">
        <v>8</v>
      </c>
      <c r="E20218" s="50">
        <v>7</v>
      </c>
      <c r="F20218" s="50"/>
      <c r="G20218" s="51">
        <f>G20291</f>
        <v>368775.30249999999</v>
      </c>
    </row>
    <row r="20219" spans="1:8" x14ac:dyDescent="0.25">
      <c r="A20219" s="219" t="s">
        <v>34</v>
      </c>
      <c r="B20219" s="219"/>
      <c r="C20219" s="219"/>
      <c r="D20219" s="219"/>
      <c r="E20219" s="219"/>
      <c r="F20219" s="219"/>
      <c r="G20219" s="219"/>
    </row>
    <row r="20220" spans="1:8" x14ac:dyDescent="0.25">
      <c r="A20220" s="49" t="s">
        <v>35</v>
      </c>
      <c r="B20220" s="234" t="s">
        <v>36</v>
      </c>
      <c r="C20220" s="235"/>
      <c r="D20220" s="49" t="s">
        <v>37</v>
      </c>
      <c r="E20220" s="49" t="s">
        <v>38</v>
      </c>
      <c r="F20220" s="49" t="s">
        <v>39</v>
      </c>
      <c r="G20220" s="49" t="s">
        <v>40</v>
      </c>
    </row>
    <row r="20221" spans="1:8" x14ac:dyDescent="0.25">
      <c r="A20221" s="17" t="str">
        <f>Material!A131</f>
        <v>MA-130</v>
      </c>
      <c r="B20221" s="72" t="str">
        <f>IFERROR(VLOOKUP(A20221,Material!$A:$H,2,0),"-")</f>
        <v>TUBO PVC 1/2"</v>
      </c>
      <c r="C20221" s="73"/>
      <c r="D20221" s="50" t="str">
        <f>IFERROR(VLOOKUP(A20221,Material!$A:$H,4,0),"-")</f>
        <v>ML</v>
      </c>
      <c r="E20221" s="50">
        <v>10</v>
      </c>
      <c r="F20221" s="51">
        <f>IFERROR(VLOOKUP(A20221,Material!$A:$H,3,0),"-")</f>
        <v>1668.3333333333333</v>
      </c>
      <c r="G20221" s="51">
        <f t="shared" ref="G20221:G20229" si="296">IFERROR(ROUNDUP(F20221*E20221,0),"-")</f>
        <v>16684</v>
      </c>
    </row>
    <row r="20222" spans="1:8" x14ac:dyDescent="0.25">
      <c r="A20222" s="17" t="str">
        <f>Material!A577</f>
        <v>MA-576</v>
      </c>
      <c r="B20222" s="72" t="str">
        <f>IFERROR(VLOOKUP(A20222,Material!$A:$H,2,0),"-")</f>
        <v>TERMINAL PVC 1/2"</v>
      </c>
      <c r="C20222" s="76"/>
      <c r="D20222" s="50" t="str">
        <f>IFERROR(VLOOKUP(A20222,Material!$A:$H,4,0),"-")</f>
        <v>UN</v>
      </c>
      <c r="E20222" s="50">
        <v>2</v>
      </c>
      <c r="F20222" s="51">
        <f>IFERROR(VLOOKUP(A20222,Material!$A:$H,3,0),"-")</f>
        <v>260</v>
      </c>
      <c r="G20222" s="51">
        <f t="shared" si="296"/>
        <v>520</v>
      </c>
      <c r="H20222" s="1"/>
    </row>
    <row r="20223" spans="1:8" x14ac:dyDescent="0.25">
      <c r="A20223" s="17" t="str">
        <f>Material!A132</f>
        <v>MA-131</v>
      </c>
      <c r="B20223" s="72" t="str">
        <f>IFERROR(VLOOKUP(A20223,Material!$A:$H,2,0),"-")</f>
        <v>UNION PVC 1/2"</v>
      </c>
      <c r="C20223" s="76"/>
      <c r="D20223" s="50" t="str">
        <f>IFERROR(VLOOKUP(A20223,Material!$A:$H,4,0),"-")</f>
        <v>UN</v>
      </c>
      <c r="E20223" s="50">
        <v>4</v>
      </c>
      <c r="F20223" s="51">
        <f>IFERROR(VLOOKUP(A20223,Material!$A:$H,3,0),"-")</f>
        <v>455</v>
      </c>
      <c r="G20223" s="51">
        <f t="shared" si="296"/>
        <v>1820</v>
      </c>
    </row>
    <row r="20224" spans="1:8" x14ac:dyDescent="0.25">
      <c r="A20224" s="17" t="str">
        <f>Material!A546</f>
        <v>MA-545</v>
      </c>
      <c r="B20224" s="72" t="str">
        <f>IFERROR(VLOOKUP(A20224,Material!$A:$H,2,0),"-")</f>
        <v>CURVA PVC 1/2"</v>
      </c>
      <c r="C20224" s="76"/>
      <c r="D20224" s="50" t="str">
        <f>IFERROR(VLOOKUP(A20224,Material!$A:$H,4,0),"-")</f>
        <v>UN</v>
      </c>
      <c r="E20224" s="50">
        <v>2</v>
      </c>
      <c r="F20224" s="51">
        <f>IFERROR(VLOOKUP(A20224,Material!$A:$H,3,0),"-")</f>
        <v>455</v>
      </c>
      <c r="G20224" s="51">
        <f t="shared" si="296"/>
        <v>910</v>
      </c>
    </row>
    <row r="20225" spans="1:7" x14ac:dyDescent="0.25">
      <c r="A20225" s="17" t="str">
        <f>Material!A220</f>
        <v>MA-219</v>
      </c>
      <c r="B20225" s="72" t="str">
        <f>IFERROR(VLOOKUP(A20225,Material!$A:$H,2,0),"-")</f>
        <v>CABLE AISLADO NO 12 AWG COBRE THHN</v>
      </c>
      <c r="C20225" s="76"/>
      <c r="D20225" s="50" t="str">
        <f>IFERROR(VLOOKUP(A20225,Material!$A:$H,4,0),"-")</f>
        <v>ML</v>
      </c>
      <c r="E20225" s="50">
        <f>3*10</f>
        <v>30</v>
      </c>
      <c r="F20225" s="51">
        <f>IFERROR(VLOOKUP(A20225,Material!$A:$H,3,0),"-")</f>
        <v>3445</v>
      </c>
      <c r="G20225" s="51">
        <f t="shared" si="296"/>
        <v>103350</v>
      </c>
    </row>
    <row r="20226" spans="1:7" x14ac:dyDescent="0.25">
      <c r="A20226" s="17" t="str">
        <f>Material!A230</f>
        <v>MA-229</v>
      </c>
      <c r="B20226" s="72" t="str">
        <f>IFERROR(VLOOKUP(A20226,Material!$A:$H,2,0),"-")</f>
        <v>TOMA CORRIENTE LEVITON</v>
      </c>
      <c r="C20226" s="76"/>
      <c r="D20226" s="50" t="str">
        <f>IFERROR(VLOOKUP(A20226,Material!$A:$H,4,0),"-")</f>
        <v>UN</v>
      </c>
      <c r="E20226" s="50">
        <v>1</v>
      </c>
      <c r="F20226" s="51">
        <f>IFERROR(VLOOKUP(A20226,Material!$A:$H,3,0),"-")</f>
        <v>4615</v>
      </c>
      <c r="G20226" s="51">
        <f t="shared" si="296"/>
        <v>4615</v>
      </c>
    </row>
    <row r="20227" spans="1:7" x14ac:dyDescent="0.25">
      <c r="A20227" s="17" t="str">
        <f>Material!A228</f>
        <v>MA-227</v>
      </c>
      <c r="B20227" s="72" t="str">
        <f>IFERROR(VLOOKUP(A20227,Material!$A:$H,2,0),"-")</f>
        <v>TERMINAL SOLDER AMARILLO 22-14 VCP</v>
      </c>
      <c r="C20227" s="76"/>
      <c r="D20227" s="50" t="str">
        <f>IFERROR(VLOOKUP(A20227,Material!$A:$H,4,0),"-")</f>
        <v>UN</v>
      </c>
      <c r="E20227" s="50">
        <v>3</v>
      </c>
      <c r="F20227" s="51">
        <f>IFERROR(VLOOKUP(A20227,Material!$A:$H,3,0),"-")</f>
        <v>299</v>
      </c>
      <c r="G20227" s="51">
        <f t="shared" si="296"/>
        <v>897</v>
      </c>
    </row>
    <row r="20228" spans="1:7" x14ac:dyDescent="0.25">
      <c r="A20228" s="17" t="str">
        <f>Material!A229</f>
        <v>MA-228</v>
      </c>
      <c r="B20228" s="72" t="str">
        <f>IFERROR(VLOOKUP(A20228,Material!$A:$H,2,0),"-")</f>
        <v>CINTA DE COLORES</v>
      </c>
      <c r="C20228" s="76"/>
      <c r="D20228" s="50" t="str">
        <f>IFERROR(VLOOKUP(A20228,Material!$A:$H,4,0),"-")</f>
        <v>ML</v>
      </c>
      <c r="E20228" s="50">
        <v>7.0000000000000007E-2</v>
      </c>
      <c r="F20228" s="51">
        <f>IFERROR(VLOOKUP(A20228,Material!$A:$H,3,0),"-")</f>
        <v>54.080000000000005</v>
      </c>
      <c r="G20228" s="51">
        <f t="shared" si="296"/>
        <v>4</v>
      </c>
    </row>
    <row r="20229" spans="1:7" x14ac:dyDescent="0.25">
      <c r="A20229" s="17" t="str">
        <f>Material!A576</f>
        <v>MA-575</v>
      </c>
      <c r="B20229" s="72" t="str">
        <f>IFERROR(VLOOKUP(A20229,Material!$A:$H,2,0),"-")</f>
        <v>CAJA METÁLICA GALVANIZADA 5800</v>
      </c>
      <c r="C20229" s="76"/>
      <c r="D20229" s="50" t="str">
        <f>IFERROR(VLOOKUP(A20229,Material!$A:$H,4,0),"-")</f>
        <v>UN</v>
      </c>
      <c r="E20229" s="50">
        <v>1</v>
      </c>
      <c r="F20229" s="51">
        <f>IFERROR(VLOOKUP(A20229,Material!$A:$H,3,0),"-")</f>
        <v>2730</v>
      </c>
      <c r="G20229" s="51">
        <f t="shared" si="296"/>
        <v>2730</v>
      </c>
    </row>
    <row r="20230" spans="1:7" x14ac:dyDescent="0.25">
      <c r="A20230" s="17" t="str">
        <f>Material!A201</f>
        <v>MA-200</v>
      </c>
      <c r="B20230" s="72" t="str">
        <f>IFERROR(VLOOKUP(A20230,Material!$A:$H,2,0),"-")</f>
        <v>SOLDADURA PVC 1/4 GL</v>
      </c>
      <c r="C20230" s="76"/>
      <c r="D20230" s="50" t="str">
        <f>IFERROR(VLOOKUP(A20230,Material!$A:$H,4,0),"-")</f>
        <v>GALÓN</v>
      </c>
      <c r="E20230" s="50">
        <f>1/30</f>
        <v>3.3333333333333333E-2</v>
      </c>
      <c r="F20230" s="51">
        <f>IFERROR(VLOOKUP(A20230,Material!$A:$H,3,0),"-")</f>
        <v>88270</v>
      </c>
      <c r="G20230" s="51">
        <f t="shared" ref="G20230:G20232" si="297">IFERROR(ROUNDUP(F20230*E20230,0),"-")</f>
        <v>2943</v>
      </c>
    </row>
    <row r="20231" spans="1:7" x14ac:dyDescent="0.25">
      <c r="A20231" s="17" t="str">
        <f>Material!A253</f>
        <v>MA-252</v>
      </c>
      <c r="B20231" s="72" t="str">
        <f>IFERROR(VLOOKUP(A20231,Material!$A:$H,2,0),"-")</f>
        <v>LIMPIADOR DE TUBERÍA PVC 1/4 GL</v>
      </c>
      <c r="C20231" s="76"/>
      <c r="D20231" s="50" t="str">
        <f>IFERROR(VLOOKUP(A20231,Material!$A:$H,4,0),"-")</f>
        <v>GALÓN</v>
      </c>
      <c r="E20231" s="50">
        <f>1/30</f>
        <v>3.3333333333333333E-2</v>
      </c>
      <c r="F20231" s="51">
        <f>IFERROR(VLOOKUP(A20231,Material!$A:$H,3,0),"-")</f>
        <v>60970</v>
      </c>
      <c r="G20231" s="51">
        <f t="shared" si="297"/>
        <v>2033</v>
      </c>
    </row>
    <row r="20232" spans="1:7" x14ac:dyDescent="0.25">
      <c r="A20232" s="17" t="str">
        <f>Material!A231</f>
        <v>MA-230</v>
      </c>
      <c r="B20232" s="72" t="str">
        <f>IFERROR(VLOOKUP(A20232,Material!$A:$H,2,0),"-")</f>
        <v>TAPA PARA TOMA DOBLE INTEMPERIE</v>
      </c>
      <c r="C20232" s="76"/>
      <c r="D20232" s="50" t="str">
        <f>IFERROR(VLOOKUP(A20232,Material!$A:$H,4,0),"-")</f>
        <v>UN</v>
      </c>
      <c r="E20232" s="50">
        <v>1</v>
      </c>
      <c r="F20232" s="51">
        <f>IFERROR(VLOOKUP(A20232,Material!$A:$H,3,0),"-")</f>
        <v>21385</v>
      </c>
      <c r="G20232" s="51">
        <f t="shared" si="297"/>
        <v>21385</v>
      </c>
    </row>
    <row r="20233" spans="1:7" x14ac:dyDescent="0.25">
      <c r="A20233" s="234" t="s">
        <v>41</v>
      </c>
      <c r="B20233" s="236"/>
      <c r="C20233" s="236"/>
      <c r="D20233" s="236"/>
      <c r="E20233" s="236"/>
      <c r="F20233" s="235"/>
      <c r="G20233" s="52">
        <f>SUM(G20221:G20232)</f>
        <v>157891</v>
      </c>
    </row>
    <row r="20234" spans="1:7" x14ac:dyDescent="0.25">
      <c r="A20234" s="56"/>
      <c r="B20234" s="57"/>
      <c r="C20234" s="57"/>
      <c r="D20234" s="57"/>
      <c r="E20234" s="57"/>
      <c r="F20234" s="57"/>
      <c r="G20234" s="58"/>
    </row>
    <row r="20235" spans="1:7" x14ac:dyDescent="0.25">
      <c r="A20235" s="219" t="s">
        <v>42</v>
      </c>
      <c r="B20235" s="219"/>
      <c r="C20235" s="219"/>
      <c r="D20235" s="219"/>
      <c r="E20235" s="219"/>
      <c r="F20235" s="219"/>
      <c r="G20235" s="219"/>
    </row>
    <row r="20236" spans="1:7" x14ac:dyDescent="0.25">
      <c r="A20236" s="49" t="s">
        <v>35</v>
      </c>
      <c r="B20236" s="49" t="s">
        <v>36</v>
      </c>
      <c r="C20236" s="49" t="s">
        <v>38</v>
      </c>
      <c r="D20236" s="49" t="s">
        <v>43</v>
      </c>
      <c r="E20236" s="49" t="s">
        <v>44</v>
      </c>
      <c r="F20236" s="49" t="s">
        <v>45</v>
      </c>
      <c r="G20236" s="49" t="s">
        <v>40</v>
      </c>
    </row>
    <row r="20237" spans="1:7" x14ac:dyDescent="0.25">
      <c r="A20237" s="50" t="s">
        <v>319</v>
      </c>
      <c r="B20237" s="68" t="str">
        <f>VLOOKUP(A20237,'Componentes APUs'!$H$1:$L$25,2,0)</f>
        <v>Ingeniero Residente de Obra</v>
      </c>
      <c r="C20237" s="93">
        <v>0.25</v>
      </c>
      <c r="D20237" s="50">
        <f>VLOOKUP(A20237,'Componentes APUs'!$H$1:$L$25,3,0)</f>
        <v>4</v>
      </c>
      <c r="E20237" s="51">
        <f>VLOOKUP(A20237,'Componentes APUs'!$H$1:$L$25,4,0)</f>
        <v>271142.85714285716</v>
      </c>
      <c r="F20237" s="51">
        <f>VLOOKUP(A20237,'Componentes APUs'!$H$1:$L$25,5,0)</f>
        <v>162685.71428571429</v>
      </c>
      <c r="G20237" s="51">
        <f>ROUNDUP((E20237+F20237)*C20237/E20218,0)</f>
        <v>15494</v>
      </c>
    </row>
    <row r="20238" spans="1:7" x14ac:dyDescent="0.25">
      <c r="A20238" s="50" t="s">
        <v>320</v>
      </c>
      <c r="B20238" s="68" t="str">
        <f>VLOOKUP(A20238,'Componentes APUs'!$H$1:$L$25,2,0)</f>
        <v>Tecnico Supervisor</v>
      </c>
      <c r="C20238" s="93">
        <v>0.25</v>
      </c>
      <c r="D20238" s="50">
        <f>VLOOKUP(A20238,'Componentes APUs'!$H$1:$L$25,3,0)</f>
        <v>2.2999999999999998</v>
      </c>
      <c r="E20238" s="51">
        <f>VLOOKUP(A20238,'Componentes APUs'!$H$1:$L$25,4,0)</f>
        <v>155907.14285714284</v>
      </c>
      <c r="F20238" s="51">
        <f>VLOOKUP(A20238,'Componentes APUs'!$H$1:$L$25,5,0)</f>
        <v>93544.285714285696</v>
      </c>
      <c r="G20238" s="51">
        <f>ROUNDUP((E20238+F20238)*C20238/E20218,0)</f>
        <v>8909</v>
      </c>
    </row>
    <row r="20239" spans="1:7" x14ac:dyDescent="0.25">
      <c r="A20239" s="50" t="s">
        <v>1160</v>
      </c>
      <c r="B20239" s="68" t="str">
        <f>VLOOKUP(A20239,'Componentes APUs'!$H$1:$L$25,2,0)</f>
        <v>Oficial Eléctrico</v>
      </c>
      <c r="C20239" s="93">
        <v>1</v>
      </c>
      <c r="D20239" s="50">
        <f>VLOOKUP(A20239,'Componentes APUs'!$H$1:$L$25,3,0)</f>
        <v>2</v>
      </c>
      <c r="E20239" s="51">
        <f>VLOOKUP(A20239,'Componentes APUs'!$H$1:$L$25,4,0)</f>
        <v>154619.04761904763</v>
      </c>
      <c r="F20239" s="51">
        <f>VLOOKUP(A20239,'Componentes APUs'!$H$1:$L$25,5,0)</f>
        <v>92771.42857142858</v>
      </c>
      <c r="G20239" s="51">
        <f>ROUNDUP((E20239+F20239)*C20239/E20218,0)</f>
        <v>35342</v>
      </c>
    </row>
    <row r="20240" spans="1:7" x14ac:dyDescent="0.25">
      <c r="A20240" s="50" t="s">
        <v>48</v>
      </c>
      <c r="B20240" s="68" t="str">
        <f>VLOOKUP(A20240,'Componentes APUs'!$H$1:$L$25,2,0)</f>
        <v>Ayudante Calificado</v>
      </c>
      <c r="C20240" s="93">
        <v>1</v>
      </c>
      <c r="D20240" s="50">
        <f>VLOOKUP(A20240,'Componentes APUs'!$H$1:$L$25,3,0)</f>
        <v>1.5</v>
      </c>
      <c r="E20240" s="51">
        <f>VLOOKUP(A20240,'Componentes APUs'!$H$1:$L$25,4,0)</f>
        <v>115964.28571428571</v>
      </c>
      <c r="F20240" s="51">
        <f>VLOOKUP(A20240,'Componentes APUs'!$H$1:$L$25,5,0)</f>
        <v>69578.57142857142</v>
      </c>
      <c r="G20240" s="51">
        <f>ROUNDUP((E20240+F20240)*C20240/E20218,0)</f>
        <v>26507</v>
      </c>
    </row>
    <row r="20241" spans="1:7" x14ac:dyDescent="0.25">
      <c r="A20241" s="50" t="s">
        <v>50</v>
      </c>
      <c r="B20241" s="68" t="str">
        <f>VLOOKUP(A20241,'Componentes APUs'!$H$1:$L$25,2,0)</f>
        <v>Profesional en SST</v>
      </c>
      <c r="C20241" s="93">
        <v>0.25</v>
      </c>
      <c r="D20241" s="50">
        <f>VLOOKUP(A20241,'Componentes APUs'!$H$1:$L$25,3,0)</f>
        <v>2.5</v>
      </c>
      <c r="E20241" s="51">
        <f>VLOOKUP(A20241,'Componentes APUs'!$H$1:$L$25,4,0)</f>
        <v>169464.28571428571</v>
      </c>
      <c r="F20241" s="51">
        <f>VLOOKUP(A20241,'Componentes APUs'!$H$1:$L$25,5,0)</f>
        <v>101678.57142857142</v>
      </c>
      <c r="G20241" s="51">
        <f>ROUNDUP((E20241+F20241)*C20241/E20218,0)</f>
        <v>9684</v>
      </c>
    </row>
    <row r="20242" spans="1:7" x14ac:dyDescent="0.25">
      <c r="A20242" s="50" t="s">
        <v>52</v>
      </c>
      <c r="B20242" s="68" t="str">
        <f>VLOOKUP(A20242,'Componentes APUs'!$H$1:$L$25,2,0)</f>
        <v>Ayudante No Calificado</v>
      </c>
      <c r="C20242" s="93">
        <v>0</v>
      </c>
      <c r="D20242" s="50">
        <f>VLOOKUP(A20242,'Componentes APUs'!$H$1:$L$25,3,0)</f>
        <v>1</v>
      </c>
      <c r="E20242" s="51">
        <f>VLOOKUP(A20242,'Componentes APUs'!$H$1:$L$25,4,0)</f>
        <v>77309.523809523816</v>
      </c>
      <c r="F20242" s="51">
        <f>VLOOKUP(A20242,'Componentes APUs'!$H$1:$L$25,5,0)</f>
        <v>46385.71428571429</v>
      </c>
      <c r="G20242" s="51">
        <f>ROUNDUP((E20242+F20242)*C20242/E20218,0)</f>
        <v>0</v>
      </c>
    </row>
    <row r="20243" spans="1:7" x14ac:dyDescent="0.25">
      <c r="A20243" s="219" t="s">
        <v>56</v>
      </c>
      <c r="B20243" s="219"/>
      <c r="C20243" s="219"/>
      <c r="D20243" s="219"/>
      <c r="E20243" s="219"/>
      <c r="F20243" s="219"/>
      <c r="G20243" s="52">
        <f>SUM(G20237:G20242)</f>
        <v>95936</v>
      </c>
    </row>
    <row r="20244" spans="1:7" x14ac:dyDescent="0.25">
      <c r="A20244" s="56"/>
      <c r="B20244" s="57"/>
      <c r="C20244" s="57"/>
      <c r="D20244" s="57"/>
      <c r="E20244" s="57"/>
      <c r="F20244" s="57"/>
      <c r="G20244" s="58"/>
    </row>
    <row r="20245" spans="1:7" x14ac:dyDescent="0.25">
      <c r="A20245" s="219" t="s">
        <v>57</v>
      </c>
      <c r="B20245" s="219"/>
      <c r="C20245" s="219"/>
      <c r="D20245" s="219"/>
      <c r="E20245" s="219"/>
      <c r="F20245" s="219"/>
      <c r="G20245" s="219"/>
    </row>
    <row r="20246" spans="1:7" x14ac:dyDescent="0.25">
      <c r="A20246" s="49" t="s">
        <v>35</v>
      </c>
      <c r="B20246" s="219" t="s">
        <v>36</v>
      </c>
      <c r="C20246" s="219"/>
      <c r="D20246" s="49" t="s">
        <v>37</v>
      </c>
      <c r="E20246" s="49" t="s">
        <v>38</v>
      </c>
      <c r="F20246" s="49" t="s">
        <v>39</v>
      </c>
      <c r="G20246" s="49" t="s">
        <v>40</v>
      </c>
    </row>
    <row r="20247" spans="1:7" x14ac:dyDescent="0.25">
      <c r="A20247" s="50" t="s">
        <v>326</v>
      </c>
      <c r="B20247" s="220" t="str">
        <f>VLOOKUP(A20247,'Componentes APUs'!$S$1:$V$10,2,0)</f>
        <v>Juego Llaves</v>
      </c>
      <c r="C20247" s="220"/>
      <c r="D20247" s="50" t="s">
        <v>18</v>
      </c>
      <c r="E20247" s="50">
        <v>1</v>
      </c>
      <c r="F20247" s="51">
        <f>VLOOKUP(A20247,'Componentes APUs'!$S$1:$V$10,4,0)</f>
        <v>9167</v>
      </c>
      <c r="G20247" s="51">
        <f>ROUNDUP(F20247*((E20247/21)/E20218),0)</f>
        <v>63</v>
      </c>
    </row>
    <row r="20248" spans="1:7" x14ac:dyDescent="0.25">
      <c r="A20248" s="50" t="s">
        <v>58</v>
      </c>
      <c r="B20248" s="220" t="str">
        <f>VLOOKUP(A20248,'Componentes APUs'!$S$1:$V$10,2,0)</f>
        <v>Manila de servicio</v>
      </c>
      <c r="C20248" s="220"/>
      <c r="D20248" s="50" t="s">
        <v>18</v>
      </c>
      <c r="E20248" s="50">
        <v>0</v>
      </c>
      <c r="F20248" s="51">
        <f>VLOOKUP(A20248,'Componentes APUs'!$S$1:$V$10,4,0)</f>
        <v>2333</v>
      </c>
      <c r="G20248" s="51">
        <f>ROUNDUP(F20248*((E20248/21)/E20218),0)</f>
        <v>0</v>
      </c>
    </row>
    <row r="20249" spans="1:7" x14ac:dyDescent="0.25">
      <c r="A20249" s="50" t="s">
        <v>327</v>
      </c>
      <c r="B20249" s="220" t="str">
        <f>VLOOKUP(A20249,'Componentes APUs'!$S$1:$V$10,2,0)</f>
        <v>Tula portaherramientas</v>
      </c>
      <c r="C20249" s="220"/>
      <c r="D20249" s="50" t="s">
        <v>18</v>
      </c>
      <c r="E20249" s="50">
        <v>1</v>
      </c>
      <c r="F20249" s="51">
        <f>VLOOKUP(A20249,'Componentes APUs'!$S$1:$V$10,4,0)</f>
        <v>1250</v>
      </c>
      <c r="G20249" s="51">
        <f>ROUNDUP(F20249*((E20249/21)/E20218),0)</f>
        <v>9</v>
      </c>
    </row>
    <row r="20250" spans="1:7" x14ac:dyDescent="0.25">
      <c r="A20250" s="50" t="s">
        <v>60</v>
      </c>
      <c r="B20250" s="220" t="str">
        <f>VLOOKUP(A20250,'Componentes APUs'!$S$1:$V$10,2,0)</f>
        <v>Agarradoras</v>
      </c>
      <c r="C20250" s="220"/>
      <c r="D20250" s="50" t="s">
        <v>18</v>
      </c>
      <c r="E20250" s="50">
        <v>0</v>
      </c>
      <c r="F20250" s="51">
        <f>VLOOKUP(A20250,'Componentes APUs'!$S$1:$V$10,4,0)</f>
        <v>125000</v>
      </c>
      <c r="G20250" s="51">
        <f>ROUNDUP(F20250*((E20250/21)/E20218),0)</f>
        <v>0</v>
      </c>
    </row>
    <row r="20251" spans="1:7" x14ac:dyDescent="0.25">
      <c r="A20251" s="50" t="s">
        <v>62</v>
      </c>
      <c r="B20251" s="220" t="str">
        <f>VLOOKUP(A20251,'Componentes APUs'!$S$1:$V$10,2,0)</f>
        <v>Templadoras</v>
      </c>
      <c r="C20251" s="220"/>
      <c r="D20251" s="50" t="s">
        <v>18</v>
      </c>
      <c r="E20251" s="50">
        <v>0</v>
      </c>
      <c r="F20251" s="51">
        <f>VLOOKUP(A20251,'Componentes APUs'!$S$1:$V$10,4,0)</f>
        <v>250000</v>
      </c>
      <c r="G20251" s="51">
        <f>ROUNDUP(F20251*((E20251/21)/E20218),0)</f>
        <v>0</v>
      </c>
    </row>
    <row r="20252" spans="1:7" x14ac:dyDescent="0.25">
      <c r="A20252" s="50" t="s">
        <v>328</v>
      </c>
      <c r="B20252" s="220" t="str">
        <f>VLOOKUP(A20252,'Componentes APUs'!$S$1:$V$10,2,0)</f>
        <v>Herramienta Menor</v>
      </c>
      <c r="C20252" s="220"/>
      <c r="D20252" s="50" t="s">
        <v>18</v>
      </c>
      <c r="E20252" s="50">
        <v>1</v>
      </c>
      <c r="F20252" s="51">
        <f>VLOOKUP(A20252,'Componentes APUs'!$S$1:$V$10,4,0)</f>
        <v>75758</v>
      </c>
      <c r="G20252" s="51">
        <f>ROUNDUP(F20252*((E20252/21)/E20218),0)</f>
        <v>516</v>
      </c>
    </row>
    <row r="20253" spans="1:7" x14ac:dyDescent="0.25">
      <c r="A20253" s="219" t="s">
        <v>69</v>
      </c>
      <c r="B20253" s="219"/>
      <c r="C20253" s="219"/>
      <c r="D20253" s="219"/>
      <c r="E20253" s="219"/>
      <c r="F20253" s="219"/>
      <c r="G20253" s="52">
        <f>SUM(G20247:G20252)</f>
        <v>588</v>
      </c>
    </row>
    <row r="20254" spans="1:7" x14ac:dyDescent="0.25">
      <c r="A20254" s="56"/>
      <c r="B20254" s="57"/>
      <c r="C20254" s="57"/>
      <c r="D20254" s="57"/>
      <c r="E20254" s="57"/>
      <c r="F20254" s="57"/>
      <c r="G20254" s="58"/>
    </row>
    <row r="20255" spans="1:7" x14ac:dyDescent="0.25">
      <c r="A20255" s="219" t="s">
        <v>70</v>
      </c>
      <c r="B20255" s="219"/>
      <c r="C20255" s="219"/>
      <c r="D20255" s="219"/>
      <c r="E20255" s="219"/>
      <c r="F20255" s="219"/>
      <c r="G20255" s="219"/>
    </row>
    <row r="20256" spans="1:7" x14ac:dyDescent="0.25">
      <c r="A20256" s="49" t="s">
        <v>35</v>
      </c>
      <c r="B20256" s="219" t="s">
        <v>36</v>
      </c>
      <c r="C20256" s="219"/>
      <c r="D20256" s="49" t="s">
        <v>37</v>
      </c>
      <c r="E20256" s="49" t="s">
        <v>38</v>
      </c>
      <c r="F20256" s="49" t="s">
        <v>39</v>
      </c>
      <c r="G20256" s="49" t="s">
        <v>40</v>
      </c>
    </row>
    <row r="20257" spans="1:7" x14ac:dyDescent="0.25">
      <c r="A20257" s="50" t="s">
        <v>71</v>
      </c>
      <c r="B20257" s="71" t="str">
        <f>VLOOKUP(A20257,'Componentes APUs'!$A$1:$D$14,2,0)</f>
        <v>Camisa indigo sin partes metalicas</v>
      </c>
      <c r="C20257" s="71"/>
      <c r="D20257" s="50" t="str">
        <f>VLOOKUP(A20257,'Componentes APUs'!$A$1:$D$14,3,0)</f>
        <v>U</v>
      </c>
      <c r="E20257" s="50">
        <f>SUM(C20237:C20242)</f>
        <v>2.75</v>
      </c>
      <c r="F20257" s="51">
        <f>VLOOKUP(A20257,'Componentes APUs'!$A$1:$D$14,4,0)</f>
        <v>8585.8585858585866</v>
      </c>
      <c r="G20257" s="51">
        <f>ROUNDUP(F20257*(E20257/21)/E20218,0)</f>
        <v>161</v>
      </c>
    </row>
    <row r="20258" spans="1:7" x14ac:dyDescent="0.25">
      <c r="A20258" s="69" t="s">
        <v>73</v>
      </c>
      <c r="B20258" s="72" t="str">
        <f>VLOOKUP(A20258,'Componentes APUs'!$A$1:$D$14,2,0)</f>
        <v>Bota de seguridad dielectrica</v>
      </c>
      <c r="C20258" s="73"/>
      <c r="D20258" s="70" t="str">
        <f>VLOOKUP(A20258,'Componentes APUs'!$A$1:$D$14,3,0)</f>
        <v>Par</v>
      </c>
      <c r="E20258" s="50">
        <f>SUM(C20237:C20242)</f>
        <v>2.75</v>
      </c>
      <c r="F20258" s="51">
        <f>VLOOKUP(A20258,'Componentes APUs'!$A$1:$D$14,4,0)</f>
        <v>7500</v>
      </c>
      <c r="G20258" s="51">
        <f>ROUNDUP(F20258*(E20258/21)/E20218,0)</f>
        <v>141</v>
      </c>
    </row>
    <row r="20259" spans="1:7" x14ac:dyDescent="0.25">
      <c r="A20259" s="50" t="s">
        <v>76</v>
      </c>
      <c r="B20259" s="72" t="str">
        <f>VLOOKUP(A20259,'Componentes APUs'!$A$1:$D$14,2,0)</f>
        <v>Casco dielectrico Tipo 1 Clase E con barbuquejo</v>
      </c>
      <c r="C20259" s="73"/>
      <c r="D20259" s="50" t="str">
        <f>VLOOKUP(A20259,'Componentes APUs'!$A$1:$D$14,3,0)</f>
        <v>U</v>
      </c>
      <c r="E20259" s="50">
        <f>C20242+C20237+C20240+C20241+C20238+IF(A20239&lt;&gt;"MO-3",C20239,0)</f>
        <v>2.75</v>
      </c>
      <c r="F20259" s="51">
        <f>VLOOKUP(A20259,'Componentes APUs'!$A$1:$D$14,4,0)</f>
        <v>10101.010101010101</v>
      </c>
      <c r="G20259" s="51">
        <f>ROUNDUP(F20259*(E20259/21)/E20218,0)</f>
        <v>189</v>
      </c>
    </row>
    <row r="20260" spans="1:7" x14ac:dyDescent="0.25">
      <c r="A20260" s="69" t="s">
        <v>77</v>
      </c>
      <c r="B20260" s="72" t="str">
        <f>VLOOKUP(A20260,'Componentes APUs'!$A$1:$D$14,2,0)</f>
        <v>Correa plastica y antiflama</v>
      </c>
      <c r="C20260" s="73"/>
      <c r="D20260" s="50" t="str">
        <f>VLOOKUP(A20260,'Componentes APUs'!$A$1:$D$14,3,0)</f>
        <v>U</v>
      </c>
      <c r="E20260" s="50">
        <f>SUM(C20237:C20242)</f>
        <v>2.75</v>
      </c>
      <c r="F20260" s="51">
        <f>VLOOKUP(A20260,'Componentes APUs'!$A$1:$D$14,4,0)</f>
        <v>3787.878787878788</v>
      </c>
      <c r="G20260" s="51">
        <f>ROUNDUP(F20260*(E20260/21)/E20218,0)</f>
        <v>71</v>
      </c>
    </row>
    <row r="20261" spans="1:7" x14ac:dyDescent="0.25">
      <c r="A20261" s="50" t="s">
        <v>79</v>
      </c>
      <c r="B20261" s="72" t="str">
        <f>VLOOKUP(A20261,'Componentes APUs'!$A$1:$D$14,2,0)</f>
        <v>Gafas protectoras filtro UV</v>
      </c>
      <c r="C20261" s="73"/>
      <c r="D20261" s="50" t="str">
        <f>VLOOKUP(A20261,'Componentes APUs'!$A$1:$D$14,3,0)</f>
        <v>U</v>
      </c>
      <c r="E20261" s="50">
        <f>SUM(C20237:C20242)</f>
        <v>2.75</v>
      </c>
      <c r="F20261" s="51">
        <f>VLOOKUP(A20261,'Componentes APUs'!$A$1:$D$14,4,0)</f>
        <v>2777.7777777777778</v>
      </c>
      <c r="G20261" s="51">
        <f>ROUNDUP(F20261*(E20261/21)/E20218,0)</f>
        <v>52</v>
      </c>
    </row>
    <row r="20262" spans="1:7" x14ac:dyDescent="0.25">
      <c r="A20262" s="69" t="s">
        <v>402</v>
      </c>
      <c r="B20262" s="72" t="str">
        <f>VLOOKUP(A20262,'Componentes APUs'!$A$1:$D$14,2,0)</f>
        <v>Bota de seguridad PVC dielectrica</v>
      </c>
      <c r="C20262" s="73"/>
      <c r="D20262" s="50" t="str">
        <f>VLOOKUP(A20262,'Componentes APUs'!$A$1:$D$14,3,0)</f>
        <v>Par</v>
      </c>
      <c r="E20262" s="50">
        <f>SUM(C20237:C20242)</f>
        <v>2.75</v>
      </c>
      <c r="F20262" s="51">
        <f>VLOOKUP(A20262,'Componentes APUs'!$A$1:$D$14,4,0)</f>
        <v>2916.6666666666665</v>
      </c>
      <c r="G20262" s="51">
        <f>ROUNDUP(F20262*(E20262/21)/E20218,0)</f>
        <v>55</v>
      </c>
    </row>
    <row r="20263" spans="1:7" x14ac:dyDescent="0.25">
      <c r="A20263" s="50" t="s">
        <v>403</v>
      </c>
      <c r="B20263" s="72" t="str">
        <f>VLOOKUP(A20263,'Componentes APUs'!$A$1:$D$14,2,0)</f>
        <v>Capuchon</v>
      </c>
      <c r="C20263" s="73"/>
      <c r="D20263" s="50" t="str">
        <f>VLOOKUP(A20263,'Componentes APUs'!$A$1:$D$14,3,0)</f>
        <v>U</v>
      </c>
      <c r="E20263" s="50">
        <f>SUM(C20237:C20242)</f>
        <v>2.75</v>
      </c>
      <c r="F20263" s="51">
        <f>VLOOKUP(A20263,'Componentes APUs'!$A$1:$D$14,4,0)</f>
        <v>2525.2525252525252</v>
      </c>
      <c r="G20263" s="51">
        <f>ROUNDUP(F20263*(E20263/21)/E20218,0)</f>
        <v>48</v>
      </c>
    </row>
    <row r="20264" spans="1:7" x14ac:dyDescent="0.25">
      <c r="A20264" s="69" t="s">
        <v>81</v>
      </c>
      <c r="B20264" s="72" t="str">
        <f>VLOOKUP(A20264,'Componentes APUs'!$A$1:$D$14,2,0)</f>
        <v>Guantes Protectores  - ingeniero reforzados</v>
      </c>
      <c r="C20264" s="73"/>
      <c r="D20264" s="50" t="str">
        <f>VLOOKUP(A20264,'Componentes APUs'!$A$1:$D$14,3,0)</f>
        <v>Par</v>
      </c>
      <c r="E20264" s="50">
        <f>C20239+C20240+C20242</f>
        <v>2</v>
      </c>
      <c r="F20264" s="51">
        <f>VLOOKUP(A20264,'Componentes APUs'!$A$1:$D$14,4,0)</f>
        <v>2525.2525252525252</v>
      </c>
      <c r="G20264" s="51">
        <f>ROUNDUP(F20264*(E20264/21)/E20218,0)</f>
        <v>35</v>
      </c>
    </row>
    <row r="20265" spans="1:7" x14ac:dyDescent="0.25">
      <c r="A20265" s="50" t="s">
        <v>83</v>
      </c>
      <c r="B20265" s="72" t="str">
        <f>VLOOKUP(A20265,'Componentes APUs'!$A$1:$D$14,2,0)</f>
        <v>Impermeable (pantalon camisa)</v>
      </c>
      <c r="C20265" s="73"/>
      <c r="D20265" s="50" t="str">
        <f>VLOOKUP(A20265,'Componentes APUs'!$A$1:$D$14,3,0)</f>
        <v>U</v>
      </c>
      <c r="E20265" s="50">
        <f>SUM(C20237:C20242)</f>
        <v>2.75</v>
      </c>
      <c r="F20265" s="51">
        <f>VLOOKUP(A20265,'Componentes APUs'!$A$1:$D$14,4,0)</f>
        <v>3750</v>
      </c>
      <c r="G20265" s="51">
        <f>ROUNDUP(F20265*(E20265/21)/E20218,0)</f>
        <v>71</v>
      </c>
    </row>
    <row r="20266" spans="1:7" x14ac:dyDescent="0.25">
      <c r="A20266" s="69" t="s">
        <v>85</v>
      </c>
      <c r="B20266" s="72" t="str">
        <f>VLOOKUP(A20266,'Componentes APUs'!$A$1:$D$14,2,0)</f>
        <v>Jean Dielectrico</v>
      </c>
      <c r="C20266" s="73"/>
      <c r="D20266" s="50" t="str">
        <f>VLOOKUP(A20266,'Componentes APUs'!$A$1:$D$14,3,0)</f>
        <v>U</v>
      </c>
      <c r="E20266" s="50">
        <f>SUM(C20237:C20242)</f>
        <v>2.75</v>
      </c>
      <c r="F20266" s="51">
        <f>VLOOKUP(A20266,'Componentes APUs'!$A$1:$D$14,4,0)</f>
        <v>7575.757575757576</v>
      </c>
      <c r="G20266" s="51">
        <f>ROUNDUP(F20266*(E20266/21)/E20218,0)</f>
        <v>142</v>
      </c>
    </row>
    <row r="20267" spans="1:7" x14ac:dyDescent="0.25">
      <c r="A20267" s="50" t="s">
        <v>87</v>
      </c>
      <c r="B20267" s="72" t="str">
        <f>VLOOKUP(A20267,'Componentes APUs'!$A$1:$D$14,2,0)</f>
        <v>Casco dielectrico Tipo 2 Clase E con barboquejo</v>
      </c>
      <c r="C20267" s="73"/>
      <c r="D20267" s="50" t="str">
        <f>VLOOKUP(A20267,'Componentes APUs'!$A$1:$D$14,3,0)</f>
        <v>U</v>
      </c>
      <c r="E20267" s="53">
        <f>IF(A20239="MO-3",C20239,0)</f>
        <v>0</v>
      </c>
      <c r="F20267" s="51">
        <f>VLOOKUP(A20267,'Componentes APUs'!$A$1:$D$14,4,0)</f>
        <v>7500</v>
      </c>
      <c r="G20267" s="51">
        <f>ROUNDUP(F20267*(E20267/21)/E20218,0)</f>
        <v>0</v>
      </c>
    </row>
    <row r="20268" spans="1:7" x14ac:dyDescent="0.25">
      <c r="A20268" s="69" t="s">
        <v>89</v>
      </c>
      <c r="B20268" s="72" t="str">
        <f>VLOOKUP(A20268,'Componentes APUs'!$A$1:$D$14,2,0)</f>
        <v>Kit de rescate para trabajo en alturas</v>
      </c>
      <c r="C20268" s="73"/>
      <c r="D20268" s="50" t="str">
        <f>VLOOKUP(A20268,'Componentes APUs'!$A$1:$D$14,3,0)</f>
        <v>U</v>
      </c>
      <c r="E20268" s="50">
        <f>IF(AND(A20239="MO-3",C20239=2),1,0)</f>
        <v>0</v>
      </c>
      <c r="F20268" s="51">
        <f>VLOOKUP(A20268,'Componentes APUs'!$A$1:$D$14,4,0)</f>
        <v>37500</v>
      </c>
      <c r="G20268" s="51">
        <f>ROUNDUP(F20268*(E20268/21)/E20218,0)</f>
        <v>0</v>
      </c>
    </row>
    <row r="20269" spans="1:7" x14ac:dyDescent="0.25">
      <c r="A20269" s="50" t="s">
        <v>91</v>
      </c>
      <c r="B20269" s="72" t="str">
        <f>VLOOKUP(A20269,'Componentes APUs'!$A$1:$D$14,2,0)</f>
        <v>Equipo completo para trabajo en alturas con pretales (Arnes dielectrico, 1 mosqueton de seguridad, tie off dielectrico, eslinga de posicionamiento, juego de pretales)</v>
      </c>
      <c r="C20269" s="73"/>
      <c r="D20269" s="50" t="str">
        <f>VLOOKUP(A20269,'Componentes APUs'!$A$1:$D$14,3,0)</f>
        <v>U</v>
      </c>
      <c r="E20269" s="50">
        <f>IF(A20239="MO-3",C20239,0)</f>
        <v>0</v>
      </c>
      <c r="F20269" s="51">
        <f>VLOOKUP(A20269,'Componentes APUs'!$A$1:$D$14,4,0)</f>
        <v>26041.666666666668</v>
      </c>
      <c r="G20269" s="51">
        <f>ROUNDUP(F20269*(E20269/21)/E20218,0)</f>
        <v>0</v>
      </c>
    </row>
    <row r="20270" spans="1:7" x14ac:dyDescent="0.25">
      <c r="A20270" s="219" t="s">
        <v>95</v>
      </c>
      <c r="B20270" s="219"/>
      <c r="C20270" s="219"/>
      <c r="D20270" s="219"/>
      <c r="E20270" s="219"/>
      <c r="F20270" s="219"/>
      <c r="G20270" s="52">
        <f>SUM(G20257:G20269)</f>
        <v>965</v>
      </c>
    </row>
    <row r="20271" spans="1:7" x14ac:dyDescent="0.25">
      <c r="A20271" s="56"/>
      <c r="B20271" s="57"/>
      <c r="C20271" s="57"/>
      <c r="D20271" s="57"/>
      <c r="E20271" s="57"/>
      <c r="F20271" s="57"/>
      <c r="G20271" s="58"/>
    </row>
    <row r="20272" spans="1:7" x14ac:dyDescent="0.25">
      <c r="A20272" s="219" t="s">
        <v>96</v>
      </c>
      <c r="B20272" s="219"/>
      <c r="C20272" s="219"/>
      <c r="D20272" s="219"/>
      <c r="E20272" s="219"/>
      <c r="F20272" s="219"/>
      <c r="G20272" s="219"/>
    </row>
    <row r="20273" spans="1:7" x14ac:dyDescent="0.25">
      <c r="A20273" s="49" t="s">
        <v>35</v>
      </c>
      <c r="B20273" s="225" t="s">
        <v>36</v>
      </c>
      <c r="C20273" s="225"/>
      <c r="D20273" s="49" t="s">
        <v>37</v>
      </c>
      <c r="E20273" s="49" t="s">
        <v>38</v>
      </c>
      <c r="F20273" s="49" t="s">
        <v>39</v>
      </c>
      <c r="G20273" s="49" t="s">
        <v>40</v>
      </c>
    </row>
    <row r="20274" spans="1:7" x14ac:dyDescent="0.25">
      <c r="A20274" s="69" t="s">
        <v>97</v>
      </c>
      <c r="B20274" s="72" t="str">
        <f>VLOOKUP(A20274,'Componentes APUs'!$N$1:$Q$30,2,0)</f>
        <v>Camioneta</v>
      </c>
      <c r="C20274" s="73"/>
      <c r="D20274" s="70" t="str">
        <f>VLOOKUP(A20274,'Componentes APUs'!$N$1:$Q$30,3,0)</f>
        <v>U</v>
      </c>
      <c r="E20274" s="50">
        <v>1</v>
      </c>
      <c r="F20274" s="51">
        <f>VLOOKUP(A20274,'Componentes APUs'!$N$1:$Q$30,4,0)</f>
        <v>5500000</v>
      </c>
      <c r="G20274" s="51">
        <f>IFERROR(ROUNDUP(F20274*(E20274/21)/E20218,0),0)</f>
        <v>37415</v>
      </c>
    </row>
    <row r="20275" spans="1:7" x14ac:dyDescent="0.25">
      <c r="A20275" s="50" t="s">
        <v>321</v>
      </c>
      <c r="B20275" s="72" t="str">
        <f>VLOOKUP(A20275,'Componentes APUs'!$N$1:$Q$30,2,0)</f>
        <v>Grúa Hidráulica</v>
      </c>
      <c r="C20275" s="73"/>
      <c r="D20275" s="70" t="str">
        <f>VLOOKUP(A20275,'Componentes APUs'!$N$1:$Q$30,3,0)</f>
        <v>U</v>
      </c>
      <c r="E20275" s="50">
        <v>0</v>
      </c>
      <c r="F20275" s="51">
        <f>VLOOKUP(A20275,'Componentes APUs'!$N$1:$Q$30,4,0)</f>
        <v>21000000</v>
      </c>
      <c r="G20275" s="51">
        <f>IFERROR(ROUNDUP(F20275*(E20275/21)/E20218,0),0)</f>
        <v>0</v>
      </c>
    </row>
    <row r="20276" spans="1:7" x14ac:dyDescent="0.25">
      <c r="A20276" s="69" t="s">
        <v>322</v>
      </c>
      <c r="B20276" s="72" t="str">
        <f>VLOOKUP(A20276,'Componentes APUs'!$N$1:$Q$30,2,0)</f>
        <v>Camabaja</v>
      </c>
      <c r="C20276" s="73"/>
      <c r="D20276" s="70" t="str">
        <f>VLOOKUP(A20276,'Componentes APUs'!$N$1:$Q$30,3,0)</f>
        <v>TON/KM</v>
      </c>
      <c r="E20276" s="50">
        <v>0</v>
      </c>
      <c r="F20276" s="51">
        <f>VLOOKUP(A20276,'Componentes APUs'!$N$1:$Q$30,4,0)</f>
        <v>611</v>
      </c>
      <c r="G20276" s="51">
        <f>IFERROR(ROUNDUP(F20276*(E20276/21)/E20218,0),0)</f>
        <v>0</v>
      </c>
    </row>
    <row r="20277" spans="1:7" x14ac:dyDescent="0.25">
      <c r="A20277" s="50" t="s">
        <v>323</v>
      </c>
      <c r="B20277" s="72" t="str">
        <f>VLOOKUP(A20277,'Componentes APUs'!$N$1:$Q$30,2,0)</f>
        <v>Volqueta</v>
      </c>
      <c r="C20277" s="73"/>
      <c r="D20277" s="70" t="str">
        <f>VLOOKUP(A20277,'Componentes APUs'!$N$1:$Q$30,3,0)</f>
        <v>U</v>
      </c>
      <c r="E20277" s="50">
        <v>0</v>
      </c>
      <c r="F20277" s="51">
        <f>VLOOKUP(A20277,'Componentes APUs'!$N$1:$Q$30,4,0)</f>
        <v>14828184</v>
      </c>
      <c r="G20277" s="51">
        <f>IFERROR(ROUNDUP(F20277*(E20277/21)/E20218,0),0)</f>
        <v>0</v>
      </c>
    </row>
    <row r="20278" spans="1:7" x14ac:dyDescent="0.25">
      <c r="A20278" s="69" t="s">
        <v>324</v>
      </c>
      <c r="B20278" s="72" t="str">
        <f>VLOOKUP(A20278,'Componentes APUs'!$N$1:$Q$30,2,0)</f>
        <v>Retroexcavadora</v>
      </c>
      <c r="C20278" s="73"/>
      <c r="D20278" s="70" t="str">
        <f>VLOOKUP(A20278,'Componentes APUs'!$N$1:$Q$30,3,0)</f>
        <v>U</v>
      </c>
      <c r="E20278" s="50">
        <v>0</v>
      </c>
      <c r="F20278" s="51">
        <f>VLOOKUP(A20278,'Componentes APUs'!$N$1:$Q$30,4,0)</f>
        <v>46030656</v>
      </c>
      <c r="G20278" s="51">
        <f>IFERROR(ROUNDUP(F20278*(E20278/21)/E20218,0),0)</f>
        <v>0</v>
      </c>
    </row>
    <row r="20279" spans="1:7" x14ac:dyDescent="0.25">
      <c r="A20279" s="219" t="s">
        <v>99</v>
      </c>
      <c r="B20279" s="219"/>
      <c r="C20279" s="219"/>
      <c r="D20279" s="219"/>
      <c r="E20279" s="219"/>
      <c r="F20279" s="219"/>
      <c r="G20279" s="52">
        <f>SUM(G20274:G20278)</f>
        <v>37415</v>
      </c>
    </row>
    <row r="20280" spans="1:7" x14ac:dyDescent="0.25">
      <c r="A20280" s="56"/>
      <c r="B20280" s="57"/>
      <c r="C20280" s="57"/>
      <c r="D20280" s="57"/>
      <c r="E20280" s="57"/>
      <c r="F20280" s="57"/>
      <c r="G20280" s="58"/>
    </row>
    <row r="20281" spans="1:7" x14ac:dyDescent="0.25">
      <c r="A20281" s="219" t="s">
        <v>1516</v>
      </c>
      <c r="B20281" s="219"/>
      <c r="C20281" s="219"/>
      <c r="D20281" s="219"/>
      <c r="E20281" s="219"/>
      <c r="F20281" s="219"/>
      <c r="G20281" s="52">
        <f>G20279+G20270+G20253+G20243+G20233</f>
        <v>292795</v>
      </c>
    </row>
    <row r="20282" spans="1:7" x14ac:dyDescent="0.25">
      <c r="A20282" s="59"/>
      <c r="B20282" s="60"/>
      <c r="C20282" s="60"/>
      <c r="D20282" s="60"/>
      <c r="E20282" s="57"/>
      <c r="F20282" s="57"/>
      <c r="G20282" s="58"/>
    </row>
    <row r="20283" spans="1:7" x14ac:dyDescent="0.25">
      <c r="A20283" s="64"/>
      <c r="D20283" s="55"/>
      <c r="E20283" s="49" t="s">
        <v>25</v>
      </c>
      <c r="F20283" s="54">
        <v>0.15</v>
      </c>
      <c r="G20283" s="51">
        <f>G20281*F20283</f>
        <v>43919.25</v>
      </c>
    </row>
    <row r="20284" spans="1:7" x14ac:dyDescent="0.25">
      <c r="A20284" s="64"/>
      <c r="D20284" s="55"/>
      <c r="E20284" s="49" t="s">
        <v>26</v>
      </c>
      <c r="F20284" s="54">
        <v>0.05</v>
      </c>
      <c r="G20284" s="51">
        <f>G20281*F20284</f>
        <v>14639.75</v>
      </c>
    </row>
    <row r="20285" spans="1:7" x14ac:dyDescent="0.25">
      <c r="A20285" s="61"/>
      <c r="B20285" s="65"/>
      <c r="C20285" s="65"/>
      <c r="D20285" s="62"/>
      <c r="E20285" s="49" t="s">
        <v>27</v>
      </c>
      <c r="F20285" s="54">
        <v>0.05</v>
      </c>
      <c r="G20285" s="51">
        <f>G20281*F20285</f>
        <v>14639.75</v>
      </c>
    </row>
    <row r="20286" spans="1:7" x14ac:dyDescent="0.25">
      <c r="A20286" s="61"/>
      <c r="B20286" s="62"/>
      <c r="C20286" s="62"/>
      <c r="D20286" s="62"/>
      <c r="E20286" s="62"/>
      <c r="F20286" s="62"/>
      <c r="G20286" s="63"/>
    </row>
    <row r="20287" spans="1:7" x14ac:dyDescent="0.25">
      <c r="A20287" s="219" t="s">
        <v>1517</v>
      </c>
      <c r="B20287" s="219"/>
      <c r="C20287" s="219"/>
      <c r="D20287" s="219"/>
      <c r="E20287" s="219"/>
      <c r="F20287" s="219"/>
      <c r="G20287" s="52">
        <f>G20281+G20283+G20284+G20285</f>
        <v>365993.75</v>
      </c>
    </row>
    <row r="20288" spans="1:7" x14ac:dyDescent="0.25">
      <c r="A20288" s="59"/>
      <c r="B20288" s="60"/>
      <c r="C20288" s="60"/>
      <c r="D20288" s="60"/>
      <c r="E20288" s="57"/>
      <c r="F20288" s="57"/>
      <c r="G20288" s="58"/>
    </row>
    <row r="20289" spans="1:7" x14ac:dyDescent="0.25">
      <c r="A20289" s="64"/>
      <c r="D20289" s="55"/>
      <c r="E20289" s="49" t="s">
        <v>102</v>
      </c>
      <c r="F20289" s="49" t="s">
        <v>103</v>
      </c>
      <c r="G20289" s="51">
        <f>G20285*19%</f>
        <v>2781.5525000000002</v>
      </c>
    </row>
    <row r="20290" spans="1:7" x14ac:dyDescent="0.25">
      <c r="A20290" s="61"/>
      <c r="B20290" s="62"/>
      <c r="C20290" s="62"/>
      <c r="D20290" s="62"/>
      <c r="E20290" s="57"/>
      <c r="F20290" s="57"/>
      <c r="G20290" s="58"/>
    </row>
    <row r="20291" spans="1:7" x14ac:dyDescent="0.25">
      <c r="A20291" s="219" t="s">
        <v>104</v>
      </c>
      <c r="B20291" s="219"/>
      <c r="C20291" s="219"/>
      <c r="D20291" s="219"/>
      <c r="E20291" s="219"/>
      <c r="F20291" s="219"/>
      <c r="G20291" s="52">
        <f>G20289+G20287</f>
        <v>368775.30249999999</v>
      </c>
    </row>
    <row r="20293" spans="1:7" x14ac:dyDescent="0.25">
      <c r="A20293" s="74" t="s">
        <v>29</v>
      </c>
      <c r="B20293" s="237" t="s">
        <v>30</v>
      </c>
      <c r="C20293" s="238"/>
      <c r="D20293" s="74" t="s">
        <v>31</v>
      </c>
      <c r="E20293" s="74" t="s">
        <v>32</v>
      </c>
      <c r="F20293" s="74" t="s">
        <v>189</v>
      </c>
      <c r="G20293" s="74" t="s">
        <v>33</v>
      </c>
    </row>
    <row r="20294" spans="1:7" ht="40.5" customHeight="1" x14ac:dyDescent="0.25">
      <c r="A20294" s="50" t="str">
        <f>Presupuesto!B388</f>
        <v>056_AUX</v>
      </c>
      <c r="B20294" s="220" t="str">
        <f>Presupuesto!C388</f>
        <v>SUMINISTRO E INSTALACIÓN DE SALIDA PARA TOMA MONOFÁSICO IP65 EN TUBERÍA PVC 3/4"  1X10 F+1X 10 N+10 T. (Longitud Promedio 10 m) (TRANSFORMADORES)</v>
      </c>
      <c r="C20294" s="239"/>
      <c r="D20294" s="50" t="s">
        <v>8</v>
      </c>
      <c r="E20294" s="93">
        <v>5</v>
      </c>
      <c r="F20294" s="50"/>
      <c r="G20294" s="51">
        <f>G20364</f>
        <v>572025.85549999983</v>
      </c>
    </row>
    <row r="20295" spans="1:7" x14ac:dyDescent="0.25">
      <c r="A20295" s="219" t="s">
        <v>34</v>
      </c>
      <c r="B20295" s="219"/>
      <c r="C20295" s="219"/>
      <c r="D20295" s="219"/>
      <c r="E20295" s="219"/>
      <c r="F20295" s="219"/>
      <c r="G20295" s="219"/>
    </row>
    <row r="20296" spans="1:7" x14ac:dyDescent="0.25">
      <c r="A20296" s="49" t="s">
        <v>35</v>
      </c>
      <c r="B20296" s="234" t="s">
        <v>36</v>
      </c>
      <c r="C20296" s="235"/>
      <c r="D20296" s="49" t="s">
        <v>37</v>
      </c>
      <c r="E20296" s="49" t="s">
        <v>38</v>
      </c>
      <c r="F20296" s="49" t="s">
        <v>39</v>
      </c>
      <c r="G20296" s="49" t="s">
        <v>40</v>
      </c>
    </row>
    <row r="20297" spans="1:7" x14ac:dyDescent="0.25">
      <c r="A20297" s="17" t="str">
        <f>Material!A215</f>
        <v>MA-214</v>
      </c>
      <c r="B20297" s="72" t="str">
        <f>IFERROR(VLOOKUP(A20297,Material!$A:$H,2,0),"-")</f>
        <v>CABLE 10 AWG Cu- TC-THHN/THWN - 600 V</v>
      </c>
      <c r="C20297" s="73"/>
      <c r="D20297" s="50" t="str">
        <f>IFERROR(VLOOKUP(A20297,Material!$A:$H,4,0),"-")</f>
        <v>ML</v>
      </c>
      <c r="E20297" s="50">
        <f>10*3</f>
        <v>30</v>
      </c>
      <c r="F20297" s="51">
        <f>IFERROR(VLOOKUP(A20297,Material!$A:$H,3,0),"-")</f>
        <v>5070</v>
      </c>
      <c r="G20297" s="51">
        <f t="shared" ref="G20297:G20305" si="298">IFERROR(ROUNDUP(F20297*E20297,0),"-")</f>
        <v>152100</v>
      </c>
    </row>
    <row r="20298" spans="1:7" x14ac:dyDescent="0.25">
      <c r="A20298" s="17" t="str">
        <f>Material!A72</f>
        <v>MA-71</v>
      </c>
      <c r="B20298" s="72" t="str">
        <f>IFERROR(VLOOKUP(A20298,Material!$A:$H,2,0),"-")</f>
        <v>TUBERÍA PVC 3/4"</v>
      </c>
      <c r="C20298" s="76"/>
      <c r="D20298" s="50" t="str">
        <f>IFERROR(VLOOKUP(A20298,Material!$A:$H,4,0),"-")</f>
        <v>ML</v>
      </c>
      <c r="E20298" s="50">
        <v>10</v>
      </c>
      <c r="F20298" s="51">
        <f>IFERROR(VLOOKUP(A20298,Material!$A:$H,3,0),"-")</f>
        <v>2253.3333333333335</v>
      </c>
      <c r="G20298" s="51">
        <f t="shared" si="298"/>
        <v>22534</v>
      </c>
    </row>
    <row r="20299" spans="1:7" x14ac:dyDescent="0.25">
      <c r="A20299" s="17" t="str">
        <f>Material!A230</f>
        <v>MA-229</v>
      </c>
      <c r="B20299" s="72" t="str">
        <f>IFERROR(VLOOKUP(A20299,Material!$A:$H,2,0),"-")</f>
        <v>TOMA CORRIENTE LEVITON</v>
      </c>
      <c r="C20299" s="76"/>
      <c r="D20299" s="50" t="str">
        <f>IFERROR(VLOOKUP(A20299,Material!$A:$H,4,0),"-")</f>
        <v>UN</v>
      </c>
      <c r="E20299" s="50">
        <v>1</v>
      </c>
      <c r="F20299" s="51">
        <f>IFERROR(VLOOKUP(A20299,Material!$A:$H,3,0),"-")</f>
        <v>4615</v>
      </c>
      <c r="G20299" s="51">
        <f t="shared" si="298"/>
        <v>4615</v>
      </c>
    </row>
    <row r="20300" spans="1:7" x14ac:dyDescent="0.25">
      <c r="A20300" s="17" t="str">
        <f>Material!A258</f>
        <v>MA-257</v>
      </c>
      <c r="B20300" s="72" t="str">
        <f>IFERROR(VLOOKUP(A20300,Material!$A:$H,2,0),"-")</f>
        <v>CAJA RAWELT INTEMPERIE 2X4 3/4"SOBRE PUESTO</v>
      </c>
      <c r="C20300" s="76"/>
      <c r="D20300" s="50" t="str">
        <f>IFERROR(VLOOKUP(A20300,Material!$A:$H,4,0),"-")</f>
        <v>UN</v>
      </c>
      <c r="E20300" s="50">
        <v>1</v>
      </c>
      <c r="F20300" s="51">
        <f>IFERROR(VLOOKUP(A20300,Material!$A:$H,3,0),"-")</f>
        <v>23400</v>
      </c>
      <c r="G20300" s="51">
        <f t="shared" si="298"/>
        <v>23400</v>
      </c>
    </row>
    <row r="20301" spans="1:7" x14ac:dyDescent="0.25">
      <c r="A20301" s="17" t="str">
        <f>Material!A391</f>
        <v>MA-390</v>
      </c>
      <c r="B20301" s="72" t="str">
        <f>IFERROR(VLOOKUP(A20301,Material!$A:$H,2,0),"-")</f>
        <v>CURVA 90° IMC 3/4"</v>
      </c>
      <c r="C20301" s="76"/>
      <c r="D20301" s="50" t="str">
        <f>IFERROR(VLOOKUP(A20301,Material!$A:$H,4,0),"-")</f>
        <v>UN</v>
      </c>
      <c r="E20301" s="50">
        <v>1</v>
      </c>
      <c r="F20301" s="51">
        <f>IFERROR(VLOOKUP(A20301,Material!$A:$H,3,0),"-")</f>
        <v>7995</v>
      </c>
      <c r="G20301" s="51">
        <f t="shared" si="298"/>
        <v>7995</v>
      </c>
    </row>
    <row r="20302" spans="1:7" x14ac:dyDescent="0.25">
      <c r="A20302" s="17" t="str">
        <f>Material!A70</f>
        <v>MA-69</v>
      </c>
      <c r="B20302" s="72" t="str">
        <f>IFERROR(VLOOKUP(A20302,Material!$A:$H,2,0),"-")</f>
        <v>TUBO CONDUIT METÁLICO GALVANIZADO IMC DIAMETRO 3/4"</v>
      </c>
      <c r="C20302" s="76"/>
      <c r="D20302" s="50" t="str">
        <f>IFERROR(VLOOKUP(A20302,Material!$A:$H,4,0),"-")</f>
        <v>ML</v>
      </c>
      <c r="E20302" s="50">
        <v>1</v>
      </c>
      <c r="F20302" s="51">
        <f>IFERROR(VLOOKUP(A20302,Material!$A:$H,3,0),"-")</f>
        <v>29965</v>
      </c>
      <c r="G20302" s="51">
        <f t="shared" si="298"/>
        <v>29965</v>
      </c>
    </row>
    <row r="20303" spans="1:7" x14ac:dyDescent="0.25">
      <c r="A20303" s="17" t="str">
        <f>Material!A231</f>
        <v>MA-230</v>
      </c>
      <c r="B20303" s="72" t="str">
        <f>IFERROR(VLOOKUP(A20303,Material!$A:$H,2,0),"-")</f>
        <v>TAPA PARA TOMA DOBLE INTEMPERIE</v>
      </c>
      <c r="C20303" s="76"/>
      <c r="D20303" s="50" t="str">
        <f>IFERROR(VLOOKUP(A20303,Material!$A:$H,4,0),"-")</f>
        <v>UN</v>
      </c>
      <c r="E20303" s="50">
        <v>1</v>
      </c>
      <c r="F20303" s="51">
        <f>IFERROR(VLOOKUP(A20303,Material!$A:$H,3,0),"-")</f>
        <v>21385</v>
      </c>
      <c r="G20303" s="51">
        <f t="shared" si="298"/>
        <v>21385</v>
      </c>
    </row>
    <row r="20304" spans="1:7" x14ac:dyDescent="0.25">
      <c r="A20304" s="17" t="str">
        <f>Material!A201</f>
        <v>MA-200</v>
      </c>
      <c r="B20304" s="72" t="str">
        <f>IFERROR(VLOOKUP(A20304,Material!$A:$H,2,0),"-")</f>
        <v>SOLDADURA PVC 1/4 GL</v>
      </c>
      <c r="C20304" s="76"/>
      <c r="D20304" s="50" t="str">
        <f>IFERROR(VLOOKUP(A20304,Material!$A:$H,4,0),"-")</f>
        <v>GALÓN</v>
      </c>
      <c r="E20304" s="50">
        <f>1/60</f>
        <v>1.6666666666666666E-2</v>
      </c>
      <c r="F20304" s="51">
        <f>IFERROR(VLOOKUP(A20304,Material!$A:$H,3,0),"-")</f>
        <v>88270</v>
      </c>
      <c r="G20304" s="51">
        <f t="shared" si="298"/>
        <v>1472</v>
      </c>
    </row>
    <row r="20305" spans="1:7" x14ac:dyDescent="0.25">
      <c r="A20305" s="17" t="str">
        <f>Material!A253</f>
        <v>MA-252</v>
      </c>
      <c r="B20305" s="72" t="str">
        <f>IFERROR(VLOOKUP(A20305,Material!$A:$H,2,0),"-")</f>
        <v>LIMPIADOR DE TUBERÍA PVC 1/4 GL</v>
      </c>
      <c r="C20305" s="76"/>
      <c r="D20305" s="50" t="str">
        <f>IFERROR(VLOOKUP(A20305,Material!$A:$H,4,0),"-")</f>
        <v>GALÓN</v>
      </c>
      <c r="E20305" s="50">
        <f>1/60</f>
        <v>1.6666666666666666E-2</v>
      </c>
      <c r="F20305" s="51">
        <f>IFERROR(VLOOKUP(A20305,Material!$A:$H,3,0),"-")</f>
        <v>60970</v>
      </c>
      <c r="G20305" s="51">
        <f t="shared" si="298"/>
        <v>1017</v>
      </c>
    </row>
    <row r="20306" spans="1:7" x14ac:dyDescent="0.25">
      <c r="A20306" s="234" t="s">
        <v>41</v>
      </c>
      <c r="B20306" s="236"/>
      <c r="C20306" s="236"/>
      <c r="D20306" s="236"/>
      <c r="E20306" s="236"/>
      <c r="F20306" s="235"/>
      <c r="G20306" s="52">
        <f>SUM(G20297:G20305)</f>
        <v>264483</v>
      </c>
    </row>
    <row r="20307" spans="1:7" x14ac:dyDescent="0.25">
      <c r="A20307" s="56"/>
      <c r="B20307" s="57"/>
      <c r="C20307" s="57"/>
      <c r="D20307" s="57"/>
      <c r="E20307" s="57"/>
      <c r="F20307" s="57"/>
      <c r="G20307" s="58"/>
    </row>
    <row r="20308" spans="1:7" x14ac:dyDescent="0.25">
      <c r="A20308" s="219" t="s">
        <v>42</v>
      </c>
      <c r="B20308" s="219"/>
      <c r="C20308" s="219"/>
      <c r="D20308" s="219"/>
      <c r="E20308" s="219"/>
      <c r="F20308" s="219"/>
      <c r="G20308" s="219"/>
    </row>
    <row r="20309" spans="1:7" x14ac:dyDescent="0.25">
      <c r="A20309" s="49" t="s">
        <v>35</v>
      </c>
      <c r="B20309" s="49" t="s">
        <v>36</v>
      </c>
      <c r="C20309" s="49" t="s">
        <v>38</v>
      </c>
      <c r="D20309" s="49" t="s">
        <v>43</v>
      </c>
      <c r="E20309" s="49" t="s">
        <v>44</v>
      </c>
      <c r="F20309" s="49" t="s">
        <v>45</v>
      </c>
      <c r="G20309" s="49" t="s">
        <v>40</v>
      </c>
    </row>
    <row r="20310" spans="1:7" x14ac:dyDescent="0.25">
      <c r="A20310" s="50" t="s">
        <v>319</v>
      </c>
      <c r="B20310" s="68" t="str">
        <f>VLOOKUP(A20310,'Componentes APUs'!$H$1:$L$25,2,0)</f>
        <v>Ingeniero Residente de Obra</v>
      </c>
      <c r="C20310" s="93">
        <v>0.25</v>
      </c>
      <c r="D20310" s="50">
        <f>VLOOKUP(A20310,'Componentes APUs'!$H$1:$L$25,3,0)</f>
        <v>4</v>
      </c>
      <c r="E20310" s="51">
        <f>VLOOKUP(A20310,'Componentes APUs'!$H$1:$L$25,4,0)</f>
        <v>271142.85714285716</v>
      </c>
      <c r="F20310" s="51">
        <f>VLOOKUP(A20310,'Componentes APUs'!$H$1:$L$25,5,0)</f>
        <v>162685.71428571429</v>
      </c>
      <c r="G20310" s="51">
        <f>ROUNDUP((E20310+F20310)*C20310/E20294,0)</f>
        <v>21692</v>
      </c>
    </row>
    <row r="20311" spans="1:7" x14ac:dyDescent="0.25">
      <c r="A20311" s="50" t="s">
        <v>320</v>
      </c>
      <c r="B20311" s="68" t="str">
        <f>VLOOKUP(A20311,'Componentes APUs'!$H$1:$L$25,2,0)</f>
        <v>Tecnico Supervisor</v>
      </c>
      <c r="C20311" s="93">
        <v>0.25</v>
      </c>
      <c r="D20311" s="50">
        <f>VLOOKUP(A20311,'Componentes APUs'!$H$1:$L$25,3,0)</f>
        <v>2.2999999999999998</v>
      </c>
      <c r="E20311" s="51">
        <f>VLOOKUP(A20311,'Componentes APUs'!$H$1:$L$25,4,0)</f>
        <v>155907.14285714284</v>
      </c>
      <c r="F20311" s="51">
        <f>VLOOKUP(A20311,'Componentes APUs'!$H$1:$L$25,5,0)</f>
        <v>93544.285714285696</v>
      </c>
      <c r="G20311" s="51">
        <f>ROUNDUP((E20311+F20311)*C20311/E20294,0)</f>
        <v>12473</v>
      </c>
    </row>
    <row r="20312" spans="1:7" x14ac:dyDescent="0.25">
      <c r="A20312" s="50" t="s">
        <v>1160</v>
      </c>
      <c r="B20312" s="68" t="str">
        <f>VLOOKUP(A20312,'Componentes APUs'!$H$1:$L$25,2,0)</f>
        <v>Oficial Eléctrico</v>
      </c>
      <c r="C20312" s="93">
        <v>1</v>
      </c>
      <c r="D20312" s="50">
        <f>VLOOKUP(A20312,'Componentes APUs'!$H$1:$L$25,3,0)</f>
        <v>2</v>
      </c>
      <c r="E20312" s="51">
        <f>VLOOKUP(A20312,'Componentes APUs'!$H$1:$L$25,4,0)</f>
        <v>154619.04761904763</v>
      </c>
      <c r="F20312" s="51">
        <f>VLOOKUP(A20312,'Componentes APUs'!$H$1:$L$25,5,0)</f>
        <v>92771.42857142858</v>
      </c>
      <c r="G20312" s="51">
        <f>ROUNDUP((E20312+F20312)*C20312/E20294,0)</f>
        <v>49479</v>
      </c>
    </row>
    <row r="20313" spans="1:7" x14ac:dyDescent="0.25">
      <c r="A20313" s="50" t="s">
        <v>48</v>
      </c>
      <c r="B20313" s="68" t="str">
        <f>VLOOKUP(A20313,'Componentes APUs'!$H$1:$L$25,2,0)</f>
        <v>Ayudante Calificado</v>
      </c>
      <c r="C20313" s="93">
        <v>1</v>
      </c>
      <c r="D20313" s="50">
        <f>VLOOKUP(A20313,'Componentes APUs'!$H$1:$L$25,3,0)</f>
        <v>1.5</v>
      </c>
      <c r="E20313" s="51">
        <f>VLOOKUP(A20313,'Componentes APUs'!$H$1:$L$25,4,0)</f>
        <v>115964.28571428571</v>
      </c>
      <c r="F20313" s="51">
        <f>VLOOKUP(A20313,'Componentes APUs'!$H$1:$L$25,5,0)</f>
        <v>69578.57142857142</v>
      </c>
      <c r="G20313" s="51">
        <f>ROUNDUP((E20313+F20313)*C20313/E20294,0)</f>
        <v>37109</v>
      </c>
    </row>
    <row r="20314" spans="1:7" x14ac:dyDescent="0.25">
      <c r="A20314" s="50" t="s">
        <v>50</v>
      </c>
      <c r="B20314" s="68" t="str">
        <f>VLOOKUP(A20314,'Componentes APUs'!$H$1:$L$25,2,0)</f>
        <v>Profesional en SST</v>
      </c>
      <c r="C20314" s="93">
        <v>0.25</v>
      </c>
      <c r="D20314" s="50">
        <f>VLOOKUP(A20314,'Componentes APUs'!$H$1:$L$25,3,0)</f>
        <v>2.5</v>
      </c>
      <c r="E20314" s="51">
        <f>VLOOKUP(A20314,'Componentes APUs'!$H$1:$L$25,4,0)</f>
        <v>169464.28571428571</v>
      </c>
      <c r="F20314" s="51">
        <f>VLOOKUP(A20314,'Componentes APUs'!$H$1:$L$25,5,0)</f>
        <v>101678.57142857142</v>
      </c>
      <c r="G20314" s="51">
        <f>ROUNDUP((E20314+F20314)*C20314/E20294,0)</f>
        <v>13558</v>
      </c>
    </row>
    <row r="20315" spans="1:7" x14ac:dyDescent="0.25">
      <c r="A20315" s="50" t="s">
        <v>52</v>
      </c>
      <c r="B20315" s="68" t="str">
        <f>VLOOKUP(A20315,'Componentes APUs'!$H$1:$L$25,2,0)</f>
        <v>Ayudante No Calificado</v>
      </c>
      <c r="C20315" s="93">
        <v>0</v>
      </c>
      <c r="D20315" s="50">
        <f>VLOOKUP(A20315,'Componentes APUs'!$H$1:$L$25,3,0)</f>
        <v>1</v>
      </c>
      <c r="E20315" s="51">
        <f>VLOOKUP(A20315,'Componentes APUs'!$H$1:$L$25,4,0)</f>
        <v>77309.523809523816</v>
      </c>
      <c r="F20315" s="51">
        <f>VLOOKUP(A20315,'Componentes APUs'!$H$1:$L$25,5,0)</f>
        <v>46385.71428571429</v>
      </c>
      <c r="G20315" s="51">
        <f>ROUNDUP((E20315+F20315)*C20315/E20294,0)</f>
        <v>0</v>
      </c>
    </row>
    <row r="20316" spans="1:7" x14ac:dyDescent="0.25">
      <c r="A20316" s="219" t="s">
        <v>56</v>
      </c>
      <c r="B20316" s="219"/>
      <c r="C20316" s="219"/>
      <c r="D20316" s="219"/>
      <c r="E20316" s="219"/>
      <c r="F20316" s="219"/>
      <c r="G20316" s="52">
        <f>SUM(G20310:G20315)</f>
        <v>134311</v>
      </c>
    </row>
    <row r="20317" spans="1:7" x14ac:dyDescent="0.25">
      <c r="A20317" s="56"/>
      <c r="B20317" s="57"/>
      <c r="C20317" s="57"/>
      <c r="D20317" s="57"/>
      <c r="E20317" s="57"/>
      <c r="F20317" s="57"/>
      <c r="G20317" s="58"/>
    </row>
    <row r="20318" spans="1:7" x14ac:dyDescent="0.25">
      <c r="A20318" s="219" t="s">
        <v>57</v>
      </c>
      <c r="B20318" s="219"/>
      <c r="C20318" s="219"/>
      <c r="D20318" s="219"/>
      <c r="E20318" s="219"/>
      <c r="F20318" s="219"/>
      <c r="G20318" s="219"/>
    </row>
    <row r="20319" spans="1:7" x14ac:dyDescent="0.25">
      <c r="A20319" s="49" t="s">
        <v>35</v>
      </c>
      <c r="B20319" s="219" t="s">
        <v>36</v>
      </c>
      <c r="C20319" s="219"/>
      <c r="D20319" s="49" t="s">
        <v>37</v>
      </c>
      <c r="E20319" s="49" t="s">
        <v>38</v>
      </c>
      <c r="F20319" s="49" t="s">
        <v>39</v>
      </c>
      <c r="G20319" s="49" t="s">
        <v>40</v>
      </c>
    </row>
    <row r="20320" spans="1:7" x14ac:dyDescent="0.25">
      <c r="A20320" s="50" t="s">
        <v>326</v>
      </c>
      <c r="B20320" s="220" t="str">
        <f>VLOOKUP(A20320,'Componentes APUs'!$S$1:$V$10,2,0)</f>
        <v>Juego Llaves</v>
      </c>
      <c r="C20320" s="220"/>
      <c r="D20320" s="50" t="s">
        <v>18</v>
      </c>
      <c r="E20320" s="50">
        <v>2</v>
      </c>
      <c r="F20320" s="51">
        <f>VLOOKUP(A20320,'Componentes APUs'!$S$1:$V$10,4,0)</f>
        <v>9167</v>
      </c>
      <c r="G20320" s="51">
        <f>ROUNDUP(F20320*((E20320/21)/E20294),0)</f>
        <v>175</v>
      </c>
    </row>
    <row r="20321" spans="1:7" x14ac:dyDescent="0.25">
      <c r="A20321" s="50" t="s">
        <v>58</v>
      </c>
      <c r="B20321" s="220" t="str">
        <f>VLOOKUP(A20321,'Componentes APUs'!$S$1:$V$10,2,0)</f>
        <v>Manila de servicio</v>
      </c>
      <c r="C20321" s="220"/>
      <c r="D20321" s="50" t="s">
        <v>18</v>
      </c>
      <c r="E20321" s="50">
        <v>0</v>
      </c>
      <c r="F20321" s="51">
        <f>VLOOKUP(A20321,'Componentes APUs'!$S$1:$V$10,4,0)</f>
        <v>2333</v>
      </c>
      <c r="G20321" s="51">
        <f>ROUNDUP(F20321*((E20321/21)/E20294),0)</f>
        <v>0</v>
      </c>
    </row>
    <row r="20322" spans="1:7" x14ac:dyDescent="0.25">
      <c r="A20322" s="50" t="s">
        <v>327</v>
      </c>
      <c r="B20322" s="220" t="str">
        <f>VLOOKUP(A20322,'Componentes APUs'!$S$1:$V$10,2,0)</f>
        <v>Tula portaherramientas</v>
      </c>
      <c r="C20322" s="220"/>
      <c r="D20322" s="50" t="s">
        <v>18</v>
      </c>
      <c r="E20322" s="50">
        <v>2</v>
      </c>
      <c r="F20322" s="51">
        <f>VLOOKUP(A20322,'Componentes APUs'!$S$1:$V$10,4,0)</f>
        <v>1250</v>
      </c>
      <c r="G20322" s="51">
        <f>ROUNDUP(F20322*((E20322/21)/E20294),0)</f>
        <v>24</v>
      </c>
    </row>
    <row r="20323" spans="1:7" x14ac:dyDescent="0.25">
      <c r="A20323" s="50" t="s">
        <v>60</v>
      </c>
      <c r="B20323" s="220" t="str">
        <f>VLOOKUP(A20323,'Componentes APUs'!$S$1:$V$10,2,0)</f>
        <v>Agarradoras</v>
      </c>
      <c r="C20323" s="220"/>
      <c r="D20323" s="50" t="s">
        <v>18</v>
      </c>
      <c r="E20323" s="50">
        <v>0</v>
      </c>
      <c r="F20323" s="51">
        <f>VLOOKUP(A20323,'Componentes APUs'!$S$1:$V$10,4,0)</f>
        <v>125000</v>
      </c>
      <c r="G20323" s="51">
        <f>ROUNDUP(F20323*((E20323/21)/E20294),0)</f>
        <v>0</v>
      </c>
    </row>
    <row r="20324" spans="1:7" x14ac:dyDescent="0.25">
      <c r="A20324" s="50" t="s">
        <v>62</v>
      </c>
      <c r="B20324" s="220" t="str">
        <f>VLOOKUP(A20324,'Componentes APUs'!$S$1:$V$10,2,0)</f>
        <v>Templadoras</v>
      </c>
      <c r="C20324" s="220"/>
      <c r="D20324" s="50" t="s">
        <v>18</v>
      </c>
      <c r="E20324" s="50">
        <v>0</v>
      </c>
      <c r="F20324" s="51">
        <f>VLOOKUP(A20324,'Componentes APUs'!$S$1:$V$10,4,0)</f>
        <v>250000</v>
      </c>
      <c r="G20324" s="51">
        <f>ROUNDUP(F20324*((E20324/21)/E20294),0)</f>
        <v>0</v>
      </c>
    </row>
    <row r="20325" spans="1:7" x14ac:dyDescent="0.25">
      <c r="A20325" s="50" t="s">
        <v>328</v>
      </c>
      <c r="B20325" s="220" t="str">
        <f>VLOOKUP(A20325,'Componentes APUs'!$S$1:$V$10,2,0)</f>
        <v>Herramienta Menor</v>
      </c>
      <c r="C20325" s="220"/>
      <c r="D20325" s="50" t="s">
        <v>18</v>
      </c>
      <c r="E20325" s="50">
        <v>2</v>
      </c>
      <c r="F20325" s="51">
        <f>VLOOKUP(A20325,'Componentes APUs'!$S$1:$V$10,4,0)</f>
        <v>75758</v>
      </c>
      <c r="G20325" s="51">
        <f>ROUNDUP(F20325*((E20325/21)/E20294),0)</f>
        <v>1444</v>
      </c>
    </row>
    <row r="20326" spans="1:7" x14ac:dyDescent="0.25">
      <c r="A20326" s="219" t="s">
        <v>69</v>
      </c>
      <c r="B20326" s="219"/>
      <c r="C20326" s="219"/>
      <c r="D20326" s="219"/>
      <c r="E20326" s="219"/>
      <c r="F20326" s="219"/>
      <c r="G20326" s="52">
        <f>SUM(G20320:G20325)</f>
        <v>1643</v>
      </c>
    </row>
    <row r="20327" spans="1:7" x14ac:dyDescent="0.25">
      <c r="A20327" s="56"/>
      <c r="B20327" s="57"/>
      <c r="C20327" s="57"/>
      <c r="D20327" s="57"/>
      <c r="E20327" s="57"/>
      <c r="F20327" s="57"/>
      <c r="G20327" s="58"/>
    </row>
    <row r="20328" spans="1:7" x14ac:dyDescent="0.25">
      <c r="A20328" s="219" t="s">
        <v>70</v>
      </c>
      <c r="B20328" s="219"/>
      <c r="C20328" s="219"/>
      <c r="D20328" s="219"/>
      <c r="E20328" s="219"/>
      <c r="F20328" s="219"/>
      <c r="G20328" s="219"/>
    </row>
    <row r="20329" spans="1:7" x14ac:dyDescent="0.25">
      <c r="A20329" s="49" t="s">
        <v>35</v>
      </c>
      <c r="B20329" s="219" t="s">
        <v>36</v>
      </c>
      <c r="C20329" s="219"/>
      <c r="D20329" s="49" t="s">
        <v>37</v>
      </c>
      <c r="E20329" s="49" t="s">
        <v>38</v>
      </c>
      <c r="F20329" s="49" t="s">
        <v>39</v>
      </c>
      <c r="G20329" s="49" t="s">
        <v>40</v>
      </c>
    </row>
    <row r="20330" spans="1:7" x14ac:dyDescent="0.25">
      <c r="A20330" s="50" t="s">
        <v>71</v>
      </c>
      <c r="B20330" s="71" t="str">
        <f>VLOOKUP(A20330,'Componentes APUs'!$A$1:$D$14,2,0)</f>
        <v>Camisa indigo sin partes metalicas</v>
      </c>
      <c r="C20330" s="71"/>
      <c r="D20330" s="50" t="str">
        <f>VLOOKUP(A20330,'Componentes APUs'!$A$1:$D$14,3,0)</f>
        <v>U</v>
      </c>
      <c r="E20330" s="50">
        <f>SUM(C20310:C20315)</f>
        <v>2.75</v>
      </c>
      <c r="F20330" s="51">
        <f>VLOOKUP(A20330,'Componentes APUs'!$A$1:$D$14,4,0)</f>
        <v>8585.8585858585866</v>
      </c>
      <c r="G20330" s="51">
        <f>ROUNDUP(F20330*(E20330/21)/E20294,0)</f>
        <v>225</v>
      </c>
    </row>
    <row r="20331" spans="1:7" x14ac:dyDescent="0.25">
      <c r="A20331" s="69" t="s">
        <v>73</v>
      </c>
      <c r="B20331" s="72" t="str">
        <f>VLOOKUP(A20331,'Componentes APUs'!$A$1:$D$14,2,0)</f>
        <v>Bota de seguridad dielectrica</v>
      </c>
      <c r="C20331" s="73"/>
      <c r="D20331" s="70" t="str">
        <f>VLOOKUP(A20331,'Componentes APUs'!$A$1:$D$14,3,0)</f>
        <v>Par</v>
      </c>
      <c r="E20331" s="50">
        <f>SUM(C20310:C20315)</f>
        <v>2.75</v>
      </c>
      <c r="F20331" s="51">
        <f>VLOOKUP(A20331,'Componentes APUs'!$A$1:$D$14,4,0)</f>
        <v>7500</v>
      </c>
      <c r="G20331" s="51">
        <f>ROUNDUP(F20331*(E20331/21)/E20294,0)</f>
        <v>197</v>
      </c>
    </row>
    <row r="20332" spans="1:7" x14ac:dyDescent="0.25">
      <c r="A20332" s="50" t="s">
        <v>76</v>
      </c>
      <c r="B20332" s="72" t="str">
        <f>VLOOKUP(A20332,'Componentes APUs'!$A$1:$D$14,2,0)</f>
        <v>Casco dielectrico Tipo 1 Clase E con barbuquejo</v>
      </c>
      <c r="C20332" s="73"/>
      <c r="D20332" s="50" t="str">
        <f>VLOOKUP(A20332,'Componentes APUs'!$A$1:$D$14,3,0)</f>
        <v>U</v>
      </c>
      <c r="E20332" s="50">
        <f>C20315+C20310+C20313+C20314+C20311+IF(A20312&lt;&gt;"MO-3",C20312,0)</f>
        <v>2.75</v>
      </c>
      <c r="F20332" s="51">
        <f>VLOOKUP(A20332,'Componentes APUs'!$A$1:$D$14,4,0)</f>
        <v>10101.010101010101</v>
      </c>
      <c r="G20332" s="51">
        <f>ROUNDUP(F20332*(E20332/21)/E20294,0)</f>
        <v>265</v>
      </c>
    </row>
    <row r="20333" spans="1:7" x14ac:dyDescent="0.25">
      <c r="A20333" s="69" t="s">
        <v>77</v>
      </c>
      <c r="B20333" s="72" t="str">
        <f>VLOOKUP(A20333,'Componentes APUs'!$A$1:$D$14,2,0)</f>
        <v>Correa plastica y antiflama</v>
      </c>
      <c r="C20333" s="73"/>
      <c r="D20333" s="50" t="str">
        <f>VLOOKUP(A20333,'Componentes APUs'!$A$1:$D$14,3,0)</f>
        <v>U</v>
      </c>
      <c r="E20333" s="50">
        <f>SUM(C20310:C20315)</f>
        <v>2.75</v>
      </c>
      <c r="F20333" s="51">
        <f>VLOOKUP(A20333,'Componentes APUs'!$A$1:$D$14,4,0)</f>
        <v>3787.878787878788</v>
      </c>
      <c r="G20333" s="51">
        <f>ROUNDUP(F20333*(E20333/21)/E20294,0)</f>
        <v>100</v>
      </c>
    </row>
    <row r="20334" spans="1:7" x14ac:dyDescent="0.25">
      <c r="A20334" s="50" t="s">
        <v>79</v>
      </c>
      <c r="B20334" s="72" t="str">
        <f>VLOOKUP(A20334,'Componentes APUs'!$A$1:$D$14,2,0)</f>
        <v>Gafas protectoras filtro UV</v>
      </c>
      <c r="C20334" s="73"/>
      <c r="D20334" s="50" t="str">
        <f>VLOOKUP(A20334,'Componentes APUs'!$A$1:$D$14,3,0)</f>
        <v>U</v>
      </c>
      <c r="E20334" s="50">
        <f>SUM(C20310:C20315)</f>
        <v>2.75</v>
      </c>
      <c r="F20334" s="51">
        <f>VLOOKUP(A20334,'Componentes APUs'!$A$1:$D$14,4,0)</f>
        <v>2777.7777777777778</v>
      </c>
      <c r="G20334" s="51">
        <f>ROUNDUP(F20334*(E20334/21)/E20294,0)</f>
        <v>73</v>
      </c>
    </row>
    <row r="20335" spans="1:7" x14ac:dyDescent="0.25">
      <c r="A20335" s="69" t="s">
        <v>402</v>
      </c>
      <c r="B20335" s="72" t="str">
        <f>VLOOKUP(A20335,'Componentes APUs'!$A$1:$D$14,2,0)</f>
        <v>Bota de seguridad PVC dielectrica</v>
      </c>
      <c r="C20335" s="73"/>
      <c r="D20335" s="50" t="str">
        <f>VLOOKUP(A20335,'Componentes APUs'!$A$1:$D$14,3,0)</f>
        <v>Par</v>
      </c>
      <c r="E20335" s="50">
        <f>SUM(C20310:C20315)</f>
        <v>2.75</v>
      </c>
      <c r="F20335" s="51">
        <f>VLOOKUP(A20335,'Componentes APUs'!$A$1:$D$14,4,0)</f>
        <v>2916.6666666666665</v>
      </c>
      <c r="G20335" s="51">
        <f>ROUNDUP(F20335*(E20335/21)/E20294,0)</f>
        <v>77</v>
      </c>
    </row>
    <row r="20336" spans="1:7" x14ac:dyDescent="0.25">
      <c r="A20336" s="50" t="s">
        <v>403</v>
      </c>
      <c r="B20336" s="72" t="str">
        <f>VLOOKUP(A20336,'Componentes APUs'!$A$1:$D$14,2,0)</f>
        <v>Capuchon</v>
      </c>
      <c r="C20336" s="73"/>
      <c r="D20336" s="50" t="str">
        <f>VLOOKUP(A20336,'Componentes APUs'!$A$1:$D$14,3,0)</f>
        <v>U</v>
      </c>
      <c r="E20336" s="50">
        <f>SUM(C20310:C20315)</f>
        <v>2.75</v>
      </c>
      <c r="F20336" s="51">
        <f>VLOOKUP(A20336,'Componentes APUs'!$A$1:$D$14,4,0)</f>
        <v>2525.2525252525252</v>
      </c>
      <c r="G20336" s="51">
        <f>ROUNDUP(F20336*(E20336/21)/E20294,0)</f>
        <v>67</v>
      </c>
    </row>
    <row r="20337" spans="1:7" x14ac:dyDescent="0.25">
      <c r="A20337" s="69" t="s">
        <v>81</v>
      </c>
      <c r="B20337" s="72" t="str">
        <f>VLOOKUP(A20337,'Componentes APUs'!$A$1:$D$14,2,0)</f>
        <v>Guantes Protectores  - ingeniero reforzados</v>
      </c>
      <c r="C20337" s="73"/>
      <c r="D20337" s="50" t="str">
        <f>VLOOKUP(A20337,'Componentes APUs'!$A$1:$D$14,3,0)</f>
        <v>Par</v>
      </c>
      <c r="E20337" s="50">
        <f>C20312+C20313+C20315</f>
        <v>2</v>
      </c>
      <c r="F20337" s="51">
        <f>VLOOKUP(A20337,'Componentes APUs'!$A$1:$D$14,4,0)</f>
        <v>2525.2525252525252</v>
      </c>
      <c r="G20337" s="51">
        <f>ROUNDUP(F20337*(E20337/21)/E20294,0)</f>
        <v>49</v>
      </c>
    </row>
    <row r="20338" spans="1:7" x14ac:dyDescent="0.25">
      <c r="A20338" s="50" t="s">
        <v>83</v>
      </c>
      <c r="B20338" s="72" t="str">
        <f>VLOOKUP(A20338,'Componentes APUs'!$A$1:$D$14,2,0)</f>
        <v>Impermeable (pantalon camisa)</v>
      </c>
      <c r="C20338" s="73"/>
      <c r="D20338" s="50" t="str">
        <f>VLOOKUP(A20338,'Componentes APUs'!$A$1:$D$14,3,0)</f>
        <v>U</v>
      </c>
      <c r="E20338" s="50">
        <f>SUM(C20310:C20315)</f>
        <v>2.75</v>
      </c>
      <c r="F20338" s="51">
        <f>VLOOKUP(A20338,'Componentes APUs'!$A$1:$D$14,4,0)</f>
        <v>3750</v>
      </c>
      <c r="G20338" s="51">
        <f>ROUNDUP(F20338*(E20338/21)/E20294,0)</f>
        <v>99</v>
      </c>
    </row>
    <row r="20339" spans="1:7" x14ac:dyDescent="0.25">
      <c r="A20339" s="69" t="s">
        <v>85</v>
      </c>
      <c r="B20339" s="72" t="str">
        <f>VLOOKUP(A20339,'Componentes APUs'!$A$1:$D$14,2,0)</f>
        <v>Jean Dielectrico</v>
      </c>
      <c r="C20339" s="73"/>
      <c r="D20339" s="50" t="str">
        <f>VLOOKUP(A20339,'Componentes APUs'!$A$1:$D$14,3,0)</f>
        <v>U</v>
      </c>
      <c r="E20339" s="50">
        <f>SUM(C20310:C20315)</f>
        <v>2.75</v>
      </c>
      <c r="F20339" s="51">
        <f>VLOOKUP(A20339,'Componentes APUs'!$A$1:$D$14,4,0)</f>
        <v>7575.757575757576</v>
      </c>
      <c r="G20339" s="51">
        <f>ROUNDUP(F20339*(E20339/21)/E20294,0)</f>
        <v>199</v>
      </c>
    </row>
    <row r="20340" spans="1:7" x14ac:dyDescent="0.25">
      <c r="A20340" s="50" t="s">
        <v>87</v>
      </c>
      <c r="B20340" s="72" t="str">
        <f>VLOOKUP(A20340,'Componentes APUs'!$A$1:$D$14,2,0)</f>
        <v>Casco dielectrico Tipo 2 Clase E con barboquejo</v>
      </c>
      <c r="C20340" s="73"/>
      <c r="D20340" s="50" t="str">
        <f>VLOOKUP(A20340,'Componentes APUs'!$A$1:$D$14,3,0)</f>
        <v>U</v>
      </c>
      <c r="E20340" s="53">
        <f>IF(A20312="MO-3",C20312,0)</f>
        <v>0</v>
      </c>
      <c r="F20340" s="51">
        <f>VLOOKUP(A20340,'Componentes APUs'!$A$1:$D$14,4,0)</f>
        <v>7500</v>
      </c>
      <c r="G20340" s="51">
        <f>ROUNDUP(F20340*(E20340/21)/E20294,0)</f>
        <v>0</v>
      </c>
    </row>
    <row r="20341" spans="1:7" x14ac:dyDescent="0.25">
      <c r="A20341" s="69" t="s">
        <v>89</v>
      </c>
      <c r="B20341" s="72" t="str">
        <f>VLOOKUP(A20341,'Componentes APUs'!$A$1:$D$14,2,0)</f>
        <v>Kit de rescate para trabajo en alturas</v>
      </c>
      <c r="C20341" s="73"/>
      <c r="D20341" s="50" t="str">
        <f>VLOOKUP(A20341,'Componentes APUs'!$A$1:$D$14,3,0)</f>
        <v>U</v>
      </c>
      <c r="E20341" s="50">
        <f>IF(AND(A20312="MO-3",C20312=2),1,0)</f>
        <v>0</v>
      </c>
      <c r="F20341" s="51">
        <f>VLOOKUP(A20341,'Componentes APUs'!$A$1:$D$14,4,0)</f>
        <v>37500</v>
      </c>
      <c r="G20341" s="51">
        <f>ROUNDUP(F20341*(E20341/21)/E20294,0)</f>
        <v>0</v>
      </c>
    </row>
    <row r="20342" spans="1:7" x14ac:dyDescent="0.25">
      <c r="A20342" s="50" t="s">
        <v>91</v>
      </c>
      <c r="B20342" s="72" t="str">
        <f>VLOOKUP(A20342,'Componentes APUs'!$A$1:$D$14,2,0)</f>
        <v>Equipo completo para trabajo en alturas con pretales (Arnes dielectrico, 1 mosqueton de seguridad, tie off dielectrico, eslinga de posicionamiento, juego de pretales)</v>
      </c>
      <c r="C20342" s="73"/>
      <c r="D20342" s="50" t="str">
        <f>VLOOKUP(A20342,'Componentes APUs'!$A$1:$D$14,3,0)</f>
        <v>U</v>
      </c>
      <c r="E20342" s="50">
        <f>IF(A20312="MO-3",C20312,0)</f>
        <v>0</v>
      </c>
      <c r="F20342" s="51">
        <f>VLOOKUP(A20342,'Componentes APUs'!$A$1:$D$14,4,0)</f>
        <v>26041.666666666668</v>
      </c>
      <c r="G20342" s="51">
        <f>ROUNDUP(F20342*(E20342/21)/E20294,0)</f>
        <v>0</v>
      </c>
    </row>
    <row r="20343" spans="1:7" x14ac:dyDescent="0.25">
      <c r="A20343" s="219" t="s">
        <v>95</v>
      </c>
      <c r="B20343" s="219"/>
      <c r="C20343" s="219"/>
      <c r="D20343" s="219"/>
      <c r="E20343" s="219"/>
      <c r="F20343" s="219"/>
      <c r="G20343" s="52">
        <f>SUM(G20330:G20342)</f>
        <v>1351</v>
      </c>
    </row>
    <row r="20344" spans="1:7" x14ac:dyDescent="0.25">
      <c r="A20344" s="56"/>
      <c r="B20344" s="57"/>
      <c r="C20344" s="57"/>
      <c r="D20344" s="57"/>
      <c r="E20344" s="57"/>
      <c r="F20344" s="57"/>
      <c r="G20344" s="58"/>
    </row>
    <row r="20345" spans="1:7" x14ac:dyDescent="0.25">
      <c r="A20345" s="219" t="s">
        <v>96</v>
      </c>
      <c r="B20345" s="219"/>
      <c r="C20345" s="219"/>
      <c r="D20345" s="219"/>
      <c r="E20345" s="219"/>
      <c r="F20345" s="219"/>
      <c r="G20345" s="219"/>
    </row>
    <row r="20346" spans="1:7" x14ac:dyDescent="0.25">
      <c r="A20346" s="49" t="s">
        <v>35</v>
      </c>
      <c r="B20346" s="225" t="s">
        <v>36</v>
      </c>
      <c r="C20346" s="225"/>
      <c r="D20346" s="49" t="s">
        <v>37</v>
      </c>
      <c r="E20346" s="49" t="s">
        <v>38</v>
      </c>
      <c r="F20346" s="49" t="s">
        <v>39</v>
      </c>
      <c r="G20346" s="49" t="s">
        <v>40</v>
      </c>
    </row>
    <row r="20347" spans="1:7" x14ac:dyDescent="0.25">
      <c r="A20347" s="69" t="s">
        <v>97</v>
      </c>
      <c r="B20347" s="72" t="str">
        <f>VLOOKUP(A20347,'Componentes APUs'!$N$1:$Q$30,2,0)</f>
        <v>Camioneta</v>
      </c>
      <c r="C20347" s="73"/>
      <c r="D20347" s="70" t="str">
        <f>VLOOKUP(A20347,'Componentes APUs'!$N$1:$Q$30,3,0)</f>
        <v>U</v>
      </c>
      <c r="E20347" s="50">
        <v>1</v>
      </c>
      <c r="F20347" s="51">
        <f>VLOOKUP(A20347,'Componentes APUs'!$N$1:$Q$30,4,0)</f>
        <v>5500000</v>
      </c>
      <c r="G20347" s="51">
        <f>IFERROR(ROUNDUP(F20347*(E20347/21)/E20294,0),0)</f>
        <v>52381</v>
      </c>
    </row>
    <row r="20348" spans="1:7" x14ac:dyDescent="0.25">
      <c r="A20348" s="50" t="s">
        <v>321</v>
      </c>
      <c r="B20348" s="72" t="str">
        <f>VLOOKUP(A20348,'Componentes APUs'!$N$1:$Q$30,2,0)</f>
        <v>Grúa Hidráulica</v>
      </c>
      <c r="C20348" s="73"/>
      <c r="D20348" s="70" t="str">
        <f>VLOOKUP(A20348,'Componentes APUs'!$N$1:$Q$30,3,0)</f>
        <v>U</v>
      </c>
      <c r="E20348" s="50">
        <v>0</v>
      </c>
      <c r="F20348" s="51">
        <f>VLOOKUP(A20348,'Componentes APUs'!$N$1:$Q$30,4,0)</f>
        <v>21000000</v>
      </c>
      <c r="G20348" s="51">
        <f>IFERROR(ROUNDUP(F20348*(E20348/21)/E20294,0),0)</f>
        <v>0</v>
      </c>
    </row>
    <row r="20349" spans="1:7" x14ac:dyDescent="0.25">
      <c r="A20349" s="69" t="s">
        <v>322</v>
      </c>
      <c r="B20349" s="72" t="str">
        <f>VLOOKUP(A20349,'Componentes APUs'!$N$1:$Q$30,2,0)</f>
        <v>Camabaja</v>
      </c>
      <c r="C20349" s="73"/>
      <c r="D20349" s="70" t="str">
        <f>VLOOKUP(A20349,'Componentes APUs'!$N$1:$Q$30,3,0)</f>
        <v>TON/KM</v>
      </c>
      <c r="E20349" s="50">
        <v>0</v>
      </c>
      <c r="F20349" s="51">
        <f>VLOOKUP(A20349,'Componentes APUs'!$N$1:$Q$30,4,0)</f>
        <v>611</v>
      </c>
      <c r="G20349" s="51">
        <f>IFERROR(ROUNDUP(F20349*(E20349/21)/E20294,0),0)</f>
        <v>0</v>
      </c>
    </row>
    <row r="20350" spans="1:7" x14ac:dyDescent="0.25">
      <c r="A20350" s="50" t="s">
        <v>323</v>
      </c>
      <c r="B20350" s="72" t="str">
        <f>VLOOKUP(A20350,'Componentes APUs'!$N$1:$Q$30,2,0)</f>
        <v>Volqueta</v>
      </c>
      <c r="C20350" s="73"/>
      <c r="D20350" s="70" t="str">
        <f>VLOOKUP(A20350,'Componentes APUs'!$N$1:$Q$30,3,0)</f>
        <v>U</v>
      </c>
      <c r="E20350" s="50">
        <v>0</v>
      </c>
      <c r="F20350" s="51">
        <f>VLOOKUP(A20350,'Componentes APUs'!$N$1:$Q$30,4,0)</f>
        <v>14828184</v>
      </c>
      <c r="G20350" s="51">
        <f>IFERROR(ROUNDUP(F20350*(E20350/21)/E20294,0),0)</f>
        <v>0</v>
      </c>
    </row>
    <row r="20351" spans="1:7" x14ac:dyDescent="0.25">
      <c r="A20351" s="69" t="s">
        <v>324</v>
      </c>
      <c r="B20351" s="72" t="str">
        <f>VLOOKUP(A20351,'Componentes APUs'!$N$1:$Q$30,2,0)</f>
        <v>Retroexcavadora</v>
      </c>
      <c r="C20351" s="73"/>
      <c r="D20351" s="70" t="str">
        <f>VLOOKUP(A20351,'Componentes APUs'!$N$1:$Q$30,3,0)</f>
        <v>U</v>
      </c>
      <c r="E20351" s="50">
        <v>0</v>
      </c>
      <c r="F20351" s="51">
        <f>VLOOKUP(A20351,'Componentes APUs'!$N$1:$Q$30,4,0)</f>
        <v>46030656</v>
      </c>
      <c r="G20351" s="51">
        <f>IFERROR(ROUNDUP(F20351*(E20351/21)/E20294,0),0)</f>
        <v>0</v>
      </c>
    </row>
    <row r="20352" spans="1:7" x14ac:dyDescent="0.25">
      <c r="A20352" s="219" t="s">
        <v>99</v>
      </c>
      <c r="B20352" s="219"/>
      <c r="C20352" s="219"/>
      <c r="D20352" s="219"/>
      <c r="E20352" s="219"/>
      <c r="F20352" s="219"/>
      <c r="G20352" s="52">
        <f>SUM(G20347:G20351)</f>
        <v>52381</v>
      </c>
    </row>
    <row r="20353" spans="1:8" x14ac:dyDescent="0.25">
      <c r="A20353" s="56"/>
      <c r="B20353" s="57"/>
      <c r="C20353" s="57"/>
      <c r="D20353" s="57"/>
      <c r="E20353" s="57"/>
      <c r="F20353" s="57"/>
      <c r="G20353" s="58"/>
    </row>
    <row r="20354" spans="1:8" x14ac:dyDescent="0.25">
      <c r="A20354" s="219" t="s">
        <v>1516</v>
      </c>
      <c r="B20354" s="219"/>
      <c r="C20354" s="219"/>
      <c r="D20354" s="219"/>
      <c r="E20354" s="219"/>
      <c r="F20354" s="219"/>
      <c r="G20354" s="52">
        <f>G20352+G20343+G20326+G20316+G20306</f>
        <v>454169</v>
      </c>
    </row>
    <row r="20355" spans="1:8" x14ac:dyDescent="0.25">
      <c r="A20355" s="59"/>
      <c r="B20355" s="60"/>
      <c r="C20355" s="60"/>
      <c r="D20355" s="60"/>
      <c r="E20355" s="57"/>
      <c r="F20355" s="57"/>
      <c r="G20355" s="58"/>
    </row>
    <row r="20356" spans="1:8" x14ac:dyDescent="0.25">
      <c r="A20356" s="64"/>
      <c r="D20356" s="55"/>
      <c r="E20356" s="49" t="s">
        <v>25</v>
      </c>
      <c r="F20356" s="54">
        <v>0.15</v>
      </c>
      <c r="G20356" s="51">
        <f>G20354*F20356</f>
        <v>68125.349999999991</v>
      </c>
    </row>
    <row r="20357" spans="1:8" x14ac:dyDescent="0.25">
      <c r="A20357" s="64"/>
      <c r="D20357" s="55"/>
      <c r="E20357" s="49" t="s">
        <v>26</v>
      </c>
      <c r="F20357" s="54">
        <v>0.05</v>
      </c>
      <c r="G20357" s="51">
        <f>G20354*F20357</f>
        <v>22708.45</v>
      </c>
    </row>
    <row r="20358" spans="1:8" x14ac:dyDescent="0.25">
      <c r="A20358" s="61"/>
      <c r="B20358" s="65"/>
      <c r="C20358" s="65"/>
      <c r="D20358" s="62"/>
      <c r="E20358" s="49" t="s">
        <v>27</v>
      </c>
      <c r="F20358" s="54">
        <v>0.05</v>
      </c>
      <c r="G20358" s="51">
        <f>G20354*F20358</f>
        <v>22708.45</v>
      </c>
    </row>
    <row r="20359" spans="1:8" x14ac:dyDescent="0.25">
      <c r="A20359" s="61"/>
      <c r="B20359" s="62"/>
      <c r="C20359" s="62"/>
      <c r="D20359" s="62"/>
      <c r="E20359" s="62"/>
      <c r="F20359" s="62"/>
      <c r="G20359" s="63"/>
    </row>
    <row r="20360" spans="1:8" x14ac:dyDescent="0.25">
      <c r="A20360" s="219" t="s">
        <v>1517</v>
      </c>
      <c r="B20360" s="219"/>
      <c r="C20360" s="219"/>
      <c r="D20360" s="219"/>
      <c r="E20360" s="219"/>
      <c r="F20360" s="219"/>
      <c r="G20360" s="52">
        <f>G20354+G20356+G20357+G20358</f>
        <v>567711.24999999988</v>
      </c>
    </row>
    <row r="20361" spans="1:8" x14ac:dyDescent="0.25">
      <c r="A20361" s="59"/>
      <c r="B20361" s="60"/>
      <c r="C20361" s="60"/>
      <c r="D20361" s="60"/>
      <c r="E20361" s="57"/>
      <c r="F20361" s="57"/>
      <c r="G20361" s="58"/>
    </row>
    <row r="20362" spans="1:8" x14ac:dyDescent="0.25">
      <c r="A20362" s="64"/>
      <c r="D20362" s="55"/>
      <c r="E20362" s="49" t="s">
        <v>102</v>
      </c>
      <c r="F20362" s="49" t="s">
        <v>103</v>
      </c>
      <c r="G20362" s="51">
        <f>G20358*19%</f>
        <v>4314.6055000000006</v>
      </c>
    </row>
    <row r="20363" spans="1:8" x14ac:dyDescent="0.25">
      <c r="A20363" s="61"/>
      <c r="B20363" s="62"/>
      <c r="C20363" s="62"/>
      <c r="D20363" s="62"/>
      <c r="E20363" s="57"/>
      <c r="F20363" s="57"/>
      <c r="G20363" s="58"/>
    </row>
    <row r="20364" spans="1:8" x14ac:dyDescent="0.25">
      <c r="A20364" s="219" t="s">
        <v>104</v>
      </c>
      <c r="B20364" s="219"/>
      <c r="C20364" s="219"/>
      <c r="D20364" s="219"/>
      <c r="E20364" s="219"/>
      <c r="F20364" s="219"/>
      <c r="G20364" s="52">
        <f>G20362+G20360</f>
        <v>572025.85549999983</v>
      </c>
    </row>
    <row r="20366" spans="1:8" x14ac:dyDescent="0.25">
      <c r="A20366" s="74" t="s">
        <v>29</v>
      </c>
      <c r="B20366" s="237" t="s">
        <v>30</v>
      </c>
      <c r="C20366" s="238"/>
      <c r="D20366" s="74" t="s">
        <v>31</v>
      </c>
      <c r="E20366" s="74" t="s">
        <v>32</v>
      </c>
      <c r="F20366" s="74" t="s">
        <v>189</v>
      </c>
      <c r="G20366" s="74" t="s">
        <v>33</v>
      </c>
      <c r="H20366" s="99"/>
    </row>
    <row r="20367" spans="1:8" ht="48.75" customHeight="1" x14ac:dyDescent="0.25">
      <c r="A20367" s="50" t="str">
        <f>Presupuesto!B389</f>
        <v>057_AUX</v>
      </c>
      <c r="B20367" s="220" t="str">
        <f>Presupuesto!C389</f>
        <v>SUMINISTRO E INSTALACIÓN DE SALIDA PARA TOMA BIFÁSICO (Toma Sencilla Incrustar LEGRAND 20AMP 125V 2F TURNLOK P-TIERRA L520R) EN TUBERÍA PVC 3/4" Y CABLE  1X10 F+1X 10 N+10 T AWG THWN. (Longitud Promedio 10 m) (TRANSFORMADORES Y SEGURIDAD PERIMETRAL)</v>
      </c>
      <c r="C20367" s="239"/>
      <c r="D20367" s="50" t="s">
        <v>8</v>
      </c>
      <c r="E20367" s="50">
        <v>5</v>
      </c>
      <c r="F20367" s="50"/>
      <c r="G20367" s="51">
        <f>G20438</f>
        <v>735065.6115</v>
      </c>
    </row>
    <row r="20368" spans="1:8" x14ac:dyDescent="0.25">
      <c r="A20368" s="219" t="s">
        <v>34</v>
      </c>
      <c r="B20368" s="219"/>
      <c r="C20368" s="219"/>
      <c r="D20368" s="219"/>
      <c r="E20368" s="219"/>
      <c r="F20368" s="219"/>
      <c r="G20368" s="219"/>
    </row>
    <row r="20369" spans="1:7" x14ac:dyDescent="0.25">
      <c r="A20369" s="49" t="s">
        <v>35</v>
      </c>
      <c r="B20369" s="234" t="s">
        <v>36</v>
      </c>
      <c r="C20369" s="235"/>
      <c r="D20369" s="49" t="s">
        <v>37</v>
      </c>
      <c r="E20369" s="49" t="s">
        <v>38</v>
      </c>
      <c r="F20369" s="49" t="s">
        <v>39</v>
      </c>
      <c r="G20369" s="49" t="s">
        <v>40</v>
      </c>
    </row>
    <row r="20370" spans="1:7" x14ac:dyDescent="0.25">
      <c r="A20370" s="17" t="str">
        <f>Material!A215</f>
        <v>MA-214</v>
      </c>
      <c r="B20370" s="72" t="str">
        <f>IFERROR(VLOOKUP(A20370,Material!$A:$H,2,0),"-")</f>
        <v>CABLE 10 AWG Cu- TC-THHN/THWN - 600 V</v>
      </c>
      <c r="C20370" s="73"/>
      <c r="D20370" s="50" t="str">
        <f>IFERROR(VLOOKUP(A20370,Material!$A:$H,4,0),"-")</f>
        <v>ML</v>
      </c>
      <c r="E20370" s="50">
        <f>10*3</f>
        <v>30</v>
      </c>
      <c r="F20370" s="51">
        <f>IFERROR(VLOOKUP(A20370,Material!$A:$H,3,0),"-")</f>
        <v>5070</v>
      </c>
      <c r="G20370" s="51">
        <f t="shared" ref="G20370:G20379" si="299">IFERROR(ROUNDUP(F20370*E20370,0),"-")</f>
        <v>152100</v>
      </c>
    </row>
    <row r="20371" spans="1:7" x14ac:dyDescent="0.25">
      <c r="A20371" s="17" t="str">
        <f>Material!A72</f>
        <v>MA-71</v>
      </c>
      <c r="B20371" s="72" t="str">
        <f>IFERROR(VLOOKUP(A20371,Material!$A:$H,2,0),"-")</f>
        <v>TUBERÍA PVC 3/4"</v>
      </c>
      <c r="C20371" s="76"/>
      <c r="D20371" s="50" t="str">
        <f>IFERROR(VLOOKUP(A20371,Material!$A:$H,4,0),"-")</f>
        <v>ML</v>
      </c>
      <c r="E20371" s="50">
        <v>10</v>
      </c>
      <c r="F20371" s="51">
        <f>IFERROR(VLOOKUP(A20371,Material!$A:$H,3,0),"-")</f>
        <v>2253.3333333333335</v>
      </c>
      <c r="G20371" s="51">
        <f t="shared" si="299"/>
        <v>22534</v>
      </c>
    </row>
    <row r="20372" spans="1:7" x14ac:dyDescent="0.25">
      <c r="A20372" s="17" t="str">
        <f>Material!A73</f>
        <v>MA-72</v>
      </c>
      <c r="B20372" s="72" t="str">
        <f>IFERROR(VLOOKUP(A20372,Material!$A:$H,2,0),"-")</f>
        <v>CURVA PVC 3/4"</v>
      </c>
      <c r="C20372" s="76"/>
      <c r="D20372" s="50" t="str">
        <f>IFERROR(VLOOKUP(A20372,Material!$A:$H,4,0),"-")</f>
        <v>UN</v>
      </c>
      <c r="E20372" s="50">
        <v>1</v>
      </c>
      <c r="F20372" s="51">
        <f>IFERROR(VLOOKUP(A20372,Material!$A:$H,3,0),"-")</f>
        <v>975</v>
      </c>
      <c r="G20372" s="51">
        <f t="shared" si="299"/>
        <v>975</v>
      </c>
    </row>
    <row r="20373" spans="1:7" x14ac:dyDescent="0.25">
      <c r="A20373" s="17" t="str">
        <f>Material!A255</f>
        <v>MA-254</v>
      </c>
      <c r="B20373" s="72" t="str">
        <f>IFERROR(VLOOKUP(A20373,Material!$A:$H,2,0),"-")</f>
        <v>TOMA BIFASICA INCRUSTAR LEGRAND 20AMP 125V 2F TURNLOK P-TIERRA L520R</v>
      </c>
      <c r="C20373" s="76"/>
      <c r="D20373" s="50" t="str">
        <f>IFERROR(VLOOKUP(A20373,Material!$A:$H,4,0),"-")</f>
        <v>UN</v>
      </c>
      <c r="E20373" s="50">
        <v>1</v>
      </c>
      <c r="F20373" s="51">
        <f>IFERROR(VLOOKUP(A20373,Material!$A:$H,3,0),"-")</f>
        <v>29380</v>
      </c>
      <c r="G20373" s="51">
        <f t="shared" si="299"/>
        <v>29380</v>
      </c>
    </row>
    <row r="20374" spans="1:7" x14ac:dyDescent="0.25">
      <c r="A20374" s="17" t="str">
        <f>Material!A257</f>
        <v>MA-256</v>
      </c>
      <c r="B20374" s="72" t="str">
        <f>IFERROR(VLOOKUP(A20374,Material!$A:$H,2,0),"-")</f>
        <v>CAJA RAWELT 4X4 SALIDA SOBRE PUESTO</v>
      </c>
      <c r="C20374" s="76"/>
      <c r="D20374" s="50" t="str">
        <f>IFERROR(VLOOKUP(A20374,Material!$A:$H,4,0),"-")</f>
        <v>UN</v>
      </c>
      <c r="E20374" s="50">
        <v>1</v>
      </c>
      <c r="F20374" s="51">
        <f>IFERROR(VLOOKUP(A20374,Material!$A:$H,3,0),"-")</f>
        <v>32500</v>
      </c>
      <c r="G20374" s="51">
        <f t="shared" si="299"/>
        <v>32500</v>
      </c>
    </row>
    <row r="20375" spans="1:7" x14ac:dyDescent="0.25">
      <c r="A20375" s="17" t="str">
        <f>Material!A70</f>
        <v>MA-69</v>
      </c>
      <c r="B20375" s="72" t="str">
        <f>IFERROR(VLOOKUP(A20375,Material!$A:$H,2,0),"-")</f>
        <v>TUBO CONDUIT METÁLICO GALVANIZADO IMC DIAMETRO 3/4"</v>
      </c>
      <c r="C20375" s="76"/>
      <c r="D20375" s="50" t="str">
        <f>IFERROR(VLOOKUP(A20375,Material!$A:$H,4,0),"-")</f>
        <v>ML</v>
      </c>
      <c r="E20375" s="50">
        <v>0.5</v>
      </c>
      <c r="F20375" s="51">
        <f>IFERROR(VLOOKUP(A20375,Material!$A:$H,3,0),"-")</f>
        <v>29965</v>
      </c>
      <c r="G20375" s="51">
        <f t="shared" si="299"/>
        <v>14983</v>
      </c>
    </row>
    <row r="20376" spans="1:7" x14ac:dyDescent="0.25">
      <c r="A20376" s="17" t="str">
        <f>Material!A442</f>
        <v>MA-441</v>
      </c>
      <c r="B20376" s="72" t="str">
        <f>IFERROR(VLOOKUP(A20376,Material!$A:$H,2,0),"-")</f>
        <v>TAPA PARA CAJA INTEMPERIE TRANSPARENTE</v>
      </c>
      <c r="C20376" s="76"/>
      <c r="D20376" s="50" t="str">
        <f>IFERROR(VLOOKUP(A20376,Material!$A:$H,4,0),"-")</f>
        <v>UN</v>
      </c>
      <c r="E20376" s="50">
        <v>1</v>
      </c>
      <c r="F20376" s="51">
        <f>IFERROR(VLOOKUP(A20376,Material!$A:$H,3,0),"-")</f>
        <v>138970</v>
      </c>
      <c r="G20376" s="51">
        <f t="shared" si="299"/>
        <v>138970</v>
      </c>
    </row>
    <row r="20377" spans="1:7" x14ac:dyDescent="0.25">
      <c r="A20377" s="17" t="str">
        <f>Material!A201</f>
        <v>MA-200</v>
      </c>
      <c r="B20377" s="72" t="str">
        <f>IFERROR(VLOOKUP(A20377,Material!$A:$H,2,0),"-")</f>
        <v>SOLDADURA PVC 1/4 GL</v>
      </c>
      <c r="C20377" s="76"/>
      <c r="D20377" s="50" t="str">
        <f>IFERROR(VLOOKUP(A20377,Material!$A:$H,4,0),"-")</f>
        <v>GALÓN</v>
      </c>
      <c r="E20377" s="50">
        <f>1/60</f>
        <v>1.6666666666666666E-2</v>
      </c>
      <c r="F20377" s="51">
        <f>IFERROR(VLOOKUP(A20377,Material!$A:$H,3,0),"-")</f>
        <v>88270</v>
      </c>
      <c r="G20377" s="51">
        <f t="shared" si="299"/>
        <v>1472</v>
      </c>
    </row>
    <row r="20378" spans="1:7" x14ac:dyDescent="0.25">
      <c r="A20378" s="17" t="str">
        <f>Material!A253</f>
        <v>MA-252</v>
      </c>
      <c r="B20378" s="72" t="str">
        <f>IFERROR(VLOOKUP(A20378,Material!$A:$H,2,0),"-")</f>
        <v>LIMPIADOR DE TUBERÍA PVC 1/4 GL</v>
      </c>
      <c r="C20378" s="76"/>
      <c r="D20378" s="50" t="str">
        <f>IFERROR(VLOOKUP(A20378,Material!$A:$H,4,0),"-")</f>
        <v>GALÓN</v>
      </c>
      <c r="E20378" s="50">
        <f>1/60</f>
        <v>1.6666666666666666E-2</v>
      </c>
      <c r="F20378" s="51">
        <f>IFERROR(VLOOKUP(A20378,Material!$A:$H,3,0),"-")</f>
        <v>60970</v>
      </c>
      <c r="G20378" s="51">
        <f t="shared" si="299"/>
        <v>1017</v>
      </c>
    </row>
    <row r="20379" spans="1:7" x14ac:dyDescent="0.25">
      <c r="A20379" s="17"/>
      <c r="B20379" s="72" t="str">
        <f>IFERROR(VLOOKUP(A20379,Material!$A:$H,2,0),"-")</f>
        <v>-</v>
      </c>
      <c r="C20379" s="76"/>
      <c r="D20379" s="50" t="str">
        <f>IFERROR(VLOOKUP(A20379,Material!$A:$H,4,0),"-")</f>
        <v>-</v>
      </c>
      <c r="E20379" s="50"/>
      <c r="F20379" s="51" t="str">
        <f>IFERROR(VLOOKUP(A20379,Material!$A:$H,3,0),"-")</f>
        <v>-</v>
      </c>
      <c r="G20379" s="51" t="str">
        <f t="shared" si="299"/>
        <v>-</v>
      </c>
    </row>
    <row r="20380" spans="1:7" x14ac:dyDescent="0.25">
      <c r="A20380" s="234" t="s">
        <v>41</v>
      </c>
      <c r="B20380" s="236"/>
      <c r="C20380" s="236"/>
      <c r="D20380" s="236"/>
      <c r="E20380" s="236"/>
      <c r="F20380" s="235"/>
      <c r="G20380" s="52">
        <f>SUM(G20370:G20379)</f>
        <v>393931</v>
      </c>
    </row>
    <row r="20381" spans="1:7" x14ac:dyDescent="0.25">
      <c r="A20381" s="56"/>
      <c r="B20381" s="57"/>
      <c r="C20381" s="57"/>
      <c r="D20381" s="57"/>
      <c r="E20381" s="57"/>
      <c r="F20381" s="57"/>
      <c r="G20381" s="58"/>
    </row>
    <row r="20382" spans="1:7" x14ac:dyDescent="0.25">
      <c r="A20382" s="219" t="s">
        <v>42</v>
      </c>
      <c r="B20382" s="219"/>
      <c r="C20382" s="219"/>
      <c r="D20382" s="219"/>
      <c r="E20382" s="219"/>
      <c r="F20382" s="219"/>
      <c r="G20382" s="219"/>
    </row>
    <row r="20383" spans="1:7" x14ac:dyDescent="0.25">
      <c r="A20383" s="49" t="s">
        <v>35</v>
      </c>
      <c r="B20383" s="49" t="s">
        <v>36</v>
      </c>
      <c r="C20383" s="49" t="s">
        <v>38</v>
      </c>
      <c r="D20383" s="49" t="s">
        <v>43</v>
      </c>
      <c r="E20383" s="49" t="s">
        <v>44</v>
      </c>
      <c r="F20383" s="49" t="s">
        <v>45</v>
      </c>
      <c r="G20383" s="49" t="s">
        <v>40</v>
      </c>
    </row>
    <row r="20384" spans="1:7" x14ac:dyDescent="0.25">
      <c r="A20384" s="50" t="s">
        <v>319</v>
      </c>
      <c r="B20384" s="68" t="str">
        <f>VLOOKUP(A20384,'Componentes APUs'!$H$1:$L$25,2,0)</f>
        <v>Ingeniero Residente de Obra</v>
      </c>
      <c r="C20384" s="93">
        <v>0.25</v>
      </c>
      <c r="D20384" s="50">
        <f>VLOOKUP(A20384,'Componentes APUs'!$H$1:$L$25,3,0)</f>
        <v>4</v>
      </c>
      <c r="E20384" s="51">
        <f>VLOOKUP(A20384,'Componentes APUs'!$H$1:$L$25,4,0)</f>
        <v>271142.85714285716</v>
      </c>
      <c r="F20384" s="51">
        <f>VLOOKUP(A20384,'Componentes APUs'!$H$1:$L$25,5,0)</f>
        <v>162685.71428571429</v>
      </c>
      <c r="G20384" s="51">
        <f>ROUNDUP((E20384+F20384)*C20384/E20367,0)</f>
        <v>21692</v>
      </c>
    </row>
    <row r="20385" spans="1:7" x14ac:dyDescent="0.25">
      <c r="A20385" s="50" t="s">
        <v>320</v>
      </c>
      <c r="B20385" s="68" t="str">
        <f>VLOOKUP(A20385,'Componentes APUs'!$H$1:$L$25,2,0)</f>
        <v>Tecnico Supervisor</v>
      </c>
      <c r="C20385" s="93">
        <v>0.25</v>
      </c>
      <c r="D20385" s="50">
        <f>VLOOKUP(A20385,'Componentes APUs'!$H$1:$L$25,3,0)</f>
        <v>2.2999999999999998</v>
      </c>
      <c r="E20385" s="51">
        <f>VLOOKUP(A20385,'Componentes APUs'!$H$1:$L$25,4,0)</f>
        <v>155907.14285714284</v>
      </c>
      <c r="F20385" s="51">
        <f>VLOOKUP(A20385,'Componentes APUs'!$H$1:$L$25,5,0)</f>
        <v>93544.285714285696</v>
      </c>
      <c r="G20385" s="51">
        <f>ROUNDUP((E20385+F20385)*C20385/E20367,0)</f>
        <v>12473</v>
      </c>
    </row>
    <row r="20386" spans="1:7" x14ac:dyDescent="0.25">
      <c r="A20386" s="50" t="s">
        <v>1160</v>
      </c>
      <c r="B20386" s="68" t="str">
        <f>VLOOKUP(A20386,'Componentes APUs'!$H$1:$L$25,2,0)</f>
        <v>Oficial Eléctrico</v>
      </c>
      <c r="C20386" s="93">
        <v>1</v>
      </c>
      <c r="D20386" s="50">
        <f>VLOOKUP(A20386,'Componentes APUs'!$H$1:$L$25,3,0)</f>
        <v>2</v>
      </c>
      <c r="E20386" s="51">
        <f>VLOOKUP(A20386,'Componentes APUs'!$H$1:$L$25,4,0)</f>
        <v>154619.04761904763</v>
      </c>
      <c r="F20386" s="51">
        <f>VLOOKUP(A20386,'Componentes APUs'!$H$1:$L$25,5,0)</f>
        <v>92771.42857142858</v>
      </c>
      <c r="G20386" s="51">
        <f>ROUNDUP((E20386+F20386)*C20386/E20367,0)</f>
        <v>49479</v>
      </c>
    </row>
    <row r="20387" spans="1:7" x14ac:dyDescent="0.25">
      <c r="A20387" s="50" t="s">
        <v>48</v>
      </c>
      <c r="B20387" s="68" t="str">
        <f>VLOOKUP(A20387,'Componentes APUs'!$H$1:$L$25,2,0)</f>
        <v>Ayudante Calificado</v>
      </c>
      <c r="C20387" s="93">
        <v>1</v>
      </c>
      <c r="D20387" s="50">
        <f>VLOOKUP(A20387,'Componentes APUs'!$H$1:$L$25,3,0)</f>
        <v>1.5</v>
      </c>
      <c r="E20387" s="51">
        <f>VLOOKUP(A20387,'Componentes APUs'!$H$1:$L$25,4,0)</f>
        <v>115964.28571428571</v>
      </c>
      <c r="F20387" s="51">
        <f>VLOOKUP(A20387,'Componentes APUs'!$H$1:$L$25,5,0)</f>
        <v>69578.57142857142</v>
      </c>
      <c r="G20387" s="51">
        <f>ROUNDUP((E20387+F20387)*C20387/E20367,0)</f>
        <v>37109</v>
      </c>
    </row>
    <row r="20388" spans="1:7" x14ac:dyDescent="0.25">
      <c r="A20388" s="50" t="s">
        <v>50</v>
      </c>
      <c r="B20388" s="68" t="str">
        <f>VLOOKUP(A20388,'Componentes APUs'!$H$1:$L$25,2,0)</f>
        <v>Profesional en SST</v>
      </c>
      <c r="C20388" s="93">
        <v>0.25</v>
      </c>
      <c r="D20388" s="50">
        <f>VLOOKUP(A20388,'Componentes APUs'!$H$1:$L$25,3,0)</f>
        <v>2.5</v>
      </c>
      <c r="E20388" s="51">
        <f>VLOOKUP(A20388,'Componentes APUs'!$H$1:$L$25,4,0)</f>
        <v>169464.28571428571</v>
      </c>
      <c r="F20388" s="51">
        <f>VLOOKUP(A20388,'Componentes APUs'!$H$1:$L$25,5,0)</f>
        <v>101678.57142857142</v>
      </c>
      <c r="G20388" s="51">
        <f>ROUNDUP((E20388+F20388)*C20388/E20367,0)</f>
        <v>13558</v>
      </c>
    </row>
    <row r="20389" spans="1:7" x14ac:dyDescent="0.25">
      <c r="A20389" s="50" t="s">
        <v>52</v>
      </c>
      <c r="B20389" s="68" t="str">
        <f>VLOOKUP(A20389,'Componentes APUs'!$H$1:$L$25,2,0)</f>
        <v>Ayudante No Calificado</v>
      </c>
      <c r="C20389" s="93">
        <v>0</v>
      </c>
      <c r="D20389" s="50">
        <f>VLOOKUP(A20389,'Componentes APUs'!$H$1:$L$25,3,0)</f>
        <v>1</v>
      </c>
      <c r="E20389" s="51">
        <f>VLOOKUP(A20389,'Componentes APUs'!$H$1:$L$25,4,0)</f>
        <v>77309.523809523816</v>
      </c>
      <c r="F20389" s="51">
        <f>VLOOKUP(A20389,'Componentes APUs'!$H$1:$L$25,5,0)</f>
        <v>46385.71428571429</v>
      </c>
      <c r="G20389" s="51">
        <f>ROUNDUP((E20389+F20389)*C20389/E20367,0)</f>
        <v>0</v>
      </c>
    </row>
    <row r="20390" spans="1:7" x14ac:dyDescent="0.25">
      <c r="A20390" s="219" t="s">
        <v>56</v>
      </c>
      <c r="B20390" s="219"/>
      <c r="C20390" s="219"/>
      <c r="D20390" s="219"/>
      <c r="E20390" s="219"/>
      <c r="F20390" s="219"/>
      <c r="G20390" s="52">
        <f>SUM(G20384:G20389)</f>
        <v>134311</v>
      </c>
    </row>
    <row r="20391" spans="1:7" x14ac:dyDescent="0.25">
      <c r="A20391" s="56"/>
      <c r="B20391" s="57"/>
      <c r="C20391" s="57"/>
      <c r="D20391" s="57"/>
      <c r="E20391" s="57"/>
      <c r="F20391" s="57"/>
      <c r="G20391" s="58"/>
    </row>
    <row r="20392" spans="1:7" x14ac:dyDescent="0.25">
      <c r="A20392" s="219" t="s">
        <v>57</v>
      </c>
      <c r="B20392" s="219"/>
      <c r="C20392" s="219"/>
      <c r="D20392" s="219"/>
      <c r="E20392" s="219"/>
      <c r="F20392" s="219"/>
      <c r="G20392" s="219"/>
    </row>
    <row r="20393" spans="1:7" x14ac:dyDescent="0.25">
      <c r="A20393" s="49" t="s">
        <v>35</v>
      </c>
      <c r="B20393" s="219" t="s">
        <v>36</v>
      </c>
      <c r="C20393" s="219"/>
      <c r="D20393" s="49" t="s">
        <v>37</v>
      </c>
      <c r="E20393" s="49" t="s">
        <v>38</v>
      </c>
      <c r="F20393" s="49" t="s">
        <v>39</v>
      </c>
      <c r="G20393" s="49" t="s">
        <v>40</v>
      </c>
    </row>
    <row r="20394" spans="1:7" x14ac:dyDescent="0.25">
      <c r="A20394" s="50" t="s">
        <v>326</v>
      </c>
      <c r="B20394" s="220" t="str">
        <f>VLOOKUP(A20394,'Componentes APUs'!$S$1:$V$10,2,0)</f>
        <v>Juego Llaves</v>
      </c>
      <c r="C20394" s="220"/>
      <c r="D20394" s="50" t="s">
        <v>18</v>
      </c>
      <c r="E20394" s="50">
        <v>2</v>
      </c>
      <c r="F20394" s="51">
        <f>VLOOKUP(A20394,'Componentes APUs'!$S$1:$V$10,4,0)</f>
        <v>9167</v>
      </c>
      <c r="G20394" s="51">
        <f>ROUNDUP(F20394*((E20394/21)/E20367),0)</f>
        <v>175</v>
      </c>
    </row>
    <row r="20395" spans="1:7" x14ac:dyDescent="0.25">
      <c r="A20395" s="50" t="s">
        <v>58</v>
      </c>
      <c r="B20395" s="220" t="str">
        <f>VLOOKUP(A20395,'Componentes APUs'!$S$1:$V$10,2,0)</f>
        <v>Manila de servicio</v>
      </c>
      <c r="C20395" s="220"/>
      <c r="D20395" s="50" t="s">
        <v>18</v>
      </c>
      <c r="E20395" s="50">
        <v>0</v>
      </c>
      <c r="F20395" s="51">
        <f>VLOOKUP(A20395,'Componentes APUs'!$S$1:$V$10,4,0)</f>
        <v>2333</v>
      </c>
      <c r="G20395" s="51">
        <f>ROUNDUP(F20395*((E20395/21)/E20367),0)</f>
        <v>0</v>
      </c>
    </row>
    <row r="20396" spans="1:7" x14ac:dyDescent="0.25">
      <c r="A20396" s="50" t="s">
        <v>327</v>
      </c>
      <c r="B20396" s="220" t="str">
        <f>VLOOKUP(A20396,'Componentes APUs'!$S$1:$V$10,2,0)</f>
        <v>Tula portaherramientas</v>
      </c>
      <c r="C20396" s="220"/>
      <c r="D20396" s="50" t="s">
        <v>18</v>
      </c>
      <c r="E20396" s="50">
        <v>2</v>
      </c>
      <c r="F20396" s="51">
        <f>VLOOKUP(A20396,'Componentes APUs'!$S$1:$V$10,4,0)</f>
        <v>1250</v>
      </c>
      <c r="G20396" s="51">
        <f>ROUNDUP(F20396*((E20396/21)/E20367),0)</f>
        <v>24</v>
      </c>
    </row>
    <row r="20397" spans="1:7" x14ac:dyDescent="0.25">
      <c r="A20397" s="50" t="s">
        <v>60</v>
      </c>
      <c r="B20397" s="220" t="str">
        <f>VLOOKUP(A20397,'Componentes APUs'!$S$1:$V$10,2,0)</f>
        <v>Agarradoras</v>
      </c>
      <c r="C20397" s="220"/>
      <c r="D20397" s="50" t="s">
        <v>18</v>
      </c>
      <c r="E20397" s="50">
        <v>0</v>
      </c>
      <c r="F20397" s="51">
        <f>VLOOKUP(A20397,'Componentes APUs'!$S$1:$V$10,4,0)</f>
        <v>125000</v>
      </c>
      <c r="G20397" s="51">
        <f>ROUNDUP(F20397*((E20397/21)/E20367),0)</f>
        <v>0</v>
      </c>
    </row>
    <row r="20398" spans="1:7" x14ac:dyDescent="0.25">
      <c r="A20398" s="50" t="s">
        <v>62</v>
      </c>
      <c r="B20398" s="220" t="str">
        <f>VLOOKUP(A20398,'Componentes APUs'!$S$1:$V$10,2,0)</f>
        <v>Templadoras</v>
      </c>
      <c r="C20398" s="220"/>
      <c r="D20398" s="50" t="s">
        <v>18</v>
      </c>
      <c r="E20398" s="50">
        <v>0</v>
      </c>
      <c r="F20398" s="51">
        <f>VLOOKUP(A20398,'Componentes APUs'!$S$1:$V$10,4,0)</f>
        <v>250000</v>
      </c>
      <c r="G20398" s="51">
        <f>ROUNDUP(F20398*((E20398/21)/E20367),0)</f>
        <v>0</v>
      </c>
    </row>
    <row r="20399" spans="1:7" x14ac:dyDescent="0.25">
      <c r="A20399" s="50" t="s">
        <v>328</v>
      </c>
      <c r="B20399" s="220" t="str">
        <f>VLOOKUP(A20399,'Componentes APUs'!$S$1:$V$10,2,0)</f>
        <v>Herramienta Menor</v>
      </c>
      <c r="C20399" s="220"/>
      <c r="D20399" s="50" t="s">
        <v>18</v>
      </c>
      <c r="E20399" s="50">
        <v>2</v>
      </c>
      <c r="F20399" s="51">
        <f>VLOOKUP(A20399,'Componentes APUs'!$S$1:$V$10,4,0)</f>
        <v>75758</v>
      </c>
      <c r="G20399" s="51">
        <f>ROUNDUP(F20399*((E20399/21)/E20367),0)</f>
        <v>1444</v>
      </c>
    </row>
    <row r="20400" spans="1:7" x14ac:dyDescent="0.25">
      <c r="A20400" s="219" t="s">
        <v>69</v>
      </c>
      <c r="B20400" s="219"/>
      <c r="C20400" s="219"/>
      <c r="D20400" s="219"/>
      <c r="E20400" s="219"/>
      <c r="F20400" s="219"/>
      <c r="G20400" s="52">
        <f>SUM(G20394:G20399)</f>
        <v>1643</v>
      </c>
    </row>
    <row r="20401" spans="1:7" x14ac:dyDescent="0.25">
      <c r="A20401" s="56"/>
      <c r="B20401" s="57"/>
      <c r="C20401" s="57"/>
      <c r="D20401" s="57"/>
      <c r="E20401" s="57"/>
      <c r="F20401" s="57"/>
      <c r="G20401" s="58"/>
    </row>
    <row r="20402" spans="1:7" x14ac:dyDescent="0.25">
      <c r="A20402" s="219" t="s">
        <v>70</v>
      </c>
      <c r="B20402" s="219"/>
      <c r="C20402" s="219"/>
      <c r="D20402" s="219"/>
      <c r="E20402" s="219"/>
      <c r="F20402" s="219"/>
      <c r="G20402" s="219"/>
    </row>
    <row r="20403" spans="1:7" x14ac:dyDescent="0.25">
      <c r="A20403" s="49" t="s">
        <v>35</v>
      </c>
      <c r="B20403" s="219" t="s">
        <v>36</v>
      </c>
      <c r="C20403" s="219"/>
      <c r="D20403" s="49" t="s">
        <v>37</v>
      </c>
      <c r="E20403" s="49" t="s">
        <v>38</v>
      </c>
      <c r="F20403" s="49" t="s">
        <v>39</v>
      </c>
      <c r="G20403" s="49" t="s">
        <v>40</v>
      </c>
    </row>
    <row r="20404" spans="1:7" x14ac:dyDescent="0.25">
      <c r="A20404" s="50" t="s">
        <v>71</v>
      </c>
      <c r="B20404" s="71" t="str">
        <f>VLOOKUP(A20404,'Componentes APUs'!$A$1:$D$14,2,0)</f>
        <v>Camisa indigo sin partes metalicas</v>
      </c>
      <c r="C20404" s="71"/>
      <c r="D20404" s="50" t="str">
        <f>VLOOKUP(A20404,'Componentes APUs'!$A$1:$D$14,3,0)</f>
        <v>U</v>
      </c>
      <c r="E20404" s="50">
        <f>SUM(C20384:C20389)</f>
        <v>2.75</v>
      </c>
      <c r="F20404" s="51">
        <f>VLOOKUP(A20404,'Componentes APUs'!$A$1:$D$14,4,0)</f>
        <v>8585.8585858585866</v>
      </c>
      <c r="G20404" s="51">
        <f>ROUNDUP(F20404*(E20404/21)/E20367,0)</f>
        <v>225</v>
      </c>
    </row>
    <row r="20405" spans="1:7" x14ac:dyDescent="0.25">
      <c r="A20405" s="69" t="s">
        <v>73</v>
      </c>
      <c r="B20405" s="72" t="str">
        <f>VLOOKUP(A20405,'Componentes APUs'!$A$1:$D$14,2,0)</f>
        <v>Bota de seguridad dielectrica</v>
      </c>
      <c r="C20405" s="73"/>
      <c r="D20405" s="70" t="str">
        <f>VLOOKUP(A20405,'Componentes APUs'!$A$1:$D$14,3,0)</f>
        <v>Par</v>
      </c>
      <c r="E20405" s="50">
        <f>SUM(C20384:C20389)</f>
        <v>2.75</v>
      </c>
      <c r="F20405" s="51">
        <f>VLOOKUP(A20405,'Componentes APUs'!$A$1:$D$14,4,0)</f>
        <v>7500</v>
      </c>
      <c r="G20405" s="51">
        <f>ROUNDUP(F20405*(E20405/21)/E20367,0)</f>
        <v>197</v>
      </c>
    </row>
    <row r="20406" spans="1:7" x14ac:dyDescent="0.25">
      <c r="A20406" s="50" t="s">
        <v>76</v>
      </c>
      <c r="B20406" s="72" t="str">
        <f>VLOOKUP(A20406,'Componentes APUs'!$A$1:$D$14,2,0)</f>
        <v>Casco dielectrico Tipo 1 Clase E con barbuquejo</v>
      </c>
      <c r="C20406" s="73"/>
      <c r="D20406" s="50" t="str">
        <f>VLOOKUP(A20406,'Componentes APUs'!$A$1:$D$14,3,0)</f>
        <v>U</v>
      </c>
      <c r="E20406" s="50">
        <f>C20389+C20384+C20387+C20388+C20385+IF(A20386&lt;&gt;"MO-3",C20386,0)</f>
        <v>2.75</v>
      </c>
      <c r="F20406" s="51">
        <f>VLOOKUP(A20406,'Componentes APUs'!$A$1:$D$14,4,0)</f>
        <v>10101.010101010101</v>
      </c>
      <c r="G20406" s="51">
        <f>ROUNDUP(F20406*(E20406/21)/E20367,0)</f>
        <v>265</v>
      </c>
    </row>
    <row r="20407" spans="1:7" x14ac:dyDescent="0.25">
      <c r="A20407" s="69" t="s">
        <v>77</v>
      </c>
      <c r="B20407" s="72" t="str">
        <f>VLOOKUP(A20407,'Componentes APUs'!$A$1:$D$14,2,0)</f>
        <v>Correa plastica y antiflama</v>
      </c>
      <c r="C20407" s="73"/>
      <c r="D20407" s="50" t="str">
        <f>VLOOKUP(A20407,'Componentes APUs'!$A$1:$D$14,3,0)</f>
        <v>U</v>
      </c>
      <c r="E20407" s="50">
        <f>SUM(C20384:C20389)</f>
        <v>2.75</v>
      </c>
      <c r="F20407" s="51">
        <f>VLOOKUP(A20407,'Componentes APUs'!$A$1:$D$14,4,0)</f>
        <v>3787.878787878788</v>
      </c>
      <c r="G20407" s="51">
        <f>ROUNDUP(F20407*(E20407/21)/E20367,0)</f>
        <v>100</v>
      </c>
    </row>
    <row r="20408" spans="1:7" x14ac:dyDescent="0.25">
      <c r="A20408" s="50" t="s">
        <v>79</v>
      </c>
      <c r="B20408" s="72" t="str">
        <f>VLOOKUP(A20408,'Componentes APUs'!$A$1:$D$14,2,0)</f>
        <v>Gafas protectoras filtro UV</v>
      </c>
      <c r="C20408" s="73"/>
      <c r="D20408" s="50" t="str">
        <f>VLOOKUP(A20408,'Componentes APUs'!$A$1:$D$14,3,0)</f>
        <v>U</v>
      </c>
      <c r="E20408" s="50">
        <f>SUM(C20384:C20389)</f>
        <v>2.75</v>
      </c>
      <c r="F20408" s="51">
        <f>VLOOKUP(A20408,'Componentes APUs'!$A$1:$D$14,4,0)</f>
        <v>2777.7777777777778</v>
      </c>
      <c r="G20408" s="51">
        <f>ROUNDUP(F20408*(E20408/21)/E20367,0)</f>
        <v>73</v>
      </c>
    </row>
    <row r="20409" spans="1:7" x14ac:dyDescent="0.25">
      <c r="A20409" s="69" t="s">
        <v>402</v>
      </c>
      <c r="B20409" s="72" t="str">
        <f>VLOOKUP(A20409,'Componentes APUs'!$A$1:$D$14,2,0)</f>
        <v>Bota de seguridad PVC dielectrica</v>
      </c>
      <c r="C20409" s="73"/>
      <c r="D20409" s="50" t="str">
        <f>VLOOKUP(A20409,'Componentes APUs'!$A$1:$D$14,3,0)</f>
        <v>Par</v>
      </c>
      <c r="E20409" s="50">
        <f>SUM(C20384:C20389)</f>
        <v>2.75</v>
      </c>
      <c r="F20409" s="51">
        <f>VLOOKUP(A20409,'Componentes APUs'!$A$1:$D$14,4,0)</f>
        <v>2916.6666666666665</v>
      </c>
      <c r="G20409" s="51">
        <f>ROUNDUP(F20409*(E20409/21)/E20367,0)</f>
        <v>77</v>
      </c>
    </row>
    <row r="20410" spans="1:7" x14ac:dyDescent="0.25">
      <c r="A20410" s="50" t="s">
        <v>403</v>
      </c>
      <c r="B20410" s="72" t="str">
        <f>VLOOKUP(A20410,'Componentes APUs'!$A$1:$D$14,2,0)</f>
        <v>Capuchon</v>
      </c>
      <c r="C20410" s="73"/>
      <c r="D20410" s="50" t="str">
        <f>VLOOKUP(A20410,'Componentes APUs'!$A$1:$D$14,3,0)</f>
        <v>U</v>
      </c>
      <c r="E20410" s="50">
        <f>SUM(C20384:C20389)</f>
        <v>2.75</v>
      </c>
      <c r="F20410" s="51">
        <f>VLOOKUP(A20410,'Componentes APUs'!$A$1:$D$14,4,0)</f>
        <v>2525.2525252525252</v>
      </c>
      <c r="G20410" s="51">
        <f>ROUNDUP(F20410*(E20410/21)/E20367,0)</f>
        <v>67</v>
      </c>
    </row>
    <row r="20411" spans="1:7" x14ac:dyDescent="0.25">
      <c r="A20411" s="69" t="s">
        <v>81</v>
      </c>
      <c r="B20411" s="72" t="str">
        <f>VLOOKUP(A20411,'Componentes APUs'!$A$1:$D$14,2,0)</f>
        <v>Guantes Protectores  - ingeniero reforzados</v>
      </c>
      <c r="C20411" s="73"/>
      <c r="D20411" s="50" t="str">
        <f>VLOOKUP(A20411,'Componentes APUs'!$A$1:$D$14,3,0)</f>
        <v>Par</v>
      </c>
      <c r="E20411" s="50">
        <f>C20386+C20387+C20389</f>
        <v>2</v>
      </c>
      <c r="F20411" s="51">
        <f>VLOOKUP(A20411,'Componentes APUs'!$A$1:$D$14,4,0)</f>
        <v>2525.2525252525252</v>
      </c>
      <c r="G20411" s="51">
        <f>ROUNDUP(F20411*(E20411/21)/E20367,0)</f>
        <v>49</v>
      </c>
    </row>
    <row r="20412" spans="1:7" x14ac:dyDescent="0.25">
      <c r="A20412" s="50" t="s">
        <v>83</v>
      </c>
      <c r="B20412" s="72" t="str">
        <f>VLOOKUP(A20412,'Componentes APUs'!$A$1:$D$14,2,0)</f>
        <v>Impermeable (pantalon camisa)</v>
      </c>
      <c r="C20412" s="73"/>
      <c r="D20412" s="50" t="str">
        <f>VLOOKUP(A20412,'Componentes APUs'!$A$1:$D$14,3,0)</f>
        <v>U</v>
      </c>
      <c r="E20412" s="50">
        <f>SUM(C20384:C20389)</f>
        <v>2.75</v>
      </c>
      <c r="F20412" s="51">
        <f>VLOOKUP(A20412,'Componentes APUs'!$A$1:$D$14,4,0)</f>
        <v>3750</v>
      </c>
      <c r="G20412" s="51">
        <f>ROUNDUP(F20412*(E20412/21)/E20367,0)</f>
        <v>99</v>
      </c>
    </row>
    <row r="20413" spans="1:7" x14ac:dyDescent="0.25">
      <c r="A20413" s="69" t="s">
        <v>85</v>
      </c>
      <c r="B20413" s="72" t="str">
        <f>VLOOKUP(A20413,'Componentes APUs'!$A$1:$D$14,2,0)</f>
        <v>Jean Dielectrico</v>
      </c>
      <c r="C20413" s="73"/>
      <c r="D20413" s="50" t="str">
        <f>VLOOKUP(A20413,'Componentes APUs'!$A$1:$D$14,3,0)</f>
        <v>U</v>
      </c>
      <c r="E20413" s="50">
        <f>SUM(C20384:C20389)</f>
        <v>2.75</v>
      </c>
      <c r="F20413" s="51">
        <f>VLOOKUP(A20413,'Componentes APUs'!$A$1:$D$14,4,0)</f>
        <v>7575.757575757576</v>
      </c>
      <c r="G20413" s="51">
        <f>ROUNDUP(F20413*(E20413/21)/E20367,0)</f>
        <v>199</v>
      </c>
    </row>
    <row r="20414" spans="1:7" x14ac:dyDescent="0.25">
      <c r="A20414" s="50" t="s">
        <v>87</v>
      </c>
      <c r="B20414" s="72" t="str">
        <f>VLOOKUP(A20414,'Componentes APUs'!$A$1:$D$14,2,0)</f>
        <v>Casco dielectrico Tipo 2 Clase E con barboquejo</v>
      </c>
      <c r="C20414" s="73"/>
      <c r="D20414" s="50" t="str">
        <f>VLOOKUP(A20414,'Componentes APUs'!$A$1:$D$14,3,0)</f>
        <v>U</v>
      </c>
      <c r="E20414" s="53">
        <f>IF(A20386="MO-3",C20386,0)</f>
        <v>0</v>
      </c>
      <c r="F20414" s="51">
        <f>VLOOKUP(A20414,'Componentes APUs'!$A$1:$D$14,4,0)</f>
        <v>7500</v>
      </c>
      <c r="G20414" s="51">
        <f>ROUNDUP(F20414*(E20414/21)/E20367,0)</f>
        <v>0</v>
      </c>
    </row>
    <row r="20415" spans="1:7" x14ac:dyDescent="0.25">
      <c r="A20415" s="69" t="s">
        <v>89</v>
      </c>
      <c r="B20415" s="72" t="str">
        <f>VLOOKUP(A20415,'Componentes APUs'!$A$1:$D$14,2,0)</f>
        <v>Kit de rescate para trabajo en alturas</v>
      </c>
      <c r="C20415" s="73"/>
      <c r="D20415" s="50" t="str">
        <f>VLOOKUP(A20415,'Componentes APUs'!$A$1:$D$14,3,0)</f>
        <v>U</v>
      </c>
      <c r="E20415" s="50">
        <f>IF(AND(A20386="MO-3",C20386=2),1,0)</f>
        <v>0</v>
      </c>
      <c r="F20415" s="51">
        <f>VLOOKUP(A20415,'Componentes APUs'!$A$1:$D$14,4,0)</f>
        <v>37500</v>
      </c>
      <c r="G20415" s="51">
        <f>ROUNDUP(F20415*(E20415/21)/E20367,0)</f>
        <v>0</v>
      </c>
    </row>
    <row r="20416" spans="1:7" x14ac:dyDescent="0.25">
      <c r="A20416" s="50" t="s">
        <v>91</v>
      </c>
      <c r="B20416" s="72" t="str">
        <f>VLOOKUP(A20416,'Componentes APUs'!$A$1:$D$14,2,0)</f>
        <v>Equipo completo para trabajo en alturas con pretales (Arnes dielectrico, 1 mosqueton de seguridad, tie off dielectrico, eslinga de posicionamiento, juego de pretales)</v>
      </c>
      <c r="C20416" s="73"/>
      <c r="D20416" s="50" t="str">
        <f>VLOOKUP(A20416,'Componentes APUs'!$A$1:$D$14,3,0)</f>
        <v>U</v>
      </c>
      <c r="E20416" s="50">
        <f>IF(A20386="MO-3",C20386,0)</f>
        <v>0</v>
      </c>
      <c r="F20416" s="51">
        <f>VLOOKUP(A20416,'Componentes APUs'!$A$1:$D$14,4,0)</f>
        <v>26041.666666666668</v>
      </c>
      <c r="G20416" s="51">
        <f>ROUNDUP(F20416*(E20416/21)/E20367,0)</f>
        <v>0</v>
      </c>
    </row>
    <row r="20417" spans="1:7" x14ac:dyDescent="0.25">
      <c r="A20417" s="219" t="s">
        <v>95</v>
      </c>
      <c r="B20417" s="219"/>
      <c r="C20417" s="219"/>
      <c r="D20417" s="219"/>
      <c r="E20417" s="219"/>
      <c r="F20417" s="219"/>
      <c r="G20417" s="52">
        <f>SUM(G20404:G20416)</f>
        <v>1351</v>
      </c>
    </row>
    <row r="20418" spans="1:7" x14ac:dyDescent="0.25">
      <c r="A20418" s="56"/>
      <c r="B20418" s="57"/>
      <c r="C20418" s="57"/>
      <c r="D20418" s="57"/>
      <c r="E20418" s="57"/>
      <c r="F20418" s="57"/>
      <c r="G20418" s="58"/>
    </row>
    <row r="20419" spans="1:7" x14ac:dyDescent="0.25">
      <c r="A20419" s="219" t="s">
        <v>96</v>
      </c>
      <c r="B20419" s="219"/>
      <c r="C20419" s="219"/>
      <c r="D20419" s="219"/>
      <c r="E20419" s="219"/>
      <c r="F20419" s="219"/>
      <c r="G20419" s="219"/>
    </row>
    <row r="20420" spans="1:7" x14ac:dyDescent="0.25">
      <c r="A20420" s="49" t="s">
        <v>35</v>
      </c>
      <c r="B20420" s="225" t="s">
        <v>36</v>
      </c>
      <c r="C20420" s="225"/>
      <c r="D20420" s="49" t="s">
        <v>37</v>
      </c>
      <c r="E20420" s="49" t="s">
        <v>38</v>
      </c>
      <c r="F20420" s="49" t="s">
        <v>39</v>
      </c>
      <c r="G20420" s="49" t="s">
        <v>40</v>
      </c>
    </row>
    <row r="20421" spans="1:7" x14ac:dyDescent="0.25">
      <c r="A20421" s="69" t="s">
        <v>97</v>
      </c>
      <c r="B20421" s="72" t="str">
        <f>VLOOKUP(A20421,'Componentes APUs'!$N$1:$Q$30,2,0)</f>
        <v>Camioneta</v>
      </c>
      <c r="C20421" s="73"/>
      <c r="D20421" s="70" t="str">
        <f>VLOOKUP(A20421,'Componentes APUs'!$N$1:$Q$30,3,0)</f>
        <v>U</v>
      </c>
      <c r="E20421" s="50">
        <v>1</v>
      </c>
      <c r="F20421" s="51">
        <f>VLOOKUP(A20421,'Componentes APUs'!$N$1:$Q$30,4,0)</f>
        <v>5500000</v>
      </c>
      <c r="G20421" s="51">
        <f>IFERROR(ROUNDUP(F20421*(E20421/21)/E20367,0),0)</f>
        <v>52381</v>
      </c>
    </row>
    <row r="20422" spans="1:7" x14ac:dyDescent="0.25">
      <c r="A20422" s="50" t="s">
        <v>321</v>
      </c>
      <c r="B20422" s="72" t="str">
        <f>VLOOKUP(A20422,'Componentes APUs'!$N$1:$Q$30,2,0)</f>
        <v>Grúa Hidráulica</v>
      </c>
      <c r="C20422" s="73"/>
      <c r="D20422" s="70" t="str">
        <f>VLOOKUP(A20422,'Componentes APUs'!$N$1:$Q$30,3,0)</f>
        <v>U</v>
      </c>
      <c r="E20422" s="50">
        <v>0</v>
      </c>
      <c r="F20422" s="51">
        <f>VLOOKUP(A20422,'Componentes APUs'!$N$1:$Q$30,4,0)</f>
        <v>21000000</v>
      </c>
      <c r="G20422" s="51">
        <f>IFERROR(ROUNDUP(F20422*(E20422/21)/E20367,0),0)</f>
        <v>0</v>
      </c>
    </row>
    <row r="20423" spans="1:7" x14ac:dyDescent="0.25">
      <c r="A20423" s="69" t="s">
        <v>322</v>
      </c>
      <c r="B20423" s="72" t="str">
        <f>VLOOKUP(A20423,'Componentes APUs'!$N$1:$Q$30,2,0)</f>
        <v>Camabaja</v>
      </c>
      <c r="C20423" s="73"/>
      <c r="D20423" s="70" t="str">
        <f>VLOOKUP(A20423,'Componentes APUs'!$N$1:$Q$30,3,0)</f>
        <v>TON/KM</v>
      </c>
      <c r="E20423" s="50">
        <v>0</v>
      </c>
      <c r="F20423" s="51">
        <f>VLOOKUP(A20423,'Componentes APUs'!$N$1:$Q$30,4,0)</f>
        <v>611</v>
      </c>
      <c r="G20423" s="51">
        <f>IFERROR(ROUNDUP(F20423*(E20423/21)/E20367,0),0)</f>
        <v>0</v>
      </c>
    </row>
    <row r="20424" spans="1:7" x14ac:dyDescent="0.25">
      <c r="A20424" s="50" t="s">
        <v>323</v>
      </c>
      <c r="B20424" s="72" t="str">
        <f>VLOOKUP(A20424,'Componentes APUs'!$N$1:$Q$30,2,0)</f>
        <v>Volqueta</v>
      </c>
      <c r="C20424" s="73"/>
      <c r="D20424" s="70" t="str">
        <f>VLOOKUP(A20424,'Componentes APUs'!$N$1:$Q$30,3,0)</f>
        <v>U</v>
      </c>
      <c r="E20424" s="50">
        <v>0</v>
      </c>
      <c r="F20424" s="51">
        <f>VLOOKUP(A20424,'Componentes APUs'!$N$1:$Q$30,4,0)</f>
        <v>14828184</v>
      </c>
      <c r="G20424" s="51">
        <f>IFERROR(ROUNDUP(F20424*(E20424/21)/E20367,0),0)</f>
        <v>0</v>
      </c>
    </row>
    <row r="20425" spans="1:7" x14ac:dyDescent="0.25">
      <c r="A20425" s="69" t="s">
        <v>324</v>
      </c>
      <c r="B20425" s="72" t="str">
        <f>VLOOKUP(A20425,'Componentes APUs'!$N$1:$Q$30,2,0)</f>
        <v>Retroexcavadora</v>
      </c>
      <c r="C20425" s="73"/>
      <c r="D20425" s="70" t="str">
        <f>VLOOKUP(A20425,'Componentes APUs'!$N$1:$Q$30,3,0)</f>
        <v>U</v>
      </c>
      <c r="E20425" s="50">
        <v>0</v>
      </c>
      <c r="F20425" s="51">
        <f>VLOOKUP(A20425,'Componentes APUs'!$N$1:$Q$30,4,0)</f>
        <v>46030656</v>
      </c>
      <c r="G20425" s="51">
        <f>IFERROR(ROUNDUP(F20425*(E20425/21)/E20367,0),0)</f>
        <v>0</v>
      </c>
    </row>
    <row r="20426" spans="1:7" x14ac:dyDescent="0.25">
      <c r="A20426" s="219" t="s">
        <v>99</v>
      </c>
      <c r="B20426" s="219"/>
      <c r="C20426" s="219"/>
      <c r="D20426" s="219"/>
      <c r="E20426" s="219"/>
      <c r="F20426" s="219"/>
      <c r="G20426" s="52">
        <f>SUM(G20421:G20425)</f>
        <v>52381</v>
      </c>
    </row>
    <row r="20427" spans="1:7" x14ac:dyDescent="0.25">
      <c r="A20427" s="56"/>
      <c r="B20427" s="57"/>
      <c r="C20427" s="57"/>
      <c r="D20427" s="57"/>
      <c r="E20427" s="57"/>
      <c r="F20427" s="57"/>
      <c r="G20427" s="58"/>
    </row>
    <row r="20428" spans="1:7" x14ac:dyDescent="0.25">
      <c r="A20428" s="219" t="s">
        <v>1516</v>
      </c>
      <c r="B20428" s="219"/>
      <c r="C20428" s="219"/>
      <c r="D20428" s="219"/>
      <c r="E20428" s="219"/>
      <c r="F20428" s="219"/>
      <c r="G20428" s="52">
        <f>G20426+G20417+G20400+G20390+G20380</f>
        <v>583617</v>
      </c>
    </row>
    <row r="20429" spans="1:7" x14ac:dyDescent="0.25">
      <c r="A20429" s="59"/>
      <c r="B20429" s="60"/>
      <c r="C20429" s="60"/>
      <c r="D20429" s="60"/>
      <c r="E20429" s="57"/>
      <c r="F20429" s="57"/>
      <c r="G20429" s="58"/>
    </row>
    <row r="20430" spans="1:7" x14ac:dyDescent="0.25">
      <c r="A20430" s="64"/>
      <c r="D20430" s="55"/>
      <c r="E20430" s="49" t="s">
        <v>25</v>
      </c>
      <c r="F20430" s="54">
        <v>0.15</v>
      </c>
      <c r="G20430" s="51">
        <f>G20428*F20430</f>
        <v>87542.55</v>
      </c>
    </row>
    <row r="20431" spans="1:7" x14ac:dyDescent="0.25">
      <c r="A20431" s="64"/>
      <c r="D20431" s="55"/>
      <c r="E20431" s="49" t="s">
        <v>26</v>
      </c>
      <c r="F20431" s="54">
        <v>0.05</v>
      </c>
      <c r="G20431" s="51">
        <f>G20428*F20431</f>
        <v>29180.850000000002</v>
      </c>
    </row>
    <row r="20432" spans="1:7" x14ac:dyDescent="0.25">
      <c r="A20432" s="61"/>
      <c r="B20432" s="65"/>
      <c r="C20432" s="65"/>
      <c r="D20432" s="62"/>
      <c r="E20432" s="49" t="s">
        <v>27</v>
      </c>
      <c r="F20432" s="54">
        <v>0.05</v>
      </c>
      <c r="G20432" s="51">
        <f>G20428*F20432</f>
        <v>29180.850000000002</v>
      </c>
    </row>
    <row r="20433" spans="1:7" x14ac:dyDescent="0.25">
      <c r="A20433" s="61"/>
      <c r="B20433" s="62"/>
      <c r="C20433" s="62"/>
      <c r="D20433" s="62"/>
      <c r="E20433" s="62"/>
      <c r="F20433" s="62"/>
      <c r="G20433" s="63"/>
    </row>
    <row r="20434" spans="1:7" x14ac:dyDescent="0.25">
      <c r="A20434" s="219" t="s">
        <v>1517</v>
      </c>
      <c r="B20434" s="219"/>
      <c r="C20434" s="219"/>
      <c r="D20434" s="219"/>
      <c r="E20434" s="219"/>
      <c r="F20434" s="219"/>
      <c r="G20434" s="52">
        <f>G20428+G20430+G20431+G20432</f>
        <v>729521.25</v>
      </c>
    </row>
    <row r="20435" spans="1:7" x14ac:dyDescent="0.25">
      <c r="A20435" s="59"/>
      <c r="B20435" s="60"/>
      <c r="C20435" s="60"/>
      <c r="D20435" s="60"/>
      <c r="E20435" s="57"/>
      <c r="F20435" s="57"/>
      <c r="G20435" s="58"/>
    </row>
    <row r="20436" spans="1:7" x14ac:dyDescent="0.25">
      <c r="A20436" s="64"/>
      <c r="D20436" s="55"/>
      <c r="E20436" s="49" t="s">
        <v>102</v>
      </c>
      <c r="F20436" s="49" t="s">
        <v>103</v>
      </c>
      <c r="G20436" s="51">
        <f>G20432*19%</f>
        <v>5544.3615000000009</v>
      </c>
    </row>
    <row r="20437" spans="1:7" x14ac:dyDescent="0.25">
      <c r="A20437" s="61"/>
      <c r="B20437" s="62"/>
      <c r="C20437" s="62"/>
      <c r="D20437" s="62"/>
      <c r="E20437" s="57"/>
      <c r="F20437" s="57"/>
      <c r="G20437" s="58"/>
    </row>
    <row r="20438" spans="1:7" x14ac:dyDescent="0.25">
      <c r="A20438" s="219" t="s">
        <v>104</v>
      </c>
      <c r="B20438" s="219"/>
      <c r="C20438" s="219"/>
      <c r="D20438" s="219"/>
      <c r="E20438" s="219"/>
      <c r="F20438" s="219"/>
      <c r="G20438" s="52">
        <f>G20436+G20434</f>
        <v>735065.6115</v>
      </c>
    </row>
    <row r="20440" spans="1:7" x14ac:dyDescent="0.25">
      <c r="A20440" s="74" t="s">
        <v>29</v>
      </c>
      <c r="B20440" s="237" t="s">
        <v>30</v>
      </c>
      <c r="C20440" s="238"/>
      <c r="D20440" s="74" t="s">
        <v>31</v>
      </c>
      <c r="E20440" s="74" t="s">
        <v>32</v>
      </c>
      <c r="F20440" s="74" t="s">
        <v>189</v>
      </c>
      <c r="G20440" s="74" t="s">
        <v>33</v>
      </c>
    </row>
    <row r="20441" spans="1:7" ht="38.25" customHeight="1" x14ac:dyDescent="0.25">
      <c r="A20441" s="50" t="str">
        <f>Presupuesto!B390</f>
        <v>058_AUX</v>
      </c>
      <c r="B20441" s="242" t="str">
        <f>Presupuesto!C390</f>
        <v>SUMINISTRO E INSTALACIÓN DE SALIDA PARA TOMACORRIENTE MONOFÁSICO GFCI EN TUBERÍA PVC 1/2", CAJA GALVANIZADA METÁLICA Y CABLE 1X12 F+12 N+12 T. LONGITUD PROMEDIO 5 METROS (CASETA)</v>
      </c>
      <c r="C20441" s="239"/>
      <c r="D20441" s="50" t="s">
        <v>8</v>
      </c>
      <c r="E20441" s="50">
        <v>8</v>
      </c>
      <c r="F20441" s="50"/>
      <c r="G20441" s="51">
        <f>G20510</f>
        <v>286313.31850000005</v>
      </c>
    </row>
    <row r="20442" spans="1:7" x14ac:dyDescent="0.25">
      <c r="A20442" s="234"/>
      <c r="B20442" s="236"/>
      <c r="C20442" s="236"/>
      <c r="D20442" s="236"/>
      <c r="E20442" s="236"/>
      <c r="F20442" s="236"/>
      <c r="G20442" s="235"/>
    </row>
    <row r="20443" spans="1:7" x14ac:dyDescent="0.25">
      <c r="A20443" s="49" t="s">
        <v>35</v>
      </c>
      <c r="B20443" s="234" t="s">
        <v>36</v>
      </c>
      <c r="C20443" s="235"/>
      <c r="D20443" s="49" t="s">
        <v>37</v>
      </c>
      <c r="E20443" s="49" t="s">
        <v>38</v>
      </c>
      <c r="F20443" s="49" t="s">
        <v>39</v>
      </c>
      <c r="G20443" s="49" t="s">
        <v>40</v>
      </c>
    </row>
    <row r="20444" spans="1:7" x14ac:dyDescent="0.25">
      <c r="A20444" s="17" t="str">
        <f>Material!A159</f>
        <v>MA-158</v>
      </c>
      <c r="B20444" s="72" t="str">
        <f>IFERROR(VLOOKUP(A20444,Material!$A:$J,2,0),"-")</f>
        <v>TOMA CORRIENTE DOBLE GFCI</v>
      </c>
      <c r="C20444" s="73"/>
      <c r="D20444" s="50" t="str">
        <f>IFERROR(VLOOKUP(A20444,Material!$A:$J,4,0),"-")</f>
        <v>UN</v>
      </c>
      <c r="E20444" s="50">
        <v>1</v>
      </c>
      <c r="F20444" s="51">
        <f>IFERROR(VLOOKUP(A20444,Material!$A:$J,3,0),"-")</f>
        <v>43095</v>
      </c>
      <c r="G20444" s="51">
        <f t="shared" ref="G20444:G20449" si="300">IFERROR(ROUNDUP(F20444*E20444,0),"-")</f>
        <v>43095</v>
      </c>
    </row>
    <row r="20445" spans="1:7" x14ac:dyDescent="0.25">
      <c r="A20445" s="17" t="str">
        <f>Material!A220</f>
        <v>MA-219</v>
      </c>
      <c r="B20445" s="72" t="str">
        <f>IFERROR(VLOOKUP(A20445,Material!$A:$J,2,0),"-")</f>
        <v>CABLE AISLADO NO 12 AWG COBRE THHN</v>
      </c>
      <c r="C20445" s="76"/>
      <c r="D20445" s="50" t="str">
        <f>IFERROR(VLOOKUP(A20445,Material!$A:$J,4,0),"-")</f>
        <v>ML</v>
      </c>
      <c r="E20445" s="50">
        <f>5*3</f>
        <v>15</v>
      </c>
      <c r="F20445" s="51">
        <f>IFERROR(VLOOKUP(A20445,Material!$A:$J,3,0),"-")</f>
        <v>3445</v>
      </c>
      <c r="G20445" s="51">
        <f t="shared" si="300"/>
        <v>51675</v>
      </c>
    </row>
    <row r="20446" spans="1:7" x14ac:dyDescent="0.25">
      <c r="A20446" s="17" t="str">
        <f>Material!A576</f>
        <v>MA-575</v>
      </c>
      <c r="B20446" s="72" t="str">
        <f>IFERROR(VLOOKUP(A20446,Material!$A:$J,2,0),"-")</f>
        <v>CAJA METÁLICA GALVANIZADA 5800</v>
      </c>
      <c r="C20446" s="76"/>
      <c r="D20446" s="50" t="str">
        <f>IFERROR(VLOOKUP(A20446,Material!$A:$J,4,0),"-")</f>
        <v>UN</v>
      </c>
      <c r="E20446" s="50">
        <v>1</v>
      </c>
      <c r="F20446" s="51">
        <f>IFERROR(VLOOKUP(A20446,Material!$A:$J,3,0),"-")</f>
        <v>2730</v>
      </c>
      <c r="G20446" s="51">
        <f t="shared" si="300"/>
        <v>2730</v>
      </c>
    </row>
    <row r="20447" spans="1:7" x14ac:dyDescent="0.25">
      <c r="A20447" s="17" t="str">
        <f>Material!A131</f>
        <v>MA-130</v>
      </c>
      <c r="B20447" s="72" t="str">
        <f>IFERROR(VLOOKUP(A20447,Material!$A:$J,2,0),"-")</f>
        <v>TUBO PVC 1/2"</v>
      </c>
      <c r="C20447" s="76"/>
      <c r="D20447" s="50" t="str">
        <f>IFERROR(VLOOKUP(A20447,Material!$A:$J,4,0),"-")</f>
        <v>ML</v>
      </c>
      <c r="E20447" s="50">
        <v>5</v>
      </c>
      <c r="F20447" s="51">
        <f>IFERROR(VLOOKUP(A20447,Material!$A:$J,3,0),"-")</f>
        <v>1668.3333333333333</v>
      </c>
      <c r="G20447" s="51">
        <f t="shared" si="300"/>
        <v>8342</v>
      </c>
    </row>
    <row r="20448" spans="1:7" x14ac:dyDescent="0.25">
      <c r="A20448" s="17" t="str">
        <f>Material!A546</f>
        <v>MA-545</v>
      </c>
      <c r="B20448" s="72" t="str">
        <f>IFERROR(VLOOKUP(A20448,Material!$A:$J,2,0),"-")</f>
        <v>CURVA PVC 1/2"</v>
      </c>
      <c r="C20448" s="76"/>
      <c r="D20448" s="50" t="str">
        <f>IFERROR(VLOOKUP(A20448,Material!$A:$J,4,0),"-")</f>
        <v>UN</v>
      </c>
      <c r="E20448" s="50">
        <v>2</v>
      </c>
      <c r="F20448" s="51">
        <f>IFERROR(VLOOKUP(A20448,Material!$A:$J,3,0),"-")</f>
        <v>455</v>
      </c>
      <c r="G20448" s="51">
        <f t="shared" si="300"/>
        <v>910</v>
      </c>
    </row>
    <row r="20449" spans="1:7" x14ac:dyDescent="0.25">
      <c r="A20449" s="17" t="str">
        <f>Material!A577</f>
        <v>MA-576</v>
      </c>
      <c r="B20449" s="72" t="str">
        <f>IFERROR(VLOOKUP(A20449,Material!$A:$J,2,0),"-")</f>
        <v>TERMINAL PVC 1/2"</v>
      </c>
      <c r="C20449" s="76"/>
      <c r="D20449" s="50" t="str">
        <f>IFERROR(VLOOKUP(A20449,Material!$A:$J,4,0),"-")</f>
        <v>UN</v>
      </c>
      <c r="E20449" s="50">
        <v>2</v>
      </c>
      <c r="F20449" s="51">
        <f>IFERROR(VLOOKUP(A20449,Material!$A:$J,3,0),"-")</f>
        <v>260</v>
      </c>
      <c r="G20449" s="51">
        <f t="shared" si="300"/>
        <v>520</v>
      </c>
    </row>
    <row r="20450" spans="1:7" x14ac:dyDescent="0.25">
      <c r="A20450" s="17" t="str">
        <f>Material!A201</f>
        <v>MA-200</v>
      </c>
      <c r="B20450" s="72" t="str">
        <f>IFERROR(VLOOKUP(A20450,Material!$A:$J,2,0),"-")</f>
        <v>SOLDADURA PVC 1/4 GL</v>
      </c>
      <c r="C20450" s="76"/>
      <c r="D20450" s="50" t="str">
        <f>IFERROR(VLOOKUP(A20450,Material!$A:$J,4,0),"-")</f>
        <v>GALÓN</v>
      </c>
      <c r="E20450" s="50">
        <f>1/100</f>
        <v>0.01</v>
      </c>
      <c r="F20450" s="51">
        <f>IFERROR(VLOOKUP(A20450,Material!$A:$J,3,0),"-")</f>
        <v>88270</v>
      </c>
      <c r="G20450" s="51">
        <f t="shared" ref="G20450" si="301">IFERROR(ROUNDUP(F20450*E20450,0),"-")</f>
        <v>883</v>
      </c>
    </row>
    <row r="20451" spans="1:7" x14ac:dyDescent="0.25">
      <c r="A20451" s="17" t="str">
        <f>Material!A253</f>
        <v>MA-252</v>
      </c>
      <c r="B20451" s="72" t="str">
        <f>IFERROR(VLOOKUP(A20451,Material!$A:$J,2,0),"-")</f>
        <v>LIMPIADOR DE TUBERÍA PVC 1/4 GL</v>
      </c>
      <c r="C20451" s="76"/>
      <c r="D20451" s="50" t="str">
        <f>IFERROR(VLOOKUP(A20451,Material!$A:$J,4,0),"-")</f>
        <v>GALÓN</v>
      </c>
      <c r="E20451" s="50">
        <f>1/100</f>
        <v>0.01</v>
      </c>
      <c r="F20451" s="51">
        <f>IFERROR(VLOOKUP(A20451,Material!$A:$J,3,0),"-")</f>
        <v>60970</v>
      </c>
      <c r="G20451" s="51">
        <f t="shared" ref="G20451" si="302">IFERROR(ROUNDUP(F20451*E20451,0),"-")</f>
        <v>610</v>
      </c>
    </row>
    <row r="20452" spans="1:7" x14ac:dyDescent="0.25">
      <c r="A20452" s="234" t="s">
        <v>41</v>
      </c>
      <c r="B20452" s="236"/>
      <c r="C20452" s="236"/>
      <c r="D20452" s="236"/>
      <c r="E20452" s="236"/>
      <c r="F20452" s="235"/>
      <c r="G20452" s="52">
        <f>SUM(G20444:G20451)</f>
        <v>108765</v>
      </c>
    </row>
    <row r="20453" spans="1:7" x14ac:dyDescent="0.25">
      <c r="A20453" s="56"/>
      <c r="B20453" s="57"/>
      <c r="C20453" s="57"/>
      <c r="D20453" s="57"/>
      <c r="E20453" s="57"/>
      <c r="F20453" s="57"/>
      <c r="G20453" s="58"/>
    </row>
    <row r="20454" spans="1:7" x14ac:dyDescent="0.25">
      <c r="A20454" s="234" t="s">
        <v>42</v>
      </c>
      <c r="B20454" s="236"/>
      <c r="C20454" s="236"/>
      <c r="D20454" s="236"/>
      <c r="E20454" s="236"/>
      <c r="F20454" s="236"/>
      <c r="G20454" s="235"/>
    </row>
    <row r="20455" spans="1:7" x14ac:dyDescent="0.25">
      <c r="A20455" s="49" t="s">
        <v>35</v>
      </c>
      <c r="B20455" s="49" t="s">
        <v>36</v>
      </c>
      <c r="C20455" s="49" t="s">
        <v>38</v>
      </c>
      <c r="D20455" s="49" t="s">
        <v>43</v>
      </c>
      <c r="E20455" s="49" t="s">
        <v>44</v>
      </c>
      <c r="F20455" s="49" t="s">
        <v>45</v>
      </c>
      <c r="G20455" s="49" t="s">
        <v>40</v>
      </c>
    </row>
    <row r="20456" spans="1:7" x14ac:dyDescent="0.25">
      <c r="A20456" s="50" t="s">
        <v>319</v>
      </c>
      <c r="B20456" s="68" t="str">
        <f>VLOOKUP(A20456,'[1]Componentes APUs'!$H$1:$L$25,2,0)</f>
        <v>Ingeniero Residente de Obra</v>
      </c>
      <c r="C20456" s="93">
        <v>0.25</v>
      </c>
      <c r="D20456" s="50">
        <f>VLOOKUP(A20456,'[1]Componentes APUs'!$H$1:$L$25,3,0)</f>
        <v>4</v>
      </c>
      <c r="E20456" s="51">
        <f>VLOOKUP(A20456,'[1]Componentes APUs'!$H$1:$L$25,4,0)</f>
        <v>271142.85714285716</v>
      </c>
      <c r="F20456" s="51">
        <f>VLOOKUP(A20456,'[1]Componentes APUs'!$H$1:$L$25,5,0)</f>
        <v>162685.71428571429</v>
      </c>
      <c r="G20456" s="51">
        <f>ROUNDUP((E20456+F20456)*C20456/E20441,0)</f>
        <v>13558</v>
      </c>
    </row>
    <row r="20457" spans="1:7" x14ac:dyDescent="0.25">
      <c r="A20457" s="50" t="s">
        <v>320</v>
      </c>
      <c r="B20457" s="68" t="str">
        <f>VLOOKUP(A20457,'[1]Componentes APUs'!$H$1:$L$25,2,0)</f>
        <v>Tecnico Supervisor</v>
      </c>
      <c r="C20457" s="93">
        <v>0.25</v>
      </c>
      <c r="D20457" s="50">
        <f>VLOOKUP(A20457,'[1]Componentes APUs'!$H$1:$L$25,3,0)</f>
        <v>2.2999999999999998</v>
      </c>
      <c r="E20457" s="51">
        <f>VLOOKUP(A20457,'[1]Componentes APUs'!$H$1:$L$25,4,0)</f>
        <v>155907.14285714284</v>
      </c>
      <c r="F20457" s="51">
        <f>VLOOKUP(A20457,'[1]Componentes APUs'!$H$1:$L$25,5,0)</f>
        <v>93544.285714285696</v>
      </c>
      <c r="G20457" s="51">
        <f>ROUNDUP((E20457+F20457)*C20457/E20441,0)</f>
        <v>7796</v>
      </c>
    </row>
    <row r="20458" spans="1:7" x14ac:dyDescent="0.25">
      <c r="A20458" s="50" t="s">
        <v>1160</v>
      </c>
      <c r="B20458" s="68" t="str">
        <f>VLOOKUP(A20458,'[1]Componentes APUs'!$H$1:$L$25,2,0)</f>
        <v>Oficial Eléctrico</v>
      </c>
      <c r="C20458" s="93">
        <v>1</v>
      </c>
      <c r="D20458" s="50">
        <f>VLOOKUP(A20458,'[1]Componentes APUs'!$H$1:$L$25,3,0)</f>
        <v>2</v>
      </c>
      <c r="E20458" s="51">
        <f>VLOOKUP(A20458,'[1]Componentes APUs'!$H$1:$L$25,4,0)</f>
        <v>154619.04761904763</v>
      </c>
      <c r="F20458" s="51">
        <f>VLOOKUP(A20458,'[1]Componentes APUs'!$H$1:$L$25,5,0)</f>
        <v>92771.42857142858</v>
      </c>
      <c r="G20458" s="51">
        <f>ROUNDUP((E20458+F20458)*C20458/E20441,0)</f>
        <v>30924</v>
      </c>
    </row>
    <row r="20459" spans="1:7" x14ac:dyDescent="0.25">
      <c r="A20459" s="50" t="s">
        <v>48</v>
      </c>
      <c r="B20459" s="68" t="str">
        <f>VLOOKUP(A20459,'[1]Componentes APUs'!$H$1:$L$25,2,0)</f>
        <v>Ayudante Calificado</v>
      </c>
      <c r="C20459" s="93">
        <v>1</v>
      </c>
      <c r="D20459" s="50">
        <f>VLOOKUP(A20459,'[1]Componentes APUs'!$H$1:$L$25,3,0)</f>
        <v>1.5</v>
      </c>
      <c r="E20459" s="51">
        <f>VLOOKUP(A20459,'[1]Componentes APUs'!$H$1:$L$25,4,0)</f>
        <v>115964.28571428571</v>
      </c>
      <c r="F20459" s="51">
        <f>VLOOKUP(A20459,'[1]Componentes APUs'!$H$1:$L$25,5,0)</f>
        <v>69578.57142857142</v>
      </c>
      <c r="G20459" s="51">
        <f>ROUNDUP((E20459+F20459)*C20459/E20441,0)</f>
        <v>23193</v>
      </c>
    </row>
    <row r="20460" spans="1:7" x14ac:dyDescent="0.25">
      <c r="A20460" s="50" t="s">
        <v>50</v>
      </c>
      <c r="B20460" s="68" t="str">
        <f>VLOOKUP(A20460,'[1]Componentes APUs'!$H$1:$L$25,2,0)</f>
        <v>Profesional en SST</v>
      </c>
      <c r="C20460" s="93">
        <v>0.25</v>
      </c>
      <c r="D20460" s="50">
        <f>VLOOKUP(A20460,'[1]Componentes APUs'!$H$1:$L$25,3,0)</f>
        <v>2.5</v>
      </c>
      <c r="E20460" s="51">
        <f>VLOOKUP(A20460,'[1]Componentes APUs'!$H$1:$L$25,4,0)</f>
        <v>169464.28571428571</v>
      </c>
      <c r="F20460" s="51">
        <f>VLOOKUP(A20460,'[1]Componentes APUs'!$H$1:$L$25,5,0)</f>
        <v>101678.57142857142</v>
      </c>
      <c r="G20460" s="51">
        <f>ROUNDUP((E20460+F20460)*C20460/E20441,0)</f>
        <v>8474</v>
      </c>
    </row>
    <row r="20461" spans="1:7" x14ac:dyDescent="0.25">
      <c r="A20461" s="50" t="s">
        <v>52</v>
      </c>
      <c r="B20461" s="68" t="str">
        <f>VLOOKUP(A20461,'[1]Componentes APUs'!$H$1:$L$25,2,0)</f>
        <v>Ayudante No Calificado</v>
      </c>
      <c r="C20461" s="93">
        <v>0</v>
      </c>
      <c r="D20461" s="50">
        <f>VLOOKUP(A20461,'[1]Componentes APUs'!$H$1:$L$25,3,0)</f>
        <v>1</v>
      </c>
      <c r="E20461" s="51">
        <f>VLOOKUP(A20461,'[1]Componentes APUs'!$H$1:$L$25,4,0)</f>
        <v>77309.523809523816</v>
      </c>
      <c r="F20461" s="51">
        <f>VLOOKUP(A20461,'[1]Componentes APUs'!$H$1:$L$25,5,0)</f>
        <v>46385.71428571429</v>
      </c>
      <c r="G20461" s="51">
        <f>ROUNDUP((E20461+F20461)*C20461/E20441,0)</f>
        <v>0</v>
      </c>
    </row>
    <row r="20462" spans="1:7" x14ac:dyDescent="0.25">
      <c r="A20462" s="234" t="s">
        <v>56</v>
      </c>
      <c r="B20462" s="236"/>
      <c r="C20462" s="236"/>
      <c r="D20462" s="236"/>
      <c r="E20462" s="236"/>
      <c r="F20462" s="235"/>
      <c r="G20462" s="52">
        <f>SUM(G20456:G20461)</f>
        <v>83945</v>
      </c>
    </row>
    <row r="20463" spans="1:7" x14ac:dyDescent="0.25">
      <c r="A20463" s="56"/>
      <c r="B20463" s="57"/>
      <c r="C20463" s="57"/>
      <c r="D20463" s="57"/>
      <c r="E20463" s="57"/>
      <c r="F20463" s="57"/>
      <c r="G20463" s="58"/>
    </row>
    <row r="20464" spans="1:7" x14ac:dyDescent="0.25">
      <c r="A20464" s="234" t="s">
        <v>57</v>
      </c>
      <c r="B20464" s="236"/>
      <c r="C20464" s="236"/>
      <c r="D20464" s="236"/>
      <c r="E20464" s="236"/>
      <c r="F20464" s="236"/>
      <c r="G20464" s="235"/>
    </row>
    <row r="20465" spans="1:7" x14ac:dyDescent="0.25">
      <c r="A20465" s="49" t="s">
        <v>35</v>
      </c>
      <c r="B20465" s="234" t="s">
        <v>36</v>
      </c>
      <c r="C20465" s="235"/>
      <c r="D20465" s="49" t="s">
        <v>37</v>
      </c>
      <c r="E20465" s="49" t="s">
        <v>38</v>
      </c>
      <c r="F20465" s="49" t="s">
        <v>39</v>
      </c>
      <c r="G20465" s="49" t="s">
        <v>40</v>
      </c>
    </row>
    <row r="20466" spans="1:7" x14ac:dyDescent="0.25">
      <c r="A20466" s="50" t="s">
        <v>326</v>
      </c>
      <c r="B20466" s="242" t="str">
        <f>VLOOKUP(A20466,'[1]Componentes APUs'!$S$1:$V$10,2,0)</f>
        <v>Juego Llaves</v>
      </c>
      <c r="C20466" s="239"/>
      <c r="D20466" s="50" t="s">
        <v>18</v>
      </c>
      <c r="E20466" s="50">
        <v>2</v>
      </c>
      <c r="F20466" s="51">
        <f>VLOOKUP(A20466,'[1]Componentes APUs'!$S$1:$V$10,4,0)</f>
        <v>9167</v>
      </c>
      <c r="G20466" s="51">
        <f>ROUNDUP(F20466*((E20466/21)/E20441),0)</f>
        <v>110</v>
      </c>
    </row>
    <row r="20467" spans="1:7" x14ac:dyDescent="0.25">
      <c r="A20467" s="50" t="s">
        <v>58</v>
      </c>
      <c r="B20467" s="242" t="str">
        <f>VLOOKUP(A20467,'[1]Componentes APUs'!$S$1:$V$10,2,0)</f>
        <v>Manila de servicio</v>
      </c>
      <c r="C20467" s="239"/>
      <c r="D20467" s="50" t="s">
        <v>18</v>
      </c>
      <c r="E20467" s="50">
        <v>0</v>
      </c>
      <c r="F20467" s="51">
        <f>VLOOKUP(A20467,'[1]Componentes APUs'!$S$1:$V$10,4,0)</f>
        <v>2333</v>
      </c>
      <c r="G20467" s="51">
        <f>ROUNDUP(F20467*((E20467/21)/E20441),0)</f>
        <v>0</v>
      </c>
    </row>
    <row r="20468" spans="1:7" x14ac:dyDescent="0.25">
      <c r="A20468" s="50" t="s">
        <v>327</v>
      </c>
      <c r="B20468" s="242" t="str">
        <f>VLOOKUP(A20468,'[1]Componentes APUs'!$S$1:$V$10,2,0)</f>
        <v>Tula portaherramientas</v>
      </c>
      <c r="C20468" s="239"/>
      <c r="D20468" s="50" t="s">
        <v>18</v>
      </c>
      <c r="E20468" s="50">
        <v>2</v>
      </c>
      <c r="F20468" s="51">
        <f>VLOOKUP(A20468,'[1]Componentes APUs'!$S$1:$V$10,4,0)</f>
        <v>1250</v>
      </c>
      <c r="G20468" s="51">
        <f>ROUNDUP(F20468*((E20468/21)/E20441),0)</f>
        <v>15</v>
      </c>
    </row>
    <row r="20469" spans="1:7" x14ac:dyDescent="0.25">
      <c r="A20469" s="50" t="s">
        <v>60</v>
      </c>
      <c r="B20469" s="242" t="str">
        <f>VLOOKUP(A20469,'[1]Componentes APUs'!$S$1:$V$10,2,0)</f>
        <v>Agarradoras</v>
      </c>
      <c r="C20469" s="239"/>
      <c r="D20469" s="50" t="s">
        <v>18</v>
      </c>
      <c r="E20469" s="50">
        <v>0</v>
      </c>
      <c r="F20469" s="51">
        <f>VLOOKUP(A20469,'[1]Componentes APUs'!$S$1:$V$10,4,0)</f>
        <v>125000</v>
      </c>
      <c r="G20469" s="51">
        <f>ROUNDUP(F20469*((E20469/21)/E20441),0)</f>
        <v>0</v>
      </c>
    </row>
    <row r="20470" spans="1:7" x14ac:dyDescent="0.25">
      <c r="A20470" s="50" t="s">
        <v>62</v>
      </c>
      <c r="B20470" s="242" t="str">
        <f>VLOOKUP(A20470,'[1]Componentes APUs'!$S$1:$V$10,2,0)</f>
        <v>Templadoras</v>
      </c>
      <c r="C20470" s="239"/>
      <c r="D20470" s="50" t="s">
        <v>18</v>
      </c>
      <c r="E20470" s="50">
        <v>0</v>
      </c>
      <c r="F20470" s="51">
        <f>VLOOKUP(A20470,'[1]Componentes APUs'!$S$1:$V$10,4,0)</f>
        <v>250000</v>
      </c>
      <c r="G20470" s="51">
        <f>ROUNDUP(F20470*((E20470/21)/E20441),0)</f>
        <v>0</v>
      </c>
    </row>
    <row r="20471" spans="1:7" x14ac:dyDescent="0.25">
      <c r="A20471" s="50" t="s">
        <v>328</v>
      </c>
      <c r="B20471" s="242" t="str">
        <f>VLOOKUP(A20471,'[1]Componentes APUs'!$S$1:$V$10,2,0)</f>
        <v>Herramienta Menor</v>
      </c>
      <c r="C20471" s="239"/>
      <c r="D20471" s="50" t="s">
        <v>18</v>
      </c>
      <c r="E20471" s="50">
        <v>2</v>
      </c>
      <c r="F20471" s="51">
        <f>VLOOKUP(A20471,'[1]Componentes APUs'!$S$1:$V$10,4,0)</f>
        <v>75758</v>
      </c>
      <c r="G20471" s="51">
        <f>ROUNDUP(F20471*((E20471/21)/E20441),0)</f>
        <v>902</v>
      </c>
    </row>
    <row r="20472" spans="1:7" x14ac:dyDescent="0.25">
      <c r="A20472" s="234" t="s">
        <v>69</v>
      </c>
      <c r="B20472" s="236"/>
      <c r="C20472" s="236"/>
      <c r="D20472" s="236"/>
      <c r="E20472" s="236"/>
      <c r="F20472" s="235"/>
      <c r="G20472" s="52">
        <f>SUM(G20466:G20471)</f>
        <v>1027</v>
      </c>
    </row>
    <row r="20473" spans="1:7" x14ac:dyDescent="0.25">
      <c r="A20473" s="56"/>
      <c r="B20473" s="57"/>
      <c r="C20473" s="57"/>
      <c r="D20473" s="57"/>
      <c r="E20473" s="57"/>
      <c r="F20473" s="57"/>
      <c r="G20473" s="58"/>
    </row>
    <row r="20474" spans="1:7" x14ac:dyDescent="0.25">
      <c r="A20474" s="234" t="s">
        <v>70</v>
      </c>
      <c r="B20474" s="236"/>
      <c r="C20474" s="236"/>
      <c r="D20474" s="236"/>
      <c r="E20474" s="236"/>
      <c r="F20474" s="236"/>
      <c r="G20474" s="235"/>
    </row>
    <row r="20475" spans="1:7" x14ac:dyDescent="0.25">
      <c r="A20475" s="49" t="s">
        <v>35</v>
      </c>
      <c r="B20475" s="234" t="s">
        <v>36</v>
      </c>
      <c r="C20475" s="235"/>
      <c r="D20475" s="49" t="s">
        <v>37</v>
      </c>
      <c r="E20475" s="49" t="s">
        <v>38</v>
      </c>
      <c r="F20475" s="49" t="s">
        <v>39</v>
      </c>
      <c r="G20475" s="49" t="s">
        <v>40</v>
      </c>
    </row>
    <row r="20476" spans="1:7" x14ac:dyDescent="0.25">
      <c r="A20476" s="50" t="s">
        <v>71</v>
      </c>
      <c r="B20476" s="71" t="str">
        <f>VLOOKUP(A20476,'[1]Componentes APUs'!$A$1:$D$14,2,0)</f>
        <v>Camisa indigo sin partes metalicas</v>
      </c>
      <c r="C20476" s="71"/>
      <c r="D20476" s="50" t="str">
        <f>VLOOKUP(A20476,'[1]Componentes APUs'!$A$1:$D$14,3,0)</f>
        <v>U</v>
      </c>
      <c r="E20476" s="50">
        <f>SUM(C20456:C20461)</f>
        <v>2.75</v>
      </c>
      <c r="F20476" s="51">
        <f>VLOOKUP(A20476,'[1]Componentes APUs'!$A$1:$D$14,4,0)</f>
        <v>8585.8585858585866</v>
      </c>
      <c r="G20476" s="51">
        <f>ROUNDUP(F20476*(E20476/21)/E20441,0)</f>
        <v>141</v>
      </c>
    </row>
    <row r="20477" spans="1:7" x14ac:dyDescent="0.25">
      <c r="A20477" s="69" t="s">
        <v>73</v>
      </c>
      <c r="B20477" s="72" t="str">
        <f>VLOOKUP(A20477,'[1]Componentes APUs'!$A$1:$D$14,2,0)</f>
        <v>Bota de seguridad dielectrica</v>
      </c>
      <c r="C20477" s="73"/>
      <c r="D20477" s="70" t="str">
        <f>VLOOKUP(A20477,'[1]Componentes APUs'!$A$1:$D$14,3,0)</f>
        <v>Par</v>
      </c>
      <c r="E20477" s="50">
        <f>SUM(C20456:C20461)</f>
        <v>2.75</v>
      </c>
      <c r="F20477" s="51">
        <f>VLOOKUP(A20477,'[1]Componentes APUs'!$A$1:$D$14,4,0)</f>
        <v>7500</v>
      </c>
      <c r="G20477" s="51">
        <f>ROUNDUP(F20477*(E20477/21)/E20441,0)</f>
        <v>123</v>
      </c>
    </row>
    <row r="20478" spans="1:7" x14ac:dyDescent="0.25">
      <c r="A20478" s="50" t="s">
        <v>76</v>
      </c>
      <c r="B20478" s="72" t="str">
        <f>VLOOKUP(A20478,'[1]Componentes APUs'!$A$1:$D$14,2,0)</f>
        <v>Casco dielectrico Tipo 1 Clase E con barbuquejo</v>
      </c>
      <c r="C20478" s="73"/>
      <c r="D20478" s="50" t="str">
        <f>VLOOKUP(A20478,'[1]Componentes APUs'!$A$1:$D$14,3,0)</f>
        <v>U</v>
      </c>
      <c r="E20478" s="50">
        <f>C20461+C20456+C20459+C20460+C20457+IF(A20458&lt;&gt;"MO-3",C20458,0)</f>
        <v>2.75</v>
      </c>
      <c r="F20478" s="51">
        <f>VLOOKUP(A20478,'[1]Componentes APUs'!$A$1:$D$14,4,0)</f>
        <v>10101.010101010101</v>
      </c>
      <c r="G20478" s="51">
        <f>ROUNDUP(F20478*(E20478/21)/E20441,0)</f>
        <v>166</v>
      </c>
    </row>
    <row r="20479" spans="1:7" x14ac:dyDescent="0.25">
      <c r="A20479" s="69" t="s">
        <v>77</v>
      </c>
      <c r="B20479" s="72" t="str">
        <f>VLOOKUP(A20479,'[1]Componentes APUs'!$A$1:$D$14,2,0)</f>
        <v>Correa plastica y antiflama</v>
      </c>
      <c r="C20479" s="73"/>
      <c r="D20479" s="50" t="str">
        <f>VLOOKUP(A20479,'[1]Componentes APUs'!$A$1:$D$14,3,0)</f>
        <v>U</v>
      </c>
      <c r="E20479" s="50">
        <f>SUM(C20456:C20461)</f>
        <v>2.75</v>
      </c>
      <c r="F20479" s="51">
        <f>VLOOKUP(A20479,'[1]Componentes APUs'!$A$1:$D$14,4,0)</f>
        <v>3787.878787878788</v>
      </c>
      <c r="G20479" s="51">
        <f>ROUNDUP(F20479*(E20479/21)/E20441,0)</f>
        <v>63</v>
      </c>
    </row>
    <row r="20480" spans="1:7" x14ac:dyDescent="0.25">
      <c r="A20480" s="50" t="s">
        <v>79</v>
      </c>
      <c r="B20480" s="72" t="str">
        <f>VLOOKUP(A20480,'[1]Componentes APUs'!$A$1:$D$14,2,0)</f>
        <v>Gafas protectoras filtro UV</v>
      </c>
      <c r="C20480" s="73"/>
      <c r="D20480" s="50" t="str">
        <f>VLOOKUP(A20480,'[1]Componentes APUs'!$A$1:$D$14,3,0)</f>
        <v>U</v>
      </c>
      <c r="E20480" s="50">
        <f>SUM(C20456:C20461)</f>
        <v>2.75</v>
      </c>
      <c r="F20480" s="51">
        <f>VLOOKUP(A20480,'[1]Componentes APUs'!$A$1:$D$14,4,0)</f>
        <v>2777.7777777777778</v>
      </c>
      <c r="G20480" s="51">
        <f>ROUNDUP(F20480*(E20480/21)/E20441,0)</f>
        <v>46</v>
      </c>
    </row>
    <row r="20481" spans="1:7" x14ac:dyDescent="0.25">
      <c r="A20481" s="69" t="s">
        <v>402</v>
      </c>
      <c r="B20481" s="72" t="str">
        <f>VLOOKUP(A20481,'[1]Componentes APUs'!$A$1:$D$14,2,0)</f>
        <v>Bota de seguridad PVC dielectrica</v>
      </c>
      <c r="C20481" s="73"/>
      <c r="D20481" s="50" t="str">
        <f>VLOOKUP(A20481,'[1]Componentes APUs'!$A$1:$D$14,3,0)</f>
        <v>Par</v>
      </c>
      <c r="E20481" s="50">
        <f>SUM(C20456:C20461)</f>
        <v>2.75</v>
      </c>
      <c r="F20481" s="51">
        <f>VLOOKUP(A20481,'[1]Componentes APUs'!$A$1:$D$14,4,0)</f>
        <v>2916.6666666666665</v>
      </c>
      <c r="G20481" s="51">
        <f>ROUNDUP(F20481*(E20481/21)/E20441,0)</f>
        <v>48</v>
      </c>
    </row>
    <row r="20482" spans="1:7" x14ac:dyDescent="0.25">
      <c r="A20482" s="50" t="s">
        <v>403</v>
      </c>
      <c r="B20482" s="72" t="str">
        <f>VLOOKUP(A20482,'[1]Componentes APUs'!$A$1:$D$14,2,0)</f>
        <v>Capuchon</v>
      </c>
      <c r="C20482" s="73"/>
      <c r="D20482" s="50" t="str">
        <f>VLOOKUP(A20482,'[1]Componentes APUs'!$A$1:$D$14,3,0)</f>
        <v>U</v>
      </c>
      <c r="E20482" s="50">
        <f>SUM(C20456:C20461)</f>
        <v>2.75</v>
      </c>
      <c r="F20482" s="51">
        <f>VLOOKUP(A20482,'[1]Componentes APUs'!$A$1:$D$14,4,0)</f>
        <v>2525.2525252525252</v>
      </c>
      <c r="G20482" s="51">
        <f>ROUNDUP(F20482*(E20482/21)/E20441,0)</f>
        <v>42</v>
      </c>
    </row>
    <row r="20483" spans="1:7" x14ac:dyDescent="0.25">
      <c r="A20483" s="69" t="s">
        <v>81</v>
      </c>
      <c r="B20483" s="72" t="str">
        <f>VLOOKUP(A20483,'[1]Componentes APUs'!$A$1:$D$14,2,0)</f>
        <v>Guantes Protectores  - ingeniero reforzados</v>
      </c>
      <c r="C20483" s="73"/>
      <c r="D20483" s="50" t="str">
        <f>VLOOKUP(A20483,'[1]Componentes APUs'!$A$1:$D$14,3,0)</f>
        <v>Par</v>
      </c>
      <c r="E20483" s="50">
        <f>C20458+C20459+C20461</f>
        <v>2</v>
      </c>
      <c r="F20483" s="51">
        <f>VLOOKUP(A20483,'[1]Componentes APUs'!$A$1:$D$14,4,0)</f>
        <v>2525.2525252525252</v>
      </c>
      <c r="G20483" s="51">
        <f>ROUNDUP(F20483*(E20483/21)/E20441,0)</f>
        <v>31</v>
      </c>
    </row>
    <row r="20484" spans="1:7" x14ac:dyDescent="0.25">
      <c r="A20484" s="50" t="s">
        <v>83</v>
      </c>
      <c r="B20484" s="72" t="str">
        <f>VLOOKUP(A20484,'[1]Componentes APUs'!$A$1:$D$14,2,0)</f>
        <v>Impermeable (pantalon camisa)</v>
      </c>
      <c r="C20484" s="73"/>
      <c r="D20484" s="50" t="str">
        <f>VLOOKUP(A20484,'[1]Componentes APUs'!$A$1:$D$14,3,0)</f>
        <v>U</v>
      </c>
      <c r="E20484" s="50">
        <f>SUM(C20456:C20461)</f>
        <v>2.75</v>
      </c>
      <c r="F20484" s="51">
        <f>VLOOKUP(A20484,'[1]Componentes APUs'!$A$1:$D$14,4,0)</f>
        <v>3750</v>
      </c>
      <c r="G20484" s="51">
        <f>ROUNDUP(F20484*(E20484/21)/E20441,0)</f>
        <v>62</v>
      </c>
    </row>
    <row r="20485" spans="1:7" x14ac:dyDescent="0.25">
      <c r="A20485" s="69" t="s">
        <v>85</v>
      </c>
      <c r="B20485" s="72" t="str">
        <f>VLOOKUP(A20485,'[1]Componentes APUs'!$A$1:$D$14,2,0)</f>
        <v>Jean Dielectrico</v>
      </c>
      <c r="C20485" s="73"/>
      <c r="D20485" s="50" t="str">
        <f>VLOOKUP(A20485,'[1]Componentes APUs'!$A$1:$D$14,3,0)</f>
        <v>U</v>
      </c>
      <c r="E20485" s="50">
        <f>SUM(C20456:C20461)</f>
        <v>2.75</v>
      </c>
      <c r="F20485" s="51">
        <f>VLOOKUP(A20485,'[1]Componentes APUs'!$A$1:$D$14,4,0)</f>
        <v>7575.757575757576</v>
      </c>
      <c r="G20485" s="51">
        <f>ROUNDUP(F20485*(E20485/21)/E20441,0)</f>
        <v>125</v>
      </c>
    </row>
    <row r="20486" spans="1:7" x14ac:dyDescent="0.25">
      <c r="A20486" s="50" t="s">
        <v>87</v>
      </c>
      <c r="B20486" s="72" t="str">
        <f>VLOOKUP(A20486,'[1]Componentes APUs'!$A$1:$D$14,2,0)</f>
        <v>Casco dielectrico Tipo 2 Clase E con barboquejo</v>
      </c>
      <c r="C20486" s="73"/>
      <c r="D20486" s="50" t="str">
        <f>VLOOKUP(A20486,'[1]Componentes APUs'!$A$1:$D$14,3,0)</f>
        <v>U</v>
      </c>
      <c r="E20486" s="53">
        <f>IF(A20458="MO-3",C20458,0)</f>
        <v>0</v>
      </c>
      <c r="F20486" s="51">
        <f>VLOOKUP(A20486,'[1]Componentes APUs'!$A$1:$D$14,4,0)</f>
        <v>7500</v>
      </c>
      <c r="G20486" s="51">
        <f>ROUNDUP(F20486*(E20486/21)/E20441,0)</f>
        <v>0</v>
      </c>
    </row>
    <row r="20487" spans="1:7" x14ac:dyDescent="0.25">
      <c r="A20487" s="69" t="s">
        <v>89</v>
      </c>
      <c r="B20487" s="72" t="str">
        <f>VLOOKUP(A20487,'[1]Componentes APUs'!$A$1:$D$14,2,0)</f>
        <v>Kit de rescate para trabajo en alturas</v>
      </c>
      <c r="C20487" s="73"/>
      <c r="D20487" s="50" t="str">
        <f>VLOOKUP(A20487,'[1]Componentes APUs'!$A$1:$D$14,3,0)</f>
        <v>U</v>
      </c>
      <c r="E20487" s="50">
        <f>IF(AND(A20458="MO-3",C20458=2),1,0)</f>
        <v>0</v>
      </c>
      <c r="F20487" s="51">
        <f>VLOOKUP(A20487,'[1]Componentes APUs'!$A$1:$D$14,4,0)</f>
        <v>37500</v>
      </c>
      <c r="G20487" s="51">
        <f>ROUNDUP(F20487*(E20487/21)/E20441,0)</f>
        <v>0</v>
      </c>
    </row>
    <row r="20488" spans="1:7" x14ac:dyDescent="0.25">
      <c r="A20488" s="50" t="s">
        <v>91</v>
      </c>
      <c r="B20488" s="72" t="str">
        <f>VLOOKUP(A20488,'[1]Componentes APUs'!$A$1:$D$14,2,0)</f>
        <v>Equipo completo para trabajo en alturas con pretales (Arnes dielectrico, 1 mosqueton de seguridad, tie off dielectrico, eslinga de posicionamiento, juego de pretales)</v>
      </c>
      <c r="C20488" s="73"/>
      <c r="D20488" s="50" t="str">
        <f>VLOOKUP(A20488,'[1]Componentes APUs'!$A$1:$D$14,3,0)</f>
        <v>U</v>
      </c>
      <c r="E20488" s="50">
        <f>IF(A20458="MO-3",C20458,0)</f>
        <v>0</v>
      </c>
      <c r="F20488" s="51">
        <f>VLOOKUP(A20488,'[1]Componentes APUs'!$A$1:$D$14,4,0)</f>
        <v>26041.666666666668</v>
      </c>
      <c r="G20488" s="51">
        <f>ROUNDUP(F20488*(E20488/21)/E20441,0)</f>
        <v>0</v>
      </c>
    </row>
    <row r="20489" spans="1:7" x14ac:dyDescent="0.25">
      <c r="A20489" s="234" t="s">
        <v>95</v>
      </c>
      <c r="B20489" s="236"/>
      <c r="C20489" s="236"/>
      <c r="D20489" s="236"/>
      <c r="E20489" s="236"/>
      <c r="F20489" s="235"/>
      <c r="G20489" s="52">
        <f>SUM(G20476:G20488)</f>
        <v>847</v>
      </c>
    </row>
    <row r="20490" spans="1:7" x14ac:dyDescent="0.25">
      <c r="A20490" s="56"/>
      <c r="B20490" s="57"/>
      <c r="C20490" s="57"/>
      <c r="D20490" s="57"/>
      <c r="E20490" s="57"/>
      <c r="F20490" s="57"/>
      <c r="G20490" s="58"/>
    </row>
    <row r="20491" spans="1:7" x14ac:dyDescent="0.25">
      <c r="A20491" s="234" t="s">
        <v>96</v>
      </c>
      <c r="B20491" s="236"/>
      <c r="C20491" s="236"/>
      <c r="D20491" s="236"/>
      <c r="E20491" s="236"/>
      <c r="F20491" s="236"/>
      <c r="G20491" s="235"/>
    </row>
    <row r="20492" spans="1:7" x14ac:dyDescent="0.25">
      <c r="A20492" s="49" t="s">
        <v>35</v>
      </c>
      <c r="B20492" s="234" t="s">
        <v>36</v>
      </c>
      <c r="C20492" s="235"/>
      <c r="D20492" s="49" t="s">
        <v>37</v>
      </c>
      <c r="E20492" s="49" t="s">
        <v>38</v>
      </c>
      <c r="F20492" s="49" t="s">
        <v>39</v>
      </c>
      <c r="G20492" s="49" t="s">
        <v>40</v>
      </c>
    </row>
    <row r="20493" spans="1:7" x14ac:dyDescent="0.25">
      <c r="A20493" s="69" t="s">
        <v>97</v>
      </c>
      <c r="B20493" s="72" t="str">
        <f>VLOOKUP(A20493,'[1]Componentes APUs'!$N$1:$Q$30,2,0)</f>
        <v>Camioneta</v>
      </c>
      <c r="C20493" s="73"/>
      <c r="D20493" s="70" t="str">
        <f>VLOOKUP(A20493,'[1]Componentes APUs'!$N$1:$Q$30,3,0)</f>
        <v>U</v>
      </c>
      <c r="E20493" s="50">
        <v>1</v>
      </c>
      <c r="F20493" s="51">
        <f>VLOOKUP(A20493,'[1]Componentes APUs'!$N$1:$Q$30,4,0)</f>
        <v>5500000</v>
      </c>
      <c r="G20493" s="51">
        <f>IFERROR(ROUNDUP(F20493*(E20493/21)/E20441,0),0)</f>
        <v>32739</v>
      </c>
    </row>
    <row r="20494" spans="1:7" x14ac:dyDescent="0.25">
      <c r="A20494" s="50" t="s">
        <v>321</v>
      </c>
      <c r="B20494" s="72" t="str">
        <f>VLOOKUP(A20494,'[1]Componentes APUs'!$N$1:$Q$30,2,0)</f>
        <v>Grúa Hidráulica</v>
      </c>
      <c r="C20494" s="73"/>
      <c r="D20494" s="70" t="str">
        <f>VLOOKUP(A20494,'[1]Componentes APUs'!$N$1:$Q$30,3,0)</f>
        <v>U</v>
      </c>
      <c r="E20494" s="50">
        <v>0</v>
      </c>
      <c r="F20494" s="51">
        <f>VLOOKUP(A20494,'[1]Componentes APUs'!$N$1:$Q$30,4,0)</f>
        <v>21000000</v>
      </c>
      <c r="G20494" s="51">
        <f>IFERROR(ROUNDUP(F20494*(E20494/21)/E20441,0),0)</f>
        <v>0</v>
      </c>
    </row>
    <row r="20495" spans="1:7" x14ac:dyDescent="0.25">
      <c r="A20495" s="69" t="s">
        <v>322</v>
      </c>
      <c r="B20495" s="72" t="str">
        <f>VLOOKUP(A20495,'[1]Componentes APUs'!$N$1:$Q$30,2,0)</f>
        <v>Camabaja</v>
      </c>
      <c r="C20495" s="73"/>
      <c r="D20495" s="70" t="str">
        <f>VLOOKUP(A20495,'[1]Componentes APUs'!$N$1:$Q$30,3,0)</f>
        <v>TON/KM</v>
      </c>
      <c r="E20495" s="50">
        <v>0</v>
      </c>
      <c r="F20495" s="51">
        <f>VLOOKUP(A20495,'[1]Componentes APUs'!$N$1:$Q$30,4,0)</f>
        <v>611</v>
      </c>
      <c r="G20495" s="51">
        <f>IFERROR(ROUNDUP(F20495*(E20495/21)/E20441,0),0)</f>
        <v>0</v>
      </c>
    </row>
    <row r="20496" spans="1:7" x14ac:dyDescent="0.25">
      <c r="A20496" s="50" t="s">
        <v>323</v>
      </c>
      <c r="B20496" s="72" t="str">
        <f>VLOOKUP(A20496,'[1]Componentes APUs'!$N$1:$Q$30,2,0)</f>
        <v>Volqueta</v>
      </c>
      <c r="C20496" s="73"/>
      <c r="D20496" s="70" t="str">
        <f>VLOOKUP(A20496,'[1]Componentes APUs'!$N$1:$Q$30,3,0)</f>
        <v>U</v>
      </c>
      <c r="E20496" s="50">
        <v>0</v>
      </c>
      <c r="F20496" s="51">
        <f>VLOOKUP(A20496,'[1]Componentes APUs'!$N$1:$Q$30,4,0)</f>
        <v>18900000</v>
      </c>
      <c r="G20496" s="51">
        <f>IFERROR(ROUNDUP(F20496*(E20496/21)/E20441,0),0)</f>
        <v>0</v>
      </c>
    </row>
    <row r="20497" spans="1:7" x14ac:dyDescent="0.25">
      <c r="A20497" s="69" t="s">
        <v>324</v>
      </c>
      <c r="B20497" s="72" t="str">
        <f>VLOOKUP(A20497,'[1]Componentes APUs'!$N$1:$Q$30,2,0)</f>
        <v>Retroexcavadora</v>
      </c>
      <c r="C20497" s="73"/>
      <c r="D20497" s="70" t="str">
        <f>VLOOKUP(A20497,'[1]Componentes APUs'!$N$1:$Q$30,3,0)</f>
        <v>U</v>
      </c>
      <c r="E20497" s="50">
        <v>0</v>
      </c>
      <c r="F20497" s="51">
        <f>VLOOKUP(A20497,'[1]Componentes APUs'!$N$1:$Q$30,4,0)</f>
        <v>1494459.54</v>
      </c>
      <c r="G20497" s="51">
        <f>IFERROR(ROUNDUP(F20497*(E20497/21)/E20441,0),0)</f>
        <v>0</v>
      </c>
    </row>
    <row r="20498" spans="1:7" x14ac:dyDescent="0.25">
      <c r="A20498" s="234" t="s">
        <v>99</v>
      </c>
      <c r="B20498" s="236"/>
      <c r="C20498" s="236"/>
      <c r="D20498" s="236"/>
      <c r="E20498" s="236"/>
      <c r="F20498" s="235"/>
      <c r="G20498" s="52">
        <f>SUM(G20493:G20497)</f>
        <v>32739</v>
      </c>
    </row>
    <row r="20499" spans="1:7" x14ac:dyDescent="0.25">
      <c r="A20499" s="56"/>
      <c r="B20499" s="57"/>
      <c r="C20499" s="57"/>
      <c r="D20499" s="57"/>
      <c r="E20499" s="57"/>
      <c r="F20499" s="57"/>
      <c r="G20499" s="58"/>
    </row>
    <row r="20500" spans="1:7" x14ac:dyDescent="0.25">
      <c r="A20500" s="234" t="s">
        <v>1516</v>
      </c>
      <c r="B20500" s="236"/>
      <c r="C20500" s="236"/>
      <c r="D20500" s="236"/>
      <c r="E20500" s="236"/>
      <c r="F20500" s="235"/>
      <c r="G20500" s="52">
        <f>G20498+G20489+G20472+G20462+G20452</f>
        <v>227323</v>
      </c>
    </row>
    <row r="20501" spans="1:7" x14ac:dyDescent="0.25">
      <c r="A20501" s="59"/>
      <c r="B20501" s="60"/>
      <c r="C20501" s="60"/>
      <c r="D20501" s="60"/>
      <c r="E20501" s="57"/>
      <c r="F20501" s="57"/>
      <c r="G20501" s="58"/>
    </row>
    <row r="20502" spans="1:7" x14ac:dyDescent="0.25">
      <c r="A20502" s="64"/>
      <c r="D20502" s="55"/>
      <c r="E20502" s="49" t="s">
        <v>25</v>
      </c>
      <c r="F20502" s="54">
        <v>0.15</v>
      </c>
      <c r="G20502" s="51">
        <f>G20500*F20502</f>
        <v>34098.449999999997</v>
      </c>
    </row>
    <row r="20503" spans="1:7" x14ac:dyDescent="0.25">
      <c r="A20503" s="64"/>
      <c r="D20503" s="55"/>
      <c r="E20503" s="49" t="s">
        <v>26</v>
      </c>
      <c r="F20503" s="54">
        <v>0.05</v>
      </c>
      <c r="G20503" s="51">
        <f>G20500*F20503</f>
        <v>11366.150000000001</v>
      </c>
    </row>
    <row r="20504" spans="1:7" x14ac:dyDescent="0.25">
      <c r="A20504" s="61"/>
      <c r="B20504" s="65"/>
      <c r="C20504" s="65"/>
      <c r="D20504" s="62"/>
      <c r="E20504" s="49" t="s">
        <v>27</v>
      </c>
      <c r="F20504" s="54">
        <v>0.05</v>
      </c>
      <c r="G20504" s="51">
        <f>G20500*F20504</f>
        <v>11366.150000000001</v>
      </c>
    </row>
    <row r="20505" spans="1:7" x14ac:dyDescent="0.25">
      <c r="A20505" s="61"/>
      <c r="B20505" s="62"/>
      <c r="C20505" s="62"/>
      <c r="D20505" s="62"/>
      <c r="E20505" s="62"/>
      <c r="F20505" s="62"/>
      <c r="G20505" s="63"/>
    </row>
    <row r="20506" spans="1:7" x14ac:dyDescent="0.25">
      <c r="A20506" s="234" t="s">
        <v>1517</v>
      </c>
      <c r="B20506" s="236"/>
      <c r="C20506" s="236"/>
      <c r="D20506" s="236"/>
      <c r="E20506" s="236"/>
      <c r="F20506" s="235"/>
      <c r="G20506" s="52">
        <f>G20500+G20502+G20503+G20504</f>
        <v>284153.75000000006</v>
      </c>
    </row>
    <row r="20507" spans="1:7" x14ac:dyDescent="0.25">
      <c r="A20507" s="59"/>
      <c r="B20507" s="60"/>
      <c r="C20507" s="60"/>
      <c r="D20507" s="60"/>
      <c r="E20507" s="57"/>
      <c r="F20507" s="57"/>
      <c r="G20507" s="58"/>
    </row>
    <row r="20508" spans="1:7" x14ac:dyDescent="0.25">
      <c r="A20508" s="64"/>
      <c r="D20508" s="55"/>
      <c r="E20508" s="49" t="s">
        <v>102</v>
      </c>
      <c r="F20508" s="49" t="s">
        <v>103</v>
      </c>
      <c r="G20508" s="51">
        <f>G20504*19%</f>
        <v>2159.5685000000003</v>
      </c>
    </row>
    <row r="20509" spans="1:7" x14ac:dyDescent="0.25">
      <c r="A20509" s="61"/>
      <c r="B20509" s="62"/>
      <c r="C20509" s="62"/>
      <c r="D20509" s="62"/>
      <c r="E20509" s="57"/>
      <c r="F20509" s="57"/>
      <c r="G20509" s="58"/>
    </row>
    <row r="20510" spans="1:7" x14ac:dyDescent="0.25">
      <c r="A20510" s="234" t="s">
        <v>104</v>
      </c>
      <c r="B20510" s="236"/>
      <c r="C20510" s="236"/>
      <c r="D20510" s="236"/>
      <c r="E20510" s="236"/>
      <c r="F20510" s="235"/>
      <c r="G20510" s="52">
        <f>G20508+G20506</f>
        <v>286313.31850000005</v>
      </c>
    </row>
    <row r="20512" spans="1:7" x14ac:dyDescent="0.25">
      <c r="A20512" s="74" t="s">
        <v>29</v>
      </c>
      <c r="B20512" s="237" t="s">
        <v>30</v>
      </c>
      <c r="C20512" s="238"/>
      <c r="D20512" s="74" t="s">
        <v>31</v>
      </c>
      <c r="E20512" s="74" t="s">
        <v>32</v>
      </c>
      <c r="F20512" s="74" t="s">
        <v>189</v>
      </c>
      <c r="G20512" s="74" t="s">
        <v>33</v>
      </c>
    </row>
    <row r="20513" spans="1:7" ht="36" customHeight="1" x14ac:dyDescent="0.25">
      <c r="A20513" s="50" t="str">
        <f>Presupuesto!B392</f>
        <v>059_AUX</v>
      </c>
      <c r="B20513" s="220" t="str">
        <f>Presupuesto!C392</f>
        <v>SUMINISTRO E INSTALACIÓN DE EXTRACTOR DE AIRE DE 24" . EN TUBERÍA EMT DE 3/4" , CLAVIJA POLO A TIERRA, CABLE 3X10 AWG (Longitud Promedio 3 m)</v>
      </c>
      <c r="C20513" s="239"/>
      <c r="D20513" s="50" t="s">
        <v>8</v>
      </c>
      <c r="E20513" s="50">
        <v>2</v>
      </c>
      <c r="F20513" s="50"/>
      <c r="G20513" s="51">
        <f>G20580</f>
        <v>4190677.6724999999</v>
      </c>
    </row>
    <row r="20514" spans="1:7" x14ac:dyDescent="0.25">
      <c r="A20514" s="219" t="s">
        <v>34</v>
      </c>
      <c r="B20514" s="219"/>
      <c r="C20514" s="219"/>
      <c r="D20514" s="219"/>
      <c r="E20514" s="219"/>
      <c r="F20514" s="219"/>
      <c r="G20514" s="219"/>
    </row>
    <row r="20515" spans="1:7" x14ac:dyDescent="0.25">
      <c r="A20515" s="49" t="s">
        <v>35</v>
      </c>
      <c r="B20515" s="234" t="s">
        <v>36</v>
      </c>
      <c r="C20515" s="235"/>
      <c r="D20515" s="49" t="s">
        <v>37</v>
      </c>
      <c r="E20515" s="49" t="s">
        <v>38</v>
      </c>
      <c r="F20515" s="49" t="s">
        <v>39</v>
      </c>
      <c r="G20515" s="49" t="s">
        <v>40</v>
      </c>
    </row>
    <row r="20516" spans="1:7" x14ac:dyDescent="0.25">
      <c r="A20516" s="17" t="str">
        <f>Material!A398</f>
        <v>MA-397</v>
      </c>
      <c r="B20516" s="72" t="str">
        <f>IFERROR(VLOOKUP(A20516,Material!$A:$H,2,0),"-")</f>
        <v>EXTRACTOR DE AIRE A PRUEBA DE EXPLOSIONES 24"</v>
      </c>
      <c r="C20516" s="73"/>
      <c r="D20516" s="50" t="str">
        <f>IFERROR(VLOOKUP(A20516,Material!$A:$H,4,0),"-")</f>
        <v>UN</v>
      </c>
      <c r="E20516" s="50">
        <v>1</v>
      </c>
      <c r="F20516" s="51">
        <f>IFERROR(VLOOKUP(A20516,Material!$A:$H,3,0),"-")</f>
        <v>2614287</v>
      </c>
      <c r="G20516" s="51">
        <f t="shared" ref="G20516:G20521" si="303">IFERROR(ROUNDUP(F20516*E20516,0),"-")</f>
        <v>2614287</v>
      </c>
    </row>
    <row r="20517" spans="1:7" x14ac:dyDescent="0.25">
      <c r="A20517" s="17" t="str">
        <f>Material!A149</f>
        <v>MA-148</v>
      </c>
      <c r="B20517" s="72" t="str">
        <f>IFERROR(VLOOKUP(A20517,Material!$A:$H,2,0),"-")</f>
        <v>CLAVIJA CON POLO A TIERRA</v>
      </c>
      <c r="C20517" s="76"/>
      <c r="D20517" s="50" t="str">
        <f>IFERROR(VLOOKUP(A20517,Material!$A:$H,4,0),"-")</f>
        <v>UN</v>
      </c>
      <c r="E20517" s="50">
        <v>1</v>
      </c>
      <c r="F20517" s="51">
        <f>IFERROR(VLOOKUP(A20517,Material!$A:$H,3,0),"-")</f>
        <v>6825</v>
      </c>
      <c r="G20517" s="51">
        <f t="shared" si="303"/>
        <v>6825</v>
      </c>
    </row>
    <row r="20518" spans="1:7" x14ac:dyDescent="0.25">
      <c r="A20518" s="17" t="str">
        <f>Material!A44</f>
        <v>MA-43</v>
      </c>
      <c r="B20518" s="72" t="str">
        <f>IFERROR(VLOOKUP(A20518,Material!$A:$H,2,0),"-")</f>
        <v>CABLE 3x10 AWG Cu- TC-THHN/THWN - 600 V</v>
      </c>
      <c r="C20518" s="76"/>
      <c r="D20518" s="50" t="str">
        <f>IFERROR(VLOOKUP(A20518,Material!$A:$H,4,0),"-")</f>
        <v>ML</v>
      </c>
      <c r="E20518" s="50">
        <v>0.5</v>
      </c>
      <c r="F20518" s="51">
        <f>IFERROR(VLOOKUP(A20518,Material!$A:$H,3,0),"-")</f>
        <v>26000</v>
      </c>
      <c r="G20518" s="51">
        <f t="shared" si="303"/>
        <v>13000</v>
      </c>
    </row>
    <row r="20519" spans="1:7" x14ac:dyDescent="0.25">
      <c r="A20519" s="17"/>
      <c r="B20519" s="72" t="str">
        <f>IFERROR(VLOOKUP(A20519,Material!$A:$H,2,0),"-")</f>
        <v>-</v>
      </c>
      <c r="C20519" s="76"/>
      <c r="D20519" s="50" t="str">
        <f>IFERROR(VLOOKUP(A20519,Material!$A:$H,4,0),"-")</f>
        <v>-</v>
      </c>
      <c r="E20519" s="50"/>
      <c r="F20519" s="51" t="str">
        <f>IFERROR(VLOOKUP(A20519,Material!$A:$H,3,0),"-")</f>
        <v>-</v>
      </c>
      <c r="G20519" s="51" t="str">
        <f t="shared" si="303"/>
        <v>-</v>
      </c>
    </row>
    <row r="20520" spans="1:7" x14ac:dyDescent="0.25">
      <c r="A20520" s="17"/>
      <c r="B20520" s="72" t="str">
        <f>IFERROR(VLOOKUP(A20520,Material!$A:$H,2,0),"-")</f>
        <v>-</v>
      </c>
      <c r="C20520" s="76"/>
      <c r="D20520" s="50" t="str">
        <f>IFERROR(VLOOKUP(A20520,Material!$A:$H,4,0),"-")</f>
        <v>-</v>
      </c>
      <c r="E20520" s="50"/>
      <c r="F20520" s="51" t="str">
        <f>IFERROR(VLOOKUP(A20520,Material!$A:$H,3,0),"-")</f>
        <v>-</v>
      </c>
      <c r="G20520" s="51" t="str">
        <f t="shared" si="303"/>
        <v>-</v>
      </c>
    </row>
    <row r="20521" spans="1:7" x14ac:dyDescent="0.25">
      <c r="A20521" s="17"/>
      <c r="B20521" s="72" t="str">
        <f>IFERROR(VLOOKUP(A20521,Material!$A:$H,2,0),"-")</f>
        <v>-</v>
      </c>
      <c r="C20521" s="76"/>
      <c r="D20521" s="50" t="str">
        <f>IFERROR(VLOOKUP(A20521,Material!$A:$H,4,0),"-")</f>
        <v>-</v>
      </c>
      <c r="E20521" s="50"/>
      <c r="F20521" s="51" t="str">
        <f>IFERROR(VLOOKUP(A20521,Material!$A:$H,3,0),"-")</f>
        <v>-</v>
      </c>
      <c r="G20521" s="51" t="str">
        <f t="shared" si="303"/>
        <v>-</v>
      </c>
    </row>
    <row r="20522" spans="1:7" x14ac:dyDescent="0.25">
      <c r="A20522" s="234" t="s">
        <v>41</v>
      </c>
      <c r="B20522" s="236"/>
      <c r="C20522" s="236"/>
      <c r="D20522" s="236"/>
      <c r="E20522" s="236"/>
      <c r="F20522" s="235"/>
      <c r="G20522" s="52">
        <f>SUM(G20516:G20521)</f>
        <v>2634112</v>
      </c>
    </row>
    <row r="20523" spans="1:7" x14ac:dyDescent="0.25">
      <c r="A20523" s="56"/>
      <c r="B20523" s="57"/>
      <c r="C20523" s="57"/>
      <c r="D20523" s="57"/>
      <c r="E20523" s="57"/>
      <c r="F20523" s="57"/>
      <c r="G20523" s="58"/>
    </row>
    <row r="20524" spans="1:7" x14ac:dyDescent="0.25">
      <c r="A20524" s="219" t="s">
        <v>42</v>
      </c>
      <c r="B20524" s="219"/>
      <c r="C20524" s="219"/>
      <c r="D20524" s="219"/>
      <c r="E20524" s="219"/>
      <c r="F20524" s="219"/>
      <c r="G20524" s="219"/>
    </row>
    <row r="20525" spans="1:7" x14ac:dyDescent="0.25">
      <c r="A20525" s="49" t="s">
        <v>35</v>
      </c>
      <c r="B20525" s="49" t="s">
        <v>36</v>
      </c>
      <c r="C20525" s="49" t="s">
        <v>38</v>
      </c>
      <c r="D20525" s="49" t="s">
        <v>43</v>
      </c>
      <c r="E20525" s="49" t="s">
        <v>44</v>
      </c>
      <c r="F20525" s="49" t="s">
        <v>45</v>
      </c>
      <c r="G20525" s="49" t="s">
        <v>40</v>
      </c>
    </row>
    <row r="20526" spans="1:7" x14ac:dyDescent="0.25">
      <c r="A20526" s="50" t="s">
        <v>319</v>
      </c>
      <c r="B20526" s="68" t="str">
        <f>VLOOKUP(A20526,'Componentes APUs'!$H$1:$L$25,2,0)</f>
        <v>Ingeniero Residente de Obra</v>
      </c>
      <c r="C20526" s="93">
        <v>0.25</v>
      </c>
      <c r="D20526" s="50">
        <f>VLOOKUP(A20526,'Componentes APUs'!$H$1:$L$25,3,0)</f>
        <v>4</v>
      </c>
      <c r="E20526" s="51">
        <f>VLOOKUP(A20526,'Componentes APUs'!$H$1:$L$25,4,0)</f>
        <v>271142.85714285716</v>
      </c>
      <c r="F20526" s="51">
        <f>VLOOKUP(A20526,'Componentes APUs'!$H$1:$L$25,5,0)</f>
        <v>162685.71428571429</v>
      </c>
      <c r="G20526" s="51">
        <f>ROUNDUP((E20526+F20526)*C20526/E20513,0)</f>
        <v>54229</v>
      </c>
    </row>
    <row r="20527" spans="1:7" x14ac:dyDescent="0.25">
      <c r="A20527" s="50" t="s">
        <v>320</v>
      </c>
      <c r="B20527" s="68" t="str">
        <f>VLOOKUP(A20527,'Componentes APUs'!$H$1:$L$25,2,0)</f>
        <v>Tecnico Supervisor</v>
      </c>
      <c r="C20527" s="93">
        <v>0.25</v>
      </c>
      <c r="D20527" s="50">
        <f>VLOOKUP(A20527,'Componentes APUs'!$H$1:$L$25,3,0)</f>
        <v>2.2999999999999998</v>
      </c>
      <c r="E20527" s="51">
        <f>VLOOKUP(A20527,'Componentes APUs'!$H$1:$L$25,4,0)</f>
        <v>155907.14285714284</v>
      </c>
      <c r="F20527" s="51">
        <f>VLOOKUP(A20527,'Componentes APUs'!$H$1:$L$25,5,0)</f>
        <v>93544.285714285696</v>
      </c>
      <c r="G20527" s="51">
        <f>ROUNDUP((E20527+F20527)*C20527/E20513,0)</f>
        <v>31182</v>
      </c>
    </row>
    <row r="20528" spans="1:7" x14ac:dyDescent="0.25">
      <c r="A20528" s="50" t="s">
        <v>1160</v>
      </c>
      <c r="B20528" s="68" t="str">
        <f>VLOOKUP(A20528,'Componentes APUs'!$H$1:$L$25,2,0)</f>
        <v>Oficial Eléctrico</v>
      </c>
      <c r="C20528" s="93">
        <v>2</v>
      </c>
      <c r="D20528" s="50">
        <f>VLOOKUP(A20528,'Componentes APUs'!$H$1:$L$25,3,0)</f>
        <v>2</v>
      </c>
      <c r="E20528" s="51">
        <f>VLOOKUP(A20528,'Componentes APUs'!$H$1:$L$25,4,0)</f>
        <v>154619.04761904763</v>
      </c>
      <c r="F20528" s="51">
        <f>VLOOKUP(A20528,'Componentes APUs'!$H$1:$L$25,5,0)</f>
        <v>92771.42857142858</v>
      </c>
      <c r="G20528" s="51">
        <f>ROUNDUP((E20528+F20528)*C20528/E20513,0)</f>
        <v>247391</v>
      </c>
    </row>
    <row r="20529" spans="1:7" x14ac:dyDescent="0.25">
      <c r="A20529" s="50" t="s">
        <v>48</v>
      </c>
      <c r="B20529" s="68" t="str">
        <f>VLOOKUP(A20529,'Componentes APUs'!$H$1:$L$25,2,0)</f>
        <v>Ayudante Calificado</v>
      </c>
      <c r="C20529" s="93">
        <v>2</v>
      </c>
      <c r="D20529" s="50">
        <f>VLOOKUP(A20529,'Componentes APUs'!$H$1:$L$25,3,0)</f>
        <v>1.5</v>
      </c>
      <c r="E20529" s="51">
        <f>VLOOKUP(A20529,'Componentes APUs'!$H$1:$L$25,4,0)</f>
        <v>115964.28571428571</v>
      </c>
      <c r="F20529" s="51">
        <f>VLOOKUP(A20529,'Componentes APUs'!$H$1:$L$25,5,0)</f>
        <v>69578.57142857142</v>
      </c>
      <c r="G20529" s="51">
        <f>ROUNDUP((E20529+F20529)*C20529/E20513,0)</f>
        <v>185543</v>
      </c>
    </row>
    <row r="20530" spans="1:7" x14ac:dyDescent="0.25">
      <c r="A20530" s="50" t="s">
        <v>50</v>
      </c>
      <c r="B20530" s="68" t="str">
        <f>VLOOKUP(A20530,'Componentes APUs'!$H$1:$L$25,2,0)</f>
        <v>Profesional en SST</v>
      </c>
      <c r="C20530" s="93">
        <v>0.25</v>
      </c>
      <c r="D20530" s="50">
        <f>VLOOKUP(A20530,'Componentes APUs'!$H$1:$L$25,3,0)</f>
        <v>2.5</v>
      </c>
      <c r="E20530" s="51">
        <f>VLOOKUP(A20530,'Componentes APUs'!$H$1:$L$25,4,0)</f>
        <v>169464.28571428571</v>
      </c>
      <c r="F20530" s="51">
        <f>VLOOKUP(A20530,'Componentes APUs'!$H$1:$L$25,5,0)</f>
        <v>101678.57142857142</v>
      </c>
      <c r="G20530" s="51">
        <f>ROUNDUP((E20530+F20530)*C20530/E20513,0)</f>
        <v>33893</v>
      </c>
    </row>
    <row r="20531" spans="1:7" x14ac:dyDescent="0.25">
      <c r="A20531" s="50" t="s">
        <v>52</v>
      </c>
      <c r="B20531" s="68" t="str">
        <f>VLOOKUP(A20531,'Componentes APUs'!$H$1:$L$25,2,0)</f>
        <v>Ayudante No Calificado</v>
      </c>
      <c r="C20531" s="93">
        <v>0</v>
      </c>
      <c r="D20531" s="50">
        <f>VLOOKUP(A20531,'Componentes APUs'!$H$1:$L$25,3,0)</f>
        <v>1</v>
      </c>
      <c r="E20531" s="51">
        <f>VLOOKUP(A20531,'Componentes APUs'!$H$1:$L$25,4,0)</f>
        <v>77309.523809523816</v>
      </c>
      <c r="F20531" s="51">
        <f>VLOOKUP(A20531,'Componentes APUs'!$H$1:$L$25,5,0)</f>
        <v>46385.71428571429</v>
      </c>
      <c r="G20531" s="51">
        <f>ROUNDUP((E20531+F20531)*C20531/E20513,0)</f>
        <v>0</v>
      </c>
    </row>
    <row r="20532" spans="1:7" x14ac:dyDescent="0.25">
      <c r="A20532" s="219" t="s">
        <v>56</v>
      </c>
      <c r="B20532" s="219"/>
      <c r="C20532" s="219"/>
      <c r="D20532" s="219"/>
      <c r="E20532" s="219"/>
      <c r="F20532" s="219"/>
      <c r="G20532" s="52">
        <f>SUM(G20526:G20531)</f>
        <v>552238</v>
      </c>
    </row>
    <row r="20533" spans="1:7" x14ac:dyDescent="0.25">
      <c r="A20533" s="56"/>
      <c r="B20533" s="57"/>
      <c r="C20533" s="57"/>
      <c r="D20533" s="57"/>
      <c r="E20533" s="57"/>
      <c r="F20533" s="57"/>
      <c r="G20533" s="58"/>
    </row>
    <row r="20534" spans="1:7" x14ac:dyDescent="0.25">
      <c r="A20534" s="219" t="s">
        <v>57</v>
      </c>
      <c r="B20534" s="219"/>
      <c r="C20534" s="219"/>
      <c r="D20534" s="219"/>
      <c r="E20534" s="219"/>
      <c r="F20534" s="219"/>
      <c r="G20534" s="219"/>
    </row>
    <row r="20535" spans="1:7" x14ac:dyDescent="0.25">
      <c r="A20535" s="49" t="s">
        <v>35</v>
      </c>
      <c r="B20535" s="219" t="s">
        <v>36</v>
      </c>
      <c r="C20535" s="219"/>
      <c r="D20535" s="49" t="s">
        <v>37</v>
      </c>
      <c r="E20535" s="49" t="s">
        <v>38</v>
      </c>
      <c r="F20535" s="49" t="s">
        <v>39</v>
      </c>
      <c r="G20535" s="49" t="s">
        <v>40</v>
      </c>
    </row>
    <row r="20536" spans="1:7" x14ac:dyDescent="0.25">
      <c r="A20536" s="50" t="s">
        <v>326</v>
      </c>
      <c r="B20536" s="220" t="str">
        <f>VLOOKUP(A20536,'Componentes APUs'!$S$1:$V$10,2,0)</f>
        <v>Juego Llaves</v>
      </c>
      <c r="C20536" s="220"/>
      <c r="D20536" s="50" t="s">
        <v>18</v>
      </c>
      <c r="E20536" s="50">
        <v>2</v>
      </c>
      <c r="F20536" s="51">
        <f>VLOOKUP(A20536,'Componentes APUs'!$S$1:$V$10,4,0)</f>
        <v>9167</v>
      </c>
      <c r="G20536" s="51">
        <f>ROUNDUP(F20536*((E20536/21)/E20513),0)</f>
        <v>437</v>
      </c>
    </row>
    <row r="20537" spans="1:7" x14ac:dyDescent="0.25">
      <c r="A20537" s="50" t="s">
        <v>58</v>
      </c>
      <c r="B20537" s="220" t="str">
        <f>VLOOKUP(A20537,'Componentes APUs'!$S$1:$V$10,2,0)</f>
        <v>Manila de servicio</v>
      </c>
      <c r="C20537" s="220"/>
      <c r="D20537" s="50" t="s">
        <v>18</v>
      </c>
      <c r="E20537" s="50">
        <v>0</v>
      </c>
      <c r="F20537" s="51">
        <f>VLOOKUP(A20537,'Componentes APUs'!$S$1:$V$10,4,0)</f>
        <v>2333</v>
      </c>
      <c r="G20537" s="51">
        <f>ROUNDUP(F20537*((E20537/21)/E20513),0)</f>
        <v>0</v>
      </c>
    </row>
    <row r="20538" spans="1:7" x14ac:dyDescent="0.25">
      <c r="A20538" s="50" t="s">
        <v>327</v>
      </c>
      <c r="B20538" s="220" t="str">
        <f>VLOOKUP(A20538,'Componentes APUs'!$S$1:$V$10,2,0)</f>
        <v>Tula portaherramientas</v>
      </c>
      <c r="C20538" s="220"/>
      <c r="D20538" s="50" t="s">
        <v>18</v>
      </c>
      <c r="E20538" s="50">
        <v>2</v>
      </c>
      <c r="F20538" s="51">
        <f>VLOOKUP(A20538,'Componentes APUs'!$S$1:$V$10,4,0)</f>
        <v>1250</v>
      </c>
      <c r="G20538" s="51">
        <f>ROUNDUP(F20538*((E20538/21)/E20513),0)</f>
        <v>60</v>
      </c>
    </row>
    <row r="20539" spans="1:7" x14ac:dyDescent="0.25">
      <c r="A20539" s="50" t="s">
        <v>60</v>
      </c>
      <c r="B20539" s="220" t="str">
        <f>VLOOKUP(A20539,'Componentes APUs'!$S$1:$V$10,2,0)</f>
        <v>Agarradoras</v>
      </c>
      <c r="C20539" s="220"/>
      <c r="D20539" s="50" t="s">
        <v>18</v>
      </c>
      <c r="E20539" s="50">
        <v>0</v>
      </c>
      <c r="F20539" s="51">
        <f>VLOOKUP(A20539,'Componentes APUs'!$S$1:$V$10,4,0)</f>
        <v>125000</v>
      </c>
      <c r="G20539" s="51">
        <f>ROUNDUP(F20539*((E20539/21)/E20513),0)</f>
        <v>0</v>
      </c>
    </row>
    <row r="20540" spans="1:7" x14ac:dyDescent="0.25">
      <c r="A20540" s="50" t="s">
        <v>62</v>
      </c>
      <c r="B20540" s="220" t="str">
        <f>VLOOKUP(A20540,'Componentes APUs'!$S$1:$V$10,2,0)</f>
        <v>Templadoras</v>
      </c>
      <c r="C20540" s="220"/>
      <c r="D20540" s="50" t="s">
        <v>18</v>
      </c>
      <c r="E20540" s="50">
        <v>0</v>
      </c>
      <c r="F20540" s="51">
        <f>VLOOKUP(A20540,'Componentes APUs'!$S$1:$V$10,4,0)</f>
        <v>250000</v>
      </c>
      <c r="G20540" s="51">
        <f>ROUNDUP(F20540*((E20540/21)/E20513),0)</f>
        <v>0</v>
      </c>
    </row>
    <row r="20541" spans="1:7" x14ac:dyDescent="0.25">
      <c r="A20541" s="50" t="s">
        <v>328</v>
      </c>
      <c r="B20541" s="220" t="str">
        <f>VLOOKUP(A20541,'Componentes APUs'!$S$1:$V$10,2,0)</f>
        <v>Herramienta Menor</v>
      </c>
      <c r="C20541" s="220"/>
      <c r="D20541" s="50" t="s">
        <v>18</v>
      </c>
      <c r="E20541" s="50">
        <v>2</v>
      </c>
      <c r="F20541" s="51">
        <f>VLOOKUP(A20541,'Componentes APUs'!$S$1:$V$10,4,0)</f>
        <v>75758</v>
      </c>
      <c r="G20541" s="51">
        <f>ROUNDUP(F20541*((E20541/21)/E20513),0)</f>
        <v>3608</v>
      </c>
    </row>
    <row r="20542" spans="1:7" x14ac:dyDescent="0.25">
      <c r="A20542" s="219" t="s">
        <v>69</v>
      </c>
      <c r="B20542" s="219"/>
      <c r="C20542" s="219"/>
      <c r="D20542" s="219"/>
      <c r="E20542" s="219"/>
      <c r="F20542" s="219"/>
      <c r="G20542" s="52">
        <f>SUM(G20536:G20541)</f>
        <v>4105</v>
      </c>
    </row>
    <row r="20543" spans="1:7" x14ac:dyDescent="0.25">
      <c r="A20543" s="56"/>
      <c r="B20543" s="57"/>
      <c r="C20543" s="57"/>
      <c r="D20543" s="57"/>
      <c r="E20543" s="57"/>
      <c r="F20543" s="57"/>
      <c r="G20543" s="58"/>
    </row>
    <row r="20544" spans="1:7" x14ac:dyDescent="0.25">
      <c r="A20544" s="219" t="s">
        <v>70</v>
      </c>
      <c r="B20544" s="219"/>
      <c r="C20544" s="219"/>
      <c r="D20544" s="219"/>
      <c r="E20544" s="219"/>
      <c r="F20544" s="219"/>
      <c r="G20544" s="219"/>
    </row>
    <row r="20545" spans="1:7" x14ac:dyDescent="0.25">
      <c r="A20545" s="49" t="s">
        <v>35</v>
      </c>
      <c r="B20545" s="219" t="s">
        <v>36</v>
      </c>
      <c r="C20545" s="219"/>
      <c r="D20545" s="49" t="s">
        <v>37</v>
      </c>
      <c r="E20545" s="49" t="s">
        <v>38</v>
      </c>
      <c r="F20545" s="49" t="s">
        <v>39</v>
      </c>
      <c r="G20545" s="49" t="s">
        <v>40</v>
      </c>
    </row>
    <row r="20546" spans="1:7" x14ac:dyDescent="0.25">
      <c r="A20546" s="50" t="s">
        <v>71</v>
      </c>
      <c r="B20546" s="71" t="str">
        <f>VLOOKUP(A20546,'Componentes APUs'!$A$1:$D$14,2,0)</f>
        <v>Camisa indigo sin partes metalicas</v>
      </c>
      <c r="C20546" s="71"/>
      <c r="D20546" s="50" t="str">
        <f>VLOOKUP(A20546,'Componentes APUs'!$A$1:$D$14,3,0)</f>
        <v>U</v>
      </c>
      <c r="E20546" s="50">
        <f>SUM(C20526:C20531)</f>
        <v>4.75</v>
      </c>
      <c r="F20546" s="51">
        <f>VLOOKUP(A20546,'Componentes APUs'!$A$1:$D$14,4,0)</f>
        <v>8585.8585858585866</v>
      </c>
      <c r="G20546" s="51">
        <f>ROUNDUP(F20546*(E20546/21)/E20513,0)</f>
        <v>972</v>
      </c>
    </row>
    <row r="20547" spans="1:7" x14ac:dyDescent="0.25">
      <c r="A20547" s="69" t="s">
        <v>73</v>
      </c>
      <c r="B20547" s="72" t="str">
        <f>VLOOKUP(A20547,'Componentes APUs'!$A$1:$D$14,2,0)</f>
        <v>Bota de seguridad dielectrica</v>
      </c>
      <c r="C20547" s="73"/>
      <c r="D20547" s="70" t="str">
        <f>VLOOKUP(A20547,'Componentes APUs'!$A$1:$D$14,3,0)</f>
        <v>Par</v>
      </c>
      <c r="E20547" s="50">
        <f>SUM(C20526:C20531)</f>
        <v>4.75</v>
      </c>
      <c r="F20547" s="51">
        <f>VLOOKUP(A20547,'Componentes APUs'!$A$1:$D$14,4,0)</f>
        <v>7500</v>
      </c>
      <c r="G20547" s="51">
        <f>ROUNDUP(F20547*(E20547/21)/E20513,0)</f>
        <v>849</v>
      </c>
    </row>
    <row r="20548" spans="1:7" x14ac:dyDescent="0.25">
      <c r="A20548" s="50" t="s">
        <v>76</v>
      </c>
      <c r="B20548" s="72" t="str">
        <f>VLOOKUP(A20548,'Componentes APUs'!$A$1:$D$14,2,0)</f>
        <v>Casco dielectrico Tipo 1 Clase E con barbuquejo</v>
      </c>
      <c r="C20548" s="73"/>
      <c r="D20548" s="50" t="str">
        <f>VLOOKUP(A20548,'Componentes APUs'!$A$1:$D$14,3,0)</f>
        <v>U</v>
      </c>
      <c r="E20548" s="50">
        <f>C20531+C20526+C20529+C20530+C20527+IF(A20528&lt;&gt;"MO-3",C20528,0)</f>
        <v>4.75</v>
      </c>
      <c r="F20548" s="51">
        <f>VLOOKUP(A20548,'Componentes APUs'!$A$1:$D$14,4,0)</f>
        <v>10101.010101010101</v>
      </c>
      <c r="G20548" s="51">
        <f>ROUNDUP(F20548*(E20548/21)/E20513,0)</f>
        <v>1143</v>
      </c>
    </row>
    <row r="20549" spans="1:7" x14ac:dyDescent="0.25">
      <c r="A20549" s="69" t="s">
        <v>77</v>
      </c>
      <c r="B20549" s="72" t="str">
        <f>VLOOKUP(A20549,'Componentes APUs'!$A$1:$D$14,2,0)</f>
        <v>Correa plastica y antiflama</v>
      </c>
      <c r="C20549" s="73"/>
      <c r="D20549" s="50" t="str">
        <f>VLOOKUP(A20549,'Componentes APUs'!$A$1:$D$14,3,0)</f>
        <v>U</v>
      </c>
      <c r="E20549" s="50">
        <f>SUM(C20526:C20531)</f>
        <v>4.75</v>
      </c>
      <c r="F20549" s="51">
        <f>VLOOKUP(A20549,'Componentes APUs'!$A$1:$D$14,4,0)</f>
        <v>3787.878787878788</v>
      </c>
      <c r="G20549" s="51">
        <f>ROUNDUP(F20549*(E20549/21)/E20513,0)</f>
        <v>429</v>
      </c>
    </row>
    <row r="20550" spans="1:7" x14ac:dyDescent="0.25">
      <c r="A20550" s="50" t="s">
        <v>79</v>
      </c>
      <c r="B20550" s="72" t="str">
        <f>VLOOKUP(A20550,'Componentes APUs'!$A$1:$D$14,2,0)</f>
        <v>Gafas protectoras filtro UV</v>
      </c>
      <c r="C20550" s="73"/>
      <c r="D20550" s="50" t="str">
        <f>VLOOKUP(A20550,'Componentes APUs'!$A$1:$D$14,3,0)</f>
        <v>U</v>
      </c>
      <c r="E20550" s="50">
        <f>SUM(C20526:C20531)</f>
        <v>4.75</v>
      </c>
      <c r="F20550" s="51">
        <f>VLOOKUP(A20550,'Componentes APUs'!$A$1:$D$14,4,0)</f>
        <v>2777.7777777777778</v>
      </c>
      <c r="G20550" s="51">
        <f>ROUNDUP(F20550*(E20550/21)/E20513,0)</f>
        <v>315</v>
      </c>
    </row>
    <row r="20551" spans="1:7" x14ac:dyDescent="0.25">
      <c r="A20551" s="69" t="s">
        <v>402</v>
      </c>
      <c r="B20551" s="72" t="str">
        <f>VLOOKUP(A20551,'Componentes APUs'!$A$1:$D$14,2,0)</f>
        <v>Bota de seguridad PVC dielectrica</v>
      </c>
      <c r="C20551" s="73"/>
      <c r="D20551" s="50" t="str">
        <f>VLOOKUP(A20551,'Componentes APUs'!$A$1:$D$14,3,0)</f>
        <v>Par</v>
      </c>
      <c r="E20551" s="50">
        <f>SUM(C20526:C20531)</f>
        <v>4.75</v>
      </c>
      <c r="F20551" s="51">
        <f>VLOOKUP(A20551,'Componentes APUs'!$A$1:$D$14,4,0)</f>
        <v>2916.6666666666665</v>
      </c>
      <c r="G20551" s="51">
        <f>ROUNDUP(F20551*(E20551/21)/E20513,0)</f>
        <v>330</v>
      </c>
    </row>
    <row r="20552" spans="1:7" x14ac:dyDescent="0.25">
      <c r="A20552" s="50" t="s">
        <v>403</v>
      </c>
      <c r="B20552" s="72" t="str">
        <f>VLOOKUP(A20552,'Componentes APUs'!$A$1:$D$14,2,0)</f>
        <v>Capuchon</v>
      </c>
      <c r="C20552" s="73"/>
      <c r="D20552" s="50" t="str">
        <f>VLOOKUP(A20552,'Componentes APUs'!$A$1:$D$14,3,0)</f>
        <v>U</v>
      </c>
      <c r="E20552" s="50">
        <f>SUM(C20526:C20531)</f>
        <v>4.75</v>
      </c>
      <c r="F20552" s="51">
        <f>VLOOKUP(A20552,'Componentes APUs'!$A$1:$D$14,4,0)</f>
        <v>2525.2525252525252</v>
      </c>
      <c r="G20552" s="51">
        <f>ROUNDUP(F20552*(E20552/21)/E20513,0)</f>
        <v>286</v>
      </c>
    </row>
    <row r="20553" spans="1:7" x14ac:dyDescent="0.25">
      <c r="A20553" s="69" t="s">
        <v>81</v>
      </c>
      <c r="B20553" s="72" t="str">
        <f>VLOOKUP(A20553,'Componentes APUs'!$A$1:$D$14,2,0)</f>
        <v>Guantes Protectores  - ingeniero reforzados</v>
      </c>
      <c r="C20553" s="73"/>
      <c r="D20553" s="50" t="str">
        <f>VLOOKUP(A20553,'Componentes APUs'!$A$1:$D$14,3,0)</f>
        <v>Par</v>
      </c>
      <c r="E20553" s="50">
        <f>C20528+C20529+C20531</f>
        <v>4</v>
      </c>
      <c r="F20553" s="51">
        <f>VLOOKUP(A20553,'Componentes APUs'!$A$1:$D$14,4,0)</f>
        <v>2525.2525252525252</v>
      </c>
      <c r="G20553" s="51">
        <f>ROUNDUP(F20553*(E20553/21)/E20513,0)</f>
        <v>241</v>
      </c>
    </row>
    <row r="20554" spans="1:7" x14ac:dyDescent="0.25">
      <c r="A20554" s="50" t="s">
        <v>83</v>
      </c>
      <c r="B20554" s="72" t="str">
        <f>VLOOKUP(A20554,'Componentes APUs'!$A$1:$D$14,2,0)</f>
        <v>Impermeable (pantalon camisa)</v>
      </c>
      <c r="C20554" s="73"/>
      <c r="D20554" s="50" t="str">
        <f>VLOOKUP(A20554,'Componentes APUs'!$A$1:$D$14,3,0)</f>
        <v>U</v>
      </c>
      <c r="E20554" s="50">
        <f>SUM(C20526:C20531)</f>
        <v>4.75</v>
      </c>
      <c r="F20554" s="51">
        <f>VLOOKUP(A20554,'Componentes APUs'!$A$1:$D$14,4,0)</f>
        <v>3750</v>
      </c>
      <c r="G20554" s="51">
        <f>ROUNDUP(F20554*(E20554/21)/E20513,0)</f>
        <v>425</v>
      </c>
    </row>
    <row r="20555" spans="1:7" x14ac:dyDescent="0.25">
      <c r="A20555" s="69" t="s">
        <v>85</v>
      </c>
      <c r="B20555" s="72" t="str">
        <f>VLOOKUP(A20555,'Componentes APUs'!$A$1:$D$14,2,0)</f>
        <v>Jean Dielectrico</v>
      </c>
      <c r="C20555" s="73"/>
      <c r="D20555" s="50" t="str">
        <f>VLOOKUP(A20555,'Componentes APUs'!$A$1:$D$14,3,0)</f>
        <v>U</v>
      </c>
      <c r="E20555" s="50">
        <f>SUM(C20526:C20531)</f>
        <v>4.75</v>
      </c>
      <c r="F20555" s="51">
        <f>VLOOKUP(A20555,'Componentes APUs'!$A$1:$D$14,4,0)</f>
        <v>7575.757575757576</v>
      </c>
      <c r="G20555" s="51">
        <f>ROUNDUP(F20555*(E20555/21)/E20513,0)</f>
        <v>857</v>
      </c>
    </row>
    <row r="20556" spans="1:7" x14ac:dyDescent="0.25">
      <c r="A20556" s="50" t="s">
        <v>87</v>
      </c>
      <c r="B20556" s="72" t="str">
        <f>VLOOKUP(A20556,'Componentes APUs'!$A$1:$D$14,2,0)</f>
        <v>Casco dielectrico Tipo 2 Clase E con barboquejo</v>
      </c>
      <c r="C20556" s="73"/>
      <c r="D20556" s="50" t="str">
        <f>VLOOKUP(A20556,'Componentes APUs'!$A$1:$D$14,3,0)</f>
        <v>U</v>
      </c>
      <c r="E20556" s="53">
        <f>IF(A20528="MO-3",C20528,0)</f>
        <v>0</v>
      </c>
      <c r="F20556" s="51">
        <f>VLOOKUP(A20556,'Componentes APUs'!$A$1:$D$14,4,0)</f>
        <v>7500</v>
      </c>
      <c r="G20556" s="51">
        <f>ROUNDUP(F20556*(E20556/21)/E20513,0)</f>
        <v>0</v>
      </c>
    </row>
    <row r="20557" spans="1:7" x14ac:dyDescent="0.25">
      <c r="A20557" s="69" t="s">
        <v>89</v>
      </c>
      <c r="B20557" s="72" t="str">
        <f>VLOOKUP(A20557,'Componentes APUs'!$A$1:$D$14,2,0)</f>
        <v>Kit de rescate para trabajo en alturas</v>
      </c>
      <c r="C20557" s="73"/>
      <c r="D20557" s="50" t="str">
        <f>VLOOKUP(A20557,'Componentes APUs'!$A$1:$D$14,3,0)</f>
        <v>U</v>
      </c>
      <c r="E20557" s="50">
        <f>IF(AND(A20528="MO-3",C20528=2),1,0)</f>
        <v>0</v>
      </c>
      <c r="F20557" s="51">
        <f>VLOOKUP(A20557,'Componentes APUs'!$A$1:$D$14,4,0)</f>
        <v>37500</v>
      </c>
      <c r="G20557" s="51">
        <f>ROUNDUP(F20557*(E20557/21)/E20513,0)</f>
        <v>0</v>
      </c>
    </row>
    <row r="20558" spans="1:7" x14ac:dyDescent="0.25">
      <c r="A20558" s="50" t="s">
        <v>91</v>
      </c>
      <c r="B20558" s="72" t="str">
        <f>VLOOKUP(A20558,'Componentes APUs'!$A$1:$D$14,2,0)</f>
        <v>Equipo completo para trabajo en alturas con pretales (Arnes dielectrico, 1 mosqueton de seguridad, tie off dielectrico, eslinga de posicionamiento, juego de pretales)</v>
      </c>
      <c r="C20558" s="73"/>
      <c r="D20558" s="50" t="str">
        <f>VLOOKUP(A20558,'Componentes APUs'!$A$1:$D$14,3,0)</f>
        <v>U</v>
      </c>
      <c r="E20558" s="50">
        <f>IF(A20528="MO-3",C20528,0)</f>
        <v>0</v>
      </c>
      <c r="F20558" s="51">
        <f>VLOOKUP(A20558,'Componentes APUs'!$A$1:$D$14,4,0)</f>
        <v>26041.666666666668</v>
      </c>
      <c r="G20558" s="51">
        <f>ROUNDUP(F20558*(E20558/21)/E20513,0)</f>
        <v>0</v>
      </c>
    </row>
    <row r="20559" spans="1:7" x14ac:dyDescent="0.25">
      <c r="A20559" s="219" t="s">
        <v>95</v>
      </c>
      <c r="B20559" s="219"/>
      <c r="C20559" s="219"/>
      <c r="D20559" s="219"/>
      <c r="E20559" s="219"/>
      <c r="F20559" s="219"/>
      <c r="G20559" s="52">
        <f>SUM(G20546:G20558)</f>
        <v>5847</v>
      </c>
    </row>
    <row r="20560" spans="1:7" x14ac:dyDescent="0.25">
      <c r="A20560" s="56"/>
      <c r="B20560" s="57"/>
      <c r="C20560" s="57"/>
      <c r="D20560" s="57"/>
      <c r="E20560" s="57"/>
      <c r="F20560" s="57"/>
      <c r="G20560" s="58"/>
    </row>
    <row r="20561" spans="1:7" x14ac:dyDescent="0.25">
      <c r="A20561" s="219" t="s">
        <v>96</v>
      </c>
      <c r="B20561" s="219"/>
      <c r="C20561" s="219"/>
      <c r="D20561" s="219"/>
      <c r="E20561" s="219"/>
      <c r="F20561" s="219"/>
      <c r="G20561" s="219"/>
    </row>
    <row r="20562" spans="1:7" x14ac:dyDescent="0.25">
      <c r="A20562" s="49" t="s">
        <v>35</v>
      </c>
      <c r="B20562" s="225" t="s">
        <v>36</v>
      </c>
      <c r="C20562" s="225"/>
      <c r="D20562" s="49" t="s">
        <v>37</v>
      </c>
      <c r="E20562" s="49" t="s">
        <v>38</v>
      </c>
      <c r="F20562" s="49" t="s">
        <v>39</v>
      </c>
      <c r="G20562" s="49" t="s">
        <v>40</v>
      </c>
    </row>
    <row r="20563" spans="1:7" x14ac:dyDescent="0.25">
      <c r="A20563" s="69" t="s">
        <v>97</v>
      </c>
      <c r="B20563" s="72" t="str">
        <f>VLOOKUP(A20563,'Componentes APUs'!$N$1:$Q$30,2,0)</f>
        <v>Camioneta</v>
      </c>
      <c r="C20563" s="73"/>
      <c r="D20563" s="70" t="str">
        <f>VLOOKUP(A20563,'Componentes APUs'!$N$1:$Q$30,3,0)</f>
        <v>U</v>
      </c>
      <c r="E20563" s="50">
        <v>1</v>
      </c>
      <c r="F20563" s="51">
        <f>VLOOKUP(A20563,'Componentes APUs'!$N$1:$Q$30,4,0)</f>
        <v>5500000</v>
      </c>
      <c r="G20563" s="51">
        <f>IFERROR(ROUNDUP(F20563*(E20563/21)/E20513,0),0)</f>
        <v>130953</v>
      </c>
    </row>
    <row r="20564" spans="1:7" x14ac:dyDescent="0.25">
      <c r="A20564" s="50" t="s">
        <v>321</v>
      </c>
      <c r="B20564" s="72" t="str">
        <f>VLOOKUP(A20564,'Componentes APUs'!$N$1:$Q$30,2,0)</f>
        <v>Grúa Hidráulica</v>
      </c>
      <c r="C20564" s="73"/>
      <c r="D20564" s="70" t="str">
        <f>VLOOKUP(A20564,'Componentes APUs'!$N$1:$Q$30,3,0)</f>
        <v>U</v>
      </c>
      <c r="E20564" s="50">
        <v>0</v>
      </c>
      <c r="F20564" s="51">
        <f>VLOOKUP(A20564,'Componentes APUs'!$N$1:$Q$30,4,0)</f>
        <v>21000000</v>
      </c>
      <c r="G20564" s="51">
        <f>IFERROR(ROUNDUP(F20564*(E20564/21)/E20513,0),0)</f>
        <v>0</v>
      </c>
    </row>
    <row r="20565" spans="1:7" x14ac:dyDescent="0.25">
      <c r="A20565" s="69" t="s">
        <v>322</v>
      </c>
      <c r="B20565" s="72" t="str">
        <f>VLOOKUP(A20565,'Componentes APUs'!$N$1:$Q$30,2,0)</f>
        <v>Camabaja</v>
      </c>
      <c r="C20565" s="73"/>
      <c r="D20565" s="70" t="str">
        <f>VLOOKUP(A20565,'Componentes APUs'!$N$1:$Q$30,3,0)</f>
        <v>TON/KM</v>
      </c>
      <c r="E20565" s="50">
        <v>0</v>
      </c>
      <c r="F20565" s="51">
        <f>VLOOKUP(A20565,'Componentes APUs'!$N$1:$Q$30,4,0)</f>
        <v>611</v>
      </c>
      <c r="G20565" s="51">
        <f>IFERROR(ROUNDUP(F20565*(E20565/21)/E20513,0),0)</f>
        <v>0</v>
      </c>
    </row>
    <row r="20566" spans="1:7" x14ac:dyDescent="0.25">
      <c r="A20566" s="50" t="s">
        <v>323</v>
      </c>
      <c r="B20566" s="72" t="str">
        <f>VLOOKUP(A20566,'Componentes APUs'!$N$1:$Q$30,2,0)</f>
        <v>Volqueta</v>
      </c>
      <c r="C20566" s="73"/>
      <c r="D20566" s="70" t="str">
        <f>VLOOKUP(A20566,'Componentes APUs'!$N$1:$Q$30,3,0)</f>
        <v>U</v>
      </c>
      <c r="E20566" s="50">
        <v>0</v>
      </c>
      <c r="F20566" s="51">
        <f>VLOOKUP(A20566,'Componentes APUs'!$N$1:$Q$30,4,0)</f>
        <v>14828184</v>
      </c>
      <c r="G20566" s="51">
        <f>IFERROR(ROUNDUP(F20566*(E20566/21)/E20513,0),0)</f>
        <v>0</v>
      </c>
    </row>
    <row r="20567" spans="1:7" x14ac:dyDescent="0.25">
      <c r="A20567" s="69" t="s">
        <v>324</v>
      </c>
      <c r="B20567" s="72" t="str">
        <f>VLOOKUP(A20567,'Componentes APUs'!$N$1:$Q$30,2,0)</f>
        <v>Retroexcavadora</v>
      </c>
      <c r="C20567" s="73"/>
      <c r="D20567" s="70" t="str">
        <f>VLOOKUP(A20567,'Componentes APUs'!$N$1:$Q$30,3,0)</f>
        <v>U</v>
      </c>
      <c r="E20567" s="50">
        <v>0</v>
      </c>
      <c r="F20567" s="51">
        <f>VLOOKUP(A20567,'Componentes APUs'!$N$1:$Q$30,4,0)</f>
        <v>46030656</v>
      </c>
      <c r="G20567" s="51">
        <f>IFERROR(ROUNDUP(F20567*(E20567/21)/E20513,0),0)</f>
        <v>0</v>
      </c>
    </row>
    <row r="20568" spans="1:7" x14ac:dyDescent="0.25">
      <c r="A20568" s="219" t="s">
        <v>99</v>
      </c>
      <c r="B20568" s="219"/>
      <c r="C20568" s="219"/>
      <c r="D20568" s="219"/>
      <c r="E20568" s="219"/>
      <c r="F20568" s="219"/>
      <c r="G20568" s="52">
        <f>SUM(G20563:G20567)</f>
        <v>130953</v>
      </c>
    </row>
    <row r="20569" spans="1:7" x14ac:dyDescent="0.25">
      <c r="A20569" s="56"/>
      <c r="B20569" s="57"/>
      <c r="C20569" s="57"/>
      <c r="D20569" s="57"/>
      <c r="E20569" s="57"/>
      <c r="F20569" s="57"/>
      <c r="G20569" s="58"/>
    </row>
    <row r="20570" spans="1:7" x14ac:dyDescent="0.25">
      <c r="A20570" s="219" t="s">
        <v>1516</v>
      </c>
      <c r="B20570" s="219"/>
      <c r="C20570" s="219"/>
      <c r="D20570" s="219"/>
      <c r="E20570" s="219"/>
      <c r="F20570" s="219"/>
      <c r="G20570" s="52">
        <f>G20568+G20559+G20542+G20532+G20522</f>
        <v>3327255</v>
      </c>
    </row>
    <row r="20571" spans="1:7" x14ac:dyDescent="0.25">
      <c r="A20571" s="59"/>
      <c r="B20571" s="60"/>
      <c r="C20571" s="60"/>
      <c r="D20571" s="60"/>
      <c r="E20571" s="57"/>
      <c r="F20571" s="57"/>
      <c r="G20571" s="58"/>
    </row>
    <row r="20572" spans="1:7" x14ac:dyDescent="0.25">
      <c r="A20572" s="64"/>
      <c r="D20572" s="55"/>
      <c r="E20572" s="49" t="s">
        <v>25</v>
      </c>
      <c r="F20572" s="54">
        <v>0.15</v>
      </c>
      <c r="G20572" s="51">
        <f>G20570*F20572</f>
        <v>499088.25</v>
      </c>
    </row>
    <row r="20573" spans="1:7" x14ac:dyDescent="0.25">
      <c r="A20573" s="64"/>
      <c r="D20573" s="55"/>
      <c r="E20573" s="49" t="s">
        <v>26</v>
      </c>
      <c r="F20573" s="54">
        <v>0.05</v>
      </c>
      <c r="G20573" s="51">
        <f>G20570*F20573</f>
        <v>166362.75</v>
      </c>
    </row>
    <row r="20574" spans="1:7" x14ac:dyDescent="0.25">
      <c r="A20574" s="61"/>
      <c r="B20574" s="65"/>
      <c r="C20574" s="65"/>
      <c r="D20574" s="62"/>
      <c r="E20574" s="49" t="s">
        <v>27</v>
      </c>
      <c r="F20574" s="54">
        <v>0.05</v>
      </c>
      <c r="G20574" s="51">
        <f>G20570*F20574</f>
        <v>166362.75</v>
      </c>
    </row>
    <row r="20575" spans="1:7" x14ac:dyDescent="0.25">
      <c r="A20575" s="61"/>
      <c r="B20575" s="62"/>
      <c r="C20575" s="62"/>
      <c r="D20575" s="62"/>
      <c r="E20575" s="62"/>
      <c r="F20575" s="62"/>
      <c r="G20575" s="63"/>
    </row>
    <row r="20576" spans="1:7" x14ac:dyDescent="0.25">
      <c r="A20576" s="219" t="s">
        <v>1517</v>
      </c>
      <c r="B20576" s="219"/>
      <c r="C20576" s="219"/>
      <c r="D20576" s="219"/>
      <c r="E20576" s="219"/>
      <c r="F20576" s="219"/>
      <c r="G20576" s="52">
        <f>G20570+G20572+G20573+G20574</f>
        <v>4159068.75</v>
      </c>
    </row>
    <row r="20577" spans="1:8" x14ac:dyDescent="0.25">
      <c r="A20577" s="59"/>
      <c r="B20577" s="60"/>
      <c r="C20577" s="60"/>
      <c r="D20577" s="60"/>
      <c r="E20577" s="57"/>
      <c r="F20577" s="57"/>
      <c r="G20577" s="58"/>
    </row>
    <row r="20578" spans="1:8" x14ac:dyDescent="0.25">
      <c r="A20578" s="64"/>
      <c r="D20578" s="55"/>
      <c r="E20578" s="49" t="s">
        <v>102</v>
      </c>
      <c r="F20578" s="49" t="s">
        <v>103</v>
      </c>
      <c r="G20578" s="51">
        <f>G20574*19%</f>
        <v>31608.922500000001</v>
      </c>
    </row>
    <row r="20579" spans="1:8" x14ac:dyDescent="0.25">
      <c r="A20579" s="61"/>
      <c r="B20579" s="62"/>
      <c r="C20579" s="62"/>
      <c r="D20579" s="62"/>
      <c r="E20579" s="57"/>
      <c r="F20579" s="57"/>
      <c r="G20579" s="58"/>
    </row>
    <row r="20580" spans="1:8" x14ac:dyDescent="0.25">
      <c r="A20580" s="219" t="s">
        <v>104</v>
      </c>
      <c r="B20580" s="219"/>
      <c r="C20580" s="219"/>
      <c r="D20580" s="219"/>
      <c r="E20580" s="219"/>
      <c r="F20580" s="219"/>
      <c r="G20580" s="52">
        <f>G20578+G20576</f>
        <v>4190677.6724999999</v>
      </c>
    </row>
    <row r="20582" spans="1:8" x14ac:dyDescent="0.25">
      <c r="A20582" s="74" t="s">
        <v>29</v>
      </c>
      <c r="B20582" s="237" t="s">
        <v>30</v>
      </c>
      <c r="C20582" s="238"/>
      <c r="D20582" s="74" t="s">
        <v>31</v>
      </c>
      <c r="E20582" s="74" t="s">
        <v>32</v>
      </c>
      <c r="F20582" s="74" t="s">
        <v>189</v>
      </c>
      <c r="G20582" s="74" t="s">
        <v>33</v>
      </c>
    </row>
    <row r="20583" spans="1:8" ht="41.25" customHeight="1" x14ac:dyDescent="0.25">
      <c r="A20583" s="50" t="str">
        <f>Presupuesto!B393</f>
        <v>060_AUX</v>
      </c>
      <c r="B20583" s="220" t="str">
        <f>Presupuesto!C393</f>
        <v>SUMINISTRO E INSTALACIÓN DE SALIDA BIFÁSICA EXPLOSION PROOF EN TUBERÍA EMT 3/4" CON CABLE Cu 3x10 AWG Y TOMA SENCILLA  (Longitud Promedio 15m) (PARA EXTRACTOR)</v>
      </c>
      <c r="C20583" s="239"/>
      <c r="D20583" s="50" t="s">
        <v>8</v>
      </c>
      <c r="E20583" s="50">
        <v>4</v>
      </c>
      <c r="F20583" s="50"/>
      <c r="G20583" s="51">
        <f>G20655</f>
        <v>2651694.6225000001</v>
      </c>
    </row>
    <row r="20584" spans="1:8" x14ac:dyDescent="0.25">
      <c r="A20584" s="219" t="s">
        <v>34</v>
      </c>
      <c r="B20584" s="219"/>
      <c r="C20584" s="219"/>
      <c r="D20584" s="219"/>
      <c r="E20584" s="219"/>
      <c r="F20584" s="219"/>
      <c r="G20584" s="219"/>
    </row>
    <row r="20585" spans="1:8" x14ac:dyDescent="0.25">
      <c r="A20585" s="49" t="s">
        <v>35</v>
      </c>
      <c r="B20585" s="234" t="s">
        <v>36</v>
      </c>
      <c r="C20585" s="235"/>
      <c r="D20585" s="49" t="s">
        <v>37</v>
      </c>
      <c r="E20585" s="49" t="s">
        <v>38</v>
      </c>
      <c r="F20585" s="49" t="s">
        <v>39</v>
      </c>
      <c r="G20585" s="49" t="s">
        <v>40</v>
      </c>
    </row>
    <row r="20586" spans="1:8" x14ac:dyDescent="0.25">
      <c r="A20586" s="17" t="str">
        <f>Material!A70</f>
        <v>MA-69</v>
      </c>
      <c r="B20586" s="72" t="str">
        <f>IFERROR(VLOOKUP(A20586,Material!$A:$H,2,0),"-")</f>
        <v>TUBO CONDUIT METÁLICO GALVANIZADO IMC DIAMETRO 3/4"</v>
      </c>
      <c r="C20586" s="73"/>
      <c r="D20586" s="50" t="str">
        <f>IFERROR(VLOOKUP(A20586,Material!$A:$H,4,0),"-")</f>
        <v>ML</v>
      </c>
      <c r="E20586" s="50">
        <v>15</v>
      </c>
      <c r="F20586" s="51">
        <f>IFERROR(VLOOKUP(A20586,Material!$A:$H,3,0),"-")</f>
        <v>29965</v>
      </c>
      <c r="G20586" s="51">
        <f t="shared" ref="G20586:G20595" si="304">IFERROR(ROUNDUP(F20586*E20586,0),"-")</f>
        <v>449475</v>
      </c>
    </row>
    <row r="20587" spans="1:8" x14ac:dyDescent="0.25">
      <c r="A20587" s="17" t="str">
        <f>Material!A44</f>
        <v>MA-43</v>
      </c>
      <c r="B20587" s="72" t="str">
        <f>IFERROR(VLOOKUP(A20587,Material!$A:$H,2,0),"-")</f>
        <v>CABLE 3x10 AWG Cu- TC-THHN/THWN - 600 V</v>
      </c>
      <c r="C20587" s="76"/>
      <c r="D20587" s="50" t="str">
        <f>IFERROR(VLOOKUP(A20587,Material!$A:$H,4,0),"-")</f>
        <v>ML</v>
      </c>
      <c r="E20587" s="50">
        <v>20</v>
      </c>
      <c r="F20587" s="51">
        <f>IFERROR(VLOOKUP(A20587,Material!$A:$H,3,0),"-")</f>
        <v>26000</v>
      </c>
      <c r="G20587" s="51">
        <f t="shared" si="304"/>
        <v>520000</v>
      </c>
    </row>
    <row r="20588" spans="1:8" ht="25.5" customHeight="1" x14ac:dyDescent="0.25">
      <c r="A20588" s="17" t="str">
        <f>Material!A255</f>
        <v>MA-254</v>
      </c>
      <c r="B20588" s="232" t="str">
        <f>IFERROR(VLOOKUP(A20588,Material!$A:$H,2,0),"-")</f>
        <v>TOMA BIFASICA INCRUSTAR LEGRAND 20AMP 125V 2F TURNLOK P-TIERRA L520R</v>
      </c>
      <c r="C20588" s="233"/>
      <c r="D20588" s="50" t="str">
        <f>IFERROR(VLOOKUP(A20588,Material!$A:$H,4,0),"-")</f>
        <v>UN</v>
      </c>
      <c r="E20588" s="50">
        <v>1</v>
      </c>
      <c r="F20588" s="51">
        <f>IFERROR(VLOOKUP(A20588,Material!$A:$H,3,0),"-")</f>
        <v>29380</v>
      </c>
      <c r="G20588" s="51">
        <f t="shared" si="304"/>
        <v>29380</v>
      </c>
    </row>
    <row r="20589" spans="1:8" x14ac:dyDescent="0.25">
      <c r="A20589" s="17" t="str">
        <f>Material!A234</f>
        <v>MA-233</v>
      </c>
      <c r="B20589" s="72" t="str">
        <f>IFERROR(VLOOKUP(A20589,Material!$A:$H,2,0),"-")</f>
        <v>CURVA 90 GRADOS GALVANIZADA IMC DE 3/4"</v>
      </c>
      <c r="C20589" s="76"/>
      <c r="D20589" s="50" t="str">
        <f>IFERROR(VLOOKUP(A20589,Material!$A:$H,4,0),"-")</f>
        <v>UN</v>
      </c>
      <c r="E20589" s="50">
        <v>2</v>
      </c>
      <c r="F20589" s="51">
        <f>IFERROR(VLOOKUP(A20589,Material!$A:$H,3,0),"-")</f>
        <v>7995</v>
      </c>
      <c r="G20589" s="51">
        <f t="shared" si="304"/>
        <v>15990</v>
      </c>
    </row>
    <row r="20590" spans="1:8" x14ac:dyDescent="0.25">
      <c r="A20590" s="17" t="str">
        <f>Material!A232</f>
        <v>MA-231</v>
      </c>
      <c r="B20590" s="72" t="str">
        <f>IFERROR(VLOOKUP(A20590,Material!$A:$H,2,0),"-")</f>
        <v>TERMINAL IMC 3/4"</v>
      </c>
      <c r="C20590" s="76"/>
      <c r="D20590" s="50" t="str">
        <f>IFERROR(VLOOKUP(A20590,Material!$A:$H,4,0),"-")</f>
        <v>UN</v>
      </c>
      <c r="E20590" s="50">
        <v>2</v>
      </c>
      <c r="F20590" s="51">
        <f>IFERROR(VLOOKUP(A20590,Material!$A:$H,3,0),"-")</f>
        <v>607.1</v>
      </c>
      <c r="G20590" s="51">
        <f t="shared" si="304"/>
        <v>1215</v>
      </c>
      <c r="H20590" s="1"/>
    </row>
    <row r="20591" spans="1:8" x14ac:dyDescent="0.25">
      <c r="A20591" s="17" t="str">
        <f>Material!A226</f>
        <v>MA-225</v>
      </c>
      <c r="B20591" s="72" t="str">
        <f>IFERROR(VLOOKUP(A20591,Material!$A:$H,2,0),"-")</f>
        <v>ABRAZADERA GRAPA METALICA 3/4"</v>
      </c>
      <c r="C20591" s="76"/>
      <c r="D20591" s="50" t="str">
        <f>IFERROR(VLOOKUP(A20591,Material!$A:$H,4,0),"-")</f>
        <v>UN</v>
      </c>
      <c r="E20591" s="50">
        <v>15</v>
      </c>
      <c r="F20591" s="51">
        <f>IFERROR(VLOOKUP(A20591,Material!$A:$H,3,0),"-")</f>
        <v>325</v>
      </c>
      <c r="G20591" s="51">
        <f t="shared" si="304"/>
        <v>4875</v>
      </c>
    </row>
    <row r="20592" spans="1:8" x14ac:dyDescent="0.25">
      <c r="A20592" s="17" t="str">
        <f>Material!A233</f>
        <v>MA-232</v>
      </c>
      <c r="B20592" s="72" t="str">
        <f>IFERROR(VLOOKUP(A20592,Material!$A:$H,2,0),"-")</f>
        <v>UNION METALICA GALVANIZADA IMC DE 3/4"</v>
      </c>
      <c r="C20592" s="76"/>
      <c r="D20592" s="50" t="str">
        <f>IFERROR(VLOOKUP(A20592,Material!$A:$H,4,0),"-")</f>
        <v>UN</v>
      </c>
      <c r="E20592" s="50">
        <v>5</v>
      </c>
      <c r="F20592" s="51">
        <f>IFERROR(VLOOKUP(A20592,Material!$A:$H,3,0),"-")</f>
        <v>1820</v>
      </c>
      <c r="G20592" s="51">
        <f t="shared" si="304"/>
        <v>9100</v>
      </c>
    </row>
    <row r="20593" spans="1:7" x14ac:dyDescent="0.25">
      <c r="A20593" s="17" t="str">
        <f>Material!A228</f>
        <v>MA-227</v>
      </c>
      <c r="B20593" s="72" t="str">
        <f>IFERROR(VLOOKUP(A20593,Material!$A:$H,2,0),"-")</f>
        <v>TERMINAL SOLDER AMARILLO 22-14 VCP</v>
      </c>
      <c r="C20593" s="76"/>
      <c r="D20593" s="50" t="str">
        <f>IFERROR(VLOOKUP(A20593,Material!$A:$H,4,0),"-")</f>
        <v>UN</v>
      </c>
      <c r="E20593" s="50">
        <v>3</v>
      </c>
      <c r="F20593" s="51">
        <f>IFERROR(VLOOKUP(A20593,Material!$A:$H,3,0),"-")</f>
        <v>299</v>
      </c>
      <c r="G20593" s="51">
        <f t="shared" si="304"/>
        <v>897</v>
      </c>
    </row>
    <row r="20594" spans="1:7" x14ac:dyDescent="0.25">
      <c r="A20594" s="17" t="str">
        <f>Material!A229</f>
        <v>MA-228</v>
      </c>
      <c r="B20594" s="72" t="str">
        <f>IFERROR(VLOOKUP(A20594,Material!$A:$H,2,0),"-")</f>
        <v>CINTA DE COLORES</v>
      </c>
      <c r="C20594" s="76"/>
      <c r="D20594" s="50" t="str">
        <f>IFERROR(VLOOKUP(A20594,Material!$A:$H,4,0),"-")</f>
        <v>ML</v>
      </c>
      <c r="E20594" s="50">
        <v>7.0000000000000007E-2</v>
      </c>
      <c r="F20594" s="51">
        <f>IFERROR(VLOOKUP(A20594,Material!$A:$H,3,0),"-")</f>
        <v>54.080000000000005</v>
      </c>
      <c r="G20594" s="51">
        <f t="shared" si="304"/>
        <v>4</v>
      </c>
    </row>
    <row r="20595" spans="1:7" x14ac:dyDescent="0.25">
      <c r="A20595" s="17" t="str">
        <f>Material!A222</f>
        <v>MA-221</v>
      </c>
      <c r="B20595" s="72" t="str">
        <f>IFERROR(VLOOKUP(A20595,Material!$A:$H,2,0),"-")</f>
        <v>CAJA FS 2X4  4 SALIDAS 3/4"</v>
      </c>
      <c r="C20595" s="76"/>
      <c r="D20595" s="50" t="str">
        <f>IFERROR(VLOOKUP(A20595,Material!$A:$H,4,0),"-")</f>
        <v>UN</v>
      </c>
      <c r="E20595" s="50">
        <v>1</v>
      </c>
      <c r="F20595" s="51">
        <f>IFERROR(VLOOKUP(A20595,Material!$A:$H,3,0),"-")</f>
        <v>16633.5</v>
      </c>
      <c r="G20595" s="51">
        <f t="shared" si="304"/>
        <v>16634</v>
      </c>
    </row>
    <row r="20596" spans="1:7" x14ac:dyDescent="0.25">
      <c r="A20596" s="17" t="str">
        <f>Material!A578</f>
        <v>MA-577</v>
      </c>
      <c r="B20596" s="72" t="str">
        <f>IFERROR(VLOOKUP(A20596,Material!$A:$H,2,0),"-")</f>
        <v>SELLO EXPLOSION PROOF</v>
      </c>
      <c r="C20596" s="76"/>
      <c r="D20596" s="50" t="str">
        <f>IFERROR(VLOOKUP(A20596,Material!$A:$H,4,0),"-")</f>
        <v>UN</v>
      </c>
      <c r="E20596" s="50">
        <v>1</v>
      </c>
      <c r="F20596" s="51">
        <f>IFERROR(VLOOKUP(A20596,Material!$A:$H,3,0),"-")</f>
        <v>41706.6</v>
      </c>
      <c r="G20596" s="51">
        <f t="shared" ref="G20596" si="305">IFERROR(ROUNDUP(F20596*E20596,0),"-")</f>
        <v>41707</v>
      </c>
    </row>
    <row r="20597" spans="1:7" x14ac:dyDescent="0.25">
      <c r="A20597" s="17" t="str">
        <f>Material!A579</f>
        <v>MA-578</v>
      </c>
      <c r="B20597" s="72" t="str">
        <f>IFERROR(VLOOKUP(A20597,Material!$A:$H,2,0),"-")</f>
        <v>MASILLA INTUMECENTE RESISTENTE AL FUEGO</v>
      </c>
      <c r="C20597" s="76"/>
      <c r="D20597" s="50" t="str">
        <f>IFERROR(VLOOKUP(A20597,Material!$A:$H,4,0),"-")</f>
        <v>UN</v>
      </c>
      <c r="E20597" s="50">
        <v>2</v>
      </c>
      <c r="F20597" s="51">
        <f>IFERROR(VLOOKUP(A20597,Material!$A:$H,3,0),"-")</f>
        <v>390000</v>
      </c>
      <c r="G20597" s="51">
        <f t="shared" ref="G20597" si="306">IFERROR(ROUNDUP(F20597*E20597,0),"-")</f>
        <v>780000</v>
      </c>
    </row>
    <row r="20598" spans="1:7" x14ac:dyDescent="0.25">
      <c r="A20598" s="234" t="s">
        <v>41</v>
      </c>
      <c r="B20598" s="236"/>
      <c r="C20598" s="236"/>
      <c r="D20598" s="236"/>
      <c r="E20598" s="236"/>
      <c r="F20598" s="235"/>
      <c r="G20598" s="52">
        <f>SUM(G20586:G20597)</f>
        <v>1869277</v>
      </c>
    </row>
    <row r="20599" spans="1:7" x14ac:dyDescent="0.25">
      <c r="A20599" s="56"/>
      <c r="B20599" s="57"/>
      <c r="C20599" s="57"/>
      <c r="D20599" s="57"/>
      <c r="E20599" s="57"/>
      <c r="F20599" s="57"/>
      <c r="G20599" s="58"/>
    </row>
    <row r="20600" spans="1:7" x14ac:dyDescent="0.25">
      <c r="A20600" s="219" t="s">
        <v>42</v>
      </c>
      <c r="B20600" s="219"/>
      <c r="C20600" s="219"/>
      <c r="D20600" s="219"/>
      <c r="E20600" s="219"/>
      <c r="F20600" s="219"/>
      <c r="G20600" s="219"/>
    </row>
    <row r="20601" spans="1:7" x14ac:dyDescent="0.25">
      <c r="A20601" s="49" t="s">
        <v>35</v>
      </c>
      <c r="B20601" s="49" t="s">
        <v>36</v>
      </c>
      <c r="C20601" s="49" t="s">
        <v>38</v>
      </c>
      <c r="D20601" s="49" t="s">
        <v>43</v>
      </c>
      <c r="E20601" s="49" t="s">
        <v>44</v>
      </c>
      <c r="F20601" s="49" t="s">
        <v>45</v>
      </c>
      <c r="G20601" s="49" t="s">
        <v>40</v>
      </c>
    </row>
    <row r="20602" spans="1:7" x14ac:dyDescent="0.25">
      <c r="A20602" s="50" t="s">
        <v>319</v>
      </c>
      <c r="B20602" s="68" t="str">
        <f>VLOOKUP(A20602,'Componentes APUs'!$H$1:$L$25,2,0)</f>
        <v>Ingeniero Residente de Obra</v>
      </c>
      <c r="C20602" s="93">
        <v>0.25</v>
      </c>
      <c r="D20602" s="50">
        <f>VLOOKUP(A20602,'Componentes APUs'!$H$1:$L$25,3,0)</f>
        <v>4</v>
      </c>
      <c r="E20602" s="51">
        <f>VLOOKUP(A20602,'Componentes APUs'!$H$1:$L$25,4,0)</f>
        <v>271142.85714285716</v>
      </c>
      <c r="F20602" s="51">
        <f>VLOOKUP(A20602,'Componentes APUs'!$H$1:$L$25,5,0)</f>
        <v>162685.71428571429</v>
      </c>
      <c r="G20602" s="51">
        <f>ROUNDUP((E20602+F20602)*C20602/E20583,0)</f>
        <v>27115</v>
      </c>
    </row>
    <row r="20603" spans="1:7" x14ac:dyDescent="0.25">
      <c r="A20603" s="50" t="s">
        <v>320</v>
      </c>
      <c r="B20603" s="68" t="str">
        <f>VLOOKUP(A20603,'Componentes APUs'!$H$1:$L$25,2,0)</f>
        <v>Tecnico Supervisor</v>
      </c>
      <c r="C20603" s="93">
        <v>0.25</v>
      </c>
      <c r="D20603" s="50">
        <f>VLOOKUP(A20603,'Componentes APUs'!$H$1:$L$25,3,0)</f>
        <v>2.2999999999999998</v>
      </c>
      <c r="E20603" s="51">
        <f>VLOOKUP(A20603,'Componentes APUs'!$H$1:$L$25,4,0)</f>
        <v>155907.14285714284</v>
      </c>
      <c r="F20603" s="51">
        <f>VLOOKUP(A20603,'Componentes APUs'!$H$1:$L$25,5,0)</f>
        <v>93544.285714285696</v>
      </c>
      <c r="G20603" s="51">
        <f>ROUNDUP((E20603+F20603)*C20603/E20583,0)</f>
        <v>15591</v>
      </c>
    </row>
    <row r="20604" spans="1:7" x14ac:dyDescent="0.25">
      <c r="A20604" s="50" t="s">
        <v>1160</v>
      </c>
      <c r="B20604" s="68" t="str">
        <f>VLOOKUP(A20604,'Componentes APUs'!$H$1:$L$25,2,0)</f>
        <v>Oficial Eléctrico</v>
      </c>
      <c r="C20604" s="93">
        <v>1</v>
      </c>
      <c r="D20604" s="50">
        <f>VLOOKUP(A20604,'Componentes APUs'!$H$1:$L$25,3,0)</f>
        <v>2</v>
      </c>
      <c r="E20604" s="51">
        <f>VLOOKUP(A20604,'Componentes APUs'!$H$1:$L$25,4,0)</f>
        <v>154619.04761904763</v>
      </c>
      <c r="F20604" s="51">
        <f>VLOOKUP(A20604,'Componentes APUs'!$H$1:$L$25,5,0)</f>
        <v>92771.42857142858</v>
      </c>
      <c r="G20604" s="51">
        <f>ROUNDUP((E20604+F20604)*C20604/E20583,0)</f>
        <v>61848</v>
      </c>
    </row>
    <row r="20605" spans="1:7" x14ac:dyDescent="0.25">
      <c r="A20605" s="50" t="s">
        <v>48</v>
      </c>
      <c r="B20605" s="68" t="str">
        <f>VLOOKUP(A20605,'Componentes APUs'!$H$1:$L$25,2,0)</f>
        <v>Ayudante Calificado</v>
      </c>
      <c r="C20605" s="93">
        <v>1</v>
      </c>
      <c r="D20605" s="50">
        <f>VLOOKUP(A20605,'Componentes APUs'!$H$1:$L$25,3,0)</f>
        <v>1.5</v>
      </c>
      <c r="E20605" s="51">
        <f>VLOOKUP(A20605,'Componentes APUs'!$H$1:$L$25,4,0)</f>
        <v>115964.28571428571</v>
      </c>
      <c r="F20605" s="51">
        <f>VLOOKUP(A20605,'Componentes APUs'!$H$1:$L$25,5,0)</f>
        <v>69578.57142857142</v>
      </c>
      <c r="G20605" s="51">
        <f>ROUNDUP((E20605+F20605)*C20605/E20583,0)</f>
        <v>46386</v>
      </c>
    </row>
    <row r="20606" spans="1:7" x14ac:dyDescent="0.25">
      <c r="A20606" s="50" t="s">
        <v>50</v>
      </c>
      <c r="B20606" s="68" t="str">
        <f>VLOOKUP(A20606,'Componentes APUs'!$H$1:$L$25,2,0)</f>
        <v>Profesional en SST</v>
      </c>
      <c r="C20606" s="93">
        <v>0.25</v>
      </c>
      <c r="D20606" s="50">
        <f>VLOOKUP(A20606,'Componentes APUs'!$H$1:$L$25,3,0)</f>
        <v>2.5</v>
      </c>
      <c r="E20606" s="51">
        <f>VLOOKUP(A20606,'Componentes APUs'!$H$1:$L$25,4,0)</f>
        <v>169464.28571428571</v>
      </c>
      <c r="F20606" s="51">
        <f>VLOOKUP(A20606,'Componentes APUs'!$H$1:$L$25,5,0)</f>
        <v>101678.57142857142</v>
      </c>
      <c r="G20606" s="51">
        <f>ROUNDUP((E20606+F20606)*C20606/E20583,0)</f>
        <v>16947</v>
      </c>
    </row>
    <row r="20607" spans="1:7" x14ac:dyDescent="0.25">
      <c r="A20607" s="50" t="s">
        <v>52</v>
      </c>
      <c r="B20607" s="68" t="str">
        <f>VLOOKUP(A20607,'Componentes APUs'!$H$1:$L$25,2,0)</f>
        <v>Ayudante No Calificado</v>
      </c>
      <c r="C20607" s="93">
        <v>0</v>
      </c>
      <c r="D20607" s="50">
        <f>VLOOKUP(A20607,'Componentes APUs'!$H$1:$L$25,3,0)</f>
        <v>1</v>
      </c>
      <c r="E20607" s="51">
        <f>VLOOKUP(A20607,'Componentes APUs'!$H$1:$L$25,4,0)</f>
        <v>77309.523809523816</v>
      </c>
      <c r="F20607" s="51">
        <f>VLOOKUP(A20607,'Componentes APUs'!$H$1:$L$25,5,0)</f>
        <v>46385.71428571429</v>
      </c>
      <c r="G20607" s="51">
        <f>ROUNDUP((E20607+F20607)*C20607/E20583,0)</f>
        <v>0</v>
      </c>
    </row>
    <row r="20608" spans="1:7" x14ac:dyDescent="0.25">
      <c r="A20608" s="219" t="s">
        <v>56</v>
      </c>
      <c r="B20608" s="219"/>
      <c r="C20608" s="219"/>
      <c r="D20608" s="219"/>
      <c r="E20608" s="219"/>
      <c r="F20608" s="219"/>
      <c r="G20608" s="52">
        <f>SUM(G20602:G20607)</f>
        <v>167887</v>
      </c>
    </row>
    <row r="20609" spans="1:7" x14ac:dyDescent="0.25">
      <c r="A20609" s="56"/>
      <c r="B20609" s="57"/>
      <c r="C20609" s="57"/>
      <c r="D20609" s="57"/>
      <c r="E20609" s="57"/>
      <c r="F20609" s="57"/>
      <c r="G20609" s="58"/>
    </row>
    <row r="20610" spans="1:7" x14ac:dyDescent="0.25">
      <c r="A20610" s="219" t="s">
        <v>57</v>
      </c>
      <c r="B20610" s="219"/>
      <c r="C20610" s="219"/>
      <c r="D20610" s="219"/>
      <c r="E20610" s="219"/>
      <c r="F20610" s="219"/>
      <c r="G20610" s="219"/>
    </row>
    <row r="20611" spans="1:7" x14ac:dyDescent="0.25">
      <c r="A20611" s="49" t="s">
        <v>35</v>
      </c>
      <c r="B20611" s="219" t="s">
        <v>36</v>
      </c>
      <c r="C20611" s="219"/>
      <c r="D20611" s="49" t="s">
        <v>37</v>
      </c>
      <c r="E20611" s="49" t="s">
        <v>38</v>
      </c>
      <c r="F20611" s="49" t="s">
        <v>39</v>
      </c>
      <c r="G20611" s="49" t="s">
        <v>40</v>
      </c>
    </row>
    <row r="20612" spans="1:7" x14ac:dyDescent="0.25">
      <c r="A20612" s="50" t="s">
        <v>326</v>
      </c>
      <c r="B20612" s="220" t="str">
        <f>VLOOKUP(A20612,'Componentes APUs'!$S$1:$V$10,2,0)</f>
        <v>Juego Llaves</v>
      </c>
      <c r="C20612" s="220"/>
      <c r="D20612" s="50" t="s">
        <v>18</v>
      </c>
      <c r="E20612" s="50">
        <v>1</v>
      </c>
      <c r="F20612" s="51">
        <f>VLOOKUP(A20612,'Componentes APUs'!$S$1:$V$10,4,0)</f>
        <v>9167</v>
      </c>
      <c r="G20612" s="51">
        <f>ROUNDUP(F20612*((E20612/21)/E20583),0)</f>
        <v>110</v>
      </c>
    </row>
    <row r="20613" spans="1:7" x14ac:dyDescent="0.25">
      <c r="A20613" s="50" t="s">
        <v>58</v>
      </c>
      <c r="B20613" s="220" t="str">
        <f>VLOOKUP(A20613,'Componentes APUs'!$S$1:$V$10,2,0)</f>
        <v>Manila de servicio</v>
      </c>
      <c r="C20613" s="220"/>
      <c r="D20613" s="50" t="s">
        <v>18</v>
      </c>
      <c r="E20613" s="50">
        <v>0</v>
      </c>
      <c r="F20613" s="51">
        <f>VLOOKUP(A20613,'Componentes APUs'!$S$1:$V$10,4,0)</f>
        <v>2333</v>
      </c>
      <c r="G20613" s="51">
        <f>ROUNDUP(F20613*((E20613/21)/E20583),0)</f>
        <v>0</v>
      </c>
    </row>
    <row r="20614" spans="1:7" x14ac:dyDescent="0.25">
      <c r="A20614" s="50" t="s">
        <v>327</v>
      </c>
      <c r="B20614" s="220" t="str">
        <f>VLOOKUP(A20614,'Componentes APUs'!$S$1:$V$10,2,0)</f>
        <v>Tula portaherramientas</v>
      </c>
      <c r="C20614" s="220"/>
      <c r="D20614" s="50" t="s">
        <v>18</v>
      </c>
      <c r="E20614" s="50">
        <v>1</v>
      </c>
      <c r="F20614" s="51">
        <f>VLOOKUP(A20614,'Componentes APUs'!$S$1:$V$10,4,0)</f>
        <v>1250</v>
      </c>
      <c r="G20614" s="51">
        <f>ROUNDUP(F20614*((E20614/21)/E20583),0)</f>
        <v>15</v>
      </c>
    </row>
    <row r="20615" spans="1:7" x14ac:dyDescent="0.25">
      <c r="A20615" s="50" t="s">
        <v>60</v>
      </c>
      <c r="B20615" s="220" t="str">
        <f>VLOOKUP(A20615,'Componentes APUs'!$S$1:$V$10,2,0)</f>
        <v>Agarradoras</v>
      </c>
      <c r="C20615" s="220"/>
      <c r="D20615" s="50" t="s">
        <v>18</v>
      </c>
      <c r="E20615" s="50">
        <v>0</v>
      </c>
      <c r="F20615" s="51">
        <f>VLOOKUP(A20615,'Componentes APUs'!$S$1:$V$10,4,0)</f>
        <v>125000</v>
      </c>
      <c r="G20615" s="51">
        <f>ROUNDUP(F20615*((E20615/21)/E20583),0)</f>
        <v>0</v>
      </c>
    </row>
    <row r="20616" spans="1:7" x14ac:dyDescent="0.25">
      <c r="A20616" s="50" t="s">
        <v>62</v>
      </c>
      <c r="B20616" s="220" t="str">
        <f>VLOOKUP(A20616,'Componentes APUs'!$S$1:$V$10,2,0)</f>
        <v>Templadoras</v>
      </c>
      <c r="C20616" s="220"/>
      <c r="D20616" s="50" t="s">
        <v>18</v>
      </c>
      <c r="E20616" s="50">
        <v>0</v>
      </c>
      <c r="F20616" s="51">
        <f>VLOOKUP(A20616,'Componentes APUs'!$S$1:$V$10,4,0)</f>
        <v>250000</v>
      </c>
      <c r="G20616" s="51">
        <f>ROUNDUP(F20616*((E20616/21)/E20583),0)</f>
        <v>0</v>
      </c>
    </row>
    <row r="20617" spans="1:7" x14ac:dyDescent="0.25">
      <c r="A20617" s="50" t="s">
        <v>328</v>
      </c>
      <c r="B20617" s="220" t="str">
        <f>VLOOKUP(A20617,'Componentes APUs'!$S$1:$V$10,2,0)</f>
        <v>Herramienta Menor</v>
      </c>
      <c r="C20617" s="220"/>
      <c r="D20617" s="50" t="s">
        <v>18</v>
      </c>
      <c r="E20617" s="50">
        <v>1</v>
      </c>
      <c r="F20617" s="51">
        <f>VLOOKUP(A20617,'Componentes APUs'!$S$1:$V$10,4,0)</f>
        <v>75758</v>
      </c>
      <c r="G20617" s="51">
        <f>ROUNDUP(F20617*((E20617/21)/E20583),0)</f>
        <v>902</v>
      </c>
    </row>
    <row r="20618" spans="1:7" x14ac:dyDescent="0.25">
      <c r="A20618" s="219" t="s">
        <v>69</v>
      </c>
      <c r="B20618" s="219"/>
      <c r="C20618" s="219"/>
      <c r="D20618" s="219"/>
      <c r="E20618" s="219"/>
      <c r="F20618" s="219"/>
      <c r="G20618" s="52">
        <f>SUM(G20612:G20617)</f>
        <v>1027</v>
      </c>
    </row>
    <row r="20619" spans="1:7" x14ac:dyDescent="0.25">
      <c r="A20619" s="56"/>
      <c r="B20619" s="57"/>
      <c r="C20619" s="57"/>
      <c r="D20619" s="57"/>
      <c r="E20619" s="57"/>
      <c r="F20619" s="57"/>
      <c r="G20619" s="58"/>
    </row>
    <row r="20620" spans="1:7" x14ac:dyDescent="0.25">
      <c r="A20620" s="219" t="s">
        <v>70</v>
      </c>
      <c r="B20620" s="219"/>
      <c r="C20620" s="219"/>
      <c r="D20620" s="219"/>
      <c r="E20620" s="219"/>
      <c r="F20620" s="219"/>
      <c r="G20620" s="219"/>
    </row>
    <row r="20621" spans="1:7" x14ac:dyDescent="0.25">
      <c r="A20621" s="49" t="s">
        <v>35</v>
      </c>
      <c r="B20621" s="219" t="s">
        <v>36</v>
      </c>
      <c r="C20621" s="219"/>
      <c r="D20621" s="49" t="s">
        <v>37</v>
      </c>
      <c r="E20621" s="49" t="s">
        <v>38</v>
      </c>
      <c r="F20621" s="49" t="s">
        <v>39</v>
      </c>
      <c r="G20621" s="49" t="s">
        <v>40</v>
      </c>
    </row>
    <row r="20622" spans="1:7" x14ac:dyDescent="0.25">
      <c r="A20622" s="50" t="s">
        <v>71</v>
      </c>
      <c r="B20622" s="71" t="str">
        <f>VLOOKUP(A20622,'Componentes APUs'!$A$1:$D$14,2,0)</f>
        <v>Camisa indigo sin partes metalicas</v>
      </c>
      <c r="C20622" s="71"/>
      <c r="D20622" s="50" t="str">
        <f>VLOOKUP(A20622,'Componentes APUs'!$A$1:$D$14,3,0)</f>
        <v>U</v>
      </c>
      <c r="E20622" s="50">
        <f>SUM(C20602:C20607)</f>
        <v>2.75</v>
      </c>
      <c r="F20622" s="51">
        <f>VLOOKUP(A20622,'Componentes APUs'!$A$1:$D$14,4,0)</f>
        <v>8585.8585858585866</v>
      </c>
      <c r="G20622" s="51">
        <f>ROUNDUP(F20622*(E20622/21)/E20583,0)</f>
        <v>282</v>
      </c>
    </row>
    <row r="20623" spans="1:7" x14ac:dyDescent="0.25">
      <c r="A20623" s="69" t="s">
        <v>73</v>
      </c>
      <c r="B20623" s="72" t="str">
        <f>VLOOKUP(A20623,'Componentes APUs'!$A$1:$D$14,2,0)</f>
        <v>Bota de seguridad dielectrica</v>
      </c>
      <c r="C20623" s="73"/>
      <c r="D20623" s="70" t="str">
        <f>VLOOKUP(A20623,'Componentes APUs'!$A$1:$D$14,3,0)</f>
        <v>Par</v>
      </c>
      <c r="E20623" s="50">
        <f>SUM(C20602:C20607)</f>
        <v>2.75</v>
      </c>
      <c r="F20623" s="51">
        <f>VLOOKUP(A20623,'Componentes APUs'!$A$1:$D$14,4,0)</f>
        <v>7500</v>
      </c>
      <c r="G20623" s="51">
        <f>ROUNDUP(F20623*(E20623/21)/E20583,0)</f>
        <v>246</v>
      </c>
    </row>
    <row r="20624" spans="1:7" x14ac:dyDescent="0.25">
      <c r="A20624" s="50" t="s">
        <v>76</v>
      </c>
      <c r="B20624" s="72" t="str">
        <f>VLOOKUP(A20624,'Componentes APUs'!$A$1:$D$14,2,0)</f>
        <v>Casco dielectrico Tipo 1 Clase E con barbuquejo</v>
      </c>
      <c r="C20624" s="73"/>
      <c r="D20624" s="50" t="str">
        <f>VLOOKUP(A20624,'Componentes APUs'!$A$1:$D$14,3,0)</f>
        <v>U</v>
      </c>
      <c r="E20624" s="50">
        <f>C20607+C20602+C20605+C20606+C20603+IF(A20604&lt;&gt;"MO-3",C20604,0)</f>
        <v>2.75</v>
      </c>
      <c r="F20624" s="51">
        <f>VLOOKUP(A20624,'Componentes APUs'!$A$1:$D$14,4,0)</f>
        <v>10101.010101010101</v>
      </c>
      <c r="G20624" s="51">
        <f>ROUNDUP(F20624*(E20624/21)/E20583,0)</f>
        <v>331</v>
      </c>
    </row>
    <row r="20625" spans="1:7" x14ac:dyDescent="0.25">
      <c r="A20625" s="69" t="s">
        <v>77</v>
      </c>
      <c r="B20625" s="72" t="str">
        <f>VLOOKUP(A20625,'Componentes APUs'!$A$1:$D$14,2,0)</f>
        <v>Correa plastica y antiflama</v>
      </c>
      <c r="C20625" s="73"/>
      <c r="D20625" s="50" t="str">
        <f>VLOOKUP(A20625,'Componentes APUs'!$A$1:$D$14,3,0)</f>
        <v>U</v>
      </c>
      <c r="E20625" s="50">
        <f>SUM(C20602:C20607)</f>
        <v>2.75</v>
      </c>
      <c r="F20625" s="51">
        <f>VLOOKUP(A20625,'Componentes APUs'!$A$1:$D$14,4,0)</f>
        <v>3787.878787878788</v>
      </c>
      <c r="G20625" s="51">
        <f>ROUNDUP(F20625*(E20625/21)/E20583,0)</f>
        <v>125</v>
      </c>
    </row>
    <row r="20626" spans="1:7" x14ac:dyDescent="0.25">
      <c r="A20626" s="50" t="s">
        <v>79</v>
      </c>
      <c r="B20626" s="72" t="str">
        <f>VLOOKUP(A20626,'Componentes APUs'!$A$1:$D$14,2,0)</f>
        <v>Gafas protectoras filtro UV</v>
      </c>
      <c r="C20626" s="73"/>
      <c r="D20626" s="50" t="str">
        <f>VLOOKUP(A20626,'Componentes APUs'!$A$1:$D$14,3,0)</f>
        <v>U</v>
      </c>
      <c r="E20626" s="50">
        <f>SUM(C20602:C20607)</f>
        <v>2.75</v>
      </c>
      <c r="F20626" s="51">
        <f>VLOOKUP(A20626,'Componentes APUs'!$A$1:$D$14,4,0)</f>
        <v>2777.7777777777778</v>
      </c>
      <c r="G20626" s="51">
        <f>ROUNDUP(F20626*(E20626/21)/E20583,0)</f>
        <v>91</v>
      </c>
    </row>
    <row r="20627" spans="1:7" x14ac:dyDescent="0.25">
      <c r="A20627" s="69" t="s">
        <v>402</v>
      </c>
      <c r="B20627" s="72" t="str">
        <f>VLOOKUP(A20627,'Componentes APUs'!$A$1:$D$14,2,0)</f>
        <v>Bota de seguridad PVC dielectrica</v>
      </c>
      <c r="C20627" s="73"/>
      <c r="D20627" s="50" t="str">
        <f>VLOOKUP(A20627,'Componentes APUs'!$A$1:$D$14,3,0)</f>
        <v>Par</v>
      </c>
      <c r="E20627" s="50">
        <f>SUM(C20602:C20607)</f>
        <v>2.75</v>
      </c>
      <c r="F20627" s="51">
        <f>VLOOKUP(A20627,'Componentes APUs'!$A$1:$D$14,4,0)</f>
        <v>2916.6666666666665</v>
      </c>
      <c r="G20627" s="51">
        <f>ROUNDUP(F20627*(E20627/21)/E20583,0)</f>
        <v>96</v>
      </c>
    </row>
    <row r="20628" spans="1:7" x14ac:dyDescent="0.25">
      <c r="A20628" s="50" t="s">
        <v>403</v>
      </c>
      <c r="B20628" s="72" t="str">
        <f>VLOOKUP(A20628,'Componentes APUs'!$A$1:$D$14,2,0)</f>
        <v>Capuchon</v>
      </c>
      <c r="C20628" s="73"/>
      <c r="D20628" s="50" t="str">
        <f>VLOOKUP(A20628,'Componentes APUs'!$A$1:$D$14,3,0)</f>
        <v>U</v>
      </c>
      <c r="E20628" s="50">
        <f>SUM(C20602:C20607)</f>
        <v>2.75</v>
      </c>
      <c r="F20628" s="51">
        <f>VLOOKUP(A20628,'Componentes APUs'!$A$1:$D$14,4,0)</f>
        <v>2525.2525252525252</v>
      </c>
      <c r="G20628" s="51">
        <f>ROUNDUP(F20628*(E20628/21)/E20583,0)</f>
        <v>83</v>
      </c>
    </row>
    <row r="20629" spans="1:7" x14ac:dyDescent="0.25">
      <c r="A20629" s="69" t="s">
        <v>81</v>
      </c>
      <c r="B20629" s="72" t="str">
        <f>VLOOKUP(A20629,'Componentes APUs'!$A$1:$D$14,2,0)</f>
        <v>Guantes Protectores  - ingeniero reforzados</v>
      </c>
      <c r="C20629" s="73"/>
      <c r="D20629" s="50" t="str">
        <f>VLOOKUP(A20629,'Componentes APUs'!$A$1:$D$14,3,0)</f>
        <v>Par</v>
      </c>
      <c r="E20629" s="50">
        <f>C20604+C20605+C20607</f>
        <v>2</v>
      </c>
      <c r="F20629" s="51">
        <f>VLOOKUP(A20629,'Componentes APUs'!$A$1:$D$14,4,0)</f>
        <v>2525.2525252525252</v>
      </c>
      <c r="G20629" s="51">
        <f>ROUNDUP(F20629*(E20629/21)/E20583,0)</f>
        <v>61</v>
      </c>
    </row>
    <row r="20630" spans="1:7" x14ac:dyDescent="0.25">
      <c r="A20630" s="50" t="s">
        <v>83</v>
      </c>
      <c r="B20630" s="72" t="str">
        <f>VLOOKUP(A20630,'Componentes APUs'!$A$1:$D$14,2,0)</f>
        <v>Impermeable (pantalon camisa)</v>
      </c>
      <c r="C20630" s="73"/>
      <c r="D20630" s="50" t="str">
        <f>VLOOKUP(A20630,'Componentes APUs'!$A$1:$D$14,3,0)</f>
        <v>U</v>
      </c>
      <c r="E20630" s="50">
        <f>SUM(C20602:C20607)</f>
        <v>2.75</v>
      </c>
      <c r="F20630" s="51">
        <f>VLOOKUP(A20630,'Componentes APUs'!$A$1:$D$14,4,0)</f>
        <v>3750</v>
      </c>
      <c r="G20630" s="51">
        <f>ROUNDUP(F20630*(E20630/21)/E20583,0)</f>
        <v>123</v>
      </c>
    </row>
    <row r="20631" spans="1:7" x14ac:dyDescent="0.25">
      <c r="A20631" s="69" t="s">
        <v>85</v>
      </c>
      <c r="B20631" s="72" t="str">
        <f>VLOOKUP(A20631,'Componentes APUs'!$A$1:$D$14,2,0)</f>
        <v>Jean Dielectrico</v>
      </c>
      <c r="C20631" s="73"/>
      <c r="D20631" s="50" t="str">
        <f>VLOOKUP(A20631,'Componentes APUs'!$A$1:$D$14,3,0)</f>
        <v>U</v>
      </c>
      <c r="E20631" s="50">
        <f>SUM(C20602:C20607)</f>
        <v>2.75</v>
      </c>
      <c r="F20631" s="51">
        <f>VLOOKUP(A20631,'Componentes APUs'!$A$1:$D$14,4,0)</f>
        <v>7575.757575757576</v>
      </c>
      <c r="G20631" s="51">
        <f>ROUNDUP(F20631*(E20631/21)/E20583,0)</f>
        <v>249</v>
      </c>
    </row>
    <row r="20632" spans="1:7" x14ac:dyDescent="0.25">
      <c r="A20632" s="50" t="s">
        <v>87</v>
      </c>
      <c r="B20632" s="72" t="str">
        <f>VLOOKUP(A20632,'Componentes APUs'!$A$1:$D$14,2,0)</f>
        <v>Casco dielectrico Tipo 2 Clase E con barboquejo</v>
      </c>
      <c r="C20632" s="73"/>
      <c r="D20632" s="50" t="str">
        <f>VLOOKUP(A20632,'Componentes APUs'!$A$1:$D$14,3,0)</f>
        <v>U</v>
      </c>
      <c r="E20632" s="53">
        <f>IF(A20604="MO-3",C20604,0)</f>
        <v>0</v>
      </c>
      <c r="F20632" s="51">
        <f>VLOOKUP(A20632,'Componentes APUs'!$A$1:$D$14,4,0)</f>
        <v>7500</v>
      </c>
      <c r="G20632" s="51">
        <f>ROUNDUP(F20632*(E20632/21)/E20583,0)</f>
        <v>0</v>
      </c>
    </row>
    <row r="20633" spans="1:7" x14ac:dyDescent="0.25">
      <c r="A20633" s="69" t="s">
        <v>89</v>
      </c>
      <c r="B20633" s="72" t="str">
        <f>VLOOKUP(A20633,'Componentes APUs'!$A$1:$D$14,2,0)</f>
        <v>Kit de rescate para trabajo en alturas</v>
      </c>
      <c r="C20633" s="73"/>
      <c r="D20633" s="50" t="str">
        <f>VLOOKUP(A20633,'Componentes APUs'!$A$1:$D$14,3,0)</f>
        <v>U</v>
      </c>
      <c r="E20633" s="50">
        <f>IF(AND(A20604="MO-3",C20604=2),1,0)</f>
        <v>0</v>
      </c>
      <c r="F20633" s="51">
        <f>VLOOKUP(A20633,'Componentes APUs'!$A$1:$D$14,4,0)</f>
        <v>37500</v>
      </c>
      <c r="G20633" s="51">
        <f>ROUNDUP(F20633*(E20633/21)/E20583,0)</f>
        <v>0</v>
      </c>
    </row>
    <row r="20634" spans="1:7" x14ac:dyDescent="0.25">
      <c r="A20634" s="50" t="s">
        <v>91</v>
      </c>
      <c r="B20634" s="72" t="str">
        <f>VLOOKUP(A20634,'Componentes APUs'!$A$1:$D$14,2,0)</f>
        <v>Equipo completo para trabajo en alturas con pretales (Arnes dielectrico, 1 mosqueton de seguridad, tie off dielectrico, eslinga de posicionamiento, juego de pretales)</v>
      </c>
      <c r="C20634" s="73"/>
      <c r="D20634" s="50" t="str">
        <f>VLOOKUP(A20634,'Componentes APUs'!$A$1:$D$14,3,0)</f>
        <v>U</v>
      </c>
      <c r="E20634" s="50">
        <f>IF(A20604="MO-3",C20604,0)</f>
        <v>0</v>
      </c>
      <c r="F20634" s="51">
        <f>VLOOKUP(A20634,'Componentes APUs'!$A$1:$D$14,4,0)</f>
        <v>26041.666666666668</v>
      </c>
      <c r="G20634" s="51">
        <f>ROUNDUP(F20634*(E20634/21)/E20583,0)</f>
        <v>0</v>
      </c>
    </row>
    <row r="20635" spans="1:7" x14ac:dyDescent="0.25">
      <c r="A20635" s="219" t="s">
        <v>95</v>
      </c>
      <c r="B20635" s="219"/>
      <c r="C20635" s="219"/>
      <c r="D20635" s="219"/>
      <c r="E20635" s="219"/>
      <c r="F20635" s="219"/>
      <c r="G20635" s="52">
        <f>SUM(G20622:G20634)</f>
        <v>1687</v>
      </c>
    </row>
    <row r="20636" spans="1:7" x14ac:dyDescent="0.25">
      <c r="A20636" s="56"/>
      <c r="B20636" s="57"/>
      <c r="C20636" s="57"/>
      <c r="D20636" s="57"/>
      <c r="E20636" s="57"/>
      <c r="F20636" s="57"/>
      <c r="G20636" s="58"/>
    </row>
    <row r="20637" spans="1:7" x14ac:dyDescent="0.25">
      <c r="A20637" s="219" t="s">
        <v>96</v>
      </c>
      <c r="B20637" s="219"/>
      <c r="C20637" s="219"/>
      <c r="D20637" s="219"/>
      <c r="E20637" s="219"/>
      <c r="F20637" s="219"/>
      <c r="G20637" s="219"/>
    </row>
    <row r="20638" spans="1:7" x14ac:dyDescent="0.25">
      <c r="A20638" s="49" t="s">
        <v>35</v>
      </c>
      <c r="B20638" s="225" t="s">
        <v>36</v>
      </c>
      <c r="C20638" s="225"/>
      <c r="D20638" s="49" t="s">
        <v>37</v>
      </c>
      <c r="E20638" s="49" t="s">
        <v>38</v>
      </c>
      <c r="F20638" s="49" t="s">
        <v>39</v>
      </c>
      <c r="G20638" s="49" t="s">
        <v>40</v>
      </c>
    </row>
    <row r="20639" spans="1:7" x14ac:dyDescent="0.25">
      <c r="A20639" s="69" t="s">
        <v>97</v>
      </c>
      <c r="B20639" s="72" t="str">
        <f>VLOOKUP(A20639,'Componentes APUs'!$N$1:$Q$30,2,0)</f>
        <v>Camioneta</v>
      </c>
      <c r="C20639" s="73"/>
      <c r="D20639" s="70" t="str">
        <f>VLOOKUP(A20639,'Componentes APUs'!$N$1:$Q$30,3,0)</f>
        <v>U</v>
      </c>
      <c r="E20639" s="50">
        <v>1</v>
      </c>
      <c r="F20639" s="51">
        <f>VLOOKUP(A20639,'Componentes APUs'!$N$1:$Q$30,4,0)</f>
        <v>5500000</v>
      </c>
      <c r="G20639" s="51">
        <f>IFERROR(ROUNDUP(F20639*(E20639/21)/E20583,0),0)</f>
        <v>65477</v>
      </c>
    </row>
    <row r="20640" spans="1:7" x14ac:dyDescent="0.25">
      <c r="A20640" s="50" t="s">
        <v>321</v>
      </c>
      <c r="B20640" s="72" t="str">
        <f>VLOOKUP(A20640,'Componentes APUs'!$N$1:$Q$30,2,0)</f>
        <v>Grúa Hidráulica</v>
      </c>
      <c r="C20640" s="73"/>
      <c r="D20640" s="70" t="str">
        <f>VLOOKUP(A20640,'Componentes APUs'!$N$1:$Q$30,3,0)</f>
        <v>U</v>
      </c>
      <c r="E20640" s="50">
        <v>0</v>
      </c>
      <c r="F20640" s="51">
        <f>VLOOKUP(A20640,'Componentes APUs'!$N$1:$Q$30,4,0)</f>
        <v>21000000</v>
      </c>
      <c r="G20640" s="51">
        <f>IFERROR(ROUNDUP(F20640*(E20640/21)/E20583,0),0)</f>
        <v>0</v>
      </c>
    </row>
    <row r="20641" spans="1:7" x14ac:dyDescent="0.25">
      <c r="A20641" s="69" t="s">
        <v>322</v>
      </c>
      <c r="B20641" s="72" t="str">
        <f>VLOOKUP(A20641,'Componentes APUs'!$N$1:$Q$30,2,0)</f>
        <v>Camabaja</v>
      </c>
      <c r="C20641" s="73"/>
      <c r="D20641" s="70" t="str">
        <f>VLOOKUP(A20641,'Componentes APUs'!$N$1:$Q$30,3,0)</f>
        <v>TON/KM</v>
      </c>
      <c r="E20641" s="50">
        <v>0</v>
      </c>
      <c r="F20641" s="51">
        <f>VLOOKUP(A20641,'Componentes APUs'!$N$1:$Q$30,4,0)</f>
        <v>611</v>
      </c>
      <c r="G20641" s="51">
        <f>IFERROR(ROUNDUP(F20641*(E20641/21)/E20583,0),0)</f>
        <v>0</v>
      </c>
    </row>
    <row r="20642" spans="1:7" x14ac:dyDescent="0.25">
      <c r="A20642" s="50" t="s">
        <v>323</v>
      </c>
      <c r="B20642" s="72" t="str">
        <f>VLOOKUP(A20642,'Componentes APUs'!$N$1:$Q$30,2,0)</f>
        <v>Volqueta</v>
      </c>
      <c r="C20642" s="73"/>
      <c r="D20642" s="70" t="str">
        <f>VLOOKUP(A20642,'Componentes APUs'!$N$1:$Q$30,3,0)</f>
        <v>U</v>
      </c>
      <c r="E20642" s="50">
        <v>0</v>
      </c>
      <c r="F20642" s="51">
        <f>VLOOKUP(A20642,'Componentes APUs'!$N$1:$Q$30,4,0)</f>
        <v>14828184</v>
      </c>
      <c r="G20642" s="51">
        <f>IFERROR(ROUNDUP(F20642*(E20642/21)/E20583,0),0)</f>
        <v>0</v>
      </c>
    </row>
    <row r="20643" spans="1:7" x14ac:dyDescent="0.25">
      <c r="A20643" s="219" t="s">
        <v>99</v>
      </c>
      <c r="B20643" s="219"/>
      <c r="C20643" s="219"/>
      <c r="D20643" s="219"/>
      <c r="E20643" s="219"/>
      <c r="F20643" s="219"/>
      <c r="G20643" s="52">
        <f>SUM(G20639:G20642)</f>
        <v>65477</v>
      </c>
    </row>
    <row r="20644" spans="1:7" x14ac:dyDescent="0.25">
      <c r="A20644" s="56"/>
      <c r="B20644" s="57"/>
      <c r="C20644" s="57"/>
      <c r="D20644" s="57"/>
      <c r="E20644" s="57"/>
      <c r="F20644" s="57"/>
      <c r="G20644" s="58"/>
    </row>
    <row r="20645" spans="1:7" x14ac:dyDescent="0.25">
      <c r="A20645" s="219" t="s">
        <v>1516</v>
      </c>
      <c r="B20645" s="219"/>
      <c r="C20645" s="219"/>
      <c r="D20645" s="219"/>
      <c r="E20645" s="219"/>
      <c r="F20645" s="219"/>
      <c r="G20645" s="52">
        <f>G20643+G20635+G20618+G20608+G20598</f>
        <v>2105355</v>
      </c>
    </row>
    <row r="20646" spans="1:7" x14ac:dyDescent="0.25">
      <c r="A20646" s="59"/>
      <c r="B20646" s="60"/>
      <c r="C20646" s="60"/>
      <c r="D20646" s="60"/>
      <c r="E20646" s="57"/>
      <c r="F20646" s="57"/>
      <c r="G20646" s="58"/>
    </row>
    <row r="20647" spans="1:7" x14ac:dyDescent="0.25">
      <c r="A20647" s="64"/>
      <c r="D20647" s="55"/>
      <c r="E20647" s="49" t="s">
        <v>25</v>
      </c>
      <c r="F20647" s="54">
        <v>0.15</v>
      </c>
      <c r="G20647" s="51">
        <f>G20645*F20647</f>
        <v>315803.25</v>
      </c>
    </row>
    <row r="20648" spans="1:7" x14ac:dyDescent="0.25">
      <c r="A20648" s="64"/>
      <c r="D20648" s="55"/>
      <c r="E20648" s="49" t="s">
        <v>26</v>
      </c>
      <c r="F20648" s="54">
        <v>0.05</v>
      </c>
      <c r="G20648" s="51">
        <f>G20645*F20648</f>
        <v>105267.75</v>
      </c>
    </row>
    <row r="20649" spans="1:7" x14ac:dyDescent="0.25">
      <c r="A20649" s="61"/>
      <c r="B20649" s="65"/>
      <c r="C20649" s="65"/>
      <c r="D20649" s="62"/>
      <c r="E20649" s="49" t="s">
        <v>27</v>
      </c>
      <c r="F20649" s="54">
        <v>0.05</v>
      </c>
      <c r="G20649" s="51">
        <f>G20645*F20649</f>
        <v>105267.75</v>
      </c>
    </row>
    <row r="20650" spans="1:7" x14ac:dyDescent="0.25">
      <c r="A20650" s="61"/>
      <c r="B20650" s="62"/>
      <c r="C20650" s="62"/>
      <c r="D20650" s="62"/>
      <c r="E20650" s="62"/>
      <c r="F20650" s="62"/>
      <c r="G20650" s="63"/>
    </row>
    <row r="20651" spans="1:7" x14ac:dyDescent="0.25">
      <c r="A20651" s="219" t="s">
        <v>1517</v>
      </c>
      <c r="B20651" s="219"/>
      <c r="C20651" s="219"/>
      <c r="D20651" s="219"/>
      <c r="E20651" s="219"/>
      <c r="F20651" s="219"/>
      <c r="G20651" s="52">
        <f>G20645+G20647+G20648+G20649</f>
        <v>2631693.75</v>
      </c>
    </row>
    <row r="20652" spans="1:7" x14ac:dyDescent="0.25">
      <c r="A20652" s="59"/>
      <c r="B20652" s="60"/>
      <c r="C20652" s="60"/>
      <c r="D20652" s="60"/>
      <c r="E20652" s="57"/>
      <c r="F20652" s="57"/>
      <c r="G20652" s="58"/>
    </row>
    <row r="20653" spans="1:7" x14ac:dyDescent="0.25">
      <c r="A20653" s="64"/>
      <c r="D20653" s="55"/>
      <c r="E20653" s="49" t="s">
        <v>102</v>
      </c>
      <c r="F20653" s="49" t="s">
        <v>103</v>
      </c>
      <c r="G20653" s="51">
        <f>G20649*19%</f>
        <v>20000.872500000001</v>
      </c>
    </row>
    <row r="20654" spans="1:7" x14ac:dyDescent="0.25">
      <c r="A20654" s="61"/>
      <c r="B20654" s="62"/>
      <c r="C20654" s="62"/>
      <c r="D20654" s="62"/>
      <c r="E20654" s="57"/>
      <c r="F20654" s="57"/>
      <c r="G20654" s="58"/>
    </row>
    <row r="20655" spans="1:7" x14ac:dyDescent="0.25">
      <c r="A20655" s="219" t="s">
        <v>104</v>
      </c>
      <c r="B20655" s="219"/>
      <c r="C20655" s="219"/>
      <c r="D20655" s="219"/>
      <c r="E20655" s="219"/>
      <c r="F20655" s="219"/>
      <c r="G20655" s="52">
        <f>G20653+G20651</f>
        <v>2651694.6225000001</v>
      </c>
    </row>
    <row r="20656" spans="1:7" s="55" customFormat="1" ht="12" x14ac:dyDescent="0.2">
      <c r="A20656" s="60"/>
      <c r="B20656" s="60"/>
      <c r="C20656" s="60"/>
      <c r="D20656" s="60"/>
      <c r="E20656" s="60"/>
      <c r="F20656" s="60"/>
      <c r="G20656" s="60"/>
    </row>
    <row r="20657" spans="1:7" x14ac:dyDescent="0.25">
      <c r="A20657" s="74" t="s">
        <v>29</v>
      </c>
      <c r="B20657" s="237" t="s">
        <v>30</v>
      </c>
      <c r="C20657" s="238"/>
      <c r="D20657" s="74" t="s">
        <v>31</v>
      </c>
      <c r="E20657" s="74" t="s">
        <v>32</v>
      </c>
      <c r="F20657" s="74" t="s">
        <v>189</v>
      </c>
      <c r="G20657" s="74" t="s">
        <v>33</v>
      </c>
    </row>
    <row r="20658" spans="1:7" ht="44.25" customHeight="1" x14ac:dyDescent="0.25">
      <c r="A20658" s="50" t="str">
        <f>Presupuesto!B396</f>
        <v>061_AUX</v>
      </c>
      <c r="B20658" s="220" t="str">
        <f>Presupuesto!C396</f>
        <v>SUMINISTRO E INSTALACIÓN DE ACOMETIDA EN CABLE 3X1/0F+1X1/0N+1X6 T AWG Cu- TC-THHN - 600 V Y TUBERÍA EMT DE 1". (CONEXIÓN DE DISTRIBUCIÓN AC -  TABLERO DE AIRES) INCLUYE TERMINALES Y ELEMENTO DE SOPORTE.</v>
      </c>
      <c r="C20658" s="239"/>
      <c r="D20658" s="50" t="s">
        <v>108</v>
      </c>
      <c r="E20658" s="50">
        <v>40</v>
      </c>
      <c r="F20658" s="50"/>
      <c r="G20658" s="51">
        <f>G20730</f>
        <v>325833.90950000001</v>
      </c>
    </row>
    <row r="20659" spans="1:7" x14ac:dyDescent="0.25">
      <c r="A20659" s="219" t="s">
        <v>34</v>
      </c>
      <c r="B20659" s="219"/>
      <c r="C20659" s="219"/>
      <c r="D20659" s="219"/>
      <c r="E20659" s="219"/>
      <c r="F20659" s="219"/>
      <c r="G20659" s="219"/>
    </row>
    <row r="20660" spans="1:7" x14ac:dyDescent="0.25">
      <c r="A20660" s="49" t="s">
        <v>35</v>
      </c>
      <c r="B20660" s="234" t="s">
        <v>36</v>
      </c>
      <c r="C20660" s="235"/>
      <c r="D20660" s="49" t="s">
        <v>37</v>
      </c>
      <c r="E20660" s="49" t="s">
        <v>38</v>
      </c>
      <c r="F20660" s="49" t="s">
        <v>39</v>
      </c>
      <c r="G20660" s="49" t="s">
        <v>40</v>
      </c>
    </row>
    <row r="20661" spans="1:7" x14ac:dyDescent="0.25">
      <c r="A20661" s="17" t="str">
        <f>Material!A181</f>
        <v>MA-180</v>
      </c>
      <c r="B20661" s="72" t="str">
        <f>IFERROR(VLOOKUP(A20661,Material!$A:$H,2,0),"-")</f>
        <v>CABLE AISLADO NO 1/0 AWG COBRE THHN</v>
      </c>
      <c r="C20661" s="76"/>
      <c r="D20661" s="50" t="str">
        <f>IFERROR(VLOOKUP(A20661,Material!$A:$H,4,0),"-")</f>
        <v>ML</v>
      </c>
      <c r="E20661" s="50">
        <f>4</f>
        <v>4</v>
      </c>
      <c r="F20661" s="51">
        <f>IFERROR(VLOOKUP(A20661,Material!$A:$H,3,0),"-")</f>
        <v>50700</v>
      </c>
      <c r="G20661" s="51">
        <f t="shared" ref="G20661:G20667" si="307">IFERROR(ROUNDUP(F20661*E20661,0),"-")</f>
        <v>202800</v>
      </c>
    </row>
    <row r="20662" spans="1:7" x14ac:dyDescent="0.25">
      <c r="A20662" s="17" t="str">
        <f>Material!A376</f>
        <v>MA-375</v>
      </c>
      <c r="B20662" s="72" t="str">
        <f>IFERROR(VLOOKUP(A20662,Material!$A:$H,2,0),"-")</f>
        <v xml:space="preserve">CABLE AISLADO NO 6 AWG COBRE THHN </v>
      </c>
      <c r="C20662" s="76"/>
      <c r="D20662" s="50" t="str">
        <f>IFERROR(VLOOKUP(A20662,Material!$A:$H,4,0),"-")</f>
        <v>ML</v>
      </c>
      <c r="E20662" s="50">
        <v>1</v>
      </c>
      <c r="F20662" s="51">
        <f>IFERROR(VLOOKUP(A20662,Material!$A:$H,3,0),"-")</f>
        <v>13260</v>
      </c>
      <c r="G20662" s="51">
        <f t="shared" si="307"/>
        <v>13260</v>
      </c>
    </row>
    <row r="20663" spans="1:7" x14ac:dyDescent="0.25">
      <c r="A20663" s="17" t="str">
        <f>Material!A262</f>
        <v>MA-261</v>
      </c>
      <c r="B20663" s="72" t="str">
        <f>IFERROR(VLOOKUP(A20663,Material!$A:$H,2,0),"-")</f>
        <v>CONECTOR TERMINAL CU PARA CABLE 1/0 AWG</v>
      </c>
      <c r="C20663" s="76"/>
      <c r="D20663" s="50" t="str">
        <f>IFERROR(VLOOKUP(A20663,Material!$A:$H,4,0),"-")</f>
        <v>UN</v>
      </c>
      <c r="E20663" s="50">
        <f>1/20</f>
        <v>0.05</v>
      </c>
      <c r="F20663" s="51">
        <f>IFERROR(VLOOKUP(A20663,Material!$A:$H,3,0),"-")</f>
        <v>4875</v>
      </c>
      <c r="G20663" s="51">
        <f t="shared" si="307"/>
        <v>244</v>
      </c>
    </row>
    <row r="20664" spans="1:7" x14ac:dyDescent="0.25">
      <c r="A20664" s="17" t="str">
        <f>Material!A276</f>
        <v>MA-275</v>
      </c>
      <c r="B20664" s="72" t="str">
        <f>IFERROR(VLOOKUP(A20664,Material!$A:$H,2,0),"-")</f>
        <v>AMARRA PLASTICA</v>
      </c>
      <c r="C20664" s="76"/>
      <c r="D20664" s="50" t="str">
        <f>IFERROR(VLOOKUP(A20664,Material!$A:$H,4,0),"-")</f>
        <v>UN</v>
      </c>
      <c r="E20664" s="50">
        <v>1</v>
      </c>
      <c r="F20664" s="51">
        <f>IFERROR(VLOOKUP(A20664,Material!$A:$H,3,0),"-")</f>
        <v>167.70000000000002</v>
      </c>
      <c r="G20664" s="51">
        <f t="shared" si="307"/>
        <v>168</v>
      </c>
    </row>
    <row r="20665" spans="1:7" x14ac:dyDescent="0.25">
      <c r="A20665" s="17" t="str">
        <f>Material!A235</f>
        <v>MA-234</v>
      </c>
      <c r="B20665" s="72" t="str">
        <f>IFERROR(VLOOKUP(A20665,Material!$A:$H,2,0),"-")</f>
        <v>CINTA AISLANTE 23</v>
      </c>
      <c r="C20665" s="76"/>
      <c r="D20665" s="50" t="str">
        <f>IFERROR(VLOOKUP(A20665,Material!$A:$H,4,0),"-")</f>
        <v>ML</v>
      </c>
      <c r="E20665" s="50">
        <f>0.01</f>
        <v>0.01</v>
      </c>
      <c r="F20665" s="51">
        <f>IFERROR(VLOOKUP(A20665,Material!$A:$H,3,0),"-")</f>
        <v>29683.333333333332</v>
      </c>
      <c r="G20665" s="51">
        <f t="shared" si="307"/>
        <v>297</v>
      </c>
    </row>
    <row r="20666" spans="1:7" x14ac:dyDescent="0.25">
      <c r="A20666" s="17" t="str">
        <f>Material!A236</f>
        <v>MA-235</v>
      </c>
      <c r="B20666" s="72" t="str">
        <f>IFERROR(VLOOKUP(A20666,Material!$A:$H,2,0),"-")</f>
        <v>CINTA AISLANTE 33</v>
      </c>
      <c r="C20666" s="76"/>
      <c r="D20666" s="50" t="str">
        <f>IFERROR(VLOOKUP(A20666,Material!$A:$H,4,0),"-")</f>
        <v>ML</v>
      </c>
      <c r="E20666" s="50">
        <f>0.01</f>
        <v>0.01</v>
      </c>
      <c r="F20666" s="51">
        <f>IFERROR(VLOOKUP(A20666,Material!$A:$H,3,0),"-")</f>
        <v>1826.5</v>
      </c>
      <c r="G20666" s="51">
        <f t="shared" si="307"/>
        <v>19</v>
      </c>
    </row>
    <row r="20667" spans="1:7" x14ac:dyDescent="0.25">
      <c r="A20667" s="17" t="str">
        <f>Material!A371</f>
        <v>MA-370</v>
      </c>
      <c r="B20667" s="72" t="str">
        <f>IFERROR(VLOOKUP(A20667,Material!$A:$H,2,0),"-")</f>
        <v>TUBO METALICO EMT CONDUIT GALVANIZADO DE 1"</v>
      </c>
      <c r="C20667" s="76"/>
      <c r="D20667" s="50" t="str">
        <f>IFERROR(VLOOKUP(A20667,Material!$A:$H,4,0),"-")</f>
        <v>ML</v>
      </c>
      <c r="E20667" s="50">
        <v>1</v>
      </c>
      <c r="F20667" s="51">
        <f>IFERROR(VLOOKUP(A20667,Material!$A:$H,3,0),"-")</f>
        <v>16748.333333333336</v>
      </c>
      <c r="G20667" s="51">
        <f t="shared" si="307"/>
        <v>16749</v>
      </c>
    </row>
    <row r="20668" spans="1:7" x14ac:dyDescent="0.25">
      <c r="A20668" s="17" t="str">
        <f>Material!A374</f>
        <v>MA-373</v>
      </c>
      <c r="B20668" s="72" t="str">
        <f>IFERROR(VLOOKUP(A20668,Material!$A:$H,2,0),"-")</f>
        <v>CURVA 90 GRADOS EMT DE 1"</v>
      </c>
      <c r="C20668" s="76"/>
      <c r="D20668" s="50" t="str">
        <f>IFERROR(VLOOKUP(A20668,Material!$A:$H,4,0),"-")</f>
        <v>UN</v>
      </c>
      <c r="E20668" s="50">
        <f>1/10</f>
        <v>0.1</v>
      </c>
      <c r="F20668" s="51">
        <f>IFERROR(VLOOKUP(A20668,Material!$A:$H,3,0),"-")</f>
        <v>4095</v>
      </c>
      <c r="G20668" s="51">
        <f t="shared" ref="G20668:G20672" si="308">IFERROR(ROUNDUP(F20668*E20668,0),"-")</f>
        <v>410</v>
      </c>
    </row>
    <row r="20669" spans="1:7" x14ac:dyDescent="0.25">
      <c r="A20669" s="17" t="str">
        <f>Material!A373</f>
        <v>MA-372</v>
      </c>
      <c r="B20669" s="72" t="str">
        <f>IFERROR(VLOOKUP(A20669,Material!$A:$H,2,0),"-")</f>
        <v>UNION EMT DE 1 "</v>
      </c>
      <c r="C20669" s="76"/>
      <c r="D20669" s="50" t="str">
        <f>IFERROR(VLOOKUP(A20669,Material!$A:$H,4,0),"-")</f>
        <v>UN</v>
      </c>
      <c r="E20669" s="50">
        <f>0.33</f>
        <v>0.33</v>
      </c>
      <c r="F20669" s="51">
        <f>IFERROR(VLOOKUP(A20669,Material!$A:$H,3,0),"-")</f>
        <v>1495</v>
      </c>
      <c r="G20669" s="51">
        <f t="shared" si="308"/>
        <v>494</v>
      </c>
    </row>
    <row r="20670" spans="1:7" x14ac:dyDescent="0.25">
      <c r="A20670" s="17" t="str">
        <f>Material!A372</f>
        <v>MA-371</v>
      </c>
      <c r="B20670" s="72" t="str">
        <f>IFERROR(VLOOKUP(A20670,Material!$A:$H,2,0),"-")</f>
        <v>TERMINAL-CONECTOR EMT DE 1"</v>
      </c>
      <c r="C20670" s="76"/>
      <c r="D20670" s="50" t="str">
        <f>IFERROR(VLOOKUP(A20670,Material!$A:$H,4,0),"-")</f>
        <v>UN</v>
      </c>
      <c r="E20670" s="50">
        <f>1/10</f>
        <v>0.1</v>
      </c>
      <c r="F20670" s="51">
        <f>IFERROR(VLOOKUP(A20670,Material!$A:$H,3,0),"-")</f>
        <v>2470</v>
      </c>
      <c r="G20670" s="51">
        <f t="shared" si="308"/>
        <v>247</v>
      </c>
    </row>
    <row r="20671" spans="1:7" ht="25.5" customHeight="1" x14ac:dyDescent="0.25">
      <c r="A20671" s="17" t="str">
        <f>Material!A274</f>
        <v>MA-273</v>
      </c>
      <c r="B20671" s="221" t="str">
        <f>IFERROR(VLOOKUP(A20671,Material!$A:$H,2,0),"-")</f>
        <v>ABRAZADERA GRAPA METALICA 1 PULGADA ALETA DOBLE PARA TUBERIA METALICA</v>
      </c>
      <c r="C20671" s="222"/>
      <c r="D20671" s="50" t="str">
        <f>IFERROR(VLOOKUP(A20671,Material!$A:$H,4,0),"-")</f>
        <v>UN</v>
      </c>
      <c r="E20671" s="50">
        <f>0.75</f>
        <v>0.75</v>
      </c>
      <c r="F20671" s="51">
        <f>IFERROR(VLOOKUP(A20671,Material!$A:$H,3,0),"-")</f>
        <v>390</v>
      </c>
      <c r="G20671" s="51">
        <f t="shared" si="308"/>
        <v>293</v>
      </c>
    </row>
    <row r="20672" spans="1:7" x14ac:dyDescent="0.25">
      <c r="A20672" s="17"/>
      <c r="B20672" s="72" t="str">
        <f>IFERROR(VLOOKUP(A20672,Material!$A:$H,2,0),"-")</f>
        <v>-</v>
      </c>
      <c r="C20672" s="76"/>
      <c r="D20672" s="50" t="str">
        <f>IFERROR(VLOOKUP(A20672,Material!$A:$H,4,0),"-")</f>
        <v>-</v>
      </c>
      <c r="E20672" s="50"/>
      <c r="F20672" s="51" t="str">
        <f>IFERROR(VLOOKUP(A20672,Material!$A:$H,3,0),"-")</f>
        <v>-</v>
      </c>
      <c r="G20672" s="51" t="str">
        <f t="shared" si="308"/>
        <v>-</v>
      </c>
    </row>
    <row r="20673" spans="1:7" x14ac:dyDescent="0.25">
      <c r="A20673" s="234" t="s">
        <v>41</v>
      </c>
      <c r="B20673" s="236"/>
      <c r="C20673" s="236"/>
      <c r="D20673" s="236"/>
      <c r="E20673" s="236"/>
      <c r="F20673" s="235"/>
      <c r="G20673" s="52">
        <f>SUM(G20661:G20672)</f>
        <v>234981</v>
      </c>
    </row>
    <row r="20674" spans="1:7" x14ac:dyDescent="0.25">
      <c r="A20674" s="56"/>
      <c r="B20674" s="57"/>
      <c r="C20674" s="57"/>
      <c r="D20674" s="57"/>
      <c r="E20674" s="57"/>
      <c r="F20674" s="57"/>
      <c r="G20674" s="58"/>
    </row>
    <row r="20675" spans="1:7" x14ac:dyDescent="0.25">
      <c r="A20675" s="219" t="s">
        <v>42</v>
      </c>
      <c r="B20675" s="219"/>
      <c r="C20675" s="219"/>
      <c r="D20675" s="219"/>
      <c r="E20675" s="219"/>
      <c r="F20675" s="219"/>
      <c r="G20675" s="219"/>
    </row>
    <row r="20676" spans="1:7" x14ac:dyDescent="0.25">
      <c r="A20676" s="49" t="s">
        <v>35</v>
      </c>
      <c r="B20676" s="49" t="s">
        <v>36</v>
      </c>
      <c r="C20676" s="49" t="s">
        <v>38</v>
      </c>
      <c r="D20676" s="49" t="s">
        <v>43</v>
      </c>
      <c r="E20676" s="49" t="s">
        <v>44</v>
      </c>
      <c r="F20676" s="49" t="s">
        <v>45</v>
      </c>
      <c r="G20676" s="49" t="s">
        <v>40</v>
      </c>
    </row>
    <row r="20677" spans="1:7" x14ac:dyDescent="0.25">
      <c r="A20677" s="50" t="s">
        <v>319</v>
      </c>
      <c r="B20677" s="68" t="str">
        <f>VLOOKUP(A20677,'Componentes APUs'!$H$1:$L$25,2,0)</f>
        <v>Ingeniero Residente de Obra</v>
      </c>
      <c r="C20677" s="93">
        <v>0.25</v>
      </c>
      <c r="D20677" s="50">
        <f>VLOOKUP(A20677,'Componentes APUs'!$H$1:$L$25,3,0)</f>
        <v>4</v>
      </c>
      <c r="E20677" s="51">
        <f>VLOOKUP(A20677,'Componentes APUs'!$H$1:$L$25,4,0)</f>
        <v>271142.85714285716</v>
      </c>
      <c r="F20677" s="51">
        <f>VLOOKUP(A20677,'Componentes APUs'!$H$1:$L$25,5,0)</f>
        <v>162685.71428571429</v>
      </c>
      <c r="G20677" s="51">
        <f>ROUNDUP((E20677+F20677)*C20677/E20658,0)</f>
        <v>2712</v>
      </c>
    </row>
    <row r="20678" spans="1:7" x14ac:dyDescent="0.25">
      <c r="A20678" s="50" t="s">
        <v>320</v>
      </c>
      <c r="B20678" s="68" t="str">
        <f>VLOOKUP(A20678,'Componentes APUs'!$H$1:$L$25,2,0)</f>
        <v>Tecnico Supervisor</v>
      </c>
      <c r="C20678" s="93">
        <v>0.25</v>
      </c>
      <c r="D20678" s="50">
        <f>VLOOKUP(A20678,'Componentes APUs'!$H$1:$L$25,3,0)</f>
        <v>2.2999999999999998</v>
      </c>
      <c r="E20678" s="51">
        <f>VLOOKUP(A20678,'Componentes APUs'!$H$1:$L$25,4,0)</f>
        <v>155907.14285714284</v>
      </c>
      <c r="F20678" s="51">
        <f>VLOOKUP(A20678,'Componentes APUs'!$H$1:$L$25,5,0)</f>
        <v>93544.285714285696</v>
      </c>
      <c r="G20678" s="51">
        <f>ROUNDUP((E20678+F20678)*C20678/E20658,0)</f>
        <v>1560</v>
      </c>
    </row>
    <row r="20679" spans="1:7" x14ac:dyDescent="0.25">
      <c r="A20679" s="50" t="s">
        <v>1160</v>
      </c>
      <c r="B20679" s="68" t="str">
        <f>VLOOKUP(A20679,'Componentes APUs'!$H$1:$L$25,2,0)</f>
        <v>Oficial Eléctrico</v>
      </c>
      <c r="C20679" s="93">
        <v>1</v>
      </c>
      <c r="D20679" s="50">
        <f>VLOOKUP(A20679,'Componentes APUs'!$H$1:$L$25,3,0)</f>
        <v>2</v>
      </c>
      <c r="E20679" s="51">
        <f>VLOOKUP(A20679,'Componentes APUs'!$H$1:$L$25,4,0)</f>
        <v>154619.04761904763</v>
      </c>
      <c r="F20679" s="51">
        <f>VLOOKUP(A20679,'Componentes APUs'!$H$1:$L$25,5,0)</f>
        <v>92771.42857142858</v>
      </c>
      <c r="G20679" s="51">
        <f>ROUNDUP((E20679+F20679)*C20679/E20658,0)</f>
        <v>6185</v>
      </c>
    </row>
    <row r="20680" spans="1:7" x14ac:dyDescent="0.25">
      <c r="A20680" s="50" t="s">
        <v>48</v>
      </c>
      <c r="B20680" s="68" t="str">
        <f>VLOOKUP(A20680,'Componentes APUs'!$H$1:$L$25,2,0)</f>
        <v>Ayudante Calificado</v>
      </c>
      <c r="C20680" s="93">
        <v>1</v>
      </c>
      <c r="D20680" s="50">
        <f>VLOOKUP(A20680,'Componentes APUs'!$H$1:$L$25,3,0)</f>
        <v>1.5</v>
      </c>
      <c r="E20680" s="51">
        <f>VLOOKUP(A20680,'Componentes APUs'!$H$1:$L$25,4,0)</f>
        <v>115964.28571428571</v>
      </c>
      <c r="F20680" s="51">
        <f>VLOOKUP(A20680,'Componentes APUs'!$H$1:$L$25,5,0)</f>
        <v>69578.57142857142</v>
      </c>
      <c r="G20680" s="51">
        <f>ROUNDUP((E20680+F20680)*C20680/E20658,0)</f>
        <v>4639</v>
      </c>
    </row>
    <row r="20681" spans="1:7" x14ac:dyDescent="0.25">
      <c r="A20681" s="50" t="s">
        <v>50</v>
      </c>
      <c r="B20681" s="68" t="str">
        <f>VLOOKUP(A20681,'Componentes APUs'!$H$1:$L$25,2,0)</f>
        <v>Profesional en SST</v>
      </c>
      <c r="C20681" s="93">
        <v>0.25</v>
      </c>
      <c r="D20681" s="50">
        <f>VLOOKUP(A20681,'Componentes APUs'!$H$1:$L$25,3,0)</f>
        <v>2.5</v>
      </c>
      <c r="E20681" s="51">
        <f>VLOOKUP(A20681,'Componentes APUs'!$H$1:$L$25,4,0)</f>
        <v>169464.28571428571</v>
      </c>
      <c r="F20681" s="51">
        <f>VLOOKUP(A20681,'Componentes APUs'!$H$1:$L$25,5,0)</f>
        <v>101678.57142857142</v>
      </c>
      <c r="G20681" s="51">
        <f>ROUNDUP((E20681+F20681)*C20681/E20658,0)</f>
        <v>1695</v>
      </c>
    </row>
    <row r="20682" spans="1:7" x14ac:dyDescent="0.25">
      <c r="A20682" s="50" t="s">
        <v>52</v>
      </c>
      <c r="B20682" s="68" t="str">
        <f>VLOOKUP(A20682,'Componentes APUs'!$H$1:$L$25,2,0)</f>
        <v>Ayudante No Calificado</v>
      </c>
      <c r="C20682" s="93">
        <v>0</v>
      </c>
      <c r="D20682" s="50">
        <f>VLOOKUP(A20682,'Componentes APUs'!$H$1:$L$25,3,0)</f>
        <v>1</v>
      </c>
      <c r="E20682" s="51">
        <f>VLOOKUP(A20682,'Componentes APUs'!$H$1:$L$25,4,0)</f>
        <v>77309.523809523816</v>
      </c>
      <c r="F20682" s="51">
        <f>VLOOKUP(A20682,'Componentes APUs'!$H$1:$L$25,5,0)</f>
        <v>46385.71428571429</v>
      </c>
      <c r="G20682" s="51">
        <f>ROUNDUP((E20682+F20682)*C20682/E20658,0)</f>
        <v>0</v>
      </c>
    </row>
    <row r="20683" spans="1:7" x14ac:dyDescent="0.25">
      <c r="A20683" s="219" t="s">
        <v>56</v>
      </c>
      <c r="B20683" s="219"/>
      <c r="C20683" s="219"/>
      <c r="D20683" s="219"/>
      <c r="E20683" s="219"/>
      <c r="F20683" s="219"/>
      <c r="G20683" s="52">
        <f>SUM(G20677:G20682)</f>
        <v>16791</v>
      </c>
    </row>
    <row r="20684" spans="1:7" x14ac:dyDescent="0.25">
      <c r="A20684" s="56"/>
      <c r="B20684" s="57"/>
      <c r="C20684" s="57"/>
      <c r="D20684" s="57"/>
      <c r="E20684" s="57"/>
      <c r="F20684" s="57"/>
      <c r="G20684" s="58"/>
    </row>
    <row r="20685" spans="1:7" x14ac:dyDescent="0.25">
      <c r="A20685" s="219" t="s">
        <v>57</v>
      </c>
      <c r="B20685" s="219"/>
      <c r="C20685" s="219"/>
      <c r="D20685" s="219"/>
      <c r="E20685" s="219"/>
      <c r="F20685" s="219"/>
      <c r="G20685" s="219"/>
    </row>
    <row r="20686" spans="1:7" x14ac:dyDescent="0.25">
      <c r="A20686" s="49" t="s">
        <v>35</v>
      </c>
      <c r="B20686" s="219" t="s">
        <v>36</v>
      </c>
      <c r="C20686" s="219"/>
      <c r="D20686" s="49" t="s">
        <v>37</v>
      </c>
      <c r="E20686" s="49" t="s">
        <v>38</v>
      </c>
      <c r="F20686" s="49" t="s">
        <v>39</v>
      </c>
      <c r="G20686" s="49" t="s">
        <v>40</v>
      </c>
    </row>
    <row r="20687" spans="1:7" x14ac:dyDescent="0.25">
      <c r="A20687" s="50" t="s">
        <v>326</v>
      </c>
      <c r="B20687" s="220" t="str">
        <f>VLOOKUP(A20687,'Componentes APUs'!$S$1:$V$10,2,0)</f>
        <v>Juego Llaves</v>
      </c>
      <c r="C20687" s="220"/>
      <c r="D20687" s="50" t="s">
        <v>18</v>
      </c>
      <c r="E20687" s="50">
        <v>2</v>
      </c>
      <c r="F20687" s="51">
        <f>VLOOKUP(A20687,'Componentes APUs'!$S$1:$V$10,4,0)</f>
        <v>9167</v>
      </c>
      <c r="G20687" s="51">
        <f>ROUNDUP(F20687*((E20687/21)/E20658),0)</f>
        <v>22</v>
      </c>
    </row>
    <row r="20688" spans="1:7" x14ac:dyDescent="0.25">
      <c r="A20688" s="50" t="s">
        <v>58</v>
      </c>
      <c r="B20688" s="220" t="str">
        <f>VLOOKUP(A20688,'Componentes APUs'!$S$1:$V$10,2,0)</f>
        <v>Manila de servicio</v>
      </c>
      <c r="C20688" s="220"/>
      <c r="D20688" s="50" t="s">
        <v>18</v>
      </c>
      <c r="E20688" s="50">
        <v>0</v>
      </c>
      <c r="F20688" s="51">
        <f>VLOOKUP(A20688,'Componentes APUs'!$S$1:$V$10,4,0)</f>
        <v>2333</v>
      </c>
      <c r="G20688" s="51">
        <f>ROUNDUP(F20688*((E20688/21)/E20658),0)</f>
        <v>0</v>
      </c>
    </row>
    <row r="20689" spans="1:7" x14ac:dyDescent="0.25">
      <c r="A20689" s="50" t="s">
        <v>327</v>
      </c>
      <c r="B20689" s="220" t="str">
        <f>VLOOKUP(A20689,'Componentes APUs'!$S$1:$V$10,2,0)</f>
        <v>Tula portaherramientas</v>
      </c>
      <c r="C20689" s="220"/>
      <c r="D20689" s="50" t="s">
        <v>18</v>
      </c>
      <c r="E20689" s="50">
        <v>2</v>
      </c>
      <c r="F20689" s="51">
        <f>VLOOKUP(A20689,'Componentes APUs'!$S$1:$V$10,4,0)</f>
        <v>1250</v>
      </c>
      <c r="G20689" s="51">
        <f>ROUNDUP(F20689*((E20689/21)/E20658),0)</f>
        <v>3</v>
      </c>
    </row>
    <row r="20690" spans="1:7" x14ac:dyDescent="0.25">
      <c r="A20690" s="50" t="s">
        <v>60</v>
      </c>
      <c r="B20690" s="220" t="str">
        <f>VLOOKUP(A20690,'Componentes APUs'!$S$1:$V$10,2,0)</f>
        <v>Agarradoras</v>
      </c>
      <c r="C20690" s="220"/>
      <c r="D20690" s="50" t="s">
        <v>18</v>
      </c>
      <c r="E20690" s="50">
        <v>0</v>
      </c>
      <c r="F20690" s="51">
        <f>VLOOKUP(A20690,'Componentes APUs'!$S$1:$V$10,4,0)</f>
        <v>125000</v>
      </c>
      <c r="G20690" s="51">
        <f>ROUNDUP(F20690*((E20690/21)/E20658),0)</f>
        <v>0</v>
      </c>
    </row>
    <row r="20691" spans="1:7" x14ac:dyDescent="0.25">
      <c r="A20691" s="50" t="s">
        <v>62</v>
      </c>
      <c r="B20691" s="220" t="str">
        <f>VLOOKUP(A20691,'Componentes APUs'!$S$1:$V$10,2,0)</f>
        <v>Templadoras</v>
      </c>
      <c r="C20691" s="220"/>
      <c r="D20691" s="50" t="s">
        <v>18</v>
      </c>
      <c r="E20691" s="50">
        <v>0</v>
      </c>
      <c r="F20691" s="51">
        <f>VLOOKUP(A20691,'Componentes APUs'!$S$1:$V$10,4,0)</f>
        <v>250000</v>
      </c>
      <c r="G20691" s="51">
        <f>ROUNDUP(F20691*((E20691/21)/E20658),0)</f>
        <v>0</v>
      </c>
    </row>
    <row r="20692" spans="1:7" x14ac:dyDescent="0.25">
      <c r="A20692" s="50" t="s">
        <v>328</v>
      </c>
      <c r="B20692" s="220" t="str">
        <f>VLOOKUP(A20692,'Componentes APUs'!$S$1:$V$10,2,0)</f>
        <v>Herramienta Menor</v>
      </c>
      <c r="C20692" s="220"/>
      <c r="D20692" s="50" t="s">
        <v>18</v>
      </c>
      <c r="E20692" s="50">
        <v>2</v>
      </c>
      <c r="F20692" s="51">
        <f>VLOOKUP(A20692,'Componentes APUs'!$S$1:$V$10,4,0)</f>
        <v>75758</v>
      </c>
      <c r="G20692" s="51">
        <f>ROUNDUP(F20692*((E20692/21)/E20658),0)</f>
        <v>181</v>
      </c>
    </row>
    <row r="20693" spans="1:7" x14ac:dyDescent="0.25">
      <c r="A20693" s="219" t="s">
        <v>69</v>
      </c>
      <c r="B20693" s="219"/>
      <c r="C20693" s="219"/>
      <c r="D20693" s="219"/>
      <c r="E20693" s="219"/>
      <c r="F20693" s="219"/>
      <c r="G20693" s="52">
        <f>SUM(G20687:G20692)</f>
        <v>206</v>
      </c>
    </row>
    <row r="20694" spans="1:7" x14ac:dyDescent="0.25">
      <c r="A20694" s="56"/>
      <c r="B20694" s="57"/>
      <c r="C20694" s="57"/>
      <c r="D20694" s="57"/>
      <c r="E20694" s="57"/>
      <c r="F20694" s="57"/>
      <c r="G20694" s="58"/>
    </row>
    <row r="20695" spans="1:7" x14ac:dyDescent="0.25">
      <c r="A20695" s="219" t="s">
        <v>70</v>
      </c>
      <c r="B20695" s="219"/>
      <c r="C20695" s="219"/>
      <c r="D20695" s="219"/>
      <c r="E20695" s="219"/>
      <c r="F20695" s="219"/>
      <c r="G20695" s="219"/>
    </row>
    <row r="20696" spans="1:7" x14ac:dyDescent="0.25">
      <c r="A20696" s="49" t="s">
        <v>35</v>
      </c>
      <c r="B20696" s="219" t="s">
        <v>36</v>
      </c>
      <c r="C20696" s="219"/>
      <c r="D20696" s="49" t="s">
        <v>37</v>
      </c>
      <c r="E20696" s="49" t="s">
        <v>38</v>
      </c>
      <c r="F20696" s="49" t="s">
        <v>39</v>
      </c>
      <c r="G20696" s="49" t="s">
        <v>40</v>
      </c>
    </row>
    <row r="20697" spans="1:7" x14ac:dyDescent="0.25">
      <c r="A20697" s="50" t="s">
        <v>71</v>
      </c>
      <c r="B20697" s="71" t="str">
        <f>VLOOKUP(A20697,'Componentes APUs'!$A$1:$D$14,2,0)</f>
        <v>Camisa indigo sin partes metalicas</v>
      </c>
      <c r="C20697" s="71"/>
      <c r="D20697" s="50" t="str">
        <f>VLOOKUP(A20697,'Componentes APUs'!$A$1:$D$14,3,0)</f>
        <v>U</v>
      </c>
      <c r="E20697" s="50">
        <f>SUM(C20677:C20682)</f>
        <v>2.75</v>
      </c>
      <c r="F20697" s="51">
        <f>VLOOKUP(A20697,'Componentes APUs'!$A$1:$D$14,4,0)</f>
        <v>8585.8585858585866</v>
      </c>
      <c r="G20697" s="51">
        <f>ROUNDUP(F20697*(E20697/21)/E20658,0)</f>
        <v>29</v>
      </c>
    </row>
    <row r="20698" spans="1:7" x14ac:dyDescent="0.25">
      <c r="A20698" s="69" t="s">
        <v>73</v>
      </c>
      <c r="B20698" s="72" t="str">
        <f>VLOOKUP(A20698,'Componentes APUs'!$A$1:$D$14,2,0)</f>
        <v>Bota de seguridad dielectrica</v>
      </c>
      <c r="C20698" s="73"/>
      <c r="D20698" s="70" t="str">
        <f>VLOOKUP(A20698,'Componentes APUs'!$A$1:$D$14,3,0)</f>
        <v>Par</v>
      </c>
      <c r="E20698" s="50">
        <f>SUM(C20677:C20682)</f>
        <v>2.75</v>
      </c>
      <c r="F20698" s="51">
        <f>VLOOKUP(A20698,'Componentes APUs'!$A$1:$D$14,4,0)</f>
        <v>7500</v>
      </c>
      <c r="G20698" s="51">
        <f>ROUNDUP(F20698*(E20698/21)/E20658,0)</f>
        <v>25</v>
      </c>
    </row>
    <row r="20699" spans="1:7" x14ac:dyDescent="0.25">
      <c r="A20699" s="50" t="s">
        <v>76</v>
      </c>
      <c r="B20699" s="72" t="str">
        <f>VLOOKUP(A20699,'Componentes APUs'!$A$1:$D$14,2,0)</f>
        <v>Casco dielectrico Tipo 1 Clase E con barbuquejo</v>
      </c>
      <c r="C20699" s="73"/>
      <c r="D20699" s="50" t="str">
        <f>VLOOKUP(A20699,'Componentes APUs'!$A$1:$D$14,3,0)</f>
        <v>U</v>
      </c>
      <c r="E20699" s="50">
        <f>C20682+C20677+C20680+C20681+C20678+IF(A20679&lt;&gt;"MO-3",C20679,0)</f>
        <v>2.75</v>
      </c>
      <c r="F20699" s="51">
        <f>VLOOKUP(A20699,'Componentes APUs'!$A$1:$D$14,4,0)</f>
        <v>10101.010101010101</v>
      </c>
      <c r="G20699" s="51">
        <f>ROUNDUP(F20699*(E20699/21)/E20658,0)</f>
        <v>34</v>
      </c>
    </row>
    <row r="20700" spans="1:7" x14ac:dyDescent="0.25">
      <c r="A20700" s="69" t="s">
        <v>77</v>
      </c>
      <c r="B20700" s="72" t="str">
        <f>VLOOKUP(A20700,'Componentes APUs'!$A$1:$D$14,2,0)</f>
        <v>Correa plastica y antiflama</v>
      </c>
      <c r="C20700" s="73"/>
      <c r="D20700" s="50" t="str">
        <f>VLOOKUP(A20700,'Componentes APUs'!$A$1:$D$14,3,0)</f>
        <v>U</v>
      </c>
      <c r="E20700" s="50">
        <f>SUM(C20677:C20682)</f>
        <v>2.75</v>
      </c>
      <c r="F20700" s="51">
        <f>VLOOKUP(A20700,'Componentes APUs'!$A$1:$D$14,4,0)</f>
        <v>3787.878787878788</v>
      </c>
      <c r="G20700" s="51">
        <f>ROUNDUP(F20700*(E20700/21)/E20658,0)</f>
        <v>13</v>
      </c>
    </row>
    <row r="20701" spans="1:7" x14ac:dyDescent="0.25">
      <c r="A20701" s="50" t="s">
        <v>79</v>
      </c>
      <c r="B20701" s="72" t="str">
        <f>VLOOKUP(A20701,'Componentes APUs'!$A$1:$D$14,2,0)</f>
        <v>Gafas protectoras filtro UV</v>
      </c>
      <c r="C20701" s="73"/>
      <c r="D20701" s="50" t="str">
        <f>VLOOKUP(A20701,'Componentes APUs'!$A$1:$D$14,3,0)</f>
        <v>U</v>
      </c>
      <c r="E20701" s="50">
        <f>SUM(C20677:C20682)</f>
        <v>2.75</v>
      </c>
      <c r="F20701" s="51">
        <f>VLOOKUP(A20701,'Componentes APUs'!$A$1:$D$14,4,0)</f>
        <v>2777.7777777777778</v>
      </c>
      <c r="G20701" s="51">
        <f>ROUNDUP(F20701*(E20701/21)/E20658,0)</f>
        <v>10</v>
      </c>
    </row>
    <row r="20702" spans="1:7" x14ac:dyDescent="0.25">
      <c r="A20702" s="69" t="s">
        <v>402</v>
      </c>
      <c r="B20702" s="72" t="str">
        <f>VLOOKUP(A20702,'Componentes APUs'!$A$1:$D$14,2,0)</f>
        <v>Bota de seguridad PVC dielectrica</v>
      </c>
      <c r="C20702" s="73"/>
      <c r="D20702" s="50" t="str">
        <f>VLOOKUP(A20702,'Componentes APUs'!$A$1:$D$14,3,0)</f>
        <v>Par</v>
      </c>
      <c r="E20702" s="50">
        <f>SUM(C20677:C20682)</f>
        <v>2.75</v>
      </c>
      <c r="F20702" s="51">
        <f>VLOOKUP(A20702,'Componentes APUs'!$A$1:$D$14,4,0)</f>
        <v>2916.6666666666665</v>
      </c>
      <c r="G20702" s="51">
        <f>ROUNDUP(F20702*(E20702/21)/E20658,0)</f>
        <v>10</v>
      </c>
    </row>
    <row r="20703" spans="1:7" x14ac:dyDescent="0.25">
      <c r="A20703" s="50" t="s">
        <v>403</v>
      </c>
      <c r="B20703" s="72" t="str">
        <f>VLOOKUP(A20703,'Componentes APUs'!$A$1:$D$14,2,0)</f>
        <v>Capuchon</v>
      </c>
      <c r="C20703" s="73"/>
      <c r="D20703" s="50" t="str">
        <f>VLOOKUP(A20703,'Componentes APUs'!$A$1:$D$14,3,0)</f>
        <v>U</v>
      </c>
      <c r="E20703" s="50">
        <f>SUM(C20677:C20682)</f>
        <v>2.75</v>
      </c>
      <c r="F20703" s="51">
        <f>VLOOKUP(A20703,'Componentes APUs'!$A$1:$D$14,4,0)</f>
        <v>2525.2525252525252</v>
      </c>
      <c r="G20703" s="51">
        <f>ROUNDUP(F20703*(E20703/21)/E20658,0)</f>
        <v>9</v>
      </c>
    </row>
    <row r="20704" spans="1:7" x14ac:dyDescent="0.25">
      <c r="A20704" s="69" t="s">
        <v>81</v>
      </c>
      <c r="B20704" s="72" t="str">
        <f>VLOOKUP(A20704,'Componentes APUs'!$A$1:$D$14,2,0)</f>
        <v>Guantes Protectores  - ingeniero reforzados</v>
      </c>
      <c r="C20704" s="73"/>
      <c r="D20704" s="50" t="str">
        <f>VLOOKUP(A20704,'Componentes APUs'!$A$1:$D$14,3,0)</f>
        <v>Par</v>
      </c>
      <c r="E20704" s="50">
        <f>C20679+C20680+C20682</f>
        <v>2</v>
      </c>
      <c r="F20704" s="51">
        <f>VLOOKUP(A20704,'Componentes APUs'!$A$1:$D$14,4,0)</f>
        <v>2525.2525252525252</v>
      </c>
      <c r="G20704" s="51">
        <f>ROUNDUP(F20704*(E20704/21)/E20658,0)</f>
        <v>7</v>
      </c>
    </row>
    <row r="20705" spans="1:7" x14ac:dyDescent="0.25">
      <c r="A20705" s="50" t="s">
        <v>83</v>
      </c>
      <c r="B20705" s="72" t="str">
        <f>VLOOKUP(A20705,'Componentes APUs'!$A$1:$D$14,2,0)</f>
        <v>Impermeable (pantalon camisa)</v>
      </c>
      <c r="C20705" s="73"/>
      <c r="D20705" s="50" t="str">
        <f>VLOOKUP(A20705,'Componentes APUs'!$A$1:$D$14,3,0)</f>
        <v>U</v>
      </c>
      <c r="E20705" s="50">
        <f>SUM(C20677:C20682)</f>
        <v>2.75</v>
      </c>
      <c r="F20705" s="51">
        <f>VLOOKUP(A20705,'Componentes APUs'!$A$1:$D$14,4,0)</f>
        <v>3750</v>
      </c>
      <c r="G20705" s="51">
        <f>ROUNDUP(F20705*(E20705/21)/E20658,0)</f>
        <v>13</v>
      </c>
    </row>
    <row r="20706" spans="1:7" x14ac:dyDescent="0.25">
      <c r="A20706" s="69" t="s">
        <v>85</v>
      </c>
      <c r="B20706" s="72" t="str">
        <f>VLOOKUP(A20706,'Componentes APUs'!$A$1:$D$14,2,0)</f>
        <v>Jean Dielectrico</v>
      </c>
      <c r="C20706" s="73"/>
      <c r="D20706" s="50" t="str">
        <f>VLOOKUP(A20706,'Componentes APUs'!$A$1:$D$14,3,0)</f>
        <v>U</v>
      </c>
      <c r="E20706" s="50">
        <f>SUM(C20677:C20682)</f>
        <v>2.75</v>
      </c>
      <c r="F20706" s="51">
        <f>VLOOKUP(A20706,'Componentes APUs'!$A$1:$D$14,4,0)</f>
        <v>7575.757575757576</v>
      </c>
      <c r="G20706" s="51">
        <f>ROUNDUP(F20706*(E20706/21)/E20658,0)</f>
        <v>25</v>
      </c>
    </row>
    <row r="20707" spans="1:7" x14ac:dyDescent="0.25">
      <c r="A20707" s="50" t="s">
        <v>87</v>
      </c>
      <c r="B20707" s="72" t="str">
        <f>VLOOKUP(A20707,'Componentes APUs'!$A$1:$D$14,2,0)</f>
        <v>Casco dielectrico Tipo 2 Clase E con barboquejo</v>
      </c>
      <c r="C20707" s="73"/>
      <c r="D20707" s="50" t="str">
        <f>VLOOKUP(A20707,'Componentes APUs'!$A$1:$D$14,3,0)</f>
        <v>U</v>
      </c>
      <c r="E20707" s="53">
        <f>IF(A20679="MO-3",C20679,0)</f>
        <v>0</v>
      </c>
      <c r="F20707" s="51">
        <f>VLOOKUP(A20707,'Componentes APUs'!$A$1:$D$14,4,0)</f>
        <v>7500</v>
      </c>
      <c r="G20707" s="51">
        <f>ROUNDUP(F20707*(E20707/21)/E20658,0)</f>
        <v>0</v>
      </c>
    </row>
    <row r="20708" spans="1:7" x14ac:dyDescent="0.25">
      <c r="A20708" s="69" t="s">
        <v>89</v>
      </c>
      <c r="B20708" s="72" t="str">
        <f>VLOOKUP(A20708,'Componentes APUs'!$A$1:$D$14,2,0)</f>
        <v>Kit de rescate para trabajo en alturas</v>
      </c>
      <c r="C20708" s="73"/>
      <c r="D20708" s="50" t="str">
        <f>VLOOKUP(A20708,'Componentes APUs'!$A$1:$D$14,3,0)</f>
        <v>U</v>
      </c>
      <c r="E20708" s="50">
        <f>IF(AND(A20679="MO-3",C20679=2),1,0)</f>
        <v>0</v>
      </c>
      <c r="F20708" s="51">
        <f>VLOOKUP(A20708,'Componentes APUs'!$A$1:$D$14,4,0)</f>
        <v>37500</v>
      </c>
      <c r="G20708" s="51">
        <f>ROUNDUP(F20708*(E20708/21)/E20658,0)</f>
        <v>0</v>
      </c>
    </row>
    <row r="20709" spans="1:7" x14ac:dyDescent="0.25">
      <c r="A20709" s="50" t="s">
        <v>91</v>
      </c>
      <c r="B20709" s="72" t="str">
        <f>VLOOKUP(A20709,'Componentes APUs'!$A$1:$D$14,2,0)</f>
        <v>Equipo completo para trabajo en alturas con pretales (Arnes dielectrico, 1 mosqueton de seguridad, tie off dielectrico, eslinga de posicionamiento, juego de pretales)</v>
      </c>
      <c r="C20709" s="73"/>
      <c r="D20709" s="50" t="str">
        <f>VLOOKUP(A20709,'Componentes APUs'!$A$1:$D$14,3,0)</f>
        <v>U</v>
      </c>
      <c r="E20709" s="50">
        <f>IF(A20679="MO-3",C20679,0)</f>
        <v>0</v>
      </c>
      <c r="F20709" s="51">
        <f>VLOOKUP(A20709,'Componentes APUs'!$A$1:$D$14,4,0)</f>
        <v>26041.666666666668</v>
      </c>
      <c r="G20709" s="51">
        <f>ROUNDUP(F20709*(E20709/21)/E20658,0)</f>
        <v>0</v>
      </c>
    </row>
    <row r="20710" spans="1:7" x14ac:dyDescent="0.25">
      <c r="A20710" s="219" t="s">
        <v>95</v>
      </c>
      <c r="B20710" s="219"/>
      <c r="C20710" s="219"/>
      <c r="D20710" s="219"/>
      <c r="E20710" s="219"/>
      <c r="F20710" s="219"/>
      <c r="G20710" s="52">
        <f>SUM(G20697:G20709)</f>
        <v>175</v>
      </c>
    </row>
    <row r="20711" spans="1:7" x14ac:dyDescent="0.25">
      <c r="A20711" s="56"/>
      <c r="B20711" s="57"/>
      <c r="C20711" s="57"/>
      <c r="D20711" s="57"/>
      <c r="E20711" s="57"/>
      <c r="F20711" s="57"/>
      <c r="G20711" s="58"/>
    </row>
    <row r="20712" spans="1:7" x14ac:dyDescent="0.25">
      <c r="A20712" s="219" t="s">
        <v>96</v>
      </c>
      <c r="B20712" s="219"/>
      <c r="C20712" s="219"/>
      <c r="D20712" s="219"/>
      <c r="E20712" s="219"/>
      <c r="F20712" s="219"/>
      <c r="G20712" s="219"/>
    </row>
    <row r="20713" spans="1:7" x14ac:dyDescent="0.25">
      <c r="A20713" s="49" t="s">
        <v>35</v>
      </c>
      <c r="B20713" s="225" t="s">
        <v>36</v>
      </c>
      <c r="C20713" s="225"/>
      <c r="D20713" s="49" t="s">
        <v>37</v>
      </c>
      <c r="E20713" s="49" t="s">
        <v>38</v>
      </c>
      <c r="F20713" s="49" t="s">
        <v>39</v>
      </c>
      <c r="G20713" s="49" t="s">
        <v>40</v>
      </c>
    </row>
    <row r="20714" spans="1:7" x14ac:dyDescent="0.25">
      <c r="A20714" s="69" t="s">
        <v>97</v>
      </c>
      <c r="B20714" s="72" t="str">
        <f>VLOOKUP(A20714,'Componentes APUs'!$N$1:$Q$30,2,0)</f>
        <v>Camioneta</v>
      </c>
      <c r="C20714" s="73"/>
      <c r="D20714" s="70" t="str">
        <f>VLOOKUP(A20714,'Componentes APUs'!$N$1:$Q$30,3,0)</f>
        <v>U</v>
      </c>
      <c r="E20714" s="50">
        <v>1</v>
      </c>
      <c r="F20714" s="51">
        <f>VLOOKUP(A20714,'Componentes APUs'!$N$1:$Q$30,4,0)</f>
        <v>5500000</v>
      </c>
      <c r="G20714" s="51">
        <f>IFERROR(ROUNDUP(F20714*(E20714/21)/E20658,0),0)</f>
        <v>6548</v>
      </c>
    </row>
    <row r="20715" spans="1:7" x14ac:dyDescent="0.25">
      <c r="A20715" s="50" t="s">
        <v>321</v>
      </c>
      <c r="B20715" s="72" t="str">
        <f>VLOOKUP(A20715,'Componentes APUs'!$N$1:$Q$30,2,0)</f>
        <v>Grúa Hidráulica</v>
      </c>
      <c r="C20715" s="73"/>
      <c r="D20715" s="70" t="str">
        <f>VLOOKUP(A20715,'Componentes APUs'!$N$1:$Q$30,3,0)</f>
        <v>U</v>
      </c>
      <c r="E20715" s="50">
        <v>0</v>
      </c>
      <c r="F20715" s="51">
        <f>VLOOKUP(A20715,'Componentes APUs'!$N$1:$Q$30,4,0)</f>
        <v>21000000</v>
      </c>
      <c r="G20715" s="51">
        <f>IFERROR(ROUNDUP(F20715*(E20715/21)/E20658,0),0)</f>
        <v>0</v>
      </c>
    </row>
    <row r="20716" spans="1:7" x14ac:dyDescent="0.25">
      <c r="A20716" s="69" t="s">
        <v>322</v>
      </c>
      <c r="B20716" s="72" t="str">
        <f>VLOOKUP(A20716,'Componentes APUs'!$N$1:$Q$30,2,0)</f>
        <v>Camabaja</v>
      </c>
      <c r="C20716" s="73"/>
      <c r="D20716" s="70" t="str">
        <f>VLOOKUP(A20716,'Componentes APUs'!$N$1:$Q$30,3,0)</f>
        <v>TON/KM</v>
      </c>
      <c r="E20716" s="50">
        <v>0</v>
      </c>
      <c r="F20716" s="51">
        <f>VLOOKUP(A20716,'Componentes APUs'!$N$1:$Q$30,4,0)</f>
        <v>611</v>
      </c>
      <c r="G20716" s="51">
        <f>IFERROR(ROUNDUP(F20716*(E20716/21)/E20658,0),0)</f>
        <v>0</v>
      </c>
    </row>
    <row r="20717" spans="1:7" x14ac:dyDescent="0.25">
      <c r="A20717" s="50" t="s">
        <v>323</v>
      </c>
      <c r="B20717" s="72" t="str">
        <f>VLOOKUP(A20717,'Componentes APUs'!$N$1:$Q$30,2,0)</f>
        <v>Volqueta</v>
      </c>
      <c r="C20717" s="73"/>
      <c r="D20717" s="70" t="str">
        <f>VLOOKUP(A20717,'Componentes APUs'!$N$1:$Q$30,3,0)</f>
        <v>U</v>
      </c>
      <c r="E20717" s="50">
        <v>0</v>
      </c>
      <c r="F20717" s="51">
        <f>VLOOKUP(A20717,'Componentes APUs'!$N$1:$Q$30,4,0)</f>
        <v>14828184</v>
      </c>
      <c r="G20717" s="51">
        <f>IFERROR(ROUNDUP(F20717*(E20717/21)/E20658,0),0)</f>
        <v>0</v>
      </c>
    </row>
    <row r="20718" spans="1:7" x14ac:dyDescent="0.25">
      <c r="A20718" s="219" t="s">
        <v>99</v>
      </c>
      <c r="B20718" s="219"/>
      <c r="C20718" s="219"/>
      <c r="D20718" s="219"/>
      <c r="E20718" s="219"/>
      <c r="F20718" s="219"/>
      <c r="G20718" s="52">
        <f>SUM(G20714:G20717)</f>
        <v>6548</v>
      </c>
    </row>
    <row r="20719" spans="1:7" x14ac:dyDescent="0.25">
      <c r="A20719" s="56"/>
      <c r="B20719" s="57"/>
      <c r="C20719" s="57"/>
      <c r="D20719" s="57"/>
      <c r="E20719" s="57"/>
      <c r="F20719" s="57"/>
      <c r="G20719" s="58"/>
    </row>
    <row r="20720" spans="1:7" x14ac:dyDescent="0.25">
      <c r="A20720" s="219" t="s">
        <v>1516</v>
      </c>
      <c r="B20720" s="219"/>
      <c r="C20720" s="219"/>
      <c r="D20720" s="219"/>
      <c r="E20720" s="219"/>
      <c r="F20720" s="219"/>
      <c r="G20720" s="52">
        <f>G20718+G20710+G20693+G20683+G20673</f>
        <v>258701</v>
      </c>
    </row>
    <row r="20721" spans="1:7" x14ac:dyDescent="0.25">
      <c r="A20721" s="59"/>
      <c r="B20721" s="60"/>
      <c r="C20721" s="60"/>
      <c r="D20721" s="60"/>
      <c r="E20721" s="57"/>
      <c r="F20721" s="57"/>
      <c r="G20721" s="58"/>
    </row>
    <row r="20722" spans="1:7" x14ac:dyDescent="0.25">
      <c r="A20722" s="64"/>
      <c r="D20722" s="55"/>
      <c r="E20722" s="49" t="s">
        <v>25</v>
      </c>
      <c r="F20722" s="54">
        <v>0.15</v>
      </c>
      <c r="G20722" s="51">
        <f>G20720*F20722</f>
        <v>38805.15</v>
      </c>
    </row>
    <row r="20723" spans="1:7" x14ac:dyDescent="0.25">
      <c r="A20723" s="64"/>
      <c r="D20723" s="55"/>
      <c r="E20723" s="49" t="s">
        <v>26</v>
      </c>
      <c r="F20723" s="54">
        <v>0.05</v>
      </c>
      <c r="G20723" s="51">
        <f>G20720*F20723</f>
        <v>12935.050000000001</v>
      </c>
    </row>
    <row r="20724" spans="1:7" x14ac:dyDescent="0.25">
      <c r="A20724" s="61"/>
      <c r="B20724" s="65"/>
      <c r="C20724" s="65"/>
      <c r="D20724" s="62"/>
      <c r="E20724" s="49" t="s">
        <v>27</v>
      </c>
      <c r="F20724" s="54">
        <v>0.05</v>
      </c>
      <c r="G20724" s="51">
        <f>G20720*F20724</f>
        <v>12935.050000000001</v>
      </c>
    </row>
    <row r="20725" spans="1:7" x14ac:dyDescent="0.25">
      <c r="A20725" s="61"/>
      <c r="B20725" s="62"/>
      <c r="C20725" s="62"/>
      <c r="D20725" s="62"/>
      <c r="E20725" s="62"/>
      <c r="F20725" s="62"/>
      <c r="G20725" s="63"/>
    </row>
    <row r="20726" spans="1:7" x14ac:dyDescent="0.25">
      <c r="A20726" s="219" t="s">
        <v>1517</v>
      </c>
      <c r="B20726" s="219"/>
      <c r="C20726" s="219"/>
      <c r="D20726" s="219"/>
      <c r="E20726" s="219"/>
      <c r="F20726" s="219"/>
      <c r="G20726" s="52">
        <f>G20720+G20722+G20723+G20724</f>
        <v>323376.25</v>
      </c>
    </row>
    <row r="20727" spans="1:7" x14ac:dyDescent="0.25">
      <c r="A20727" s="59"/>
      <c r="B20727" s="60"/>
      <c r="C20727" s="60"/>
      <c r="D20727" s="60"/>
      <c r="E20727" s="57"/>
      <c r="F20727" s="57"/>
      <c r="G20727" s="58"/>
    </row>
    <row r="20728" spans="1:7" x14ac:dyDescent="0.25">
      <c r="A20728" s="64"/>
      <c r="D20728" s="55"/>
      <c r="E20728" s="49" t="s">
        <v>102</v>
      </c>
      <c r="F20728" s="49" t="s">
        <v>103</v>
      </c>
      <c r="G20728" s="51">
        <f>G20724*19%</f>
        <v>2457.6595000000002</v>
      </c>
    </row>
    <row r="20729" spans="1:7" x14ac:dyDescent="0.25">
      <c r="A20729" s="61"/>
      <c r="B20729" s="62"/>
      <c r="C20729" s="62"/>
      <c r="D20729" s="62"/>
      <c r="E20729" s="57"/>
      <c r="F20729" s="57"/>
      <c r="G20729" s="58"/>
    </row>
    <row r="20730" spans="1:7" x14ac:dyDescent="0.25">
      <c r="A20730" s="219" t="s">
        <v>104</v>
      </c>
      <c r="B20730" s="219"/>
      <c r="C20730" s="219"/>
      <c r="D20730" s="219"/>
      <c r="E20730" s="219"/>
      <c r="F20730" s="219"/>
      <c r="G20730" s="52">
        <f>G20728+G20726</f>
        <v>325833.90950000001</v>
      </c>
    </row>
    <row r="20732" spans="1:7" x14ac:dyDescent="0.25">
      <c r="A20732" s="74" t="s">
        <v>29</v>
      </c>
      <c r="B20732" s="237" t="s">
        <v>30</v>
      </c>
      <c r="C20732" s="238"/>
      <c r="D20732" s="74" t="s">
        <v>31</v>
      </c>
      <c r="E20732" s="74" t="s">
        <v>32</v>
      </c>
      <c r="F20732" s="74" t="s">
        <v>189</v>
      </c>
      <c r="G20732" s="74" t="s">
        <v>33</v>
      </c>
    </row>
    <row r="20733" spans="1:7" ht="38.25" customHeight="1" x14ac:dyDescent="0.25">
      <c r="A20733" s="50" t="str">
        <f>Presupuesto!B397</f>
        <v>062_AUX</v>
      </c>
      <c r="B20733" s="220" t="str">
        <f>Presupuesto!C397</f>
        <v>SUMINISTRO E INSTALACIÓN DE CIRCUITO DE ALIMENTACIÓN DE AIRE ACONDICIONADO EN TUBERÍA EMT DE 1" CABLE 3x6 AWG cu. INCLUYE TOMA CORRIENTE LEVITON+CAJA RAWEL Y ACCESORIOS (Longitud promedio 15m)</v>
      </c>
      <c r="C20733" s="239"/>
      <c r="D20733" s="50" t="s">
        <v>8</v>
      </c>
      <c r="E20733" s="50">
        <v>3</v>
      </c>
      <c r="F20733" s="50"/>
      <c r="G20733" s="51">
        <f>G20802</f>
        <v>1226096.8004999999</v>
      </c>
    </row>
    <row r="20734" spans="1:7" x14ac:dyDescent="0.25">
      <c r="A20734" s="219" t="s">
        <v>34</v>
      </c>
      <c r="B20734" s="219"/>
      <c r="C20734" s="219"/>
      <c r="D20734" s="219"/>
      <c r="E20734" s="219"/>
      <c r="F20734" s="219"/>
      <c r="G20734" s="219"/>
    </row>
    <row r="20735" spans="1:7" x14ac:dyDescent="0.25">
      <c r="A20735" s="49" t="s">
        <v>35</v>
      </c>
      <c r="B20735" s="234" t="s">
        <v>36</v>
      </c>
      <c r="C20735" s="235"/>
      <c r="D20735" s="49" t="s">
        <v>37</v>
      </c>
      <c r="E20735" s="49" t="s">
        <v>38</v>
      </c>
      <c r="F20735" s="49" t="s">
        <v>39</v>
      </c>
      <c r="G20735" s="49" t="s">
        <v>40</v>
      </c>
    </row>
    <row r="20736" spans="1:7" x14ac:dyDescent="0.25">
      <c r="A20736" s="17" t="str">
        <f>Material!A221</f>
        <v>MA-220</v>
      </c>
      <c r="B20736" s="72" t="str">
        <f>IFERROR(VLOOKUP(A20736,Material!$A:$H,2,0),"-")</f>
        <v>TUBO METALICO EMT CONDUIT GALVANIZADO DE 3/4"</v>
      </c>
      <c r="C20736" s="73"/>
      <c r="D20736" s="50" t="str">
        <f>IFERROR(VLOOKUP(A20736,Material!$A:$H,4,0),"-")</f>
        <v>ML</v>
      </c>
      <c r="E20736" s="50">
        <v>20</v>
      </c>
      <c r="F20736" s="51">
        <f>IFERROR(VLOOKUP(A20736,Material!$A:$H,3,0),"-")</f>
        <v>11830</v>
      </c>
      <c r="G20736" s="51">
        <f t="shared" ref="G20736:G20743" si="309">IFERROR(ROUNDUP(F20736*E20736,0),"-")</f>
        <v>236600</v>
      </c>
    </row>
    <row r="20737" spans="1:7" x14ac:dyDescent="0.25">
      <c r="A20737" s="17" t="str">
        <f>Material!A160</f>
        <v>MA-159</v>
      </c>
      <c r="B20737" s="72" t="str">
        <f>IFERROR(VLOOKUP(A20737,Material!$A:$H,2,0),"-")</f>
        <v>CABLE ENCAUCHETADO 4 X 12 AWG COBRE</v>
      </c>
      <c r="C20737" s="76"/>
      <c r="D20737" s="50" t="str">
        <f>IFERROR(VLOOKUP(A20737,Material!$A:$H,4,0),"-")</f>
        <v>ML</v>
      </c>
      <c r="E20737" s="50">
        <v>20</v>
      </c>
      <c r="F20737" s="51">
        <f>IFERROR(VLOOKUP(A20737,Material!$A:$H,3,0),"-")</f>
        <v>16510</v>
      </c>
      <c r="G20737" s="51">
        <f t="shared" si="309"/>
        <v>330200</v>
      </c>
    </row>
    <row r="20738" spans="1:7" x14ac:dyDescent="0.25">
      <c r="A20738" s="17" t="str">
        <f>Material!A142</f>
        <v>MA-141</v>
      </c>
      <c r="B20738" s="72" t="str">
        <f>IFERROR(VLOOKUP(A20738,Material!$A:$H,2,0),"-")</f>
        <v>CAJA RAWELT</v>
      </c>
      <c r="C20738" s="76"/>
      <c r="D20738" s="50" t="str">
        <f>IFERROR(VLOOKUP(A20738,Material!$A:$H,4,0),"-")</f>
        <v>UN</v>
      </c>
      <c r="E20738" s="50">
        <v>2</v>
      </c>
      <c r="F20738" s="51">
        <f>IFERROR(VLOOKUP(A20738,Material!$A:$H,3,0),"-")</f>
        <v>13778.7</v>
      </c>
      <c r="G20738" s="51">
        <f t="shared" si="309"/>
        <v>27558</v>
      </c>
    </row>
    <row r="20739" spans="1:7" x14ac:dyDescent="0.25">
      <c r="A20739" s="17" t="str">
        <f>Material!A255</f>
        <v>MA-254</v>
      </c>
      <c r="B20739" s="72" t="str">
        <f>IFERROR(VLOOKUP(A20739,Material!$A:$H,2,0),"-")</f>
        <v>TOMA BIFASICA INCRUSTAR LEGRAND 20AMP 125V 2F TURNLOK P-TIERRA L520R</v>
      </c>
      <c r="C20739" s="76"/>
      <c r="D20739" s="50" t="str">
        <f>IFERROR(VLOOKUP(A20739,Material!$A:$H,4,0),"-")</f>
        <v>UN</v>
      </c>
      <c r="E20739" s="50">
        <v>1</v>
      </c>
      <c r="F20739" s="51">
        <f>IFERROR(VLOOKUP(A20739,Material!$A:$H,3,0),"-")</f>
        <v>29380</v>
      </c>
      <c r="G20739" s="51">
        <f t="shared" si="309"/>
        <v>29380</v>
      </c>
    </row>
    <row r="20740" spans="1:7" x14ac:dyDescent="0.25">
      <c r="A20740" s="17" t="str">
        <f>Material!A225</f>
        <v>MA-224</v>
      </c>
      <c r="B20740" s="72" t="str">
        <f>IFERROR(VLOOKUP(A20740,Material!$A:$H,2,0),"-")</f>
        <v>CURVA 90 GRADOS EMT DE 3/4"</v>
      </c>
      <c r="C20740" s="76"/>
      <c r="D20740" s="50" t="str">
        <f>IFERROR(VLOOKUP(A20740,Material!$A:$H,4,0),"-")</f>
        <v>UN</v>
      </c>
      <c r="E20740" s="50">
        <v>2</v>
      </c>
      <c r="F20740" s="51">
        <f>IFERROR(VLOOKUP(A20740,Material!$A:$H,3,0),"-")</f>
        <v>2340</v>
      </c>
      <c r="G20740" s="51">
        <f t="shared" si="309"/>
        <v>4680</v>
      </c>
    </row>
    <row r="20741" spans="1:7" x14ac:dyDescent="0.25">
      <c r="A20741" s="17" t="str">
        <f>Material!A553</f>
        <v>MA-552</v>
      </c>
      <c r="B20741" s="72" t="str">
        <f>IFERROR(VLOOKUP(A20741,Material!$A:$H,2,0),"-")</f>
        <v>UNION EMT DE 3/4 "</v>
      </c>
      <c r="C20741" s="76"/>
      <c r="D20741" s="50" t="str">
        <f>IFERROR(VLOOKUP(A20741,Material!$A:$H,4,0),"-")</f>
        <v>UN</v>
      </c>
      <c r="E20741" s="50">
        <v>11</v>
      </c>
      <c r="F20741" s="51">
        <f>IFERROR(VLOOKUP(A20741,Material!$A:$H,3,0),"-")</f>
        <v>1495</v>
      </c>
      <c r="G20741" s="51">
        <f t="shared" si="309"/>
        <v>16445</v>
      </c>
    </row>
    <row r="20742" spans="1:7" x14ac:dyDescent="0.25">
      <c r="A20742" s="17" t="str">
        <f>Material!A223</f>
        <v>MA-222</v>
      </c>
      <c r="B20742" s="72" t="str">
        <f>IFERROR(VLOOKUP(A20742,Material!$A:$H,2,0),"-")</f>
        <v xml:space="preserve">TERMINAL-CONECTOR EMT DE 3/4" </v>
      </c>
      <c r="C20742" s="76"/>
      <c r="D20742" s="50" t="str">
        <f>IFERROR(VLOOKUP(A20742,Material!$A:$H,4,0),"-")</f>
        <v>UN</v>
      </c>
      <c r="E20742" s="50">
        <v>4</v>
      </c>
      <c r="F20742" s="51">
        <f>IFERROR(VLOOKUP(A20742,Material!$A:$H,3,0),"-")</f>
        <v>1495</v>
      </c>
      <c r="G20742" s="51">
        <f t="shared" si="309"/>
        <v>5980</v>
      </c>
    </row>
    <row r="20743" spans="1:7" x14ac:dyDescent="0.25">
      <c r="A20743" s="17" t="str">
        <f>Material!A226</f>
        <v>MA-225</v>
      </c>
      <c r="B20743" s="72" t="str">
        <f>IFERROR(VLOOKUP(A20743,Material!$A:$H,2,0),"-")</f>
        <v>ABRAZADERA GRAPA METALICA 3/4"</v>
      </c>
      <c r="C20743" s="76"/>
      <c r="D20743" s="50" t="str">
        <f>IFERROR(VLOOKUP(A20743,Material!$A:$H,4,0),"-")</f>
        <v>UN</v>
      </c>
      <c r="E20743" s="50">
        <v>20</v>
      </c>
      <c r="F20743" s="51">
        <f>IFERROR(VLOOKUP(A20743,Material!$A:$H,3,0),"-")</f>
        <v>325</v>
      </c>
      <c r="G20743" s="51">
        <f t="shared" si="309"/>
        <v>6500</v>
      </c>
    </row>
    <row r="20744" spans="1:7" x14ac:dyDescent="0.25">
      <c r="A20744" s="234" t="s">
        <v>41</v>
      </c>
      <c r="B20744" s="236"/>
      <c r="C20744" s="236"/>
      <c r="D20744" s="236"/>
      <c r="E20744" s="236"/>
      <c r="F20744" s="235"/>
      <c r="G20744" s="52">
        <f>SUM(G20736:G20743)</f>
        <v>657343</v>
      </c>
    </row>
    <row r="20745" spans="1:7" x14ac:dyDescent="0.25">
      <c r="A20745" s="56"/>
      <c r="B20745" s="57"/>
      <c r="C20745" s="57"/>
      <c r="D20745" s="57"/>
      <c r="E20745" s="57"/>
      <c r="F20745" s="57"/>
      <c r="G20745" s="58"/>
    </row>
    <row r="20746" spans="1:7" x14ac:dyDescent="0.25">
      <c r="A20746" s="219" t="s">
        <v>42</v>
      </c>
      <c r="B20746" s="219"/>
      <c r="C20746" s="219"/>
      <c r="D20746" s="219"/>
      <c r="E20746" s="219"/>
      <c r="F20746" s="219"/>
      <c r="G20746" s="219"/>
    </row>
    <row r="20747" spans="1:7" x14ac:dyDescent="0.25">
      <c r="A20747" s="49" t="s">
        <v>35</v>
      </c>
      <c r="B20747" s="49" t="s">
        <v>36</v>
      </c>
      <c r="C20747" s="49" t="s">
        <v>38</v>
      </c>
      <c r="D20747" s="49" t="s">
        <v>43</v>
      </c>
      <c r="E20747" s="49" t="s">
        <v>44</v>
      </c>
      <c r="F20747" s="49" t="s">
        <v>45</v>
      </c>
      <c r="G20747" s="49" t="s">
        <v>40</v>
      </c>
    </row>
    <row r="20748" spans="1:7" x14ac:dyDescent="0.25">
      <c r="A20748" s="50" t="s">
        <v>319</v>
      </c>
      <c r="B20748" s="68" t="str">
        <f>VLOOKUP(A20748,'Componentes APUs'!$H$1:$L$25,2,0)</f>
        <v>Ingeniero Residente de Obra</v>
      </c>
      <c r="C20748" s="93">
        <v>0.25</v>
      </c>
      <c r="D20748" s="50">
        <f>VLOOKUP(A20748,'Componentes APUs'!$H$1:$L$25,3,0)</f>
        <v>4</v>
      </c>
      <c r="E20748" s="51">
        <f>VLOOKUP(A20748,'Componentes APUs'!$H$1:$L$25,4,0)</f>
        <v>271142.85714285716</v>
      </c>
      <c r="F20748" s="51">
        <f>VLOOKUP(A20748,'Componentes APUs'!$H$1:$L$25,5,0)</f>
        <v>162685.71428571429</v>
      </c>
      <c r="G20748" s="51">
        <f>ROUNDUP((E20748+F20748)*C20748/E20733,0)</f>
        <v>36153</v>
      </c>
    </row>
    <row r="20749" spans="1:7" x14ac:dyDescent="0.25">
      <c r="A20749" s="50" t="s">
        <v>320</v>
      </c>
      <c r="B20749" s="68" t="str">
        <f>VLOOKUP(A20749,'Componentes APUs'!$H$1:$L$25,2,0)</f>
        <v>Tecnico Supervisor</v>
      </c>
      <c r="C20749" s="93">
        <v>0.25</v>
      </c>
      <c r="D20749" s="50">
        <f>VLOOKUP(A20749,'Componentes APUs'!$H$1:$L$25,3,0)</f>
        <v>2.2999999999999998</v>
      </c>
      <c r="E20749" s="51">
        <f>VLOOKUP(A20749,'Componentes APUs'!$H$1:$L$25,4,0)</f>
        <v>155907.14285714284</v>
      </c>
      <c r="F20749" s="51">
        <f>VLOOKUP(A20749,'Componentes APUs'!$H$1:$L$25,5,0)</f>
        <v>93544.285714285696</v>
      </c>
      <c r="G20749" s="51">
        <f>ROUNDUP((E20749+F20749)*C20749/E20733,0)</f>
        <v>20788</v>
      </c>
    </row>
    <row r="20750" spans="1:7" x14ac:dyDescent="0.25">
      <c r="A20750" s="50" t="s">
        <v>1160</v>
      </c>
      <c r="B20750" s="68" t="str">
        <f>VLOOKUP(A20750,'Componentes APUs'!$H$1:$L$25,2,0)</f>
        <v>Oficial Eléctrico</v>
      </c>
      <c r="C20750" s="93">
        <v>1</v>
      </c>
      <c r="D20750" s="50">
        <f>VLOOKUP(A20750,'Componentes APUs'!$H$1:$L$25,3,0)</f>
        <v>2</v>
      </c>
      <c r="E20750" s="51">
        <f>VLOOKUP(A20750,'Componentes APUs'!$H$1:$L$25,4,0)</f>
        <v>154619.04761904763</v>
      </c>
      <c r="F20750" s="51">
        <f>VLOOKUP(A20750,'Componentes APUs'!$H$1:$L$25,5,0)</f>
        <v>92771.42857142858</v>
      </c>
      <c r="G20750" s="51">
        <f>ROUNDUP((E20750+F20750)*C20750/E20733,0)</f>
        <v>82464</v>
      </c>
    </row>
    <row r="20751" spans="1:7" x14ac:dyDescent="0.25">
      <c r="A20751" s="50" t="s">
        <v>48</v>
      </c>
      <c r="B20751" s="68" t="str">
        <f>VLOOKUP(A20751,'Componentes APUs'!$H$1:$L$25,2,0)</f>
        <v>Ayudante Calificado</v>
      </c>
      <c r="C20751" s="93">
        <v>1</v>
      </c>
      <c r="D20751" s="50">
        <f>VLOOKUP(A20751,'Componentes APUs'!$H$1:$L$25,3,0)</f>
        <v>1.5</v>
      </c>
      <c r="E20751" s="51">
        <f>VLOOKUP(A20751,'Componentes APUs'!$H$1:$L$25,4,0)</f>
        <v>115964.28571428571</v>
      </c>
      <c r="F20751" s="51">
        <f>VLOOKUP(A20751,'Componentes APUs'!$H$1:$L$25,5,0)</f>
        <v>69578.57142857142</v>
      </c>
      <c r="G20751" s="51">
        <f>ROUNDUP((E20751+F20751)*C20751/E20733,0)</f>
        <v>61848</v>
      </c>
    </row>
    <row r="20752" spans="1:7" x14ac:dyDescent="0.25">
      <c r="A20752" s="50" t="s">
        <v>50</v>
      </c>
      <c r="B20752" s="68" t="str">
        <f>VLOOKUP(A20752,'Componentes APUs'!$H$1:$L$25,2,0)</f>
        <v>Profesional en SST</v>
      </c>
      <c r="C20752" s="93">
        <v>0.25</v>
      </c>
      <c r="D20752" s="50">
        <f>VLOOKUP(A20752,'Componentes APUs'!$H$1:$L$25,3,0)</f>
        <v>2.5</v>
      </c>
      <c r="E20752" s="51">
        <f>VLOOKUP(A20752,'Componentes APUs'!$H$1:$L$25,4,0)</f>
        <v>169464.28571428571</v>
      </c>
      <c r="F20752" s="51">
        <f>VLOOKUP(A20752,'Componentes APUs'!$H$1:$L$25,5,0)</f>
        <v>101678.57142857142</v>
      </c>
      <c r="G20752" s="51">
        <f>ROUNDUP((E20752+F20752)*C20752/E20733,0)</f>
        <v>22596</v>
      </c>
    </row>
    <row r="20753" spans="1:7" x14ac:dyDescent="0.25">
      <c r="A20753" s="50" t="s">
        <v>52</v>
      </c>
      <c r="B20753" s="68" t="str">
        <f>VLOOKUP(A20753,'Componentes APUs'!$H$1:$L$25,2,0)</f>
        <v>Ayudante No Calificado</v>
      </c>
      <c r="C20753" s="93">
        <v>0</v>
      </c>
      <c r="D20753" s="50">
        <f>VLOOKUP(A20753,'Componentes APUs'!$H$1:$L$25,3,0)</f>
        <v>1</v>
      </c>
      <c r="E20753" s="51">
        <f>VLOOKUP(A20753,'Componentes APUs'!$H$1:$L$25,4,0)</f>
        <v>77309.523809523816</v>
      </c>
      <c r="F20753" s="51">
        <f>VLOOKUP(A20753,'Componentes APUs'!$H$1:$L$25,5,0)</f>
        <v>46385.71428571429</v>
      </c>
      <c r="G20753" s="51">
        <f>ROUNDUP((E20753+F20753)*C20753/E20733,0)</f>
        <v>0</v>
      </c>
    </row>
    <row r="20754" spans="1:7" x14ac:dyDescent="0.25">
      <c r="A20754" s="219" t="s">
        <v>56</v>
      </c>
      <c r="B20754" s="219"/>
      <c r="C20754" s="219"/>
      <c r="D20754" s="219"/>
      <c r="E20754" s="219"/>
      <c r="F20754" s="219"/>
      <c r="G20754" s="52">
        <f>SUM(G20748:G20753)</f>
        <v>223849</v>
      </c>
    </row>
    <row r="20755" spans="1:7" x14ac:dyDescent="0.25">
      <c r="A20755" s="56"/>
      <c r="B20755" s="57"/>
      <c r="C20755" s="57"/>
      <c r="D20755" s="57"/>
      <c r="E20755" s="57"/>
      <c r="F20755" s="57"/>
      <c r="G20755" s="58"/>
    </row>
    <row r="20756" spans="1:7" x14ac:dyDescent="0.25">
      <c r="A20756" s="219" t="s">
        <v>57</v>
      </c>
      <c r="B20756" s="219"/>
      <c r="C20756" s="219"/>
      <c r="D20756" s="219"/>
      <c r="E20756" s="219"/>
      <c r="F20756" s="219"/>
      <c r="G20756" s="219"/>
    </row>
    <row r="20757" spans="1:7" x14ac:dyDescent="0.25">
      <c r="A20757" s="49" t="s">
        <v>35</v>
      </c>
      <c r="B20757" s="219" t="s">
        <v>36</v>
      </c>
      <c r="C20757" s="219"/>
      <c r="D20757" s="49" t="s">
        <v>37</v>
      </c>
      <c r="E20757" s="49" t="s">
        <v>38</v>
      </c>
      <c r="F20757" s="49" t="s">
        <v>39</v>
      </c>
      <c r="G20757" s="49" t="s">
        <v>40</v>
      </c>
    </row>
    <row r="20758" spans="1:7" x14ac:dyDescent="0.25">
      <c r="A20758" s="50" t="s">
        <v>326</v>
      </c>
      <c r="B20758" s="220" t="str">
        <f>VLOOKUP(A20758,'Componentes APUs'!$S$1:$V$10,2,0)</f>
        <v>Juego Llaves</v>
      </c>
      <c r="C20758" s="220"/>
      <c r="D20758" s="50" t="s">
        <v>18</v>
      </c>
      <c r="E20758" s="50">
        <v>2</v>
      </c>
      <c r="F20758" s="51">
        <f>VLOOKUP(A20758,'Componentes APUs'!$S$1:$V$10,4,0)</f>
        <v>9167</v>
      </c>
      <c r="G20758" s="51">
        <f>ROUNDUP(F20758*((E20758/21)/E20733),0)</f>
        <v>292</v>
      </c>
    </row>
    <row r="20759" spans="1:7" x14ac:dyDescent="0.25">
      <c r="A20759" s="50" t="s">
        <v>58</v>
      </c>
      <c r="B20759" s="220" t="str">
        <f>VLOOKUP(A20759,'Componentes APUs'!$S$1:$V$10,2,0)</f>
        <v>Manila de servicio</v>
      </c>
      <c r="C20759" s="220"/>
      <c r="D20759" s="50" t="s">
        <v>18</v>
      </c>
      <c r="E20759" s="50">
        <v>0</v>
      </c>
      <c r="F20759" s="51">
        <f>VLOOKUP(A20759,'Componentes APUs'!$S$1:$V$10,4,0)</f>
        <v>2333</v>
      </c>
      <c r="G20759" s="51">
        <f>ROUNDUP(F20759*((E20759/21)/E20733),0)</f>
        <v>0</v>
      </c>
    </row>
    <row r="20760" spans="1:7" x14ac:dyDescent="0.25">
      <c r="A20760" s="50" t="s">
        <v>327</v>
      </c>
      <c r="B20760" s="220" t="str">
        <f>VLOOKUP(A20760,'Componentes APUs'!$S$1:$V$10,2,0)</f>
        <v>Tula portaherramientas</v>
      </c>
      <c r="C20760" s="220"/>
      <c r="D20760" s="50" t="s">
        <v>18</v>
      </c>
      <c r="E20760" s="50">
        <v>2</v>
      </c>
      <c r="F20760" s="51">
        <f>VLOOKUP(A20760,'Componentes APUs'!$S$1:$V$10,4,0)</f>
        <v>1250</v>
      </c>
      <c r="G20760" s="51">
        <f>ROUNDUP(F20760*((E20760/21)/E20733),0)</f>
        <v>40</v>
      </c>
    </row>
    <row r="20761" spans="1:7" x14ac:dyDescent="0.25">
      <c r="A20761" s="50" t="s">
        <v>60</v>
      </c>
      <c r="B20761" s="220" t="str">
        <f>VLOOKUP(A20761,'Componentes APUs'!$S$1:$V$10,2,0)</f>
        <v>Agarradoras</v>
      </c>
      <c r="C20761" s="220"/>
      <c r="D20761" s="50" t="s">
        <v>18</v>
      </c>
      <c r="E20761" s="50">
        <v>0</v>
      </c>
      <c r="F20761" s="51">
        <f>VLOOKUP(A20761,'Componentes APUs'!$S$1:$V$10,4,0)</f>
        <v>125000</v>
      </c>
      <c r="G20761" s="51">
        <f>ROUNDUP(F20761*((E20761/21)/E20733),0)</f>
        <v>0</v>
      </c>
    </row>
    <row r="20762" spans="1:7" x14ac:dyDescent="0.25">
      <c r="A20762" s="50" t="s">
        <v>62</v>
      </c>
      <c r="B20762" s="220" t="str">
        <f>VLOOKUP(A20762,'Componentes APUs'!$S$1:$V$10,2,0)</f>
        <v>Templadoras</v>
      </c>
      <c r="C20762" s="220"/>
      <c r="D20762" s="50" t="s">
        <v>18</v>
      </c>
      <c r="E20762" s="50">
        <v>0</v>
      </c>
      <c r="F20762" s="51">
        <f>VLOOKUP(A20762,'Componentes APUs'!$S$1:$V$10,4,0)</f>
        <v>250000</v>
      </c>
      <c r="G20762" s="51">
        <f>ROUNDUP(F20762*((E20762/21)/E20733),0)</f>
        <v>0</v>
      </c>
    </row>
    <row r="20763" spans="1:7" x14ac:dyDescent="0.25">
      <c r="A20763" s="50" t="s">
        <v>328</v>
      </c>
      <c r="B20763" s="220" t="str">
        <f>VLOOKUP(A20763,'Componentes APUs'!$S$1:$V$10,2,0)</f>
        <v>Herramienta Menor</v>
      </c>
      <c r="C20763" s="220"/>
      <c r="D20763" s="50" t="s">
        <v>18</v>
      </c>
      <c r="E20763" s="50">
        <v>2</v>
      </c>
      <c r="F20763" s="51">
        <f>VLOOKUP(A20763,'Componentes APUs'!$S$1:$V$10,4,0)</f>
        <v>75758</v>
      </c>
      <c r="G20763" s="51">
        <f>ROUNDUP(F20763*((E20763/21)/E20733),0)</f>
        <v>2406</v>
      </c>
    </row>
    <row r="20764" spans="1:7" x14ac:dyDescent="0.25">
      <c r="A20764" s="219" t="s">
        <v>69</v>
      </c>
      <c r="B20764" s="219"/>
      <c r="C20764" s="219"/>
      <c r="D20764" s="219"/>
      <c r="E20764" s="219"/>
      <c r="F20764" s="219"/>
      <c r="G20764" s="52">
        <f>SUM(G20758:G20763)</f>
        <v>2738</v>
      </c>
    </row>
    <row r="20765" spans="1:7" x14ac:dyDescent="0.25">
      <c r="A20765" s="56"/>
      <c r="B20765" s="57"/>
      <c r="C20765" s="57"/>
      <c r="D20765" s="57"/>
      <c r="E20765" s="57"/>
      <c r="F20765" s="57"/>
      <c r="G20765" s="58"/>
    </row>
    <row r="20766" spans="1:7" x14ac:dyDescent="0.25">
      <c r="A20766" s="219" t="s">
        <v>70</v>
      </c>
      <c r="B20766" s="219"/>
      <c r="C20766" s="219"/>
      <c r="D20766" s="219"/>
      <c r="E20766" s="219"/>
      <c r="F20766" s="219"/>
      <c r="G20766" s="219"/>
    </row>
    <row r="20767" spans="1:7" x14ac:dyDescent="0.25">
      <c r="A20767" s="49" t="s">
        <v>35</v>
      </c>
      <c r="B20767" s="219" t="s">
        <v>36</v>
      </c>
      <c r="C20767" s="219"/>
      <c r="D20767" s="49" t="s">
        <v>37</v>
      </c>
      <c r="E20767" s="49" t="s">
        <v>38</v>
      </c>
      <c r="F20767" s="49" t="s">
        <v>39</v>
      </c>
      <c r="G20767" s="49" t="s">
        <v>40</v>
      </c>
    </row>
    <row r="20768" spans="1:7" x14ac:dyDescent="0.25">
      <c r="A20768" s="50" t="s">
        <v>71</v>
      </c>
      <c r="B20768" s="71" t="str">
        <f>VLOOKUP(A20768,'Componentes APUs'!$A$1:$D$14,2,0)</f>
        <v>Camisa indigo sin partes metalicas</v>
      </c>
      <c r="C20768" s="71"/>
      <c r="D20768" s="50" t="str">
        <f>VLOOKUP(A20768,'Componentes APUs'!$A$1:$D$14,3,0)</f>
        <v>U</v>
      </c>
      <c r="E20768" s="50">
        <f>SUM(C20748:C20753)</f>
        <v>2.75</v>
      </c>
      <c r="F20768" s="51">
        <f>VLOOKUP(A20768,'Componentes APUs'!$A$1:$D$14,4,0)</f>
        <v>8585.8585858585866</v>
      </c>
      <c r="G20768" s="51">
        <f>ROUNDUP(F20768*(E20768/21)/E20733,0)</f>
        <v>375</v>
      </c>
    </row>
    <row r="20769" spans="1:7" x14ac:dyDescent="0.25">
      <c r="A20769" s="69" t="s">
        <v>73</v>
      </c>
      <c r="B20769" s="72" t="str">
        <f>VLOOKUP(A20769,'Componentes APUs'!$A$1:$D$14,2,0)</f>
        <v>Bota de seguridad dielectrica</v>
      </c>
      <c r="C20769" s="73"/>
      <c r="D20769" s="70" t="str">
        <f>VLOOKUP(A20769,'Componentes APUs'!$A$1:$D$14,3,0)</f>
        <v>Par</v>
      </c>
      <c r="E20769" s="50">
        <f>SUM(C20748:C20753)</f>
        <v>2.75</v>
      </c>
      <c r="F20769" s="51">
        <f>VLOOKUP(A20769,'Componentes APUs'!$A$1:$D$14,4,0)</f>
        <v>7500</v>
      </c>
      <c r="G20769" s="51">
        <f>ROUNDUP(F20769*(E20769/21)/E20733,0)</f>
        <v>328</v>
      </c>
    </row>
    <row r="20770" spans="1:7" x14ac:dyDescent="0.25">
      <c r="A20770" s="50" t="s">
        <v>76</v>
      </c>
      <c r="B20770" s="72" t="str">
        <f>VLOOKUP(A20770,'Componentes APUs'!$A$1:$D$14,2,0)</f>
        <v>Casco dielectrico Tipo 1 Clase E con barbuquejo</v>
      </c>
      <c r="C20770" s="73"/>
      <c r="D20770" s="50" t="str">
        <f>VLOOKUP(A20770,'Componentes APUs'!$A$1:$D$14,3,0)</f>
        <v>U</v>
      </c>
      <c r="E20770" s="50">
        <f>C20753+C20748+C20751+C20752+C20749+IF(A20750&lt;&gt;"MO-3",C20750,0)</f>
        <v>2.75</v>
      </c>
      <c r="F20770" s="51">
        <f>VLOOKUP(A20770,'Componentes APUs'!$A$1:$D$14,4,0)</f>
        <v>10101.010101010101</v>
      </c>
      <c r="G20770" s="51">
        <f>ROUNDUP(F20770*(E20770/21)/E20733,0)</f>
        <v>441</v>
      </c>
    </row>
    <row r="20771" spans="1:7" x14ac:dyDescent="0.25">
      <c r="A20771" s="69" t="s">
        <v>77</v>
      </c>
      <c r="B20771" s="72" t="str">
        <f>VLOOKUP(A20771,'Componentes APUs'!$A$1:$D$14,2,0)</f>
        <v>Correa plastica y antiflama</v>
      </c>
      <c r="C20771" s="73"/>
      <c r="D20771" s="50" t="str">
        <f>VLOOKUP(A20771,'Componentes APUs'!$A$1:$D$14,3,0)</f>
        <v>U</v>
      </c>
      <c r="E20771" s="50">
        <f>SUM(C20748:C20753)</f>
        <v>2.75</v>
      </c>
      <c r="F20771" s="51">
        <f>VLOOKUP(A20771,'Componentes APUs'!$A$1:$D$14,4,0)</f>
        <v>3787.878787878788</v>
      </c>
      <c r="G20771" s="51">
        <f>ROUNDUP(F20771*(E20771/21)/E20733,0)</f>
        <v>166</v>
      </c>
    </row>
    <row r="20772" spans="1:7" x14ac:dyDescent="0.25">
      <c r="A20772" s="50" t="s">
        <v>79</v>
      </c>
      <c r="B20772" s="72" t="str">
        <f>VLOOKUP(A20772,'Componentes APUs'!$A$1:$D$14,2,0)</f>
        <v>Gafas protectoras filtro UV</v>
      </c>
      <c r="C20772" s="73"/>
      <c r="D20772" s="50" t="str">
        <f>VLOOKUP(A20772,'Componentes APUs'!$A$1:$D$14,3,0)</f>
        <v>U</v>
      </c>
      <c r="E20772" s="50">
        <f>SUM(C20748:C20753)</f>
        <v>2.75</v>
      </c>
      <c r="F20772" s="51">
        <f>VLOOKUP(A20772,'Componentes APUs'!$A$1:$D$14,4,0)</f>
        <v>2777.7777777777778</v>
      </c>
      <c r="G20772" s="51">
        <f>ROUNDUP(F20772*(E20772/21)/E20733,0)</f>
        <v>122</v>
      </c>
    </row>
    <row r="20773" spans="1:7" x14ac:dyDescent="0.25">
      <c r="A20773" s="69" t="s">
        <v>402</v>
      </c>
      <c r="B20773" s="72" t="str">
        <f>VLOOKUP(A20773,'Componentes APUs'!$A$1:$D$14,2,0)</f>
        <v>Bota de seguridad PVC dielectrica</v>
      </c>
      <c r="C20773" s="73"/>
      <c r="D20773" s="50" t="str">
        <f>VLOOKUP(A20773,'Componentes APUs'!$A$1:$D$14,3,0)</f>
        <v>Par</v>
      </c>
      <c r="E20773" s="50">
        <f>SUM(C20748:C20753)</f>
        <v>2.75</v>
      </c>
      <c r="F20773" s="51">
        <f>VLOOKUP(A20773,'Componentes APUs'!$A$1:$D$14,4,0)</f>
        <v>2916.6666666666665</v>
      </c>
      <c r="G20773" s="51">
        <f>ROUNDUP(F20773*(E20773/21)/E20733,0)</f>
        <v>128</v>
      </c>
    </row>
    <row r="20774" spans="1:7" x14ac:dyDescent="0.25">
      <c r="A20774" s="50" t="s">
        <v>403</v>
      </c>
      <c r="B20774" s="72" t="str">
        <f>VLOOKUP(A20774,'Componentes APUs'!$A$1:$D$14,2,0)</f>
        <v>Capuchon</v>
      </c>
      <c r="C20774" s="73"/>
      <c r="D20774" s="50" t="str">
        <f>VLOOKUP(A20774,'Componentes APUs'!$A$1:$D$14,3,0)</f>
        <v>U</v>
      </c>
      <c r="E20774" s="50">
        <f>SUM(C20748:C20753)</f>
        <v>2.75</v>
      </c>
      <c r="F20774" s="51">
        <f>VLOOKUP(A20774,'Componentes APUs'!$A$1:$D$14,4,0)</f>
        <v>2525.2525252525252</v>
      </c>
      <c r="G20774" s="51">
        <f>ROUNDUP(F20774*(E20774/21)/E20733,0)</f>
        <v>111</v>
      </c>
    </row>
    <row r="20775" spans="1:7" x14ac:dyDescent="0.25">
      <c r="A20775" s="69" t="s">
        <v>81</v>
      </c>
      <c r="B20775" s="72" t="str">
        <f>VLOOKUP(A20775,'Componentes APUs'!$A$1:$D$14,2,0)</f>
        <v>Guantes Protectores  - ingeniero reforzados</v>
      </c>
      <c r="C20775" s="73"/>
      <c r="D20775" s="50" t="str">
        <f>VLOOKUP(A20775,'Componentes APUs'!$A$1:$D$14,3,0)</f>
        <v>Par</v>
      </c>
      <c r="E20775" s="50">
        <f>C20750+C20751+C20753</f>
        <v>2</v>
      </c>
      <c r="F20775" s="51">
        <f>VLOOKUP(A20775,'Componentes APUs'!$A$1:$D$14,4,0)</f>
        <v>2525.2525252525252</v>
      </c>
      <c r="G20775" s="51">
        <f>ROUNDUP(F20775*(E20775/21)/E20733,0)</f>
        <v>81</v>
      </c>
    </row>
    <row r="20776" spans="1:7" x14ac:dyDescent="0.25">
      <c r="A20776" s="50" t="s">
        <v>83</v>
      </c>
      <c r="B20776" s="72" t="str">
        <f>VLOOKUP(A20776,'Componentes APUs'!$A$1:$D$14,2,0)</f>
        <v>Impermeable (pantalon camisa)</v>
      </c>
      <c r="C20776" s="73"/>
      <c r="D20776" s="50" t="str">
        <f>VLOOKUP(A20776,'Componentes APUs'!$A$1:$D$14,3,0)</f>
        <v>U</v>
      </c>
      <c r="E20776" s="50">
        <f>SUM(C20748:C20753)</f>
        <v>2.75</v>
      </c>
      <c r="F20776" s="51">
        <f>VLOOKUP(A20776,'Componentes APUs'!$A$1:$D$14,4,0)</f>
        <v>3750</v>
      </c>
      <c r="G20776" s="51">
        <f>ROUNDUP(F20776*(E20776/21)/E20733,0)</f>
        <v>164</v>
      </c>
    </row>
    <row r="20777" spans="1:7" x14ac:dyDescent="0.25">
      <c r="A20777" s="69" t="s">
        <v>85</v>
      </c>
      <c r="B20777" s="72" t="str">
        <f>VLOOKUP(A20777,'Componentes APUs'!$A$1:$D$14,2,0)</f>
        <v>Jean Dielectrico</v>
      </c>
      <c r="C20777" s="73"/>
      <c r="D20777" s="50" t="str">
        <f>VLOOKUP(A20777,'Componentes APUs'!$A$1:$D$14,3,0)</f>
        <v>U</v>
      </c>
      <c r="E20777" s="50">
        <f>SUM(C20748:C20753)</f>
        <v>2.75</v>
      </c>
      <c r="F20777" s="51">
        <f>VLOOKUP(A20777,'Componentes APUs'!$A$1:$D$14,4,0)</f>
        <v>7575.757575757576</v>
      </c>
      <c r="G20777" s="51">
        <f>ROUNDUP(F20777*(E20777/21)/E20733,0)</f>
        <v>331</v>
      </c>
    </row>
    <row r="20778" spans="1:7" x14ac:dyDescent="0.25">
      <c r="A20778" s="50" t="s">
        <v>87</v>
      </c>
      <c r="B20778" s="72" t="str">
        <f>VLOOKUP(A20778,'Componentes APUs'!$A$1:$D$14,2,0)</f>
        <v>Casco dielectrico Tipo 2 Clase E con barboquejo</v>
      </c>
      <c r="C20778" s="73"/>
      <c r="D20778" s="50" t="str">
        <f>VLOOKUP(A20778,'Componentes APUs'!$A$1:$D$14,3,0)</f>
        <v>U</v>
      </c>
      <c r="E20778" s="53">
        <f>IF(A20750="MO-3",C20750,0)</f>
        <v>0</v>
      </c>
      <c r="F20778" s="51">
        <f>VLOOKUP(A20778,'Componentes APUs'!$A$1:$D$14,4,0)</f>
        <v>7500</v>
      </c>
      <c r="G20778" s="51">
        <f>ROUNDUP(F20778*(E20778/21)/E20733,0)</f>
        <v>0</v>
      </c>
    </row>
    <row r="20779" spans="1:7" x14ac:dyDescent="0.25">
      <c r="A20779" s="69" t="s">
        <v>89</v>
      </c>
      <c r="B20779" s="72" t="str">
        <f>VLOOKUP(A20779,'Componentes APUs'!$A$1:$D$14,2,0)</f>
        <v>Kit de rescate para trabajo en alturas</v>
      </c>
      <c r="C20779" s="73"/>
      <c r="D20779" s="50" t="str">
        <f>VLOOKUP(A20779,'Componentes APUs'!$A$1:$D$14,3,0)</f>
        <v>U</v>
      </c>
      <c r="E20779" s="50">
        <f>IF(AND(A20750="MO-3",C20750=2),1,0)</f>
        <v>0</v>
      </c>
      <c r="F20779" s="51">
        <f>VLOOKUP(A20779,'Componentes APUs'!$A$1:$D$14,4,0)</f>
        <v>37500</v>
      </c>
      <c r="G20779" s="51">
        <f>ROUNDUP(F20779*(E20779/21)/E20733,0)</f>
        <v>0</v>
      </c>
    </row>
    <row r="20780" spans="1:7" x14ac:dyDescent="0.25">
      <c r="A20780" s="50" t="s">
        <v>91</v>
      </c>
      <c r="B20780" s="72" t="str">
        <f>VLOOKUP(A20780,'Componentes APUs'!$A$1:$D$14,2,0)</f>
        <v>Equipo completo para trabajo en alturas con pretales (Arnes dielectrico, 1 mosqueton de seguridad, tie off dielectrico, eslinga de posicionamiento, juego de pretales)</v>
      </c>
      <c r="C20780" s="73"/>
      <c r="D20780" s="50" t="str">
        <f>VLOOKUP(A20780,'Componentes APUs'!$A$1:$D$14,3,0)</f>
        <v>U</v>
      </c>
      <c r="E20780" s="50">
        <f>IF(A20750="MO-3",C20750,0)</f>
        <v>0</v>
      </c>
      <c r="F20780" s="51">
        <f>VLOOKUP(A20780,'Componentes APUs'!$A$1:$D$14,4,0)</f>
        <v>26041.666666666668</v>
      </c>
      <c r="G20780" s="51">
        <f>ROUNDUP(F20780*(E20780/21)/E20733,0)</f>
        <v>0</v>
      </c>
    </row>
    <row r="20781" spans="1:7" x14ac:dyDescent="0.25">
      <c r="A20781" s="219" t="s">
        <v>95</v>
      </c>
      <c r="B20781" s="219"/>
      <c r="C20781" s="219"/>
      <c r="D20781" s="219"/>
      <c r="E20781" s="219"/>
      <c r="F20781" s="219"/>
      <c r="G20781" s="52">
        <f>SUM(G20768:G20780)</f>
        <v>2247</v>
      </c>
    </row>
    <row r="20782" spans="1:7" x14ac:dyDescent="0.25">
      <c r="A20782" s="56"/>
      <c r="B20782" s="57"/>
      <c r="C20782" s="57"/>
      <c r="D20782" s="57"/>
      <c r="E20782" s="57"/>
      <c r="F20782" s="57"/>
      <c r="G20782" s="58"/>
    </row>
    <row r="20783" spans="1:7" x14ac:dyDescent="0.25">
      <c r="A20783" s="219" t="s">
        <v>96</v>
      </c>
      <c r="B20783" s="219"/>
      <c r="C20783" s="219"/>
      <c r="D20783" s="219"/>
      <c r="E20783" s="219"/>
      <c r="F20783" s="219"/>
      <c r="G20783" s="219"/>
    </row>
    <row r="20784" spans="1:7" x14ac:dyDescent="0.25">
      <c r="A20784" s="49" t="s">
        <v>35</v>
      </c>
      <c r="B20784" s="225" t="s">
        <v>36</v>
      </c>
      <c r="C20784" s="225"/>
      <c r="D20784" s="49" t="s">
        <v>37</v>
      </c>
      <c r="E20784" s="49" t="s">
        <v>38</v>
      </c>
      <c r="F20784" s="49" t="s">
        <v>39</v>
      </c>
      <c r="G20784" s="49" t="s">
        <v>40</v>
      </c>
    </row>
    <row r="20785" spans="1:7" x14ac:dyDescent="0.25">
      <c r="A20785" s="69" t="s">
        <v>97</v>
      </c>
      <c r="B20785" s="72" t="str">
        <f>VLOOKUP(A20785,'Componentes APUs'!$N$1:$Q$30,2,0)</f>
        <v>Camioneta</v>
      </c>
      <c r="C20785" s="73"/>
      <c r="D20785" s="70" t="str">
        <f>VLOOKUP(A20785,'Componentes APUs'!$N$1:$Q$30,3,0)</f>
        <v>U</v>
      </c>
      <c r="E20785" s="50">
        <v>1</v>
      </c>
      <c r="F20785" s="51">
        <f>VLOOKUP(A20785,'Componentes APUs'!$N$1:$Q$30,4,0)</f>
        <v>5500000</v>
      </c>
      <c r="G20785" s="51">
        <f>IFERROR(ROUNDUP(F20785*(E20785/21)/E20733,0),0)</f>
        <v>87302</v>
      </c>
    </row>
    <row r="20786" spans="1:7" x14ac:dyDescent="0.25">
      <c r="A20786" s="50" t="s">
        <v>321</v>
      </c>
      <c r="B20786" s="72" t="str">
        <f>VLOOKUP(A20786,'Componentes APUs'!$N$1:$Q$30,2,0)</f>
        <v>Grúa Hidráulica</v>
      </c>
      <c r="C20786" s="73"/>
      <c r="D20786" s="70" t="str">
        <f>VLOOKUP(A20786,'Componentes APUs'!$N$1:$Q$30,3,0)</f>
        <v>U</v>
      </c>
      <c r="E20786" s="50">
        <v>0</v>
      </c>
      <c r="F20786" s="51">
        <f>VLOOKUP(A20786,'Componentes APUs'!$N$1:$Q$30,4,0)</f>
        <v>21000000</v>
      </c>
      <c r="G20786" s="51">
        <f>IFERROR(ROUNDUP(F20786*(E20786/21)/E20733,0),0)</f>
        <v>0</v>
      </c>
    </row>
    <row r="20787" spans="1:7" x14ac:dyDescent="0.25">
      <c r="A20787" s="69" t="s">
        <v>322</v>
      </c>
      <c r="B20787" s="72" t="str">
        <f>VLOOKUP(A20787,'Componentes APUs'!$N$1:$Q$30,2,0)</f>
        <v>Camabaja</v>
      </c>
      <c r="C20787" s="73"/>
      <c r="D20787" s="70" t="str">
        <f>VLOOKUP(A20787,'Componentes APUs'!$N$1:$Q$30,3,0)</f>
        <v>TON/KM</v>
      </c>
      <c r="E20787" s="50">
        <v>0</v>
      </c>
      <c r="F20787" s="51">
        <f>VLOOKUP(A20787,'Componentes APUs'!$N$1:$Q$30,4,0)</f>
        <v>611</v>
      </c>
      <c r="G20787" s="51">
        <f>IFERROR(ROUNDUP(F20787*(E20787/21)/E20733,0),0)</f>
        <v>0</v>
      </c>
    </row>
    <row r="20788" spans="1:7" x14ac:dyDescent="0.25">
      <c r="A20788" s="50" t="s">
        <v>323</v>
      </c>
      <c r="B20788" s="72" t="str">
        <f>VLOOKUP(A20788,'Componentes APUs'!$N$1:$Q$30,2,0)</f>
        <v>Volqueta</v>
      </c>
      <c r="C20788" s="73"/>
      <c r="D20788" s="70" t="str">
        <f>VLOOKUP(A20788,'Componentes APUs'!$N$1:$Q$30,3,0)</f>
        <v>U</v>
      </c>
      <c r="E20788" s="50">
        <v>0</v>
      </c>
      <c r="F20788" s="51">
        <f>VLOOKUP(A20788,'Componentes APUs'!$N$1:$Q$30,4,0)</f>
        <v>14828184</v>
      </c>
      <c r="G20788" s="51">
        <f>IFERROR(ROUNDUP(F20788*(E20788/21)/E20733,0),0)</f>
        <v>0</v>
      </c>
    </row>
    <row r="20789" spans="1:7" x14ac:dyDescent="0.25">
      <c r="A20789" s="69" t="s">
        <v>324</v>
      </c>
      <c r="B20789" s="72" t="str">
        <f>VLOOKUP(A20789,'Componentes APUs'!$N$1:$Q$30,2,0)</f>
        <v>Retroexcavadora</v>
      </c>
      <c r="C20789" s="73"/>
      <c r="D20789" s="70" t="str">
        <f>VLOOKUP(A20789,'Componentes APUs'!$N$1:$Q$30,3,0)</f>
        <v>U</v>
      </c>
      <c r="E20789" s="50">
        <v>0</v>
      </c>
      <c r="F20789" s="51">
        <f>VLOOKUP(A20789,'Componentes APUs'!$N$1:$Q$30,4,0)</f>
        <v>46030656</v>
      </c>
      <c r="G20789" s="51">
        <f>IFERROR(ROUNDUP(F20789*(E20789/21)/E20733,0),0)</f>
        <v>0</v>
      </c>
    </row>
    <row r="20790" spans="1:7" x14ac:dyDescent="0.25">
      <c r="A20790" s="219" t="s">
        <v>99</v>
      </c>
      <c r="B20790" s="219"/>
      <c r="C20790" s="219"/>
      <c r="D20790" s="219"/>
      <c r="E20790" s="219"/>
      <c r="F20790" s="219"/>
      <c r="G20790" s="52">
        <f>SUM(G20785:G20789)</f>
        <v>87302</v>
      </c>
    </row>
    <row r="20791" spans="1:7" x14ac:dyDescent="0.25">
      <c r="A20791" s="56"/>
      <c r="B20791" s="57"/>
      <c r="C20791" s="57"/>
      <c r="D20791" s="57"/>
      <c r="E20791" s="57"/>
      <c r="F20791" s="57"/>
      <c r="G20791" s="58"/>
    </row>
    <row r="20792" spans="1:7" x14ac:dyDescent="0.25">
      <c r="A20792" s="219" t="s">
        <v>1516</v>
      </c>
      <c r="B20792" s="219"/>
      <c r="C20792" s="219"/>
      <c r="D20792" s="219"/>
      <c r="E20792" s="219"/>
      <c r="F20792" s="219"/>
      <c r="G20792" s="52">
        <f>G20790+G20781+G20764+G20754+G20744</f>
        <v>973479</v>
      </c>
    </row>
    <row r="20793" spans="1:7" x14ac:dyDescent="0.25">
      <c r="A20793" s="59"/>
      <c r="B20793" s="60"/>
      <c r="C20793" s="60"/>
      <c r="D20793" s="60"/>
      <c r="E20793" s="57"/>
      <c r="F20793" s="57"/>
      <c r="G20793" s="58"/>
    </row>
    <row r="20794" spans="1:7" x14ac:dyDescent="0.25">
      <c r="A20794" s="64"/>
      <c r="D20794" s="55"/>
      <c r="E20794" s="49" t="s">
        <v>25</v>
      </c>
      <c r="F20794" s="54">
        <v>0.15</v>
      </c>
      <c r="G20794" s="51">
        <f>G20792*F20794</f>
        <v>146021.85</v>
      </c>
    </row>
    <row r="20795" spans="1:7" x14ac:dyDescent="0.25">
      <c r="A20795" s="64"/>
      <c r="D20795" s="55"/>
      <c r="E20795" s="49" t="s">
        <v>26</v>
      </c>
      <c r="F20795" s="54">
        <v>0.05</v>
      </c>
      <c r="G20795" s="51">
        <f>G20792*F20795</f>
        <v>48673.950000000004</v>
      </c>
    </row>
    <row r="20796" spans="1:7" x14ac:dyDescent="0.25">
      <c r="A20796" s="61"/>
      <c r="B20796" s="65"/>
      <c r="C20796" s="65"/>
      <c r="D20796" s="62"/>
      <c r="E20796" s="49" t="s">
        <v>27</v>
      </c>
      <c r="F20796" s="54">
        <v>0.05</v>
      </c>
      <c r="G20796" s="51">
        <f>G20792*F20796</f>
        <v>48673.950000000004</v>
      </c>
    </row>
    <row r="20797" spans="1:7" x14ac:dyDescent="0.25">
      <c r="A20797" s="61"/>
      <c r="B20797" s="62"/>
      <c r="C20797" s="62"/>
      <c r="D20797" s="62"/>
      <c r="E20797" s="62"/>
      <c r="F20797" s="62"/>
      <c r="G20797" s="63"/>
    </row>
    <row r="20798" spans="1:7" x14ac:dyDescent="0.25">
      <c r="A20798" s="219" t="s">
        <v>1517</v>
      </c>
      <c r="B20798" s="219"/>
      <c r="C20798" s="219"/>
      <c r="D20798" s="219"/>
      <c r="E20798" s="219"/>
      <c r="F20798" s="219"/>
      <c r="G20798" s="52">
        <f>G20792+G20794+G20795+G20796</f>
        <v>1216848.75</v>
      </c>
    </row>
    <row r="20799" spans="1:7" x14ac:dyDescent="0.25">
      <c r="A20799" s="59"/>
      <c r="B20799" s="60"/>
      <c r="C20799" s="60"/>
      <c r="D20799" s="60"/>
      <c r="E20799" s="57"/>
      <c r="F20799" s="57"/>
      <c r="G20799" s="58"/>
    </row>
    <row r="20800" spans="1:7" x14ac:dyDescent="0.25">
      <c r="A20800" s="64"/>
      <c r="D20800" s="55"/>
      <c r="E20800" s="49" t="s">
        <v>102</v>
      </c>
      <c r="F20800" s="49" t="s">
        <v>103</v>
      </c>
      <c r="G20800" s="51">
        <f>G20796*19%</f>
        <v>9248.0505000000012</v>
      </c>
    </row>
    <row r="20801" spans="1:7" x14ac:dyDescent="0.25">
      <c r="A20801" s="61"/>
      <c r="B20801" s="62"/>
      <c r="C20801" s="62"/>
      <c r="D20801" s="62"/>
      <c r="E20801" s="57"/>
      <c r="F20801" s="57"/>
      <c r="G20801" s="58"/>
    </row>
    <row r="20802" spans="1:7" x14ac:dyDescent="0.25">
      <c r="A20802" s="219" t="s">
        <v>104</v>
      </c>
      <c r="B20802" s="219"/>
      <c r="C20802" s="219"/>
      <c r="D20802" s="219"/>
      <c r="E20802" s="219"/>
      <c r="F20802" s="219"/>
      <c r="G20802" s="52">
        <f>G20800+G20798</f>
        <v>1226096.8004999999</v>
      </c>
    </row>
    <row r="20804" spans="1:7" x14ac:dyDescent="0.25">
      <c r="A20804" s="74" t="s">
        <v>29</v>
      </c>
      <c r="B20804" s="237" t="s">
        <v>30</v>
      </c>
      <c r="C20804" s="238"/>
      <c r="D20804" s="74" t="s">
        <v>31</v>
      </c>
      <c r="E20804" s="74" t="s">
        <v>32</v>
      </c>
      <c r="F20804" s="74" t="s">
        <v>189</v>
      </c>
      <c r="G20804" s="74" t="s">
        <v>33</v>
      </c>
    </row>
    <row r="20805" spans="1:7" ht="35.25" customHeight="1" x14ac:dyDescent="0.25">
      <c r="A20805" s="50" t="str">
        <f>Presupuesto!B398</f>
        <v>063_AUX</v>
      </c>
      <c r="B20805" s="220" t="str">
        <f>Presupuesto!C398</f>
        <v>SUMINISTRO E INSTALACIÓN DE AIRE ACONDICIONADO INVERTER DE 12000 BTUs. INCLUYE: TUBERÍA DE REFRIGERACIÓN, REFRIGERANTE, CABLEADO DE CONTROL Y DE FUERZA HASTA SALIDA A 0 M.</v>
      </c>
      <c r="C20805" s="239"/>
      <c r="D20805" s="50" t="s">
        <v>8</v>
      </c>
      <c r="E20805" s="50">
        <v>0.7</v>
      </c>
      <c r="F20805" s="50"/>
      <c r="G20805" s="51">
        <f>G20874</f>
        <v>6938547.7149999999</v>
      </c>
    </row>
    <row r="20806" spans="1:7" x14ac:dyDescent="0.25">
      <c r="A20806" s="234"/>
      <c r="B20806" s="236"/>
      <c r="C20806" s="236"/>
      <c r="D20806" s="236"/>
      <c r="E20806" s="236"/>
      <c r="F20806" s="236"/>
      <c r="G20806" s="235"/>
    </row>
    <row r="20807" spans="1:7" x14ac:dyDescent="0.25">
      <c r="A20807" s="49" t="s">
        <v>35</v>
      </c>
      <c r="B20807" s="234" t="s">
        <v>36</v>
      </c>
      <c r="C20807" s="235"/>
      <c r="D20807" s="49" t="s">
        <v>37</v>
      </c>
      <c r="E20807" s="49" t="s">
        <v>38</v>
      </c>
      <c r="F20807" s="49" t="s">
        <v>39</v>
      </c>
      <c r="G20807" s="49" t="s">
        <v>40</v>
      </c>
    </row>
    <row r="20808" spans="1:7" ht="37.5" customHeight="1" x14ac:dyDescent="0.25">
      <c r="A20808" s="17" t="str">
        <f>Material!A147</f>
        <v>MA-146</v>
      </c>
      <c r="B20808" s="232" t="str">
        <f>IFERROR(VLOOKUP(A20808,Material!$A:$J,2,0),"-")</f>
        <v xml:space="preserve"> AIRE ACONDICIONADO INVERTER DE 12000 BTUS 220V . INCLUYE: TUBERÍA DE REFRIGERACIÓN, REFRIGERANTE, CABLEADO DE CONTROL Y DE FUERZA HASTA SALIDA A 0 M.</v>
      </c>
      <c r="C20808" s="233"/>
      <c r="D20808" s="50" t="str">
        <f>IFERROR(VLOOKUP(A20808,Material!$A:$J,4,0),"-")</f>
        <v>UN</v>
      </c>
      <c r="E20808" s="50">
        <v>1</v>
      </c>
      <c r="F20808" s="51">
        <f>IFERROR(VLOOKUP(A20808,Material!$A:$J,3,0),"-")</f>
        <v>4160000</v>
      </c>
      <c r="G20808" s="51">
        <f t="shared" ref="G20808:G20815" si="310">IFERROR(ROUNDUP(F20808*E20808,0),"-")</f>
        <v>4160000</v>
      </c>
    </row>
    <row r="20809" spans="1:7" x14ac:dyDescent="0.25">
      <c r="A20809" s="17"/>
      <c r="B20809" s="72" t="str">
        <f>IFERROR(VLOOKUP(A20809,Material!$A:$J,2,0),"-")</f>
        <v>-</v>
      </c>
      <c r="C20809" s="76"/>
      <c r="D20809" s="50" t="str">
        <f>IFERROR(VLOOKUP(A20809,Material!$A:$J,4,0),"-")</f>
        <v>-</v>
      </c>
      <c r="E20809" s="50"/>
      <c r="F20809" s="51" t="str">
        <f>IFERROR(VLOOKUP(A20809,Material!$A:$J,3,0),"-")</f>
        <v>-</v>
      </c>
      <c r="G20809" s="51" t="str">
        <f t="shared" si="310"/>
        <v>-</v>
      </c>
    </row>
    <row r="20810" spans="1:7" x14ac:dyDescent="0.25">
      <c r="A20810" s="17"/>
      <c r="B20810" s="72" t="str">
        <f>IFERROR(VLOOKUP(A20810,Material!$A:$J,2,0),"-")</f>
        <v>-</v>
      </c>
      <c r="C20810" s="76"/>
      <c r="D20810" s="50" t="str">
        <f>IFERROR(VLOOKUP(A20810,Material!$A:$J,4,0),"-")</f>
        <v>-</v>
      </c>
      <c r="E20810" s="50"/>
      <c r="F20810" s="51" t="str">
        <f>IFERROR(VLOOKUP(A20810,Material!$A:$J,3,0),"-")</f>
        <v>-</v>
      </c>
      <c r="G20810" s="51" t="str">
        <f t="shared" si="310"/>
        <v>-</v>
      </c>
    </row>
    <row r="20811" spans="1:7" x14ac:dyDescent="0.25">
      <c r="A20811" s="17"/>
      <c r="B20811" s="72" t="str">
        <f>IFERROR(VLOOKUP(A20811,Material!$A:$J,2,0),"-")</f>
        <v>-</v>
      </c>
      <c r="C20811" s="76"/>
      <c r="D20811" s="50" t="str">
        <f>IFERROR(VLOOKUP(A20811,Material!$A:$J,4,0),"-")</f>
        <v>-</v>
      </c>
      <c r="E20811" s="50"/>
      <c r="F20811" s="51" t="str">
        <f>IFERROR(VLOOKUP(A20811,Material!$A:$J,3,0),"-")</f>
        <v>-</v>
      </c>
      <c r="G20811" s="51" t="str">
        <f t="shared" si="310"/>
        <v>-</v>
      </c>
    </row>
    <row r="20812" spans="1:7" x14ac:dyDescent="0.25">
      <c r="A20812" s="17"/>
      <c r="B20812" s="72" t="str">
        <f>IFERROR(VLOOKUP(A20812,Material!$A:$J,2,0),"-")</f>
        <v>-</v>
      </c>
      <c r="C20812" s="76"/>
      <c r="D20812" s="50" t="str">
        <f>IFERROR(VLOOKUP(A20812,Material!$A:$J,4,0),"-")</f>
        <v>-</v>
      </c>
      <c r="E20812" s="50"/>
      <c r="F20812" s="51" t="str">
        <f>IFERROR(VLOOKUP(A20812,Material!$A:$J,3,0),"-")</f>
        <v>-</v>
      </c>
      <c r="G20812" s="51" t="str">
        <f t="shared" si="310"/>
        <v>-</v>
      </c>
    </row>
    <row r="20813" spans="1:7" x14ac:dyDescent="0.25">
      <c r="A20813" s="17"/>
      <c r="B20813" s="72" t="str">
        <f>IFERROR(VLOOKUP(A20813,Material!$A:$J,2,0),"-")</f>
        <v>-</v>
      </c>
      <c r="C20813" s="76"/>
      <c r="D20813" s="50" t="str">
        <f>IFERROR(VLOOKUP(A20813,Material!$A:$J,4,0),"-")</f>
        <v>-</v>
      </c>
      <c r="E20813" s="50"/>
      <c r="F20813" s="51" t="str">
        <f>IFERROR(VLOOKUP(A20813,Material!$A:$J,3,0),"-")</f>
        <v>-</v>
      </c>
      <c r="G20813" s="51" t="str">
        <f t="shared" si="310"/>
        <v>-</v>
      </c>
    </row>
    <row r="20814" spans="1:7" x14ac:dyDescent="0.25">
      <c r="A20814" s="17"/>
      <c r="B20814" s="72" t="str">
        <f>IFERROR(VLOOKUP(A20814,Material!$A:$J,2,0),"-")</f>
        <v>-</v>
      </c>
      <c r="C20814" s="76"/>
      <c r="D20814" s="50" t="str">
        <f>IFERROR(VLOOKUP(A20814,Material!$A:$J,4,0),"-")</f>
        <v>-</v>
      </c>
      <c r="E20814" s="50"/>
      <c r="F20814" s="51" t="str">
        <f>IFERROR(VLOOKUP(A20814,Material!$A:$J,3,0),"-")</f>
        <v>-</v>
      </c>
      <c r="G20814" s="51" t="str">
        <f t="shared" si="310"/>
        <v>-</v>
      </c>
    </row>
    <row r="20815" spans="1:7" x14ac:dyDescent="0.25">
      <c r="A20815" s="17"/>
      <c r="B20815" s="72" t="str">
        <f>IFERROR(VLOOKUP(A20815,Material!$A:$J,2,0),"-")</f>
        <v>-</v>
      </c>
      <c r="C20815" s="76"/>
      <c r="D20815" s="50" t="str">
        <f>IFERROR(VLOOKUP(A20815,Material!$A:$J,4,0),"-")</f>
        <v>-</v>
      </c>
      <c r="E20815" s="50"/>
      <c r="F20815" s="51" t="str">
        <f>IFERROR(VLOOKUP(A20815,Material!$A:$J,3,0),"-")</f>
        <v>-</v>
      </c>
      <c r="G20815" s="51" t="str">
        <f t="shared" si="310"/>
        <v>-</v>
      </c>
    </row>
    <row r="20816" spans="1:7" x14ac:dyDescent="0.25">
      <c r="A20816" s="234" t="s">
        <v>41</v>
      </c>
      <c r="B20816" s="236"/>
      <c r="C20816" s="236"/>
      <c r="D20816" s="236"/>
      <c r="E20816" s="236"/>
      <c r="F20816" s="235"/>
      <c r="G20816" s="52">
        <f>SUM(G20808:G20815)</f>
        <v>4160000</v>
      </c>
    </row>
    <row r="20817" spans="1:7" x14ac:dyDescent="0.25">
      <c r="A20817" s="56"/>
      <c r="B20817" s="57"/>
      <c r="C20817" s="57"/>
      <c r="D20817" s="57"/>
      <c r="E20817" s="57"/>
      <c r="F20817" s="57"/>
      <c r="G20817" s="58"/>
    </row>
    <row r="20818" spans="1:7" x14ac:dyDescent="0.25">
      <c r="A20818" s="219" t="s">
        <v>42</v>
      </c>
      <c r="B20818" s="219"/>
      <c r="C20818" s="219"/>
      <c r="D20818" s="219"/>
      <c r="E20818" s="219"/>
      <c r="F20818" s="219"/>
      <c r="G20818" s="219"/>
    </row>
    <row r="20819" spans="1:7" x14ac:dyDescent="0.25">
      <c r="A20819" s="49" t="s">
        <v>35</v>
      </c>
      <c r="B20819" s="49" t="s">
        <v>36</v>
      </c>
      <c r="C20819" s="49" t="s">
        <v>38</v>
      </c>
      <c r="D20819" s="49" t="s">
        <v>43</v>
      </c>
      <c r="E20819" s="49" t="s">
        <v>44</v>
      </c>
      <c r="F20819" s="49" t="s">
        <v>45</v>
      </c>
      <c r="G20819" s="49" t="s">
        <v>40</v>
      </c>
    </row>
    <row r="20820" spans="1:7" x14ac:dyDescent="0.25">
      <c r="A20820" s="50" t="s">
        <v>319</v>
      </c>
      <c r="B20820" s="68" t="str">
        <f>VLOOKUP(A20820,'[1]Componentes APUs'!$H$1:$L$25,2,0)</f>
        <v>Ingeniero Residente de Obra</v>
      </c>
      <c r="C20820" s="93">
        <v>0.25</v>
      </c>
      <c r="D20820" s="50">
        <f>VLOOKUP(A20820,'[1]Componentes APUs'!$H$1:$L$25,3,0)</f>
        <v>4</v>
      </c>
      <c r="E20820" s="51">
        <f>VLOOKUP(A20820,'[1]Componentes APUs'!$H$1:$L$25,4,0)</f>
        <v>271142.85714285716</v>
      </c>
      <c r="F20820" s="51">
        <f>VLOOKUP(A20820,'[1]Componentes APUs'!$H$1:$L$25,5,0)</f>
        <v>162685.71428571429</v>
      </c>
      <c r="G20820" s="51">
        <f>ROUNDUP((E20820+F20820)*C20820/E20805,0)</f>
        <v>154939</v>
      </c>
    </row>
    <row r="20821" spans="1:7" x14ac:dyDescent="0.25">
      <c r="A20821" s="50" t="s">
        <v>320</v>
      </c>
      <c r="B20821" s="68" t="str">
        <f>VLOOKUP(A20821,'[1]Componentes APUs'!$H$1:$L$25,2,0)</f>
        <v>Tecnico Supervisor</v>
      </c>
      <c r="C20821" s="93">
        <v>0.25</v>
      </c>
      <c r="D20821" s="50">
        <f>VLOOKUP(A20821,'[1]Componentes APUs'!$H$1:$L$25,3,0)</f>
        <v>2.2999999999999998</v>
      </c>
      <c r="E20821" s="51">
        <f>VLOOKUP(A20821,'[1]Componentes APUs'!$H$1:$L$25,4,0)</f>
        <v>155907.14285714284</v>
      </c>
      <c r="F20821" s="51">
        <f>VLOOKUP(A20821,'[1]Componentes APUs'!$H$1:$L$25,5,0)</f>
        <v>93544.285714285696</v>
      </c>
      <c r="G20821" s="51">
        <f>ROUNDUP((E20821+F20821)*C20821/E20805,0)</f>
        <v>89090</v>
      </c>
    </row>
    <row r="20822" spans="1:7" x14ac:dyDescent="0.25">
      <c r="A20822" s="50" t="s">
        <v>1160</v>
      </c>
      <c r="B20822" s="68" t="str">
        <f>VLOOKUP(A20822,'[1]Componentes APUs'!$H$1:$L$25,2,0)</f>
        <v>Oficial Eléctrico</v>
      </c>
      <c r="C20822" s="93">
        <v>1</v>
      </c>
      <c r="D20822" s="50">
        <f>VLOOKUP(A20822,'[1]Componentes APUs'!$H$1:$L$25,3,0)</f>
        <v>2</v>
      </c>
      <c r="E20822" s="51">
        <f>VLOOKUP(A20822,'[1]Componentes APUs'!$H$1:$L$25,4,0)</f>
        <v>154619.04761904763</v>
      </c>
      <c r="F20822" s="51">
        <f>VLOOKUP(A20822,'[1]Componentes APUs'!$H$1:$L$25,5,0)</f>
        <v>92771.42857142858</v>
      </c>
      <c r="G20822" s="51">
        <f>ROUNDUP((E20822+F20822)*C20822/E20805,0)</f>
        <v>353415</v>
      </c>
    </row>
    <row r="20823" spans="1:7" x14ac:dyDescent="0.25">
      <c r="A20823" s="50" t="s">
        <v>48</v>
      </c>
      <c r="B20823" s="68" t="str">
        <f>VLOOKUP(A20823,'[1]Componentes APUs'!$H$1:$L$25,2,0)</f>
        <v>Ayudante Calificado</v>
      </c>
      <c r="C20823" s="93">
        <v>1</v>
      </c>
      <c r="D20823" s="50">
        <f>VLOOKUP(A20823,'[1]Componentes APUs'!$H$1:$L$25,3,0)</f>
        <v>1.5</v>
      </c>
      <c r="E20823" s="51">
        <f>VLOOKUP(A20823,'[1]Componentes APUs'!$H$1:$L$25,4,0)</f>
        <v>115964.28571428571</v>
      </c>
      <c r="F20823" s="51">
        <f>VLOOKUP(A20823,'[1]Componentes APUs'!$H$1:$L$25,5,0)</f>
        <v>69578.57142857142</v>
      </c>
      <c r="G20823" s="51">
        <f>ROUNDUP((E20823+F20823)*C20823/E20805,0)</f>
        <v>265062</v>
      </c>
    </row>
    <row r="20824" spans="1:7" x14ac:dyDescent="0.25">
      <c r="A20824" s="50" t="s">
        <v>50</v>
      </c>
      <c r="B20824" s="68" t="str">
        <f>VLOOKUP(A20824,'[1]Componentes APUs'!$H$1:$L$25,2,0)</f>
        <v>Profesional en SST</v>
      </c>
      <c r="C20824" s="93">
        <v>0.25</v>
      </c>
      <c r="D20824" s="50">
        <f>VLOOKUP(A20824,'[1]Componentes APUs'!$H$1:$L$25,3,0)</f>
        <v>2.5</v>
      </c>
      <c r="E20824" s="51">
        <f>VLOOKUP(A20824,'[1]Componentes APUs'!$H$1:$L$25,4,0)</f>
        <v>169464.28571428571</v>
      </c>
      <c r="F20824" s="51">
        <f>VLOOKUP(A20824,'[1]Componentes APUs'!$H$1:$L$25,5,0)</f>
        <v>101678.57142857142</v>
      </c>
      <c r="G20824" s="51">
        <f>ROUNDUP((E20824+F20824)*C20824/E20805,0)</f>
        <v>96837</v>
      </c>
    </row>
    <row r="20825" spans="1:7" x14ac:dyDescent="0.25">
      <c r="A20825" s="50" t="s">
        <v>52</v>
      </c>
      <c r="B20825" s="68" t="str">
        <f>VLOOKUP(A20825,'[1]Componentes APUs'!$H$1:$L$25,2,0)</f>
        <v>Ayudante No Calificado</v>
      </c>
      <c r="C20825" s="93">
        <v>0</v>
      </c>
      <c r="D20825" s="50">
        <f>VLOOKUP(A20825,'[1]Componentes APUs'!$H$1:$L$25,3,0)</f>
        <v>1</v>
      </c>
      <c r="E20825" s="51">
        <f>VLOOKUP(A20825,'[1]Componentes APUs'!$H$1:$L$25,4,0)</f>
        <v>77309.523809523816</v>
      </c>
      <c r="F20825" s="51">
        <f>VLOOKUP(A20825,'[1]Componentes APUs'!$H$1:$L$25,5,0)</f>
        <v>46385.71428571429</v>
      </c>
      <c r="G20825" s="51">
        <f>ROUNDUP((E20825+F20825)*C20825/E20805,0)</f>
        <v>0</v>
      </c>
    </row>
    <row r="20826" spans="1:7" x14ac:dyDescent="0.25">
      <c r="A20826" s="219" t="s">
        <v>56</v>
      </c>
      <c r="B20826" s="219"/>
      <c r="C20826" s="219"/>
      <c r="D20826" s="219"/>
      <c r="E20826" s="219"/>
      <c r="F20826" s="219"/>
      <c r="G20826" s="52">
        <f>SUM(G20820:G20825)</f>
        <v>959343</v>
      </c>
    </row>
    <row r="20827" spans="1:7" x14ac:dyDescent="0.25">
      <c r="A20827" s="56"/>
      <c r="B20827" s="57"/>
      <c r="C20827" s="57"/>
      <c r="D20827" s="57"/>
      <c r="E20827" s="57"/>
      <c r="F20827" s="57"/>
      <c r="G20827" s="58"/>
    </row>
    <row r="20828" spans="1:7" x14ac:dyDescent="0.25">
      <c r="A20828" s="219" t="s">
        <v>57</v>
      </c>
      <c r="B20828" s="219"/>
      <c r="C20828" s="219"/>
      <c r="D20828" s="219"/>
      <c r="E20828" s="219"/>
      <c r="F20828" s="219"/>
      <c r="G20828" s="219"/>
    </row>
    <row r="20829" spans="1:7" x14ac:dyDescent="0.25">
      <c r="A20829" s="49" t="s">
        <v>35</v>
      </c>
      <c r="B20829" s="219" t="s">
        <v>36</v>
      </c>
      <c r="C20829" s="219"/>
      <c r="D20829" s="49" t="s">
        <v>37</v>
      </c>
      <c r="E20829" s="49" t="s">
        <v>38</v>
      </c>
      <c r="F20829" s="49" t="s">
        <v>39</v>
      </c>
      <c r="G20829" s="49" t="s">
        <v>40</v>
      </c>
    </row>
    <row r="20830" spans="1:7" x14ac:dyDescent="0.25">
      <c r="A20830" s="50" t="s">
        <v>326</v>
      </c>
      <c r="B20830" s="220" t="str">
        <f>VLOOKUP(A20830,'[1]Componentes APUs'!$S$1:$V$10,2,0)</f>
        <v>Juego Llaves</v>
      </c>
      <c r="C20830" s="220"/>
      <c r="D20830" s="50" t="s">
        <v>18</v>
      </c>
      <c r="E20830" s="50">
        <v>1</v>
      </c>
      <c r="F20830" s="51">
        <f>VLOOKUP(A20830,'[1]Componentes APUs'!$S$1:$V$10,4,0)</f>
        <v>9167</v>
      </c>
      <c r="G20830" s="51">
        <f>ROUNDUP(F20830*((E20830/21)/E20805),0)</f>
        <v>624</v>
      </c>
    </row>
    <row r="20831" spans="1:7" x14ac:dyDescent="0.25">
      <c r="A20831" s="50" t="s">
        <v>58</v>
      </c>
      <c r="B20831" s="220" t="str">
        <f>VLOOKUP(A20831,'[1]Componentes APUs'!$S$1:$V$10,2,0)</f>
        <v>Manila de servicio</v>
      </c>
      <c r="C20831" s="220"/>
      <c r="D20831" s="50" t="s">
        <v>18</v>
      </c>
      <c r="E20831" s="50">
        <v>0</v>
      </c>
      <c r="F20831" s="51">
        <f>VLOOKUP(A20831,'[1]Componentes APUs'!$S$1:$V$10,4,0)</f>
        <v>2333</v>
      </c>
      <c r="G20831" s="51">
        <f>ROUNDUP(F20831*((E20831/21)/E20805),0)</f>
        <v>0</v>
      </c>
    </row>
    <row r="20832" spans="1:7" x14ac:dyDescent="0.25">
      <c r="A20832" s="50" t="s">
        <v>327</v>
      </c>
      <c r="B20832" s="220" t="str">
        <f>VLOOKUP(A20832,'[1]Componentes APUs'!$S$1:$V$10,2,0)</f>
        <v>Tula portaherramientas</v>
      </c>
      <c r="C20832" s="220"/>
      <c r="D20832" s="50" t="s">
        <v>18</v>
      </c>
      <c r="E20832" s="50">
        <v>1</v>
      </c>
      <c r="F20832" s="51">
        <f>VLOOKUP(A20832,'[1]Componentes APUs'!$S$1:$V$10,4,0)</f>
        <v>1250</v>
      </c>
      <c r="G20832" s="51">
        <f>ROUNDUP(F20832*((E20832/21)/E20805),0)</f>
        <v>86</v>
      </c>
    </row>
    <row r="20833" spans="1:7" x14ac:dyDescent="0.25">
      <c r="A20833" s="50" t="s">
        <v>60</v>
      </c>
      <c r="B20833" s="220" t="str">
        <f>VLOOKUP(A20833,'[1]Componentes APUs'!$S$1:$V$10,2,0)</f>
        <v>Agarradoras</v>
      </c>
      <c r="C20833" s="220"/>
      <c r="D20833" s="50" t="s">
        <v>18</v>
      </c>
      <c r="E20833" s="50">
        <v>0</v>
      </c>
      <c r="F20833" s="51">
        <f>VLOOKUP(A20833,'[1]Componentes APUs'!$S$1:$V$10,4,0)</f>
        <v>125000</v>
      </c>
      <c r="G20833" s="51">
        <f>ROUNDUP(F20833*((E20833/21)/E20805),0)</f>
        <v>0</v>
      </c>
    </row>
    <row r="20834" spans="1:7" x14ac:dyDescent="0.25">
      <c r="A20834" s="50" t="s">
        <v>62</v>
      </c>
      <c r="B20834" s="220" t="str">
        <f>VLOOKUP(A20834,'[1]Componentes APUs'!$S$1:$V$10,2,0)</f>
        <v>Templadoras</v>
      </c>
      <c r="C20834" s="220"/>
      <c r="D20834" s="50" t="s">
        <v>18</v>
      </c>
      <c r="E20834" s="50">
        <v>0</v>
      </c>
      <c r="F20834" s="51">
        <f>VLOOKUP(A20834,'[1]Componentes APUs'!$S$1:$V$10,4,0)</f>
        <v>250000</v>
      </c>
      <c r="G20834" s="51">
        <f>ROUNDUP(F20834*((E20834/21)/E20805),0)</f>
        <v>0</v>
      </c>
    </row>
    <row r="20835" spans="1:7" x14ac:dyDescent="0.25">
      <c r="A20835" s="50" t="s">
        <v>328</v>
      </c>
      <c r="B20835" s="220" t="str">
        <f>VLOOKUP(A20835,'[1]Componentes APUs'!$S$1:$V$10,2,0)</f>
        <v>Herramienta Menor</v>
      </c>
      <c r="C20835" s="220"/>
      <c r="D20835" s="50" t="s">
        <v>18</v>
      </c>
      <c r="E20835" s="50">
        <v>1</v>
      </c>
      <c r="F20835" s="51">
        <f>VLOOKUP(A20835,'[1]Componentes APUs'!$S$1:$V$10,4,0)</f>
        <v>75758</v>
      </c>
      <c r="G20835" s="51">
        <f>ROUNDUP(F20835*((E20835/21)/E20805),0)</f>
        <v>5154</v>
      </c>
    </row>
    <row r="20836" spans="1:7" x14ac:dyDescent="0.25">
      <c r="A20836" s="219" t="s">
        <v>69</v>
      </c>
      <c r="B20836" s="219"/>
      <c r="C20836" s="219"/>
      <c r="D20836" s="219"/>
      <c r="E20836" s="219"/>
      <c r="F20836" s="219"/>
      <c r="G20836" s="52">
        <f>SUM(G20830:G20835)</f>
        <v>5864</v>
      </c>
    </row>
    <row r="20837" spans="1:7" x14ac:dyDescent="0.25">
      <c r="A20837" s="56"/>
      <c r="B20837" s="57"/>
      <c r="C20837" s="57"/>
      <c r="D20837" s="57"/>
      <c r="E20837" s="57"/>
      <c r="F20837" s="57"/>
      <c r="G20837" s="58"/>
    </row>
    <row r="20838" spans="1:7" x14ac:dyDescent="0.25">
      <c r="A20838" s="219" t="s">
        <v>70</v>
      </c>
      <c r="B20838" s="219"/>
      <c r="C20838" s="219"/>
      <c r="D20838" s="219"/>
      <c r="E20838" s="219"/>
      <c r="F20838" s="219"/>
      <c r="G20838" s="219"/>
    </row>
    <row r="20839" spans="1:7" x14ac:dyDescent="0.25">
      <c r="A20839" s="49" t="s">
        <v>35</v>
      </c>
      <c r="B20839" s="219" t="s">
        <v>36</v>
      </c>
      <c r="C20839" s="219"/>
      <c r="D20839" s="49" t="s">
        <v>37</v>
      </c>
      <c r="E20839" s="49" t="s">
        <v>38</v>
      </c>
      <c r="F20839" s="49" t="s">
        <v>39</v>
      </c>
      <c r="G20839" s="49" t="s">
        <v>40</v>
      </c>
    </row>
    <row r="20840" spans="1:7" x14ac:dyDescent="0.25">
      <c r="A20840" s="50" t="s">
        <v>71</v>
      </c>
      <c r="B20840" s="71" t="str">
        <f>VLOOKUP(A20840,'[1]Componentes APUs'!$A$1:$D$14,2,0)</f>
        <v>Camisa indigo sin partes metalicas</v>
      </c>
      <c r="C20840" s="71"/>
      <c r="D20840" s="50" t="str">
        <f>VLOOKUP(A20840,'[1]Componentes APUs'!$A$1:$D$14,3,0)</f>
        <v>U</v>
      </c>
      <c r="E20840" s="50">
        <f>SUM(C20820:C20825)</f>
        <v>2.75</v>
      </c>
      <c r="F20840" s="51">
        <f>VLOOKUP(A20840,'[1]Componentes APUs'!$A$1:$D$14,4,0)</f>
        <v>8585.8585858585866</v>
      </c>
      <c r="G20840" s="51">
        <f>ROUNDUP(F20840*(E20840/21)/E20805,0)</f>
        <v>1607</v>
      </c>
    </row>
    <row r="20841" spans="1:7" x14ac:dyDescent="0.25">
      <c r="A20841" s="69" t="s">
        <v>73</v>
      </c>
      <c r="B20841" s="72" t="str">
        <f>VLOOKUP(A20841,'[1]Componentes APUs'!$A$1:$D$14,2,0)</f>
        <v>Bota de seguridad dielectrica</v>
      </c>
      <c r="C20841" s="73"/>
      <c r="D20841" s="70" t="str">
        <f>VLOOKUP(A20841,'[1]Componentes APUs'!$A$1:$D$14,3,0)</f>
        <v>Par</v>
      </c>
      <c r="E20841" s="50">
        <f>SUM(C20820:C20825)</f>
        <v>2.75</v>
      </c>
      <c r="F20841" s="51">
        <f>VLOOKUP(A20841,'[1]Componentes APUs'!$A$1:$D$14,4,0)</f>
        <v>7500</v>
      </c>
      <c r="G20841" s="51">
        <f>ROUNDUP(F20841*(E20841/21)/E20805,0)</f>
        <v>1404</v>
      </c>
    </row>
    <row r="20842" spans="1:7" x14ac:dyDescent="0.25">
      <c r="A20842" s="50" t="s">
        <v>76</v>
      </c>
      <c r="B20842" s="72" t="str">
        <f>VLOOKUP(A20842,'[1]Componentes APUs'!$A$1:$D$14,2,0)</f>
        <v>Casco dielectrico Tipo 1 Clase E con barbuquejo</v>
      </c>
      <c r="C20842" s="73"/>
      <c r="D20842" s="50" t="str">
        <f>VLOOKUP(A20842,'[1]Componentes APUs'!$A$1:$D$14,3,0)</f>
        <v>U</v>
      </c>
      <c r="E20842" s="50">
        <f>C20825+C20820+C20823+C20824+C20821+IF(A20822&lt;&gt;"MO-3",C20822,0)</f>
        <v>2.75</v>
      </c>
      <c r="F20842" s="51">
        <f>VLOOKUP(A20842,'[1]Componentes APUs'!$A$1:$D$14,4,0)</f>
        <v>10101.010101010101</v>
      </c>
      <c r="G20842" s="51">
        <f>ROUNDUP(F20842*(E20842/21)/E20805,0)</f>
        <v>1890</v>
      </c>
    </row>
    <row r="20843" spans="1:7" x14ac:dyDescent="0.25">
      <c r="A20843" s="69" t="s">
        <v>77</v>
      </c>
      <c r="B20843" s="72" t="str">
        <f>VLOOKUP(A20843,'[1]Componentes APUs'!$A$1:$D$14,2,0)</f>
        <v>Correa plastica y antiflama</v>
      </c>
      <c r="C20843" s="73"/>
      <c r="D20843" s="50" t="str">
        <f>VLOOKUP(A20843,'[1]Componentes APUs'!$A$1:$D$14,3,0)</f>
        <v>U</v>
      </c>
      <c r="E20843" s="50">
        <f>SUM(C20820:C20825)</f>
        <v>2.75</v>
      </c>
      <c r="F20843" s="51">
        <f>VLOOKUP(A20843,'[1]Componentes APUs'!$A$1:$D$14,4,0)</f>
        <v>3787.878787878788</v>
      </c>
      <c r="G20843" s="51">
        <f>ROUNDUP(F20843*(E20843/21)/E20805,0)</f>
        <v>709</v>
      </c>
    </row>
    <row r="20844" spans="1:7" x14ac:dyDescent="0.25">
      <c r="A20844" s="50" t="s">
        <v>79</v>
      </c>
      <c r="B20844" s="72" t="str">
        <f>VLOOKUP(A20844,'[1]Componentes APUs'!$A$1:$D$14,2,0)</f>
        <v>Gafas protectoras filtro UV</v>
      </c>
      <c r="C20844" s="73"/>
      <c r="D20844" s="50" t="str">
        <f>VLOOKUP(A20844,'[1]Componentes APUs'!$A$1:$D$14,3,0)</f>
        <v>U</v>
      </c>
      <c r="E20844" s="50">
        <f>SUM(C20820:C20825)</f>
        <v>2.75</v>
      </c>
      <c r="F20844" s="51">
        <f>VLOOKUP(A20844,'[1]Componentes APUs'!$A$1:$D$14,4,0)</f>
        <v>2777.7777777777778</v>
      </c>
      <c r="G20844" s="51">
        <f>ROUNDUP(F20844*(E20844/21)/E20805,0)</f>
        <v>520</v>
      </c>
    </row>
    <row r="20845" spans="1:7" x14ac:dyDescent="0.25">
      <c r="A20845" s="69" t="s">
        <v>402</v>
      </c>
      <c r="B20845" s="72" t="str">
        <f>VLOOKUP(A20845,'[1]Componentes APUs'!$A$1:$D$14,2,0)</f>
        <v>Bota de seguridad PVC dielectrica</v>
      </c>
      <c r="C20845" s="73"/>
      <c r="D20845" s="50" t="str">
        <f>VLOOKUP(A20845,'[1]Componentes APUs'!$A$1:$D$14,3,0)</f>
        <v>Par</v>
      </c>
      <c r="E20845" s="50">
        <f>SUM(C20820:C20825)</f>
        <v>2.75</v>
      </c>
      <c r="F20845" s="51">
        <f>VLOOKUP(A20845,'[1]Componentes APUs'!$A$1:$D$14,4,0)</f>
        <v>2916.6666666666665</v>
      </c>
      <c r="G20845" s="51">
        <f>ROUNDUP(F20845*(E20845/21)/E20805,0)</f>
        <v>546</v>
      </c>
    </row>
    <row r="20846" spans="1:7" x14ac:dyDescent="0.25">
      <c r="A20846" s="50" t="s">
        <v>403</v>
      </c>
      <c r="B20846" s="72" t="str">
        <f>VLOOKUP(A20846,'[1]Componentes APUs'!$A$1:$D$14,2,0)</f>
        <v>Capuchon</v>
      </c>
      <c r="C20846" s="73"/>
      <c r="D20846" s="50" t="str">
        <f>VLOOKUP(A20846,'[1]Componentes APUs'!$A$1:$D$14,3,0)</f>
        <v>U</v>
      </c>
      <c r="E20846" s="50">
        <f>SUM(C20820:C20825)</f>
        <v>2.75</v>
      </c>
      <c r="F20846" s="51">
        <f>VLOOKUP(A20846,'[1]Componentes APUs'!$A$1:$D$14,4,0)</f>
        <v>2525.2525252525252</v>
      </c>
      <c r="G20846" s="51">
        <f>ROUNDUP(F20846*(E20846/21)/E20805,0)</f>
        <v>473</v>
      </c>
    </row>
    <row r="20847" spans="1:7" x14ac:dyDescent="0.25">
      <c r="A20847" s="69" t="s">
        <v>81</v>
      </c>
      <c r="B20847" s="72" t="str">
        <f>VLOOKUP(A20847,'[1]Componentes APUs'!$A$1:$D$14,2,0)</f>
        <v>Guantes Protectores  - ingeniero reforzados</v>
      </c>
      <c r="C20847" s="73"/>
      <c r="D20847" s="50" t="str">
        <f>VLOOKUP(A20847,'[1]Componentes APUs'!$A$1:$D$14,3,0)</f>
        <v>Par</v>
      </c>
      <c r="E20847" s="50">
        <f>C20822+C20823+C20825</f>
        <v>2</v>
      </c>
      <c r="F20847" s="51">
        <f>VLOOKUP(A20847,'[1]Componentes APUs'!$A$1:$D$14,4,0)</f>
        <v>2525.2525252525252</v>
      </c>
      <c r="G20847" s="51">
        <f>ROUNDUP(F20847*(E20847/21)/E20805,0)</f>
        <v>344</v>
      </c>
    </row>
    <row r="20848" spans="1:7" x14ac:dyDescent="0.25">
      <c r="A20848" s="50" t="s">
        <v>83</v>
      </c>
      <c r="B20848" s="72" t="str">
        <f>VLOOKUP(A20848,'[1]Componentes APUs'!$A$1:$D$14,2,0)</f>
        <v>Impermeable (pantalon camisa)</v>
      </c>
      <c r="C20848" s="73"/>
      <c r="D20848" s="50" t="str">
        <f>VLOOKUP(A20848,'[1]Componentes APUs'!$A$1:$D$14,3,0)</f>
        <v>U</v>
      </c>
      <c r="E20848" s="50">
        <f>SUM(C20820:C20825)</f>
        <v>2.75</v>
      </c>
      <c r="F20848" s="51">
        <f>VLOOKUP(A20848,'[1]Componentes APUs'!$A$1:$D$14,4,0)</f>
        <v>3750</v>
      </c>
      <c r="G20848" s="51">
        <f>ROUNDUP(F20848*(E20848/21)/E20805,0)</f>
        <v>702</v>
      </c>
    </row>
    <row r="20849" spans="1:7" x14ac:dyDescent="0.25">
      <c r="A20849" s="69" t="s">
        <v>85</v>
      </c>
      <c r="B20849" s="72" t="str">
        <f>VLOOKUP(A20849,'[1]Componentes APUs'!$A$1:$D$14,2,0)</f>
        <v>Jean Dielectrico</v>
      </c>
      <c r="C20849" s="73"/>
      <c r="D20849" s="50" t="str">
        <f>VLOOKUP(A20849,'[1]Componentes APUs'!$A$1:$D$14,3,0)</f>
        <v>U</v>
      </c>
      <c r="E20849" s="50">
        <f>SUM(C20820:C20825)</f>
        <v>2.75</v>
      </c>
      <c r="F20849" s="51">
        <f>VLOOKUP(A20849,'[1]Componentes APUs'!$A$1:$D$14,4,0)</f>
        <v>7575.757575757576</v>
      </c>
      <c r="G20849" s="51">
        <f>ROUNDUP(F20849*(E20849/21)/E20805,0)</f>
        <v>1418</v>
      </c>
    </row>
    <row r="20850" spans="1:7" x14ac:dyDescent="0.25">
      <c r="A20850" s="50" t="s">
        <v>87</v>
      </c>
      <c r="B20850" s="72" t="str">
        <f>VLOOKUP(A20850,'[1]Componentes APUs'!$A$1:$D$14,2,0)</f>
        <v>Casco dielectrico Tipo 2 Clase E con barboquejo</v>
      </c>
      <c r="C20850" s="73"/>
      <c r="D20850" s="50" t="str">
        <f>VLOOKUP(A20850,'[1]Componentes APUs'!$A$1:$D$14,3,0)</f>
        <v>U</v>
      </c>
      <c r="E20850" s="53">
        <f>IF(A20822="MO-3",C20822,0)</f>
        <v>0</v>
      </c>
      <c r="F20850" s="51">
        <f>VLOOKUP(A20850,'[1]Componentes APUs'!$A$1:$D$14,4,0)</f>
        <v>7500</v>
      </c>
      <c r="G20850" s="51">
        <f>ROUNDUP(F20850*(E20850/21)/E20805,0)</f>
        <v>0</v>
      </c>
    </row>
    <row r="20851" spans="1:7" x14ac:dyDescent="0.25">
      <c r="A20851" s="69" t="s">
        <v>89</v>
      </c>
      <c r="B20851" s="72" t="str">
        <f>VLOOKUP(A20851,'[1]Componentes APUs'!$A$1:$D$14,2,0)</f>
        <v>Kit de rescate para trabajo en alturas</v>
      </c>
      <c r="C20851" s="73"/>
      <c r="D20851" s="50" t="str">
        <f>VLOOKUP(A20851,'[1]Componentes APUs'!$A$1:$D$14,3,0)</f>
        <v>U</v>
      </c>
      <c r="E20851" s="50">
        <f>IF(AND(A20822="MO-3",C20822=2),1,0)</f>
        <v>0</v>
      </c>
      <c r="F20851" s="51">
        <f>VLOOKUP(A20851,'[1]Componentes APUs'!$A$1:$D$14,4,0)</f>
        <v>37500</v>
      </c>
      <c r="G20851" s="51">
        <f>ROUNDUP(F20851*(E20851/21)/E20805,0)</f>
        <v>0</v>
      </c>
    </row>
    <row r="20852" spans="1:7" x14ac:dyDescent="0.25">
      <c r="A20852" s="50" t="s">
        <v>91</v>
      </c>
      <c r="B20852" s="72" t="str">
        <f>VLOOKUP(A20852,'[1]Componentes APUs'!$A$1:$D$14,2,0)</f>
        <v>Equipo completo para trabajo en alturas con pretales (Arnes dielectrico, 1 mosqueton de seguridad, tie off dielectrico, eslinga de posicionamiento, juego de pretales)</v>
      </c>
      <c r="C20852" s="73"/>
      <c r="D20852" s="50" t="str">
        <f>VLOOKUP(A20852,'[1]Componentes APUs'!$A$1:$D$14,3,0)</f>
        <v>U</v>
      </c>
      <c r="E20852" s="50">
        <f>IF(A20822="MO-3",C20822,0)</f>
        <v>0</v>
      </c>
      <c r="F20852" s="51">
        <f>VLOOKUP(A20852,'[1]Componentes APUs'!$A$1:$D$14,4,0)</f>
        <v>26041.666666666668</v>
      </c>
      <c r="G20852" s="51">
        <f>ROUNDUP(F20852*(E20852/21)/E20805,0)</f>
        <v>0</v>
      </c>
    </row>
    <row r="20853" spans="1:7" x14ac:dyDescent="0.25">
      <c r="A20853" s="219" t="s">
        <v>95</v>
      </c>
      <c r="B20853" s="219"/>
      <c r="C20853" s="219"/>
      <c r="D20853" s="219"/>
      <c r="E20853" s="219"/>
      <c r="F20853" s="219"/>
      <c r="G20853" s="52">
        <f>SUM(G20840:G20852)</f>
        <v>9613</v>
      </c>
    </row>
    <row r="20854" spans="1:7" x14ac:dyDescent="0.25">
      <c r="A20854" s="56"/>
      <c r="B20854" s="57"/>
      <c r="C20854" s="57"/>
      <c r="D20854" s="57"/>
      <c r="E20854" s="57"/>
      <c r="F20854" s="57"/>
      <c r="G20854" s="58"/>
    </row>
    <row r="20855" spans="1:7" x14ac:dyDescent="0.25">
      <c r="A20855" s="219" t="s">
        <v>96</v>
      </c>
      <c r="B20855" s="219"/>
      <c r="C20855" s="219"/>
      <c r="D20855" s="219"/>
      <c r="E20855" s="219"/>
      <c r="F20855" s="219"/>
      <c r="G20855" s="219"/>
    </row>
    <row r="20856" spans="1:7" x14ac:dyDescent="0.25">
      <c r="A20856" s="49" t="s">
        <v>35</v>
      </c>
      <c r="B20856" s="225" t="s">
        <v>36</v>
      </c>
      <c r="C20856" s="225"/>
      <c r="D20856" s="49" t="s">
        <v>37</v>
      </c>
      <c r="E20856" s="49" t="s">
        <v>38</v>
      </c>
      <c r="F20856" s="49" t="s">
        <v>39</v>
      </c>
      <c r="G20856" s="49" t="s">
        <v>40</v>
      </c>
    </row>
    <row r="20857" spans="1:7" x14ac:dyDescent="0.25">
      <c r="A20857" s="69" t="s">
        <v>97</v>
      </c>
      <c r="B20857" s="72" t="str">
        <f>VLOOKUP(A20857,'[1]Componentes APUs'!$N$1:$Q$30,2,0)</f>
        <v>Camioneta</v>
      </c>
      <c r="C20857" s="73"/>
      <c r="D20857" s="70" t="str">
        <f>VLOOKUP(A20857,'[1]Componentes APUs'!$N$1:$Q$30,3,0)</f>
        <v>U</v>
      </c>
      <c r="E20857" s="50">
        <v>1</v>
      </c>
      <c r="F20857" s="51">
        <f>VLOOKUP(A20857,'[1]Componentes APUs'!$N$1:$Q$30,4,0)</f>
        <v>5500000</v>
      </c>
      <c r="G20857" s="51">
        <f>IFERROR(ROUNDUP(F20857*(E20857/21)/E20805,0),0)</f>
        <v>374150</v>
      </c>
    </row>
    <row r="20858" spans="1:7" x14ac:dyDescent="0.25">
      <c r="A20858" s="50" t="s">
        <v>321</v>
      </c>
      <c r="B20858" s="72" t="str">
        <f>VLOOKUP(A20858,'[1]Componentes APUs'!$N$1:$Q$30,2,0)</f>
        <v>Grúa Hidráulica</v>
      </c>
      <c r="C20858" s="73"/>
      <c r="D20858" s="70" t="str">
        <f>VLOOKUP(A20858,'[1]Componentes APUs'!$N$1:$Q$30,3,0)</f>
        <v>U</v>
      </c>
      <c r="E20858" s="50">
        <v>0</v>
      </c>
      <c r="F20858" s="51">
        <f>VLOOKUP(A20858,'[1]Componentes APUs'!$N$1:$Q$30,4,0)</f>
        <v>21000000</v>
      </c>
      <c r="G20858" s="51">
        <f>IFERROR(ROUNDUP(F20858*(E20858/21)/E20805,0),0)</f>
        <v>0</v>
      </c>
    </row>
    <row r="20859" spans="1:7" x14ac:dyDescent="0.25">
      <c r="A20859" s="69" t="s">
        <v>322</v>
      </c>
      <c r="B20859" s="72" t="str">
        <f>VLOOKUP(A20859,'[1]Componentes APUs'!$N$1:$Q$30,2,0)</f>
        <v>Camabaja</v>
      </c>
      <c r="C20859" s="73"/>
      <c r="D20859" s="70" t="str">
        <f>VLOOKUP(A20859,'[1]Componentes APUs'!$N$1:$Q$30,3,0)</f>
        <v>TON/KM</v>
      </c>
      <c r="E20859" s="50">
        <v>0</v>
      </c>
      <c r="F20859" s="51">
        <f>VLOOKUP(A20859,'[1]Componentes APUs'!$N$1:$Q$30,4,0)</f>
        <v>611</v>
      </c>
      <c r="G20859" s="51">
        <f>IFERROR(ROUNDUP(F20859*(E20859/21)/E20805,0),0)</f>
        <v>0</v>
      </c>
    </row>
    <row r="20860" spans="1:7" x14ac:dyDescent="0.25">
      <c r="A20860" s="50" t="s">
        <v>323</v>
      </c>
      <c r="B20860" s="72" t="str">
        <f>VLOOKUP(A20860,'[1]Componentes APUs'!$N$1:$Q$30,2,0)</f>
        <v>Volqueta</v>
      </c>
      <c r="C20860" s="73"/>
      <c r="D20860" s="70" t="str">
        <f>VLOOKUP(A20860,'[1]Componentes APUs'!$N$1:$Q$30,3,0)</f>
        <v>U</v>
      </c>
      <c r="E20860" s="50">
        <v>0</v>
      </c>
      <c r="F20860" s="51">
        <f>VLOOKUP(A20860,'[1]Componentes APUs'!$N$1:$Q$30,4,0)</f>
        <v>18900000</v>
      </c>
      <c r="G20860" s="51">
        <f>IFERROR(ROUNDUP(F20860*(E20860/21)/E20805,0),0)</f>
        <v>0</v>
      </c>
    </row>
    <row r="20861" spans="1:7" x14ac:dyDescent="0.25">
      <c r="A20861" s="69" t="s">
        <v>324</v>
      </c>
      <c r="B20861" s="72" t="str">
        <f>VLOOKUP(A20861,'[1]Componentes APUs'!$N$1:$Q$30,2,0)</f>
        <v>Retroexcavadora</v>
      </c>
      <c r="C20861" s="73"/>
      <c r="D20861" s="70" t="str">
        <f>VLOOKUP(A20861,'[1]Componentes APUs'!$N$1:$Q$30,3,0)</f>
        <v>U</v>
      </c>
      <c r="E20861" s="50">
        <v>0</v>
      </c>
      <c r="F20861" s="51">
        <f>VLOOKUP(A20861,'[1]Componentes APUs'!$N$1:$Q$30,4,0)</f>
        <v>1494459.54</v>
      </c>
      <c r="G20861" s="51">
        <f>IFERROR(ROUNDUP(F20861*(E20861/21)/E20805,0),0)</f>
        <v>0</v>
      </c>
    </row>
    <row r="20862" spans="1:7" x14ac:dyDescent="0.25">
      <c r="A20862" s="219" t="s">
        <v>99</v>
      </c>
      <c r="B20862" s="219"/>
      <c r="C20862" s="219"/>
      <c r="D20862" s="219"/>
      <c r="E20862" s="219"/>
      <c r="F20862" s="219"/>
      <c r="G20862" s="52">
        <f>SUM(G20857:G20861)</f>
        <v>374150</v>
      </c>
    </row>
    <row r="20863" spans="1:7" x14ac:dyDescent="0.25">
      <c r="A20863" s="56"/>
      <c r="B20863" s="57"/>
      <c r="C20863" s="57"/>
      <c r="D20863" s="57"/>
      <c r="E20863" s="57"/>
      <c r="F20863" s="57"/>
      <c r="G20863" s="58"/>
    </row>
    <row r="20864" spans="1:7" x14ac:dyDescent="0.25">
      <c r="A20864" s="219" t="s">
        <v>1516</v>
      </c>
      <c r="B20864" s="219"/>
      <c r="C20864" s="219"/>
      <c r="D20864" s="219"/>
      <c r="E20864" s="219"/>
      <c r="F20864" s="219"/>
      <c r="G20864" s="52">
        <f>G20862+G20853+G20836+G20826+G20816</f>
        <v>5508970</v>
      </c>
    </row>
    <row r="20865" spans="1:7" x14ac:dyDescent="0.25">
      <c r="A20865" s="59"/>
      <c r="B20865" s="60"/>
      <c r="C20865" s="60"/>
      <c r="D20865" s="60"/>
      <c r="E20865" s="57"/>
      <c r="F20865" s="57"/>
      <c r="G20865" s="58"/>
    </row>
    <row r="20866" spans="1:7" x14ac:dyDescent="0.25">
      <c r="A20866" s="64"/>
      <c r="D20866" s="55"/>
      <c r="E20866" s="49" t="s">
        <v>25</v>
      </c>
      <c r="F20866" s="54">
        <v>0.15</v>
      </c>
      <c r="G20866" s="51">
        <f>G20864*F20866</f>
        <v>826345.5</v>
      </c>
    </row>
    <row r="20867" spans="1:7" x14ac:dyDescent="0.25">
      <c r="A20867" s="64"/>
      <c r="D20867" s="55"/>
      <c r="E20867" s="49" t="s">
        <v>26</v>
      </c>
      <c r="F20867" s="54">
        <v>0.05</v>
      </c>
      <c r="G20867" s="51">
        <f>G20864*F20867</f>
        <v>275448.5</v>
      </c>
    </row>
    <row r="20868" spans="1:7" x14ac:dyDescent="0.25">
      <c r="A20868" s="61"/>
      <c r="B20868" s="65"/>
      <c r="C20868" s="65"/>
      <c r="D20868" s="62"/>
      <c r="E20868" s="49" t="s">
        <v>27</v>
      </c>
      <c r="F20868" s="54">
        <v>0.05</v>
      </c>
      <c r="G20868" s="51">
        <f>G20864*F20868</f>
        <v>275448.5</v>
      </c>
    </row>
    <row r="20869" spans="1:7" x14ac:dyDescent="0.25">
      <c r="A20869" s="61"/>
      <c r="B20869" s="62"/>
      <c r="C20869" s="62"/>
      <c r="D20869" s="62"/>
      <c r="E20869" s="62"/>
      <c r="F20869" s="62"/>
      <c r="G20869" s="63"/>
    </row>
    <row r="20870" spans="1:7" x14ac:dyDescent="0.25">
      <c r="A20870" s="219" t="s">
        <v>1517</v>
      </c>
      <c r="B20870" s="219"/>
      <c r="C20870" s="219"/>
      <c r="D20870" s="219"/>
      <c r="E20870" s="219"/>
      <c r="F20870" s="219"/>
      <c r="G20870" s="52">
        <f>G20864+G20866+G20867+G20868</f>
        <v>6886212.5</v>
      </c>
    </row>
    <row r="20871" spans="1:7" x14ac:dyDescent="0.25">
      <c r="A20871" s="59"/>
      <c r="B20871" s="60"/>
      <c r="C20871" s="60"/>
      <c r="D20871" s="60"/>
      <c r="E20871" s="57"/>
      <c r="F20871" s="57"/>
      <c r="G20871" s="58"/>
    </row>
    <row r="20872" spans="1:7" x14ac:dyDescent="0.25">
      <c r="A20872" s="64"/>
      <c r="D20872" s="55"/>
      <c r="E20872" s="49" t="s">
        <v>102</v>
      </c>
      <c r="F20872" s="49" t="s">
        <v>103</v>
      </c>
      <c r="G20872" s="51">
        <f>G20868*19%</f>
        <v>52335.215000000004</v>
      </c>
    </row>
    <row r="20873" spans="1:7" x14ac:dyDescent="0.25">
      <c r="A20873" s="61"/>
      <c r="B20873" s="62"/>
      <c r="C20873" s="62"/>
      <c r="D20873" s="62"/>
      <c r="E20873" s="57"/>
      <c r="F20873" s="57"/>
      <c r="G20873" s="58"/>
    </row>
    <row r="20874" spans="1:7" x14ac:dyDescent="0.25">
      <c r="A20874" s="219" t="s">
        <v>104</v>
      </c>
      <c r="B20874" s="219"/>
      <c r="C20874" s="219"/>
      <c r="D20874" s="219"/>
      <c r="E20874" s="219"/>
      <c r="F20874" s="219"/>
      <c r="G20874" s="52">
        <f>G20872+G20870</f>
        <v>6938547.7149999999</v>
      </c>
    </row>
    <row r="20876" spans="1:7" x14ac:dyDescent="0.25">
      <c r="A20876" s="74" t="s">
        <v>29</v>
      </c>
      <c r="B20876" s="237" t="s">
        <v>30</v>
      </c>
      <c r="C20876" s="238"/>
      <c r="D20876" s="74" t="s">
        <v>31</v>
      </c>
      <c r="E20876" s="74" t="s">
        <v>32</v>
      </c>
      <c r="F20876" s="74" t="s">
        <v>189</v>
      </c>
      <c r="G20876" s="74" t="s">
        <v>33</v>
      </c>
    </row>
    <row r="20877" spans="1:7" ht="35.25" customHeight="1" x14ac:dyDescent="0.25">
      <c r="A20877" s="50" t="str">
        <f>Presupuesto!B399</f>
        <v>064_AUX</v>
      </c>
      <c r="B20877" s="220" t="str">
        <f>Presupuesto!C399</f>
        <v>SUMINISTRO E INSTALACIÓN DE UNIDAD CONDENSADORA DE AIRE MULTISPLIT INVERTER DE 48000 BTUs. INCLUYE: TUBERÍA DE REFRIGERACIÓN, REFRIGERANTE, CABLEADO DE FUERZA HASTA SALIDA A 0 M.</v>
      </c>
      <c r="C20877" s="239"/>
      <c r="D20877" s="50" t="s">
        <v>8</v>
      </c>
      <c r="E20877" s="50">
        <v>0.7</v>
      </c>
      <c r="F20877" s="50"/>
      <c r="G20877" s="51">
        <f>G20946</f>
        <v>13292939.33</v>
      </c>
    </row>
    <row r="20878" spans="1:7" x14ac:dyDescent="0.25">
      <c r="A20878" s="219" t="s">
        <v>34</v>
      </c>
      <c r="B20878" s="219"/>
      <c r="C20878" s="219"/>
      <c r="D20878" s="219"/>
      <c r="E20878" s="219"/>
      <c r="F20878" s="219"/>
      <c r="G20878" s="219"/>
    </row>
    <row r="20879" spans="1:7" x14ac:dyDescent="0.25">
      <c r="A20879" s="49" t="s">
        <v>35</v>
      </c>
      <c r="B20879" s="234" t="s">
        <v>36</v>
      </c>
      <c r="C20879" s="235"/>
      <c r="D20879" s="49" t="s">
        <v>37</v>
      </c>
      <c r="E20879" s="49" t="s">
        <v>38</v>
      </c>
      <c r="F20879" s="49" t="s">
        <v>39</v>
      </c>
      <c r="G20879" s="49" t="s">
        <v>40</v>
      </c>
    </row>
    <row r="20880" spans="1:7" x14ac:dyDescent="0.25">
      <c r="A20880" s="17" t="str">
        <f>Material!A383</f>
        <v>MA-382</v>
      </c>
      <c r="B20880" s="249" t="str">
        <f>IFERROR(VLOOKUP(A20880,Material!$A:$H,2,0),"-")</f>
        <v>UNIDAD CONDENSADORA DE AIRE MULTISPLIT INVERTER DE 48000 BTUs</v>
      </c>
      <c r="C20880" s="250"/>
      <c r="D20880" s="50" t="str">
        <f>IFERROR(VLOOKUP(A20880,Material!$A:$H,4,0),"-")</f>
        <v>UN</v>
      </c>
      <c r="E20880" s="50">
        <v>1</v>
      </c>
      <c r="F20880" s="51">
        <f>IFERROR(VLOOKUP(A20880,Material!$A:$H,3,0),"-")</f>
        <v>9205170</v>
      </c>
      <c r="G20880" s="51">
        <f t="shared" ref="G20880:G20887" si="311">IFERROR(ROUNDUP(F20880*E20880,0),"-")</f>
        <v>9205170</v>
      </c>
    </row>
    <row r="20881" spans="1:7" x14ac:dyDescent="0.25">
      <c r="A20881" s="17"/>
      <c r="B20881" s="72" t="str">
        <f>IFERROR(VLOOKUP(A20881,Material!$A:$H,2,0),"-")</f>
        <v>-</v>
      </c>
      <c r="C20881" s="76"/>
      <c r="D20881" s="50" t="str">
        <f>IFERROR(VLOOKUP(A20881,Material!$A:$H,4,0),"-")</f>
        <v>-</v>
      </c>
      <c r="E20881" s="50"/>
      <c r="F20881" s="51" t="str">
        <f>IFERROR(VLOOKUP(A20881,Material!$A:$H,3,0),"-")</f>
        <v>-</v>
      </c>
      <c r="G20881" s="51" t="str">
        <f t="shared" si="311"/>
        <v>-</v>
      </c>
    </row>
    <row r="20882" spans="1:7" x14ac:dyDescent="0.25">
      <c r="A20882" s="17"/>
      <c r="B20882" s="72" t="str">
        <f>IFERROR(VLOOKUP(A20882,Material!$A:$H,2,0),"-")</f>
        <v>-</v>
      </c>
      <c r="C20882" s="76"/>
      <c r="D20882" s="50" t="str">
        <f>IFERROR(VLOOKUP(A20882,Material!$A:$H,4,0),"-")</f>
        <v>-</v>
      </c>
      <c r="E20882" s="50"/>
      <c r="F20882" s="51" t="str">
        <f>IFERROR(VLOOKUP(A20882,Material!$A:$H,3,0),"-")</f>
        <v>-</v>
      </c>
      <c r="G20882" s="51" t="str">
        <f t="shared" si="311"/>
        <v>-</v>
      </c>
    </row>
    <row r="20883" spans="1:7" x14ac:dyDescent="0.25">
      <c r="A20883" s="17"/>
      <c r="B20883" s="72" t="str">
        <f>IFERROR(VLOOKUP(A20883,Material!$A:$H,2,0),"-")</f>
        <v>-</v>
      </c>
      <c r="C20883" s="76"/>
      <c r="D20883" s="50" t="str">
        <f>IFERROR(VLOOKUP(A20883,Material!$A:$H,4,0),"-")</f>
        <v>-</v>
      </c>
      <c r="E20883" s="50"/>
      <c r="F20883" s="51" t="str">
        <f>IFERROR(VLOOKUP(A20883,Material!$A:$H,3,0),"-")</f>
        <v>-</v>
      </c>
      <c r="G20883" s="51" t="str">
        <f t="shared" si="311"/>
        <v>-</v>
      </c>
    </row>
    <row r="20884" spans="1:7" x14ac:dyDescent="0.25">
      <c r="A20884" s="17"/>
      <c r="B20884" s="72" t="str">
        <f>IFERROR(VLOOKUP(A20884,Material!$A:$H,2,0),"-")</f>
        <v>-</v>
      </c>
      <c r="C20884" s="76"/>
      <c r="D20884" s="50" t="str">
        <f>IFERROR(VLOOKUP(A20884,Material!$A:$H,4,0),"-")</f>
        <v>-</v>
      </c>
      <c r="E20884" s="50"/>
      <c r="F20884" s="51" t="str">
        <f>IFERROR(VLOOKUP(A20884,Material!$A:$H,3,0),"-")</f>
        <v>-</v>
      </c>
      <c r="G20884" s="51" t="str">
        <f t="shared" si="311"/>
        <v>-</v>
      </c>
    </row>
    <row r="20885" spans="1:7" x14ac:dyDescent="0.25">
      <c r="A20885" s="17"/>
      <c r="B20885" s="72" t="str">
        <f>IFERROR(VLOOKUP(A20885,Material!$A:$H,2,0),"-")</f>
        <v>-</v>
      </c>
      <c r="C20885" s="76"/>
      <c r="D20885" s="50" t="str">
        <f>IFERROR(VLOOKUP(A20885,Material!$A:$H,4,0),"-")</f>
        <v>-</v>
      </c>
      <c r="E20885" s="50"/>
      <c r="F20885" s="51" t="str">
        <f>IFERROR(VLOOKUP(A20885,Material!$A:$H,3,0),"-")</f>
        <v>-</v>
      </c>
      <c r="G20885" s="51" t="str">
        <f t="shared" si="311"/>
        <v>-</v>
      </c>
    </row>
    <row r="20886" spans="1:7" x14ac:dyDescent="0.25">
      <c r="A20886" s="17"/>
      <c r="B20886" s="72" t="str">
        <f>IFERROR(VLOOKUP(A20886,Material!$A:$H,2,0),"-")</f>
        <v>-</v>
      </c>
      <c r="C20886" s="76"/>
      <c r="D20886" s="50" t="str">
        <f>IFERROR(VLOOKUP(A20886,Material!$A:$H,4,0),"-")</f>
        <v>-</v>
      </c>
      <c r="E20886" s="50"/>
      <c r="F20886" s="51" t="str">
        <f>IFERROR(VLOOKUP(A20886,Material!$A:$H,3,0),"-")</f>
        <v>-</v>
      </c>
      <c r="G20886" s="51" t="str">
        <f t="shared" si="311"/>
        <v>-</v>
      </c>
    </row>
    <row r="20887" spans="1:7" x14ac:dyDescent="0.25">
      <c r="A20887" s="17"/>
      <c r="B20887" s="72" t="str">
        <f>IFERROR(VLOOKUP(A20887,Material!$A:$H,2,0),"-")</f>
        <v>-</v>
      </c>
      <c r="C20887" s="76"/>
      <c r="D20887" s="50" t="str">
        <f>IFERROR(VLOOKUP(A20887,Material!$A:$H,4,0),"-")</f>
        <v>-</v>
      </c>
      <c r="E20887" s="50"/>
      <c r="F20887" s="51" t="str">
        <f>IFERROR(VLOOKUP(A20887,Material!$A:$H,3,0),"-")</f>
        <v>-</v>
      </c>
      <c r="G20887" s="51" t="str">
        <f t="shared" si="311"/>
        <v>-</v>
      </c>
    </row>
    <row r="20888" spans="1:7" x14ac:dyDescent="0.25">
      <c r="A20888" s="234" t="s">
        <v>41</v>
      </c>
      <c r="B20888" s="236"/>
      <c r="C20888" s="236"/>
      <c r="D20888" s="236"/>
      <c r="E20888" s="236"/>
      <c r="F20888" s="235"/>
      <c r="G20888" s="52">
        <f>SUM(G20880:G20887)</f>
        <v>9205170</v>
      </c>
    </row>
    <row r="20889" spans="1:7" x14ac:dyDescent="0.25">
      <c r="A20889" s="56"/>
      <c r="B20889" s="57"/>
      <c r="C20889" s="57"/>
      <c r="D20889" s="57"/>
      <c r="E20889" s="57"/>
      <c r="F20889" s="57"/>
      <c r="G20889" s="58"/>
    </row>
    <row r="20890" spans="1:7" x14ac:dyDescent="0.25">
      <c r="A20890" s="219" t="s">
        <v>42</v>
      </c>
      <c r="B20890" s="219"/>
      <c r="C20890" s="219"/>
      <c r="D20890" s="219"/>
      <c r="E20890" s="219"/>
      <c r="F20890" s="219"/>
      <c r="G20890" s="219"/>
    </row>
    <row r="20891" spans="1:7" x14ac:dyDescent="0.25">
      <c r="A20891" s="49" t="s">
        <v>35</v>
      </c>
      <c r="B20891" s="49" t="s">
        <v>36</v>
      </c>
      <c r="C20891" s="49" t="s">
        <v>38</v>
      </c>
      <c r="D20891" s="49" t="s">
        <v>43</v>
      </c>
      <c r="E20891" s="49" t="s">
        <v>44</v>
      </c>
      <c r="F20891" s="49" t="s">
        <v>45</v>
      </c>
      <c r="G20891" s="49" t="s">
        <v>40</v>
      </c>
    </row>
    <row r="20892" spans="1:7" x14ac:dyDescent="0.25">
      <c r="A20892" s="50" t="s">
        <v>319</v>
      </c>
      <c r="B20892" s="68" t="str">
        <f>VLOOKUP(A20892,'Componentes APUs'!$H$1:$L$25,2,0)</f>
        <v>Ingeniero Residente de Obra</v>
      </c>
      <c r="C20892" s="93">
        <v>0.25</v>
      </c>
      <c r="D20892" s="50">
        <f>VLOOKUP(A20892,'Componentes APUs'!$H$1:$L$25,3,0)</f>
        <v>4</v>
      </c>
      <c r="E20892" s="51">
        <f>VLOOKUP(A20892,'Componentes APUs'!$H$1:$L$25,4,0)</f>
        <v>271142.85714285716</v>
      </c>
      <c r="F20892" s="51">
        <f>VLOOKUP(A20892,'Componentes APUs'!$H$1:$L$25,5,0)</f>
        <v>162685.71428571429</v>
      </c>
      <c r="G20892" s="51">
        <f>ROUNDUP((E20892+F20892)*C20892/E20877,0)</f>
        <v>154939</v>
      </c>
    </row>
    <row r="20893" spans="1:7" x14ac:dyDescent="0.25">
      <c r="A20893" s="50" t="s">
        <v>320</v>
      </c>
      <c r="B20893" s="68" t="str">
        <f>VLOOKUP(A20893,'Componentes APUs'!$H$1:$L$25,2,0)</f>
        <v>Tecnico Supervisor</v>
      </c>
      <c r="C20893" s="93">
        <v>0.25</v>
      </c>
      <c r="D20893" s="50">
        <f>VLOOKUP(A20893,'Componentes APUs'!$H$1:$L$25,3,0)</f>
        <v>2.2999999999999998</v>
      </c>
      <c r="E20893" s="51">
        <f>VLOOKUP(A20893,'Componentes APUs'!$H$1:$L$25,4,0)</f>
        <v>155907.14285714284</v>
      </c>
      <c r="F20893" s="51">
        <f>VLOOKUP(A20893,'Componentes APUs'!$H$1:$L$25,5,0)</f>
        <v>93544.285714285696</v>
      </c>
      <c r="G20893" s="51">
        <f>ROUNDUP((E20893+F20893)*C20893/E20877,0)</f>
        <v>89090</v>
      </c>
    </row>
    <row r="20894" spans="1:7" x14ac:dyDescent="0.25">
      <c r="A20894" s="50" t="s">
        <v>1160</v>
      </c>
      <c r="B20894" s="68" t="str">
        <f>VLOOKUP(A20894,'Componentes APUs'!$H$1:$L$25,2,0)</f>
        <v>Oficial Eléctrico</v>
      </c>
      <c r="C20894" s="93">
        <v>1</v>
      </c>
      <c r="D20894" s="50">
        <f>VLOOKUP(A20894,'Componentes APUs'!$H$1:$L$25,3,0)</f>
        <v>2</v>
      </c>
      <c r="E20894" s="51">
        <f>VLOOKUP(A20894,'Componentes APUs'!$H$1:$L$25,4,0)</f>
        <v>154619.04761904763</v>
      </c>
      <c r="F20894" s="51">
        <f>VLOOKUP(A20894,'Componentes APUs'!$H$1:$L$25,5,0)</f>
        <v>92771.42857142858</v>
      </c>
      <c r="G20894" s="51">
        <f>ROUNDUP((E20894+F20894)*C20894/E20877,0)</f>
        <v>353415</v>
      </c>
    </row>
    <row r="20895" spans="1:7" x14ac:dyDescent="0.25">
      <c r="A20895" s="50" t="s">
        <v>48</v>
      </c>
      <c r="B20895" s="68" t="str">
        <f>VLOOKUP(A20895,'Componentes APUs'!$H$1:$L$25,2,0)</f>
        <v>Ayudante Calificado</v>
      </c>
      <c r="C20895" s="93">
        <v>1</v>
      </c>
      <c r="D20895" s="50">
        <f>VLOOKUP(A20895,'Componentes APUs'!$H$1:$L$25,3,0)</f>
        <v>1.5</v>
      </c>
      <c r="E20895" s="51">
        <f>VLOOKUP(A20895,'Componentes APUs'!$H$1:$L$25,4,0)</f>
        <v>115964.28571428571</v>
      </c>
      <c r="F20895" s="51">
        <f>VLOOKUP(A20895,'Componentes APUs'!$H$1:$L$25,5,0)</f>
        <v>69578.57142857142</v>
      </c>
      <c r="G20895" s="51">
        <f>ROUNDUP((E20895+F20895)*C20895/E20877,0)</f>
        <v>265062</v>
      </c>
    </row>
    <row r="20896" spans="1:7" x14ac:dyDescent="0.25">
      <c r="A20896" s="50" t="s">
        <v>50</v>
      </c>
      <c r="B20896" s="68" t="str">
        <f>VLOOKUP(A20896,'Componentes APUs'!$H$1:$L$25,2,0)</f>
        <v>Profesional en SST</v>
      </c>
      <c r="C20896" s="93">
        <v>0.25</v>
      </c>
      <c r="D20896" s="50">
        <f>VLOOKUP(A20896,'Componentes APUs'!$H$1:$L$25,3,0)</f>
        <v>2.5</v>
      </c>
      <c r="E20896" s="51">
        <f>VLOOKUP(A20896,'Componentes APUs'!$H$1:$L$25,4,0)</f>
        <v>169464.28571428571</v>
      </c>
      <c r="F20896" s="51">
        <f>VLOOKUP(A20896,'Componentes APUs'!$H$1:$L$25,5,0)</f>
        <v>101678.57142857142</v>
      </c>
      <c r="G20896" s="51">
        <f>ROUNDUP((E20896+F20896)*C20896/E20877,0)</f>
        <v>96837</v>
      </c>
    </row>
    <row r="20897" spans="1:7" x14ac:dyDescent="0.25">
      <c r="A20897" s="50" t="s">
        <v>52</v>
      </c>
      <c r="B20897" s="68" t="str">
        <f>VLOOKUP(A20897,'Componentes APUs'!$H$1:$L$25,2,0)</f>
        <v>Ayudante No Calificado</v>
      </c>
      <c r="C20897" s="93">
        <v>0</v>
      </c>
      <c r="D20897" s="50">
        <f>VLOOKUP(A20897,'Componentes APUs'!$H$1:$L$25,3,0)</f>
        <v>1</v>
      </c>
      <c r="E20897" s="51">
        <f>VLOOKUP(A20897,'Componentes APUs'!$H$1:$L$25,4,0)</f>
        <v>77309.523809523816</v>
      </c>
      <c r="F20897" s="51">
        <f>VLOOKUP(A20897,'Componentes APUs'!$H$1:$L$25,5,0)</f>
        <v>46385.71428571429</v>
      </c>
      <c r="G20897" s="51">
        <f>ROUNDUP((E20897+F20897)*C20897/E20877,0)</f>
        <v>0</v>
      </c>
    </row>
    <row r="20898" spans="1:7" x14ac:dyDescent="0.25">
      <c r="A20898" s="219" t="s">
        <v>56</v>
      </c>
      <c r="B20898" s="219"/>
      <c r="C20898" s="219"/>
      <c r="D20898" s="219"/>
      <c r="E20898" s="219"/>
      <c r="F20898" s="219"/>
      <c r="G20898" s="52">
        <f>SUM(G20892:G20897)</f>
        <v>959343</v>
      </c>
    </row>
    <row r="20899" spans="1:7" x14ac:dyDescent="0.25">
      <c r="A20899" s="56"/>
      <c r="B20899" s="57"/>
      <c r="C20899" s="57"/>
      <c r="D20899" s="57"/>
      <c r="E20899" s="57"/>
      <c r="F20899" s="57"/>
      <c r="G20899" s="58"/>
    </row>
    <row r="20900" spans="1:7" x14ac:dyDescent="0.25">
      <c r="A20900" s="219" t="s">
        <v>57</v>
      </c>
      <c r="B20900" s="219"/>
      <c r="C20900" s="219"/>
      <c r="D20900" s="219"/>
      <c r="E20900" s="219"/>
      <c r="F20900" s="219"/>
      <c r="G20900" s="219"/>
    </row>
    <row r="20901" spans="1:7" x14ac:dyDescent="0.25">
      <c r="A20901" s="49" t="s">
        <v>35</v>
      </c>
      <c r="B20901" s="219" t="s">
        <v>36</v>
      </c>
      <c r="C20901" s="219"/>
      <c r="D20901" s="49" t="s">
        <v>37</v>
      </c>
      <c r="E20901" s="49" t="s">
        <v>38</v>
      </c>
      <c r="F20901" s="49" t="s">
        <v>39</v>
      </c>
      <c r="G20901" s="49" t="s">
        <v>40</v>
      </c>
    </row>
    <row r="20902" spans="1:7" x14ac:dyDescent="0.25">
      <c r="A20902" s="50" t="s">
        <v>326</v>
      </c>
      <c r="B20902" s="220" t="str">
        <f>VLOOKUP(A20902,'Componentes APUs'!$S$1:$V$10,2,0)</f>
        <v>Juego Llaves</v>
      </c>
      <c r="C20902" s="220"/>
      <c r="D20902" s="50" t="s">
        <v>18</v>
      </c>
      <c r="E20902" s="50">
        <v>1</v>
      </c>
      <c r="F20902" s="51">
        <f>VLOOKUP(A20902,'Componentes APUs'!$S$1:$V$10,4,0)</f>
        <v>9167</v>
      </c>
      <c r="G20902" s="51">
        <f>ROUNDUP(F20902*((E20902/21)/E20877),0)</f>
        <v>624</v>
      </c>
    </row>
    <row r="20903" spans="1:7" x14ac:dyDescent="0.25">
      <c r="A20903" s="50" t="s">
        <v>58</v>
      </c>
      <c r="B20903" s="220" t="str">
        <f>VLOOKUP(A20903,'Componentes APUs'!$S$1:$V$10,2,0)</f>
        <v>Manila de servicio</v>
      </c>
      <c r="C20903" s="220"/>
      <c r="D20903" s="50" t="s">
        <v>18</v>
      </c>
      <c r="E20903" s="50">
        <v>0</v>
      </c>
      <c r="F20903" s="51">
        <f>VLOOKUP(A20903,'Componentes APUs'!$S$1:$V$10,4,0)</f>
        <v>2333</v>
      </c>
      <c r="G20903" s="51">
        <f>ROUNDUP(F20903*((E20903/21)/E20877),0)</f>
        <v>0</v>
      </c>
    </row>
    <row r="20904" spans="1:7" x14ac:dyDescent="0.25">
      <c r="A20904" s="50" t="s">
        <v>327</v>
      </c>
      <c r="B20904" s="220" t="str">
        <f>VLOOKUP(A20904,'Componentes APUs'!$S$1:$V$10,2,0)</f>
        <v>Tula portaherramientas</v>
      </c>
      <c r="C20904" s="220"/>
      <c r="D20904" s="50" t="s">
        <v>18</v>
      </c>
      <c r="E20904" s="50">
        <v>1</v>
      </c>
      <c r="F20904" s="51">
        <f>VLOOKUP(A20904,'Componentes APUs'!$S$1:$V$10,4,0)</f>
        <v>1250</v>
      </c>
      <c r="G20904" s="51">
        <f>ROUNDUP(F20904*((E20904/21)/E20877),0)</f>
        <v>86</v>
      </c>
    </row>
    <row r="20905" spans="1:7" x14ac:dyDescent="0.25">
      <c r="A20905" s="50" t="s">
        <v>60</v>
      </c>
      <c r="B20905" s="220" t="str">
        <f>VLOOKUP(A20905,'Componentes APUs'!$S$1:$V$10,2,0)</f>
        <v>Agarradoras</v>
      </c>
      <c r="C20905" s="220"/>
      <c r="D20905" s="50" t="s">
        <v>18</v>
      </c>
      <c r="E20905" s="50">
        <v>0</v>
      </c>
      <c r="F20905" s="51">
        <f>VLOOKUP(A20905,'Componentes APUs'!$S$1:$V$10,4,0)</f>
        <v>125000</v>
      </c>
      <c r="G20905" s="51">
        <f>ROUNDUP(F20905*((E20905/21)/E20877),0)</f>
        <v>0</v>
      </c>
    </row>
    <row r="20906" spans="1:7" x14ac:dyDescent="0.25">
      <c r="A20906" s="50" t="s">
        <v>62</v>
      </c>
      <c r="B20906" s="220" t="str">
        <f>VLOOKUP(A20906,'Componentes APUs'!$S$1:$V$10,2,0)</f>
        <v>Templadoras</v>
      </c>
      <c r="C20906" s="220"/>
      <c r="D20906" s="50" t="s">
        <v>18</v>
      </c>
      <c r="E20906" s="50">
        <v>0</v>
      </c>
      <c r="F20906" s="51">
        <f>VLOOKUP(A20906,'Componentes APUs'!$S$1:$V$10,4,0)</f>
        <v>250000</v>
      </c>
      <c r="G20906" s="51">
        <f>ROUNDUP(F20906*((E20906/21)/E20877),0)</f>
        <v>0</v>
      </c>
    </row>
    <row r="20907" spans="1:7" x14ac:dyDescent="0.25">
      <c r="A20907" s="50" t="s">
        <v>328</v>
      </c>
      <c r="B20907" s="220" t="str">
        <f>VLOOKUP(A20907,'Componentes APUs'!$S$1:$V$10,2,0)</f>
        <v>Herramienta Menor</v>
      </c>
      <c r="C20907" s="220"/>
      <c r="D20907" s="50" t="s">
        <v>18</v>
      </c>
      <c r="E20907" s="50">
        <v>1</v>
      </c>
      <c r="F20907" s="51">
        <f>VLOOKUP(A20907,'Componentes APUs'!$S$1:$V$10,4,0)</f>
        <v>75758</v>
      </c>
      <c r="G20907" s="51">
        <f>ROUNDUP(F20907*((E20907/21)/E20877),0)</f>
        <v>5154</v>
      </c>
    </row>
    <row r="20908" spans="1:7" x14ac:dyDescent="0.25">
      <c r="A20908" s="219" t="s">
        <v>69</v>
      </c>
      <c r="B20908" s="219"/>
      <c r="C20908" s="219"/>
      <c r="D20908" s="219"/>
      <c r="E20908" s="219"/>
      <c r="F20908" s="219"/>
      <c r="G20908" s="52">
        <f>SUM(G20902:G20907)</f>
        <v>5864</v>
      </c>
    </row>
    <row r="20909" spans="1:7" x14ac:dyDescent="0.25">
      <c r="A20909" s="56"/>
      <c r="B20909" s="57"/>
      <c r="C20909" s="57"/>
      <c r="D20909" s="57"/>
      <c r="E20909" s="57"/>
      <c r="F20909" s="57"/>
      <c r="G20909" s="58"/>
    </row>
    <row r="20910" spans="1:7" x14ac:dyDescent="0.25">
      <c r="A20910" s="219" t="s">
        <v>70</v>
      </c>
      <c r="B20910" s="219"/>
      <c r="C20910" s="219"/>
      <c r="D20910" s="219"/>
      <c r="E20910" s="219"/>
      <c r="F20910" s="219"/>
      <c r="G20910" s="219"/>
    </row>
    <row r="20911" spans="1:7" x14ac:dyDescent="0.25">
      <c r="A20911" s="49" t="s">
        <v>35</v>
      </c>
      <c r="B20911" s="219" t="s">
        <v>36</v>
      </c>
      <c r="C20911" s="219"/>
      <c r="D20911" s="49" t="s">
        <v>37</v>
      </c>
      <c r="E20911" s="49" t="s">
        <v>38</v>
      </c>
      <c r="F20911" s="49" t="s">
        <v>39</v>
      </c>
      <c r="G20911" s="49" t="s">
        <v>40</v>
      </c>
    </row>
    <row r="20912" spans="1:7" x14ac:dyDescent="0.25">
      <c r="A20912" s="50" t="s">
        <v>71</v>
      </c>
      <c r="B20912" s="71" t="str">
        <f>VLOOKUP(A20912,'Componentes APUs'!$A$1:$D$14,2,0)</f>
        <v>Camisa indigo sin partes metalicas</v>
      </c>
      <c r="C20912" s="71"/>
      <c r="D20912" s="50" t="str">
        <f>VLOOKUP(A20912,'Componentes APUs'!$A$1:$D$14,3,0)</f>
        <v>U</v>
      </c>
      <c r="E20912" s="50">
        <f>SUM(C20892:C20897)</f>
        <v>2.75</v>
      </c>
      <c r="F20912" s="51">
        <f>VLOOKUP(A20912,'Componentes APUs'!$A$1:$D$14,4,0)</f>
        <v>8585.8585858585866</v>
      </c>
      <c r="G20912" s="51">
        <f>ROUNDUP(F20912*(E20912/21)/E20877,0)</f>
        <v>1607</v>
      </c>
    </row>
    <row r="20913" spans="1:7" x14ac:dyDescent="0.25">
      <c r="A20913" s="69" t="s">
        <v>73</v>
      </c>
      <c r="B20913" s="72" t="str">
        <f>VLOOKUP(A20913,'Componentes APUs'!$A$1:$D$14,2,0)</f>
        <v>Bota de seguridad dielectrica</v>
      </c>
      <c r="C20913" s="73"/>
      <c r="D20913" s="70" t="str">
        <f>VLOOKUP(A20913,'Componentes APUs'!$A$1:$D$14,3,0)</f>
        <v>Par</v>
      </c>
      <c r="E20913" s="50">
        <f>SUM(C20892:C20897)</f>
        <v>2.75</v>
      </c>
      <c r="F20913" s="51">
        <f>VLOOKUP(A20913,'Componentes APUs'!$A$1:$D$14,4,0)</f>
        <v>7500</v>
      </c>
      <c r="G20913" s="51">
        <f>ROUNDUP(F20913*(E20913/21)/E20877,0)</f>
        <v>1404</v>
      </c>
    </row>
    <row r="20914" spans="1:7" x14ac:dyDescent="0.25">
      <c r="A20914" s="50" t="s">
        <v>76</v>
      </c>
      <c r="B20914" s="72" t="str">
        <f>VLOOKUP(A20914,'Componentes APUs'!$A$1:$D$14,2,0)</f>
        <v>Casco dielectrico Tipo 1 Clase E con barbuquejo</v>
      </c>
      <c r="C20914" s="73"/>
      <c r="D20914" s="50" t="str">
        <f>VLOOKUP(A20914,'Componentes APUs'!$A$1:$D$14,3,0)</f>
        <v>U</v>
      </c>
      <c r="E20914" s="50">
        <f>C20897+C20892+C20895+C20896+C20893+IF(A20894&lt;&gt;"MO-3",C20894,0)</f>
        <v>2.75</v>
      </c>
      <c r="F20914" s="51">
        <f>VLOOKUP(A20914,'Componentes APUs'!$A$1:$D$14,4,0)</f>
        <v>10101.010101010101</v>
      </c>
      <c r="G20914" s="51">
        <f>ROUNDUP(F20914*(E20914/21)/E20877,0)</f>
        <v>1890</v>
      </c>
    </row>
    <row r="20915" spans="1:7" x14ac:dyDescent="0.25">
      <c r="A20915" s="69" t="s">
        <v>77</v>
      </c>
      <c r="B20915" s="72" t="str">
        <f>VLOOKUP(A20915,'Componentes APUs'!$A$1:$D$14,2,0)</f>
        <v>Correa plastica y antiflama</v>
      </c>
      <c r="C20915" s="73"/>
      <c r="D20915" s="50" t="str">
        <f>VLOOKUP(A20915,'Componentes APUs'!$A$1:$D$14,3,0)</f>
        <v>U</v>
      </c>
      <c r="E20915" s="50">
        <f>SUM(C20892:C20897)</f>
        <v>2.75</v>
      </c>
      <c r="F20915" s="51">
        <f>VLOOKUP(A20915,'Componentes APUs'!$A$1:$D$14,4,0)</f>
        <v>3787.878787878788</v>
      </c>
      <c r="G20915" s="51">
        <f>ROUNDUP(F20915*(E20915/21)/E20877,0)</f>
        <v>709</v>
      </c>
    </row>
    <row r="20916" spans="1:7" x14ac:dyDescent="0.25">
      <c r="A20916" s="50" t="s">
        <v>79</v>
      </c>
      <c r="B20916" s="72" t="str">
        <f>VLOOKUP(A20916,'Componentes APUs'!$A$1:$D$14,2,0)</f>
        <v>Gafas protectoras filtro UV</v>
      </c>
      <c r="C20916" s="73"/>
      <c r="D20916" s="50" t="str">
        <f>VLOOKUP(A20916,'Componentes APUs'!$A$1:$D$14,3,0)</f>
        <v>U</v>
      </c>
      <c r="E20916" s="50">
        <f>SUM(C20892:C20897)</f>
        <v>2.75</v>
      </c>
      <c r="F20916" s="51">
        <f>VLOOKUP(A20916,'Componentes APUs'!$A$1:$D$14,4,0)</f>
        <v>2777.7777777777778</v>
      </c>
      <c r="G20916" s="51">
        <f>ROUNDUP(F20916*(E20916/21)/E20877,0)</f>
        <v>520</v>
      </c>
    </row>
    <row r="20917" spans="1:7" x14ac:dyDescent="0.25">
      <c r="A20917" s="69" t="s">
        <v>402</v>
      </c>
      <c r="B20917" s="72" t="str">
        <f>VLOOKUP(A20917,'Componentes APUs'!$A$1:$D$14,2,0)</f>
        <v>Bota de seguridad PVC dielectrica</v>
      </c>
      <c r="C20917" s="73"/>
      <c r="D20917" s="50" t="str">
        <f>VLOOKUP(A20917,'Componentes APUs'!$A$1:$D$14,3,0)</f>
        <v>Par</v>
      </c>
      <c r="E20917" s="50">
        <f>SUM(C20892:C20897)</f>
        <v>2.75</v>
      </c>
      <c r="F20917" s="51">
        <f>VLOOKUP(A20917,'Componentes APUs'!$A$1:$D$14,4,0)</f>
        <v>2916.6666666666665</v>
      </c>
      <c r="G20917" s="51">
        <f>ROUNDUP(F20917*(E20917/21)/E20877,0)</f>
        <v>546</v>
      </c>
    </row>
    <row r="20918" spans="1:7" x14ac:dyDescent="0.25">
      <c r="A20918" s="50" t="s">
        <v>403</v>
      </c>
      <c r="B20918" s="72" t="str">
        <f>VLOOKUP(A20918,'Componentes APUs'!$A$1:$D$14,2,0)</f>
        <v>Capuchon</v>
      </c>
      <c r="C20918" s="73"/>
      <c r="D20918" s="50" t="str">
        <f>VLOOKUP(A20918,'Componentes APUs'!$A$1:$D$14,3,0)</f>
        <v>U</v>
      </c>
      <c r="E20918" s="50">
        <f>SUM(C20892:C20897)</f>
        <v>2.75</v>
      </c>
      <c r="F20918" s="51">
        <f>VLOOKUP(A20918,'Componentes APUs'!$A$1:$D$14,4,0)</f>
        <v>2525.2525252525252</v>
      </c>
      <c r="G20918" s="51">
        <f>ROUNDUP(F20918*(E20918/21)/E20877,0)</f>
        <v>473</v>
      </c>
    </row>
    <row r="20919" spans="1:7" x14ac:dyDescent="0.25">
      <c r="A20919" s="69" t="s">
        <v>81</v>
      </c>
      <c r="B20919" s="72" t="str">
        <f>VLOOKUP(A20919,'Componentes APUs'!$A$1:$D$14,2,0)</f>
        <v>Guantes Protectores  - ingeniero reforzados</v>
      </c>
      <c r="C20919" s="73"/>
      <c r="D20919" s="50" t="str">
        <f>VLOOKUP(A20919,'Componentes APUs'!$A$1:$D$14,3,0)</f>
        <v>Par</v>
      </c>
      <c r="E20919" s="50">
        <f>C20894+C20895+C20897</f>
        <v>2</v>
      </c>
      <c r="F20919" s="51">
        <f>VLOOKUP(A20919,'Componentes APUs'!$A$1:$D$14,4,0)</f>
        <v>2525.2525252525252</v>
      </c>
      <c r="G20919" s="51">
        <f>ROUNDUP(F20919*(E20919/21)/E20877,0)</f>
        <v>344</v>
      </c>
    </row>
    <row r="20920" spans="1:7" x14ac:dyDescent="0.25">
      <c r="A20920" s="50" t="s">
        <v>83</v>
      </c>
      <c r="B20920" s="72" t="str">
        <f>VLOOKUP(A20920,'Componentes APUs'!$A$1:$D$14,2,0)</f>
        <v>Impermeable (pantalon camisa)</v>
      </c>
      <c r="C20920" s="73"/>
      <c r="D20920" s="50" t="str">
        <f>VLOOKUP(A20920,'Componentes APUs'!$A$1:$D$14,3,0)</f>
        <v>U</v>
      </c>
      <c r="E20920" s="50">
        <f>SUM(C20892:C20897)</f>
        <v>2.75</v>
      </c>
      <c r="F20920" s="51">
        <f>VLOOKUP(A20920,'Componentes APUs'!$A$1:$D$14,4,0)</f>
        <v>3750</v>
      </c>
      <c r="G20920" s="51">
        <f>ROUNDUP(F20920*(E20920/21)/E20877,0)</f>
        <v>702</v>
      </c>
    </row>
    <row r="20921" spans="1:7" x14ac:dyDescent="0.25">
      <c r="A20921" s="69" t="s">
        <v>85</v>
      </c>
      <c r="B20921" s="72" t="str">
        <f>VLOOKUP(A20921,'Componentes APUs'!$A$1:$D$14,2,0)</f>
        <v>Jean Dielectrico</v>
      </c>
      <c r="C20921" s="73"/>
      <c r="D20921" s="50" t="str">
        <f>VLOOKUP(A20921,'Componentes APUs'!$A$1:$D$14,3,0)</f>
        <v>U</v>
      </c>
      <c r="E20921" s="50">
        <f>SUM(C20892:C20897)</f>
        <v>2.75</v>
      </c>
      <c r="F20921" s="51">
        <f>VLOOKUP(A20921,'Componentes APUs'!$A$1:$D$14,4,0)</f>
        <v>7575.757575757576</v>
      </c>
      <c r="G20921" s="51">
        <f>ROUNDUP(F20921*(E20921/21)/E20877,0)</f>
        <v>1418</v>
      </c>
    </row>
    <row r="20922" spans="1:7" x14ac:dyDescent="0.25">
      <c r="A20922" s="50" t="s">
        <v>87</v>
      </c>
      <c r="B20922" s="72" t="str">
        <f>VLOOKUP(A20922,'Componentes APUs'!$A$1:$D$14,2,0)</f>
        <v>Casco dielectrico Tipo 2 Clase E con barboquejo</v>
      </c>
      <c r="C20922" s="73"/>
      <c r="D20922" s="50" t="str">
        <f>VLOOKUP(A20922,'Componentes APUs'!$A$1:$D$14,3,0)</f>
        <v>U</v>
      </c>
      <c r="E20922" s="53">
        <f>IF(A20894="MO-3",C20894,0)</f>
        <v>0</v>
      </c>
      <c r="F20922" s="51">
        <f>VLOOKUP(A20922,'Componentes APUs'!$A$1:$D$14,4,0)</f>
        <v>7500</v>
      </c>
      <c r="G20922" s="51">
        <f>ROUNDUP(F20922*(E20922/21)/E20877,0)</f>
        <v>0</v>
      </c>
    </row>
    <row r="20923" spans="1:7" x14ac:dyDescent="0.25">
      <c r="A20923" s="69" t="s">
        <v>89</v>
      </c>
      <c r="B20923" s="72" t="str">
        <f>VLOOKUP(A20923,'Componentes APUs'!$A$1:$D$14,2,0)</f>
        <v>Kit de rescate para trabajo en alturas</v>
      </c>
      <c r="C20923" s="73"/>
      <c r="D20923" s="50" t="str">
        <f>VLOOKUP(A20923,'Componentes APUs'!$A$1:$D$14,3,0)</f>
        <v>U</v>
      </c>
      <c r="E20923" s="50">
        <f>IF(AND(A20894="MO-3",C20894=2),1,0)</f>
        <v>0</v>
      </c>
      <c r="F20923" s="51">
        <f>VLOOKUP(A20923,'Componentes APUs'!$A$1:$D$14,4,0)</f>
        <v>37500</v>
      </c>
      <c r="G20923" s="51">
        <f>ROUNDUP(F20923*(E20923/21)/E20877,0)</f>
        <v>0</v>
      </c>
    </row>
    <row r="20924" spans="1:7" x14ac:dyDescent="0.25">
      <c r="A20924" s="50" t="s">
        <v>91</v>
      </c>
      <c r="B20924" s="72" t="str">
        <f>VLOOKUP(A20924,'Componentes APUs'!$A$1:$D$14,2,0)</f>
        <v>Equipo completo para trabajo en alturas con pretales (Arnes dielectrico, 1 mosqueton de seguridad, tie off dielectrico, eslinga de posicionamiento, juego de pretales)</v>
      </c>
      <c r="C20924" s="73"/>
      <c r="D20924" s="50" t="str">
        <f>VLOOKUP(A20924,'Componentes APUs'!$A$1:$D$14,3,0)</f>
        <v>U</v>
      </c>
      <c r="E20924" s="50">
        <f>IF(A20894="MO-3",C20894,0)</f>
        <v>0</v>
      </c>
      <c r="F20924" s="51">
        <f>VLOOKUP(A20924,'Componentes APUs'!$A$1:$D$14,4,0)</f>
        <v>26041.666666666668</v>
      </c>
      <c r="G20924" s="51">
        <f>ROUNDUP(F20924*(E20924/21)/E20877,0)</f>
        <v>0</v>
      </c>
    </row>
    <row r="20925" spans="1:7" x14ac:dyDescent="0.25">
      <c r="A20925" s="219" t="s">
        <v>95</v>
      </c>
      <c r="B20925" s="219"/>
      <c r="C20925" s="219"/>
      <c r="D20925" s="219"/>
      <c r="E20925" s="219"/>
      <c r="F20925" s="219"/>
      <c r="G20925" s="52">
        <f>SUM(G20912:G20924)</f>
        <v>9613</v>
      </c>
    </row>
    <row r="20926" spans="1:7" x14ac:dyDescent="0.25">
      <c r="A20926" s="56"/>
      <c r="B20926" s="57"/>
      <c r="C20926" s="57"/>
      <c r="D20926" s="57"/>
      <c r="E20926" s="57"/>
      <c r="F20926" s="57"/>
      <c r="G20926" s="58"/>
    </row>
    <row r="20927" spans="1:7" x14ac:dyDescent="0.25">
      <c r="A20927" s="219" t="s">
        <v>96</v>
      </c>
      <c r="B20927" s="219"/>
      <c r="C20927" s="219"/>
      <c r="D20927" s="219"/>
      <c r="E20927" s="219"/>
      <c r="F20927" s="219"/>
      <c r="G20927" s="219"/>
    </row>
    <row r="20928" spans="1:7" x14ac:dyDescent="0.25">
      <c r="A20928" s="49" t="s">
        <v>35</v>
      </c>
      <c r="B20928" s="225" t="s">
        <v>36</v>
      </c>
      <c r="C20928" s="225"/>
      <c r="D20928" s="49" t="s">
        <v>37</v>
      </c>
      <c r="E20928" s="49" t="s">
        <v>38</v>
      </c>
      <c r="F20928" s="49" t="s">
        <v>39</v>
      </c>
      <c r="G20928" s="49" t="s">
        <v>40</v>
      </c>
    </row>
    <row r="20929" spans="1:7" x14ac:dyDescent="0.25">
      <c r="A20929" s="69" t="s">
        <v>97</v>
      </c>
      <c r="B20929" s="72" t="str">
        <f>VLOOKUP(A20929,'Componentes APUs'!$N$1:$Q$30,2,0)</f>
        <v>Camioneta</v>
      </c>
      <c r="C20929" s="73"/>
      <c r="D20929" s="70" t="str">
        <f>VLOOKUP(A20929,'Componentes APUs'!$N$1:$Q$30,3,0)</f>
        <v>U</v>
      </c>
      <c r="E20929" s="50">
        <v>1</v>
      </c>
      <c r="F20929" s="51">
        <f>VLOOKUP(A20929,'Componentes APUs'!$N$1:$Q$30,4,0)</f>
        <v>5500000</v>
      </c>
      <c r="G20929" s="51">
        <f>IFERROR(ROUNDUP(F20929*(E20929/21)/E20877,0),0)</f>
        <v>374150</v>
      </c>
    </row>
    <row r="20930" spans="1:7" x14ac:dyDescent="0.25">
      <c r="A20930" s="50" t="s">
        <v>321</v>
      </c>
      <c r="B20930" s="72" t="str">
        <f>VLOOKUP(A20930,'Componentes APUs'!$N$1:$Q$30,2,0)</f>
        <v>Grúa Hidráulica</v>
      </c>
      <c r="C20930" s="73"/>
      <c r="D20930" s="70" t="str">
        <f>VLOOKUP(A20930,'Componentes APUs'!$N$1:$Q$30,3,0)</f>
        <v>U</v>
      </c>
      <c r="E20930" s="50">
        <v>0</v>
      </c>
      <c r="F20930" s="51">
        <f>VLOOKUP(A20930,'Componentes APUs'!$N$1:$Q$30,4,0)</f>
        <v>21000000</v>
      </c>
      <c r="G20930" s="51">
        <f>IFERROR(ROUNDUP(F20930*(E20930/21)/E20877,0),0)</f>
        <v>0</v>
      </c>
    </row>
    <row r="20931" spans="1:7" x14ac:dyDescent="0.25">
      <c r="A20931" s="69" t="s">
        <v>322</v>
      </c>
      <c r="B20931" s="72" t="str">
        <f>VLOOKUP(A20931,'Componentes APUs'!$N$1:$Q$30,2,0)</f>
        <v>Camabaja</v>
      </c>
      <c r="C20931" s="73"/>
      <c r="D20931" s="70" t="str">
        <f>VLOOKUP(A20931,'Componentes APUs'!$N$1:$Q$30,3,0)</f>
        <v>TON/KM</v>
      </c>
      <c r="E20931" s="50">
        <v>0</v>
      </c>
      <c r="F20931" s="51">
        <f>VLOOKUP(A20931,'Componentes APUs'!$N$1:$Q$30,4,0)</f>
        <v>611</v>
      </c>
      <c r="G20931" s="51">
        <f>IFERROR(ROUNDUP(F20931*(E20931/21)/E20877,0),0)</f>
        <v>0</v>
      </c>
    </row>
    <row r="20932" spans="1:7" x14ac:dyDescent="0.25">
      <c r="A20932" s="50" t="s">
        <v>323</v>
      </c>
      <c r="B20932" s="72" t="str">
        <f>VLOOKUP(A20932,'Componentes APUs'!$N$1:$Q$30,2,0)</f>
        <v>Volqueta</v>
      </c>
      <c r="C20932" s="73"/>
      <c r="D20932" s="70" t="str">
        <f>VLOOKUP(A20932,'Componentes APUs'!$N$1:$Q$30,3,0)</f>
        <v>U</v>
      </c>
      <c r="E20932" s="50">
        <v>0</v>
      </c>
      <c r="F20932" s="51">
        <f>VLOOKUP(A20932,'Componentes APUs'!$N$1:$Q$30,4,0)</f>
        <v>14828184</v>
      </c>
      <c r="G20932" s="51">
        <f>IFERROR(ROUNDUP(F20932*(E20932/21)/E20877,0),0)</f>
        <v>0</v>
      </c>
    </row>
    <row r="20933" spans="1:7" x14ac:dyDescent="0.25">
      <c r="A20933" s="69" t="s">
        <v>324</v>
      </c>
      <c r="B20933" s="72" t="str">
        <f>VLOOKUP(A20933,'Componentes APUs'!$N$1:$Q$30,2,0)</f>
        <v>Retroexcavadora</v>
      </c>
      <c r="C20933" s="73"/>
      <c r="D20933" s="70" t="str">
        <f>VLOOKUP(A20933,'Componentes APUs'!$N$1:$Q$30,3,0)</f>
        <v>U</v>
      </c>
      <c r="E20933" s="50">
        <v>0</v>
      </c>
      <c r="F20933" s="51">
        <f>VLOOKUP(A20933,'Componentes APUs'!$N$1:$Q$30,4,0)</f>
        <v>46030656</v>
      </c>
      <c r="G20933" s="51">
        <f>IFERROR(ROUNDUP(F20933*(E20933/21)/E20877,0),0)</f>
        <v>0</v>
      </c>
    </row>
    <row r="20934" spans="1:7" x14ac:dyDescent="0.25">
      <c r="A20934" s="219" t="s">
        <v>99</v>
      </c>
      <c r="B20934" s="219"/>
      <c r="C20934" s="219"/>
      <c r="D20934" s="219"/>
      <c r="E20934" s="219"/>
      <c r="F20934" s="219"/>
      <c r="G20934" s="52">
        <f>SUM(G20929:G20933)</f>
        <v>374150</v>
      </c>
    </row>
    <row r="20935" spans="1:7" x14ac:dyDescent="0.25">
      <c r="A20935" s="56"/>
      <c r="B20935" s="57"/>
      <c r="C20935" s="57"/>
      <c r="D20935" s="57"/>
      <c r="E20935" s="57"/>
      <c r="F20935" s="57"/>
      <c r="G20935" s="58"/>
    </row>
    <row r="20936" spans="1:7" x14ac:dyDescent="0.25">
      <c r="A20936" s="219" t="s">
        <v>1516</v>
      </c>
      <c r="B20936" s="219"/>
      <c r="C20936" s="219"/>
      <c r="D20936" s="219"/>
      <c r="E20936" s="219"/>
      <c r="F20936" s="219"/>
      <c r="G20936" s="52">
        <f>G20934+G20925+G20908+G20898+G20888</f>
        <v>10554140</v>
      </c>
    </row>
    <row r="20937" spans="1:7" x14ac:dyDescent="0.25">
      <c r="A20937" s="59"/>
      <c r="B20937" s="60"/>
      <c r="C20937" s="60"/>
      <c r="D20937" s="60"/>
      <c r="E20937" s="57"/>
      <c r="F20937" s="57"/>
      <c r="G20937" s="58"/>
    </row>
    <row r="20938" spans="1:7" x14ac:dyDescent="0.25">
      <c r="A20938" s="64"/>
      <c r="D20938" s="55"/>
      <c r="E20938" s="49" t="s">
        <v>25</v>
      </c>
      <c r="F20938" s="54">
        <v>0.15</v>
      </c>
      <c r="G20938" s="51">
        <f>G20936*F20938</f>
        <v>1583121</v>
      </c>
    </row>
    <row r="20939" spans="1:7" x14ac:dyDescent="0.25">
      <c r="A20939" s="64"/>
      <c r="D20939" s="55"/>
      <c r="E20939" s="49" t="s">
        <v>26</v>
      </c>
      <c r="F20939" s="54">
        <v>0.05</v>
      </c>
      <c r="G20939" s="51">
        <f>G20936*F20939</f>
        <v>527707</v>
      </c>
    </row>
    <row r="20940" spans="1:7" x14ac:dyDescent="0.25">
      <c r="A20940" s="61"/>
      <c r="B20940" s="65"/>
      <c r="C20940" s="65"/>
      <c r="D20940" s="62"/>
      <c r="E20940" s="49" t="s">
        <v>27</v>
      </c>
      <c r="F20940" s="54">
        <v>0.05</v>
      </c>
      <c r="G20940" s="51">
        <f>G20936*F20940</f>
        <v>527707</v>
      </c>
    </row>
    <row r="20941" spans="1:7" x14ac:dyDescent="0.25">
      <c r="A20941" s="61"/>
      <c r="B20941" s="62"/>
      <c r="C20941" s="62"/>
      <c r="D20941" s="62"/>
      <c r="E20941" s="62"/>
      <c r="F20941" s="62"/>
      <c r="G20941" s="63"/>
    </row>
    <row r="20942" spans="1:7" x14ac:dyDescent="0.25">
      <c r="A20942" s="219" t="s">
        <v>1517</v>
      </c>
      <c r="B20942" s="219"/>
      <c r="C20942" s="219"/>
      <c r="D20942" s="219"/>
      <c r="E20942" s="219"/>
      <c r="F20942" s="219"/>
      <c r="G20942" s="52">
        <f>G20936+G20938+G20939+G20940</f>
        <v>13192675</v>
      </c>
    </row>
    <row r="20943" spans="1:7" x14ac:dyDescent="0.25">
      <c r="A20943" s="59"/>
      <c r="B20943" s="60"/>
      <c r="C20943" s="60"/>
      <c r="D20943" s="60"/>
      <c r="E20943" s="57"/>
      <c r="F20943" s="57"/>
      <c r="G20943" s="58"/>
    </row>
    <row r="20944" spans="1:7" x14ac:dyDescent="0.25">
      <c r="A20944" s="64"/>
      <c r="D20944" s="55"/>
      <c r="E20944" s="49" t="s">
        <v>102</v>
      </c>
      <c r="F20944" s="49" t="s">
        <v>103</v>
      </c>
      <c r="G20944" s="51">
        <f>G20940*19%</f>
        <v>100264.33</v>
      </c>
    </row>
    <row r="20945" spans="1:7" x14ac:dyDescent="0.25">
      <c r="A20945" s="61"/>
      <c r="B20945" s="62"/>
      <c r="C20945" s="62"/>
      <c r="D20945" s="62"/>
      <c r="E20945" s="57"/>
      <c r="F20945" s="57"/>
      <c r="G20945" s="58"/>
    </row>
    <row r="20946" spans="1:7" x14ac:dyDescent="0.25">
      <c r="A20946" s="219" t="s">
        <v>104</v>
      </c>
      <c r="B20946" s="219"/>
      <c r="C20946" s="219"/>
      <c r="D20946" s="219"/>
      <c r="E20946" s="219"/>
      <c r="F20946" s="219"/>
      <c r="G20946" s="52">
        <f>G20944+G20942</f>
        <v>13292939.33</v>
      </c>
    </row>
    <row r="20948" spans="1:7" x14ac:dyDescent="0.25">
      <c r="A20948" s="74" t="s">
        <v>29</v>
      </c>
      <c r="B20948" s="237" t="s">
        <v>30</v>
      </c>
      <c r="C20948" s="238"/>
      <c r="D20948" s="74" t="s">
        <v>31</v>
      </c>
      <c r="E20948" s="74" t="s">
        <v>32</v>
      </c>
      <c r="F20948" s="74" t="s">
        <v>189</v>
      </c>
      <c r="G20948" s="74" t="s">
        <v>33</v>
      </c>
    </row>
    <row r="20949" spans="1:7" ht="35.25" customHeight="1" x14ac:dyDescent="0.25">
      <c r="A20949" s="50" t="str">
        <f>Presupuesto!B400</f>
        <v>065_AUX</v>
      </c>
      <c r="B20949" s="220" t="str">
        <f>Presupuesto!C400</f>
        <v>SUMINISTRO E INSTALACIÓN DE UNIDAD CONDENSADORA DE AIRE MULTISPLIT INVERTER DE 60000 BTUs. INCLUYE: TUBERÍA DE REFRIGERACIÓN, REFRIGERANTE, CABLEADO DE FUERZA HASTA SALIDA A 0 M.</v>
      </c>
      <c r="C20949" s="239"/>
      <c r="D20949" s="50" t="s">
        <v>8</v>
      </c>
      <c r="E20949" s="50">
        <v>0.7</v>
      </c>
      <c r="F20949" s="50"/>
      <c r="G20949" s="51">
        <f>G21018</f>
        <v>20315697.215</v>
      </c>
    </row>
    <row r="20950" spans="1:7" x14ac:dyDescent="0.25">
      <c r="A20950" s="219" t="s">
        <v>34</v>
      </c>
      <c r="B20950" s="219"/>
      <c r="C20950" s="219"/>
      <c r="D20950" s="219"/>
      <c r="E20950" s="219"/>
      <c r="F20950" s="219"/>
      <c r="G20950" s="219"/>
    </row>
    <row r="20951" spans="1:7" x14ac:dyDescent="0.25">
      <c r="A20951" s="49" t="s">
        <v>35</v>
      </c>
      <c r="B20951" s="234" t="s">
        <v>36</v>
      </c>
      <c r="C20951" s="235"/>
      <c r="D20951" s="49" t="s">
        <v>37</v>
      </c>
      <c r="E20951" s="49" t="s">
        <v>38</v>
      </c>
      <c r="F20951" s="49" t="s">
        <v>39</v>
      </c>
      <c r="G20951" s="49" t="s">
        <v>40</v>
      </c>
    </row>
    <row r="20952" spans="1:7" x14ac:dyDescent="0.25">
      <c r="A20952" s="17" t="str">
        <f>Material!A384</f>
        <v>MA-383</v>
      </c>
      <c r="B20952" s="243" t="str">
        <f>IFERROR(VLOOKUP(A20952,Material!$A:$H,2,0),"-")</f>
        <v>UNIDAD CONDENSADORA DE AIRE MULTISPLIT INVERTER DE 60000 BTUs</v>
      </c>
      <c r="C20952" s="244"/>
      <c r="D20952" s="50" t="str">
        <f>IFERROR(VLOOKUP(A20952,Material!$A:$H,4,0),"-")</f>
        <v>UN</v>
      </c>
      <c r="E20952" s="50">
        <v>1</v>
      </c>
      <c r="F20952" s="51">
        <f>IFERROR(VLOOKUP(A20952,Material!$A:$H,3,0),"-")</f>
        <v>14781000</v>
      </c>
      <c r="G20952" s="51">
        <f t="shared" ref="G20952:G20959" si="312">IFERROR(ROUNDUP(F20952*E20952,0),"-")</f>
        <v>14781000</v>
      </c>
    </row>
    <row r="20953" spans="1:7" x14ac:dyDescent="0.25">
      <c r="A20953" s="17"/>
      <c r="B20953" s="72" t="str">
        <f>IFERROR(VLOOKUP(A20953,Material!$A:$H,2,0),"-")</f>
        <v>-</v>
      </c>
      <c r="C20953" s="76"/>
      <c r="D20953" s="50" t="str">
        <f>IFERROR(VLOOKUP(A20953,Material!$A:$H,4,0),"-")</f>
        <v>-</v>
      </c>
      <c r="E20953" s="50"/>
      <c r="F20953" s="51" t="str">
        <f>IFERROR(VLOOKUP(A20953,Material!$A:$H,3,0),"-")</f>
        <v>-</v>
      </c>
      <c r="G20953" s="51" t="str">
        <f t="shared" si="312"/>
        <v>-</v>
      </c>
    </row>
    <row r="20954" spans="1:7" x14ac:dyDescent="0.25">
      <c r="A20954" s="17"/>
      <c r="B20954" s="72" t="str">
        <f>IFERROR(VLOOKUP(A20954,Material!$A:$H,2,0),"-")</f>
        <v>-</v>
      </c>
      <c r="C20954" s="76"/>
      <c r="D20954" s="50" t="str">
        <f>IFERROR(VLOOKUP(A20954,Material!$A:$H,4,0),"-")</f>
        <v>-</v>
      </c>
      <c r="E20954" s="50"/>
      <c r="F20954" s="51" t="str">
        <f>IFERROR(VLOOKUP(A20954,Material!$A:$H,3,0),"-")</f>
        <v>-</v>
      </c>
      <c r="G20954" s="51" t="str">
        <f t="shared" si="312"/>
        <v>-</v>
      </c>
    </row>
    <row r="20955" spans="1:7" x14ac:dyDescent="0.25">
      <c r="A20955" s="17"/>
      <c r="B20955" s="72" t="str">
        <f>IFERROR(VLOOKUP(A20955,Material!$A:$H,2,0),"-")</f>
        <v>-</v>
      </c>
      <c r="C20955" s="76"/>
      <c r="D20955" s="50" t="str">
        <f>IFERROR(VLOOKUP(A20955,Material!$A:$H,4,0),"-")</f>
        <v>-</v>
      </c>
      <c r="E20955" s="50"/>
      <c r="F20955" s="51" t="str">
        <f>IFERROR(VLOOKUP(A20955,Material!$A:$H,3,0),"-")</f>
        <v>-</v>
      </c>
      <c r="G20955" s="51" t="str">
        <f t="shared" si="312"/>
        <v>-</v>
      </c>
    </row>
    <row r="20956" spans="1:7" x14ac:dyDescent="0.25">
      <c r="A20956" s="17"/>
      <c r="B20956" s="72" t="str">
        <f>IFERROR(VLOOKUP(A20956,Material!$A:$H,2,0),"-")</f>
        <v>-</v>
      </c>
      <c r="C20956" s="76"/>
      <c r="D20956" s="50" t="str">
        <f>IFERROR(VLOOKUP(A20956,Material!$A:$H,4,0),"-")</f>
        <v>-</v>
      </c>
      <c r="E20956" s="50"/>
      <c r="F20956" s="51" t="str">
        <f>IFERROR(VLOOKUP(A20956,Material!$A:$H,3,0),"-")</f>
        <v>-</v>
      </c>
      <c r="G20956" s="51" t="str">
        <f t="shared" si="312"/>
        <v>-</v>
      </c>
    </row>
    <row r="20957" spans="1:7" x14ac:dyDescent="0.25">
      <c r="A20957" s="17"/>
      <c r="B20957" s="72" t="str">
        <f>IFERROR(VLOOKUP(A20957,Material!$A:$H,2,0),"-")</f>
        <v>-</v>
      </c>
      <c r="C20957" s="76"/>
      <c r="D20957" s="50" t="str">
        <f>IFERROR(VLOOKUP(A20957,Material!$A:$H,4,0),"-")</f>
        <v>-</v>
      </c>
      <c r="E20957" s="50"/>
      <c r="F20957" s="51" t="str">
        <f>IFERROR(VLOOKUP(A20957,Material!$A:$H,3,0),"-")</f>
        <v>-</v>
      </c>
      <c r="G20957" s="51" t="str">
        <f t="shared" si="312"/>
        <v>-</v>
      </c>
    </row>
    <row r="20958" spans="1:7" x14ac:dyDescent="0.25">
      <c r="A20958" s="17"/>
      <c r="B20958" s="72" t="str">
        <f>IFERROR(VLOOKUP(A20958,Material!$A:$H,2,0),"-")</f>
        <v>-</v>
      </c>
      <c r="C20958" s="76"/>
      <c r="D20958" s="50" t="str">
        <f>IFERROR(VLOOKUP(A20958,Material!$A:$H,4,0),"-")</f>
        <v>-</v>
      </c>
      <c r="E20958" s="50"/>
      <c r="F20958" s="51" t="str">
        <f>IFERROR(VLOOKUP(A20958,Material!$A:$H,3,0),"-")</f>
        <v>-</v>
      </c>
      <c r="G20958" s="51" t="str">
        <f t="shared" si="312"/>
        <v>-</v>
      </c>
    </row>
    <row r="20959" spans="1:7" x14ac:dyDescent="0.25">
      <c r="A20959" s="17"/>
      <c r="B20959" s="72" t="str">
        <f>IFERROR(VLOOKUP(A20959,Material!$A:$H,2,0),"-")</f>
        <v>-</v>
      </c>
      <c r="C20959" s="76"/>
      <c r="D20959" s="50" t="str">
        <f>IFERROR(VLOOKUP(A20959,Material!$A:$H,4,0),"-")</f>
        <v>-</v>
      </c>
      <c r="E20959" s="50"/>
      <c r="F20959" s="51" t="str">
        <f>IFERROR(VLOOKUP(A20959,Material!$A:$H,3,0),"-")</f>
        <v>-</v>
      </c>
      <c r="G20959" s="51" t="str">
        <f t="shared" si="312"/>
        <v>-</v>
      </c>
    </row>
    <row r="20960" spans="1:7" x14ac:dyDescent="0.25">
      <c r="A20960" s="234" t="s">
        <v>41</v>
      </c>
      <c r="B20960" s="236"/>
      <c r="C20960" s="236"/>
      <c r="D20960" s="236"/>
      <c r="E20960" s="236"/>
      <c r="F20960" s="235"/>
      <c r="G20960" s="52">
        <f>SUM(G20952:G20959)</f>
        <v>14781000</v>
      </c>
    </row>
    <row r="20961" spans="1:7" x14ac:dyDescent="0.25">
      <c r="A20961" s="56"/>
      <c r="B20961" s="57"/>
      <c r="C20961" s="57"/>
      <c r="D20961" s="57"/>
      <c r="E20961" s="57"/>
      <c r="F20961" s="57"/>
      <c r="G20961" s="58"/>
    </row>
    <row r="20962" spans="1:7" x14ac:dyDescent="0.25">
      <c r="A20962" s="219" t="s">
        <v>42</v>
      </c>
      <c r="B20962" s="219"/>
      <c r="C20962" s="219"/>
      <c r="D20962" s="219"/>
      <c r="E20962" s="219"/>
      <c r="F20962" s="219"/>
      <c r="G20962" s="219"/>
    </row>
    <row r="20963" spans="1:7" x14ac:dyDescent="0.25">
      <c r="A20963" s="49" t="s">
        <v>35</v>
      </c>
      <c r="B20963" s="49" t="s">
        <v>36</v>
      </c>
      <c r="C20963" s="49" t="s">
        <v>38</v>
      </c>
      <c r="D20963" s="49" t="s">
        <v>43</v>
      </c>
      <c r="E20963" s="49" t="s">
        <v>44</v>
      </c>
      <c r="F20963" s="49" t="s">
        <v>45</v>
      </c>
      <c r="G20963" s="49" t="s">
        <v>40</v>
      </c>
    </row>
    <row r="20964" spans="1:7" x14ac:dyDescent="0.25">
      <c r="A20964" s="50" t="s">
        <v>319</v>
      </c>
      <c r="B20964" s="68" t="str">
        <f>VLOOKUP(A20964,'Componentes APUs'!$H$1:$L$25,2,0)</f>
        <v>Ingeniero Residente de Obra</v>
      </c>
      <c r="C20964" s="93">
        <v>0.25</v>
      </c>
      <c r="D20964" s="50">
        <f>VLOOKUP(A20964,'Componentes APUs'!$H$1:$L$25,3,0)</f>
        <v>4</v>
      </c>
      <c r="E20964" s="51">
        <f>VLOOKUP(A20964,'Componentes APUs'!$H$1:$L$25,4,0)</f>
        <v>271142.85714285716</v>
      </c>
      <c r="F20964" s="51">
        <f>VLOOKUP(A20964,'Componentes APUs'!$H$1:$L$25,5,0)</f>
        <v>162685.71428571429</v>
      </c>
      <c r="G20964" s="51">
        <f>ROUNDUP((E20964+F20964)*C20964/E20949,0)</f>
        <v>154939</v>
      </c>
    </row>
    <row r="20965" spans="1:7" x14ac:dyDescent="0.25">
      <c r="A20965" s="50" t="s">
        <v>320</v>
      </c>
      <c r="B20965" s="68" t="str">
        <f>VLOOKUP(A20965,'Componentes APUs'!$H$1:$L$25,2,0)</f>
        <v>Tecnico Supervisor</v>
      </c>
      <c r="C20965" s="93">
        <v>0.25</v>
      </c>
      <c r="D20965" s="50">
        <f>VLOOKUP(A20965,'Componentes APUs'!$H$1:$L$25,3,0)</f>
        <v>2.2999999999999998</v>
      </c>
      <c r="E20965" s="51">
        <f>VLOOKUP(A20965,'Componentes APUs'!$H$1:$L$25,4,0)</f>
        <v>155907.14285714284</v>
      </c>
      <c r="F20965" s="51">
        <f>VLOOKUP(A20965,'Componentes APUs'!$H$1:$L$25,5,0)</f>
        <v>93544.285714285696</v>
      </c>
      <c r="G20965" s="51">
        <f>ROUNDUP((E20965+F20965)*C20965/E20949,0)</f>
        <v>89090</v>
      </c>
    </row>
    <row r="20966" spans="1:7" x14ac:dyDescent="0.25">
      <c r="A20966" s="50" t="s">
        <v>1160</v>
      </c>
      <c r="B20966" s="68" t="str">
        <f>VLOOKUP(A20966,'Componentes APUs'!$H$1:$L$25,2,0)</f>
        <v>Oficial Eléctrico</v>
      </c>
      <c r="C20966" s="93">
        <v>1</v>
      </c>
      <c r="D20966" s="50">
        <f>VLOOKUP(A20966,'Componentes APUs'!$H$1:$L$25,3,0)</f>
        <v>2</v>
      </c>
      <c r="E20966" s="51">
        <f>VLOOKUP(A20966,'Componentes APUs'!$H$1:$L$25,4,0)</f>
        <v>154619.04761904763</v>
      </c>
      <c r="F20966" s="51">
        <f>VLOOKUP(A20966,'Componentes APUs'!$H$1:$L$25,5,0)</f>
        <v>92771.42857142858</v>
      </c>
      <c r="G20966" s="51">
        <f>ROUNDUP((E20966+F20966)*C20966/E20949,0)</f>
        <v>353415</v>
      </c>
    </row>
    <row r="20967" spans="1:7" x14ac:dyDescent="0.25">
      <c r="A20967" s="50" t="s">
        <v>48</v>
      </c>
      <c r="B20967" s="68" t="str">
        <f>VLOOKUP(A20967,'Componentes APUs'!$H$1:$L$25,2,0)</f>
        <v>Ayudante Calificado</v>
      </c>
      <c r="C20967" s="93">
        <v>1</v>
      </c>
      <c r="D20967" s="50">
        <f>VLOOKUP(A20967,'Componentes APUs'!$H$1:$L$25,3,0)</f>
        <v>1.5</v>
      </c>
      <c r="E20967" s="51">
        <f>VLOOKUP(A20967,'Componentes APUs'!$H$1:$L$25,4,0)</f>
        <v>115964.28571428571</v>
      </c>
      <c r="F20967" s="51">
        <f>VLOOKUP(A20967,'Componentes APUs'!$H$1:$L$25,5,0)</f>
        <v>69578.57142857142</v>
      </c>
      <c r="G20967" s="51">
        <f>ROUNDUP((E20967+F20967)*C20967/E20949,0)</f>
        <v>265062</v>
      </c>
    </row>
    <row r="20968" spans="1:7" x14ac:dyDescent="0.25">
      <c r="A20968" s="50" t="s">
        <v>50</v>
      </c>
      <c r="B20968" s="68" t="str">
        <f>VLOOKUP(A20968,'Componentes APUs'!$H$1:$L$25,2,0)</f>
        <v>Profesional en SST</v>
      </c>
      <c r="C20968" s="93">
        <v>0.25</v>
      </c>
      <c r="D20968" s="50">
        <f>VLOOKUP(A20968,'Componentes APUs'!$H$1:$L$25,3,0)</f>
        <v>2.5</v>
      </c>
      <c r="E20968" s="51">
        <f>VLOOKUP(A20968,'Componentes APUs'!$H$1:$L$25,4,0)</f>
        <v>169464.28571428571</v>
      </c>
      <c r="F20968" s="51">
        <f>VLOOKUP(A20968,'Componentes APUs'!$H$1:$L$25,5,0)</f>
        <v>101678.57142857142</v>
      </c>
      <c r="G20968" s="51">
        <f>ROUNDUP((E20968+F20968)*C20968/E20949,0)</f>
        <v>96837</v>
      </c>
    </row>
    <row r="20969" spans="1:7" x14ac:dyDescent="0.25">
      <c r="A20969" s="50" t="s">
        <v>52</v>
      </c>
      <c r="B20969" s="68" t="str">
        <f>VLOOKUP(A20969,'Componentes APUs'!$H$1:$L$25,2,0)</f>
        <v>Ayudante No Calificado</v>
      </c>
      <c r="C20969" s="93">
        <v>0</v>
      </c>
      <c r="D20969" s="50">
        <f>VLOOKUP(A20969,'Componentes APUs'!$H$1:$L$25,3,0)</f>
        <v>1</v>
      </c>
      <c r="E20969" s="51">
        <f>VLOOKUP(A20969,'Componentes APUs'!$H$1:$L$25,4,0)</f>
        <v>77309.523809523816</v>
      </c>
      <c r="F20969" s="51">
        <f>VLOOKUP(A20969,'Componentes APUs'!$H$1:$L$25,5,0)</f>
        <v>46385.71428571429</v>
      </c>
      <c r="G20969" s="51">
        <f>ROUNDUP((E20969+F20969)*C20969/E20949,0)</f>
        <v>0</v>
      </c>
    </row>
    <row r="20970" spans="1:7" x14ac:dyDescent="0.25">
      <c r="A20970" s="219" t="s">
        <v>56</v>
      </c>
      <c r="B20970" s="219"/>
      <c r="C20970" s="219"/>
      <c r="D20970" s="219"/>
      <c r="E20970" s="219"/>
      <c r="F20970" s="219"/>
      <c r="G20970" s="52">
        <f>SUM(G20964:G20969)</f>
        <v>959343</v>
      </c>
    </row>
    <row r="20971" spans="1:7" x14ac:dyDescent="0.25">
      <c r="A20971" s="56"/>
      <c r="B20971" s="57"/>
      <c r="C20971" s="57"/>
      <c r="D20971" s="57"/>
      <c r="E20971" s="57"/>
      <c r="F20971" s="57"/>
      <c r="G20971" s="58"/>
    </row>
    <row r="20972" spans="1:7" x14ac:dyDescent="0.25">
      <c r="A20972" s="219" t="s">
        <v>57</v>
      </c>
      <c r="B20972" s="219"/>
      <c r="C20972" s="219"/>
      <c r="D20972" s="219"/>
      <c r="E20972" s="219"/>
      <c r="F20972" s="219"/>
      <c r="G20972" s="219"/>
    </row>
    <row r="20973" spans="1:7" x14ac:dyDescent="0.25">
      <c r="A20973" s="49" t="s">
        <v>35</v>
      </c>
      <c r="B20973" s="219" t="s">
        <v>36</v>
      </c>
      <c r="C20973" s="219"/>
      <c r="D20973" s="49" t="s">
        <v>37</v>
      </c>
      <c r="E20973" s="49" t="s">
        <v>38</v>
      </c>
      <c r="F20973" s="49" t="s">
        <v>39</v>
      </c>
      <c r="G20973" s="49" t="s">
        <v>40</v>
      </c>
    </row>
    <row r="20974" spans="1:7" x14ac:dyDescent="0.25">
      <c r="A20974" s="50" t="s">
        <v>326</v>
      </c>
      <c r="B20974" s="220" t="str">
        <f>VLOOKUP(A20974,'Componentes APUs'!$S$1:$V$10,2,0)</f>
        <v>Juego Llaves</v>
      </c>
      <c r="C20974" s="220"/>
      <c r="D20974" s="50" t="s">
        <v>18</v>
      </c>
      <c r="E20974" s="50">
        <v>1</v>
      </c>
      <c r="F20974" s="51">
        <f>VLOOKUP(A20974,'Componentes APUs'!$S$1:$V$10,4,0)</f>
        <v>9167</v>
      </c>
      <c r="G20974" s="51">
        <f>ROUNDUP(F20974*((E20974/21)/E20949),0)</f>
        <v>624</v>
      </c>
    </row>
    <row r="20975" spans="1:7" x14ac:dyDescent="0.25">
      <c r="A20975" s="50" t="s">
        <v>58</v>
      </c>
      <c r="B20975" s="220" t="str">
        <f>VLOOKUP(A20975,'Componentes APUs'!$S$1:$V$10,2,0)</f>
        <v>Manila de servicio</v>
      </c>
      <c r="C20975" s="220"/>
      <c r="D20975" s="50" t="s">
        <v>18</v>
      </c>
      <c r="E20975" s="50">
        <v>0</v>
      </c>
      <c r="F20975" s="51">
        <f>VLOOKUP(A20975,'Componentes APUs'!$S$1:$V$10,4,0)</f>
        <v>2333</v>
      </c>
      <c r="G20975" s="51">
        <f>ROUNDUP(F20975*((E20975/21)/E20949),0)</f>
        <v>0</v>
      </c>
    </row>
    <row r="20976" spans="1:7" x14ac:dyDescent="0.25">
      <c r="A20976" s="50" t="s">
        <v>327</v>
      </c>
      <c r="B20976" s="220" t="str">
        <f>VLOOKUP(A20976,'Componentes APUs'!$S$1:$V$10,2,0)</f>
        <v>Tula portaherramientas</v>
      </c>
      <c r="C20976" s="220"/>
      <c r="D20976" s="50" t="s">
        <v>18</v>
      </c>
      <c r="E20976" s="50">
        <v>1</v>
      </c>
      <c r="F20976" s="51">
        <f>VLOOKUP(A20976,'Componentes APUs'!$S$1:$V$10,4,0)</f>
        <v>1250</v>
      </c>
      <c r="G20976" s="51">
        <f>ROUNDUP(F20976*((E20976/21)/E20949),0)</f>
        <v>86</v>
      </c>
    </row>
    <row r="20977" spans="1:7" x14ac:dyDescent="0.25">
      <c r="A20977" s="50" t="s">
        <v>60</v>
      </c>
      <c r="B20977" s="220" t="str">
        <f>VLOOKUP(A20977,'Componentes APUs'!$S$1:$V$10,2,0)</f>
        <v>Agarradoras</v>
      </c>
      <c r="C20977" s="220"/>
      <c r="D20977" s="50" t="s">
        <v>18</v>
      </c>
      <c r="E20977" s="50">
        <v>0</v>
      </c>
      <c r="F20977" s="51">
        <f>VLOOKUP(A20977,'Componentes APUs'!$S$1:$V$10,4,0)</f>
        <v>125000</v>
      </c>
      <c r="G20977" s="51">
        <f>ROUNDUP(F20977*((E20977/21)/E20949),0)</f>
        <v>0</v>
      </c>
    </row>
    <row r="20978" spans="1:7" x14ac:dyDescent="0.25">
      <c r="A20978" s="50" t="s">
        <v>62</v>
      </c>
      <c r="B20978" s="220" t="str">
        <f>VLOOKUP(A20978,'Componentes APUs'!$S$1:$V$10,2,0)</f>
        <v>Templadoras</v>
      </c>
      <c r="C20978" s="220"/>
      <c r="D20978" s="50" t="s">
        <v>18</v>
      </c>
      <c r="E20978" s="50">
        <v>0</v>
      </c>
      <c r="F20978" s="51">
        <f>VLOOKUP(A20978,'Componentes APUs'!$S$1:$V$10,4,0)</f>
        <v>250000</v>
      </c>
      <c r="G20978" s="51">
        <f>ROUNDUP(F20978*((E20978/21)/E20949),0)</f>
        <v>0</v>
      </c>
    </row>
    <row r="20979" spans="1:7" x14ac:dyDescent="0.25">
      <c r="A20979" s="50" t="s">
        <v>328</v>
      </c>
      <c r="B20979" s="220" t="str">
        <f>VLOOKUP(A20979,'Componentes APUs'!$S$1:$V$10,2,0)</f>
        <v>Herramienta Menor</v>
      </c>
      <c r="C20979" s="220"/>
      <c r="D20979" s="50" t="s">
        <v>18</v>
      </c>
      <c r="E20979" s="50">
        <v>1</v>
      </c>
      <c r="F20979" s="51">
        <f>VLOOKUP(A20979,'Componentes APUs'!$S$1:$V$10,4,0)</f>
        <v>75758</v>
      </c>
      <c r="G20979" s="51">
        <f>ROUNDUP(F20979*((E20979/21)/E20949),0)</f>
        <v>5154</v>
      </c>
    </row>
    <row r="20980" spans="1:7" x14ac:dyDescent="0.25">
      <c r="A20980" s="219" t="s">
        <v>69</v>
      </c>
      <c r="B20980" s="219"/>
      <c r="C20980" s="219"/>
      <c r="D20980" s="219"/>
      <c r="E20980" s="219"/>
      <c r="F20980" s="219"/>
      <c r="G20980" s="52">
        <f>SUM(G20974:G20979)</f>
        <v>5864</v>
      </c>
    </row>
    <row r="20981" spans="1:7" x14ac:dyDescent="0.25">
      <c r="A20981" s="56"/>
      <c r="B20981" s="57"/>
      <c r="C20981" s="57"/>
      <c r="D20981" s="57"/>
      <c r="E20981" s="57"/>
      <c r="F20981" s="57"/>
      <c r="G20981" s="58"/>
    </row>
    <row r="20982" spans="1:7" x14ac:dyDescent="0.25">
      <c r="A20982" s="219" t="s">
        <v>70</v>
      </c>
      <c r="B20982" s="219"/>
      <c r="C20982" s="219"/>
      <c r="D20982" s="219"/>
      <c r="E20982" s="219"/>
      <c r="F20982" s="219"/>
      <c r="G20982" s="219"/>
    </row>
    <row r="20983" spans="1:7" x14ac:dyDescent="0.25">
      <c r="A20983" s="49" t="s">
        <v>35</v>
      </c>
      <c r="B20983" s="225" t="s">
        <v>36</v>
      </c>
      <c r="C20983" s="225"/>
      <c r="D20983" s="49" t="s">
        <v>37</v>
      </c>
      <c r="E20983" s="49" t="s">
        <v>38</v>
      </c>
      <c r="F20983" s="49" t="s">
        <v>39</v>
      </c>
      <c r="G20983" s="49" t="s">
        <v>40</v>
      </c>
    </row>
    <row r="20984" spans="1:7" x14ac:dyDescent="0.25">
      <c r="A20984" s="69" t="s">
        <v>71</v>
      </c>
      <c r="B20984" s="72" t="str">
        <f>VLOOKUP(A20984,'Componentes APUs'!$A$1:$D$14,2,0)</f>
        <v>Camisa indigo sin partes metalicas</v>
      </c>
      <c r="C20984" s="73"/>
      <c r="D20984" s="70" t="str">
        <f>VLOOKUP(A20984,'Componentes APUs'!$A$1:$D$14,3,0)</f>
        <v>U</v>
      </c>
      <c r="E20984" s="50">
        <f>SUM(C20964:C20969)</f>
        <v>2.75</v>
      </c>
      <c r="F20984" s="51">
        <f>VLOOKUP(A20984,'Componentes APUs'!$A$1:$D$14,4,0)</f>
        <v>8585.8585858585866</v>
      </c>
      <c r="G20984" s="51">
        <f>ROUNDUP(F20984*(E20984/21)/E20949,0)</f>
        <v>1607</v>
      </c>
    </row>
    <row r="20985" spans="1:7" x14ac:dyDescent="0.25">
      <c r="A20985" s="69" t="s">
        <v>73</v>
      </c>
      <c r="B20985" s="124" t="str">
        <f>VLOOKUP(A20985,'Componentes APUs'!$A$1:$D$14,2,0)</f>
        <v>Bota de seguridad dielectrica</v>
      </c>
      <c r="C20985" s="125"/>
      <c r="D20985" s="70" t="str">
        <f>VLOOKUP(A20985,'Componentes APUs'!$A$1:$D$14,3,0)</f>
        <v>Par</v>
      </c>
      <c r="E20985" s="50">
        <f>SUM(C20964:C20969)</f>
        <v>2.75</v>
      </c>
      <c r="F20985" s="51">
        <f>VLOOKUP(A20985,'Componentes APUs'!$A$1:$D$14,4,0)</f>
        <v>7500</v>
      </c>
      <c r="G20985" s="51">
        <f>ROUNDUP(F20985*(E20985/21)/E20949,0)</f>
        <v>1404</v>
      </c>
    </row>
    <row r="20986" spans="1:7" x14ac:dyDescent="0.25">
      <c r="A20986" s="50" t="s">
        <v>76</v>
      </c>
      <c r="B20986" s="72" t="str">
        <f>VLOOKUP(A20986,'Componentes APUs'!$A$1:$D$14,2,0)</f>
        <v>Casco dielectrico Tipo 1 Clase E con barbuquejo</v>
      </c>
      <c r="C20986" s="73"/>
      <c r="D20986" s="50" t="str">
        <f>VLOOKUP(A20986,'Componentes APUs'!$A$1:$D$14,3,0)</f>
        <v>U</v>
      </c>
      <c r="E20986" s="50">
        <f>C20969+C20964+C20967+C20968+C20965+IF(A20966&lt;&gt;"MO-3",C20966,0)</f>
        <v>2.75</v>
      </c>
      <c r="F20986" s="51">
        <f>VLOOKUP(A20986,'Componentes APUs'!$A$1:$D$14,4,0)</f>
        <v>10101.010101010101</v>
      </c>
      <c r="G20986" s="51">
        <f>ROUNDUP(F20986*(E20986/21)/E20949,0)</f>
        <v>1890</v>
      </c>
    </row>
    <row r="20987" spans="1:7" x14ac:dyDescent="0.25">
      <c r="A20987" s="69" t="s">
        <v>77</v>
      </c>
      <c r="B20987" s="72" t="str">
        <f>VLOOKUP(A20987,'Componentes APUs'!$A$1:$D$14,2,0)</f>
        <v>Correa plastica y antiflama</v>
      </c>
      <c r="C20987" s="73"/>
      <c r="D20987" s="50" t="str">
        <f>VLOOKUP(A20987,'Componentes APUs'!$A$1:$D$14,3,0)</f>
        <v>U</v>
      </c>
      <c r="E20987" s="50">
        <f>SUM(C20964:C20969)</f>
        <v>2.75</v>
      </c>
      <c r="F20987" s="51">
        <f>VLOOKUP(A20987,'Componentes APUs'!$A$1:$D$14,4,0)</f>
        <v>3787.878787878788</v>
      </c>
      <c r="G20987" s="51">
        <f>ROUNDUP(F20987*(E20987/21)/E20949,0)</f>
        <v>709</v>
      </c>
    </row>
    <row r="20988" spans="1:7" x14ac:dyDescent="0.25">
      <c r="A20988" s="50" t="s">
        <v>79</v>
      </c>
      <c r="B20988" s="72" t="str">
        <f>VLOOKUP(A20988,'Componentes APUs'!$A$1:$D$14,2,0)</f>
        <v>Gafas protectoras filtro UV</v>
      </c>
      <c r="C20988" s="73"/>
      <c r="D20988" s="50" t="str">
        <f>VLOOKUP(A20988,'Componentes APUs'!$A$1:$D$14,3,0)</f>
        <v>U</v>
      </c>
      <c r="E20988" s="50">
        <f>SUM(C20964:C20969)</f>
        <v>2.75</v>
      </c>
      <c r="F20988" s="51">
        <f>VLOOKUP(A20988,'Componentes APUs'!$A$1:$D$14,4,0)</f>
        <v>2777.7777777777778</v>
      </c>
      <c r="G20988" s="51">
        <f>ROUNDUP(F20988*(E20988/21)/E20949,0)</f>
        <v>520</v>
      </c>
    </row>
    <row r="20989" spans="1:7" x14ac:dyDescent="0.25">
      <c r="A20989" s="69" t="s">
        <v>402</v>
      </c>
      <c r="B20989" s="72" t="str">
        <f>VLOOKUP(A20989,'Componentes APUs'!$A$1:$D$14,2,0)</f>
        <v>Bota de seguridad PVC dielectrica</v>
      </c>
      <c r="C20989" s="73"/>
      <c r="D20989" s="50" t="str">
        <f>VLOOKUP(A20989,'Componentes APUs'!$A$1:$D$14,3,0)</f>
        <v>Par</v>
      </c>
      <c r="E20989" s="50">
        <f>SUM(C20964:C20969)</f>
        <v>2.75</v>
      </c>
      <c r="F20989" s="51">
        <f>VLOOKUP(A20989,'Componentes APUs'!$A$1:$D$14,4,0)</f>
        <v>2916.6666666666665</v>
      </c>
      <c r="G20989" s="51">
        <f>ROUNDUP(F20989*(E20989/21)/E20949,0)</f>
        <v>546</v>
      </c>
    </row>
    <row r="20990" spans="1:7" x14ac:dyDescent="0.25">
      <c r="A20990" s="50" t="s">
        <v>403</v>
      </c>
      <c r="B20990" s="72" t="str">
        <f>VLOOKUP(A20990,'Componentes APUs'!$A$1:$D$14,2,0)</f>
        <v>Capuchon</v>
      </c>
      <c r="C20990" s="73"/>
      <c r="D20990" s="50" t="str">
        <f>VLOOKUP(A20990,'Componentes APUs'!$A$1:$D$14,3,0)</f>
        <v>U</v>
      </c>
      <c r="E20990" s="50">
        <f>SUM(C20964:C20969)</f>
        <v>2.75</v>
      </c>
      <c r="F20990" s="51">
        <f>VLOOKUP(A20990,'Componentes APUs'!$A$1:$D$14,4,0)</f>
        <v>2525.2525252525252</v>
      </c>
      <c r="G20990" s="51">
        <f>ROUNDUP(F20990*(E20990/21)/E20949,0)</f>
        <v>473</v>
      </c>
    </row>
    <row r="20991" spans="1:7" x14ac:dyDescent="0.25">
      <c r="A20991" s="69" t="s">
        <v>81</v>
      </c>
      <c r="B20991" s="72" t="str">
        <f>VLOOKUP(A20991,'Componentes APUs'!$A$1:$D$14,2,0)</f>
        <v>Guantes Protectores  - ingeniero reforzados</v>
      </c>
      <c r="C20991" s="73"/>
      <c r="D20991" s="50" t="str">
        <f>VLOOKUP(A20991,'Componentes APUs'!$A$1:$D$14,3,0)</f>
        <v>Par</v>
      </c>
      <c r="E20991" s="50">
        <f>C20966+C20967+C20969</f>
        <v>2</v>
      </c>
      <c r="F20991" s="51">
        <f>VLOOKUP(A20991,'Componentes APUs'!$A$1:$D$14,4,0)</f>
        <v>2525.2525252525252</v>
      </c>
      <c r="G20991" s="51">
        <f>ROUNDUP(F20991*(E20991/21)/E20949,0)</f>
        <v>344</v>
      </c>
    </row>
    <row r="20992" spans="1:7" x14ac:dyDescent="0.25">
      <c r="A20992" s="50" t="s">
        <v>83</v>
      </c>
      <c r="B20992" s="72" t="str">
        <f>VLOOKUP(A20992,'Componentes APUs'!$A$1:$D$14,2,0)</f>
        <v>Impermeable (pantalon camisa)</v>
      </c>
      <c r="C20992" s="73"/>
      <c r="D20992" s="50" t="str">
        <f>VLOOKUP(A20992,'Componentes APUs'!$A$1:$D$14,3,0)</f>
        <v>U</v>
      </c>
      <c r="E20992" s="50">
        <f>SUM(C20964:C20969)</f>
        <v>2.75</v>
      </c>
      <c r="F20992" s="51">
        <f>VLOOKUP(A20992,'Componentes APUs'!$A$1:$D$14,4,0)</f>
        <v>3750</v>
      </c>
      <c r="G20992" s="51">
        <f>ROUNDUP(F20992*(E20992/21)/E20949,0)</f>
        <v>702</v>
      </c>
    </row>
    <row r="20993" spans="1:7" x14ac:dyDescent="0.25">
      <c r="A20993" s="69" t="s">
        <v>85</v>
      </c>
      <c r="B20993" s="72" t="str">
        <f>VLOOKUP(A20993,'Componentes APUs'!$A$1:$D$14,2,0)</f>
        <v>Jean Dielectrico</v>
      </c>
      <c r="C20993" s="73"/>
      <c r="D20993" s="50" t="str">
        <f>VLOOKUP(A20993,'Componentes APUs'!$A$1:$D$14,3,0)</f>
        <v>U</v>
      </c>
      <c r="E20993" s="50">
        <f>SUM(C20964:C20969)</f>
        <v>2.75</v>
      </c>
      <c r="F20993" s="51">
        <f>VLOOKUP(A20993,'Componentes APUs'!$A$1:$D$14,4,0)</f>
        <v>7575.757575757576</v>
      </c>
      <c r="G20993" s="51">
        <f>ROUNDUP(F20993*(E20993/21)/E20949,0)</f>
        <v>1418</v>
      </c>
    </row>
    <row r="20994" spans="1:7" x14ac:dyDescent="0.25">
      <c r="A20994" s="50" t="s">
        <v>87</v>
      </c>
      <c r="B20994" s="72" t="str">
        <f>VLOOKUP(A20994,'Componentes APUs'!$A$1:$D$14,2,0)</f>
        <v>Casco dielectrico Tipo 2 Clase E con barboquejo</v>
      </c>
      <c r="C20994" s="73"/>
      <c r="D20994" s="50" t="str">
        <f>VLOOKUP(A20994,'Componentes APUs'!$A$1:$D$14,3,0)</f>
        <v>U</v>
      </c>
      <c r="E20994" s="53">
        <f>IF(A20966="MO-3",C20966,0)</f>
        <v>0</v>
      </c>
      <c r="F20994" s="51">
        <f>VLOOKUP(A20994,'Componentes APUs'!$A$1:$D$14,4,0)</f>
        <v>7500</v>
      </c>
      <c r="G20994" s="51">
        <f>ROUNDUP(F20994*(E20994/21)/E20949,0)</f>
        <v>0</v>
      </c>
    </row>
    <row r="20995" spans="1:7" x14ac:dyDescent="0.25">
      <c r="A20995" s="69" t="s">
        <v>89</v>
      </c>
      <c r="B20995" s="72" t="str">
        <f>VLOOKUP(A20995,'Componentes APUs'!$A$1:$D$14,2,0)</f>
        <v>Kit de rescate para trabajo en alturas</v>
      </c>
      <c r="C20995" s="73"/>
      <c r="D20995" s="50" t="str">
        <f>VLOOKUP(A20995,'Componentes APUs'!$A$1:$D$14,3,0)</f>
        <v>U</v>
      </c>
      <c r="E20995" s="50">
        <f>IF(AND(A20966="MO-3",C20966=2),1,0)</f>
        <v>0</v>
      </c>
      <c r="F20995" s="51">
        <f>VLOOKUP(A20995,'Componentes APUs'!$A$1:$D$14,4,0)</f>
        <v>37500</v>
      </c>
      <c r="G20995" s="51">
        <f>ROUNDUP(F20995*(E20995/21)/E20949,0)</f>
        <v>0</v>
      </c>
    </row>
    <row r="20996" spans="1:7" x14ac:dyDescent="0.25">
      <c r="A20996" s="50" t="s">
        <v>91</v>
      </c>
      <c r="B20996" s="72" t="str">
        <f>VLOOKUP(A20996,'Componentes APUs'!$A$1:$D$14,2,0)</f>
        <v>Equipo completo para trabajo en alturas con pretales (Arnes dielectrico, 1 mosqueton de seguridad, tie off dielectrico, eslinga de posicionamiento, juego de pretales)</v>
      </c>
      <c r="C20996" s="73"/>
      <c r="D20996" s="50" t="str">
        <f>VLOOKUP(A20996,'Componentes APUs'!$A$1:$D$14,3,0)</f>
        <v>U</v>
      </c>
      <c r="E20996" s="50">
        <f>IF(A20966="MO-3",C20966,0)</f>
        <v>0</v>
      </c>
      <c r="F20996" s="51">
        <f>VLOOKUP(A20996,'Componentes APUs'!$A$1:$D$14,4,0)</f>
        <v>26041.666666666668</v>
      </c>
      <c r="G20996" s="51">
        <f>ROUNDUP(F20996*(E20996/21)/E20949,0)</f>
        <v>0</v>
      </c>
    </row>
    <row r="20997" spans="1:7" x14ac:dyDescent="0.25">
      <c r="A20997" s="219" t="s">
        <v>95</v>
      </c>
      <c r="B20997" s="219"/>
      <c r="C20997" s="219"/>
      <c r="D20997" s="219"/>
      <c r="E20997" s="219"/>
      <c r="F20997" s="219"/>
      <c r="G20997" s="52">
        <f>SUM(G20984:G20996)</f>
        <v>9613</v>
      </c>
    </row>
    <row r="20998" spans="1:7" x14ac:dyDescent="0.25">
      <c r="A20998" s="56"/>
      <c r="B20998" s="57"/>
      <c r="C20998" s="57"/>
      <c r="D20998" s="57"/>
      <c r="E20998" s="57"/>
      <c r="F20998" s="57"/>
      <c r="G20998" s="58"/>
    </row>
    <row r="20999" spans="1:7" x14ac:dyDescent="0.25">
      <c r="A20999" s="219" t="s">
        <v>96</v>
      </c>
      <c r="B20999" s="219"/>
      <c r="C20999" s="219"/>
      <c r="D20999" s="219"/>
      <c r="E20999" s="219"/>
      <c r="F20999" s="219"/>
      <c r="G20999" s="219"/>
    </row>
    <row r="21000" spans="1:7" x14ac:dyDescent="0.25">
      <c r="A21000" s="49" t="s">
        <v>35</v>
      </c>
      <c r="B21000" s="225" t="s">
        <v>36</v>
      </c>
      <c r="C21000" s="225"/>
      <c r="D21000" s="49" t="s">
        <v>37</v>
      </c>
      <c r="E21000" s="49" t="s">
        <v>38</v>
      </c>
      <c r="F21000" s="49" t="s">
        <v>39</v>
      </c>
      <c r="G21000" s="49" t="s">
        <v>40</v>
      </c>
    </row>
    <row r="21001" spans="1:7" x14ac:dyDescent="0.25">
      <c r="A21001" s="69" t="s">
        <v>97</v>
      </c>
      <c r="B21001" s="72" t="str">
        <f>VLOOKUP(A21001,'Componentes APUs'!$N$1:$Q$30,2,0)</f>
        <v>Camioneta</v>
      </c>
      <c r="C21001" s="73"/>
      <c r="D21001" s="70" t="str">
        <f>VLOOKUP(A21001,'Componentes APUs'!$N$1:$Q$30,3,0)</f>
        <v>U</v>
      </c>
      <c r="E21001" s="50">
        <v>1</v>
      </c>
      <c r="F21001" s="51">
        <f>VLOOKUP(A21001,'Componentes APUs'!$N$1:$Q$30,4,0)</f>
        <v>5500000</v>
      </c>
      <c r="G21001" s="51">
        <f>IFERROR(ROUNDUP(F21001*(E21001/21)/E20949,0),0)</f>
        <v>374150</v>
      </c>
    </row>
    <row r="21002" spans="1:7" x14ac:dyDescent="0.25">
      <c r="A21002" s="50" t="s">
        <v>321</v>
      </c>
      <c r="B21002" s="72" t="str">
        <f>VLOOKUP(A21002,'Componentes APUs'!$N$1:$Q$30,2,0)</f>
        <v>Grúa Hidráulica</v>
      </c>
      <c r="C21002" s="73"/>
      <c r="D21002" s="70" t="str">
        <f>VLOOKUP(A21002,'Componentes APUs'!$N$1:$Q$30,3,0)</f>
        <v>U</v>
      </c>
      <c r="E21002" s="50">
        <v>0</v>
      </c>
      <c r="F21002" s="51">
        <f>VLOOKUP(A21002,'Componentes APUs'!$N$1:$Q$30,4,0)</f>
        <v>21000000</v>
      </c>
      <c r="G21002" s="51">
        <f>IFERROR(ROUNDUP(F21002*(E21002/21)/E20949,0),0)</f>
        <v>0</v>
      </c>
    </row>
    <row r="21003" spans="1:7" x14ac:dyDescent="0.25">
      <c r="A21003" s="69" t="s">
        <v>322</v>
      </c>
      <c r="B21003" s="72" t="str">
        <f>VLOOKUP(A21003,'Componentes APUs'!$N$1:$Q$30,2,0)</f>
        <v>Camabaja</v>
      </c>
      <c r="C21003" s="73"/>
      <c r="D21003" s="70" t="str">
        <f>VLOOKUP(A21003,'Componentes APUs'!$N$1:$Q$30,3,0)</f>
        <v>TON/KM</v>
      </c>
      <c r="E21003" s="50">
        <v>0</v>
      </c>
      <c r="F21003" s="51">
        <f>VLOOKUP(A21003,'Componentes APUs'!$N$1:$Q$30,4,0)</f>
        <v>611</v>
      </c>
      <c r="G21003" s="51">
        <f>IFERROR(ROUNDUP(F21003*(E21003/21)/E20949,0),0)</f>
        <v>0</v>
      </c>
    </row>
    <row r="21004" spans="1:7" x14ac:dyDescent="0.25">
      <c r="A21004" s="50" t="s">
        <v>323</v>
      </c>
      <c r="B21004" s="72" t="str">
        <f>VLOOKUP(A21004,'Componentes APUs'!$N$1:$Q$30,2,0)</f>
        <v>Volqueta</v>
      </c>
      <c r="C21004" s="73"/>
      <c r="D21004" s="70" t="str">
        <f>VLOOKUP(A21004,'Componentes APUs'!$N$1:$Q$30,3,0)</f>
        <v>U</v>
      </c>
      <c r="E21004" s="50">
        <v>0</v>
      </c>
      <c r="F21004" s="51">
        <f>VLOOKUP(A21004,'Componentes APUs'!$N$1:$Q$30,4,0)</f>
        <v>14828184</v>
      </c>
      <c r="G21004" s="51">
        <f>IFERROR(ROUNDUP(F21004*(E21004/21)/E20949,0),0)</f>
        <v>0</v>
      </c>
    </row>
    <row r="21005" spans="1:7" x14ac:dyDescent="0.25">
      <c r="A21005" s="69" t="s">
        <v>324</v>
      </c>
      <c r="B21005" s="72" t="str">
        <f>VLOOKUP(A21005,'Componentes APUs'!$N$1:$Q$30,2,0)</f>
        <v>Retroexcavadora</v>
      </c>
      <c r="C21005" s="73"/>
      <c r="D21005" s="70" t="str">
        <f>VLOOKUP(A21005,'Componentes APUs'!$N$1:$Q$30,3,0)</f>
        <v>U</v>
      </c>
      <c r="E21005" s="50">
        <v>0</v>
      </c>
      <c r="F21005" s="51">
        <f>VLOOKUP(A21005,'Componentes APUs'!$N$1:$Q$30,4,0)</f>
        <v>46030656</v>
      </c>
      <c r="G21005" s="51">
        <f>IFERROR(ROUNDUP(F21005*(E21005/21)/E20949,0),0)</f>
        <v>0</v>
      </c>
    </row>
    <row r="21006" spans="1:7" x14ac:dyDescent="0.25">
      <c r="A21006" s="219" t="s">
        <v>99</v>
      </c>
      <c r="B21006" s="219"/>
      <c r="C21006" s="219"/>
      <c r="D21006" s="219"/>
      <c r="E21006" s="219"/>
      <c r="F21006" s="219"/>
      <c r="G21006" s="52">
        <f>SUM(G21001:G21005)</f>
        <v>374150</v>
      </c>
    </row>
    <row r="21007" spans="1:7" x14ac:dyDescent="0.25">
      <c r="A21007" s="56"/>
      <c r="B21007" s="57"/>
      <c r="C21007" s="57"/>
      <c r="D21007" s="57"/>
      <c r="E21007" s="57"/>
      <c r="F21007" s="57"/>
      <c r="G21007" s="58"/>
    </row>
    <row r="21008" spans="1:7" x14ac:dyDescent="0.25">
      <c r="A21008" s="219" t="s">
        <v>1516</v>
      </c>
      <c r="B21008" s="219"/>
      <c r="C21008" s="219"/>
      <c r="D21008" s="219"/>
      <c r="E21008" s="219"/>
      <c r="F21008" s="219"/>
      <c r="G21008" s="52">
        <f>G21006+G20997+G20980+G20970+G20960</f>
        <v>16129970</v>
      </c>
    </row>
    <row r="21009" spans="1:7" x14ac:dyDescent="0.25">
      <c r="A21009" s="59"/>
      <c r="B21009" s="60"/>
      <c r="C21009" s="60"/>
      <c r="D21009" s="60"/>
      <c r="E21009" s="57"/>
      <c r="F21009" s="57"/>
      <c r="G21009" s="58"/>
    </row>
    <row r="21010" spans="1:7" x14ac:dyDescent="0.25">
      <c r="A21010" s="64"/>
      <c r="D21010" s="55"/>
      <c r="E21010" s="49" t="s">
        <v>25</v>
      </c>
      <c r="F21010" s="54">
        <v>0.15</v>
      </c>
      <c r="G21010" s="51">
        <f>G21008*F21010</f>
        <v>2419495.5</v>
      </c>
    </row>
    <row r="21011" spans="1:7" x14ac:dyDescent="0.25">
      <c r="A21011" s="64"/>
      <c r="D21011" s="55"/>
      <c r="E21011" s="49" t="s">
        <v>26</v>
      </c>
      <c r="F21011" s="54">
        <v>0.05</v>
      </c>
      <c r="G21011" s="51">
        <f>G21008*F21011</f>
        <v>806498.5</v>
      </c>
    </row>
    <row r="21012" spans="1:7" x14ac:dyDescent="0.25">
      <c r="A21012" s="61"/>
      <c r="B21012" s="65"/>
      <c r="C21012" s="65"/>
      <c r="D21012" s="62"/>
      <c r="E21012" s="49" t="s">
        <v>27</v>
      </c>
      <c r="F21012" s="54">
        <v>0.05</v>
      </c>
      <c r="G21012" s="51">
        <f>G21008*F21012</f>
        <v>806498.5</v>
      </c>
    </row>
    <row r="21013" spans="1:7" x14ac:dyDescent="0.25">
      <c r="A21013" s="61"/>
      <c r="B21013" s="62"/>
      <c r="C21013" s="62"/>
      <c r="D21013" s="62"/>
      <c r="E21013" s="62"/>
      <c r="F21013" s="62"/>
      <c r="G21013" s="63"/>
    </row>
    <row r="21014" spans="1:7" x14ac:dyDescent="0.25">
      <c r="A21014" s="219" t="s">
        <v>1517</v>
      </c>
      <c r="B21014" s="219"/>
      <c r="C21014" s="219"/>
      <c r="D21014" s="219"/>
      <c r="E21014" s="219"/>
      <c r="F21014" s="219"/>
      <c r="G21014" s="52">
        <f>G21008+G21010+G21011+G21012</f>
        <v>20162462.5</v>
      </c>
    </row>
    <row r="21015" spans="1:7" x14ac:dyDescent="0.25">
      <c r="A21015" s="59"/>
      <c r="B21015" s="60"/>
      <c r="C21015" s="60"/>
      <c r="D21015" s="60"/>
      <c r="E21015" s="57"/>
      <c r="F21015" s="57"/>
      <c r="G21015" s="58"/>
    </row>
    <row r="21016" spans="1:7" x14ac:dyDescent="0.25">
      <c r="A21016" s="64"/>
      <c r="D21016" s="55"/>
      <c r="E21016" s="49" t="s">
        <v>102</v>
      </c>
      <c r="F21016" s="49" t="s">
        <v>103</v>
      </c>
      <c r="G21016" s="51">
        <f>G21012*19%</f>
        <v>153234.715</v>
      </c>
    </row>
    <row r="21017" spans="1:7" x14ac:dyDescent="0.25">
      <c r="A21017" s="61"/>
      <c r="B21017" s="62"/>
      <c r="C21017" s="62"/>
      <c r="D21017" s="62"/>
      <c r="E21017" s="57"/>
      <c r="F21017" s="57"/>
      <c r="G21017" s="58"/>
    </row>
    <row r="21018" spans="1:7" x14ac:dyDescent="0.25">
      <c r="A21018" s="219" t="s">
        <v>104</v>
      </c>
      <c r="B21018" s="219"/>
      <c r="C21018" s="219"/>
      <c r="D21018" s="219"/>
      <c r="E21018" s="219"/>
      <c r="F21018" s="219"/>
      <c r="G21018" s="52">
        <f>G21016+G21014</f>
        <v>20315697.215</v>
      </c>
    </row>
    <row r="21020" spans="1:7" x14ac:dyDescent="0.25">
      <c r="A21020" s="74" t="s">
        <v>29</v>
      </c>
      <c r="B21020" s="237" t="s">
        <v>30</v>
      </c>
      <c r="C21020" s="238"/>
      <c r="D21020" s="74" t="s">
        <v>31</v>
      </c>
      <c r="E21020" s="74" t="s">
        <v>32</v>
      </c>
      <c r="F21020" s="74" t="s">
        <v>189</v>
      </c>
      <c r="G21020" s="74" t="s">
        <v>33</v>
      </c>
    </row>
    <row r="21021" spans="1:7" ht="35.25" customHeight="1" x14ac:dyDescent="0.25">
      <c r="A21021" s="50" t="str">
        <f>Presupuesto!B401</f>
        <v>066_AUX</v>
      </c>
      <c r="B21021" s="220" t="str">
        <f>Presupuesto!C401</f>
        <v>SUMINISTRO E INSTALACIÓN UNIDAD MANEJADORA DE AIRE ACONDICIONADO TIPO CASETTE DE 24000 BTU</v>
      </c>
      <c r="C21021" s="239"/>
      <c r="D21021" s="50" t="s">
        <v>8</v>
      </c>
      <c r="E21021" s="50">
        <v>0.7</v>
      </c>
      <c r="F21021" s="50"/>
      <c r="G21021" s="51">
        <f>G21090</f>
        <v>4596973.4800000004</v>
      </c>
    </row>
    <row r="21022" spans="1:7" x14ac:dyDescent="0.25">
      <c r="A21022" s="219" t="s">
        <v>34</v>
      </c>
      <c r="B21022" s="219"/>
      <c r="C21022" s="219"/>
      <c r="D21022" s="219"/>
      <c r="E21022" s="219"/>
      <c r="F21022" s="219"/>
      <c r="G21022" s="219"/>
    </row>
    <row r="21023" spans="1:7" x14ac:dyDescent="0.25">
      <c r="A21023" s="49" t="s">
        <v>35</v>
      </c>
      <c r="B21023" s="234" t="s">
        <v>36</v>
      </c>
      <c r="C21023" s="235"/>
      <c r="D21023" s="49" t="s">
        <v>37</v>
      </c>
      <c r="E21023" s="49" t="s">
        <v>38</v>
      </c>
      <c r="F21023" s="49" t="s">
        <v>39</v>
      </c>
      <c r="G21023" s="49" t="s">
        <v>40</v>
      </c>
    </row>
    <row r="21024" spans="1:7" ht="24.75" customHeight="1" x14ac:dyDescent="0.25">
      <c r="A21024" s="17" t="str">
        <f>Material!A555</f>
        <v>MA-554</v>
      </c>
      <c r="B21024" s="221" t="str">
        <f>IFERROR(VLOOKUP(A21024,Material!$A:$H,2,0),"-")</f>
        <v>UNIDAD MANEJADORA DE AIRE ACONDICIONADO TIPO CASETTE DE 24000 BTU</v>
      </c>
      <c r="C21024" s="222"/>
      <c r="D21024" s="50" t="str">
        <f>IFERROR(VLOOKUP(A21024,Material!$A:$H,4,0),"-")</f>
        <v>UN</v>
      </c>
      <c r="E21024" s="50">
        <v>1</v>
      </c>
      <c r="F21024" s="51">
        <f>IFERROR(VLOOKUP(A21024,Material!$A:$H,3,0),"-")</f>
        <v>2300870</v>
      </c>
      <c r="G21024" s="51">
        <f t="shared" ref="G21024:G21031" si="313">IFERROR(ROUNDUP(F21024*E21024,0),"-")</f>
        <v>2300870</v>
      </c>
    </row>
    <row r="21025" spans="1:7" x14ac:dyDescent="0.25">
      <c r="A21025" s="17"/>
      <c r="B21025" s="72" t="str">
        <f>IFERROR(VLOOKUP(A21025,Material!$A:$H,2,0),"-")</f>
        <v>-</v>
      </c>
      <c r="C21025" s="76"/>
      <c r="D21025" s="50" t="str">
        <f>IFERROR(VLOOKUP(A21025,Material!$A:$H,4,0),"-")</f>
        <v>-</v>
      </c>
      <c r="E21025" s="50"/>
      <c r="F21025" s="51" t="str">
        <f>IFERROR(VLOOKUP(A21025,Material!$A:$H,3,0),"-")</f>
        <v>-</v>
      </c>
      <c r="G21025" s="51" t="str">
        <f t="shared" si="313"/>
        <v>-</v>
      </c>
    </row>
    <row r="21026" spans="1:7" x14ac:dyDescent="0.25">
      <c r="A21026" s="17"/>
      <c r="B21026" s="72" t="str">
        <f>IFERROR(VLOOKUP(A21026,Material!$A:$H,2,0),"-")</f>
        <v>-</v>
      </c>
      <c r="C21026" s="76"/>
      <c r="D21026" s="50" t="str">
        <f>IFERROR(VLOOKUP(A21026,Material!$A:$H,4,0),"-")</f>
        <v>-</v>
      </c>
      <c r="E21026" s="50"/>
      <c r="F21026" s="51" t="str">
        <f>IFERROR(VLOOKUP(A21026,Material!$A:$H,3,0),"-")</f>
        <v>-</v>
      </c>
      <c r="G21026" s="51" t="str">
        <f t="shared" si="313"/>
        <v>-</v>
      </c>
    </row>
    <row r="21027" spans="1:7" x14ac:dyDescent="0.25">
      <c r="A21027" s="17"/>
      <c r="B21027" s="72" t="str">
        <f>IFERROR(VLOOKUP(A21027,Material!$A:$H,2,0),"-")</f>
        <v>-</v>
      </c>
      <c r="C21027" s="76"/>
      <c r="D21027" s="50" t="str">
        <f>IFERROR(VLOOKUP(A21027,Material!$A:$H,4,0),"-")</f>
        <v>-</v>
      </c>
      <c r="E21027" s="50"/>
      <c r="F21027" s="51" t="str">
        <f>IFERROR(VLOOKUP(A21027,Material!$A:$H,3,0),"-")</f>
        <v>-</v>
      </c>
      <c r="G21027" s="51" t="str">
        <f t="shared" si="313"/>
        <v>-</v>
      </c>
    </row>
    <row r="21028" spans="1:7" x14ac:dyDescent="0.25">
      <c r="A21028" s="17"/>
      <c r="B21028" s="72" t="str">
        <f>IFERROR(VLOOKUP(A21028,Material!$A:$H,2,0),"-")</f>
        <v>-</v>
      </c>
      <c r="C21028" s="76"/>
      <c r="D21028" s="50" t="str">
        <f>IFERROR(VLOOKUP(A21028,Material!$A:$H,4,0),"-")</f>
        <v>-</v>
      </c>
      <c r="E21028" s="50"/>
      <c r="F21028" s="51" t="str">
        <f>IFERROR(VLOOKUP(A21028,Material!$A:$H,3,0),"-")</f>
        <v>-</v>
      </c>
      <c r="G21028" s="51" t="str">
        <f t="shared" si="313"/>
        <v>-</v>
      </c>
    </row>
    <row r="21029" spans="1:7" x14ac:dyDescent="0.25">
      <c r="A21029" s="17"/>
      <c r="B21029" s="72" t="str">
        <f>IFERROR(VLOOKUP(A21029,Material!$A:$H,2,0),"-")</f>
        <v>-</v>
      </c>
      <c r="C21029" s="76"/>
      <c r="D21029" s="50" t="str">
        <f>IFERROR(VLOOKUP(A21029,Material!$A:$H,4,0),"-")</f>
        <v>-</v>
      </c>
      <c r="E21029" s="50"/>
      <c r="F21029" s="51" t="str">
        <f>IFERROR(VLOOKUP(A21029,Material!$A:$H,3,0),"-")</f>
        <v>-</v>
      </c>
      <c r="G21029" s="51" t="str">
        <f t="shared" si="313"/>
        <v>-</v>
      </c>
    </row>
    <row r="21030" spans="1:7" x14ac:dyDescent="0.25">
      <c r="A21030" s="17"/>
      <c r="B21030" s="72" t="str">
        <f>IFERROR(VLOOKUP(A21030,Material!$A:$H,2,0),"-")</f>
        <v>-</v>
      </c>
      <c r="C21030" s="76"/>
      <c r="D21030" s="50" t="str">
        <f>IFERROR(VLOOKUP(A21030,Material!$A:$H,4,0),"-")</f>
        <v>-</v>
      </c>
      <c r="E21030" s="50"/>
      <c r="F21030" s="51" t="str">
        <f>IFERROR(VLOOKUP(A21030,Material!$A:$H,3,0),"-")</f>
        <v>-</v>
      </c>
      <c r="G21030" s="51" t="str">
        <f t="shared" si="313"/>
        <v>-</v>
      </c>
    </row>
    <row r="21031" spans="1:7" x14ac:dyDescent="0.25">
      <c r="A21031" s="17"/>
      <c r="B21031" s="72" t="str">
        <f>IFERROR(VLOOKUP(A21031,Material!$A:$H,2,0),"-")</f>
        <v>-</v>
      </c>
      <c r="C21031" s="76"/>
      <c r="D21031" s="50" t="str">
        <f>IFERROR(VLOOKUP(A21031,Material!$A:$H,4,0),"-")</f>
        <v>-</v>
      </c>
      <c r="E21031" s="50"/>
      <c r="F21031" s="51" t="str">
        <f>IFERROR(VLOOKUP(A21031,Material!$A:$H,3,0),"-")</f>
        <v>-</v>
      </c>
      <c r="G21031" s="51" t="str">
        <f t="shared" si="313"/>
        <v>-</v>
      </c>
    </row>
    <row r="21032" spans="1:7" x14ac:dyDescent="0.25">
      <c r="A21032" s="234" t="s">
        <v>41</v>
      </c>
      <c r="B21032" s="236"/>
      <c r="C21032" s="236"/>
      <c r="D21032" s="236"/>
      <c r="E21032" s="236"/>
      <c r="F21032" s="235"/>
      <c r="G21032" s="52">
        <f>SUM(G21024:G21031)</f>
        <v>2300870</v>
      </c>
    </row>
    <row r="21033" spans="1:7" x14ac:dyDescent="0.25">
      <c r="A21033" s="56"/>
      <c r="B21033" s="57"/>
      <c r="C21033" s="57"/>
      <c r="D21033" s="57"/>
      <c r="E21033" s="57"/>
      <c r="F21033" s="57"/>
      <c r="G21033" s="58"/>
    </row>
    <row r="21034" spans="1:7" x14ac:dyDescent="0.25">
      <c r="A21034" s="219" t="s">
        <v>42</v>
      </c>
      <c r="B21034" s="219"/>
      <c r="C21034" s="219"/>
      <c r="D21034" s="219"/>
      <c r="E21034" s="219"/>
      <c r="F21034" s="219"/>
      <c r="G21034" s="219"/>
    </row>
    <row r="21035" spans="1:7" x14ac:dyDescent="0.25">
      <c r="A21035" s="49" t="s">
        <v>35</v>
      </c>
      <c r="B21035" s="49" t="s">
        <v>36</v>
      </c>
      <c r="C21035" s="49" t="s">
        <v>38</v>
      </c>
      <c r="D21035" s="49" t="s">
        <v>43</v>
      </c>
      <c r="E21035" s="49" t="s">
        <v>44</v>
      </c>
      <c r="F21035" s="49" t="s">
        <v>45</v>
      </c>
      <c r="G21035" s="49" t="s">
        <v>40</v>
      </c>
    </row>
    <row r="21036" spans="1:7" x14ac:dyDescent="0.25">
      <c r="A21036" s="50" t="s">
        <v>319</v>
      </c>
      <c r="B21036" s="68" t="str">
        <f>VLOOKUP(A21036,'Componentes APUs'!$H$1:$L$25,2,0)</f>
        <v>Ingeniero Residente de Obra</v>
      </c>
      <c r="C21036" s="93">
        <v>0.25</v>
      </c>
      <c r="D21036" s="50">
        <f>VLOOKUP(A21036,'Componentes APUs'!$H$1:$L$25,3,0)</f>
        <v>4</v>
      </c>
      <c r="E21036" s="51">
        <f>VLOOKUP(A21036,'Componentes APUs'!$H$1:$L$25,4,0)</f>
        <v>271142.85714285716</v>
      </c>
      <c r="F21036" s="51">
        <f>VLOOKUP(A21036,'Componentes APUs'!$H$1:$L$25,5,0)</f>
        <v>162685.71428571429</v>
      </c>
      <c r="G21036" s="51">
        <f>ROUNDUP((E21036+F21036)*C21036/E21021,0)</f>
        <v>154939</v>
      </c>
    </row>
    <row r="21037" spans="1:7" x14ac:dyDescent="0.25">
      <c r="A21037" s="50" t="s">
        <v>320</v>
      </c>
      <c r="B21037" s="68" t="str">
        <f>VLOOKUP(A21037,'Componentes APUs'!$H$1:$L$25,2,0)</f>
        <v>Tecnico Supervisor</v>
      </c>
      <c r="C21037" s="93">
        <v>0.25</v>
      </c>
      <c r="D21037" s="50">
        <f>VLOOKUP(A21037,'Componentes APUs'!$H$1:$L$25,3,0)</f>
        <v>2.2999999999999998</v>
      </c>
      <c r="E21037" s="51">
        <f>VLOOKUP(A21037,'Componentes APUs'!$H$1:$L$25,4,0)</f>
        <v>155907.14285714284</v>
      </c>
      <c r="F21037" s="51">
        <f>VLOOKUP(A21037,'Componentes APUs'!$H$1:$L$25,5,0)</f>
        <v>93544.285714285696</v>
      </c>
      <c r="G21037" s="51">
        <f>ROUNDUP((E21037+F21037)*C21037/E21021,0)</f>
        <v>89090</v>
      </c>
    </row>
    <row r="21038" spans="1:7" x14ac:dyDescent="0.25">
      <c r="A21038" s="50" t="s">
        <v>1160</v>
      </c>
      <c r="B21038" s="68" t="str">
        <f>VLOOKUP(A21038,'Componentes APUs'!$H$1:$L$25,2,0)</f>
        <v>Oficial Eléctrico</v>
      </c>
      <c r="C21038" s="93">
        <v>1</v>
      </c>
      <c r="D21038" s="50">
        <f>VLOOKUP(A21038,'Componentes APUs'!$H$1:$L$25,3,0)</f>
        <v>2</v>
      </c>
      <c r="E21038" s="51">
        <f>VLOOKUP(A21038,'Componentes APUs'!$H$1:$L$25,4,0)</f>
        <v>154619.04761904763</v>
      </c>
      <c r="F21038" s="51">
        <f>VLOOKUP(A21038,'Componentes APUs'!$H$1:$L$25,5,0)</f>
        <v>92771.42857142858</v>
      </c>
      <c r="G21038" s="51">
        <f>ROUNDUP((E21038+F21038)*C21038/E21021,0)</f>
        <v>353415</v>
      </c>
    </row>
    <row r="21039" spans="1:7" x14ac:dyDescent="0.25">
      <c r="A21039" s="50" t="s">
        <v>48</v>
      </c>
      <c r="B21039" s="68" t="str">
        <f>VLOOKUP(A21039,'Componentes APUs'!$H$1:$L$25,2,0)</f>
        <v>Ayudante Calificado</v>
      </c>
      <c r="C21039" s="93">
        <v>1</v>
      </c>
      <c r="D21039" s="50">
        <f>VLOOKUP(A21039,'Componentes APUs'!$H$1:$L$25,3,0)</f>
        <v>1.5</v>
      </c>
      <c r="E21039" s="51">
        <f>VLOOKUP(A21039,'Componentes APUs'!$H$1:$L$25,4,0)</f>
        <v>115964.28571428571</v>
      </c>
      <c r="F21039" s="51">
        <f>VLOOKUP(A21039,'Componentes APUs'!$H$1:$L$25,5,0)</f>
        <v>69578.57142857142</v>
      </c>
      <c r="G21039" s="51">
        <f>ROUNDUP((E21039+F21039)*C21039/E21021,0)</f>
        <v>265062</v>
      </c>
    </row>
    <row r="21040" spans="1:7" x14ac:dyDescent="0.25">
      <c r="A21040" s="50" t="s">
        <v>50</v>
      </c>
      <c r="B21040" s="68" t="str">
        <f>VLOOKUP(A21040,'Componentes APUs'!$H$1:$L$25,2,0)</f>
        <v>Profesional en SST</v>
      </c>
      <c r="C21040" s="93">
        <v>0.25</v>
      </c>
      <c r="D21040" s="50">
        <f>VLOOKUP(A21040,'Componentes APUs'!$H$1:$L$25,3,0)</f>
        <v>2.5</v>
      </c>
      <c r="E21040" s="51">
        <f>VLOOKUP(A21040,'Componentes APUs'!$H$1:$L$25,4,0)</f>
        <v>169464.28571428571</v>
      </c>
      <c r="F21040" s="51">
        <f>VLOOKUP(A21040,'Componentes APUs'!$H$1:$L$25,5,0)</f>
        <v>101678.57142857142</v>
      </c>
      <c r="G21040" s="51">
        <f>ROUNDUP((E21040+F21040)*C21040/E21021,0)</f>
        <v>96837</v>
      </c>
    </row>
    <row r="21041" spans="1:7" x14ac:dyDescent="0.25">
      <c r="A21041" s="50" t="s">
        <v>52</v>
      </c>
      <c r="B21041" s="68" t="str">
        <f>VLOOKUP(A21041,'Componentes APUs'!$H$1:$L$25,2,0)</f>
        <v>Ayudante No Calificado</v>
      </c>
      <c r="C21041" s="93">
        <v>0</v>
      </c>
      <c r="D21041" s="50">
        <f>VLOOKUP(A21041,'Componentes APUs'!$H$1:$L$25,3,0)</f>
        <v>1</v>
      </c>
      <c r="E21041" s="51">
        <f>VLOOKUP(A21041,'Componentes APUs'!$H$1:$L$25,4,0)</f>
        <v>77309.523809523816</v>
      </c>
      <c r="F21041" s="51">
        <f>VLOOKUP(A21041,'Componentes APUs'!$H$1:$L$25,5,0)</f>
        <v>46385.71428571429</v>
      </c>
      <c r="G21041" s="51">
        <f>ROUNDUP((E21041+F21041)*C21041/E21021,0)</f>
        <v>0</v>
      </c>
    </row>
    <row r="21042" spans="1:7" x14ac:dyDescent="0.25">
      <c r="A21042" s="219" t="s">
        <v>56</v>
      </c>
      <c r="B21042" s="219"/>
      <c r="C21042" s="219"/>
      <c r="D21042" s="219"/>
      <c r="E21042" s="219"/>
      <c r="F21042" s="219"/>
      <c r="G21042" s="52">
        <f>SUM(G21036:G21041)</f>
        <v>959343</v>
      </c>
    </row>
    <row r="21043" spans="1:7" x14ac:dyDescent="0.25">
      <c r="A21043" s="56"/>
      <c r="B21043" s="57"/>
      <c r="C21043" s="57"/>
      <c r="D21043" s="57"/>
      <c r="E21043" s="57"/>
      <c r="F21043" s="57"/>
      <c r="G21043" s="58"/>
    </row>
    <row r="21044" spans="1:7" x14ac:dyDescent="0.25">
      <c r="A21044" s="219" t="s">
        <v>57</v>
      </c>
      <c r="B21044" s="219"/>
      <c r="C21044" s="219"/>
      <c r="D21044" s="219"/>
      <c r="E21044" s="219"/>
      <c r="F21044" s="219"/>
      <c r="G21044" s="219"/>
    </row>
    <row r="21045" spans="1:7" x14ac:dyDescent="0.25">
      <c r="A21045" s="49" t="s">
        <v>35</v>
      </c>
      <c r="B21045" s="219" t="s">
        <v>36</v>
      </c>
      <c r="C21045" s="219"/>
      <c r="D21045" s="49" t="s">
        <v>37</v>
      </c>
      <c r="E21045" s="49" t="s">
        <v>38</v>
      </c>
      <c r="F21045" s="49" t="s">
        <v>39</v>
      </c>
      <c r="G21045" s="49" t="s">
        <v>40</v>
      </c>
    </row>
    <row r="21046" spans="1:7" x14ac:dyDescent="0.25">
      <c r="A21046" s="50" t="s">
        <v>326</v>
      </c>
      <c r="B21046" s="220" t="str">
        <f>VLOOKUP(A21046,'Componentes APUs'!$S$1:$V$10,2,0)</f>
        <v>Juego Llaves</v>
      </c>
      <c r="C21046" s="220"/>
      <c r="D21046" s="50" t="s">
        <v>18</v>
      </c>
      <c r="E21046" s="50">
        <v>1</v>
      </c>
      <c r="F21046" s="51">
        <f>VLOOKUP(A21046,'Componentes APUs'!$S$1:$V$10,4,0)</f>
        <v>9167</v>
      </c>
      <c r="G21046" s="51">
        <f>ROUNDUP(F21046*((E21046/21)/E21021),0)</f>
        <v>624</v>
      </c>
    </row>
    <row r="21047" spans="1:7" x14ac:dyDescent="0.25">
      <c r="A21047" s="50" t="s">
        <v>58</v>
      </c>
      <c r="B21047" s="220" t="str">
        <f>VLOOKUP(A21047,'Componentes APUs'!$S$1:$V$10,2,0)</f>
        <v>Manila de servicio</v>
      </c>
      <c r="C21047" s="220"/>
      <c r="D21047" s="50" t="s">
        <v>18</v>
      </c>
      <c r="E21047" s="50">
        <v>0</v>
      </c>
      <c r="F21047" s="51">
        <f>VLOOKUP(A21047,'Componentes APUs'!$S$1:$V$10,4,0)</f>
        <v>2333</v>
      </c>
      <c r="G21047" s="51">
        <f>ROUNDUP(F21047*((E21047/21)/E21021),0)</f>
        <v>0</v>
      </c>
    </row>
    <row r="21048" spans="1:7" x14ac:dyDescent="0.25">
      <c r="A21048" s="50" t="s">
        <v>327</v>
      </c>
      <c r="B21048" s="220" t="str">
        <f>VLOOKUP(A21048,'Componentes APUs'!$S$1:$V$10,2,0)</f>
        <v>Tula portaherramientas</v>
      </c>
      <c r="C21048" s="220"/>
      <c r="D21048" s="50" t="s">
        <v>18</v>
      </c>
      <c r="E21048" s="50">
        <v>1</v>
      </c>
      <c r="F21048" s="51">
        <f>VLOOKUP(A21048,'Componentes APUs'!$S$1:$V$10,4,0)</f>
        <v>1250</v>
      </c>
      <c r="G21048" s="51">
        <f>ROUNDUP(F21048*((E21048/21)/E21021),0)</f>
        <v>86</v>
      </c>
    </row>
    <row r="21049" spans="1:7" x14ac:dyDescent="0.25">
      <c r="A21049" s="50" t="s">
        <v>60</v>
      </c>
      <c r="B21049" s="220" t="str">
        <f>VLOOKUP(A21049,'Componentes APUs'!$S$1:$V$10,2,0)</f>
        <v>Agarradoras</v>
      </c>
      <c r="C21049" s="220"/>
      <c r="D21049" s="50" t="s">
        <v>18</v>
      </c>
      <c r="E21049" s="50">
        <v>0</v>
      </c>
      <c r="F21049" s="51">
        <f>VLOOKUP(A21049,'Componentes APUs'!$S$1:$V$10,4,0)</f>
        <v>125000</v>
      </c>
      <c r="G21049" s="51">
        <f>ROUNDUP(F21049*((E21049/21)/E21021),0)</f>
        <v>0</v>
      </c>
    </row>
    <row r="21050" spans="1:7" x14ac:dyDescent="0.25">
      <c r="A21050" s="50" t="s">
        <v>62</v>
      </c>
      <c r="B21050" s="220" t="str">
        <f>VLOOKUP(A21050,'Componentes APUs'!$S$1:$V$10,2,0)</f>
        <v>Templadoras</v>
      </c>
      <c r="C21050" s="220"/>
      <c r="D21050" s="50" t="s">
        <v>18</v>
      </c>
      <c r="E21050" s="50">
        <v>0</v>
      </c>
      <c r="F21050" s="51">
        <f>VLOOKUP(A21050,'Componentes APUs'!$S$1:$V$10,4,0)</f>
        <v>250000</v>
      </c>
      <c r="G21050" s="51">
        <f>ROUNDUP(F21050*((E21050/21)/E21021),0)</f>
        <v>0</v>
      </c>
    </row>
    <row r="21051" spans="1:7" x14ac:dyDescent="0.25">
      <c r="A21051" s="50" t="s">
        <v>328</v>
      </c>
      <c r="B21051" s="220" t="str">
        <f>VLOOKUP(A21051,'Componentes APUs'!$S$1:$V$10,2,0)</f>
        <v>Herramienta Menor</v>
      </c>
      <c r="C21051" s="220"/>
      <c r="D21051" s="50" t="s">
        <v>18</v>
      </c>
      <c r="E21051" s="50">
        <v>1</v>
      </c>
      <c r="F21051" s="51">
        <f>VLOOKUP(A21051,'Componentes APUs'!$S$1:$V$10,4,0)</f>
        <v>75758</v>
      </c>
      <c r="G21051" s="51">
        <f>ROUNDUP(F21051*((E21051/21)/E21021),0)</f>
        <v>5154</v>
      </c>
    </row>
    <row r="21052" spans="1:7" x14ac:dyDescent="0.25">
      <c r="A21052" s="219" t="s">
        <v>69</v>
      </c>
      <c r="B21052" s="219"/>
      <c r="C21052" s="219"/>
      <c r="D21052" s="219"/>
      <c r="E21052" s="219"/>
      <c r="F21052" s="219"/>
      <c r="G21052" s="52">
        <f>SUM(G21046:G21051)</f>
        <v>5864</v>
      </c>
    </row>
    <row r="21053" spans="1:7" x14ac:dyDescent="0.25">
      <c r="A21053" s="56"/>
      <c r="B21053" s="57"/>
      <c r="C21053" s="57"/>
      <c r="D21053" s="57"/>
      <c r="E21053" s="57"/>
      <c r="F21053" s="57"/>
      <c r="G21053" s="58"/>
    </row>
    <row r="21054" spans="1:7" x14ac:dyDescent="0.25">
      <c r="A21054" s="219" t="s">
        <v>70</v>
      </c>
      <c r="B21054" s="219"/>
      <c r="C21054" s="219"/>
      <c r="D21054" s="219"/>
      <c r="E21054" s="219"/>
      <c r="F21054" s="219"/>
      <c r="G21054" s="219"/>
    </row>
    <row r="21055" spans="1:7" x14ac:dyDescent="0.25">
      <c r="A21055" s="49" t="s">
        <v>35</v>
      </c>
      <c r="B21055" s="225" t="s">
        <v>36</v>
      </c>
      <c r="C21055" s="225"/>
      <c r="D21055" s="49" t="s">
        <v>37</v>
      </c>
      <c r="E21055" s="49" t="s">
        <v>38</v>
      </c>
      <c r="F21055" s="49" t="s">
        <v>39</v>
      </c>
      <c r="G21055" s="49" t="s">
        <v>40</v>
      </c>
    </row>
    <row r="21056" spans="1:7" x14ac:dyDescent="0.25">
      <c r="A21056" s="69" t="s">
        <v>71</v>
      </c>
      <c r="B21056" s="72" t="str">
        <f>VLOOKUP(A21056,'Componentes APUs'!$A$1:$D$14,2,0)</f>
        <v>Camisa indigo sin partes metalicas</v>
      </c>
      <c r="C21056" s="73"/>
      <c r="D21056" s="70" t="str">
        <f>VLOOKUP(A21056,'Componentes APUs'!$A$1:$D$14,3,0)</f>
        <v>U</v>
      </c>
      <c r="E21056" s="50">
        <f>SUM(C21036:C21041)</f>
        <v>2.75</v>
      </c>
      <c r="F21056" s="51">
        <f>VLOOKUP(A21056,'Componentes APUs'!$A$1:$D$14,4,0)</f>
        <v>8585.8585858585866</v>
      </c>
      <c r="G21056" s="51">
        <f>ROUNDUP(F21056*(E21056/21)/E21021,0)</f>
        <v>1607</v>
      </c>
    </row>
    <row r="21057" spans="1:7" x14ac:dyDescent="0.25">
      <c r="A21057" s="69" t="s">
        <v>73</v>
      </c>
      <c r="B21057" s="124" t="str">
        <f>VLOOKUP(A21057,'Componentes APUs'!$A$1:$D$14,2,0)</f>
        <v>Bota de seguridad dielectrica</v>
      </c>
      <c r="C21057" s="125"/>
      <c r="D21057" s="70" t="str">
        <f>VLOOKUP(A21057,'Componentes APUs'!$A$1:$D$14,3,0)</f>
        <v>Par</v>
      </c>
      <c r="E21057" s="50">
        <f>SUM(C21036:C21041)</f>
        <v>2.75</v>
      </c>
      <c r="F21057" s="51">
        <f>VLOOKUP(A21057,'Componentes APUs'!$A$1:$D$14,4,0)</f>
        <v>7500</v>
      </c>
      <c r="G21057" s="51">
        <f>ROUNDUP(F21057*(E21057/21)/E21021,0)</f>
        <v>1404</v>
      </c>
    </row>
    <row r="21058" spans="1:7" x14ac:dyDescent="0.25">
      <c r="A21058" s="50" t="s">
        <v>76</v>
      </c>
      <c r="B21058" s="72" t="str">
        <f>VLOOKUP(A21058,'Componentes APUs'!$A$1:$D$14,2,0)</f>
        <v>Casco dielectrico Tipo 1 Clase E con barbuquejo</v>
      </c>
      <c r="C21058" s="73"/>
      <c r="D21058" s="50" t="str">
        <f>VLOOKUP(A21058,'Componentes APUs'!$A$1:$D$14,3,0)</f>
        <v>U</v>
      </c>
      <c r="E21058" s="50">
        <f>C21041+C21036+C21039+C21040+C21037+IF(A21038&lt;&gt;"MO-3",C21038,0)</f>
        <v>2.75</v>
      </c>
      <c r="F21058" s="51">
        <f>VLOOKUP(A21058,'Componentes APUs'!$A$1:$D$14,4,0)</f>
        <v>10101.010101010101</v>
      </c>
      <c r="G21058" s="51">
        <f>ROUNDUP(F21058*(E21058/21)/E21021,0)</f>
        <v>1890</v>
      </c>
    </row>
    <row r="21059" spans="1:7" x14ac:dyDescent="0.25">
      <c r="A21059" s="69" t="s">
        <v>77</v>
      </c>
      <c r="B21059" s="72" t="str">
        <f>VLOOKUP(A21059,'Componentes APUs'!$A$1:$D$14,2,0)</f>
        <v>Correa plastica y antiflama</v>
      </c>
      <c r="C21059" s="73"/>
      <c r="D21059" s="50" t="str">
        <f>VLOOKUP(A21059,'Componentes APUs'!$A$1:$D$14,3,0)</f>
        <v>U</v>
      </c>
      <c r="E21059" s="50">
        <f>SUM(C21036:C21041)</f>
        <v>2.75</v>
      </c>
      <c r="F21059" s="51">
        <f>VLOOKUP(A21059,'Componentes APUs'!$A$1:$D$14,4,0)</f>
        <v>3787.878787878788</v>
      </c>
      <c r="G21059" s="51">
        <f>ROUNDUP(F21059*(E21059/21)/E21021,0)</f>
        <v>709</v>
      </c>
    </row>
    <row r="21060" spans="1:7" x14ac:dyDescent="0.25">
      <c r="A21060" s="50" t="s">
        <v>79</v>
      </c>
      <c r="B21060" s="72" t="str">
        <f>VLOOKUP(A21060,'Componentes APUs'!$A$1:$D$14,2,0)</f>
        <v>Gafas protectoras filtro UV</v>
      </c>
      <c r="C21060" s="73"/>
      <c r="D21060" s="50" t="str">
        <f>VLOOKUP(A21060,'Componentes APUs'!$A$1:$D$14,3,0)</f>
        <v>U</v>
      </c>
      <c r="E21060" s="50">
        <f>SUM(C21036:C21041)</f>
        <v>2.75</v>
      </c>
      <c r="F21060" s="51">
        <f>VLOOKUP(A21060,'Componentes APUs'!$A$1:$D$14,4,0)</f>
        <v>2777.7777777777778</v>
      </c>
      <c r="G21060" s="51">
        <f>ROUNDUP(F21060*(E21060/21)/E21021,0)</f>
        <v>520</v>
      </c>
    </row>
    <row r="21061" spans="1:7" x14ac:dyDescent="0.25">
      <c r="A21061" s="69" t="s">
        <v>402</v>
      </c>
      <c r="B21061" s="72" t="str">
        <f>VLOOKUP(A21061,'Componentes APUs'!$A$1:$D$14,2,0)</f>
        <v>Bota de seguridad PVC dielectrica</v>
      </c>
      <c r="C21061" s="73"/>
      <c r="D21061" s="50" t="str">
        <f>VLOOKUP(A21061,'Componentes APUs'!$A$1:$D$14,3,0)</f>
        <v>Par</v>
      </c>
      <c r="E21061" s="50">
        <f>SUM(C21036:C21041)</f>
        <v>2.75</v>
      </c>
      <c r="F21061" s="51">
        <f>VLOOKUP(A21061,'Componentes APUs'!$A$1:$D$14,4,0)</f>
        <v>2916.6666666666665</v>
      </c>
      <c r="G21061" s="51">
        <f>ROUNDUP(F21061*(E21061/21)/E21021,0)</f>
        <v>546</v>
      </c>
    </row>
    <row r="21062" spans="1:7" x14ac:dyDescent="0.25">
      <c r="A21062" s="50" t="s">
        <v>403</v>
      </c>
      <c r="B21062" s="72" t="str">
        <f>VLOOKUP(A21062,'Componentes APUs'!$A$1:$D$14,2,0)</f>
        <v>Capuchon</v>
      </c>
      <c r="C21062" s="73"/>
      <c r="D21062" s="50" t="str">
        <f>VLOOKUP(A21062,'Componentes APUs'!$A$1:$D$14,3,0)</f>
        <v>U</v>
      </c>
      <c r="E21062" s="50">
        <f>SUM(C21036:C21041)</f>
        <v>2.75</v>
      </c>
      <c r="F21062" s="51">
        <f>VLOOKUP(A21062,'Componentes APUs'!$A$1:$D$14,4,0)</f>
        <v>2525.2525252525252</v>
      </c>
      <c r="G21062" s="51">
        <f>ROUNDUP(F21062*(E21062/21)/E21021,0)</f>
        <v>473</v>
      </c>
    </row>
    <row r="21063" spans="1:7" x14ac:dyDescent="0.25">
      <c r="A21063" s="69" t="s">
        <v>81</v>
      </c>
      <c r="B21063" s="72" t="str">
        <f>VLOOKUP(A21063,'Componentes APUs'!$A$1:$D$14,2,0)</f>
        <v>Guantes Protectores  - ingeniero reforzados</v>
      </c>
      <c r="C21063" s="73"/>
      <c r="D21063" s="50" t="str">
        <f>VLOOKUP(A21063,'Componentes APUs'!$A$1:$D$14,3,0)</f>
        <v>Par</v>
      </c>
      <c r="E21063" s="50">
        <f>C21038+C21039+C21041</f>
        <v>2</v>
      </c>
      <c r="F21063" s="51">
        <f>VLOOKUP(A21063,'Componentes APUs'!$A$1:$D$14,4,0)</f>
        <v>2525.2525252525252</v>
      </c>
      <c r="G21063" s="51">
        <f>ROUNDUP(F21063*(E21063/21)/E21021,0)</f>
        <v>344</v>
      </c>
    </row>
    <row r="21064" spans="1:7" x14ac:dyDescent="0.25">
      <c r="A21064" s="50" t="s">
        <v>83</v>
      </c>
      <c r="B21064" s="72" t="str">
        <f>VLOOKUP(A21064,'Componentes APUs'!$A$1:$D$14,2,0)</f>
        <v>Impermeable (pantalon camisa)</v>
      </c>
      <c r="C21064" s="73"/>
      <c r="D21064" s="50" t="str">
        <f>VLOOKUP(A21064,'Componentes APUs'!$A$1:$D$14,3,0)</f>
        <v>U</v>
      </c>
      <c r="E21064" s="50">
        <f>SUM(C21036:C21041)</f>
        <v>2.75</v>
      </c>
      <c r="F21064" s="51">
        <f>VLOOKUP(A21064,'Componentes APUs'!$A$1:$D$14,4,0)</f>
        <v>3750</v>
      </c>
      <c r="G21064" s="51">
        <f>ROUNDUP(F21064*(E21064/21)/E21021,0)</f>
        <v>702</v>
      </c>
    </row>
    <row r="21065" spans="1:7" x14ac:dyDescent="0.25">
      <c r="A21065" s="69" t="s">
        <v>85</v>
      </c>
      <c r="B21065" s="72" t="str">
        <f>VLOOKUP(A21065,'Componentes APUs'!$A$1:$D$14,2,0)</f>
        <v>Jean Dielectrico</v>
      </c>
      <c r="C21065" s="73"/>
      <c r="D21065" s="50" t="str">
        <f>VLOOKUP(A21065,'Componentes APUs'!$A$1:$D$14,3,0)</f>
        <v>U</v>
      </c>
      <c r="E21065" s="50">
        <f>SUM(C21036:C21041)</f>
        <v>2.75</v>
      </c>
      <c r="F21065" s="51">
        <f>VLOOKUP(A21065,'Componentes APUs'!$A$1:$D$14,4,0)</f>
        <v>7575.757575757576</v>
      </c>
      <c r="G21065" s="51">
        <f>ROUNDUP(F21065*(E21065/21)/E21021,0)</f>
        <v>1418</v>
      </c>
    </row>
    <row r="21066" spans="1:7" x14ac:dyDescent="0.25">
      <c r="A21066" s="50" t="s">
        <v>87</v>
      </c>
      <c r="B21066" s="72" t="str">
        <f>VLOOKUP(A21066,'Componentes APUs'!$A$1:$D$14,2,0)</f>
        <v>Casco dielectrico Tipo 2 Clase E con barboquejo</v>
      </c>
      <c r="C21066" s="73"/>
      <c r="D21066" s="50" t="str">
        <f>VLOOKUP(A21066,'Componentes APUs'!$A$1:$D$14,3,0)</f>
        <v>U</v>
      </c>
      <c r="E21066" s="53">
        <f>IF(A21038="MO-3",C21038,0)</f>
        <v>0</v>
      </c>
      <c r="F21066" s="51">
        <f>VLOOKUP(A21066,'Componentes APUs'!$A$1:$D$14,4,0)</f>
        <v>7500</v>
      </c>
      <c r="G21066" s="51">
        <f>ROUNDUP(F21066*(E21066/21)/E21021,0)</f>
        <v>0</v>
      </c>
    </row>
    <row r="21067" spans="1:7" x14ac:dyDescent="0.25">
      <c r="A21067" s="69" t="s">
        <v>89</v>
      </c>
      <c r="B21067" s="72" t="str">
        <f>VLOOKUP(A21067,'Componentes APUs'!$A$1:$D$14,2,0)</f>
        <v>Kit de rescate para trabajo en alturas</v>
      </c>
      <c r="C21067" s="73"/>
      <c r="D21067" s="50" t="str">
        <f>VLOOKUP(A21067,'Componentes APUs'!$A$1:$D$14,3,0)</f>
        <v>U</v>
      </c>
      <c r="E21067" s="50">
        <f>IF(AND(A21038="MO-3",C21038=2),1,0)</f>
        <v>0</v>
      </c>
      <c r="F21067" s="51">
        <f>VLOOKUP(A21067,'Componentes APUs'!$A$1:$D$14,4,0)</f>
        <v>37500</v>
      </c>
      <c r="G21067" s="51">
        <f>ROUNDUP(F21067*(E21067/21)/E21021,0)</f>
        <v>0</v>
      </c>
    </row>
    <row r="21068" spans="1:7" x14ac:dyDescent="0.25">
      <c r="A21068" s="50" t="s">
        <v>91</v>
      </c>
      <c r="B21068" s="72" t="str">
        <f>VLOOKUP(A21068,'Componentes APUs'!$A$1:$D$14,2,0)</f>
        <v>Equipo completo para trabajo en alturas con pretales (Arnes dielectrico, 1 mosqueton de seguridad, tie off dielectrico, eslinga de posicionamiento, juego de pretales)</v>
      </c>
      <c r="C21068" s="73"/>
      <c r="D21068" s="50" t="str">
        <f>VLOOKUP(A21068,'Componentes APUs'!$A$1:$D$14,3,0)</f>
        <v>U</v>
      </c>
      <c r="E21068" s="50">
        <f>IF(A21038="MO-3",C21038,0)</f>
        <v>0</v>
      </c>
      <c r="F21068" s="51">
        <f>VLOOKUP(A21068,'Componentes APUs'!$A$1:$D$14,4,0)</f>
        <v>26041.666666666668</v>
      </c>
      <c r="G21068" s="51">
        <f>ROUNDUP(F21068*(E21068/21)/E21021,0)</f>
        <v>0</v>
      </c>
    </row>
    <row r="21069" spans="1:7" x14ac:dyDescent="0.25">
      <c r="A21069" s="219" t="s">
        <v>95</v>
      </c>
      <c r="B21069" s="219"/>
      <c r="C21069" s="219"/>
      <c r="D21069" s="219"/>
      <c r="E21069" s="219"/>
      <c r="F21069" s="219"/>
      <c r="G21069" s="52">
        <f>SUM(G21056:G21068)</f>
        <v>9613</v>
      </c>
    </row>
    <row r="21070" spans="1:7" x14ac:dyDescent="0.25">
      <c r="A21070" s="56"/>
      <c r="B21070" s="57"/>
      <c r="C21070" s="57"/>
      <c r="D21070" s="57"/>
      <c r="E21070" s="57"/>
      <c r="F21070" s="57"/>
      <c r="G21070" s="58"/>
    </row>
    <row r="21071" spans="1:7" x14ac:dyDescent="0.25">
      <c r="A21071" s="219" t="s">
        <v>96</v>
      </c>
      <c r="B21071" s="219"/>
      <c r="C21071" s="219"/>
      <c r="D21071" s="219"/>
      <c r="E21071" s="219"/>
      <c r="F21071" s="219"/>
      <c r="G21071" s="219"/>
    </row>
    <row r="21072" spans="1:7" x14ac:dyDescent="0.25">
      <c r="A21072" s="49" t="s">
        <v>35</v>
      </c>
      <c r="B21072" s="225" t="s">
        <v>36</v>
      </c>
      <c r="C21072" s="225"/>
      <c r="D21072" s="49" t="s">
        <v>37</v>
      </c>
      <c r="E21072" s="49" t="s">
        <v>38</v>
      </c>
      <c r="F21072" s="49" t="s">
        <v>39</v>
      </c>
      <c r="G21072" s="49" t="s">
        <v>40</v>
      </c>
    </row>
    <row r="21073" spans="1:7" x14ac:dyDescent="0.25">
      <c r="A21073" s="69" t="s">
        <v>97</v>
      </c>
      <c r="B21073" s="72" t="str">
        <f>VLOOKUP(A21073,'Componentes APUs'!$N$1:$Q$30,2,0)</f>
        <v>Camioneta</v>
      </c>
      <c r="C21073" s="73"/>
      <c r="D21073" s="70" t="str">
        <f>VLOOKUP(A21073,'Componentes APUs'!$N$1:$Q$30,3,0)</f>
        <v>U</v>
      </c>
      <c r="E21073" s="50">
        <v>1</v>
      </c>
      <c r="F21073" s="51">
        <f>VLOOKUP(A21073,'Componentes APUs'!$N$1:$Q$30,4,0)</f>
        <v>5500000</v>
      </c>
      <c r="G21073" s="51">
        <f>IFERROR(ROUNDUP(F21073*(E21073/21)/E21021,0),0)</f>
        <v>374150</v>
      </c>
    </row>
    <row r="21074" spans="1:7" x14ac:dyDescent="0.25">
      <c r="A21074" s="50" t="s">
        <v>321</v>
      </c>
      <c r="B21074" s="72" t="str">
        <f>VLOOKUP(A21074,'Componentes APUs'!$N$1:$Q$30,2,0)</f>
        <v>Grúa Hidráulica</v>
      </c>
      <c r="C21074" s="73"/>
      <c r="D21074" s="70" t="str">
        <f>VLOOKUP(A21074,'Componentes APUs'!$N$1:$Q$30,3,0)</f>
        <v>U</v>
      </c>
      <c r="E21074" s="50">
        <v>0</v>
      </c>
      <c r="F21074" s="51">
        <f>VLOOKUP(A21074,'Componentes APUs'!$N$1:$Q$30,4,0)</f>
        <v>21000000</v>
      </c>
      <c r="G21074" s="51">
        <f>IFERROR(ROUNDUP(F21074*(E21074/21)/E21021,0),0)</f>
        <v>0</v>
      </c>
    </row>
    <row r="21075" spans="1:7" x14ac:dyDescent="0.25">
      <c r="A21075" s="69" t="s">
        <v>322</v>
      </c>
      <c r="B21075" s="72" t="str">
        <f>VLOOKUP(A21075,'Componentes APUs'!$N$1:$Q$30,2,0)</f>
        <v>Camabaja</v>
      </c>
      <c r="C21075" s="73"/>
      <c r="D21075" s="70" t="str">
        <f>VLOOKUP(A21075,'Componentes APUs'!$N$1:$Q$30,3,0)</f>
        <v>TON/KM</v>
      </c>
      <c r="E21075" s="50">
        <v>0</v>
      </c>
      <c r="F21075" s="51">
        <f>VLOOKUP(A21075,'Componentes APUs'!$N$1:$Q$30,4,0)</f>
        <v>611</v>
      </c>
      <c r="G21075" s="51">
        <f>IFERROR(ROUNDUP(F21075*(E21075/21)/E21021,0),0)</f>
        <v>0</v>
      </c>
    </row>
    <row r="21076" spans="1:7" x14ac:dyDescent="0.25">
      <c r="A21076" s="50" t="s">
        <v>323</v>
      </c>
      <c r="B21076" s="72" t="str">
        <f>VLOOKUP(A21076,'Componentes APUs'!$N$1:$Q$30,2,0)</f>
        <v>Volqueta</v>
      </c>
      <c r="C21076" s="73"/>
      <c r="D21076" s="70" t="str">
        <f>VLOOKUP(A21076,'Componentes APUs'!$N$1:$Q$30,3,0)</f>
        <v>U</v>
      </c>
      <c r="E21076" s="50">
        <v>0</v>
      </c>
      <c r="F21076" s="51">
        <f>VLOOKUP(A21076,'Componentes APUs'!$N$1:$Q$30,4,0)</f>
        <v>14828184</v>
      </c>
      <c r="G21076" s="51">
        <f>IFERROR(ROUNDUP(F21076*(E21076/21)/E21021,0),0)</f>
        <v>0</v>
      </c>
    </row>
    <row r="21077" spans="1:7" x14ac:dyDescent="0.25">
      <c r="A21077" s="69" t="s">
        <v>324</v>
      </c>
      <c r="B21077" s="72" t="str">
        <f>VLOOKUP(A21077,'Componentes APUs'!$N$1:$Q$30,2,0)</f>
        <v>Retroexcavadora</v>
      </c>
      <c r="C21077" s="73"/>
      <c r="D21077" s="70" t="str">
        <f>VLOOKUP(A21077,'Componentes APUs'!$N$1:$Q$30,3,0)</f>
        <v>U</v>
      </c>
      <c r="E21077" s="50">
        <v>0</v>
      </c>
      <c r="F21077" s="51">
        <f>VLOOKUP(A21077,'Componentes APUs'!$N$1:$Q$30,4,0)</f>
        <v>46030656</v>
      </c>
      <c r="G21077" s="51">
        <f>IFERROR(ROUNDUP(F21077*(E21077/21)/E21021,0),0)</f>
        <v>0</v>
      </c>
    </row>
    <row r="21078" spans="1:7" x14ac:dyDescent="0.25">
      <c r="A21078" s="219" t="s">
        <v>99</v>
      </c>
      <c r="B21078" s="219"/>
      <c r="C21078" s="219"/>
      <c r="D21078" s="219"/>
      <c r="E21078" s="219"/>
      <c r="F21078" s="219"/>
      <c r="G21078" s="52">
        <f>SUM(G21073:G21077)</f>
        <v>374150</v>
      </c>
    </row>
    <row r="21079" spans="1:7" x14ac:dyDescent="0.25">
      <c r="A21079" s="56"/>
      <c r="B21079" s="57"/>
      <c r="C21079" s="57"/>
      <c r="D21079" s="57"/>
      <c r="E21079" s="57"/>
      <c r="F21079" s="57"/>
      <c r="G21079" s="58"/>
    </row>
    <row r="21080" spans="1:7" x14ac:dyDescent="0.25">
      <c r="A21080" s="219" t="s">
        <v>1516</v>
      </c>
      <c r="B21080" s="219"/>
      <c r="C21080" s="219"/>
      <c r="D21080" s="219"/>
      <c r="E21080" s="219"/>
      <c r="F21080" s="219"/>
      <c r="G21080" s="52">
        <f>G21078+G21069+G21052+G21042+G21032</f>
        <v>3649840</v>
      </c>
    </row>
    <row r="21081" spans="1:7" x14ac:dyDescent="0.25">
      <c r="A21081" s="59"/>
      <c r="B21081" s="60"/>
      <c r="C21081" s="60"/>
      <c r="D21081" s="60"/>
      <c r="E21081" s="57"/>
      <c r="F21081" s="57"/>
      <c r="G21081" s="58"/>
    </row>
    <row r="21082" spans="1:7" x14ac:dyDescent="0.25">
      <c r="A21082" s="64"/>
      <c r="D21082" s="55"/>
      <c r="E21082" s="49" t="s">
        <v>25</v>
      </c>
      <c r="F21082" s="54">
        <v>0.15</v>
      </c>
      <c r="G21082" s="51">
        <f>G21080*F21082</f>
        <v>547476</v>
      </c>
    </row>
    <row r="21083" spans="1:7" x14ac:dyDescent="0.25">
      <c r="A21083" s="64"/>
      <c r="D21083" s="55"/>
      <c r="E21083" s="49" t="s">
        <v>26</v>
      </c>
      <c r="F21083" s="54">
        <v>0.05</v>
      </c>
      <c r="G21083" s="51">
        <f>G21080*F21083</f>
        <v>182492</v>
      </c>
    </row>
    <row r="21084" spans="1:7" x14ac:dyDescent="0.25">
      <c r="A21084" s="61"/>
      <c r="B21084" s="65"/>
      <c r="C21084" s="65"/>
      <c r="D21084" s="62"/>
      <c r="E21084" s="49" t="s">
        <v>27</v>
      </c>
      <c r="F21084" s="54">
        <v>0.05</v>
      </c>
      <c r="G21084" s="51">
        <f>G21080*F21084</f>
        <v>182492</v>
      </c>
    </row>
    <row r="21085" spans="1:7" x14ac:dyDescent="0.25">
      <c r="A21085" s="61"/>
      <c r="B21085" s="62"/>
      <c r="C21085" s="62"/>
      <c r="D21085" s="62"/>
      <c r="E21085" s="62"/>
      <c r="F21085" s="62"/>
      <c r="G21085" s="63"/>
    </row>
    <row r="21086" spans="1:7" x14ac:dyDescent="0.25">
      <c r="A21086" s="219" t="s">
        <v>1517</v>
      </c>
      <c r="B21086" s="219"/>
      <c r="C21086" s="219"/>
      <c r="D21086" s="219"/>
      <c r="E21086" s="219"/>
      <c r="F21086" s="219"/>
      <c r="G21086" s="52">
        <f>G21080+G21082+G21083+G21084</f>
        <v>4562300</v>
      </c>
    </row>
    <row r="21087" spans="1:7" x14ac:dyDescent="0.25">
      <c r="A21087" s="59"/>
      <c r="B21087" s="60"/>
      <c r="C21087" s="60"/>
      <c r="D21087" s="60"/>
      <c r="E21087" s="57"/>
      <c r="F21087" s="57"/>
      <c r="G21087" s="58"/>
    </row>
    <row r="21088" spans="1:7" x14ac:dyDescent="0.25">
      <c r="A21088" s="64"/>
      <c r="D21088" s="55"/>
      <c r="E21088" s="49" t="s">
        <v>102</v>
      </c>
      <c r="F21088" s="49" t="s">
        <v>103</v>
      </c>
      <c r="G21088" s="51">
        <f>G21084*19%</f>
        <v>34673.480000000003</v>
      </c>
    </row>
    <row r="21089" spans="1:7" x14ac:dyDescent="0.25">
      <c r="A21089" s="61"/>
      <c r="B21089" s="62"/>
      <c r="C21089" s="62"/>
      <c r="D21089" s="62"/>
      <c r="E21089" s="57"/>
      <c r="F21089" s="57"/>
      <c r="G21089" s="58"/>
    </row>
    <row r="21090" spans="1:7" x14ac:dyDescent="0.25">
      <c r="A21090" s="219" t="s">
        <v>104</v>
      </c>
      <c r="B21090" s="219"/>
      <c r="C21090" s="219"/>
      <c r="D21090" s="219"/>
      <c r="E21090" s="219"/>
      <c r="F21090" s="219"/>
      <c r="G21090" s="52">
        <f>G21088+G21086</f>
        <v>4596973.4800000004</v>
      </c>
    </row>
    <row r="21092" spans="1:7" x14ac:dyDescent="0.25">
      <c r="A21092" s="74" t="s">
        <v>29</v>
      </c>
      <c r="B21092" s="237" t="s">
        <v>30</v>
      </c>
      <c r="C21092" s="238"/>
      <c r="D21092" s="74" t="s">
        <v>31</v>
      </c>
      <c r="E21092" s="74" t="s">
        <v>32</v>
      </c>
      <c r="F21092" s="74" t="s">
        <v>189</v>
      </c>
      <c r="G21092" s="74" t="s">
        <v>33</v>
      </c>
    </row>
    <row r="21093" spans="1:7" ht="35.25" customHeight="1" x14ac:dyDescent="0.25">
      <c r="A21093" s="50" t="str">
        <f>Presupuesto!B402</f>
        <v>067_AUX</v>
      </c>
      <c r="B21093" s="220" t="str">
        <f>Presupuesto!C402</f>
        <v>SUMINISTRO E INSTALACIÓN UNIDAD MANEJADORA DE AIRE ACONDICIONADO TIPO CASETTE DE 18000 BTU</v>
      </c>
      <c r="C21093" s="239"/>
      <c r="D21093" s="50" t="s">
        <v>8</v>
      </c>
      <c r="E21093" s="50">
        <v>30</v>
      </c>
      <c r="F21093" s="50"/>
      <c r="G21093" s="51">
        <f>G21162</f>
        <v>1991379.0765000002</v>
      </c>
    </row>
    <row r="21094" spans="1:7" x14ac:dyDescent="0.25">
      <c r="A21094" s="219" t="s">
        <v>34</v>
      </c>
      <c r="B21094" s="219"/>
      <c r="C21094" s="219"/>
      <c r="D21094" s="219"/>
      <c r="E21094" s="219"/>
      <c r="F21094" s="219"/>
      <c r="G21094" s="219"/>
    </row>
    <row r="21095" spans="1:7" x14ac:dyDescent="0.25">
      <c r="A21095" s="49" t="s">
        <v>35</v>
      </c>
      <c r="B21095" s="234" t="s">
        <v>36</v>
      </c>
      <c r="C21095" s="235"/>
      <c r="D21095" s="49" t="s">
        <v>37</v>
      </c>
      <c r="E21095" s="49" t="s">
        <v>38</v>
      </c>
      <c r="F21095" s="49" t="s">
        <v>39</v>
      </c>
      <c r="G21095" s="49" t="s">
        <v>40</v>
      </c>
    </row>
    <row r="21096" spans="1:7" ht="33" customHeight="1" x14ac:dyDescent="0.25">
      <c r="A21096" s="17" t="str">
        <f>Material!A556</f>
        <v>MA-555</v>
      </c>
      <c r="B21096" s="232" t="str">
        <f>IFERROR(VLOOKUP(A21096,Material!$A:$H,2,0),"-")</f>
        <v>UNIDAD MANEJADORA DE AIRE ACONDICIONADO TIPO CASETTE DE 18000 BTU</v>
      </c>
      <c r="C21096" s="233"/>
      <c r="D21096" s="50" t="str">
        <f>IFERROR(VLOOKUP(A21096,Material!$A:$H,4,0),"-")</f>
        <v>UN</v>
      </c>
      <c r="E21096" s="50">
        <v>1</v>
      </c>
      <c r="F21096" s="51">
        <f>IFERROR(VLOOKUP(A21096,Material!$A:$H,3,0),"-")</f>
        <v>1549600</v>
      </c>
      <c r="G21096" s="51">
        <f t="shared" ref="G21096:G21103" si="314">IFERROR(ROUNDUP(F21096*E21096,0),"-")</f>
        <v>1549600</v>
      </c>
    </row>
    <row r="21097" spans="1:7" x14ac:dyDescent="0.25">
      <c r="A21097" s="17"/>
      <c r="B21097" s="72" t="str">
        <f>IFERROR(VLOOKUP(A21097,Material!$A:$H,2,0),"-")</f>
        <v>-</v>
      </c>
      <c r="C21097" s="76"/>
      <c r="D21097" s="50" t="str">
        <f>IFERROR(VLOOKUP(A21097,Material!$A:$H,4,0),"-")</f>
        <v>-</v>
      </c>
      <c r="E21097" s="50"/>
      <c r="F21097" s="51" t="str">
        <f>IFERROR(VLOOKUP(A21097,Material!$A:$H,3,0),"-")</f>
        <v>-</v>
      </c>
      <c r="G21097" s="51" t="str">
        <f t="shared" si="314"/>
        <v>-</v>
      </c>
    </row>
    <row r="21098" spans="1:7" x14ac:dyDescent="0.25">
      <c r="A21098" s="17"/>
      <c r="B21098" s="72" t="str">
        <f>IFERROR(VLOOKUP(A21098,Material!$A:$H,2,0),"-")</f>
        <v>-</v>
      </c>
      <c r="C21098" s="76"/>
      <c r="D21098" s="50" t="str">
        <f>IFERROR(VLOOKUP(A21098,Material!$A:$H,4,0),"-")</f>
        <v>-</v>
      </c>
      <c r="E21098" s="50"/>
      <c r="F21098" s="51" t="str">
        <f>IFERROR(VLOOKUP(A21098,Material!$A:$H,3,0),"-")</f>
        <v>-</v>
      </c>
      <c r="G21098" s="51" t="str">
        <f t="shared" si="314"/>
        <v>-</v>
      </c>
    </row>
    <row r="21099" spans="1:7" x14ac:dyDescent="0.25">
      <c r="A21099" s="17"/>
      <c r="B21099" s="72" t="str">
        <f>IFERROR(VLOOKUP(A21099,Material!$A:$H,2,0),"-")</f>
        <v>-</v>
      </c>
      <c r="C21099" s="76"/>
      <c r="D21099" s="50" t="str">
        <f>IFERROR(VLOOKUP(A21099,Material!$A:$H,4,0),"-")</f>
        <v>-</v>
      </c>
      <c r="E21099" s="50"/>
      <c r="F21099" s="51" t="str">
        <f>IFERROR(VLOOKUP(A21099,Material!$A:$H,3,0),"-")</f>
        <v>-</v>
      </c>
      <c r="G21099" s="51" t="str">
        <f t="shared" si="314"/>
        <v>-</v>
      </c>
    </row>
    <row r="21100" spans="1:7" x14ac:dyDescent="0.25">
      <c r="A21100" s="17"/>
      <c r="B21100" s="72" t="str">
        <f>IFERROR(VLOOKUP(A21100,Material!$A:$H,2,0),"-")</f>
        <v>-</v>
      </c>
      <c r="C21100" s="76"/>
      <c r="D21100" s="50" t="str">
        <f>IFERROR(VLOOKUP(A21100,Material!$A:$H,4,0),"-")</f>
        <v>-</v>
      </c>
      <c r="E21100" s="50"/>
      <c r="F21100" s="51" t="str">
        <f>IFERROR(VLOOKUP(A21100,Material!$A:$H,3,0),"-")</f>
        <v>-</v>
      </c>
      <c r="G21100" s="51" t="str">
        <f t="shared" si="314"/>
        <v>-</v>
      </c>
    </row>
    <row r="21101" spans="1:7" x14ac:dyDescent="0.25">
      <c r="A21101" s="17"/>
      <c r="B21101" s="72" t="str">
        <f>IFERROR(VLOOKUP(A21101,Material!$A:$H,2,0),"-")</f>
        <v>-</v>
      </c>
      <c r="C21101" s="76"/>
      <c r="D21101" s="50" t="str">
        <f>IFERROR(VLOOKUP(A21101,Material!$A:$H,4,0),"-")</f>
        <v>-</v>
      </c>
      <c r="E21101" s="50"/>
      <c r="F21101" s="51" t="str">
        <f>IFERROR(VLOOKUP(A21101,Material!$A:$H,3,0),"-")</f>
        <v>-</v>
      </c>
      <c r="G21101" s="51" t="str">
        <f t="shared" si="314"/>
        <v>-</v>
      </c>
    </row>
    <row r="21102" spans="1:7" x14ac:dyDescent="0.25">
      <c r="A21102" s="17"/>
      <c r="B21102" s="72" t="str">
        <f>IFERROR(VLOOKUP(A21102,Material!$A:$H,2,0),"-")</f>
        <v>-</v>
      </c>
      <c r="C21102" s="76"/>
      <c r="D21102" s="50" t="str">
        <f>IFERROR(VLOOKUP(A21102,Material!$A:$H,4,0),"-")</f>
        <v>-</v>
      </c>
      <c r="E21102" s="50"/>
      <c r="F21102" s="51" t="str">
        <f>IFERROR(VLOOKUP(A21102,Material!$A:$H,3,0),"-")</f>
        <v>-</v>
      </c>
      <c r="G21102" s="51" t="str">
        <f t="shared" si="314"/>
        <v>-</v>
      </c>
    </row>
    <row r="21103" spans="1:7" x14ac:dyDescent="0.25">
      <c r="A21103" s="17"/>
      <c r="B21103" s="72" t="str">
        <f>IFERROR(VLOOKUP(A21103,Material!$A:$H,2,0),"-")</f>
        <v>-</v>
      </c>
      <c r="C21103" s="76"/>
      <c r="D21103" s="50" t="str">
        <f>IFERROR(VLOOKUP(A21103,Material!$A:$H,4,0),"-")</f>
        <v>-</v>
      </c>
      <c r="E21103" s="50"/>
      <c r="F21103" s="51" t="str">
        <f>IFERROR(VLOOKUP(A21103,Material!$A:$H,3,0),"-")</f>
        <v>-</v>
      </c>
      <c r="G21103" s="51" t="str">
        <f t="shared" si="314"/>
        <v>-</v>
      </c>
    </row>
    <row r="21104" spans="1:7" x14ac:dyDescent="0.25">
      <c r="A21104" s="234" t="s">
        <v>41</v>
      </c>
      <c r="B21104" s="236"/>
      <c r="C21104" s="236"/>
      <c r="D21104" s="236"/>
      <c r="E21104" s="236"/>
      <c r="F21104" s="235"/>
      <c r="G21104" s="52">
        <f>SUM(G21096:G21103)</f>
        <v>1549600</v>
      </c>
    </row>
    <row r="21105" spans="1:7" x14ac:dyDescent="0.25">
      <c r="A21105" s="56"/>
      <c r="B21105" s="57"/>
      <c r="C21105" s="57"/>
      <c r="D21105" s="57"/>
      <c r="E21105" s="57"/>
      <c r="F21105" s="57"/>
      <c r="G21105" s="58"/>
    </row>
    <row r="21106" spans="1:7" x14ac:dyDescent="0.25">
      <c r="A21106" s="219" t="s">
        <v>42</v>
      </c>
      <c r="B21106" s="219"/>
      <c r="C21106" s="219"/>
      <c r="D21106" s="219"/>
      <c r="E21106" s="219"/>
      <c r="F21106" s="219"/>
      <c r="G21106" s="219"/>
    </row>
    <row r="21107" spans="1:7" x14ac:dyDescent="0.25">
      <c r="A21107" s="49" t="s">
        <v>35</v>
      </c>
      <c r="B21107" s="49" t="s">
        <v>36</v>
      </c>
      <c r="C21107" s="49" t="s">
        <v>38</v>
      </c>
      <c r="D21107" s="49" t="s">
        <v>43</v>
      </c>
      <c r="E21107" s="49" t="s">
        <v>44</v>
      </c>
      <c r="F21107" s="49" t="s">
        <v>45</v>
      </c>
      <c r="G21107" s="49" t="s">
        <v>40</v>
      </c>
    </row>
    <row r="21108" spans="1:7" x14ac:dyDescent="0.25">
      <c r="A21108" s="50" t="s">
        <v>319</v>
      </c>
      <c r="B21108" s="68" t="str">
        <f>VLOOKUP(A21108,'Componentes APUs'!$H$1:$L$25,2,0)</f>
        <v>Ingeniero Residente de Obra</v>
      </c>
      <c r="C21108" s="93">
        <v>0.25</v>
      </c>
      <c r="D21108" s="50">
        <f>VLOOKUP(A21108,'Componentes APUs'!$H$1:$L$25,3,0)</f>
        <v>4</v>
      </c>
      <c r="E21108" s="51">
        <f>VLOOKUP(A21108,'Componentes APUs'!$H$1:$L$25,4,0)</f>
        <v>271142.85714285716</v>
      </c>
      <c r="F21108" s="51">
        <f>VLOOKUP(A21108,'Componentes APUs'!$H$1:$L$25,5,0)</f>
        <v>162685.71428571429</v>
      </c>
      <c r="G21108" s="51">
        <f>ROUNDUP((E21108+F21108)*C21108/E21093,0)</f>
        <v>3616</v>
      </c>
    </row>
    <row r="21109" spans="1:7" x14ac:dyDescent="0.25">
      <c r="A21109" s="50" t="s">
        <v>320</v>
      </c>
      <c r="B21109" s="68" t="str">
        <f>VLOOKUP(A21109,'Componentes APUs'!$H$1:$L$25,2,0)</f>
        <v>Tecnico Supervisor</v>
      </c>
      <c r="C21109" s="93">
        <v>0.25</v>
      </c>
      <c r="D21109" s="50">
        <f>VLOOKUP(A21109,'Componentes APUs'!$H$1:$L$25,3,0)</f>
        <v>2.2999999999999998</v>
      </c>
      <c r="E21109" s="51">
        <f>VLOOKUP(A21109,'Componentes APUs'!$H$1:$L$25,4,0)</f>
        <v>155907.14285714284</v>
      </c>
      <c r="F21109" s="51">
        <f>VLOOKUP(A21109,'Componentes APUs'!$H$1:$L$25,5,0)</f>
        <v>93544.285714285696</v>
      </c>
      <c r="G21109" s="51">
        <f>ROUNDUP((E21109+F21109)*C21109/E21093,0)</f>
        <v>2079</v>
      </c>
    </row>
    <row r="21110" spans="1:7" x14ac:dyDescent="0.25">
      <c r="A21110" s="50" t="s">
        <v>1160</v>
      </c>
      <c r="B21110" s="68" t="str">
        <f>VLOOKUP(A21110,'Componentes APUs'!$H$1:$L$25,2,0)</f>
        <v>Oficial Eléctrico</v>
      </c>
      <c r="C21110" s="93">
        <v>1</v>
      </c>
      <c r="D21110" s="50">
        <f>VLOOKUP(A21110,'Componentes APUs'!$H$1:$L$25,3,0)</f>
        <v>2</v>
      </c>
      <c r="E21110" s="51">
        <f>VLOOKUP(A21110,'Componentes APUs'!$H$1:$L$25,4,0)</f>
        <v>154619.04761904763</v>
      </c>
      <c r="F21110" s="51">
        <f>VLOOKUP(A21110,'Componentes APUs'!$H$1:$L$25,5,0)</f>
        <v>92771.42857142858</v>
      </c>
      <c r="G21110" s="51">
        <f>ROUNDUP((E21110+F21110)*C21110/E21093,0)</f>
        <v>8247</v>
      </c>
    </row>
    <row r="21111" spans="1:7" x14ac:dyDescent="0.25">
      <c r="A21111" s="50" t="s">
        <v>48</v>
      </c>
      <c r="B21111" s="68" t="str">
        <f>VLOOKUP(A21111,'Componentes APUs'!$H$1:$L$25,2,0)</f>
        <v>Ayudante Calificado</v>
      </c>
      <c r="C21111" s="93">
        <v>1</v>
      </c>
      <c r="D21111" s="50">
        <f>VLOOKUP(A21111,'Componentes APUs'!$H$1:$L$25,3,0)</f>
        <v>1.5</v>
      </c>
      <c r="E21111" s="51">
        <f>VLOOKUP(A21111,'Componentes APUs'!$H$1:$L$25,4,0)</f>
        <v>115964.28571428571</v>
      </c>
      <c r="F21111" s="51">
        <f>VLOOKUP(A21111,'Componentes APUs'!$H$1:$L$25,5,0)</f>
        <v>69578.57142857142</v>
      </c>
      <c r="G21111" s="51">
        <f>ROUNDUP((E21111+F21111)*C21111/E21093,0)</f>
        <v>6185</v>
      </c>
    </row>
    <row r="21112" spans="1:7" x14ac:dyDescent="0.25">
      <c r="A21112" s="50" t="s">
        <v>50</v>
      </c>
      <c r="B21112" s="68" t="str">
        <f>VLOOKUP(A21112,'Componentes APUs'!$H$1:$L$25,2,0)</f>
        <v>Profesional en SST</v>
      </c>
      <c r="C21112" s="93">
        <v>0.25</v>
      </c>
      <c r="D21112" s="50">
        <f>VLOOKUP(A21112,'Componentes APUs'!$H$1:$L$25,3,0)</f>
        <v>2.5</v>
      </c>
      <c r="E21112" s="51">
        <f>VLOOKUP(A21112,'Componentes APUs'!$H$1:$L$25,4,0)</f>
        <v>169464.28571428571</v>
      </c>
      <c r="F21112" s="51">
        <f>VLOOKUP(A21112,'Componentes APUs'!$H$1:$L$25,5,0)</f>
        <v>101678.57142857142</v>
      </c>
      <c r="G21112" s="51">
        <f>ROUNDUP((E21112+F21112)*C21112/E21093,0)</f>
        <v>2260</v>
      </c>
    </row>
    <row r="21113" spans="1:7" x14ac:dyDescent="0.25">
      <c r="A21113" s="50" t="s">
        <v>52</v>
      </c>
      <c r="B21113" s="68" t="str">
        <f>VLOOKUP(A21113,'Componentes APUs'!$H$1:$L$25,2,0)</f>
        <v>Ayudante No Calificado</v>
      </c>
      <c r="C21113" s="93">
        <v>0</v>
      </c>
      <c r="D21113" s="50">
        <f>VLOOKUP(A21113,'Componentes APUs'!$H$1:$L$25,3,0)</f>
        <v>1</v>
      </c>
      <c r="E21113" s="51">
        <f>VLOOKUP(A21113,'Componentes APUs'!$H$1:$L$25,4,0)</f>
        <v>77309.523809523816</v>
      </c>
      <c r="F21113" s="51">
        <f>VLOOKUP(A21113,'Componentes APUs'!$H$1:$L$25,5,0)</f>
        <v>46385.71428571429</v>
      </c>
      <c r="G21113" s="51">
        <f>ROUNDUP((E21113+F21113)*C21113/E21093,0)</f>
        <v>0</v>
      </c>
    </row>
    <row r="21114" spans="1:7" x14ac:dyDescent="0.25">
      <c r="A21114" s="219" t="s">
        <v>56</v>
      </c>
      <c r="B21114" s="219"/>
      <c r="C21114" s="219"/>
      <c r="D21114" s="219"/>
      <c r="E21114" s="219"/>
      <c r="F21114" s="219"/>
      <c r="G21114" s="52">
        <f>SUM(G21108:G21113)</f>
        <v>22387</v>
      </c>
    </row>
    <row r="21115" spans="1:7" x14ac:dyDescent="0.25">
      <c r="A21115" s="56"/>
      <c r="B21115" s="57"/>
      <c r="C21115" s="57"/>
      <c r="D21115" s="57"/>
      <c r="E21115" s="57"/>
      <c r="F21115" s="57"/>
      <c r="G21115" s="58"/>
    </row>
    <row r="21116" spans="1:7" x14ac:dyDescent="0.25">
      <c r="A21116" s="219" t="s">
        <v>57</v>
      </c>
      <c r="B21116" s="219"/>
      <c r="C21116" s="219"/>
      <c r="D21116" s="219"/>
      <c r="E21116" s="219"/>
      <c r="F21116" s="219"/>
      <c r="G21116" s="219"/>
    </row>
    <row r="21117" spans="1:7" x14ac:dyDescent="0.25">
      <c r="A21117" s="49" t="s">
        <v>35</v>
      </c>
      <c r="B21117" s="219" t="s">
        <v>36</v>
      </c>
      <c r="C21117" s="219"/>
      <c r="D21117" s="49" t="s">
        <v>37</v>
      </c>
      <c r="E21117" s="49" t="s">
        <v>38</v>
      </c>
      <c r="F21117" s="49" t="s">
        <v>39</v>
      </c>
      <c r="G21117" s="49" t="s">
        <v>40</v>
      </c>
    </row>
    <row r="21118" spans="1:7" x14ac:dyDescent="0.25">
      <c r="A21118" s="50" t="s">
        <v>326</v>
      </c>
      <c r="B21118" s="220" t="str">
        <f>VLOOKUP(A21118,'Componentes APUs'!$S$1:$V$10,2,0)</f>
        <v>Juego Llaves</v>
      </c>
      <c r="C21118" s="220"/>
      <c r="D21118" s="50" t="s">
        <v>18</v>
      </c>
      <c r="E21118" s="50">
        <v>1</v>
      </c>
      <c r="F21118" s="51">
        <f>VLOOKUP(A21118,'Componentes APUs'!$S$1:$V$10,4,0)</f>
        <v>9167</v>
      </c>
      <c r="G21118" s="51">
        <f>ROUNDUP(F21118*((E21118/21)/E21093),0)</f>
        <v>15</v>
      </c>
    </row>
    <row r="21119" spans="1:7" x14ac:dyDescent="0.25">
      <c r="A21119" s="50" t="s">
        <v>58</v>
      </c>
      <c r="B21119" s="220" t="str">
        <f>VLOOKUP(A21119,'Componentes APUs'!$S$1:$V$10,2,0)</f>
        <v>Manila de servicio</v>
      </c>
      <c r="C21119" s="220"/>
      <c r="D21119" s="50" t="s">
        <v>18</v>
      </c>
      <c r="E21119" s="50">
        <v>0</v>
      </c>
      <c r="F21119" s="51">
        <f>VLOOKUP(A21119,'Componentes APUs'!$S$1:$V$10,4,0)</f>
        <v>2333</v>
      </c>
      <c r="G21119" s="51">
        <f>ROUNDUP(F21119*((E21119/21)/E21093),0)</f>
        <v>0</v>
      </c>
    </row>
    <row r="21120" spans="1:7" x14ac:dyDescent="0.25">
      <c r="A21120" s="50" t="s">
        <v>327</v>
      </c>
      <c r="B21120" s="220" t="str">
        <f>VLOOKUP(A21120,'Componentes APUs'!$S$1:$V$10,2,0)</f>
        <v>Tula portaherramientas</v>
      </c>
      <c r="C21120" s="220"/>
      <c r="D21120" s="50" t="s">
        <v>18</v>
      </c>
      <c r="E21120" s="50">
        <v>1</v>
      </c>
      <c r="F21120" s="51">
        <f>VLOOKUP(A21120,'Componentes APUs'!$S$1:$V$10,4,0)</f>
        <v>1250</v>
      </c>
      <c r="G21120" s="51">
        <f>ROUNDUP(F21120*((E21120/21)/E21093),0)</f>
        <v>2</v>
      </c>
    </row>
    <row r="21121" spans="1:7" x14ac:dyDescent="0.25">
      <c r="A21121" s="50" t="s">
        <v>60</v>
      </c>
      <c r="B21121" s="220" t="str">
        <f>VLOOKUP(A21121,'Componentes APUs'!$S$1:$V$10,2,0)</f>
        <v>Agarradoras</v>
      </c>
      <c r="C21121" s="220"/>
      <c r="D21121" s="50" t="s">
        <v>18</v>
      </c>
      <c r="E21121" s="50">
        <v>0</v>
      </c>
      <c r="F21121" s="51">
        <f>VLOOKUP(A21121,'Componentes APUs'!$S$1:$V$10,4,0)</f>
        <v>125000</v>
      </c>
      <c r="G21121" s="51">
        <f>ROUNDUP(F21121*((E21121/21)/E21093),0)</f>
        <v>0</v>
      </c>
    </row>
    <row r="21122" spans="1:7" x14ac:dyDescent="0.25">
      <c r="A21122" s="50" t="s">
        <v>62</v>
      </c>
      <c r="B21122" s="220" t="str">
        <f>VLOOKUP(A21122,'Componentes APUs'!$S$1:$V$10,2,0)</f>
        <v>Templadoras</v>
      </c>
      <c r="C21122" s="220"/>
      <c r="D21122" s="50" t="s">
        <v>18</v>
      </c>
      <c r="E21122" s="50">
        <v>0</v>
      </c>
      <c r="F21122" s="51">
        <f>VLOOKUP(A21122,'Componentes APUs'!$S$1:$V$10,4,0)</f>
        <v>250000</v>
      </c>
      <c r="G21122" s="51">
        <f>ROUNDUP(F21122*((E21122/21)/E21093),0)</f>
        <v>0</v>
      </c>
    </row>
    <row r="21123" spans="1:7" x14ac:dyDescent="0.25">
      <c r="A21123" s="50" t="s">
        <v>328</v>
      </c>
      <c r="B21123" s="220" t="str">
        <f>VLOOKUP(A21123,'Componentes APUs'!$S$1:$V$10,2,0)</f>
        <v>Herramienta Menor</v>
      </c>
      <c r="C21123" s="220"/>
      <c r="D21123" s="50" t="s">
        <v>18</v>
      </c>
      <c r="E21123" s="50">
        <v>1</v>
      </c>
      <c r="F21123" s="51">
        <f>VLOOKUP(A21123,'Componentes APUs'!$S$1:$V$10,4,0)</f>
        <v>75758</v>
      </c>
      <c r="G21123" s="51">
        <f>ROUNDUP(F21123*((E21123/21)/E21093),0)</f>
        <v>121</v>
      </c>
    </row>
    <row r="21124" spans="1:7" x14ac:dyDescent="0.25">
      <c r="A21124" s="219" t="s">
        <v>69</v>
      </c>
      <c r="B21124" s="219"/>
      <c r="C21124" s="219"/>
      <c r="D21124" s="219"/>
      <c r="E21124" s="219"/>
      <c r="F21124" s="219"/>
      <c r="G21124" s="52">
        <f>SUM(G21118:G21123)</f>
        <v>138</v>
      </c>
    </row>
    <row r="21125" spans="1:7" x14ac:dyDescent="0.25">
      <c r="A21125" s="56"/>
      <c r="B21125" s="57"/>
      <c r="C21125" s="57"/>
      <c r="D21125" s="57"/>
      <c r="E21125" s="57"/>
      <c r="F21125" s="57"/>
      <c r="G21125" s="58"/>
    </row>
    <row r="21126" spans="1:7" x14ac:dyDescent="0.25">
      <c r="A21126" s="219" t="s">
        <v>70</v>
      </c>
      <c r="B21126" s="219"/>
      <c r="C21126" s="219"/>
      <c r="D21126" s="219"/>
      <c r="E21126" s="219"/>
      <c r="F21126" s="219"/>
      <c r="G21126" s="219"/>
    </row>
    <row r="21127" spans="1:7" x14ac:dyDescent="0.25">
      <c r="A21127" s="49" t="s">
        <v>35</v>
      </c>
      <c r="B21127" s="225" t="s">
        <v>36</v>
      </c>
      <c r="C21127" s="225"/>
      <c r="D21127" s="49" t="s">
        <v>37</v>
      </c>
      <c r="E21127" s="49" t="s">
        <v>38</v>
      </c>
      <c r="F21127" s="49" t="s">
        <v>39</v>
      </c>
      <c r="G21127" s="49" t="s">
        <v>40</v>
      </c>
    </row>
    <row r="21128" spans="1:7" x14ac:dyDescent="0.25">
      <c r="A21128" s="69" t="s">
        <v>71</v>
      </c>
      <c r="B21128" s="72" t="str">
        <f>VLOOKUP(A21128,'Componentes APUs'!$A$1:$D$14,2,0)</f>
        <v>Camisa indigo sin partes metalicas</v>
      </c>
      <c r="C21128" s="73"/>
      <c r="D21128" s="70" t="str">
        <f>VLOOKUP(A21128,'Componentes APUs'!$A$1:$D$14,3,0)</f>
        <v>U</v>
      </c>
      <c r="E21128" s="50">
        <f>SUM(C21108:C21113)</f>
        <v>2.75</v>
      </c>
      <c r="F21128" s="51">
        <f>VLOOKUP(A21128,'Componentes APUs'!$A$1:$D$14,4,0)</f>
        <v>8585.8585858585866</v>
      </c>
      <c r="G21128" s="51">
        <f>ROUNDUP(F21128*(E21128/21)/E21093,0)</f>
        <v>38</v>
      </c>
    </row>
    <row r="21129" spans="1:7" x14ac:dyDescent="0.25">
      <c r="A21129" s="69" t="s">
        <v>73</v>
      </c>
      <c r="B21129" s="124" t="str">
        <f>VLOOKUP(A21129,'Componentes APUs'!$A$1:$D$14,2,0)</f>
        <v>Bota de seguridad dielectrica</v>
      </c>
      <c r="C21129" s="125"/>
      <c r="D21129" s="70" t="str">
        <f>VLOOKUP(A21129,'Componentes APUs'!$A$1:$D$14,3,0)</f>
        <v>Par</v>
      </c>
      <c r="E21129" s="50">
        <f>SUM(C21108:C21113)</f>
        <v>2.75</v>
      </c>
      <c r="F21129" s="51">
        <f>VLOOKUP(A21129,'Componentes APUs'!$A$1:$D$14,4,0)</f>
        <v>7500</v>
      </c>
      <c r="G21129" s="51">
        <f>ROUNDUP(F21129*(E21129/21)/E21093,0)</f>
        <v>33</v>
      </c>
    </row>
    <row r="21130" spans="1:7" x14ac:dyDescent="0.25">
      <c r="A21130" s="50" t="s">
        <v>76</v>
      </c>
      <c r="B21130" s="72" t="str">
        <f>VLOOKUP(A21130,'Componentes APUs'!$A$1:$D$14,2,0)</f>
        <v>Casco dielectrico Tipo 1 Clase E con barbuquejo</v>
      </c>
      <c r="C21130" s="73"/>
      <c r="D21130" s="50" t="str">
        <f>VLOOKUP(A21130,'Componentes APUs'!$A$1:$D$14,3,0)</f>
        <v>U</v>
      </c>
      <c r="E21130" s="50">
        <f>C21113+C21108+C21111+C21112+C21109+IF(A21110&lt;&gt;"MO-3",C21110,0)</f>
        <v>2.75</v>
      </c>
      <c r="F21130" s="51">
        <f>VLOOKUP(A21130,'Componentes APUs'!$A$1:$D$14,4,0)</f>
        <v>10101.010101010101</v>
      </c>
      <c r="G21130" s="51">
        <f>ROUNDUP(F21130*(E21130/21)/E21093,0)</f>
        <v>45</v>
      </c>
    </row>
    <row r="21131" spans="1:7" x14ac:dyDescent="0.25">
      <c r="A21131" s="69" t="s">
        <v>77</v>
      </c>
      <c r="B21131" s="72" t="str">
        <f>VLOOKUP(A21131,'Componentes APUs'!$A$1:$D$14,2,0)</f>
        <v>Correa plastica y antiflama</v>
      </c>
      <c r="C21131" s="73"/>
      <c r="D21131" s="50" t="str">
        <f>VLOOKUP(A21131,'Componentes APUs'!$A$1:$D$14,3,0)</f>
        <v>U</v>
      </c>
      <c r="E21131" s="50">
        <f>SUM(C21108:C21113)</f>
        <v>2.75</v>
      </c>
      <c r="F21131" s="51">
        <f>VLOOKUP(A21131,'Componentes APUs'!$A$1:$D$14,4,0)</f>
        <v>3787.878787878788</v>
      </c>
      <c r="G21131" s="51">
        <f>ROUNDUP(F21131*(E21131/21)/E21093,0)</f>
        <v>17</v>
      </c>
    </row>
    <row r="21132" spans="1:7" x14ac:dyDescent="0.25">
      <c r="A21132" s="50" t="s">
        <v>79</v>
      </c>
      <c r="B21132" s="72" t="str">
        <f>VLOOKUP(A21132,'Componentes APUs'!$A$1:$D$14,2,0)</f>
        <v>Gafas protectoras filtro UV</v>
      </c>
      <c r="C21132" s="73"/>
      <c r="D21132" s="50" t="str">
        <f>VLOOKUP(A21132,'Componentes APUs'!$A$1:$D$14,3,0)</f>
        <v>U</v>
      </c>
      <c r="E21132" s="50">
        <f>SUM(C21108:C21113)</f>
        <v>2.75</v>
      </c>
      <c r="F21132" s="51">
        <f>VLOOKUP(A21132,'Componentes APUs'!$A$1:$D$14,4,0)</f>
        <v>2777.7777777777778</v>
      </c>
      <c r="G21132" s="51">
        <f>ROUNDUP(F21132*(E21132/21)/E21093,0)</f>
        <v>13</v>
      </c>
    </row>
    <row r="21133" spans="1:7" x14ac:dyDescent="0.25">
      <c r="A21133" s="69" t="s">
        <v>402</v>
      </c>
      <c r="B21133" s="72" t="str">
        <f>VLOOKUP(A21133,'Componentes APUs'!$A$1:$D$14,2,0)</f>
        <v>Bota de seguridad PVC dielectrica</v>
      </c>
      <c r="C21133" s="73"/>
      <c r="D21133" s="50" t="str">
        <f>VLOOKUP(A21133,'Componentes APUs'!$A$1:$D$14,3,0)</f>
        <v>Par</v>
      </c>
      <c r="E21133" s="50">
        <f>SUM(C21108:C21113)</f>
        <v>2.75</v>
      </c>
      <c r="F21133" s="51">
        <f>VLOOKUP(A21133,'Componentes APUs'!$A$1:$D$14,4,0)</f>
        <v>2916.6666666666665</v>
      </c>
      <c r="G21133" s="51">
        <f>ROUNDUP(F21133*(E21133/21)/E21093,0)</f>
        <v>13</v>
      </c>
    </row>
    <row r="21134" spans="1:7" x14ac:dyDescent="0.25">
      <c r="A21134" s="50" t="s">
        <v>403</v>
      </c>
      <c r="B21134" s="72" t="str">
        <f>VLOOKUP(A21134,'Componentes APUs'!$A$1:$D$14,2,0)</f>
        <v>Capuchon</v>
      </c>
      <c r="C21134" s="73"/>
      <c r="D21134" s="50" t="str">
        <f>VLOOKUP(A21134,'Componentes APUs'!$A$1:$D$14,3,0)</f>
        <v>U</v>
      </c>
      <c r="E21134" s="50">
        <f>SUM(C21108:C21113)</f>
        <v>2.75</v>
      </c>
      <c r="F21134" s="51">
        <f>VLOOKUP(A21134,'Componentes APUs'!$A$1:$D$14,4,0)</f>
        <v>2525.2525252525252</v>
      </c>
      <c r="G21134" s="51">
        <f>ROUNDUP(F21134*(E21134/21)/E21093,0)</f>
        <v>12</v>
      </c>
    </row>
    <row r="21135" spans="1:7" x14ac:dyDescent="0.25">
      <c r="A21135" s="69" t="s">
        <v>81</v>
      </c>
      <c r="B21135" s="72" t="str">
        <f>VLOOKUP(A21135,'Componentes APUs'!$A$1:$D$14,2,0)</f>
        <v>Guantes Protectores  - ingeniero reforzados</v>
      </c>
      <c r="C21135" s="73"/>
      <c r="D21135" s="50" t="str">
        <f>VLOOKUP(A21135,'Componentes APUs'!$A$1:$D$14,3,0)</f>
        <v>Par</v>
      </c>
      <c r="E21135" s="50">
        <f>C21110+C21111+C21113</f>
        <v>2</v>
      </c>
      <c r="F21135" s="51">
        <f>VLOOKUP(A21135,'Componentes APUs'!$A$1:$D$14,4,0)</f>
        <v>2525.2525252525252</v>
      </c>
      <c r="G21135" s="51">
        <f>ROUNDUP(F21135*(E21135/21)/E21093,0)</f>
        <v>9</v>
      </c>
    </row>
    <row r="21136" spans="1:7" x14ac:dyDescent="0.25">
      <c r="A21136" s="50" t="s">
        <v>83</v>
      </c>
      <c r="B21136" s="72" t="str">
        <f>VLOOKUP(A21136,'Componentes APUs'!$A$1:$D$14,2,0)</f>
        <v>Impermeable (pantalon camisa)</v>
      </c>
      <c r="C21136" s="73"/>
      <c r="D21136" s="50" t="str">
        <f>VLOOKUP(A21136,'Componentes APUs'!$A$1:$D$14,3,0)</f>
        <v>U</v>
      </c>
      <c r="E21136" s="50">
        <f>SUM(C21108:C21113)</f>
        <v>2.75</v>
      </c>
      <c r="F21136" s="51">
        <f>VLOOKUP(A21136,'Componentes APUs'!$A$1:$D$14,4,0)</f>
        <v>3750</v>
      </c>
      <c r="G21136" s="51">
        <f>ROUNDUP(F21136*(E21136/21)/E21093,0)</f>
        <v>17</v>
      </c>
    </row>
    <row r="21137" spans="1:7" x14ac:dyDescent="0.25">
      <c r="A21137" s="69" t="s">
        <v>85</v>
      </c>
      <c r="B21137" s="72" t="str">
        <f>VLOOKUP(A21137,'Componentes APUs'!$A$1:$D$14,2,0)</f>
        <v>Jean Dielectrico</v>
      </c>
      <c r="C21137" s="73"/>
      <c r="D21137" s="50" t="str">
        <f>VLOOKUP(A21137,'Componentes APUs'!$A$1:$D$14,3,0)</f>
        <v>U</v>
      </c>
      <c r="E21137" s="50">
        <f>SUM(C21108:C21113)</f>
        <v>2.75</v>
      </c>
      <c r="F21137" s="51">
        <f>VLOOKUP(A21137,'Componentes APUs'!$A$1:$D$14,4,0)</f>
        <v>7575.757575757576</v>
      </c>
      <c r="G21137" s="51">
        <f>ROUNDUP(F21137*(E21137/21)/E21093,0)</f>
        <v>34</v>
      </c>
    </row>
    <row r="21138" spans="1:7" x14ac:dyDescent="0.25">
      <c r="A21138" s="50" t="s">
        <v>87</v>
      </c>
      <c r="B21138" s="72" t="str">
        <f>VLOOKUP(A21138,'Componentes APUs'!$A$1:$D$14,2,0)</f>
        <v>Casco dielectrico Tipo 2 Clase E con barboquejo</v>
      </c>
      <c r="C21138" s="73"/>
      <c r="D21138" s="50" t="str">
        <f>VLOOKUP(A21138,'Componentes APUs'!$A$1:$D$14,3,0)</f>
        <v>U</v>
      </c>
      <c r="E21138" s="53">
        <f>IF(A21110="MO-3",C21110,0)</f>
        <v>0</v>
      </c>
      <c r="F21138" s="51">
        <f>VLOOKUP(A21138,'Componentes APUs'!$A$1:$D$14,4,0)</f>
        <v>7500</v>
      </c>
      <c r="G21138" s="51">
        <f>ROUNDUP(F21138*(E21138/21)/E21093,0)</f>
        <v>0</v>
      </c>
    </row>
    <row r="21139" spans="1:7" x14ac:dyDescent="0.25">
      <c r="A21139" s="69" t="s">
        <v>89</v>
      </c>
      <c r="B21139" s="72" t="str">
        <f>VLOOKUP(A21139,'Componentes APUs'!$A$1:$D$14,2,0)</f>
        <v>Kit de rescate para trabajo en alturas</v>
      </c>
      <c r="C21139" s="73"/>
      <c r="D21139" s="50" t="str">
        <f>VLOOKUP(A21139,'Componentes APUs'!$A$1:$D$14,3,0)</f>
        <v>U</v>
      </c>
      <c r="E21139" s="50">
        <f>IF(AND(A21110="MO-3",C21110=2),1,0)</f>
        <v>0</v>
      </c>
      <c r="F21139" s="51">
        <f>VLOOKUP(A21139,'Componentes APUs'!$A$1:$D$14,4,0)</f>
        <v>37500</v>
      </c>
      <c r="G21139" s="51">
        <f>ROUNDUP(F21139*(E21139/21)/E21093,0)</f>
        <v>0</v>
      </c>
    </row>
    <row r="21140" spans="1:7" x14ac:dyDescent="0.25">
      <c r="A21140" s="50" t="s">
        <v>91</v>
      </c>
      <c r="B21140" s="72" t="str">
        <f>VLOOKUP(A21140,'Componentes APUs'!$A$1:$D$14,2,0)</f>
        <v>Equipo completo para trabajo en alturas con pretales (Arnes dielectrico, 1 mosqueton de seguridad, tie off dielectrico, eslinga de posicionamiento, juego de pretales)</v>
      </c>
      <c r="C21140" s="73"/>
      <c r="D21140" s="50" t="str">
        <f>VLOOKUP(A21140,'Componentes APUs'!$A$1:$D$14,3,0)</f>
        <v>U</v>
      </c>
      <c r="E21140" s="50">
        <f>IF(A21110="MO-3",C21110,0)</f>
        <v>0</v>
      </c>
      <c r="F21140" s="51">
        <f>VLOOKUP(A21140,'Componentes APUs'!$A$1:$D$14,4,0)</f>
        <v>26041.666666666668</v>
      </c>
      <c r="G21140" s="51">
        <f>ROUNDUP(F21140*(E21140/21)/E21093,0)</f>
        <v>0</v>
      </c>
    </row>
    <row r="21141" spans="1:7" x14ac:dyDescent="0.25">
      <c r="A21141" s="219" t="s">
        <v>95</v>
      </c>
      <c r="B21141" s="219"/>
      <c r="C21141" s="219"/>
      <c r="D21141" s="219"/>
      <c r="E21141" s="219"/>
      <c r="F21141" s="219"/>
      <c r="G21141" s="52">
        <f>SUM(G21128:G21140)</f>
        <v>231</v>
      </c>
    </row>
    <row r="21142" spans="1:7" x14ac:dyDescent="0.25">
      <c r="A21142" s="56"/>
      <c r="B21142" s="57"/>
      <c r="C21142" s="57"/>
      <c r="D21142" s="57"/>
      <c r="E21142" s="57"/>
      <c r="F21142" s="57"/>
      <c r="G21142" s="58"/>
    </row>
    <row r="21143" spans="1:7" x14ac:dyDescent="0.25">
      <c r="A21143" s="219" t="s">
        <v>96</v>
      </c>
      <c r="B21143" s="219"/>
      <c r="C21143" s="219"/>
      <c r="D21143" s="219"/>
      <c r="E21143" s="219"/>
      <c r="F21143" s="219"/>
      <c r="G21143" s="219"/>
    </row>
    <row r="21144" spans="1:7" x14ac:dyDescent="0.25">
      <c r="A21144" s="49" t="s">
        <v>35</v>
      </c>
      <c r="B21144" s="225" t="s">
        <v>36</v>
      </c>
      <c r="C21144" s="225"/>
      <c r="D21144" s="49" t="s">
        <v>37</v>
      </c>
      <c r="E21144" s="49" t="s">
        <v>38</v>
      </c>
      <c r="F21144" s="49" t="s">
        <v>39</v>
      </c>
      <c r="G21144" s="49" t="s">
        <v>40</v>
      </c>
    </row>
    <row r="21145" spans="1:7" x14ac:dyDescent="0.25">
      <c r="A21145" s="69" t="s">
        <v>97</v>
      </c>
      <c r="B21145" s="72" t="str">
        <f>VLOOKUP(A21145,'Componentes APUs'!$N$1:$Q$30,2,0)</f>
        <v>Camioneta</v>
      </c>
      <c r="C21145" s="73"/>
      <c r="D21145" s="70" t="str">
        <f>VLOOKUP(A21145,'Componentes APUs'!$N$1:$Q$30,3,0)</f>
        <v>U</v>
      </c>
      <c r="E21145" s="50">
        <v>1</v>
      </c>
      <c r="F21145" s="51">
        <f>VLOOKUP(A21145,'Componentes APUs'!$N$1:$Q$30,4,0)</f>
        <v>5500000</v>
      </c>
      <c r="G21145" s="51">
        <f>IFERROR(ROUNDUP(F21145*(E21145/21)/E21093,0),0)</f>
        <v>8731</v>
      </c>
    </row>
    <row r="21146" spans="1:7" x14ac:dyDescent="0.25">
      <c r="A21146" s="50" t="s">
        <v>321</v>
      </c>
      <c r="B21146" s="72" t="str">
        <f>VLOOKUP(A21146,'Componentes APUs'!$N$1:$Q$30,2,0)</f>
        <v>Grúa Hidráulica</v>
      </c>
      <c r="C21146" s="73"/>
      <c r="D21146" s="70" t="str">
        <f>VLOOKUP(A21146,'Componentes APUs'!$N$1:$Q$30,3,0)</f>
        <v>U</v>
      </c>
      <c r="E21146" s="50">
        <v>0</v>
      </c>
      <c r="F21146" s="51">
        <f>VLOOKUP(A21146,'Componentes APUs'!$N$1:$Q$30,4,0)</f>
        <v>21000000</v>
      </c>
      <c r="G21146" s="51">
        <f>IFERROR(ROUNDUP(F21146*(E21146/21)/E21093,0),0)</f>
        <v>0</v>
      </c>
    </row>
    <row r="21147" spans="1:7" x14ac:dyDescent="0.25">
      <c r="A21147" s="69" t="s">
        <v>322</v>
      </c>
      <c r="B21147" s="72" t="str">
        <f>VLOOKUP(A21147,'Componentes APUs'!$N$1:$Q$30,2,0)</f>
        <v>Camabaja</v>
      </c>
      <c r="C21147" s="73"/>
      <c r="D21147" s="70" t="str">
        <f>VLOOKUP(A21147,'Componentes APUs'!$N$1:$Q$30,3,0)</f>
        <v>TON/KM</v>
      </c>
      <c r="E21147" s="50">
        <v>0</v>
      </c>
      <c r="F21147" s="51">
        <f>VLOOKUP(A21147,'Componentes APUs'!$N$1:$Q$30,4,0)</f>
        <v>611</v>
      </c>
      <c r="G21147" s="51">
        <f>IFERROR(ROUNDUP(F21147*(E21147/21)/E21093,0),0)</f>
        <v>0</v>
      </c>
    </row>
    <row r="21148" spans="1:7" x14ac:dyDescent="0.25">
      <c r="A21148" s="50" t="s">
        <v>323</v>
      </c>
      <c r="B21148" s="72" t="str">
        <f>VLOOKUP(A21148,'Componentes APUs'!$N$1:$Q$30,2,0)</f>
        <v>Volqueta</v>
      </c>
      <c r="C21148" s="73"/>
      <c r="D21148" s="70" t="str">
        <f>VLOOKUP(A21148,'Componentes APUs'!$N$1:$Q$30,3,0)</f>
        <v>U</v>
      </c>
      <c r="E21148" s="50">
        <v>0</v>
      </c>
      <c r="F21148" s="51">
        <f>VLOOKUP(A21148,'Componentes APUs'!$N$1:$Q$30,4,0)</f>
        <v>14828184</v>
      </c>
      <c r="G21148" s="51">
        <f>IFERROR(ROUNDUP(F21148*(E21148/21)/E21093,0),0)</f>
        <v>0</v>
      </c>
    </row>
    <row r="21149" spans="1:7" x14ac:dyDescent="0.25">
      <c r="A21149" s="69" t="s">
        <v>324</v>
      </c>
      <c r="B21149" s="72" t="str">
        <f>VLOOKUP(A21149,'Componentes APUs'!$N$1:$Q$30,2,0)</f>
        <v>Retroexcavadora</v>
      </c>
      <c r="C21149" s="73"/>
      <c r="D21149" s="70" t="str">
        <f>VLOOKUP(A21149,'Componentes APUs'!$N$1:$Q$30,3,0)</f>
        <v>U</v>
      </c>
      <c r="E21149" s="50">
        <v>0</v>
      </c>
      <c r="F21149" s="51">
        <f>VLOOKUP(A21149,'Componentes APUs'!$N$1:$Q$30,4,0)</f>
        <v>46030656</v>
      </c>
      <c r="G21149" s="51">
        <f>IFERROR(ROUNDUP(F21149*(E21149/21)/E21093,0),0)</f>
        <v>0</v>
      </c>
    </row>
    <row r="21150" spans="1:7" x14ac:dyDescent="0.25">
      <c r="A21150" s="219" t="s">
        <v>99</v>
      </c>
      <c r="B21150" s="219"/>
      <c r="C21150" s="219"/>
      <c r="D21150" s="219"/>
      <c r="E21150" s="219"/>
      <c r="F21150" s="219"/>
      <c r="G21150" s="52">
        <f>SUM(G21145:G21149)</f>
        <v>8731</v>
      </c>
    </row>
    <row r="21151" spans="1:7" x14ac:dyDescent="0.25">
      <c r="A21151" s="56"/>
      <c r="B21151" s="57"/>
      <c r="C21151" s="57"/>
      <c r="D21151" s="57"/>
      <c r="E21151" s="57"/>
      <c r="F21151" s="57"/>
      <c r="G21151" s="58"/>
    </row>
    <row r="21152" spans="1:7" x14ac:dyDescent="0.25">
      <c r="A21152" s="219" t="s">
        <v>1516</v>
      </c>
      <c r="B21152" s="219"/>
      <c r="C21152" s="219"/>
      <c r="D21152" s="219"/>
      <c r="E21152" s="219"/>
      <c r="F21152" s="219"/>
      <c r="G21152" s="52">
        <f>G21150+G21141+G21124+G21114+G21104</f>
        <v>1581087</v>
      </c>
    </row>
    <row r="21153" spans="1:7" x14ac:dyDescent="0.25">
      <c r="A21153" s="59"/>
      <c r="B21153" s="60"/>
      <c r="C21153" s="60"/>
      <c r="D21153" s="60"/>
      <c r="E21153" s="57"/>
      <c r="F21153" s="57"/>
      <c r="G21153" s="58"/>
    </row>
    <row r="21154" spans="1:7" x14ac:dyDescent="0.25">
      <c r="A21154" s="64"/>
      <c r="D21154" s="55"/>
      <c r="E21154" s="49" t="s">
        <v>25</v>
      </c>
      <c r="F21154" s="54">
        <v>0.15</v>
      </c>
      <c r="G21154" s="51">
        <f>G21152*F21154</f>
        <v>237163.05</v>
      </c>
    </row>
    <row r="21155" spans="1:7" x14ac:dyDescent="0.25">
      <c r="A21155" s="64"/>
      <c r="D21155" s="55"/>
      <c r="E21155" s="49" t="s">
        <v>26</v>
      </c>
      <c r="F21155" s="54">
        <v>0.05</v>
      </c>
      <c r="G21155" s="51">
        <f>G21152*F21155</f>
        <v>79054.350000000006</v>
      </c>
    </row>
    <row r="21156" spans="1:7" x14ac:dyDescent="0.25">
      <c r="A21156" s="61"/>
      <c r="B21156" s="65"/>
      <c r="C21156" s="65"/>
      <c r="D21156" s="62"/>
      <c r="E21156" s="49" t="s">
        <v>27</v>
      </c>
      <c r="F21156" s="54">
        <v>0.05</v>
      </c>
      <c r="G21156" s="51">
        <f>G21152*F21156</f>
        <v>79054.350000000006</v>
      </c>
    </row>
    <row r="21157" spans="1:7" x14ac:dyDescent="0.25">
      <c r="A21157" s="61"/>
      <c r="B21157" s="62"/>
      <c r="C21157" s="62"/>
      <c r="D21157" s="62"/>
      <c r="E21157" s="62"/>
      <c r="F21157" s="62"/>
      <c r="G21157" s="63"/>
    </row>
    <row r="21158" spans="1:7" x14ac:dyDescent="0.25">
      <c r="A21158" s="219" t="s">
        <v>1517</v>
      </c>
      <c r="B21158" s="219"/>
      <c r="C21158" s="219"/>
      <c r="D21158" s="219"/>
      <c r="E21158" s="219"/>
      <c r="F21158" s="219"/>
      <c r="G21158" s="52">
        <f>G21152+G21154+G21155+G21156</f>
        <v>1976358.7500000002</v>
      </c>
    </row>
    <row r="21159" spans="1:7" x14ac:dyDescent="0.25">
      <c r="A21159" s="59"/>
      <c r="B21159" s="60"/>
      <c r="C21159" s="60"/>
      <c r="D21159" s="60"/>
      <c r="E21159" s="57"/>
      <c r="F21159" s="57"/>
      <c r="G21159" s="58"/>
    </row>
    <row r="21160" spans="1:7" x14ac:dyDescent="0.25">
      <c r="A21160" s="64"/>
      <c r="D21160" s="55"/>
      <c r="E21160" s="49" t="s">
        <v>102</v>
      </c>
      <c r="F21160" s="49" t="s">
        <v>103</v>
      </c>
      <c r="G21160" s="51">
        <f>G21156*19%</f>
        <v>15020.326500000001</v>
      </c>
    </row>
    <row r="21161" spans="1:7" x14ac:dyDescent="0.25">
      <c r="A21161" s="61"/>
      <c r="B21161" s="62"/>
      <c r="C21161" s="62"/>
      <c r="D21161" s="62"/>
      <c r="E21161" s="57"/>
      <c r="F21161" s="57"/>
      <c r="G21161" s="58"/>
    </row>
    <row r="21162" spans="1:7" x14ac:dyDescent="0.25">
      <c r="A21162" s="219" t="s">
        <v>104</v>
      </c>
      <c r="B21162" s="219"/>
      <c r="C21162" s="219"/>
      <c r="D21162" s="219"/>
      <c r="E21162" s="219"/>
      <c r="F21162" s="219"/>
      <c r="G21162" s="52">
        <f>G21160+G21158</f>
        <v>1991379.0765000002</v>
      </c>
    </row>
    <row r="21164" spans="1:7" x14ac:dyDescent="0.25">
      <c r="A21164" s="74" t="s">
        <v>29</v>
      </c>
      <c r="B21164" s="237" t="s">
        <v>30</v>
      </c>
      <c r="C21164" s="238"/>
      <c r="D21164" s="74" t="s">
        <v>31</v>
      </c>
      <c r="E21164" s="74" t="s">
        <v>32</v>
      </c>
      <c r="F21164" s="74" t="s">
        <v>189</v>
      </c>
      <c r="G21164" s="74" t="s">
        <v>33</v>
      </c>
    </row>
    <row r="21165" spans="1:7" ht="32.25" customHeight="1" x14ac:dyDescent="0.25">
      <c r="A21165" s="50" t="str">
        <f>Presupuesto!B403</f>
        <v>068_AUX</v>
      </c>
      <c r="B21165" s="220" t="str">
        <f>Presupuesto!C403</f>
        <v>TUBERIA DE REFRIGERACIÓN DE 3/8". INCLUYE RUBATEX Y CINTA ANTICONDENSACIÓN</v>
      </c>
      <c r="C21165" s="239"/>
      <c r="D21165" s="50" t="s">
        <v>8</v>
      </c>
      <c r="E21165" s="50">
        <v>30</v>
      </c>
      <c r="F21165" s="50"/>
      <c r="G21165" s="51">
        <f>G21234</f>
        <v>103105.18900000001</v>
      </c>
    </row>
    <row r="21166" spans="1:7" x14ac:dyDescent="0.25">
      <c r="A21166" s="219" t="s">
        <v>34</v>
      </c>
      <c r="B21166" s="219"/>
      <c r="C21166" s="219"/>
      <c r="D21166" s="219"/>
      <c r="E21166" s="219"/>
      <c r="F21166" s="219"/>
      <c r="G21166" s="219"/>
    </row>
    <row r="21167" spans="1:7" x14ac:dyDescent="0.25">
      <c r="A21167" s="49" t="s">
        <v>35</v>
      </c>
      <c r="B21167" s="234" t="s">
        <v>36</v>
      </c>
      <c r="C21167" s="235"/>
      <c r="D21167" s="49" t="s">
        <v>37</v>
      </c>
      <c r="E21167" s="49" t="s">
        <v>38</v>
      </c>
      <c r="F21167" s="49" t="s">
        <v>39</v>
      </c>
      <c r="G21167" s="49" t="s">
        <v>40</v>
      </c>
    </row>
    <row r="21168" spans="1:7" ht="27.75" customHeight="1" x14ac:dyDescent="0.25">
      <c r="A21168" s="17" t="str">
        <f>Material!A554</f>
        <v>MA-553</v>
      </c>
      <c r="B21168" s="221" t="str">
        <f>IFERROR(VLOOKUP(A21168,Material!$A:$H,2,0),"-")</f>
        <v>TUBERIA DE REFRIGERACIÓN DE 3/8". INCLUYE RUBATEX Y CINTA ANTICONDENSACIÓN</v>
      </c>
      <c r="C21168" s="222"/>
      <c r="D21168" s="50" t="str">
        <f>IFERROR(VLOOKUP(A21168,Material!$A:$H,4,0),"-")</f>
        <v>ML</v>
      </c>
      <c r="E21168" s="50">
        <v>1</v>
      </c>
      <c r="F21168" s="51">
        <f>IFERROR(VLOOKUP(A21168,Material!$A:$H,3,0),"-")</f>
        <v>50375</v>
      </c>
      <c r="G21168" s="51">
        <f t="shared" ref="G21168:G21175" si="315">IFERROR(ROUNDUP(F21168*E21168,0),"-")</f>
        <v>50375</v>
      </c>
    </row>
    <row r="21169" spans="1:7" x14ac:dyDescent="0.25">
      <c r="A21169" s="17"/>
      <c r="B21169" s="72" t="str">
        <f>IFERROR(VLOOKUP(A21169,Material!$A:$H,2,0),"-")</f>
        <v>-</v>
      </c>
      <c r="C21169" s="76"/>
      <c r="D21169" s="50" t="str">
        <f>IFERROR(VLOOKUP(A21169,Material!$A:$H,4,0),"-")</f>
        <v>-</v>
      </c>
      <c r="E21169" s="50"/>
      <c r="F21169" s="51" t="str">
        <f>IFERROR(VLOOKUP(A21169,Material!$A:$H,3,0),"-")</f>
        <v>-</v>
      </c>
      <c r="G21169" s="51" t="str">
        <f t="shared" si="315"/>
        <v>-</v>
      </c>
    </row>
    <row r="21170" spans="1:7" x14ac:dyDescent="0.25">
      <c r="A21170" s="17"/>
      <c r="B21170" s="72" t="str">
        <f>IFERROR(VLOOKUP(A21170,Material!$A:$H,2,0),"-")</f>
        <v>-</v>
      </c>
      <c r="C21170" s="76"/>
      <c r="D21170" s="50" t="str">
        <f>IFERROR(VLOOKUP(A21170,Material!$A:$H,4,0),"-")</f>
        <v>-</v>
      </c>
      <c r="E21170" s="50"/>
      <c r="F21170" s="51" t="str">
        <f>IFERROR(VLOOKUP(A21170,Material!$A:$H,3,0),"-")</f>
        <v>-</v>
      </c>
      <c r="G21170" s="51" t="str">
        <f t="shared" si="315"/>
        <v>-</v>
      </c>
    </row>
    <row r="21171" spans="1:7" x14ac:dyDescent="0.25">
      <c r="A21171" s="17"/>
      <c r="B21171" s="72" t="str">
        <f>IFERROR(VLOOKUP(A21171,Material!$A:$H,2,0),"-")</f>
        <v>-</v>
      </c>
      <c r="C21171" s="76"/>
      <c r="D21171" s="50" t="str">
        <f>IFERROR(VLOOKUP(A21171,Material!$A:$H,4,0),"-")</f>
        <v>-</v>
      </c>
      <c r="E21171" s="50"/>
      <c r="F21171" s="51" t="str">
        <f>IFERROR(VLOOKUP(A21171,Material!$A:$H,3,0),"-")</f>
        <v>-</v>
      </c>
      <c r="G21171" s="51" t="str">
        <f t="shared" si="315"/>
        <v>-</v>
      </c>
    </row>
    <row r="21172" spans="1:7" x14ac:dyDescent="0.25">
      <c r="A21172" s="17"/>
      <c r="B21172" s="72" t="str">
        <f>IFERROR(VLOOKUP(A21172,Material!$A:$H,2,0),"-")</f>
        <v>-</v>
      </c>
      <c r="C21172" s="76"/>
      <c r="D21172" s="50" t="str">
        <f>IFERROR(VLOOKUP(A21172,Material!$A:$H,4,0),"-")</f>
        <v>-</v>
      </c>
      <c r="E21172" s="50"/>
      <c r="F21172" s="51" t="str">
        <f>IFERROR(VLOOKUP(A21172,Material!$A:$H,3,0),"-")</f>
        <v>-</v>
      </c>
      <c r="G21172" s="51" t="str">
        <f t="shared" si="315"/>
        <v>-</v>
      </c>
    </row>
    <row r="21173" spans="1:7" x14ac:dyDescent="0.25">
      <c r="A21173" s="17"/>
      <c r="B21173" s="72" t="str">
        <f>IFERROR(VLOOKUP(A21173,Material!$A:$H,2,0),"-")</f>
        <v>-</v>
      </c>
      <c r="C21173" s="76"/>
      <c r="D21173" s="50" t="str">
        <f>IFERROR(VLOOKUP(A21173,Material!$A:$H,4,0),"-")</f>
        <v>-</v>
      </c>
      <c r="E21173" s="50"/>
      <c r="F21173" s="51" t="str">
        <f>IFERROR(VLOOKUP(A21173,Material!$A:$H,3,0),"-")</f>
        <v>-</v>
      </c>
      <c r="G21173" s="51" t="str">
        <f t="shared" si="315"/>
        <v>-</v>
      </c>
    </row>
    <row r="21174" spans="1:7" x14ac:dyDescent="0.25">
      <c r="A21174" s="17"/>
      <c r="B21174" s="72" t="str">
        <f>IFERROR(VLOOKUP(A21174,Material!$A:$H,2,0),"-")</f>
        <v>-</v>
      </c>
      <c r="C21174" s="76"/>
      <c r="D21174" s="50" t="str">
        <f>IFERROR(VLOOKUP(A21174,Material!$A:$H,4,0),"-")</f>
        <v>-</v>
      </c>
      <c r="E21174" s="50"/>
      <c r="F21174" s="51" t="str">
        <f>IFERROR(VLOOKUP(A21174,Material!$A:$H,3,0),"-")</f>
        <v>-</v>
      </c>
      <c r="G21174" s="51" t="str">
        <f t="shared" si="315"/>
        <v>-</v>
      </c>
    </row>
    <row r="21175" spans="1:7" x14ac:dyDescent="0.25">
      <c r="A21175" s="17"/>
      <c r="B21175" s="72" t="str">
        <f>IFERROR(VLOOKUP(A21175,Material!$A:$H,2,0),"-")</f>
        <v>-</v>
      </c>
      <c r="C21175" s="76"/>
      <c r="D21175" s="50" t="str">
        <f>IFERROR(VLOOKUP(A21175,Material!$A:$H,4,0),"-")</f>
        <v>-</v>
      </c>
      <c r="E21175" s="50"/>
      <c r="F21175" s="51" t="str">
        <f>IFERROR(VLOOKUP(A21175,Material!$A:$H,3,0),"-")</f>
        <v>-</v>
      </c>
      <c r="G21175" s="51" t="str">
        <f t="shared" si="315"/>
        <v>-</v>
      </c>
    </row>
    <row r="21176" spans="1:7" x14ac:dyDescent="0.25">
      <c r="A21176" s="234" t="s">
        <v>41</v>
      </c>
      <c r="B21176" s="236"/>
      <c r="C21176" s="236"/>
      <c r="D21176" s="236"/>
      <c r="E21176" s="236"/>
      <c r="F21176" s="235"/>
      <c r="G21176" s="52">
        <f>SUM(G21168:G21175)</f>
        <v>50375</v>
      </c>
    </row>
    <row r="21177" spans="1:7" x14ac:dyDescent="0.25">
      <c r="A21177" s="56"/>
      <c r="B21177" s="57"/>
      <c r="C21177" s="57"/>
      <c r="D21177" s="57"/>
      <c r="E21177" s="57"/>
      <c r="F21177" s="57"/>
      <c r="G21177" s="58"/>
    </row>
    <row r="21178" spans="1:7" x14ac:dyDescent="0.25">
      <c r="A21178" s="219" t="s">
        <v>42</v>
      </c>
      <c r="B21178" s="219"/>
      <c r="C21178" s="219"/>
      <c r="D21178" s="219"/>
      <c r="E21178" s="219"/>
      <c r="F21178" s="219"/>
      <c r="G21178" s="219"/>
    </row>
    <row r="21179" spans="1:7" x14ac:dyDescent="0.25">
      <c r="A21179" s="49" t="s">
        <v>35</v>
      </c>
      <c r="B21179" s="49" t="s">
        <v>36</v>
      </c>
      <c r="C21179" s="49" t="s">
        <v>38</v>
      </c>
      <c r="D21179" s="49" t="s">
        <v>43</v>
      </c>
      <c r="E21179" s="49" t="s">
        <v>44</v>
      </c>
      <c r="F21179" s="49" t="s">
        <v>45</v>
      </c>
      <c r="G21179" s="49" t="s">
        <v>40</v>
      </c>
    </row>
    <row r="21180" spans="1:7" x14ac:dyDescent="0.25">
      <c r="A21180" s="50" t="s">
        <v>319</v>
      </c>
      <c r="B21180" s="68" t="str">
        <f>VLOOKUP(A21180,'Componentes APUs'!$H$1:$L$25,2,0)</f>
        <v>Ingeniero Residente de Obra</v>
      </c>
      <c r="C21180" s="93">
        <v>0.25</v>
      </c>
      <c r="D21180" s="50">
        <f>VLOOKUP(A21180,'Componentes APUs'!$H$1:$L$25,3,0)</f>
        <v>4</v>
      </c>
      <c r="E21180" s="51">
        <f>VLOOKUP(A21180,'Componentes APUs'!$H$1:$L$25,4,0)</f>
        <v>271142.85714285716</v>
      </c>
      <c r="F21180" s="51">
        <f>VLOOKUP(A21180,'Componentes APUs'!$H$1:$L$25,5,0)</f>
        <v>162685.71428571429</v>
      </c>
      <c r="G21180" s="51">
        <f>ROUNDUP((E21180+F21180)*C21180/E21165,0)</f>
        <v>3616</v>
      </c>
    </row>
    <row r="21181" spans="1:7" x14ac:dyDescent="0.25">
      <c r="A21181" s="50" t="s">
        <v>320</v>
      </c>
      <c r="B21181" s="68" t="str">
        <f>VLOOKUP(A21181,'Componentes APUs'!$H$1:$L$25,2,0)</f>
        <v>Tecnico Supervisor</v>
      </c>
      <c r="C21181" s="93">
        <v>0.25</v>
      </c>
      <c r="D21181" s="50">
        <f>VLOOKUP(A21181,'Componentes APUs'!$H$1:$L$25,3,0)</f>
        <v>2.2999999999999998</v>
      </c>
      <c r="E21181" s="51">
        <f>VLOOKUP(A21181,'Componentes APUs'!$H$1:$L$25,4,0)</f>
        <v>155907.14285714284</v>
      </c>
      <c r="F21181" s="51">
        <f>VLOOKUP(A21181,'Componentes APUs'!$H$1:$L$25,5,0)</f>
        <v>93544.285714285696</v>
      </c>
      <c r="G21181" s="51">
        <f>ROUNDUP((E21181+F21181)*C21181/E21165,0)</f>
        <v>2079</v>
      </c>
    </row>
    <row r="21182" spans="1:7" x14ac:dyDescent="0.25">
      <c r="A21182" s="50" t="s">
        <v>1160</v>
      </c>
      <c r="B21182" s="68" t="str">
        <f>VLOOKUP(A21182,'Componentes APUs'!$H$1:$L$25,2,0)</f>
        <v>Oficial Eléctrico</v>
      </c>
      <c r="C21182" s="93">
        <v>1</v>
      </c>
      <c r="D21182" s="50">
        <f>VLOOKUP(A21182,'Componentes APUs'!$H$1:$L$25,3,0)</f>
        <v>2</v>
      </c>
      <c r="E21182" s="51">
        <f>VLOOKUP(A21182,'Componentes APUs'!$H$1:$L$25,4,0)</f>
        <v>154619.04761904763</v>
      </c>
      <c r="F21182" s="51">
        <f>VLOOKUP(A21182,'Componentes APUs'!$H$1:$L$25,5,0)</f>
        <v>92771.42857142858</v>
      </c>
      <c r="G21182" s="51">
        <f>ROUNDUP((E21182+F21182)*C21182/E21165,0)</f>
        <v>8247</v>
      </c>
    </row>
    <row r="21183" spans="1:7" x14ac:dyDescent="0.25">
      <c r="A21183" s="50" t="s">
        <v>48</v>
      </c>
      <c r="B21183" s="68" t="str">
        <f>VLOOKUP(A21183,'Componentes APUs'!$H$1:$L$25,2,0)</f>
        <v>Ayudante Calificado</v>
      </c>
      <c r="C21183" s="93">
        <v>1</v>
      </c>
      <c r="D21183" s="50">
        <f>VLOOKUP(A21183,'Componentes APUs'!$H$1:$L$25,3,0)</f>
        <v>1.5</v>
      </c>
      <c r="E21183" s="51">
        <f>VLOOKUP(A21183,'Componentes APUs'!$H$1:$L$25,4,0)</f>
        <v>115964.28571428571</v>
      </c>
      <c r="F21183" s="51">
        <f>VLOOKUP(A21183,'Componentes APUs'!$H$1:$L$25,5,0)</f>
        <v>69578.57142857142</v>
      </c>
      <c r="G21183" s="51">
        <f>ROUNDUP((E21183+F21183)*C21183/E21165,0)</f>
        <v>6185</v>
      </c>
    </row>
    <row r="21184" spans="1:7" x14ac:dyDescent="0.25">
      <c r="A21184" s="50" t="s">
        <v>50</v>
      </c>
      <c r="B21184" s="68" t="str">
        <f>VLOOKUP(A21184,'Componentes APUs'!$H$1:$L$25,2,0)</f>
        <v>Profesional en SST</v>
      </c>
      <c r="C21184" s="93">
        <v>0.25</v>
      </c>
      <c r="D21184" s="50">
        <f>VLOOKUP(A21184,'Componentes APUs'!$H$1:$L$25,3,0)</f>
        <v>2.5</v>
      </c>
      <c r="E21184" s="51">
        <f>VLOOKUP(A21184,'Componentes APUs'!$H$1:$L$25,4,0)</f>
        <v>169464.28571428571</v>
      </c>
      <c r="F21184" s="51">
        <f>VLOOKUP(A21184,'Componentes APUs'!$H$1:$L$25,5,0)</f>
        <v>101678.57142857142</v>
      </c>
      <c r="G21184" s="51">
        <f>ROUNDUP((E21184+F21184)*C21184/E21165,0)</f>
        <v>2260</v>
      </c>
    </row>
    <row r="21185" spans="1:7" x14ac:dyDescent="0.25">
      <c r="A21185" s="50" t="s">
        <v>52</v>
      </c>
      <c r="B21185" s="68" t="str">
        <f>VLOOKUP(A21185,'Componentes APUs'!$H$1:$L$25,2,0)</f>
        <v>Ayudante No Calificado</v>
      </c>
      <c r="C21185" s="93">
        <v>0</v>
      </c>
      <c r="D21185" s="50">
        <f>VLOOKUP(A21185,'Componentes APUs'!$H$1:$L$25,3,0)</f>
        <v>1</v>
      </c>
      <c r="E21185" s="51">
        <f>VLOOKUP(A21185,'Componentes APUs'!$H$1:$L$25,4,0)</f>
        <v>77309.523809523816</v>
      </c>
      <c r="F21185" s="51">
        <f>VLOOKUP(A21185,'Componentes APUs'!$H$1:$L$25,5,0)</f>
        <v>46385.71428571429</v>
      </c>
      <c r="G21185" s="51">
        <f>ROUNDUP((E21185+F21185)*C21185/E21165,0)</f>
        <v>0</v>
      </c>
    </row>
    <row r="21186" spans="1:7" x14ac:dyDescent="0.25">
      <c r="A21186" s="219" t="s">
        <v>56</v>
      </c>
      <c r="B21186" s="219"/>
      <c r="C21186" s="219"/>
      <c r="D21186" s="219"/>
      <c r="E21186" s="219"/>
      <c r="F21186" s="219"/>
      <c r="G21186" s="52">
        <f>SUM(G21180:G21185)</f>
        <v>22387</v>
      </c>
    </row>
    <row r="21187" spans="1:7" x14ac:dyDescent="0.25">
      <c r="A21187" s="56"/>
      <c r="B21187" s="57"/>
      <c r="C21187" s="57"/>
      <c r="D21187" s="57"/>
      <c r="E21187" s="57"/>
      <c r="F21187" s="57"/>
      <c r="G21187" s="58"/>
    </row>
    <row r="21188" spans="1:7" x14ac:dyDescent="0.25">
      <c r="A21188" s="219" t="s">
        <v>57</v>
      </c>
      <c r="B21188" s="219"/>
      <c r="C21188" s="219"/>
      <c r="D21188" s="219"/>
      <c r="E21188" s="219"/>
      <c r="F21188" s="219"/>
      <c r="G21188" s="219"/>
    </row>
    <row r="21189" spans="1:7" x14ac:dyDescent="0.25">
      <c r="A21189" s="49" t="s">
        <v>35</v>
      </c>
      <c r="B21189" s="219" t="s">
        <v>36</v>
      </c>
      <c r="C21189" s="219"/>
      <c r="D21189" s="49" t="s">
        <v>37</v>
      </c>
      <c r="E21189" s="49" t="s">
        <v>38</v>
      </c>
      <c r="F21189" s="49" t="s">
        <v>39</v>
      </c>
      <c r="G21189" s="49" t="s">
        <v>40</v>
      </c>
    </row>
    <row r="21190" spans="1:7" x14ac:dyDescent="0.25">
      <c r="A21190" s="50" t="s">
        <v>326</v>
      </c>
      <c r="B21190" s="220" t="str">
        <f>VLOOKUP(A21190,'Componentes APUs'!$S$1:$V$10,2,0)</f>
        <v>Juego Llaves</v>
      </c>
      <c r="C21190" s="220"/>
      <c r="D21190" s="50" t="s">
        <v>18</v>
      </c>
      <c r="E21190" s="50">
        <v>1</v>
      </c>
      <c r="F21190" s="51">
        <f>VLOOKUP(A21190,'Componentes APUs'!$S$1:$V$10,4,0)</f>
        <v>9167</v>
      </c>
      <c r="G21190" s="51">
        <f>ROUNDUP(F21190*((E21190/21)/E21165),0)</f>
        <v>15</v>
      </c>
    </row>
    <row r="21191" spans="1:7" x14ac:dyDescent="0.25">
      <c r="A21191" s="50" t="s">
        <v>58</v>
      </c>
      <c r="B21191" s="220" t="str">
        <f>VLOOKUP(A21191,'Componentes APUs'!$S$1:$V$10,2,0)</f>
        <v>Manila de servicio</v>
      </c>
      <c r="C21191" s="220"/>
      <c r="D21191" s="50" t="s">
        <v>18</v>
      </c>
      <c r="E21191" s="50">
        <v>0</v>
      </c>
      <c r="F21191" s="51">
        <f>VLOOKUP(A21191,'Componentes APUs'!$S$1:$V$10,4,0)</f>
        <v>2333</v>
      </c>
      <c r="G21191" s="51">
        <f>ROUNDUP(F21191*((E21191/21)/E21165),0)</f>
        <v>0</v>
      </c>
    </row>
    <row r="21192" spans="1:7" x14ac:dyDescent="0.25">
      <c r="A21192" s="50" t="s">
        <v>327</v>
      </c>
      <c r="B21192" s="220" t="str">
        <f>VLOOKUP(A21192,'Componentes APUs'!$S$1:$V$10,2,0)</f>
        <v>Tula portaherramientas</v>
      </c>
      <c r="C21192" s="220"/>
      <c r="D21192" s="50" t="s">
        <v>18</v>
      </c>
      <c r="E21192" s="50">
        <v>1</v>
      </c>
      <c r="F21192" s="51">
        <f>VLOOKUP(A21192,'Componentes APUs'!$S$1:$V$10,4,0)</f>
        <v>1250</v>
      </c>
      <c r="G21192" s="51">
        <f>ROUNDUP(F21192*((E21192/21)/E21165),0)</f>
        <v>2</v>
      </c>
    </row>
    <row r="21193" spans="1:7" x14ac:dyDescent="0.25">
      <c r="A21193" s="50" t="s">
        <v>60</v>
      </c>
      <c r="B21193" s="220" t="str">
        <f>VLOOKUP(A21193,'Componentes APUs'!$S$1:$V$10,2,0)</f>
        <v>Agarradoras</v>
      </c>
      <c r="C21193" s="220"/>
      <c r="D21193" s="50" t="s">
        <v>18</v>
      </c>
      <c r="E21193" s="50">
        <v>0</v>
      </c>
      <c r="F21193" s="51">
        <f>VLOOKUP(A21193,'Componentes APUs'!$S$1:$V$10,4,0)</f>
        <v>125000</v>
      </c>
      <c r="G21193" s="51">
        <f>ROUNDUP(F21193*((E21193/21)/E21165),0)</f>
        <v>0</v>
      </c>
    </row>
    <row r="21194" spans="1:7" x14ac:dyDescent="0.25">
      <c r="A21194" s="50" t="s">
        <v>62</v>
      </c>
      <c r="B21194" s="220" t="str">
        <f>VLOOKUP(A21194,'Componentes APUs'!$S$1:$V$10,2,0)</f>
        <v>Templadoras</v>
      </c>
      <c r="C21194" s="220"/>
      <c r="D21194" s="50" t="s">
        <v>18</v>
      </c>
      <c r="E21194" s="50">
        <v>0</v>
      </c>
      <c r="F21194" s="51">
        <f>VLOOKUP(A21194,'Componentes APUs'!$S$1:$V$10,4,0)</f>
        <v>250000</v>
      </c>
      <c r="G21194" s="51">
        <f>ROUNDUP(F21194*((E21194/21)/E21165),0)</f>
        <v>0</v>
      </c>
    </row>
    <row r="21195" spans="1:7" x14ac:dyDescent="0.25">
      <c r="A21195" s="50" t="s">
        <v>328</v>
      </c>
      <c r="B21195" s="220" t="str">
        <f>VLOOKUP(A21195,'Componentes APUs'!$S$1:$V$10,2,0)</f>
        <v>Herramienta Menor</v>
      </c>
      <c r="C21195" s="220"/>
      <c r="D21195" s="50" t="s">
        <v>18</v>
      </c>
      <c r="E21195" s="50">
        <v>1</v>
      </c>
      <c r="F21195" s="51">
        <f>VLOOKUP(A21195,'Componentes APUs'!$S$1:$V$10,4,0)</f>
        <v>75758</v>
      </c>
      <c r="G21195" s="51">
        <f>ROUNDUP(F21195*((E21195/21)/E21165),0)</f>
        <v>121</v>
      </c>
    </row>
    <row r="21196" spans="1:7" x14ac:dyDescent="0.25">
      <c r="A21196" s="219" t="s">
        <v>69</v>
      </c>
      <c r="B21196" s="219"/>
      <c r="C21196" s="219"/>
      <c r="D21196" s="219"/>
      <c r="E21196" s="219"/>
      <c r="F21196" s="219"/>
      <c r="G21196" s="52">
        <f>SUM(G21190:G21195)</f>
        <v>138</v>
      </c>
    </row>
    <row r="21197" spans="1:7" x14ac:dyDescent="0.25">
      <c r="A21197" s="56"/>
      <c r="B21197" s="57"/>
      <c r="C21197" s="57"/>
      <c r="D21197" s="57"/>
      <c r="E21197" s="57"/>
      <c r="F21197" s="57"/>
      <c r="G21197" s="58"/>
    </row>
    <row r="21198" spans="1:7" x14ac:dyDescent="0.25">
      <c r="A21198" s="219" t="s">
        <v>70</v>
      </c>
      <c r="B21198" s="219"/>
      <c r="C21198" s="219"/>
      <c r="D21198" s="219"/>
      <c r="E21198" s="219"/>
      <c r="F21198" s="219"/>
      <c r="G21198" s="219"/>
    </row>
    <row r="21199" spans="1:7" x14ac:dyDescent="0.25">
      <c r="A21199" s="49" t="s">
        <v>35</v>
      </c>
      <c r="B21199" s="225" t="s">
        <v>36</v>
      </c>
      <c r="C21199" s="225"/>
      <c r="D21199" s="49" t="s">
        <v>37</v>
      </c>
      <c r="E21199" s="49" t="s">
        <v>38</v>
      </c>
      <c r="F21199" s="49" t="s">
        <v>39</v>
      </c>
      <c r="G21199" s="49" t="s">
        <v>40</v>
      </c>
    </row>
    <row r="21200" spans="1:7" x14ac:dyDescent="0.25">
      <c r="A21200" s="69" t="s">
        <v>71</v>
      </c>
      <c r="B21200" s="72" t="str">
        <f>VLOOKUP(A21200,'Componentes APUs'!$A$1:$D$14,2,0)</f>
        <v>Camisa indigo sin partes metalicas</v>
      </c>
      <c r="C21200" s="73"/>
      <c r="D21200" s="70" t="str">
        <f>VLOOKUP(A21200,'Componentes APUs'!$A$1:$D$14,3,0)</f>
        <v>U</v>
      </c>
      <c r="E21200" s="50">
        <f>SUM(C21180:C21185)</f>
        <v>2.75</v>
      </c>
      <c r="F21200" s="51">
        <f>VLOOKUP(A21200,'Componentes APUs'!$A$1:$D$14,4,0)</f>
        <v>8585.8585858585866</v>
      </c>
      <c r="G21200" s="51">
        <f>ROUNDUP(F21200*(E21200/21)/E21165,0)</f>
        <v>38</v>
      </c>
    </row>
    <row r="21201" spans="1:7" x14ac:dyDescent="0.25">
      <c r="A21201" s="69" t="s">
        <v>73</v>
      </c>
      <c r="B21201" s="124" t="str">
        <f>VLOOKUP(A21201,'Componentes APUs'!$A$1:$D$14,2,0)</f>
        <v>Bota de seguridad dielectrica</v>
      </c>
      <c r="C21201" s="125"/>
      <c r="D21201" s="70" t="str">
        <f>VLOOKUP(A21201,'Componentes APUs'!$A$1:$D$14,3,0)</f>
        <v>Par</v>
      </c>
      <c r="E21201" s="50">
        <f>SUM(C21180:C21185)</f>
        <v>2.75</v>
      </c>
      <c r="F21201" s="51">
        <f>VLOOKUP(A21201,'Componentes APUs'!$A$1:$D$14,4,0)</f>
        <v>7500</v>
      </c>
      <c r="G21201" s="51">
        <f>ROUNDUP(F21201*(E21201/21)/E21165,0)</f>
        <v>33</v>
      </c>
    </row>
    <row r="21202" spans="1:7" x14ac:dyDescent="0.25">
      <c r="A21202" s="50" t="s">
        <v>76</v>
      </c>
      <c r="B21202" s="72" t="str">
        <f>VLOOKUP(A21202,'Componentes APUs'!$A$1:$D$14,2,0)</f>
        <v>Casco dielectrico Tipo 1 Clase E con barbuquejo</v>
      </c>
      <c r="C21202" s="73"/>
      <c r="D21202" s="50" t="str">
        <f>VLOOKUP(A21202,'Componentes APUs'!$A$1:$D$14,3,0)</f>
        <v>U</v>
      </c>
      <c r="E21202" s="50">
        <f>C21185+C21180+C21183+C21184+C21181+IF(A21182&lt;&gt;"MO-3",C21182,0)</f>
        <v>2.75</v>
      </c>
      <c r="F21202" s="51">
        <f>VLOOKUP(A21202,'Componentes APUs'!$A$1:$D$14,4,0)</f>
        <v>10101.010101010101</v>
      </c>
      <c r="G21202" s="51">
        <f>ROUNDUP(F21202*(E21202/21)/E21165,0)</f>
        <v>45</v>
      </c>
    </row>
    <row r="21203" spans="1:7" x14ac:dyDescent="0.25">
      <c r="A21203" s="69" t="s">
        <v>77</v>
      </c>
      <c r="B21203" s="72" t="str">
        <f>VLOOKUP(A21203,'Componentes APUs'!$A$1:$D$14,2,0)</f>
        <v>Correa plastica y antiflama</v>
      </c>
      <c r="C21203" s="73"/>
      <c r="D21203" s="50" t="str">
        <f>VLOOKUP(A21203,'Componentes APUs'!$A$1:$D$14,3,0)</f>
        <v>U</v>
      </c>
      <c r="E21203" s="50">
        <f>SUM(C21180:C21185)</f>
        <v>2.75</v>
      </c>
      <c r="F21203" s="51">
        <f>VLOOKUP(A21203,'Componentes APUs'!$A$1:$D$14,4,0)</f>
        <v>3787.878787878788</v>
      </c>
      <c r="G21203" s="51">
        <f>ROUNDUP(F21203*(E21203/21)/E21165,0)</f>
        <v>17</v>
      </c>
    </row>
    <row r="21204" spans="1:7" x14ac:dyDescent="0.25">
      <c r="A21204" s="50" t="s">
        <v>79</v>
      </c>
      <c r="B21204" s="72" t="str">
        <f>VLOOKUP(A21204,'Componentes APUs'!$A$1:$D$14,2,0)</f>
        <v>Gafas protectoras filtro UV</v>
      </c>
      <c r="C21204" s="73"/>
      <c r="D21204" s="50" t="str">
        <f>VLOOKUP(A21204,'Componentes APUs'!$A$1:$D$14,3,0)</f>
        <v>U</v>
      </c>
      <c r="E21204" s="50">
        <f>SUM(C21180:C21185)</f>
        <v>2.75</v>
      </c>
      <c r="F21204" s="51">
        <f>VLOOKUP(A21204,'Componentes APUs'!$A$1:$D$14,4,0)</f>
        <v>2777.7777777777778</v>
      </c>
      <c r="G21204" s="51">
        <f>ROUNDUP(F21204*(E21204/21)/E21165,0)</f>
        <v>13</v>
      </c>
    </row>
    <row r="21205" spans="1:7" x14ac:dyDescent="0.25">
      <c r="A21205" s="69" t="s">
        <v>402</v>
      </c>
      <c r="B21205" s="72" t="str">
        <f>VLOOKUP(A21205,'Componentes APUs'!$A$1:$D$14,2,0)</f>
        <v>Bota de seguridad PVC dielectrica</v>
      </c>
      <c r="C21205" s="73"/>
      <c r="D21205" s="50" t="str">
        <f>VLOOKUP(A21205,'Componentes APUs'!$A$1:$D$14,3,0)</f>
        <v>Par</v>
      </c>
      <c r="E21205" s="50">
        <f>SUM(C21180:C21185)</f>
        <v>2.75</v>
      </c>
      <c r="F21205" s="51">
        <f>VLOOKUP(A21205,'Componentes APUs'!$A$1:$D$14,4,0)</f>
        <v>2916.6666666666665</v>
      </c>
      <c r="G21205" s="51">
        <f>ROUNDUP(F21205*(E21205/21)/E21165,0)</f>
        <v>13</v>
      </c>
    </row>
    <row r="21206" spans="1:7" x14ac:dyDescent="0.25">
      <c r="A21206" s="50" t="s">
        <v>403</v>
      </c>
      <c r="B21206" s="72" t="str">
        <f>VLOOKUP(A21206,'Componentes APUs'!$A$1:$D$14,2,0)</f>
        <v>Capuchon</v>
      </c>
      <c r="C21206" s="73"/>
      <c r="D21206" s="50" t="str">
        <f>VLOOKUP(A21206,'Componentes APUs'!$A$1:$D$14,3,0)</f>
        <v>U</v>
      </c>
      <c r="E21206" s="50">
        <f>SUM(C21180:C21185)</f>
        <v>2.75</v>
      </c>
      <c r="F21206" s="51">
        <f>VLOOKUP(A21206,'Componentes APUs'!$A$1:$D$14,4,0)</f>
        <v>2525.2525252525252</v>
      </c>
      <c r="G21206" s="51">
        <f>ROUNDUP(F21206*(E21206/21)/E21165,0)</f>
        <v>12</v>
      </c>
    </row>
    <row r="21207" spans="1:7" x14ac:dyDescent="0.25">
      <c r="A21207" s="69" t="s">
        <v>81</v>
      </c>
      <c r="B21207" s="72" t="str">
        <f>VLOOKUP(A21207,'Componentes APUs'!$A$1:$D$14,2,0)</f>
        <v>Guantes Protectores  - ingeniero reforzados</v>
      </c>
      <c r="C21207" s="73"/>
      <c r="D21207" s="50" t="str">
        <f>VLOOKUP(A21207,'Componentes APUs'!$A$1:$D$14,3,0)</f>
        <v>Par</v>
      </c>
      <c r="E21207" s="50">
        <f>C21182+C21183+C21185</f>
        <v>2</v>
      </c>
      <c r="F21207" s="51">
        <f>VLOOKUP(A21207,'Componentes APUs'!$A$1:$D$14,4,0)</f>
        <v>2525.2525252525252</v>
      </c>
      <c r="G21207" s="51">
        <f>ROUNDUP(F21207*(E21207/21)/E21165,0)</f>
        <v>9</v>
      </c>
    </row>
    <row r="21208" spans="1:7" x14ac:dyDescent="0.25">
      <c r="A21208" s="50" t="s">
        <v>83</v>
      </c>
      <c r="B21208" s="72" t="str">
        <f>VLOOKUP(A21208,'Componentes APUs'!$A$1:$D$14,2,0)</f>
        <v>Impermeable (pantalon camisa)</v>
      </c>
      <c r="C21208" s="73"/>
      <c r="D21208" s="50" t="str">
        <f>VLOOKUP(A21208,'Componentes APUs'!$A$1:$D$14,3,0)</f>
        <v>U</v>
      </c>
      <c r="E21208" s="50">
        <f>SUM(C21180:C21185)</f>
        <v>2.75</v>
      </c>
      <c r="F21208" s="51">
        <f>VLOOKUP(A21208,'Componentes APUs'!$A$1:$D$14,4,0)</f>
        <v>3750</v>
      </c>
      <c r="G21208" s="51">
        <f>ROUNDUP(F21208*(E21208/21)/E21165,0)</f>
        <v>17</v>
      </c>
    </row>
    <row r="21209" spans="1:7" x14ac:dyDescent="0.25">
      <c r="A21209" s="69" t="s">
        <v>85</v>
      </c>
      <c r="B21209" s="72" t="str">
        <f>VLOOKUP(A21209,'Componentes APUs'!$A$1:$D$14,2,0)</f>
        <v>Jean Dielectrico</v>
      </c>
      <c r="C21209" s="73"/>
      <c r="D21209" s="50" t="str">
        <f>VLOOKUP(A21209,'Componentes APUs'!$A$1:$D$14,3,0)</f>
        <v>U</v>
      </c>
      <c r="E21209" s="50">
        <f>SUM(C21180:C21185)</f>
        <v>2.75</v>
      </c>
      <c r="F21209" s="51">
        <f>VLOOKUP(A21209,'Componentes APUs'!$A$1:$D$14,4,0)</f>
        <v>7575.757575757576</v>
      </c>
      <c r="G21209" s="51">
        <f>ROUNDUP(F21209*(E21209/21)/E21165,0)</f>
        <v>34</v>
      </c>
    </row>
    <row r="21210" spans="1:7" x14ac:dyDescent="0.25">
      <c r="A21210" s="50" t="s">
        <v>87</v>
      </c>
      <c r="B21210" s="72" t="str">
        <f>VLOOKUP(A21210,'Componentes APUs'!$A$1:$D$14,2,0)</f>
        <v>Casco dielectrico Tipo 2 Clase E con barboquejo</v>
      </c>
      <c r="C21210" s="73"/>
      <c r="D21210" s="50" t="str">
        <f>VLOOKUP(A21210,'Componentes APUs'!$A$1:$D$14,3,0)</f>
        <v>U</v>
      </c>
      <c r="E21210" s="53">
        <f>IF(A21182="MO-3",C21182,0)</f>
        <v>0</v>
      </c>
      <c r="F21210" s="51">
        <f>VLOOKUP(A21210,'Componentes APUs'!$A$1:$D$14,4,0)</f>
        <v>7500</v>
      </c>
      <c r="G21210" s="51">
        <f>ROUNDUP(F21210*(E21210/21)/E21165,0)</f>
        <v>0</v>
      </c>
    </row>
    <row r="21211" spans="1:7" x14ac:dyDescent="0.25">
      <c r="A21211" s="69" t="s">
        <v>89</v>
      </c>
      <c r="B21211" s="72" t="str">
        <f>VLOOKUP(A21211,'Componentes APUs'!$A$1:$D$14,2,0)</f>
        <v>Kit de rescate para trabajo en alturas</v>
      </c>
      <c r="C21211" s="73"/>
      <c r="D21211" s="50" t="str">
        <f>VLOOKUP(A21211,'Componentes APUs'!$A$1:$D$14,3,0)</f>
        <v>U</v>
      </c>
      <c r="E21211" s="50">
        <f>IF(AND(A21182="MO-3",C21182=2),1,0)</f>
        <v>0</v>
      </c>
      <c r="F21211" s="51">
        <f>VLOOKUP(A21211,'Componentes APUs'!$A$1:$D$14,4,0)</f>
        <v>37500</v>
      </c>
      <c r="G21211" s="51">
        <f>ROUNDUP(F21211*(E21211/21)/E21165,0)</f>
        <v>0</v>
      </c>
    </row>
    <row r="21212" spans="1:7" x14ac:dyDescent="0.25">
      <c r="A21212" s="50" t="s">
        <v>91</v>
      </c>
      <c r="B21212" s="72" t="str">
        <f>VLOOKUP(A21212,'Componentes APUs'!$A$1:$D$14,2,0)</f>
        <v>Equipo completo para trabajo en alturas con pretales (Arnes dielectrico, 1 mosqueton de seguridad, tie off dielectrico, eslinga de posicionamiento, juego de pretales)</v>
      </c>
      <c r="C21212" s="73"/>
      <c r="D21212" s="50" t="str">
        <f>VLOOKUP(A21212,'Componentes APUs'!$A$1:$D$14,3,0)</f>
        <v>U</v>
      </c>
      <c r="E21212" s="50">
        <f>IF(A21182="MO-3",C21182,0)</f>
        <v>0</v>
      </c>
      <c r="F21212" s="51">
        <f>VLOOKUP(A21212,'Componentes APUs'!$A$1:$D$14,4,0)</f>
        <v>26041.666666666668</v>
      </c>
      <c r="G21212" s="51">
        <f>ROUNDUP(F21212*(E21212/21)/E21165,0)</f>
        <v>0</v>
      </c>
    </row>
    <row r="21213" spans="1:7" x14ac:dyDescent="0.25">
      <c r="A21213" s="219" t="s">
        <v>95</v>
      </c>
      <c r="B21213" s="219"/>
      <c r="C21213" s="219"/>
      <c r="D21213" s="219"/>
      <c r="E21213" s="219"/>
      <c r="F21213" s="219"/>
      <c r="G21213" s="52">
        <f>SUM(G21200:G21212)</f>
        <v>231</v>
      </c>
    </row>
    <row r="21214" spans="1:7" x14ac:dyDescent="0.25">
      <c r="A21214" s="56"/>
      <c r="B21214" s="57"/>
      <c r="C21214" s="57"/>
      <c r="D21214" s="57"/>
      <c r="E21214" s="57"/>
      <c r="F21214" s="57"/>
      <c r="G21214" s="58"/>
    </row>
    <row r="21215" spans="1:7" x14ac:dyDescent="0.25">
      <c r="A21215" s="219" t="s">
        <v>96</v>
      </c>
      <c r="B21215" s="219"/>
      <c r="C21215" s="219"/>
      <c r="D21215" s="219"/>
      <c r="E21215" s="219"/>
      <c r="F21215" s="219"/>
      <c r="G21215" s="219"/>
    </row>
    <row r="21216" spans="1:7" x14ac:dyDescent="0.25">
      <c r="A21216" s="49" t="s">
        <v>35</v>
      </c>
      <c r="B21216" s="225" t="s">
        <v>36</v>
      </c>
      <c r="C21216" s="225"/>
      <c r="D21216" s="49" t="s">
        <v>37</v>
      </c>
      <c r="E21216" s="49" t="s">
        <v>38</v>
      </c>
      <c r="F21216" s="49" t="s">
        <v>39</v>
      </c>
      <c r="G21216" s="49" t="s">
        <v>40</v>
      </c>
    </row>
    <row r="21217" spans="1:7" x14ac:dyDescent="0.25">
      <c r="A21217" s="69" t="s">
        <v>97</v>
      </c>
      <c r="B21217" s="72" t="str">
        <f>VLOOKUP(A21217,'Componentes APUs'!$N$1:$Q$30,2,0)</f>
        <v>Camioneta</v>
      </c>
      <c r="C21217" s="73"/>
      <c r="D21217" s="70" t="str">
        <f>VLOOKUP(A21217,'Componentes APUs'!$N$1:$Q$30,3,0)</f>
        <v>U</v>
      </c>
      <c r="E21217" s="50">
        <v>1</v>
      </c>
      <c r="F21217" s="51">
        <f>VLOOKUP(A21217,'Componentes APUs'!$N$1:$Q$30,4,0)</f>
        <v>5500000</v>
      </c>
      <c r="G21217" s="51">
        <f>IFERROR(ROUNDUP(F21217*(E21217/21)/E21165,0),0)</f>
        <v>8731</v>
      </c>
    </row>
    <row r="21218" spans="1:7" x14ac:dyDescent="0.25">
      <c r="A21218" s="50" t="s">
        <v>321</v>
      </c>
      <c r="B21218" s="72" t="str">
        <f>VLOOKUP(A21218,'Componentes APUs'!$N$1:$Q$30,2,0)</f>
        <v>Grúa Hidráulica</v>
      </c>
      <c r="C21218" s="73"/>
      <c r="D21218" s="70" t="str">
        <f>VLOOKUP(A21218,'Componentes APUs'!$N$1:$Q$30,3,0)</f>
        <v>U</v>
      </c>
      <c r="E21218" s="50">
        <v>0</v>
      </c>
      <c r="F21218" s="51">
        <f>VLOOKUP(A21218,'Componentes APUs'!$N$1:$Q$30,4,0)</f>
        <v>21000000</v>
      </c>
      <c r="G21218" s="51">
        <f>IFERROR(ROUNDUP(F21218*(E21218/21)/E21165,0),0)</f>
        <v>0</v>
      </c>
    </row>
    <row r="21219" spans="1:7" x14ac:dyDescent="0.25">
      <c r="A21219" s="69" t="s">
        <v>322</v>
      </c>
      <c r="B21219" s="72" t="str">
        <f>VLOOKUP(A21219,'Componentes APUs'!$N$1:$Q$30,2,0)</f>
        <v>Camabaja</v>
      </c>
      <c r="C21219" s="73"/>
      <c r="D21219" s="70" t="str">
        <f>VLOOKUP(A21219,'Componentes APUs'!$N$1:$Q$30,3,0)</f>
        <v>TON/KM</v>
      </c>
      <c r="E21219" s="50">
        <v>0</v>
      </c>
      <c r="F21219" s="51">
        <f>VLOOKUP(A21219,'Componentes APUs'!$N$1:$Q$30,4,0)</f>
        <v>611</v>
      </c>
      <c r="G21219" s="51">
        <f>IFERROR(ROUNDUP(F21219*(E21219/21)/E21165,0),0)</f>
        <v>0</v>
      </c>
    </row>
    <row r="21220" spans="1:7" x14ac:dyDescent="0.25">
      <c r="A21220" s="50" t="s">
        <v>323</v>
      </c>
      <c r="B21220" s="72" t="str">
        <f>VLOOKUP(A21220,'Componentes APUs'!$N$1:$Q$30,2,0)</f>
        <v>Volqueta</v>
      </c>
      <c r="C21220" s="73"/>
      <c r="D21220" s="70" t="str">
        <f>VLOOKUP(A21220,'Componentes APUs'!$N$1:$Q$30,3,0)</f>
        <v>U</v>
      </c>
      <c r="E21220" s="50">
        <v>0</v>
      </c>
      <c r="F21220" s="51">
        <f>VLOOKUP(A21220,'Componentes APUs'!$N$1:$Q$30,4,0)</f>
        <v>14828184</v>
      </c>
      <c r="G21220" s="51">
        <f>IFERROR(ROUNDUP(F21220*(E21220/21)/E21165,0),0)</f>
        <v>0</v>
      </c>
    </row>
    <row r="21221" spans="1:7" x14ac:dyDescent="0.25">
      <c r="A21221" s="69" t="s">
        <v>324</v>
      </c>
      <c r="B21221" s="72" t="str">
        <f>VLOOKUP(A21221,'Componentes APUs'!$N$1:$Q$30,2,0)</f>
        <v>Retroexcavadora</v>
      </c>
      <c r="C21221" s="73"/>
      <c r="D21221" s="70" t="str">
        <f>VLOOKUP(A21221,'Componentes APUs'!$N$1:$Q$30,3,0)</f>
        <v>U</v>
      </c>
      <c r="E21221" s="50">
        <v>0</v>
      </c>
      <c r="F21221" s="51">
        <f>VLOOKUP(A21221,'Componentes APUs'!$N$1:$Q$30,4,0)</f>
        <v>46030656</v>
      </c>
      <c r="G21221" s="51">
        <f>IFERROR(ROUNDUP(F21221*(E21221/21)/E21165,0),0)</f>
        <v>0</v>
      </c>
    </row>
    <row r="21222" spans="1:7" x14ac:dyDescent="0.25">
      <c r="A21222" s="219" t="s">
        <v>99</v>
      </c>
      <c r="B21222" s="219"/>
      <c r="C21222" s="219"/>
      <c r="D21222" s="219"/>
      <c r="E21222" s="219"/>
      <c r="F21222" s="219"/>
      <c r="G21222" s="52">
        <f>SUM(G21217:G21221)</f>
        <v>8731</v>
      </c>
    </row>
    <row r="21223" spans="1:7" x14ac:dyDescent="0.25">
      <c r="A21223" s="56"/>
      <c r="B21223" s="57"/>
      <c r="C21223" s="57"/>
      <c r="D21223" s="57"/>
      <c r="E21223" s="57"/>
      <c r="F21223" s="57"/>
      <c r="G21223" s="58"/>
    </row>
    <row r="21224" spans="1:7" x14ac:dyDescent="0.25">
      <c r="A21224" s="219" t="s">
        <v>1516</v>
      </c>
      <c r="B21224" s="219"/>
      <c r="C21224" s="219"/>
      <c r="D21224" s="219"/>
      <c r="E21224" s="219"/>
      <c r="F21224" s="219"/>
      <c r="G21224" s="52">
        <f>G21222+G21213+G21196+G21186+G21176</f>
        <v>81862</v>
      </c>
    </row>
    <row r="21225" spans="1:7" x14ac:dyDescent="0.25">
      <c r="A21225" s="59"/>
      <c r="B21225" s="60"/>
      <c r="C21225" s="60"/>
      <c r="D21225" s="60"/>
      <c r="E21225" s="57"/>
      <c r="F21225" s="57"/>
      <c r="G21225" s="58"/>
    </row>
    <row r="21226" spans="1:7" x14ac:dyDescent="0.25">
      <c r="A21226" s="64"/>
      <c r="D21226" s="55"/>
      <c r="E21226" s="49" t="s">
        <v>25</v>
      </c>
      <c r="F21226" s="54">
        <v>0.15</v>
      </c>
      <c r="G21226" s="51">
        <f>G21224*F21226</f>
        <v>12279.3</v>
      </c>
    </row>
    <row r="21227" spans="1:7" x14ac:dyDescent="0.25">
      <c r="A21227" s="64"/>
      <c r="D21227" s="55"/>
      <c r="E21227" s="49" t="s">
        <v>26</v>
      </c>
      <c r="F21227" s="54">
        <v>0.05</v>
      </c>
      <c r="G21227" s="51">
        <f>G21224*F21227</f>
        <v>4093.1000000000004</v>
      </c>
    </row>
    <row r="21228" spans="1:7" x14ac:dyDescent="0.25">
      <c r="A21228" s="61"/>
      <c r="B21228" s="65"/>
      <c r="C21228" s="65"/>
      <c r="D21228" s="62"/>
      <c r="E21228" s="49" t="s">
        <v>27</v>
      </c>
      <c r="F21228" s="54">
        <v>0.05</v>
      </c>
      <c r="G21228" s="51">
        <f>G21224*F21228</f>
        <v>4093.1000000000004</v>
      </c>
    </row>
    <row r="21229" spans="1:7" x14ac:dyDescent="0.25">
      <c r="A21229" s="61"/>
      <c r="B21229" s="62"/>
      <c r="C21229" s="62"/>
      <c r="D21229" s="62"/>
      <c r="E21229" s="62"/>
      <c r="F21229" s="62"/>
      <c r="G21229" s="63"/>
    </row>
    <row r="21230" spans="1:7" x14ac:dyDescent="0.25">
      <c r="A21230" s="219" t="s">
        <v>1517</v>
      </c>
      <c r="B21230" s="219"/>
      <c r="C21230" s="219"/>
      <c r="D21230" s="219"/>
      <c r="E21230" s="219"/>
      <c r="F21230" s="219"/>
      <c r="G21230" s="52">
        <f>G21224+G21226+G21227+G21228</f>
        <v>102327.50000000001</v>
      </c>
    </row>
    <row r="21231" spans="1:7" x14ac:dyDescent="0.25">
      <c r="A21231" s="59"/>
      <c r="B21231" s="60"/>
      <c r="C21231" s="60"/>
      <c r="D21231" s="60"/>
      <c r="E21231" s="57"/>
      <c r="F21231" s="57"/>
      <c r="G21231" s="58"/>
    </row>
    <row r="21232" spans="1:7" x14ac:dyDescent="0.25">
      <c r="A21232" s="64"/>
      <c r="D21232" s="55"/>
      <c r="E21232" s="49" t="s">
        <v>102</v>
      </c>
      <c r="F21232" s="49" t="s">
        <v>103</v>
      </c>
      <c r="G21232" s="51">
        <f>G21228*19%</f>
        <v>777.68900000000008</v>
      </c>
    </row>
    <row r="21233" spans="1:9" x14ac:dyDescent="0.25">
      <c r="A21233" s="61"/>
      <c r="B21233" s="62"/>
      <c r="C21233" s="62"/>
      <c r="D21233" s="62"/>
      <c r="E21233" s="57"/>
      <c r="F21233" s="57"/>
      <c r="G21233" s="58"/>
    </row>
    <row r="21234" spans="1:9" x14ac:dyDescent="0.25">
      <c r="A21234" s="219" t="s">
        <v>104</v>
      </c>
      <c r="B21234" s="219"/>
      <c r="C21234" s="219"/>
      <c r="D21234" s="219"/>
      <c r="E21234" s="219"/>
      <c r="F21234" s="219"/>
      <c r="G21234" s="52">
        <f>G21232+G21230</f>
        <v>103105.18900000001</v>
      </c>
    </row>
    <row r="21236" spans="1:9" x14ac:dyDescent="0.25">
      <c r="A21236" s="74" t="s">
        <v>29</v>
      </c>
      <c r="B21236" s="226" t="s">
        <v>30</v>
      </c>
      <c r="C21236" s="226"/>
      <c r="D21236" s="74" t="s">
        <v>31</v>
      </c>
      <c r="E21236" s="74" t="s">
        <v>32</v>
      </c>
      <c r="F21236" s="74" t="s">
        <v>189</v>
      </c>
      <c r="G21236" s="74" t="s">
        <v>33</v>
      </c>
    </row>
    <row r="21237" spans="1:9" ht="84.75" customHeight="1" x14ac:dyDescent="0.25">
      <c r="A21237" s="50" t="str">
        <f>Presupuesto!B405</f>
        <v>069_AUX</v>
      </c>
      <c r="B21237" s="220" t="str">
        <f>Presupuesto!C405</f>
        <v>TABLERO AUTOSOPORTADO DE FABRICACIÓN ESPECIAL. DE USO INTERIOR. IP 54. LAMINA DE ACERO GALVANIZADA CALIBRE 18. CON BARRAJE PARA DISTRIBUCIÓN DE CIRCUITOS AC (+NE01). INCLUYE ILUMINACIÓN,  16 BREAKERS DE 25 KA, BREAKER 3X40 A DE 25 KA, BREAKER 1X15A DE 25 KA, BREAKER 3X15 DE 25 KA, TOTALIZADOR 3X80 A DE 25 KA, TOTALIZADOR 3X100A DE 25 KA, BREAKER 3X20A DE 25 KA, BREAKER 2X20A DE 25 KA . TOMACORRIENTE Y ACCESORIOS</v>
      </c>
      <c r="C21237" s="220"/>
      <c r="D21237" s="50" t="s">
        <v>8</v>
      </c>
      <c r="E21237" s="50">
        <v>1</v>
      </c>
      <c r="F21237" s="50"/>
      <c r="G21237" s="51">
        <f>G21307</f>
        <v>20326117.058499996</v>
      </c>
    </row>
    <row r="21238" spans="1:9" x14ac:dyDescent="0.25">
      <c r="A21238" s="219" t="s">
        <v>34</v>
      </c>
      <c r="B21238" s="219"/>
      <c r="C21238" s="219"/>
      <c r="D21238" s="219"/>
      <c r="E21238" s="219"/>
      <c r="F21238" s="219"/>
      <c r="G21238" s="219"/>
    </row>
    <row r="21239" spans="1:9" x14ac:dyDescent="0.25">
      <c r="A21239" s="49" t="s">
        <v>35</v>
      </c>
      <c r="B21239" s="234" t="s">
        <v>36</v>
      </c>
      <c r="C21239" s="235"/>
      <c r="D21239" s="49" t="s">
        <v>37</v>
      </c>
      <c r="E21239" s="49" t="s">
        <v>38</v>
      </c>
      <c r="F21239" s="49" t="s">
        <v>39</v>
      </c>
      <c r="G21239" s="49" t="s">
        <v>40</v>
      </c>
    </row>
    <row r="21240" spans="1:9" ht="35.25" customHeight="1" x14ac:dyDescent="0.25">
      <c r="A21240" s="17" t="str">
        <f>Material!A388</f>
        <v>MA-387</v>
      </c>
      <c r="B21240" s="221" t="str">
        <f>IFERROR(VLOOKUP(A21240,Material!$A:$H,2,0),"-")</f>
        <v>TABLERO AUTOSOPORTADO DE FABRICACIÓN ESPECIAL. DE USO INTERIOR. IP 65. LAMINA DE ACERO GALVANIZADA CALIBRE 18 CON BARRAJE DE DISTRIBUCIÓN DE CIRCUITOS</v>
      </c>
      <c r="C21240" s="222"/>
      <c r="D21240" s="50" t="str">
        <f>IFERROR(VLOOKUP(A21240,Material!$A:$H,4,0),"-")</f>
        <v>UN</v>
      </c>
      <c r="E21240" s="50">
        <v>1</v>
      </c>
      <c r="F21240" s="51">
        <f>IFERROR(VLOOKUP(A21240,Material!$A:$H,3,0),"-")</f>
        <v>9100000</v>
      </c>
      <c r="G21240" s="51">
        <f t="shared" ref="G21240:G21249" si="316">IFERROR(ROUNDUP(F21240*E21240,0),"-")</f>
        <v>9100000</v>
      </c>
    </row>
    <row r="21241" spans="1:9" x14ac:dyDescent="0.25">
      <c r="A21241" s="17" t="str">
        <f>Material!A33</f>
        <v>MA-32</v>
      </c>
      <c r="B21241" s="72" t="str">
        <f>IFERROR(VLOOKUP(A21241,Material!$A:$H,2,0),"-")</f>
        <v>LÁMPARA LED</v>
      </c>
      <c r="C21241" s="76"/>
      <c r="D21241" s="93" t="str">
        <f>IFERROR(VLOOKUP(A21241,Material!$A:$H,4,0),"-")</f>
        <v>UN</v>
      </c>
      <c r="E21241" s="93">
        <v>1</v>
      </c>
      <c r="F21241" s="144">
        <f>IFERROR(VLOOKUP(A21241,Material!$A:$H,3,0),"-")</f>
        <v>307373.88256268692</v>
      </c>
      <c r="G21241" s="51">
        <f t="shared" si="316"/>
        <v>307374</v>
      </c>
    </row>
    <row r="21242" spans="1:9" x14ac:dyDescent="0.25">
      <c r="A21242" s="17" t="str">
        <f>Material!A557</f>
        <v>MA-556</v>
      </c>
      <c r="B21242" s="72" t="str">
        <f>IFERROR(VLOOKUP(A21242,Material!$A:$H,2,0),"-")</f>
        <v>BREAKER REGULABLE CAJA MOLDEADA 3x40A TIPO INDUSTRIAL</v>
      </c>
      <c r="C21242" s="76"/>
      <c r="D21242" s="93" t="str">
        <f>IFERROR(VLOOKUP(A21242,Material!$A:$H,4,0),"-")</f>
        <v>UN</v>
      </c>
      <c r="E21242" s="93">
        <v>3</v>
      </c>
      <c r="F21242" s="144">
        <f>IFERROR(VLOOKUP(A21242,Material!$A:$H,3,0),"-")</f>
        <v>512005</v>
      </c>
      <c r="G21242" s="51">
        <f t="shared" si="316"/>
        <v>1536015</v>
      </c>
    </row>
    <row r="21243" spans="1:9" x14ac:dyDescent="0.25">
      <c r="A21243" s="17" t="str">
        <f>Material!A559</f>
        <v>MA-558</v>
      </c>
      <c r="B21243" s="72" t="str">
        <f>IFERROR(VLOOKUP(A21243,Material!$A:$H,2,0),"-")</f>
        <v>BREAKER REGULABLE CAJA MOLDEADA 3x100 A TIPO INDUSTRIAL</v>
      </c>
      <c r="C21243" s="76"/>
      <c r="D21243" s="93" t="str">
        <f>IFERROR(VLOOKUP(A21243,Material!$A:$H,4,0),"-")</f>
        <v>UN</v>
      </c>
      <c r="E21243" s="93">
        <v>1</v>
      </c>
      <c r="F21243" s="144">
        <f>IFERROR(VLOOKUP(A21243,Material!$A:$H,3,0),"-")</f>
        <v>438482.2</v>
      </c>
      <c r="G21243" s="51">
        <f>IFERROR(ROUNDUP(F21243*E21243,0),"-")</f>
        <v>438483</v>
      </c>
    </row>
    <row r="21244" spans="1:9" x14ac:dyDescent="0.25">
      <c r="A21244" s="17" t="str">
        <f>Material!A183</f>
        <v>MA-182</v>
      </c>
      <c r="B21244" s="72" t="str">
        <f>IFERROR(VLOOKUP(A21244,Material!$A:$H,2,0),"-")</f>
        <v>INTERRUPTOR AC 1X15 25 kA</v>
      </c>
      <c r="C21244" s="76"/>
      <c r="D21244" s="93" t="str">
        <f>IFERROR(VLOOKUP(A21244,Material!$A:$H,4,0),"-")</f>
        <v>UN</v>
      </c>
      <c r="E21244" s="93">
        <v>20</v>
      </c>
      <c r="F21244" s="144">
        <f>IFERROR(VLOOKUP(A21244,Material!$A:$H,3,0),"-")</f>
        <v>87360</v>
      </c>
      <c r="G21244" s="51">
        <f t="shared" si="316"/>
        <v>1747200</v>
      </c>
    </row>
    <row r="21245" spans="1:9" x14ac:dyDescent="0.25">
      <c r="A21245" s="17" t="str">
        <f>Material!A184</f>
        <v>MA-183</v>
      </c>
      <c r="B21245" s="72" t="str">
        <f>IFERROR(VLOOKUP(A21245,Material!$A:$H,2,0),"-")</f>
        <v>INTERRUPTOR AC 3X15 25 kA</v>
      </c>
      <c r="C21245" s="76"/>
      <c r="D21245" s="93" t="str">
        <f>IFERROR(VLOOKUP(A21245,Material!$A:$H,4,0),"-")</f>
        <v>UN</v>
      </c>
      <c r="E21245" s="93">
        <v>1</v>
      </c>
      <c r="F21245" s="144">
        <f>IFERROR(VLOOKUP(A21245,Material!$A:$H,3,0),"-")</f>
        <v>268710</v>
      </c>
      <c r="G21245" s="51">
        <f t="shared" si="316"/>
        <v>268710</v>
      </c>
    </row>
    <row r="21246" spans="1:9" x14ac:dyDescent="0.25">
      <c r="A21246" s="17" t="str">
        <f>Material!A185</f>
        <v>MA-184</v>
      </c>
      <c r="B21246" s="72" t="str">
        <f>IFERROR(VLOOKUP(A21246,Material!$A:$H,2,0),"-")</f>
        <v>INTERRUPTOR AC 2X20 25 kA TIPO RIEL</v>
      </c>
      <c r="C21246" s="76"/>
      <c r="D21246" s="93" t="str">
        <f>IFERROR(VLOOKUP(A21246,Material!$A:$H,4,0),"-")</f>
        <v>UN</v>
      </c>
      <c r="E21246" s="93">
        <v>2</v>
      </c>
      <c r="F21246" s="144">
        <f>IFERROR(VLOOKUP(A21246,Material!$A:$H,3,0),"-")</f>
        <v>44223.4</v>
      </c>
      <c r="G21246" s="51">
        <f t="shared" si="316"/>
        <v>88447</v>
      </c>
    </row>
    <row r="21247" spans="1:9" x14ac:dyDescent="0.25">
      <c r="A21247" s="17" t="str">
        <f>Material!A562</f>
        <v>MA-561</v>
      </c>
      <c r="B21247" s="72" t="str">
        <f>IFERROR(VLOOKUP(A21247,Material!$A:$H,2,0),"-")</f>
        <v>BREAKER TIPO RIEL 1x30A</v>
      </c>
      <c r="C21247" s="76"/>
      <c r="D21247" s="93" t="str">
        <f>IFERROR(VLOOKUP(A21247,Material!$A:$H,4,0),"-")</f>
        <v>UN</v>
      </c>
      <c r="E21247" s="93">
        <v>4</v>
      </c>
      <c r="F21247" s="144">
        <f>IFERROR(VLOOKUP(A21247,Material!$A:$H,3,0),"-")</f>
        <v>41119</v>
      </c>
      <c r="G21247" s="51">
        <f t="shared" ref="G21247" si="317">IFERROR(ROUNDUP(F21247*E21247,0),"-")</f>
        <v>164476</v>
      </c>
    </row>
    <row r="21248" spans="1:9" x14ac:dyDescent="0.25">
      <c r="A21248" s="17" t="str">
        <f>Material!A142</f>
        <v>MA-141</v>
      </c>
      <c r="B21248" s="72" t="str">
        <f>IFERROR(VLOOKUP(A21248,Material!$A:$H,2,0),"-")</f>
        <v>CAJA RAWELT</v>
      </c>
      <c r="C21248" s="76"/>
      <c r="D21248" s="93" t="str">
        <f>IFERROR(VLOOKUP(A21248,Material!$A:$H,4,0),"-")</f>
        <v>UN</v>
      </c>
      <c r="E21248" s="93">
        <v>1</v>
      </c>
      <c r="F21248" s="144">
        <f>IFERROR(VLOOKUP(A21248,Material!$A:$H,3,0),"-")</f>
        <v>13778.7</v>
      </c>
      <c r="G21248" s="51">
        <f t="shared" si="316"/>
        <v>13779</v>
      </c>
      <c r="I21248" s="97"/>
    </row>
    <row r="21249" spans="1:9" x14ac:dyDescent="0.25">
      <c r="A21249" s="17" t="str">
        <f>Material!A230</f>
        <v>MA-229</v>
      </c>
      <c r="B21249" s="72" t="str">
        <f>IFERROR(VLOOKUP(A21249,Material!$A:$H,2,0),"-")</f>
        <v>TOMA CORRIENTE LEVITON</v>
      </c>
      <c r="C21249" s="76"/>
      <c r="D21249" s="50" t="str">
        <f>IFERROR(VLOOKUP(A21249,Material!$A:$H,4,0),"-")</f>
        <v>UN</v>
      </c>
      <c r="E21249" s="50">
        <v>1</v>
      </c>
      <c r="F21249" s="51">
        <f>IFERROR(VLOOKUP(A21249,Material!$A:$H,3,0),"-")</f>
        <v>4615</v>
      </c>
      <c r="G21249" s="51">
        <f t="shared" si="316"/>
        <v>4615</v>
      </c>
    </row>
    <row r="21250" spans="1:9" x14ac:dyDescent="0.25">
      <c r="A21250" s="219" t="s">
        <v>41</v>
      </c>
      <c r="B21250" s="219"/>
      <c r="C21250" s="219"/>
      <c r="D21250" s="219"/>
      <c r="E21250" s="219"/>
      <c r="F21250" s="219"/>
      <c r="G21250" s="52">
        <f>SUM(G21240:G21249)</f>
        <v>13669099</v>
      </c>
    </row>
    <row r="21251" spans="1:9" x14ac:dyDescent="0.25">
      <c r="A21251" s="56"/>
      <c r="B21251" s="57"/>
      <c r="C21251" s="57"/>
      <c r="D21251" s="57"/>
      <c r="E21251" s="57"/>
      <c r="F21251" s="57"/>
      <c r="G21251" s="58"/>
      <c r="I21251" s="97"/>
    </row>
    <row r="21252" spans="1:9" x14ac:dyDescent="0.25">
      <c r="A21252" s="219" t="s">
        <v>42</v>
      </c>
      <c r="B21252" s="219"/>
      <c r="C21252" s="219"/>
      <c r="D21252" s="219"/>
      <c r="E21252" s="219"/>
      <c r="F21252" s="219"/>
      <c r="G21252" s="219"/>
    </row>
    <row r="21253" spans="1:9" x14ac:dyDescent="0.25">
      <c r="A21253" s="49" t="s">
        <v>35</v>
      </c>
      <c r="B21253" s="49" t="s">
        <v>36</v>
      </c>
      <c r="C21253" s="49" t="s">
        <v>38</v>
      </c>
      <c r="D21253" s="49" t="s">
        <v>43</v>
      </c>
      <c r="E21253" s="49" t="s">
        <v>44</v>
      </c>
      <c r="F21253" s="49" t="s">
        <v>45</v>
      </c>
      <c r="G21253" s="49" t="s">
        <v>40</v>
      </c>
    </row>
    <row r="21254" spans="1:9" x14ac:dyDescent="0.25">
      <c r="A21254" s="50" t="s">
        <v>319</v>
      </c>
      <c r="B21254" s="68" t="str">
        <f>VLOOKUP(A21254,'Componentes APUs'!$H$1:$L$25,2,0)</f>
        <v>Ingeniero Residente de Obra</v>
      </c>
      <c r="C21254" s="93">
        <v>0.25</v>
      </c>
      <c r="D21254" s="50">
        <f>VLOOKUP(A21254,'Componentes APUs'!$H$1:$L$25,3,0)</f>
        <v>4</v>
      </c>
      <c r="E21254" s="51">
        <f>VLOOKUP(A21254,'Componentes APUs'!$H$1:$L$25,4,0)</f>
        <v>271142.85714285716</v>
      </c>
      <c r="F21254" s="51">
        <f>VLOOKUP(A21254,'Componentes APUs'!$H$1:$L$25,5,0)</f>
        <v>162685.71428571429</v>
      </c>
      <c r="G21254" s="51">
        <f>ROUNDUP((E21254+F21254)*C21254/E21237,0)</f>
        <v>108458</v>
      </c>
    </row>
    <row r="21255" spans="1:9" x14ac:dyDescent="0.25">
      <c r="A21255" s="50" t="s">
        <v>320</v>
      </c>
      <c r="B21255" s="68" t="str">
        <f>VLOOKUP(A21255,'Componentes APUs'!$H$1:$L$25,2,0)</f>
        <v>Tecnico Supervisor</v>
      </c>
      <c r="C21255" s="93">
        <v>0.25</v>
      </c>
      <c r="D21255" s="50">
        <f>VLOOKUP(A21255,'Componentes APUs'!$H$1:$L$25,3,0)</f>
        <v>2.2999999999999998</v>
      </c>
      <c r="E21255" s="51">
        <f>VLOOKUP(A21255,'Componentes APUs'!$H$1:$L$25,4,0)</f>
        <v>155907.14285714284</v>
      </c>
      <c r="F21255" s="51">
        <f>VLOOKUP(A21255,'Componentes APUs'!$H$1:$L$25,5,0)</f>
        <v>93544.285714285696</v>
      </c>
      <c r="G21255" s="51">
        <f>ROUNDUP((E21255+F21255)*C21255/E21237,0)</f>
        <v>62363</v>
      </c>
    </row>
    <row r="21256" spans="1:9" x14ac:dyDescent="0.25">
      <c r="A21256" s="50" t="s">
        <v>1160</v>
      </c>
      <c r="B21256" s="68" t="str">
        <f>VLOOKUP(A21256,'Componentes APUs'!$H$1:$L$25,2,0)</f>
        <v>Oficial Eléctrico</v>
      </c>
      <c r="C21256" s="93">
        <v>1</v>
      </c>
      <c r="D21256" s="50">
        <f>VLOOKUP(A21256,'Componentes APUs'!$H$1:$L$25,3,0)</f>
        <v>2</v>
      </c>
      <c r="E21256" s="51">
        <f>VLOOKUP(A21256,'Componentes APUs'!$H$1:$L$25,4,0)</f>
        <v>154619.04761904763</v>
      </c>
      <c r="F21256" s="51">
        <f>VLOOKUP(A21256,'Componentes APUs'!$H$1:$L$25,5,0)</f>
        <v>92771.42857142858</v>
      </c>
      <c r="G21256" s="51">
        <f>ROUNDUP((E21256+F21256)*C21256/E21237,0)</f>
        <v>247391</v>
      </c>
    </row>
    <row r="21257" spans="1:9" x14ac:dyDescent="0.25">
      <c r="A21257" s="50" t="s">
        <v>48</v>
      </c>
      <c r="B21257" s="68" t="str">
        <f>VLOOKUP(A21257,'Componentes APUs'!$H$1:$L$25,2,0)</f>
        <v>Ayudante Calificado</v>
      </c>
      <c r="C21257" s="93">
        <v>1</v>
      </c>
      <c r="D21257" s="50">
        <f>VLOOKUP(A21257,'Componentes APUs'!$H$1:$L$25,3,0)</f>
        <v>1.5</v>
      </c>
      <c r="E21257" s="51">
        <f>VLOOKUP(A21257,'Componentes APUs'!$H$1:$L$25,4,0)</f>
        <v>115964.28571428571</v>
      </c>
      <c r="F21257" s="51">
        <f>VLOOKUP(A21257,'Componentes APUs'!$H$1:$L$25,5,0)</f>
        <v>69578.57142857142</v>
      </c>
      <c r="G21257" s="51">
        <f>ROUNDUP((E21257+F21257)*C21257/E21237,0)</f>
        <v>185543</v>
      </c>
    </row>
    <row r="21258" spans="1:9" x14ac:dyDescent="0.25">
      <c r="A21258" s="50" t="s">
        <v>50</v>
      </c>
      <c r="B21258" s="68" t="str">
        <f>VLOOKUP(A21258,'Componentes APUs'!$H$1:$L$25,2,0)</f>
        <v>Profesional en SST</v>
      </c>
      <c r="C21258" s="93">
        <v>0.25</v>
      </c>
      <c r="D21258" s="50">
        <f>VLOOKUP(A21258,'Componentes APUs'!$H$1:$L$25,3,0)</f>
        <v>2.5</v>
      </c>
      <c r="E21258" s="51">
        <f>VLOOKUP(A21258,'Componentes APUs'!$H$1:$L$25,4,0)</f>
        <v>169464.28571428571</v>
      </c>
      <c r="F21258" s="51">
        <f>VLOOKUP(A21258,'Componentes APUs'!$H$1:$L$25,5,0)</f>
        <v>101678.57142857142</v>
      </c>
      <c r="G21258" s="51">
        <f>ROUNDUP((E21258+F21258)*C21258/E21237,0)</f>
        <v>67786</v>
      </c>
    </row>
    <row r="21259" spans="1:9" x14ac:dyDescent="0.25">
      <c r="A21259" s="50" t="s">
        <v>52</v>
      </c>
      <c r="B21259" s="68" t="str">
        <f>VLOOKUP(A21259,'Componentes APUs'!$H$1:$L$25,2,0)</f>
        <v>Ayudante No Calificado</v>
      </c>
      <c r="C21259" s="93">
        <v>0</v>
      </c>
      <c r="D21259" s="50">
        <f>VLOOKUP(A21259,'Componentes APUs'!$H$1:$L$25,3,0)</f>
        <v>1</v>
      </c>
      <c r="E21259" s="51">
        <f>VLOOKUP(A21259,'Componentes APUs'!$H$1:$L$25,4,0)</f>
        <v>77309.523809523816</v>
      </c>
      <c r="F21259" s="51">
        <f>VLOOKUP(A21259,'Componentes APUs'!$H$1:$L$25,5,0)</f>
        <v>46385.71428571429</v>
      </c>
      <c r="G21259" s="51">
        <f>ROUNDUP((E21259+F21259)*C21259/E21237,0)</f>
        <v>0</v>
      </c>
    </row>
    <row r="21260" spans="1:9" x14ac:dyDescent="0.25">
      <c r="A21260" s="50" t="s">
        <v>1121</v>
      </c>
      <c r="B21260" s="68" t="str">
        <f>VLOOKUP(A21260,'Componentes APUs'!$H$1:$L$25,2,0)</f>
        <v>Ingeniero Especialista de Control y Protección Subestación</v>
      </c>
      <c r="C21260" s="93">
        <v>1</v>
      </c>
      <c r="D21260" s="50">
        <f>VLOOKUP(A21260,'Componentes APUs'!$H$1:$L$25,3,0)</f>
        <v>14</v>
      </c>
      <c r="E21260" s="51">
        <f>VLOOKUP(A21260,'Componentes APUs'!$H$1:$L$25,4,0)</f>
        <v>949000</v>
      </c>
      <c r="F21260" s="51">
        <f>VLOOKUP(A21260,'Componentes APUs'!$H$1:$L$25,5,0)</f>
        <v>569400</v>
      </c>
      <c r="G21260" s="51">
        <f>ROUNDUP((E21260+F21260)*C21260/E21237,0)</f>
        <v>1518400</v>
      </c>
    </row>
    <row r="21261" spans="1:9" x14ac:dyDescent="0.25">
      <c r="A21261" s="219" t="s">
        <v>56</v>
      </c>
      <c r="B21261" s="219"/>
      <c r="C21261" s="219"/>
      <c r="D21261" s="219"/>
      <c r="E21261" s="219"/>
      <c r="F21261" s="219"/>
      <c r="G21261" s="52">
        <f>SUM(G21254:G21260)</f>
        <v>2189941</v>
      </c>
    </row>
    <row r="21262" spans="1:9" x14ac:dyDescent="0.25">
      <c r="A21262" s="56"/>
      <c r="B21262" s="57"/>
      <c r="C21262" s="57"/>
      <c r="D21262" s="57"/>
      <c r="E21262" s="57"/>
      <c r="F21262" s="57"/>
      <c r="G21262" s="58"/>
    </row>
    <row r="21263" spans="1:9" x14ac:dyDescent="0.25">
      <c r="A21263" s="219" t="s">
        <v>57</v>
      </c>
      <c r="B21263" s="219"/>
      <c r="C21263" s="219"/>
      <c r="D21263" s="219"/>
      <c r="E21263" s="219"/>
      <c r="F21263" s="219"/>
      <c r="G21263" s="219"/>
    </row>
    <row r="21264" spans="1:9" x14ac:dyDescent="0.25">
      <c r="A21264" s="49" t="s">
        <v>35</v>
      </c>
      <c r="B21264" s="219" t="s">
        <v>36</v>
      </c>
      <c r="C21264" s="219"/>
      <c r="D21264" s="49" t="s">
        <v>37</v>
      </c>
      <c r="E21264" s="49" t="s">
        <v>38</v>
      </c>
      <c r="F21264" s="49" t="s">
        <v>39</v>
      </c>
      <c r="G21264" s="49" t="s">
        <v>40</v>
      </c>
    </row>
    <row r="21265" spans="1:7" x14ac:dyDescent="0.25">
      <c r="A21265" s="50" t="s">
        <v>326</v>
      </c>
      <c r="B21265" s="220" t="str">
        <f>VLOOKUP(A21265,'Componentes APUs'!$S$1:$V$10,2,0)</f>
        <v>Juego Llaves</v>
      </c>
      <c r="C21265" s="220"/>
      <c r="D21265" s="50" t="s">
        <v>18</v>
      </c>
      <c r="E21265" s="50">
        <v>2</v>
      </c>
      <c r="F21265" s="51">
        <f>VLOOKUP(A21265,'Componentes APUs'!$S$1:$V$10,4,0)</f>
        <v>9167</v>
      </c>
      <c r="G21265" s="51">
        <f>ROUNDUP(F21265*((E21265/21)/E21237),0)</f>
        <v>874</v>
      </c>
    </row>
    <row r="21266" spans="1:7" x14ac:dyDescent="0.25">
      <c r="A21266" s="50" t="s">
        <v>58</v>
      </c>
      <c r="B21266" s="220" t="str">
        <f>VLOOKUP(A21266,'Componentes APUs'!$S$1:$V$10,2,0)</f>
        <v>Manila de servicio</v>
      </c>
      <c r="C21266" s="220"/>
      <c r="D21266" s="50" t="s">
        <v>18</v>
      </c>
      <c r="E21266" s="50">
        <v>0</v>
      </c>
      <c r="F21266" s="51">
        <f>VLOOKUP(A21266,'Componentes APUs'!$S$1:$V$10,4,0)</f>
        <v>2333</v>
      </c>
      <c r="G21266" s="51">
        <f>ROUNDUP(F21266*((E21266/21)/E21237),0)</f>
        <v>0</v>
      </c>
    </row>
    <row r="21267" spans="1:7" x14ac:dyDescent="0.25">
      <c r="A21267" s="50" t="s">
        <v>327</v>
      </c>
      <c r="B21267" s="220" t="str">
        <f>VLOOKUP(A21267,'Componentes APUs'!$S$1:$V$10,2,0)</f>
        <v>Tula portaherramientas</v>
      </c>
      <c r="C21267" s="220"/>
      <c r="D21267" s="50" t="s">
        <v>18</v>
      </c>
      <c r="E21267" s="50">
        <v>2</v>
      </c>
      <c r="F21267" s="51">
        <f>VLOOKUP(A21267,'Componentes APUs'!$S$1:$V$10,4,0)</f>
        <v>1250</v>
      </c>
      <c r="G21267" s="51">
        <f>ROUNDUP(F21267*((E21267/21)/E21237),0)</f>
        <v>120</v>
      </c>
    </row>
    <row r="21268" spans="1:7" x14ac:dyDescent="0.25">
      <c r="A21268" s="50" t="s">
        <v>60</v>
      </c>
      <c r="B21268" s="220" t="str">
        <f>VLOOKUP(A21268,'Componentes APUs'!$S$1:$V$10,2,0)</f>
        <v>Agarradoras</v>
      </c>
      <c r="C21268" s="220"/>
      <c r="D21268" s="50" t="s">
        <v>18</v>
      </c>
      <c r="E21268" s="50">
        <v>0</v>
      </c>
      <c r="F21268" s="51">
        <f>VLOOKUP(A21268,'Componentes APUs'!$S$1:$V$10,4,0)</f>
        <v>125000</v>
      </c>
      <c r="G21268" s="51">
        <f>ROUNDUP(F21268*((E21268/21)/E21237),0)</f>
        <v>0</v>
      </c>
    </row>
    <row r="21269" spans="1:7" x14ac:dyDescent="0.25">
      <c r="A21269" s="50" t="s">
        <v>62</v>
      </c>
      <c r="B21269" s="220" t="str">
        <f>VLOOKUP(A21269,'Componentes APUs'!$S$1:$V$10,2,0)</f>
        <v>Templadoras</v>
      </c>
      <c r="C21269" s="220"/>
      <c r="D21269" s="50" t="s">
        <v>18</v>
      </c>
      <c r="E21269" s="50">
        <v>0</v>
      </c>
      <c r="F21269" s="51">
        <f>VLOOKUP(A21269,'Componentes APUs'!$S$1:$V$10,4,0)</f>
        <v>250000</v>
      </c>
      <c r="G21269" s="51">
        <f>ROUNDUP(F21269*((E21269/21)/E21237),0)</f>
        <v>0</v>
      </c>
    </row>
    <row r="21270" spans="1:7" x14ac:dyDescent="0.25">
      <c r="A21270" s="50" t="s">
        <v>328</v>
      </c>
      <c r="B21270" s="220" t="str">
        <f>VLOOKUP(A21270,'Componentes APUs'!$S$1:$V$10,2,0)</f>
        <v>Herramienta Menor</v>
      </c>
      <c r="C21270" s="220"/>
      <c r="D21270" s="50" t="s">
        <v>18</v>
      </c>
      <c r="E21270" s="50">
        <v>2</v>
      </c>
      <c r="F21270" s="51">
        <f>VLOOKUP(A21270,'Componentes APUs'!$S$1:$V$10,4,0)</f>
        <v>75758</v>
      </c>
      <c r="G21270" s="51">
        <f>ROUNDUP(F21270*((E21270/21)/E21237),0)</f>
        <v>7216</v>
      </c>
    </row>
    <row r="21271" spans="1:7" x14ac:dyDescent="0.25">
      <c r="A21271" s="219" t="s">
        <v>69</v>
      </c>
      <c r="B21271" s="219"/>
      <c r="C21271" s="219"/>
      <c r="D21271" s="219"/>
      <c r="E21271" s="219"/>
      <c r="F21271" s="219"/>
      <c r="G21271" s="52">
        <f>SUM(G21265:G21270)</f>
        <v>8210</v>
      </c>
    </row>
    <row r="21272" spans="1:7" x14ac:dyDescent="0.25">
      <c r="A21272" s="56"/>
      <c r="B21272" s="57"/>
      <c r="C21272" s="57"/>
      <c r="D21272" s="57"/>
      <c r="E21272" s="57"/>
      <c r="F21272" s="57"/>
      <c r="G21272" s="58"/>
    </row>
    <row r="21273" spans="1:7" x14ac:dyDescent="0.25">
      <c r="A21273" s="219" t="s">
        <v>70</v>
      </c>
      <c r="B21273" s="219"/>
      <c r="C21273" s="219"/>
      <c r="D21273" s="219"/>
      <c r="E21273" s="219"/>
      <c r="F21273" s="219"/>
      <c r="G21273" s="219"/>
    </row>
    <row r="21274" spans="1:7" x14ac:dyDescent="0.25">
      <c r="A21274" s="49" t="s">
        <v>35</v>
      </c>
      <c r="B21274" s="219" t="s">
        <v>36</v>
      </c>
      <c r="C21274" s="219"/>
      <c r="D21274" s="49" t="s">
        <v>37</v>
      </c>
      <c r="E21274" s="49" t="s">
        <v>38</v>
      </c>
      <c r="F21274" s="49" t="s">
        <v>39</v>
      </c>
      <c r="G21274" s="49" t="s">
        <v>40</v>
      </c>
    </row>
    <row r="21275" spans="1:7" x14ac:dyDescent="0.25">
      <c r="A21275" s="50" t="s">
        <v>71</v>
      </c>
      <c r="B21275" s="71" t="str">
        <f>VLOOKUP(A21275,'Componentes APUs'!$A$1:$D$14,2,0)</f>
        <v>Camisa indigo sin partes metalicas</v>
      </c>
      <c r="C21275" s="71"/>
      <c r="D21275" s="50" t="str">
        <f>VLOOKUP(A21275,'Componentes APUs'!$A$1:$D$14,3,0)</f>
        <v>U</v>
      </c>
      <c r="E21275" s="50">
        <f>SUM(C21254:C21260)</f>
        <v>3.75</v>
      </c>
      <c r="F21275" s="51">
        <f>VLOOKUP(A21275,'Componentes APUs'!$A$1:$D$14,4,0)</f>
        <v>8585.8585858585866</v>
      </c>
      <c r="G21275" s="51">
        <f>ROUNDUP(F21275*(E21275/21)/E21237,0)</f>
        <v>1534</v>
      </c>
    </row>
    <row r="21276" spans="1:7" x14ac:dyDescent="0.25">
      <c r="A21276" s="69" t="s">
        <v>73</v>
      </c>
      <c r="B21276" s="72" t="str">
        <f>VLOOKUP(A21276,'Componentes APUs'!$A$1:$D$14,2,0)</f>
        <v>Bota de seguridad dielectrica</v>
      </c>
      <c r="C21276" s="73"/>
      <c r="D21276" s="70" t="str">
        <f>VLOOKUP(A21276,'Componentes APUs'!$A$1:$D$14,3,0)</f>
        <v>Par</v>
      </c>
      <c r="E21276" s="50">
        <f>SUM(C21254:C21260)</f>
        <v>3.75</v>
      </c>
      <c r="F21276" s="51">
        <f>VLOOKUP(A21276,'Componentes APUs'!$A$1:$D$14,4,0)</f>
        <v>7500</v>
      </c>
      <c r="G21276" s="51">
        <f>ROUNDUP(F21276*(E21276/21)/E21237,0)</f>
        <v>1340</v>
      </c>
    </row>
    <row r="21277" spans="1:7" x14ac:dyDescent="0.25">
      <c r="A21277" s="50" t="s">
        <v>76</v>
      </c>
      <c r="B21277" s="72" t="str">
        <f>VLOOKUP(A21277,'Componentes APUs'!$A$1:$D$14,2,0)</f>
        <v>Casco dielectrico Tipo 1 Clase E con barbuquejo</v>
      </c>
      <c r="C21277" s="73"/>
      <c r="D21277" s="50" t="str">
        <f>VLOOKUP(A21277,'Componentes APUs'!$A$1:$D$14,3,0)</f>
        <v>U</v>
      </c>
      <c r="E21277" s="50">
        <f>C21254+C21260+C21255+C21258+C21259+C21257+IF(A21256&lt;&gt;"MO-3",C21256,0)</f>
        <v>3.75</v>
      </c>
      <c r="F21277" s="51">
        <f>VLOOKUP(A21277,'Componentes APUs'!$A$1:$D$14,4,0)</f>
        <v>10101.010101010101</v>
      </c>
      <c r="G21277" s="51">
        <f>ROUNDUP(F21277*(E21277/21)/E21237,0)</f>
        <v>1804</v>
      </c>
    </row>
    <row r="21278" spans="1:7" x14ac:dyDescent="0.25">
      <c r="A21278" s="69" t="s">
        <v>77</v>
      </c>
      <c r="B21278" s="72" t="str">
        <f>VLOOKUP(A21278,'Componentes APUs'!$A$1:$D$14,2,0)</f>
        <v>Correa plastica y antiflama</v>
      </c>
      <c r="C21278" s="73"/>
      <c r="D21278" s="50" t="str">
        <f>VLOOKUP(A21278,'Componentes APUs'!$A$1:$D$14,3,0)</f>
        <v>U</v>
      </c>
      <c r="E21278" s="50">
        <f>SUM(C21254:C21260)</f>
        <v>3.75</v>
      </c>
      <c r="F21278" s="51">
        <f>VLOOKUP(A21278,'Componentes APUs'!$A$1:$D$14,4,0)</f>
        <v>3787.878787878788</v>
      </c>
      <c r="G21278" s="51">
        <f>ROUNDUP(F21278*(E21278/21)/E21237,0)</f>
        <v>677</v>
      </c>
    </row>
    <row r="21279" spans="1:7" x14ac:dyDescent="0.25">
      <c r="A21279" s="50" t="s">
        <v>79</v>
      </c>
      <c r="B21279" s="72" t="str">
        <f>VLOOKUP(A21279,'Componentes APUs'!$A$1:$D$14,2,0)</f>
        <v>Gafas protectoras filtro UV</v>
      </c>
      <c r="C21279" s="73"/>
      <c r="D21279" s="50" t="str">
        <f>VLOOKUP(A21279,'Componentes APUs'!$A$1:$D$14,3,0)</f>
        <v>U</v>
      </c>
      <c r="E21279" s="50">
        <f>SUM(C21254:C21260)</f>
        <v>3.75</v>
      </c>
      <c r="F21279" s="51">
        <f>VLOOKUP(A21279,'Componentes APUs'!$A$1:$D$14,4,0)</f>
        <v>2777.7777777777778</v>
      </c>
      <c r="G21279" s="51">
        <f>ROUNDUP(F21279*(E21279/21)/E21237,0)</f>
        <v>497</v>
      </c>
    </row>
    <row r="21280" spans="1:7" x14ac:dyDescent="0.25">
      <c r="A21280" s="69" t="s">
        <v>402</v>
      </c>
      <c r="B21280" s="72" t="str">
        <f>VLOOKUP(A21280,'Componentes APUs'!$A$1:$D$14,2,0)</f>
        <v>Bota de seguridad PVC dielectrica</v>
      </c>
      <c r="C21280" s="73"/>
      <c r="D21280" s="50" t="str">
        <f>VLOOKUP(A21280,'Componentes APUs'!$A$1:$D$14,3,0)</f>
        <v>Par</v>
      </c>
      <c r="E21280" s="50">
        <f>SUM(C21254:C21260)</f>
        <v>3.75</v>
      </c>
      <c r="F21280" s="51">
        <f>VLOOKUP(A21280,'Componentes APUs'!$A$1:$D$14,4,0)</f>
        <v>2916.6666666666665</v>
      </c>
      <c r="G21280" s="51">
        <f>ROUNDUP(F21280*(E21280/21)/E21237,0)</f>
        <v>521</v>
      </c>
    </row>
    <row r="21281" spans="1:7" x14ac:dyDescent="0.25">
      <c r="A21281" s="50" t="s">
        <v>403</v>
      </c>
      <c r="B21281" s="72" t="str">
        <f>VLOOKUP(A21281,'Componentes APUs'!$A$1:$D$14,2,0)</f>
        <v>Capuchon</v>
      </c>
      <c r="C21281" s="73"/>
      <c r="D21281" s="50" t="str">
        <f>VLOOKUP(A21281,'Componentes APUs'!$A$1:$D$14,3,0)</f>
        <v>U</v>
      </c>
      <c r="E21281" s="50">
        <f>SUM(C21254:C21259)</f>
        <v>2.75</v>
      </c>
      <c r="F21281" s="51">
        <f>VLOOKUP(A21281,'Componentes APUs'!$A$1:$D$14,4,0)</f>
        <v>2525.2525252525252</v>
      </c>
      <c r="G21281" s="51">
        <f>ROUNDUP(F21281*(E21281/21)/E21237,0)</f>
        <v>331</v>
      </c>
    </row>
    <row r="21282" spans="1:7" x14ac:dyDescent="0.25">
      <c r="A21282" s="69" t="s">
        <v>81</v>
      </c>
      <c r="B21282" s="72" t="str">
        <f>VLOOKUP(A21282,'Componentes APUs'!$A$1:$D$14,2,0)</f>
        <v>Guantes Protectores  - ingeniero reforzados</v>
      </c>
      <c r="C21282" s="73"/>
      <c r="D21282" s="50" t="str">
        <f>VLOOKUP(A21282,'Componentes APUs'!$A$1:$D$14,3,0)</f>
        <v>Par</v>
      </c>
      <c r="E21282" s="50">
        <f>C21256+C21257+C21259+C21260</f>
        <v>3</v>
      </c>
      <c r="F21282" s="51">
        <f>VLOOKUP(A21282,'Componentes APUs'!$A$1:$D$14,4,0)</f>
        <v>2525.2525252525252</v>
      </c>
      <c r="G21282" s="51">
        <f>ROUNDUP(F21282*(E21282/21)/E21237,0)</f>
        <v>361</v>
      </c>
    </row>
    <row r="21283" spans="1:7" x14ac:dyDescent="0.25">
      <c r="A21283" s="50" t="s">
        <v>83</v>
      </c>
      <c r="B21283" s="72" t="str">
        <f>VLOOKUP(A21283,'Componentes APUs'!$A$1:$D$14,2,0)</f>
        <v>Impermeable (pantalon camisa)</v>
      </c>
      <c r="C21283" s="73"/>
      <c r="D21283" s="50" t="str">
        <f>VLOOKUP(A21283,'Componentes APUs'!$A$1:$D$14,3,0)</f>
        <v>U</v>
      </c>
      <c r="E21283" s="50">
        <f>SUM(C21254:C21260)</f>
        <v>3.75</v>
      </c>
      <c r="F21283" s="51">
        <f>VLOOKUP(A21283,'Componentes APUs'!$A$1:$D$14,4,0)</f>
        <v>3750</v>
      </c>
      <c r="G21283" s="51">
        <f>ROUNDUP(F21283*(E21283/21)/E21237,0)</f>
        <v>670</v>
      </c>
    </row>
    <row r="21284" spans="1:7" x14ac:dyDescent="0.25">
      <c r="A21284" s="69" t="s">
        <v>85</v>
      </c>
      <c r="B21284" s="72" t="str">
        <f>VLOOKUP(A21284,'Componentes APUs'!$A$1:$D$14,2,0)</f>
        <v>Jean Dielectrico</v>
      </c>
      <c r="C21284" s="73"/>
      <c r="D21284" s="50" t="str">
        <f>VLOOKUP(A21284,'Componentes APUs'!$A$1:$D$14,3,0)</f>
        <v>U</v>
      </c>
      <c r="E21284" s="50">
        <f>SUM(C21254:C21260)</f>
        <v>3.75</v>
      </c>
      <c r="F21284" s="51">
        <f>VLOOKUP(A21284,'Componentes APUs'!$A$1:$D$14,4,0)</f>
        <v>7575.757575757576</v>
      </c>
      <c r="G21284" s="51">
        <f>ROUNDUP(F21284*(E21284/21)/E21237,0)</f>
        <v>1353</v>
      </c>
    </row>
    <row r="21285" spans="1:7" x14ac:dyDescent="0.25">
      <c r="A21285" s="50" t="s">
        <v>87</v>
      </c>
      <c r="B21285" s="72" t="str">
        <f>VLOOKUP(A21285,'Componentes APUs'!$A$1:$D$14,2,0)</f>
        <v>Casco dielectrico Tipo 2 Clase E con barboquejo</v>
      </c>
      <c r="C21285" s="73"/>
      <c r="D21285" s="50" t="str">
        <f>VLOOKUP(A21285,'Componentes APUs'!$A$1:$D$14,3,0)</f>
        <v>U</v>
      </c>
      <c r="E21285" s="53">
        <f>IF(A21256="MO-3",C21256,0)</f>
        <v>0</v>
      </c>
      <c r="F21285" s="51">
        <f>VLOOKUP(A21285,'Componentes APUs'!$A$1:$D$14,4,0)</f>
        <v>7500</v>
      </c>
      <c r="G21285" s="51">
        <f>ROUNDUP(F21285*(E21285/21)/E21237,0)</f>
        <v>0</v>
      </c>
    </row>
    <row r="21286" spans="1:7" x14ac:dyDescent="0.25">
      <c r="A21286" s="69" t="s">
        <v>89</v>
      </c>
      <c r="B21286" s="72" t="str">
        <f>VLOOKUP(A21286,'Componentes APUs'!$A$1:$D$14,2,0)</f>
        <v>Kit de rescate para trabajo en alturas</v>
      </c>
      <c r="C21286" s="73"/>
      <c r="D21286" s="50" t="str">
        <f>VLOOKUP(A21286,'Componentes APUs'!$A$1:$D$14,3,0)</f>
        <v>U</v>
      </c>
      <c r="E21286" s="50">
        <f>IF(AND(A21256="MO-3",C21256=2),1,0)</f>
        <v>0</v>
      </c>
      <c r="F21286" s="51">
        <f>VLOOKUP(A21286,'Componentes APUs'!$A$1:$D$14,4,0)</f>
        <v>37500</v>
      </c>
      <c r="G21286" s="51">
        <f>ROUNDUP(F21286*(E21286/21)/E21237,0)</f>
        <v>0</v>
      </c>
    </row>
    <row r="21287" spans="1:7" x14ac:dyDescent="0.25">
      <c r="A21287" s="50" t="s">
        <v>91</v>
      </c>
      <c r="B21287" s="72" t="str">
        <f>VLOOKUP(A21287,'Componentes APUs'!$A$1:$D$14,2,0)</f>
        <v>Equipo completo para trabajo en alturas con pretales (Arnes dielectrico, 1 mosqueton de seguridad, tie off dielectrico, eslinga de posicionamiento, juego de pretales)</v>
      </c>
      <c r="C21287" s="73"/>
      <c r="D21287" s="50" t="str">
        <f>VLOOKUP(A21287,'Componentes APUs'!$A$1:$D$14,3,0)</f>
        <v>U</v>
      </c>
      <c r="E21287" s="50">
        <f>IF(A21256="MO-3",C21256,0)</f>
        <v>0</v>
      </c>
      <c r="F21287" s="51">
        <f>VLOOKUP(A21287,'Componentes APUs'!$A$1:$D$14,4,0)</f>
        <v>26041.666666666668</v>
      </c>
      <c r="G21287" s="51">
        <f>ROUNDUP(F21287*(E21287/21)/E21237,0)</f>
        <v>0</v>
      </c>
    </row>
    <row r="21288" spans="1:7" x14ac:dyDescent="0.25">
      <c r="A21288" s="219" t="s">
        <v>95</v>
      </c>
      <c r="B21288" s="219"/>
      <c r="C21288" s="219"/>
      <c r="D21288" s="219"/>
      <c r="E21288" s="219"/>
      <c r="F21288" s="219"/>
      <c r="G21288" s="52">
        <f>SUM(G21275:G21287)</f>
        <v>9088</v>
      </c>
    </row>
    <row r="21289" spans="1:7" x14ac:dyDescent="0.25">
      <c r="A21289" s="56"/>
      <c r="B21289" s="57"/>
      <c r="C21289" s="57"/>
      <c r="D21289" s="57"/>
      <c r="E21289" s="57"/>
      <c r="F21289" s="57"/>
      <c r="G21289" s="58"/>
    </row>
    <row r="21290" spans="1:7" x14ac:dyDescent="0.25">
      <c r="A21290" s="219" t="s">
        <v>96</v>
      </c>
      <c r="B21290" s="219"/>
      <c r="C21290" s="219"/>
      <c r="D21290" s="219"/>
      <c r="E21290" s="219"/>
      <c r="F21290" s="219"/>
      <c r="G21290" s="219"/>
    </row>
    <row r="21291" spans="1:7" x14ac:dyDescent="0.25">
      <c r="A21291" s="49" t="s">
        <v>35</v>
      </c>
      <c r="B21291" s="225" t="s">
        <v>36</v>
      </c>
      <c r="C21291" s="225"/>
      <c r="D21291" s="49" t="s">
        <v>37</v>
      </c>
      <c r="E21291" s="49" t="s">
        <v>38</v>
      </c>
      <c r="F21291" s="49" t="s">
        <v>39</v>
      </c>
      <c r="G21291" s="49" t="s">
        <v>40</v>
      </c>
    </row>
    <row r="21292" spans="1:7" x14ac:dyDescent="0.25">
      <c r="A21292" s="69" t="s">
        <v>97</v>
      </c>
      <c r="B21292" s="72" t="str">
        <f>VLOOKUP(A21292,'Componentes APUs'!$N$1:$Q$30,2,0)</f>
        <v>Camioneta</v>
      </c>
      <c r="C21292" s="73"/>
      <c r="D21292" s="70" t="str">
        <f>VLOOKUP(A21292,'Componentes APUs'!$N$1:$Q$30,3,0)</f>
        <v>U</v>
      </c>
      <c r="E21292" s="50">
        <v>1</v>
      </c>
      <c r="F21292" s="51">
        <f>VLOOKUP(A21292,'Componentes APUs'!$N$1:$Q$30,4,0)</f>
        <v>5500000</v>
      </c>
      <c r="G21292" s="51">
        <f>IFERROR(ROUNDUP(F21292*(E21292/21)/E21237,0),0)</f>
        <v>261905</v>
      </c>
    </row>
    <row r="21293" spans="1:7" x14ac:dyDescent="0.25">
      <c r="A21293" s="50" t="s">
        <v>321</v>
      </c>
      <c r="B21293" s="72" t="str">
        <f>VLOOKUP(A21293,'Componentes APUs'!$N$1:$Q$30,2,0)</f>
        <v>Grúa Hidráulica</v>
      </c>
      <c r="C21293" s="73"/>
      <c r="D21293" s="70" t="str">
        <f>VLOOKUP(A21293,'Componentes APUs'!$N$1:$Q$30,3,0)</f>
        <v>U</v>
      </c>
      <c r="E21293" s="50">
        <v>0</v>
      </c>
      <c r="F21293" s="51">
        <f>VLOOKUP(A21293,'Componentes APUs'!$N$1:$Q$30,4,0)</f>
        <v>21000000</v>
      </c>
      <c r="G21293" s="51">
        <f>IFERROR(ROUNDUP(F21293*(E21293/21)/E21237,0),0)</f>
        <v>0</v>
      </c>
    </row>
    <row r="21294" spans="1:7" x14ac:dyDescent="0.25">
      <c r="A21294" s="69" t="s">
        <v>322</v>
      </c>
      <c r="B21294" s="72" t="str">
        <f>VLOOKUP(A21294,'Componentes APUs'!$N$1:$Q$30,2,0)</f>
        <v>Camabaja</v>
      </c>
      <c r="C21294" s="73"/>
      <c r="D21294" s="70" t="str">
        <f>VLOOKUP(A21294,'Componentes APUs'!$N$1:$Q$30,3,0)</f>
        <v>TON/KM</v>
      </c>
      <c r="E21294" s="50">
        <v>0</v>
      </c>
      <c r="F21294" s="51">
        <f>VLOOKUP(A21294,'Componentes APUs'!$N$1:$Q$30,4,0)</f>
        <v>611</v>
      </c>
      <c r="G21294" s="51">
        <f>IFERROR(ROUNDUP(F21294*(E21294/21)/E21237,0),0)</f>
        <v>0</v>
      </c>
    </row>
    <row r="21295" spans="1:7" x14ac:dyDescent="0.25">
      <c r="A21295" s="219" t="s">
        <v>99</v>
      </c>
      <c r="B21295" s="219"/>
      <c r="C21295" s="219"/>
      <c r="D21295" s="219"/>
      <c r="E21295" s="219"/>
      <c r="F21295" s="219"/>
      <c r="G21295" s="52">
        <f>SUM(G21292:G21294)</f>
        <v>261905</v>
      </c>
    </row>
    <row r="21296" spans="1:7" x14ac:dyDescent="0.25">
      <c r="A21296" s="56"/>
      <c r="B21296" s="57"/>
      <c r="C21296" s="57"/>
      <c r="D21296" s="57"/>
      <c r="E21296" s="57"/>
      <c r="F21296" s="57"/>
      <c r="G21296" s="58"/>
    </row>
    <row r="21297" spans="1:7" x14ac:dyDescent="0.25">
      <c r="A21297" s="219" t="s">
        <v>1516</v>
      </c>
      <c r="B21297" s="219"/>
      <c r="C21297" s="219"/>
      <c r="D21297" s="219"/>
      <c r="E21297" s="219"/>
      <c r="F21297" s="219"/>
      <c r="G21297" s="52">
        <f>G21295+G21288+G21271+G21261+G21250</f>
        <v>16138243</v>
      </c>
    </row>
    <row r="21298" spans="1:7" x14ac:dyDescent="0.25">
      <c r="A21298" s="59"/>
      <c r="B21298" s="60"/>
      <c r="C21298" s="60"/>
      <c r="D21298" s="60"/>
      <c r="E21298" s="57"/>
      <c r="F21298" s="57"/>
      <c r="G21298" s="58"/>
    </row>
    <row r="21299" spans="1:7" x14ac:dyDescent="0.25">
      <c r="A21299" s="64"/>
      <c r="D21299" s="55"/>
      <c r="E21299" s="49" t="s">
        <v>25</v>
      </c>
      <c r="F21299" s="54">
        <v>0.15</v>
      </c>
      <c r="G21299" s="51">
        <f>G21297*F21299</f>
        <v>2420736.4499999997</v>
      </c>
    </row>
    <row r="21300" spans="1:7" x14ac:dyDescent="0.25">
      <c r="A21300" s="64"/>
      <c r="D21300" s="55"/>
      <c r="E21300" s="49" t="s">
        <v>26</v>
      </c>
      <c r="F21300" s="54">
        <v>0.05</v>
      </c>
      <c r="G21300" s="51">
        <f>G21297*F21300</f>
        <v>806912.15</v>
      </c>
    </row>
    <row r="21301" spans="1:7" x14ac:dyDescent="0.25">
      <c r="A21301" s="61"/>
      <c r="B21301" s="65"/>
      <c r="C21301" s="65"/>
      <c r="D21301" s="62"/>
      <c r="E21301" s="49" t="s">
        <v>27</v>
      </c>
      <c r="F21301" s="54">
        <v>0.05</v>
      </c>
      <c r="G21301" s="51">
        <f>G21297*F21301</f>
        <v>806912.15</v>
      </c>
    </row>
    <row r="21302" spans="1:7" x14ac:dyDescent="0.25">
      <c r="A21302" s="61"/>
      <c r="B21302" s="62"/>
      <c r="C21302" s="62"/>
      <c r="D21302" s="62"/>
      <c r="E21302" s="62"/>
      <c r="F21302" s="62"/>
      <c r="G21302" s="63"/>
    </row>
    <row r="21303" spans="1:7" x14ac:dyDescent="0.25">
      <c r="A21303" s="219" t="s">
        <v>1517</v>
      </c>
      <c r="B21303" s="219"/>
      <c r="C21303" s="219"/>
      <c r="D21303" s="219"/>
      <c r="E21303" s="219"/>
      <c r="F21303" s="219"/>
      <c r="G21303" s="52">
        <f>G21297+G21299+G21300+G21301</f>
        <v>20172803.749999996</v>
      </c>
    </row>
    <row r="21304" spans="1:7" x14ac:dyDescent="0.25">
      <c r="A21304" s="59"/>
      <c r="B21304" s="60"/>
      <c r="C21304" s="60"/>
      <c r="D21304" s="60"/>
      <c r="E21304" s="57"/>
      <c r="F21304" s="57"/>
      <c r="G21304" s="58"/>
    </row>
    <row r="21305" spans="1:7" x14ac:dyDescent="0.25">
      <c r="A21305" s="64"/>
      <c r="D21305" s="55"/>
      <c r="E21305" s="49" t="s">
        <v>102</v>
      </c>
      <c r="F21305" s="49" t="s">
        <v>103</v>
      </c>
      <c r="G21305" s="51">
        <f>G21301*19%</f>
        <v>153313.30850000001</v>
      </c>
    </row>
    <row r="21306" spans="1:7" x14ac:dyDescent="0.25">
      <c r="A21306" s="61"/>
      <c r="B21306" s="62"/>
      <c r="C21306" s="62"/>
      <c r="D21306" s="62"/>
      <c r="E21306" s="57"/>
      <c r="F21306" s="57"/>
      <c r="G21306" s="58"/>
    </row>
    <row r="21307" spans="1:7" x14ac:dyDescent="0.25">
      <c r="A21307" s="219" t="s">
        <v>104</v>
      </c>
      <c r="B21307" s="219"/>
      <c r="C21307" s="219"/>
      <c r="D21307" s="219"/>
      <c r="E21307" s="219"/>
      <c r="F21307" s="219"/>
      <c r="G21307" s="52">
        <f>G21305+G21303</f>
        <v>20326117.058499996</v>
      </c>
    </row>
    <row r="21309" spans="1:7" x14ac:dyDescent="0.25">
      <c r="A21309" s="74" t="s">
        <v>29</v>
      </c>
      <c r="B21309" s="226" t="s">
        <v>30</v>
      </c>
      <c r="C21309" s="226"/>
      <c r="D21309" s="74" t="s">
        <v>31</v>
      </c>
      <c r="E21309" s="74" t="s">
        <v>32</v>
      </c>
      <c r="F21309" s="74" t="s">
        <v>189</v>
      </c>
      <c r="G21309" s="74" t="s">
        <v>33</v>
      </c>
    </row>
    <row r="21310" spans="1:7" ht="84" customHeight="1" x14ac:dyDescent="0.25">
      <c r="A21310" s="50" t="str">
        <f>Presupuesto!B406</f>
        <v>070_AUX</v>
      </c>
      <c r="B21310" s="220" t="str">
        <f>Presupuesto!C406</f>
        <v>TABLERO AUTOSOPORTADO DE FABRICACIÓN ESPECIAL. DE USO INTERIOR. IP 54. LAMINA DE ACERO GALVANIZADA CALIBRE 18. CON BARRAJE PARA DISTRIBUCIÓN DE CIRCUITOS AC (+NE01). INCLUYE ILUMINACIÓN,  16 BREAKERS DE 25 KA, BREAKER 3X40 A DE 25 KA, BREAKER 1X15A DE 25 KA, BREAKER 3X15 DE 25 KA, TOTALIZADOR 3X80 A DE 25 KA, TOTALIZADOR 3X100A DE 25 KA, BREAKER 3X20A DE 25 KA, BREAKER 2X20A DE 25 KA . TOMACORRIENTE Y ACCESORIOS</v>
      </c>
      <c r="C21310" s="220"/>
      <c r="D21310" s="50" t="s">
        <v>8</v>
      </c>
      <c r="E21310" s="50">
        <v>1</v>
      </c>
      <c r="F21310" s="50"/>
      <c r="G21310" s="51">
        <f>G21379</f>
        <v>21307163.02</v>
      </c>
    </row>
    <row r="21311" spans="1:7" x14ac:dyDescent="0.25">
      <c r="A21311" s="219" t="s">
        <v>34</v>
      </c>
      <c r="B21311" s="219"/>
      <c r="C21311" s="219"/>
      <c r="D21311" s="219"/>
      <c r="E21311" s="219"/>
      <c r="F21311" s="219"/>
      <c r="G21311" s="219"/>
    </row>
    <row r="21312" spans="1:7" x14ac:dyDescent="0.25">
      <c r="A21312" s="49" t="s">
        <v>35</v>
      </c>
      <c r="B21312" s="234" t="s">
        <v>36</v>
      </c>
      <c r="C21312" s="235"/>
      <c r="D21312" s="49" t="s">
        <v>37</v>
      </c>
      <c r="E21312" s="49" t="s">
        <v>38</v>
      </c>
      <c r="F21312" s="49" t="s">
        <v>39</v>
      </c>
      <c r="G21312" s="49" t="s">
        <v>40</v>
      </c>
    </row>
    <row r="21313" spans="1:9" ht="35.25" customHeight="1" x14ac:dyDescent="0.25">
      <c r="A21313" s="17" t="str">
        <f>Material!A388</f>
        <v>MA-387</v>
      </c>
      <c r="B21313" s="221" t="str">
        <f>IFERROR(VLOOKUP(A21313,Material!$A:$H,2,0),"-")</f>
        <v>TABLERO AUTOSOPORTADO DE FABRICACIÓN ESPECIAL. DE USO INTERIOR. IP 65. LAMINA DE ACERO GALVANIZADA CALIBRE 18 CON BARRAJE DE DISTRIBUCIÓN DE CIRCUITOS</v>
      </c>
      <c r="C21313" s="222"/>
      <c r="D21313" s="50" t="str">
        <f>IFERROR(VLOOKUP(A21313,Material!$A:$H,4,0),"-")</f>
        <v>UN</v>
      </c>
      <c r="E21313" s="50">
        <v>1</v>
      </c>
      <c r="F21313" s="51">
        <f>IFERROR(VLOOKUP(A21313,Material!$A:$H,3,0),"-")</f>
        <v>9100000</v>
      </c>
      <c r="G21313" s="51">
        <f t="shared" ref="G21313:G21316" si="318">IFERROR(ROUNDUP(F21313*E21313,0),"-")</f>
        <v>9100000</v>
      </c>
    </row>
    <row r="21314" spans="1:9" x14ac:dyDescent="0.25">
      <c r="A21314" s="17" t="str">
        <f>Material!A33</f>
        <v>MA-32</v>
      </c>
      <c r="B21314" s="72" t="str">
        <f>IFERROR(VLOOKUP(A21314,Material!$A:$H,2,0),"-")</f>
        <v>LÁMPARA LED</v>
      </c>
      <c r="C21314" s="76"/>
      <c r="D21314" s="93" t="str">
        <f>IFERROR(VLOOKUP(A21314,Material!$A:$H,4,0),"-")</f>
        <v>UN</v>
      </c>
      <c r="E21314" s="93">
        <v>1</v>
      </c>
      <c r="F21314" s="144">
        <f>IFERROR(VLOOKUP(A21314,Material!$A:$H,3,0),"-")</f>
        <v>307373.88256268692</v>
      </c>
      <c r="G21314" s="51">
        <f t="shared" si="318"/>
        <v>307374</v>
      </c>
    </row>
    <row r="21315" spans="1:9" x14ac:dyDescent="0.25">
      <c r="A21315" s="17" t="str">
        <f>Material!A561</f>
        <v>MA-560</v>
      </c>
      <c r="B21315" s="72" t="str">
        <f>IFERROR(VLOOKUP(A21315,Material!$A:$H,2,0),"-")</f>
        <v>TOTALIZADOR 3x200 -250 A 25 kA TIPO INDUSTRIAL</v>
      </c>
      <c r="C21315" s="76"/>
      <c r="D21315" s="93" t="str">
        <f>IFERROR(VLOOKUP(A21315,Material!$A:$H,4,0),"-")</f>
        <v>UN</v>
      </c>
      <c r="E21315" s="93">
        <v>1</v>
      </c>
      <c r="F21315" s="144">
        <f>IFERROR(VLOOKUP(A21315,Material!$A:$H,3,0),"-")</f>
        <v>1167283</v>
      </c>
      <c r="G21315" s="51">
        <f t="shared" si="318"/>
        <v>1167283</v>
      </c>
    </row>
    <row r="21316" spans="1:9" x14ac:dyDescent="0.25">
      <c r="A21316" s="17" t="str">
        <f>Material!A557</f>
        <v>MA-556</v>
      </c>
      <c r="B21316" s="72" t="str">
        <f>IFERROR(VLOOKUP(A21316,Material!$A:$H,2,0),"-")</f>
        <v>BREAKER REGULABLE CAJA MOLDEADA 3x40A TIPO INDUSTRIAL</v>
      </c>
      <c r="C21316" s="76"/>
      <c r="D21316" s="93" t="str">
        <f>IFERROR(VLOOKUP(A21316,Material!$A:$H,4,0),"-")</f>
        <v>UN</v>
      </c>
      <c r="E21316" s="93">
        <v>3</v>
      </c>
      <c r="F21316" s="144">
        <f>IFERROR(VLOOKUP(A21316,Material!$A:$H,3,0),"-")</f>
        <v>512005</v>
      </c>
      <c r="G21316" s="51">
        <f t="shared" si="318"/>
        <v>1536015</v>
      </c>
    </row>
    <row r="21317" spans="1:9" x14ac:dyDescent="0.25">
      <c r="A21317" s="17" t="str">
        <f>Material!A559</f>
        <v>MA-558</v>
      </c>
      <c r="B21317" s="72" t="str">
        <f>IFERROR(VLOOKUP(A21317,Material!$A:$H,2,0),"-")</f>
        <v>BREAKER REGULABLE CAJA MOLDEADA 3x100 A TIPO INDUSTRIAL</v>
      </c>
      <c r="C21317" s="76"/>
      <c r="D21317" s="93" t="str">
        <f>IFERROR(VLOOKUP(A21317,Material!$A:$H,4,0),"-")</f>
        <v>UN</v>
      </c>
      <c r="E21317" s="93">
        <v>1</v>
      </c>
      <c r="F21317" s="144">
        <f>IFERROR(VLOOKUP(A21317,Material!$A:$H,3,0),"-")</f>
        <v>438482.2</v>
      </c>
      <c r="G21317" s="51">
        <f>IFERROR(ROUNDUP(F21317*E21317,0),"-")</f>
        <v>438483</v>
      </c>
    </row>
    <row r="21318" spans="1:9" x14ac:dyDescent="0.25">
      <c r="A21318" s="17" t="str">
        <f>Material!A560</f>
        <v>MA-559</v>
      </c>
      <c r="B21318" s="72" t="str">
        <f>IFERROR(VLOOKUP(A21318,Material!$A:$H,2,0),"-")</f>
        <v>BREAKER REGULABLE CAJA MOLDEADA 3x20A 25 kA TIPO RIEL</v>
      </c>
      <c r="C21318" s="76"/>
      <c r="D21318" s="93" t="str">
        <f>IFERROR(VLOOKUP(A21318,Material!$A:$H,4,0),"-")</f>
        <v>UN</v>
      </c>
      <c r="E21318" s="93">
        <v>1</v>
      </c>
      <c r="F21318" s="144">
        <f>IFERROR(VLOOKUP(A21318,Material!$A:$H,3,0),"-")</f>
        <v>438482.2</v>
      </c>
      <c r="G21318" s="51">
        <f t="shared" ref="G21318" si="319">IFERROR(ROUNDUP(F21318*E21318,0),"-")</f>
        <v>438483</v>
      </c>
    </row>
    <row r="21319" spans="1:9" x14ac:dyDescent="0.25">
      <c r="A21319" s="17" t="str">
        <f>Material!A395</f>
        <v>MA-394</v>
      </c>
      <c r="B21319" s="72" t="str">
        <f>IFERROR(VLOOKUP(A21319,Material!$A:$H,2,0),"-")</f>
        <v>INTERRUPTOR AC 1X20 25 kA</v>
      </c>
      <c r="C21319" s="76"/>
      <c r="D21319" s="93" t="str">
        <f>IFERROR(VLOOKUP(A21319,Material!$A:$H,4,0),"-")</f>
        <v>UN</v>
      </c>
      <c r="E21319" s="93">
        <v>16</v>
      </c>
      <c r="F21319" s="144">
        <f>IFERROR(VLOOKUP(A21319,Material!$A:$H,3,0),"-")</f>
        <v>87360</v>
      </c>
      <c r="G21319" s="51">
        <f>IFERROR(ROUNDUP(F21319*E21319,0),"-")</f>
        <v>1397760</v>
      </c>
    </row>
    <row r="21320" spans="1:9" x14ac:dyDescent="0.25">
      <c r="A21320" s="17" t="str">
        <f>Material!A185</f>
        <v>MA-184</v>
      </c>
      <c r="B21320" s="72" t="str">
        <f>IFERROR(VLOOKUP(A21320,Material!$A:$H,2,0),"-")</f>
        <v>INTERRUPTOR AC 2X20 25 kA TIPO RIEL</v>
      </c>
      <c r="C21320" s="76"/>
      <c r="D21320" s="93" t="str">
        <f>IFERROR(VLOOKUP(A21320,Material!$A:$H,4,0),"-")</f>
        <v>UN</v>
      </c>
      <c r="E21320" s="93">
        <v>1</v>
      </c>
      <c r="F21320" s="144">
        <f>IFERROR(VLOOKUP(A21320,Material!$A:$H,3,0),"-")</f>
        <v>44223.4</v>
      </c>
      <c r="G21320" s="51">
        <f t="shared" ref="G21320:G21322" si="320">IFERROR(ROUNDUP(F21320*E21320,0),"-")</f>
        <v>44224</v>
      </c>
    </row>
    <row r="21321" spans="1:9" x14ac:dyDescent="0.25">
      <c r="A21321" s="17" t="str">
        <f>Material!A142</f>
        <v>MA-141</v>
      </c>
      <c r="B21321" s="72" t="str">
        <f>IFERROR(VLOOKUP(A21321,Material!$A:$H,2,0),"-")</f>
        <v>CAJA RAWELT</v>
      </c>
      <c r="C21321" s="76"/>
      <c r="D21321" s="93" t="str">
        <f>IFERROR(VLOOKUP(A21321,Material!$A:$H,4,0),"-")</f>
        <v>UN</v>
      </c>
      <c r="E21321" s="93">
        <v>1</v>
      </c>
      <c r="F21321" s="144">
        <f>IFERROR(VLOOKUP(A21321,Material!$A:$H,3,0),"-")</f>
        <v>13778.7</v>
      </c>
      <c r="G21321" s="51">
        <f t="shared" si="320"/>
        <v>13779</v>
      </c>
      <c r="I21321" s="97"/>
    </row>
    <row r="21322" spans="1:9" x14ac:dyDescent="0.25">
      <c r="A21322" s="17" t="str">
        <f>Material!A230</f>
        <v>MA-229</v>
      </c>
      <c r="B21322" s="72" t="str">
        <f>IFERROR(VLOOKUP(A21322,Material!$A:$H,2,0),"-")</f>
        <v>TOMA CORRIENTE LEVITON</v>
      </c>
      <c r="C21322" s="76"/>
      <c r="D21322" s="50" t="str">
        <f>IFERROR(VLOOKUP(A21322,Material!$A:$H,4,0),"-")</f>
        <v>UN</v>
      </c>
      <c r="E21322" s="50">
        <v>1</v>
      </c>
      <c r="F21322" s="51">
        <f>IFERROR(VLOOKUP(A21322,Material!$A:$H,3,0),"-")</f>
        <v>4615</v>
      </c>
      <c r="G21322" s="51">
        <f t="shared" si="320"/>
        <v>4615</v>
      </c>
    </row>
    <row r="21323" spans="1:9" x14ac:dyDescent="0.25">
      <c r="A21323" s="219" t="s">
        <v>41</v>
      </c>
      <c r="B21323" s="219"/>
      <c r="C21323" s="219"/>
      <c r="D21323" s="219"/>
      <c r="E21323" s="219"/>
      <c r="F21323" s="219"/>
      <c r="G21323" s="52">
        <f>SUM(G21313:G21322)</f>
        <v>14448016</v>
      </c>
    </row>
    <row r="21324" spans="1:9" x14ac:dyDescent="0.25">
      <c r="A21324" s="56"/>
      <c r="B21324" s="57"/>
      <c r="C21324" s="57"/>
      <c r="D21324" s="57"/>
      <c r="E21324" s="57"/>
      <c r="F21324" s="57"/>
      <c r="G21324" s="58"/>
      <c r="I21324" s="97"/>
    </row>
    <row r="21325" spans="1:9" x14ac:dyDescent="0.25">
      <c r="A21325" s="219" t="s">
        <v>42</v>
      </c>
      <c r="B21325" s="219"/>
      <c r="C21325" s="219"/>
      <c r="D21325" s="219"/>
      <c r="E21325" s="219"/>
      <c r="F21325" s="219"/>
      <c r="G21325" s="219"/>
    </row>
    <row r="21326" spans="1:9" x14ac:dyDescent="0.25">
      <c r="A21326" s="49" t="s">
        <v>35</v>
      </c>
      <c r="B21326" s="49" t="s">
        <v>36</v>
      </c>
      <c r="C21326" s="49" t="s">
        <v>38</v>
      </c>
      <c r="D21326" s="49" t="s">
        <v>43</v>
      </c>
      <c r="E21326" s="49" t="s">
        <v>44</v>
      </c>
      <c r="F21326" s="49" t="s">
        <v>45</v>
      </c>
      <c r="G21326" s="49" t="s">
        <v>40</v>
      </c>
    </row>
    <row r="21327" spans="1:9" x14ac:dyDescent="0.25">
      <c r="A21327" s="50" t="s">
        <v>319</v>
      </c>
      <c r="B21327" s="68" t="str">
        <f>VLOOKUP(A21327,'Componentes APUs'!$H$1:$L$25,2,0)</f>
        <v>Ingeniero Residente de Obra</v>
      </c>
      <c r="C21327" s="93">
        <v>0.25</v>
      </c>
      <c r="D21327" s="50">
        <f>VLOOKUP(A21327,'Componentes APUs'!$H$1:$L$25,3,0)</f>
        <v>4</v>
      </c>
      <c r="E21327" s="51">
        <f>VLOOKUP(A21327,'Componentes APUs'!$H$1:$L$25,4,0)</f>
        <v>271142.85714285716</v>
      </c>
      <c r="F21327" s="51">
        <f>VLOOKUP(A21327,'Componentes APUs'!$H$1:$L$25,5,0)</f>
        <v>162685.71428571429</v>
      </c>
      <c r="G21327" s="51">
        <f>ROUNDUP((E21327+F21327)*C21327/E21310,0)</f>
        <v>108458</v>
      </c>
    </row>
    <row r="21328" spans="1:9" x14ac:dyDescent="0.25">
      <c r="A21328" s="50" t="s">
        <v>320</v>
      </c>
      <c r="B21328" s="68" t="str">
        <f>VLOOKUP(A21328,'Componentes APUs'!$H$1:$L$25,2,0)</f>
        <v>Tecnico Supervisor</v>
      </c>
      <c r="C21328" s="93">
        <v>0.25</v>
      </c>
      <c r="D21328" s="50">
        <f>VLOOKUP(A21328,'Componentes APUs'!$H$1:$L$25,3,0)</f>
        <v>2.2999999999999998</v>
      </c>
      <c r="E21328" s="51">
        <f>VLOOKUP(A21328,'Componentes APUs'!$H$1:$L$25,4,0)</f>
        <v>155907.14285714284</v>
      </c>
      <c r="F21328" s="51">
        <f>VLOOKUP(A21328,'Componentes APUs'!$H$1:$L$25,5,0)</f>
        <v>93544.285714285696</v>
      </c>
      <c r="G21328" s="51">
        <f>ROUNDUP((E21328+F21328)*C21328/E21310,0)</f>
        <v>62363</v>
      </c>
    </row>
    <row r="21329" spans="1:7" x14ac:dyDescent="0.25">
      <c r="A21329" s="50" t="s">
        <v>1160</v>
      </c>
      <c r="B21329" s="68" t="str">
        <f>VLOOKUP(A21329,'Componentes APUs'!$H$1:$L$25,2,0)</f>
        <v>Oficial Eléctrico</v>
      </c>
      <c r="C21329" s="93">
        <v>1</v>
      </c>
      <c r="D21329" s="50">
        <f>VLOOKUP(A21329,'Componentes APUs'!$H$1:$L$25,3,0)</f>
        <v>2</v>
      </c>
      <c r="E21329" s="51">
        <f>VLOOKUP(A21329,'Componentes APUs'!$H$1:$L$25,4,0)</f>
        <v>154619.04761904763</v>
      </c>
      <c r="F21329" s="51">
        <f>VLOOKUP(A21329,'Componentes APUs'!$H$1:$L$25,5,0)</f>
        <v>92771.42857142858</v>
      </c>
      <c r="G21329" s="51">
        <f>ROUNDUP((E21329+F21329)*C21329/E21310,0)</f>
        <v>247391</v>
      </c>
    </row>
    <row r="21330" spans="1:7" x14ac:dyDescent="0.25">
      <c r="A21330" s="50" t="s">
        <v>48</v>
      </c>
      <c r="B21330" s="68" t="str">
        <f>VLOOKUP(A21330,'Componentes APUs'!$H$1:$L$25,2,0)</f>
        <v>Ayudante Calificado</v>
      </c>
      <c r="C21330" s="93">
        <v>1</v>
      </c>
      <c r="D21330" s="50">
        <f>VLOOKUP(A21330,'Componentes APUs'!$H$1:$L$25,3,0)</f>
        <v>1.5</v>
      </c>
      <c r="E21330" s="51">
        <f>VLOOKUP(A21330,'Componentes APUs'!$H$1:$L$25,4,0)</f>
        <v>115964.28571428571</v>
      </c>
      <c r="F21330" s="51">
        <f>VLOOKUP(A21330,'Componentes APUs'!$H$1:$L$25,5,0)</f>
        <v>69578.57142857142</v>
      </c>
      <c r="G21330" s="51">
        <f>ROUNDUP((E21330+F21330)*C21330/E21310,0)</f>
        <v>185543</v>
      </c>
    </row>
    <row r="21331" spans="1:7" x14ac:dyDescent="0.25">
      <c r="A21331" s="50" t="s">
        <v>50</v>
      </c>
      <c r="B21331" s="68" t="str">
        <f>VLOOKUP(A21331,'Componentes APUs'!$H$1:$L$25,2,0)</f>
        <v>Profesional en SST</v>
      </c>
      <c r="C21331" s="93">
        <v>0.25</v>
      </c>
      <c r="D21331" s="50">
        <f>VLOOKUP(A21331,'Componentes APUs'!$H$1:$L$25,3,0)</f>
        <v>2.5</v>
      </c>
      <c r="E21331" s="51">
        <f>VLOOKUP(A21331,'Componentes APUs'!$H$1:$L$25,4,0)</f>
        <v>169464.28571428571</v>
      </c>
      <c r="F21331" s="51">
        <f>VLOOKUP(A21331,'Componentes APUs'!$H$1:$L$25,5,0)</f>
        <v>101678.57142857142</v>
      </c>
      <c r="G21331" s="51">
        <f>ROUNDUP((E21331+F21331)*C21331/E21310,0)</f>
        <v>67786</v>
      </c>
    </row>
    <row r="21332" spans="1:7" x14ac:dyDescent="0.25">
      <c r="A21332" s="50" t="s">
        <v>52</v>
      </c>
      <c r="B21332" s="68" t="str">
        <f>VLOOKUP(A21332,'Componentes APUs'!$H$1:$L$25,2,0)</f>
        <v>Ayudante No Calificado</v>
      </c>
      <c r="C21332" s="93">
        <v>0</v>
      </c>
      <c r="D21332" s="50">
        <f>VLOOKUP(A21332,'Componentes APUs'!$H$1:$L$25,3,0)</f>
        <v>1</v>
      </c>
      <c r="E21332" s="51">
        <f>VLOOKUP(A21332,'Componentes APUs'!$H$1:$L$25,4,0)</f>
        <v>77309.523809523816</v>
      </c>
      <c r="F21332" s="51">
        <f>VLOOKUP(A21332,'Componentes APUs'!$H$1:$L$25,5,0)</f>
        <v>46385.71428571429</v>
      </c>
      <c r="G21332" s="51">
        <f>ROUNDUP((E21332+F21332)*C21332/E21310,0)</f>
        <v>0</v>
      </c>
    </row>
    <row r="21333" spans="1:7" x14ac:dyDescent="0.25">
      <c r="A21333" s="50" t="s">
        <v>1121</v>
      </c>
      <c r="B21333" s="68" t="str">
        <f>VLOOKUP(A21333,'Componentes APUs'!$H$1:$L$25,2,0)</f>
        <v>Ingeniero Especialista de Control y Protección Subestación</v>
      </c>
      <c r="C21333" s="93">
        <v>1</v>
      </c>
      <c r="D21333" s="50">
        <f>VLOOKUP(A21333,'Componentes APUs'!$H$1:$L$25,3,0)</f>
        <v>14</v>
      </c>
      <c r="E21333" s="51">
        <f>VLOOKUP(A21333,'Componentes APUs'!$H$1:$L$25,4,0)</f>
        <v>949000</v>
      </c>
      <c r="F21333" s="51">
        <f>VLOOKUP(A21333,'Componentes APUs'!$H$1:$L$25,5,0)</f>
        <v>569400</v>
      </c>
      <c r="G21333" s="51">
        <f>ROUNDUP((E21333+F21333)*C21333/E21310,0)</f>
        <v>1518400</v>
      </c>
    </row>
    <row r="21334" spans="1:7" x14ac:dyDescent="0.25">
      <c r="A21334" s="219" t="s">
        <v>56</v>
      </c>
      <c r="B21334" s="219"/>
      <c r="C21334" s="219"/>
      <c r="D21334" s="219"/>
      <c r="E21334" s="219"/>
      <c r="F21334" s="219"/>
      <c r="G21334" s="52">
        <f>SUM(G21327:G21333)</f>
        <v>2189941</v>
      </c>
    </row>
    <row r="21335" spans="1:7" x14ac:dyDescent="0.25">
      <c r="A21335" s="56"/>
      <c r="B21335" s="57"/>
      <c r="C21335" s="57"/>
      <c r="D21335" s="57"/>
      <c r="E21335" s="57"/>
      <c r="F21335" s="57"/>
      <c r="G21335" s="58"/>
    </row>
    <row r="21336" spans="1:7" x14ac:dyDescent="0.25">
      <c r="A21336" s="219" t="s">
        <v>57</v>
      </c>
      <c r="B21336" s="219"/>
      <c r="C21336" s="219"/>
      <c r="D21336" s="219"/>
      <c r="E21336" s="219"/>
      <c r="F21336" s="219"/>
      <c r="G21336" s="219"/>
    </row>
    <row r="21337" spans="1:7" x14ac:dyDescent="0.25">
      <c r="A21337" s="49" t="s">
        <v>35</v>
      </c>
      <c r="B21337" s="219" t="s">
        <v>36</v>
      </c>
      <c r="C21337" s="219"/>
      <c r="D21337" s="49" t="s">
        <v>37</v>
      </c>
      <c r="E21337" s="49" t="s">
        <v>38</v>
      </c>
      <c r="F21337" s="49" t="s">
        <v>39</v>
      </c>
      <c r="G21337" s="49" t="s">
        <v>40</v>
      </c>
    </row>
    <row r="21338" spans="1:7" x14ac:dyDescent="0.25">
      <c r="A21338" s="50" t="s">
        <v>326</v>
      </c>
      <c r="B21338" s="220" t="str">
        <f>VLOOKUP(A21338,'Componentes APUs'!$S$1:$V$10,2,0)</f>
        <v>Juego Llaves</v>
      </c>
      <c r="C21338" s="220"/>
      <c r="D21338" s="50" t="s">
        <v>18</v>
      </c>
      <c r="E21338" s="50">
        <v>2</v>
      </c>
      <c r="F21338" s="51">
        <f>VLOOKUP(A21338,'Componentes APUs'!$S$1:$V$10,4,0)</f>
        <v>9167</v>
      </c>
      <c r="G21338" s="51">
        <f>ROUNDUP(F21338*((E21338/21)/E21310),0)</f>
        <v>874</v>
      </c>
    </row>
    <row r="21339" spans="1:7" x14ac:dyDescent="0.25">
      <c r="A21339" s="50" t="s">
        <v>58</v>
      </c>
      <c r="B21339" s="220" t="str">
        <f>VLOOKUP(A21339,'Componentes APUs'!$S$1:$V$10,2,0)</f>
        <v>Manila de servicio</v>
      </c>
      <c r="C21339" s="220"/>
      <c r="D21339" s="50" t="s">
        <v>18</v>
      </c>
      <c r="E21339" s="50">
        <v>0</v>
      </c>
      <c r="F21339" s="51">
        <f>VLOOKUP(A21339,'Componentes APUs'!$S$1:$V$10,4,0)</f>
        <v>2333</v>
      </c>
      <c r="G21339" s="51">
        <f>ROUNDUP(F21339*((E21339/21)/E21310),0)</f>
        <v>0</v>
      </c>
    </row>
    <row r="21340" spans="1:7" x14ac:dyDescent="0.25">
      <c r="A21340" s="50" t="s">
        <v>327</v>
      </c>
      <c r="B21340" s="220" t="str">
        <f>VLOOKUP(A21340,'Componentes APUs'!$S$1:$V$10,2,0)</f>
        <v>Tula portaherramientas</v>
      </c>
      <c r="C21340" s="220"/>
      <c r="D21340" s="50" t="s">
        <v>18</v>
      </c>
      <c r="E21340" s="50">
        <v>2</v>
      </c>
      <c r="F21340" s="51">
        <f>VLOOKUP(A21340,'Componentes APUs'!$S$1:$V$10,4,0)</f>
        <v>1250</v>
      </c>
      <c r="G21340" s="51">
        <f>ROUNDUP(F21340*((E21340/21)/E21310),0)</f>
        <v>120</v>
      </c>
    </row>
    <row r="21341" spans="1:7" x14ac:dyDescent="0.25">
      <c r="A21341" s="50" t="s">
        <v>60</v>
      </c>
      <c r="B21341" s="220" t="str">
        <f>VLOOKUP(A21341,'Componentes APUs'!$S$1:$V$10,2,0)</f>
        <v>Agarradoras</v>
      </c>
      <c r="C21341" s="220"/>
      <c r="D21341" s="50" t="s">
        <v>18</v>
      </c>
      <c r="E21341" s="50">
        <v>0</v>
      </c>
      <c r="F21341" s="51">
        <f>VLOOKUP(A21341,'Componentes APUs'!$S$1:$V$10,4,0)</f>
        <v>125000</v>
      </c>
      <c r="G21341" s="51">
        <f>ROUNDUP(F21341*((E21341/21)/E21310),0)</f>
        <v>0</v>
      </c>
    </row>
    <row r="21342" spans="1:7" x14ac:dyDescent="0.25">
      <c r="A21342" s="50" t="s">
        <v>62</v>
      </c>
      <c r="B21342" s="220" t="str">
        <f>VLOOKUP(A21342,'Componentes APUs'!$S$1:$V$10,2,0)</f>
        <v>Templadoras</v>
      </c>
      <c r="C21342" s="220"/>
      <c r="D21342" s="50" t="s">
        <v>18</v>
      </c>
      <c r="E21342" s="50">
        <v>0</v>
      </c>
      <c r="F21342" s="51">
        <f>VLOOKUP(A21342,'Componentes APUs'!$S$1:$V$10,4,0)</f>
        <v>250000</v>
      </c>
      <c r="G21342" s="51">
        <f>ROUNDUP(F21342*((E21342/21)/E21310),0)</f>
        <v>0</v>
      </c>
    </row>
    <row r="21343" spans="1:7" x14ac:dyDescent="0.25">
      <c r="A21343" s="50" t="s">
        <v>328</v>
      </c>
      <c r="B21343" s="220" t="str">
        <f>VLOOKUP(A21343,'Componentes APUs'!$S$1:$V$10,2,0)</f>
        <v>Herramienta Menor</v>
      </c>
      <c r="C21343" s="220"/>
      <c r="D21343" s="50" t="s">
        <v>18</v>
      </c>
      <c r="E21343" s="50">
        <v>2</v>
      </c>
      <c r="F21343" s="51">
        <f>VLOOKUP(A21343,'Componentes APUs'!$S$1:$V$10,4,0)</f>
        <v>75758</v>
      </c>
      <c r="G21343" s="51">
        <f>ROUNDUP(F21343*((E21343/21)/E21310),0)</f>
        <v>7216</v>
      </c>
    </row>
    <row r="21344" spans="1:7" x14ac:dyDescent="0.25">
      <c r="A21344" s="219" t="s">
        <v>69</v>
      </c>
      <c r="B21344" s="219"/>
      <c r="C21344" s="219"/>
      <c r="D21344" s="219"/>
      <c r="E21344" s="219"/>
      <c r="F21344" s="219"/>
      <c r="G21344" s="52">
        <f>SUM(G21338:G21343)</f>
        <v>8210</v>
      </c>
    </row>
    <row r="21345" spans="1:7" x14ac:dyDescent="0.25">
      <c r="A21345" s="56"/>
      <c r="B21345" s="57"/>
      <c r="C21345" s="57"/>
      <c r="D21345" s="57"/>
      <c r="E21345" s="57"/>
      <c r="F21345" s="57"/>
      <c r="G21345" s="58"/>
    </row>
    <row r="21346" spans="1:7" x14ac:dyDescent="0.25">
      <c r="A21346" s="219" t="s">
        <v>70</v>
      </c>
      <c r="B21346" s="219"/>
      <c r="C21346" s="219"/>
      <c r="D21346" s="219"/>
      <c r="E21346" s="219"/>
      <c r="F21346" s="219"/>
      <c r="G21346" s="219"/>
    </row>
    <row r="21347" spans="1:7" x14ac:dyDescent="0.25">
      <c r="A21347" s="49" t="s">
        <v>35</v>
      </c>
      <c r="B21347" s="219" t="s">
        <v>36</v>
      </c>
      <c r="C21347" s="219"/>
      <c r="D21347" s="49" t="s">
        <v>37</v>
      </c>
      <c r="E21347" s="49" t="s">
        <v>38</v>
      </c>
      <c r="F21347" s="49" t="s">
        <v>39</v>
      </c>
      <c r="G21347" s="49" t="s">
        <v>40</v>
      </c>
    </row>
    <row r="21348" spans="1:7" x14ac:dyDescent="0.25">
      <c r="A21348" s="50" t="s">
        <v>71</v>
      </c>
      <c r="B21348" s="71" t="str">
        <f>VLOOKUP(A21348,'Componentes APUs'!$A$1:$D$14,2,0)</f>
        <v>Camisa indigo sin partes metalicas</v>
      </c>
      <c r="C21348" s="71"/>
      <c r="D21348" s="50" t="str">
        <f>VLOOKUP(A21348,'Componentes APUs'!$A$1:$D$14,3,0)</f>
        <v>U</v>
      </c>
      <c r="E21348" s="50">
        <f>SUM(C21327:C21333)</f>
        <v>3.75</v>
      </c>
      <c r="F21348" s="51">
        <f>VLOOKUP(A21348,'Componentes APUs'!$A$1:$D$14,4,0)</f>
        <v>8585.8585858585866</v>
      </c>
      <c r="G21348" s="51">
        <f>ROUNDUP(F21348*(E21348/21)/E21310,0)</f>
        <v>1534</v>
      </c>
    </row>
    <row r="21349" spans="1:7" x14ac:dyDescent="0.25">
      <c r="A21349" s="69" t="s">
        <v>73</v>
      </c>
      <c r="B21349" s="72" t="str">
        <f>VLOOKUP(A21349,'Componentes APUs'!$A$1:$D$14,2,0)</f>
        <v>Bota de seguridad dielectrica</v>
      </c>
      <c r="C21349" s="73"/>
      <c r="D21349" s="70" t="str">
        <f>VLOOKUP(A21349,'Componentes APUs'!$A$1:$D$14,3,0)</f>
        <v>Par</v>
      </c>
      <c r="E21349" s="50">
        <f>SUM(C21327:C21333)</f>
        <v>3.75</v>
      </c>
      <c r="F21349" s="51">
        <f>VLOOKUP(A21349,'Componentes APUs'!$A$1:$D$14,4,0)</f>
        <v>7500</v>
      </c>
      <c r="G21349" s="51">
        <f>ROUNDUP(F21349*(E21349/21)/E21310,0)</f>
        <v>1340</v>
      </c>
    </row>
    <row r="21350" spans="1:7" x14ac:dyDescent="0.25">
      <c r="A21350" s="50" t="s">
        <v>76</v>
      </c>
      <c r="B21350" s="72" t="str">
        <f>VLOOKUP(A21350,'Componentes APUs'!$A$1:$D$14,2,0)</f>
        <v>Casco dielectrico Tipo 1 Clase E con barbuquejo</v>
      </c>
      <c r="C21350" s="73"/>
      <c r="D21350" s="50" t="str">
        <f>VLOOKUP(A21350,'Componentes APUs'!$A$1:$D$14,3,0)</f>
        <v>U</v>
      </c>
      <c r="E21350" s="50">
        <f>C21327+C21333+C21328+C21331+C21332+C21330+IF(A21329&lt;&gt;"MO-3",C21329,0)</f>
        <v>3.75</v>
      </c>
      <c r="F21350" s="51">
        <f>VLOOKUP(A21350,'Componentes APUs'!$A$1:$D$14,4,0)</f>
        <v>10101.010101010101</v>
      </c>
      <c r="G21350" s="51">
        <f>ROUNDUP(F21350*(E21350/21)/E21310,0)</f>
        <v>1804</v>
      </c>
    </row>
    <row r="21351" spans="1:7" x14ac:dyDescent="0.25">
      <c r="A21351" s="69" t="s">
        <v>77</v>
      </c>
      <c r="B21351" s="72" t="str">
        <f>VLOOKUP(A21351,'Componentes APUs'!$A$1:$D$14,2,0)</f>
        <v>Correa plastica y antiflama</v>
      </c>
      <c r="C21351" s="73"/>
      <c r="D21351" s="50" t="str">
        <f>VLOOKUP(A21351,'Componentes APUs'!$A$1:$D$14,3,0)</f>
        <v>U</v>
      </c>
      <c r="E21351" s="50">
        <f>SUM(C21327:C21333)</f>
        <v>3.75</v>
      </c>
      <c r="F21351" s="51">
        <f>VLOOKUP(A21351,'Componentes APUs'!$A$1:$D$14,4,0)</f>
        <v>3787.878787878788</v>
      </c>
      <c r="G21351" s="51">
        <f>ROUNDUP(F21351*(E21351/21)/E21310,0)</f>
        <v>677</v>
      </c>
    </row>
    <row r="21352" spans="1:7" x14ac:dyDescent="0.25">
      <c r="A21352" s="50" t="s">
        <v>79</v>
      </c>
      <c r="B21352" s="72" t="str">
        <f>VLOOKUP(A21352,'Componentes APUs'!$A$1:$D$14,2,0)</f>
        <v>Gafas protectoras filtro UV</v>
      </c>
      <c r="C21352" s="73"/>
      <c r="D21352" s="50" t="str">
        <f>VLOOKUP(A21352,'Componentes APUs'!$A$1:$D$14,3,0)</f>
        <v>U</v>
      </c>
      <c r="E21352" s="50">
        <f>SUM(C21327:C21333)</f>
        <v>3.75</v>
      </c>
      <c r="F21352" s="51">
        <f>VLOOKUP(A21352,'Componentes APUs'!$A$1:$D$14,4,0)</f>
        <v>2777.7777777777778</v>
      </c>
      <c r="G21352" s="51">
        <f>ROUNDUP(F21352*(E21352/21)/E21310,0)</f>
        <v>497</v>
      </c>
    </row>
    <row r="21353" spans="1:7" x14ac:dyDescent="0.25">
      <c r="A21353" s="69" t="s">
        <v>402</v>
      </c>
      <c r="B21353" s="72" t="str">
        <f>VLOOKUP(A21353,'Componentes APUs'!$A$1:$D$14,2,0)</f>
        <v>Bota de seguridad PVC dielectrica</v>
      </c>
      <c r="C21353" s="73"/>
      <c r="D21353" s="50" t="str">
        <f>VLOOKUP(A21353,'Componentes APUs'!$A$1:$D$14,3,0)</f>
        <v>Par</v>
      </c>
      <c r="E21353" s="50">
        <f>SUM(C21327:C21333)</f>
        <v>3.75</v>
      </c>
      <c r="F21353" s="51">
        <f>VLOOKUP(A21353,'Componentes APUs'!$A$1:$D$14,4,0)</f>
        <v>2916.6666666666665</v>
      </c>
      <c r="G21353" s="51">
        <f>ROUNDUP(F21353*(E21353/21)/E21310,0)</f>
        <v>521</v>
      </c>
    </row>
    <row r="21354" spans="1:7" x14ac:dyDescent="0.25">
      <c r="A21354" s="50" t="s">
        <v>403</v>
      </c>
      <c r="B21354" s="72" t="str">
        <f>VLOOKUP(A21354,'Componentes APUs'!$A$1:$D$14,2,0)</f>
        <v>Capuchon</v>
      </c>
      <c r="C21354" s="73"/>
      <c r="D21354" s="50" t="str">
        <f>VLOOKUP(A21354,'Componentes APUs'!$A$1:$D$14,3,0)</f>
        <v>U</v>
      </c>
      <c r="E21354" s="50">
        <f>SUM(C21327:C21332)</f>
        <v>2.75</v>
      </c>
      <c r="F21354" s="51">
        <f>VLOOKUP(A21354,'Componentes APUs'!$A$1:$D$14,4,0)</f>
        <v>2525.2525252525252</v>
      </c>
      <c r="G21354" s="51">
        <f>ROUNDUP(F21354*(E21354/21)/E21310,0)</f>
        <v>331</v>
      </c>
    </row>
    <row r="21355" spans="1:7" x14ac:dyDescent="0.25">
      <c r="A21355" s="69" t="s">
        <v>81</v>
      </c>
      <c r="B21355" s="72" t="str">
        <f>VLOOKUP(A21355,'Componentes APUs'!$A$1:$D$14,2,0)</f>
        <v>Guantes Protectores  - ingeniero reforzados</v>
      </c>
      <c r="C21355" s="73"/>
      <c r="D21355" s="50" t="str">
        <f>VLOOKUP(A21355,'Componentes APUs'!$A$1:$D$14,3,0)</f>
        <v>Par</v>
      </c>
      <c r="E21355" s="50">
        <f>C21329+C21330+C21332+C21333</f>
        <v>3</v>
      </c>
      <c r="F21355" s="51">
        <f>VLOOKUP(A21355,'Componentes APUs'!$A$1:$D$14,4,0)</f>
        <v>2525.2525252525252</v>
      </c>
      <c r="G21355" s="51">
        <f>ROUNDUP(F21355*(E21355/21)/E21310,0)</f>
        <v>361</v>
      </c>
    </row>
    <row r="21356" spans="1:7" x14ac:dyDescent="0.25">
      <c r="A21356" s="50" t="s">
        <v>83</v>
      </c>
      <c r="B21356" s="72" t="str">
        <f>VLOOKUP(A21356,'Componentes APUs'!$A$1:$D$14,2,0)</f>
        <v>Impermeable (pantalon camisa)</v>
      </c>
      <c r="C21356" s="73"/>
      <c r="D21356" s="50" t="str">
        <f>VLOOKUP(A21356,'Componentes APUs'!$A$1:$D$14,3,0)</f>
        <v>U</v>
      </c>
      <c r="E21356" s="50">
        <f>SUM(C21327:C21333)</f>
        <v>3.75</v>
      </c>
      <c r="F21356" s="51">
        <f>VLOOKUP(A21356,'Componentes APUs'!$A$1:$D$14,4,0)</f>
        <v>3750</v>
      </c>
      <c r="G21356" s="51">
        <f>ROUNDUP(F21356*(E21356/21)/E21310,0)</f>
        <v>670</v>
      </c>
    </row>
    <row r="21357" spans="1:7" x14ac:dyDescent="0.25">
      <c r="A21357" s="69" t="s">
        <v>85</v>
      </c>
      <c r="B21357" s="72" t="str">
        <f>VLOOKUP(A21357,'Componentes APUs'!$A$1:$D$14,2,0)</f>
        <v>Jean Dielectrico</v>
      </c>
      <c r="C21357" s="73"/>
      <c r="D21357" s="50" t="str">
        <f>VLOOKUP(A21357,'Componentes APUs'!$A$1:$D$14,3,0)</f>
        <v>U</v>
      </c>
      <c r="E21357" s="50">
        <f>SUM(C21327:C21333)</f>
        <v>3.75</v>
      </c>
      <c r="F21357" s="51">
        <f>VLOOKUP(A21357,'Componentes APUs'!$A$1:$D$14,4,0)</f>
        <v>7575.757575757576</v>
      </c>
      <c r="G21357" s="51">
        <f>ROUNDUP(F21357*(E21357/21)/E21310,0)</f>
        <v>1353</v>
      </c>
    </row>
    <row r="21358" spans="1:7" x14ac:dyDescent="0.25">
      <c r="A21358" s="50" t="s">
        <v>87</v>
      </c>
      <c r="B21358" s="72" t="str">
        <f>VLOOKUP(A21358,'Componentes APUs'!$A$1:$D$14,2,0)</f>
        <v>Casco dielectrico Tipo 2 Clase E con barboquejo</v>
      </c>
      <c r="C21358" s="73"/>
      <c r="D21358" s="50" t="str">
        <f>VLOOKUP(A21358,'Componentes APUs'!$A$1:$D$14,3,0)</f>
        <v>U</v>
      </c>
      <c r="E21358" s="53">
        <f>IF(A21329="MO-3",C21329,0)</f>
        <v>0</v>
      </c>
      <c r="F21358" s="51">
        <f>VLOOKUP(A21358,'Componentes APUs'!$A$1:$D$14,4,0)</f>
        <v>7500</v>
      </c>
      <c r="G21358" s="51">
        <f>ROUNDUP(F21358*(E21358/21)/E21310,0)</f>
        <v>0</v>
      </c>
    </row>
    <row r="21359" spans="1:7" x14ac:dyDescent="0.25">
      <c r="A21359" s="69" t="s">
        <v>89</v>
      </c>
      <c r="B21359" s="72" t="str">
        <f>VLOOKUP(A21359,'Componentes APUs'!$A$1:$D$14,2,0)</f>
        <v>Kit de rescate para trabajo en alturas</v>
      </c>
      <c r="C21359" s="73"/>
      <c r="D21359" s="50" t="str">
        <f>VLOOKUP(A21359,'Componentes APUs'!$A$1:$D$14,3,0)</f>
        <v>U</v>
      </c>
      <c r="E21359" s="50">
        <f>IF(AND(A21329="MO-3",C21329=2),1,0)</f>
        <v>0</v>
      </c>
      <c r="F21359" s="51">
        <f>VLOOKUP(A21359,'Componentes APUs'!$A$1:$D$14,4,0)</f>
        <v>37500</v>
      </c>
      <c r="G21359" s="51">
        <f>ROUNDUP(F21359*(E21359/21)/E21310,0)</f>
        <v>0</v>
      </c>
    </row>
    <row r="21360" spans="1:7" x14ac:dyDescent="0.25">
      <c r="A21360" s="50" t="s">
        <v>91</v>
      </c>
      <c r="B21360" s="72" t="str">
        <f>VLOOKUP(A21360,'Componentes APUs'!$A$1:$D$14,2,0)</f>
        <v>Equipo completo para trabajo en alturas con pretales (Arnes dielectrico, 1 mosqueton de seguridad, tie off dielectrico, eslinga de posicionamiento, juego de pretales)</v>
      </c>
      <c r="C21360" s="73"/>
      <c r="D21360" s="50" t="str">
        <f>VLOOKUP(A21360,'Componentes APUs'!$A$1:$D$14,3,0)</f>
        <v>U</v>
      </c>
      <c r="E21360" s="50">
        <f>IF(A21329="MO-3",C21329,0)</f>
        <v>0</v>
      </c>
      <c r="F21360" s="51">
        <f>VLOOKUP(A21360,'Componentes APUs'!$A$1:$D$14,4,0)</f>
        <v>26041.666666666668</v>
      </c>
      <c r="G21360" s="51">
        <f>ROUNDUP(F21360*(E21360/21)/E21310,0)</f>
        <v>0</v>
      </c>
    </row>
    <row r="21361" spans="1:7" x14ac:dyDescent="0.25">
      <c r="A21361" s="219" t="s">
        <v>95</v>
      </c>
      <c r="B21361" s="219"/>
      <c r="C21361" s="219"/>
      <c r="D21361" s="219"/>
      <c r="E21361" s="219"/>
      <c r="F21361" s="219"/>
      <c r="G21361" s="52">
        <f>SUM(G21348:G21360)</f>
        <v>9088</v>
      </c>
    </row>
    <row r="21362" spans="1:7" x14ac:dyDescent="0.25">
      <c r="A21362" s="56"/>
      <c r="B21362" s="57"/>
      <c r="C21362" s="57"/>
      <c r="D21362" s="57"/>
      <c r="E21362" s="57"/>
      <c r="F21362" s="57"/>
      <c r="G21362" s="58"/>
    </row>
    <row r="21363" spans="1:7" x14ac:dyDescent="0.25">
      <c r="A21363" s="219" t="s">
        <v>96</v>
      </c>
      <c r="B21363" s="219"/>
      <c r="C21363" s="219"/>
      <c r="D21363" s="219"/>
      <c r="E21363" s="219"/>
      <c r="F21363" s="219"/>
      <c r="G21363" s="219"/>
    </row>
    <row r="21364" spans="1:7" x14ac:dyDescent="0.25">
      <c r="A21364" s="49" t="s">
        <v>35</v>
      </c>
      <c r="B21364" s="225" t="s">
        <v>36</v>
      </c>
      <c r="C21364" s="225"/>
      <c r="D21364" s="49" t="s">
        <v>37</v>
      </c>
      <c r="E21364" s="49" t="s">
        <v>38</v>
      </c>
      <c r="F21364" s="49" t="s">
        <v>39</v>
      </c>
      <c r="G21364" s="49" t="s">
        <v>40</v>
      </c>
    </row>
    <row r="21365" spans="1:7" x14ac:dyDescent="0.25">
      <c r="A21365" s="69" t="s">
        <v>97</v>
      </c>
      <c r="B21365" s="72" t="str">
        <f>VLOOKUP(A21365,'Componentes APUs'!$N$1:$Q$30,2,0)</f>
        <v>Camioneta</v>
      </c>
      <c r="C21365" s="73"/>
      <c r="D21365" s="70" t="str">
        <f>VLOOKUP(A21365,'Componentes APUs'!$N$1:$Q$30,3,0)</f>
        <v>U</v>
      </c>
      <c r="E21365" s="50">
        <v>1</v>
      </c>
      <c r="F21365" s="51">
        <f>VLOOKUP(A21365,'Componentes APUs'!$N$1:$Q$30,4,0)</f>
        <v>5500000</v>
      </c>
      <c r="G21365" s="51">
        <f>IFERROR(ROUNDUP(F21365*(E21365/21)/E21310,0),0)</f>
        <v>261905</v>
      </c>
    </row>
    <row r="21366" spans="1:7" x14ac:dyDescent="0.25">
      <c r="A21366" s="50" t="s">
        <v>321</v>
      </c>
      <c r="B21366" s="72" t="str">
        <f>VLOOKUP(A21366,'Componentes APUs'!$N$1:$Q$30,2,0)</f>
        <v>Grúa Hidráulica</v>
      </c>
      <c r="C21366" s="73"/>
      <c r="D21366" s="70" t="str">
        <f>VLOOKUP(A21366,'Componentes APUs'!$N$1:$Q$30,3,0)</f>
        <v>U</v>
      </c>
      <c r="E21366" s="50">
        <v>0</v>
      </c>
      <c r="F21366" s="51">
        <f>VLOOKUP(A21366,'Componentes APUs'!$N$1:$Q$30,4,0)</f>
        <v>21000000</v>
      </c>
      <c r="G21366" s="51">
        <f>IFERROR(ROUNDUP(F21366*(E21366/21)/E21310,0),0)</f>
        <v>0</v>
      </c>
    </row>
    <row r="21367" spans="1:7" x14ac:dyDescent="0.25">
      <c r="A21367" s="219" t="s">
        <v>99</v>
      </c>
      <c r="B21367" s="219"/>
      <c r="C21367" s="219"/>
      <c r="D21367" s="219"/>
      <c r="E21367" s="219"/>
      <c r="F21367" s="219"/>
      <c r="G21367" s="52">
        <f>SUM(G21365:G21366)</f>
        <v>261905</v>
      </c>
    </row>
    <row r="21368" spans="1:7" x14ac:dyDescent="0.25">
      <c r="A21368" s="56"/>
      <c r="B21368" s="57"/>
      <c r="C21368" s="57"/>
      <c r="D21368" s="57"/>
      <c r="E21368" s="57"/>
      <c r="F21368" s="57"/>
      <c r="G21368" s="58"/>
    </row>
    <row r="21369" spans="1:7" x14ac:dyDescent="0.25">
      <c r="A21369" s="219" t="s">
        <v>1516</v>
      </c>
      <c r="B21369" s="219"/>
      <c r="C21369" s="219"/>
      <c r="D21369" s="219"/>
      <c r="E21369" s="219"/>
      <c r="F21369" s="219"/>
      <c r="G21369" s="52">
        <f>G21367+G21361+G21344+G21334+G21323</f>
        <v>16917160</v>
      </c>
    </row>
    <row r="21370" spans="1:7" x14ac:dyDescent="0.25">
      <c r="A21370" s="59"/>
      <c r="B21370" s="60"/>
      <c r="C21370" s="60"/>
      <c r="D21370" s="60"/>
      <c r="E21370" s="57"/>
      <c r="F21370" s="57"/>
      <c r="G21370" s="58"/>
    </row>
    <row r="21371" spans="1:7" x14ac:dyDescent="0.25">
      <c r="A21371" s="64"/>
      <c r="D21371" s="55"/>
      <c r="E21371" s="49" t="s">
        <v>25</v>
      </c>
      <c r="F21371" s="54">
        <v>0.15</v>
      </c>
      <c r="G21371" s="51">
        <f>G21369*F21371</f>
        <v>2537574</v>
      </c>
    </row>
    <row r="21372" spans="1:7" x14ac:dyDescent="0.25">
      <c r="A21372" s="64"/>
      <c r="D21372" s="55"/>
      <c r="E21372" s="49" t="s">
        <v>26</v>
      </c>
      <c r="F21372" s="54">
        <v>0.05</v>
      </c>
      <c r="G21372" s="51">
        <f>G21369*F21372</f>
        <v>845858</v>
      </c>
    </row>
    <row r="21373" spans="1:7" x14ac:dyDescent="0.25">
      <c r="A21373" s="61"/>
      <c r="B21373" s="65"/>
      <c r="C21373" s="65"/>
      <c r="D21373" s="62"/>
      <c r="E21373" s="49" t="s">
        <v>27</v>
      </c>
      <c r="F21373" s="54">
        <v>0.05</v>
      </c>
      <c r="G21373" s="51">
        <f>G21369*F21373</f>
        <v>845858</v>
      </c>
    </row>
    <row r="21374" spans="1:7" x14ac:dyDescent="0.25">
      <c r="A21374" s="61"/>
      <c r="B21374" s="62"/>
      <c r="C21374" s="62"/>
      <c r="D21374" s="62"/>
      <c r="E21374" s="62"/>
      <c r="F21374" s="62"/>
      <c r="G21374" s="63"/>
    </row>
    <row r="21375" spans="1:7" x14ac:dyDescent="0.25">
      <c r="A21375" s="219" t="s">
        <v>1517</v>
      </c>
      <c r="B21375" s="219"/>
      <c r="C21375" s="219"/>
      <c r="D21375" s="219"/>
      <c r="E21375" s="219"/>
      <c r="F21375" s="219"/>
      <c r="G21375" s="52">
        <f>G21369+G21371+G21372+G21373</f>
        <v>21146450</v>
      </c>
    </row>
    <row r="21376" spans="1:7" x14ac:dyDescent="0.25">
      <c r="A21376" s="59"/>
      <c r="B21376" s="60"/>
      <c r="C21376" s="60"/>
      <c r="D21376" s="60"/>
      <c r="E21376" s="57"/>
      <c r="F21376" s="57"/>
      <c r="G21376" s="58"/>
    </row>
    <row r="21377" spans="1:7" x14ac:dyDescent="0.25">
      <c r="A21377" s="64"/>
      <c r="D21377" s="55"/>
      <c r="E21377" s="49" t="s">
        <v>102</v>
      </c>
      <c r="F21377" s="49" t="s">
        <v>103</v>
      </c>
      <c r="G21377" s="51">
        <f>G21373*19%</f>
        <v>160713.01999999999</v>
      </c>
    </row>
    <row r="21378" spans="1:7" x14ac:dyDescent="0.25">
      <c r="A21378" s="61"/>
      <c r="B21378" s="62"/>
      <c r="C21378" s="62"/>
      <c r="D21378" s="62"/>
      <c r="E21378" s="57"/>
      <c r="F21378" s="57"/>
      <c r="G21378" s="58"/>
    </row>
    <row r="21379" spans="1:7" x14ac:dyDescent="0.25">
      <c r="A21379" s="219" t="s">
        <v>104</v>
      </c>
      <c r="B21379" s="219"/>
      <c r="C21379" s="219"/>
      <c r="D21379" s="219"/>
      <c r="E21379" s="219"/>
      <c r="F21379" s="219"/>
      <c r="G21379" s="52">
        <f>G21377+G21375</f>
        <v>21307163.02</v>
      </c>
    </row>
    <row r="21381" spans="1:7" x14ac:dyDescent="0.25">
      <c r="A21381" s="74" t="s">
        <v>29</v>
      </c>
      <c r="B21381" s="226" t="s">
        <v>30</v>
      </c>
      <c r="C21381" s="226"/>
      <c r="D21381" s="74" t="s">
        <v>31</v>
      </c>
      <c r="E21381" s="74" t="s">
        <v>32</v>
      </c>
      <c r="F21381" s="74" t="s">
        <v>189</v>
      </c>
      <c r="G21381" s="74" t="s">
        <v>33</v>
      </c>
    </row>
    <row r="21382" spans="1:7" ht="29.25" customHeight="1" x14ac:dyDescent="0.25">
      <c r="A21382" s="50" t="str">
        <f>Presupuesto!B408</f>
        <v>071_AUX</v>
      </c>
      <c r="B21382" s="220" t="str">
        <f>Presupuesto!C408</f>
        <v>SUMINISTRO E INSTALACIÓN DE CIRCUITO EN CABLE 3#12F+1#12N+1#12T AWG (VENTILACIÓN FORZADA DE TRANSFORMADOR DE POTENCIA EN PATIO)</v>
      </c>
      <c r="C21382" s="220"/>
      <c r="D21382" s="50" t="s">
        <v>108</v>
      </c>
      <c r="E21382" s="50">
        <v>110</v>
      </c>
      <c r="F21382" s="50"/>
      <c r="G21382" s="51">
        <f>G21449</f>
        <v>32566.891499999998</v>
      </c>
    </row>
    <row r="21383" spans="1:7" x14ac:dyDescent="0.25">
      <c r="A21383" s="219"/>
      <c r="B21383" s="219"/>
      <c r="C21383" s="219"/>
      <c r="D21383" s="219"/>
      <c r="E21383" s="219"/>
      <c r="F21383" s="219"/>
      <c r="G21383" s="219"/>
    </row>
    <row r="21384" spans="1:7" x14ac:dyDescent="0.25">
      <c r="A21384" s="49" t="s">
        <v>35</v>
      </c>
      <c r="B21384" s="219" t="s">
        <v>36</v>
      </c>
      <c r="C21384" s="219"/>
      <c r="D21384" s="49" t="s">
        <v>37</v>
      </c>
      <c r="E21384" s="49" t="s">
        <v>38</v>
      </c>
      <c r="F21384" s="49" t="s">
        <v>39</v>
      </c>
      <c r="G21384" s="49" t="s">
        <v>40</v>
      </c>
    </row>
    <row r="21385" spans="1:7" x14ac:dyDescent="0.25">
      <c r="A21385" s="17" t="str">
        <f>Material!A220</f>
        <v>MA-219</v>
      </c>
      <c r="B21385" s="72" t="str">
        <f>IFERROR(VLOOKUP(A21385,Material!$A:$J,2,0),"-")</f>
        <v>CABLE AISLADO NO 12 AWG COBRE THHN</v>
      </c>
      <c r="C21385" s="73"/>
      <c r="D21385" s="50" t="str">
        <f>IFERROR(VLOOKUP(A21385,Material!$A:$J,4,0),"-")</f>
        <v>ML</v>
      </c>
      <c r="E21385" s="50">
        <v>5</v>
      </c>
      <c r="F21385" s="51">
        <f>IFERROR(VLOOKUP(A21385,Material!$A:$J,3,0),"-")</f>
        <v>3445</v>
      </c>
      <c r="G21385" s="51">
        <f t="shared" ref="G21385" si="321">IFERROR(ROUNDUP(F21385*E21385,0),"-")</f>
        <v>17225</v>
      </c>
    </row>
    <row r="21386" spans="1:7" x14ac:dyDescent="0.25">
      <c r="A21386" s="17"/>
      <c r="B21386" s="72"/>
      <c r="C21386" s="76"/>
      <c r="D21386" s="50"/>
      <c r="E21386" s="50"/>
      <c r="F21386" s="51"/>
      <c r="G21386" s="51"/>
    </row>
    <row r="21387" spans="1:7" x14ac:dyDescent="0.25">
      <c r="A21387" s="17"/>
      <c r="B21387" s="72"/>
      <c r="C21387" s="76"/>
      <c r="D21387" s="50"/>
      <c r="E21387" s="50"/>
      <c r="F21387" s="51"/>
      <c r="G21387" s="51"/>
    </row>
    <row r="21388" spans="1:7" x14ac:dyDescent="0.25">
      <c r="A21388" s="17"/>
      <c r="B21388" s="72"/>
      <c r="C21388" s="76"/>
      <c r="D21388" s="50"/>
      <c r="E21388" s="50"/>
      <c r="F21388" s="51"/>
      <c r="G21388" s="51"/>
    </row>
    <row r="21389" spans="1:7" x14ac:dyDescent="0.25">
      <c r="A21389" s="17"/>
      <c r="B21389" s="72"/>
      <c r="C21389" s="76"/>
      <c r="D21389" s="50"/>
      <c r="E21389" s="50"/>
      <c r="F21389" s="51"/>
      <c r="G21389" s="51"/>
    </row>
    <row r="21390" spans="1:7" x14ac:dyDescent="0.25">
      <c r="A21390" s="17"/>
      <c r="B21390" s="72"/>
      <c r="C21390" s="76"/>
      <c r="D21390" s="50"/>
      <c r="E21390" s="50"/>
      <c r="F21390" s="51"/>
      <c r="G21390" s="51"/>
    </row>
    <row r="21391" spans="1:7" x14ac:dyDescent="0.25">
      <c r="A21391" s="219" t="s">
        <v>41</v>
      </c>
      <c r="B21391" s="219"/>
      <c r="C21391" s="219"/>
      <c r="D21391" s="219"/>
      <c r="E21391" s="219"/>
      <c r="F21391" s="219"/>
      <c r="G21391" s="52">
        <f>SUM(G21385:G21390)</f>
        <v>17225</v>
      </c>
    </row>
    <row r="21392" spans="1:7" x14ac:dyDescent="0.25">
      <c r="A21392" s="56"/>
      <c r="B21392" s="57"/>
      <c r="C21392" s="57"/>
      <c r="D21392" s="57"/>
      <c r="E21392" s="57"/>
      <c r="F21392" s="57"/>
      <c r="G21392" s="58"/>
    </row>
    <row r="21393" spans="1:7" x14ac:dyDescent="0.25">
      <c r="A21393" s="219" t="s">
        <v>42</v>
      </c>
      <c r="B21393" s="219"/>
      <c r="C21393" s="219"/>
      <c r="D21393" s="219"/>
      <c r="E21393" s="219"/>
      <c r="F21393" s="219"/>
      <c r="G21393" s="219"/>
    </row>
    <row r="21394" spans="1:7" x14ac:dyDescent="0.25">
      <c r="A21394" s="49" t="s">
        <v>35</v>
      </c>
      <c r="B21394" s="49" t="s">
        <v>36</v>
      </c>
      <c r="C21394" s="49" t="s">
        <v>38</v>
      </c>
      <c r="D21394" s="49" t="s">
        <v>43</v>
      </c>
      <c r="E21394" s="49" t="s">
        <v>44</v>
      </c>
      <c r="F21394" s="49" t="s">
        <v>45</v>
      </c>
      <c r="G21394" s="49" t="s">
        <v>40</v>
      </c>
    </row>
    <row r="21395" spans="1:7" x14ac:dyDescent="0.25">
      <c r="A21395" s="50" t="s">
        <v>319</v>
      </c>
      <c r="B21395" s="68" t="str">
        <f>VLOOKUP(A21395,'[1]Componentes APUs'!$H$1:$L$25,2,0)</f>
        <v>Ingeniero Residente de Obra</v>
      </c>
      <c r="C21395" s="93">
        <v>0.25</v>
      </c>
      <c r="D21395" s="50">
        <f>VLOOKUP(A21395,'[1]Componentes APUs'!$H$1:$L$25,3,0)</f>
        <v>4</v>
      </c>
      <c r="E21395" s="51">
        <f>VLOOKUP(A21395,'[1]Componentes APUs'!$H$1:$L$25,4,0)</f>
        <v>271142.85714285716</v>
      </c>
      <c r="F21395" s="51">
        <f>VLOOKUP(A21395,'[1]Componentes APUs'!$H$1:$L$25,5,0)</f>
        <v>162685.71428571429</v>
      </c>
      <c r="G21395" s="51">
        <f>ROUNDUP((E21395+F21395)*C21395/E21382,0)</f>
        <v>986</v>
      </c>
    </row>
    <row r="21396" spans="1:7" x14ac:dyDescent="0.25">
      <c r="A21396" s="50" t="s">
        <v>320</v>
      </c>
      <c r="B21396" s="68" t="str">
        <f>VLOOKUP(A21396,'[1]Componentes APUs'!$H$1:$L$25,2,0)</f>
        <v>Tecnico Supervisor</v>
      </c>
      <c r="C21396" s="93">
        <v>0.25</v>
      </c>
      <c r="D21396" s="50">
        <f>VLOOKUP(A21396,'[1]Componentes APUs'!$H$1:$L$25,3,0)</f>
        <v>2.2999999999999998</v>
      </c>
      <c r="E21396" s="51">
        <f>VLOOKUP(A21396,'[1]Componentes APUs'!$H$1:$L$25,4,0)</f>
        <v>155907.14285714284</v>
      </c>
      <c r="F21396" s="51">
        <f>VLOOKUP(A21396,'[1]Componentes APUs'!$H$1:$L$25,5,0)</f>
        <v>93544.285714285696</v>
      </c>
      <c r="G21396" s="51">
        <f>ROUNDUP((E21396+F21396)*C21396/E21382,0)</f>
        <v>567</v>
      </c>
    </row>
    <row r="21397" spans="1:7" x14ac:dyDescent="0.25">
      <c r="A21397" s="50" t="s">
        <v>1160</v>
      </c>
      <c r="B21397" s="68" t="str">
        <f>VLOOKUP(A21397,'[1]Componentes APUs'!$H$1:$L$25,2,0)</f>
        <v>Oficial Eléctrico</v>
      </c>
      <c r="C21397" s="93">
        <v>1</v>
      </c>
      <c r="D21397" s="50">
        <f>VLOOKUP(A21397,'[1]Componentes APUs'!$H$1:$L$25,3,0)</f>
        <v>2</v>
      </c>
      <c r="E21397" s="51">
        <f>VLOOKUP(A21397,'[1]Componentes APUs'!$H$1:$L$25,4,0)</f>
        <v>154619.04761904763</v>
      </c>
      <c r="F21397" s="51">
        <f>VLOOKUP(A21397,'[1]Componentes APUs'!$H$1:$L$25,5,0)</f>
        <v>92771.42857142858</v>
      </c>
      <c r="G21397" s="51">
        <f>ROUNDUP((E21397+F21397)*C21397/E21382,0)</f>
        <v>2250</v>
      </c>
    </row>
    <row r="21398" spans="1:7" x14ac:dyDescent="0.25">
      <c r="A21398" s="50" t="s">
        <v>48</v>
      </c>
      <c r="B21398" s="68" t="str">
        <f>VLOOKUP(A21398,'[1]Componentes APUs'!$H$1:$L$25,2,0)</f>
        <v>Ayudante Calificado</v>
      </c>
      <c r="C21398" s="93">
        <v>1</v>
      </c>
      <c r="D21398" s="50">
        <f>VLOOKUP(A21398,'[1]Componentes APUs'!$H$1:$L$25,3,0)</f>
        <v>1.5</v>
      </c>
      <c r="E21398" s="51">
        <f>VLOOKUP(A21398,'[1]Componentes APUs'!$H$1:$L$25,4,0)</f>
        <v>115964.28571428571</v>
      </c>
      <c r="F21398" s="51">
        <f>VLOOKUP(A21398,'[1]Componentes APUs'!$H$1:$L$25,5,0)</f>
        <v>69578.57142857142</v>
      </c>
      <c r="G21398" s="51">
        <f>ROUNDUP((E21398+F21398)*C21398/E21382,0)</f>
        <v>1687</v>
      </c>
    </row>
    <row r="21399" spans="1:7" x14ac:dyDescent="0.25">
      <c r="A21399" s="50" t="s">
        <v>50</v>
      </c>
      <c r="B21399" s="68" t="str">
        <f>VLOOKUP(A21399,'[1]Componentes APUs'!$H$1:$L$25,2,0)</f>
        <v>Profesional en SST</v>
      </c>
      <c r="C21399" s="93">
        <v>0.25</v>
      </c>
      <c r="D21399" s="50">
        <f>VLOOKUP(A21399,'[1]Componentes APUs'!$H$1:$L$25,3,0)</f>
        <v>2.5</v>
      </c>
      <c r="E21399" s="51">
        <f>VLOOKUP(A21399,'[1]Componentes APUs'!$H$1:$L$25,4,0)</f>
        <v>169464.28571428571</v>
      </c>
      <c r="F21399" s="51">
        <f>VLOOKUP(A21399,'[1]Componentes APUs'!$H$1:$L$25,5,0)</f>
        <v>101678.57142857142</v>
      </c>
      <c r="G21399" s="51">
        <f>ROUNDUP((E21399+F21399)*C21399/E21382,0)</f>
        <v>617</v>
      </c>
    </row>
    <row r="21400" spans="1:7" x14ac:dyDescent="0.25">
      <c r="A21400" s="50" t="s">
        <v>52</v>
      </c>
      <c r="B21400" s="68" t="str">
        <f>VLOOKUP(A21400,'[1]Componentes APUs'!$H$1:$L$25,2,0)</f>
        <v>Ayudante No Calificado</v>
      </c>
      <c r="C21400" s="93">
        <v>0</v>
      </c>
      <c r="D21400" s="50">
        <f>VLOOKUP(A21400,'[1]Componentes APUs'!$H$1:$L$25,3,0)</f>
        <v>1</v>
      </c>
      <c r="E21400" s="51">
        <f>VLOOKUP(A21400,'[1]Componentes APUs'!$H$1:$L$25,4,0)</f>
        <v>77309.523809523816</v>
      </c>
      <c r="F21400" s="51">
        <f>VLOOKUP(A21400,'[1]Componentes APUs'!$H$1:$L$25,5,0)</f>
        <v>46385.71428571429</v>
      </c>
      <c r="G21400" s="51">
        <f>ROUNDUP((E21400+F21400)*C21400/E21382,0)</f>
        <v>0</v>
      </c>
    </row>
    <row r="21401" spans="1:7" x14ac:dyDescent="0.25">
      <c r="A21401" s="219" t="s">
        <v>56</v>
      </c>
      <c r="B21401" s="219"/>
      <c r="C21401" s="219"/>
      <c r="D21401" s="219"/>
      <c r="E21401" s="219"/>
      <c r="F21401" s="219"/>
      <c r="G21401" s="52">
        <f>SUM(G21395:G21400)</f>
        <v>6107</v>
      </c>
    </row>
    <row r="21402" spans="1:7" x14ac:dyDescent="0.25">
      <c r="A21402" s="56"/>
      <c r="B21402" s="57"/>
      <c r="C21402" s="57"/>
      <c r="D21402" s="57"/>
      <c r="E21402" s="57"/>
      <c r="F21402" s="57"/>
      <c r="G21402" s="58"/>
    </row>
    <row r="21403" spans="1:7" x14ac:dyDescent="0.25">
      <c r="A21403" s="219" t="s">
        <v>57</v>
      </c>
      <c r="B21403" s="219"/>
      <c r="C21403" s="219"/>
      <c r="D21403" s="219"/>
      <c r="E21403" s="219"/>
      <c r="F21403" s="219"/>
      <c r="G21403" s="219"/>
    </row>
    <row r="21404" spans="1:7" x14ac:dyDescent="0.25">
      <c r="A21404" s="49" t="s">
        <v>35</v>
      </c>
      <c r="B21404" s="219" t="s">
        <v>36</v>
      </c>
      <c r="C21404" s="219"/>
      <c r="D21404" s="49" t="s">
        <v>37</v>
      </c>
      <c r="E21404" s="49" t="s">
        <v>38</v>
      </c>
      <c r="F21404" s="49" t="s">
        <v>39</v>
      </c>
      <c r="G21404" s="49" t="s">
        <v>40</v>
      </c>
    </row>
    <row r="21405" spans="1:7" x14ac:dyDescent="0.25">
      <c r="A21405" s="50" t="s">
        <v>326</v>
      </c>
      <c r="B21405" s="220" t="str">
        <f>VLOOKUP(A21405,'[1]Componentes APUs'!$S$1:$V$10,2,0)</f>
        <v>Juego Llaves</v>
      </c>
      <c r="C21405" s="220"/>
      <c r="D21405" s="50" t="s">
        <v>18</v>
      </c>
      <c r="E21405" s="50">
        <v>2</v>
      </c>
      <c r="F21405" s="51">
        <f>VLOOKUP(A21405,'[1]Componentes APUs'!$S$1:$V$10,4,0)</f>
        <v>9167</v>
      </c>
      <c r="G21405" s="51">
        <f>ROUNDUP(F21405*((E21405/21)/E21382),0)</f>
        <v>8</v>
      </c>
    </row>
    <row r="21406" spans="1:7" x14ac:dyDescent="0.25">
      <c r="A21406" s="50" t="s">
        <v>58</v>
      </c>
      <c r="B21406" s="220" t="str">
        <f>VLOOKUP(A21406,'[1]Componentes APUs'!$S$1:$V$10,2,0)</f>
        <v>Manila de servicio</v>
      </c>
      <c r="C21406" s="220"/>
      <c r="D21406" s="50" t="s">
        <v>18</v>
      </c>
      <c r="E21406" s="50">
        <v>0</v>
      </c>
      <c r="F21406" s="51">
        <f>VLOOKUP(A21406,'[1]Componentes APUs'!$S$1:$V$10,4,0)</f>
        <v>2333</v>
      </c>
      <c r="G21406" s="51">
        <f>ROUNDUP(F21406*((E21406/21)/E21382),0)</f>
        <v>0</v>
      </c>
    </row>
    <row r="21407" spans="1:7" x14ac:dyDescent="0.25">
      <c r="A21407" s="50" t="s">
        <v>327</v>
      </c>
      <c r="B21407" s="220" t="str">
        <f>VLOOKUP(A21407,'[1]Componentes APUs'!$S$1:$V$10,2,0)</f>
        <v>Tula portaherramientas</v>
      </c>
      <c r="C21407" s="220"/>
      <c r="D21407" s="50" t="s">
        <v>18</v>
      </c>
      <c r="E21407" s="50">
        <v>2</v>
      </c>
      <c r="F21407" s="51">
        <f>VLOOKUP(A21407,'[1]Componentes APUs'!$S$1:$V$10,4,0)</f>
        <v>1250</v>
      </c>
      <c r="G21407" s="51">
        <f>ROUNDUP(F21407*((E21407/21)/E21382),0)</f>
        <v>2</v>
      </c>
    </row>
    <row r="21408" spans="1:7" x14ac:dyDescent="0.25">
      <c r="A21408" s="50" t="s">
        <v>60</v>
      </c>
      <c r="B21408" s="220" t="str">
        <f>VLOOKUP(A21408,'[1]Componentes APUs'!$S$1:$V$10,2,0)</f>
        <v>Agarradoras</v>
      </c>
      <c r="C21408" s="220"/>
      <c r="D21408" s="50" t="s">
        <v>18</v>
      </c>
      <c r="E21408" s="50">
        <v>0</v>
      </c>
      <c r="F21408" s="51">
        <f>VLOOKUP(A21408,'[1]Componentes APUs'!$S$1:$V$10,4,0)</f>
        <v>125000</v>
      </c>
      <c r="G21408" s="51">
        <f>ROUNDUP(F21408*((E21408/21)/E21382),0)</f>
        <v>0</v>
      </c>
    </row>
    <row r="21409" spans="1:7" x14ac:dyDescent="0.25">
      <c r="A21409" s="50" t="s">
        <v>62</v>
      </c>
      <c r="B21409" s="220" t="str">
        <f>VLOOKUP(A21409,'[1]Componentes APUs'!$S$1:$V$10,2,0)</f>
        <v>Templadoras</v>
      </c>
      <c r="C21409" s="220"/>
      <c r="D21409" s="50" t="s">
        <v>18</v>
      </c>
      <c r="E21409" s="50">
        <v>0</v>
      </c>
      <c r="F21409" s="51">
        <f>VLOOKUP(A21409,'[1]Componentes APUs'!$S$1:$V$10,4,0)</f>
        <v>250000</v>
      </c>
      <c r="G21409" s="51">
        <f>ROUNDUP(F21409*((E21409/21)/E21382),0)</f>
        <v>0</v>
      </c>
    </row>
    <row r="21410" spans="1:7" x14ac:dyDescent="0.25">
      <c r="A21410" s="50" t="s">
        <v>328</v>
      </c>
      <c r="B21410" s="220" t="str">
        <f>VLOOKUP(A21410,'[1]Componentes APUs'!$S$1:$V$10,2,0)</f>
        <v>Herramienta Menor</v>
      </c>
      <c r="C21410" s="220"/>
      <c r="D21410" s="50" t="s">
        <v>18</v>
      </c>
      <c r="E21410" s="50">
        <v>2</v>
      </c>
      <c r="F21410" s="51">
        <f>VLOOKUP(A21410,'[1]Componentes APUs'!$S$1:$V$10,4,0)</f>
        <v>75758</v>
      </c>
      <c r="G21410" s="51">
        <f>ROUNDUP(F21410*((E21410/21)/E21382),0)</f>
        <v>66</v>
      </c>
    </row>
    <row r="21411" spans="1:7" x14ac:dyDescent="0.25">
      <c r="A21411" s="219" t="s">
        <v>69</v>
      </c>
      <c r="B21411" s="219"/>
      <c r="C21411" s="219"/>
      <c r="D21411" s="219"/>
      <c r="E21411" s="219"/>
      <c r="F21411" s="219"/>
      <c r="G21411" s="52">
        <f>SUM(G21405:G21410)</f>
        <v>76</v>
      </c>
    </row>
    <row r="21412" spans="1:7" x14ac:dyDescent="0.25">
      <c r="A21412" s="56"/>
      <c r="B21412" s="57"/>
      <c r="C21412" s="57"/>
      <c r="D21412" s="57"/>
      <c r="E21412" s="57"/>
      <c r="F21412" s="57"/>
      <c r="G21412" s="58"/>
    </row>
    <row r="21413" spans="1:7" x14ac:dyDescent="0.25">
      <c r="A21413" s="219" t="s">
        <v>70</v>
      </c>
      <c r="B21413" s="219"/>
      <c r="C21413" s="219"/>
      <c r="D21413" s="219"/>
      <c r="E21413" s="219"/>
      <c r="F21413" s="219"/>
      <c r="G21413" s="219"/>
    </row>
    <row r="21414" spans="1:7" x14ac:dyDescent="0.25">
      <c r="A21414" s="49" t="s">
        <v>35</v>
      </c>
      <c r="B21414" s="219" t="s">
        <v>36</v>
      </c>
      <c r="C21414" s="219"/>
      <c r="D21414" s="49" t="s">
        <v>37</v>
      </c>
      <c r="E21414" s="49" t="s">
        <v>38</v>
      </c>
      <c r="F21414" s="49" t="s">
        <v>39</v>
      </c>
      <c r="G21414" s="49" t="s">
        <v>40</v>
      </c>
    </row>
    <row r="21415" spans="1:7" x14ac:dyDescent="0.25">
      <c r="A21415" s="50" t="s">
        <v>71</v>
      </c>
      <c r="B21415" s="71" t="str">
        <f>VLOOKUP(A21415,'[1]Componentes APUs'!$A$1:$D$14,2,0)</f>
        <v>Camisa indigo sin partes metalicas</v>
      </c>
      <c r="C21415" s="71"/>
      <c r="D21415" s="50" t="str">
        <f>VLOOKUP(A21415,'[1]Componentes APUs'!$A$1:$D$14,3,0)</f>
        <v>U</v>
      </c>
      <c r="E21415" s="50">
        <f>SUM(C21395:C21400)</f>
        <v>2.75</v>
      </c>
      <c r="F21415" s="51">
        <f>VLOOKUP(A21415,'[1]Componentes APUs'!$A$1:$D$14,4,0)</f>
        <v>8585.8585858585866</v>
      </c>
      <c r="G21415" s="51">
        <f>ROUNDUP(F21415*(E21415/21)/E21382,0)</f>
        <v>11</v>
      </c>
    </row>
    <row r="21416" spans="1:7" x14ac:dyDescent="0.25">
      <c r="A21416" s="69" t="s">
        <v>73</v>
      </c>
      <c r="B21416" s="72" t="str">
        <f>VLOOKUP(A21416,'[1]Componentes APUs'!$A$1:$D$14,2,0)</f>
        <v>Bota de seguridad dielectrica</v>
      </c>
      <c r="C21416" s="73"/>
      <c r="D21416" s="70" t="str">
        <f>VLOOKUP(A21416,'[1]Componentes APUs'!$A$1:$D$14,3,0)</f>
        <v>Par</v>
      </c>
      <c r="E21416" s="50">
        <f>SUM(C21395:C21400)</f>
        <v>2.75</v>
      </c>
      <c r="F21416" s="51">
        <f>VLOOKUP(A21416,'[1]Componentes APUs'!$A$1:$D$14,4,0)</f>
        <v>7500</v>
      </c>
      <c r="G21416" s="51">
        <f>ROUNDUP(F21416*(E21416/21)/E21382,0)</f>
        <v>9</v>
      </c>
    </row>
    <row r="21417" spans="1:7" x14ac:dyDescent="0.25">
      <c r="A21417" s="50" t="s">
        <v>76</v>
      </c>
      <c r="B21417" s="72" t="str">
        <f>VLOOKUP(A21417,'[1]Componentes APUs'!$A$1:$D$14,2,0)</f>
        <v>Casco dielectrico Tipo 1 Clase E con barbuquejo</v>
      </c>
      <c r="C21417" s="73"/>
      <c r="D21417" s="50" t="str">
        <f>VLOOKUP(A21417,'[1]Componentes APUs'!$A$1:$D$14,3,0)</f>
        <v>U</v>
      </c>
      <c r="E21417" s="50">
        <f>C21395+C21396+C21399+C21400+C21398+IF(A21397&lt;&gt;"MO-3",C21397,0)</f>
        <v>2.75</v>
      </c>
      <c r="F21417" s="51">
        <f>VLOOKUP(A21417,'[1]Componentes APUs'!$A$1:$D$14,4,0)</f>
        <v>10101.010101010101</v>
      </c>
      <c r="G21417" s="51">
        <f>ROUNDUP(F21417*(E21417/21)/E21382,0)</f>
        <v>13</v>
      </c>
    </row>
    <row r="21418" spans="1:7" x14ac:dyDescent="0.25">
      <c r="A21418" s="69" t="s">
        <v>77</v>
      </c>
      <c r="B21418" s="72" t="str">
        <f>VLOOKUP(A21418,'[1]Componentes APUs'!$A$1:$D$14,2,0)</f>
        <v>Correa plastica y antiflama</v>
      </c>
      <c r="C21418" s="73"/>
      <c r="D21418" s="50" t="str">
        <f>VLOOKUP(A21418,'[1]Componentes APUs'!$A$1:$D$14,3,0)</f>
        <v>U</v>
      </c>
      <c r="E21418" s="50">
        <f>SUM(C21395:C21400)</f>
        <v>2.75</v>
      </c>
      <c r="F21418" s="51">
        <f>VLOOKUP(A21418,'[1]Componentes APUs'!$A$1:$D$14,4,0)</f>
        <v>3787.878787878788</v>
      </c>
      <c r="G21418" s="51">
        <f>ROUNDUP(F21418*(E21418/21)/E21382,0)</f>
        <v>5</v>
      </c>
    </row>
    <row r="21419" spans="1:7" x14ac:dyDescent="0.25">
      <c r="A21419" s="50" t="s">
        <v>79</v>
      </c>
      <c r="B21419" s="72" t="str">
        <f>VLOOKUP(A21419,'[1]Componentes APUs'!$A$1:$D$14,2,0)</f>
        <v>Gafas protectoras filtro UV</v>
      </c>
      <c r="C21419" s="73"/>
      <c r="D21419" s="50" t="str">
        <f>VLOOKUP(A21419,'[1]Componentes APUs'!$A$1:$D$14,3,0)</f>
        <v>U</v>
      </c>
      <c r="E21419" s="50">
        <f>SUM(C21395:C21400)</f>
        <v>2.75</v>
      </c>
      <c r="F21419" s="51">
        <f>VLOOKUP(A21419,'[1]Componentes APUs'!$A$1:$D$14,4,0)</f>
        <v>2777.7777777777778</v>
      </c>
      <c r="G21419" s="51">
        <f>ROUNDUP(F21419*(E21419/21)/E21382,0)</f>
        <v>4</v>
      </c>
    </row>
    <row r="21420" spans="1:7" x14ac:dyDescent="0.25">
      <c r="A21420" s="69" t="s">
        <v>402</v>
      </c>
      <c r="B21420" s="72" t="str">
        <f>VLOOKUP(A21420,'[1]Componentes APUs'!$A$1:$D$14,2,0)</f>
        <v>Bota de seguridad PVC dielectrica</v>
      </c>
      <c r="C21420" s="73"/>
      <c r="D21420" s="50" t="str">
        <f>VLOOKUP(A21420,'[1]Componentes APUs'!$A$1:$D$14,3,0)</f>
        <v>Par</v>
      </c>
      <c r="E21420" s="50">
        <f>SUM(C21395:C21400)</f>
        <v>2.75</v>
      </c>
      <c r="F21420" s="51">
        <f>VLOOKUP(A21420,'[1]Componentes APUs'!$A$1:$D$14,4,0)</f>
        <v>2916.6666666666665</v>
      </c>
      <c r="G21420" s="51">
        <f>ROUNDUP(F21420*(E21420/21)/E21382,0)</f>
        <v>4</v>
      </c>
    </row>
    <row r="21421" spans="1:7" x14ac:dyDescent="0.25">
      <c r="A21421" s="50" t="s">
        <v>403</v>
      </c>
      <c r="B21421" s="72" t="str">
        <f>VLOOKUP(A21421,'[1]Componentes APUs'!$A$1:$D$14,2,0)</f>
        <v>Capuchon</v>
      </c>
      <c r="C21421" s="73"/>
      <c r="D21421" s="50" t="str">
        <f>VLOOKUP(A21421,'[1]Componentes APUs'!$A$1:$D$14,3,0)</f>
        <v>U</v>
      </c>
      <c r="E21421" s="50">
        <f>SUM(C21395:C21400)</f>
        <v>2.75</v>
      </c>
      <c r="F21421" s="51">
        <f>VLOOKUP(A21421,'[1]Componentes APUs'!$A$1:$D$14,4,0)</f>
        <v>2525.2525252525252</v>
      </c>
      <c r="G21421" s="51">
        <f>ROUNDUP(F21421*(E21421/21)/E21382,0)</f>
        <v>4</v>
      </c>
    </row>
    <row r="21422" spans="1:7" x14ac:dyDescent="0.25">
      <c r="A21422" s="69" t="s">
        <v>81</v>
      </c>
      <c r="B21422" s="72" t="str">
        <f>VLOOKUP(A21422,'[1]Componentes APUs'!$A$1:$D$14,2,0)</f>
        <v>Guantes Protectores  - ingeniero reforzados</v>
      </c>
      <c r="C21422" s="73"/>
      <c r="D21422" s="50" t="str">
        <f>VLOOKUP(A21422,'[1]Componentes APUs'!$A$1:$D$14,3,0)</f>
        <v>Par</v>
      </c>
      <c r="E21422" s="50">
        <f>C21397+C21398+C21400</f>
        <v>2</v>
      </c>
      <c r="F21422" s="51">
        <f>VLOOKUP(A21422,'[1]Componentes APUs'!$A$1:$D$14,4,0)</f>
        <v>2525.2525252525252</v>
      </c>
      <c r="G21422" s="51">
        <f>ROUNDUP(F21422*(E21422/21)/E21382,0)</f>
        <v>3</v>
      </c>
    </row>
    <row r="21423" spans="1:7" x14ac:dyDescent="0.25">
      <c r="A21423" s="50" t="s">
        <v>83</v>
      </c>
      <c r="B21423" s="72" t="str">
        <f>VLOOKUP(A21423,'[1]Componentes APUs'!$A$1:$D$14,2,0)</f>
        <v>Impermeable (pantalon camisa)</v>
      </c>
      <c r="C21423" s="73"/>
      <c r="D21423" s="50" t="str">
        <f>VLOOKUP(A21423,'[1]Componentes APUs'!$A$1:$D$14,3,0)</f>
        <v>U</v>
      </c>
      <c r="E21423" s="50">
        <f>SUM(C21395:C21400)</f>
        <v>2.75</v>
      </c>
      <c r="F21423" s="51">
        <f>VLOOKUP(A21423,'[1]Componentes APUs'!$A$1:$D$14,4,0)</f>
        <v>3750</v>
      </c>
      <c r="G21423" s="51">
        <f>ROUNDUP(F21423*(E21423/21)/E21382,0)</f>
        <v>5</v>
      </c>
    </row>
    <row r="21424" spans="1:7" x14ac:dyDescent="0.25">
      <c r="A21424" s="69" t="s">
        <v>85</v>
      </c>
      <c r="B21424" s="72" t="str">
        <f>VLOOKUP(A21424,'[1]Componentes APUs'!$A$1:$D$14,2,0)</f>
        <v>Jean Dielectrico</v>
      </c>
      <c r="C21424" s="73"/>
      <c r="D21424" s="50" t="str">
        <f>VLOOKUP(A21424,'[1]Componentes APUs'!$A$1:$D$14,3,0)</f>
        <v>U</v>
      </c>
      <c r="E21424" s="50">
        <f>SUM(C21395:C21400)</f>
        <v>2.75</v>
      </c>
      <c r="F21424" s="51">
        <f>VLOOKUP(A21424,'[1]Componentes APUs'!$A$1:$D$14,4,0)</f>
        <v>7575.757575757576</v>
      </c>
      <c r="G21424" s="51">
        <f>ROUNDUP(F21424*(E21424/21)/E21382,0)</f>
        <v>10</v>
      </c>
    </row>
    <row r="21425" spans="1:7" x14ac:dyDescent="0.25">
      <c r="A21425" s="50" t="s">
        <v>87</v>
      </c>
      <c r="B21425" s="72" t="str">
        <f>VLOOKUP(A21425,'[1]Componentes APUs'!$A$1:$D$14,2,0)</f>
        <v>Casco dielectrico Tipo 2 Clase E con barboquejo</v>
      </c>
      <c r="C21425" s="73"/>
      <c r="D21425" s="50" t="str">
        <f>VLOOKUP(A21425,'[1]Componentes APUs'!$A$1:$D$14,3,0)</f>
        <v>U</v>
      </c>
      <c r="E21425" s="53">
        <f>IF(A21397="MO-3",C21397,0)</f>
        <v>0</v>
      </c>
      <c r="F21425" s="51">
        <f>VLOOKUP(A21425,'[1]Componentes APUs'!$A$1:$D$14,4,0)</f>
        <v>7500</v>
      </c>
      <c r="G21425" s="51">
        <f>ROUNDUP(F21425*(E21425/21)/E21382,0)</f>
        <v>0</v>
      </c>
    </row>
    <row r="21426" spans="1:7" x14ac:dyDescent="0.25">
      <c r="A21426" s="69" t="s">
        <v>89</v>
      </c>
      <c r="B21426" s="72" t="str">
        <f>VLOOKUP(A21426,'[1]Componentes APUs'!$A$1:$D$14,2,0)</f>
        <v>Kit de rescate para trabajo en alturas</v>
      </c>
      <c r="C21426" s="73"/>
      <c r="D21426" s="50" t="str">
        <f>VLOOKUP(A21426,'[1]Componentes APUs'!$A$1:$D$14,3,0)</f>
        <v>U</v>
      </c>
      <c r="E21426" s="50">
        <f>IF(AND(A21397="MO-3",C21397=2),1,0)</f>
        <v>0</v>
      </c>
      <c r="F21426" s="51">
        <f>VLOOKUP(A21426,'[1]Componentes APUs'!$A$1:$D$14,4,0)</f>
        <v>37500</v>
      </c>
      <c r="G21426" s="51">
        <f>ROUNDUP(F21426*(E21426/21)/E21382,0)</f>
        <v>0</v>
      </c>
    </row>
    <row r="21427" spans="1:7" x14ac:dyDescent="0.25">
      <c r="A21427" s="50" t="s">
        <v>91</v>
      </c>
      <c r="B21427" s="72" t="str">
        <f>VLOOKUP(A21427,'[1]Componentes APUs'!$A$1:$D$14,2,0)</f>
        <v>Equipo completo para trabajo en alturas con pretales (Arnes dielectrico, 1 mosqueton de seguridad, tie off dielectrico, eslinga de posicionamiento, juego de pretales)</v>
      </c>
      <c r="C21427" s="73"/>
      <c r="D21427" s="50" t="str">
        <f>VLOOKUP(A21427,'[1]Componentes APUs'!$A$1:$D$14,3,0)</f>
        <v>U</v>
      </c>
      <c r="E21427" s="50" t="b">
        <f>IF(A21397="MO-3",C21397)</f>
        <v>0</v>
      </c>
      <c r="F21427" s="51">
        <f>VLOOKUP(A21427,'[1]Componentes APUs'!$A$1:$D$14,4,0)</f>
        <v>26041.666666666668</v>
      </c>
      <c r="G21427" s="51">
        <f>ROUNDUP(F21427*(E21427/21)/E21382,0)</f>
        <v>0</v>
      </c>
    </row>
    <row r="21428" spans="1:7" x14ac:dyDescent="0.25">
      <c r="A21428" s="219" t="s">
        <v>95</v>
      </c>
      <c r="B21428" s="219"/>
      <c r="C21428" s="219"/>
      <c r="D21428" s="219"/>
      <c r="E21428" s="219"/>
      <c r="F21428" s="219"/>
      <c r="G21428" s="52">
        <f>SUM(G21415:G21427)</f>
        <v>68</v>
      </c>
    </row>
    <row r="21429" spans="1:7" x14ac:dyDescent="0.25">
      <c r="A21429" s="56"/>
      <c r="B21429" s="57"/>
      <c r="C21429" s="57"/>
      <c r="D21429" s="57"/>
      <c r="E21429" s="57"/>
      <c r="F21429" s="57"/>
      <c r="G21429" s="58"/>
    </row>
    <row r="21430" spans="1:7" x14ac:dyDescent="0.25">
      <c r="A21430" s="219" t="s">
        <v>96</v>
      </c>
      <c r="B21430" s="219"/>
      <c r="C21430" s="219"/>
      <c r="D21430" s="219"/>
      <c r="E21430" s="219"/>
      <c r="F21430" s="219"/>
      <c r="G21430" s="219"/>
    </row>
    <row r="21431" spans="1:7" x14ac:dyDescent="0.25">
      <c r="A21431" s="49" t="s">
        <v>35</v>
      </c>
      <c r="B21431" s="225" t="s">
        <v>36</v>
      </c>
      <c r="C21431" s="225"/>
      <c r="D21431" s="49" t="s">
        <v>37</v>
      </c>
      <c r="E21431" s="49" t="s">
        <v>38</v>
      </c>
      <c r="F21431" s="49" t="s">
        <v>39</v>
      </c>
      <c r="G21431" s="49" t="s">
        <v>40</v>
      </c>
    </row>
    <row r="21432" spans="1:7" x14ac:dyDescent="0.25">
      <c r="A21432" s="69" t="s">
        <v>97</v>
      </c>
      <c r="B21432" s="72" t="str">
        <f>VLOOKUP(A21432,'[1]Componentes APUs'!$N$1:$Q$30,2,0)</f>
        <v>Camioneta</v>
      </c>
      <c r="C21432" s="73"/>
      <c r="D21432" s="70" t="str">
        <f>VLOOKUP(A21432,'[1]Componentes APUs'!$N$1:$Q$30,3,0)</f>
        <v>U</v>
      </c>
      <c r="E21432" s="50">
        <v>1</v>
      </c>
      <c r="F21432" s="51">
        <f>VLOOKUP(A21432,'[1]Componentes APUs'!$N$1:$Q$30,4,0)</f>
        <v>5500000</v>
      </c>
      <c r="G21432" s="51">
        <f>IFERROR(ROUNDUP(F21432*(E21432/21)/E21382,0),0)</f>
        <v>2381</v>
      </c>
    </row>
    <row r="21433" spans="1:7" x14ac:dyDescent="0.25">
      <c r="A21433" s="50" t="s">
        <v>321</v>
      </c>
      <c r="B21433" s="72" t="str">
        <f>VLOOKUP(A21433,'[1]Componentes APUs'!$N$1:$Q$30,2,0)</f>
        <v>Grúa Hidráulica</v>
      </c>
      <c r="C21433" s="73"/>
      <c r="D21433" s="70" t="str">
        <f>VLOOKUP(A21433,'[1]Componentes APUs'!$N$1:$Q$30,3,0)</f>
        <v>U</v>
      </c>
      <c r="E21433" s="50">
        <v>0</v>
      </c>
      <c r="F21433" s="51">
        <f>VLOOKUP(A21433,'[1]Componentes APUs'!$N$1:$Q$30,4,0)</f>
        <v>21000000</v>
      </c>
      <c r="G21433" s="51">
        <f>IFERROR(ROUNDUP(F21433*(E21433/21)/E21382,0),0)</f>
        <v>0</v>
      </c>
    </row>
    <row r="21434" spans="1:7" x14ac:dyDescent="0.25">
      <c r="A21434" s="69" t="s">
        <v>322</v>
      </c>
      <c r="B21434" s="72" t="str">
        <f>VLOOKUP(A21434,'[1]Componentes APUs'!$N$1:$Q$30,2,0)</f>
        <v>Camabaja</v>
      </c>
      <c r="C21434" s="73"/>
      <c r="D21434" s="70" t="str">
        <f>VLOOKUP(A21434,'[1]Componentes APUs'!$N$1:$Q$30,3,0)</f>
        <v>TON/KM</v>
      </c>
      <c r="E21434" s="50">
        <v>0</v>
      </c>
      <c r="F21434" s="51">
        <f>VLOOKUP(A21434,'[1]Componentes APUs'!$N$1:$Q$30,4,0)</f>
        <v>611</v>
      </c>
      <c r="G21434" s="51">
        <f>IFERROR(ROUNDUP(F21434*(E21434/21)/E21382,0),0)</f>
        <v>0</v>
      </c>
    </row>
    <row r="21435" spans="1:7" x14ac:dyDescent="0.25">
      <c r="A21435" s="50" t="s">
        <v>323</v>
      </c>
      <c r="B21435" s="72" t="str">
        <f>VLOOKUP(A21435,'[1]Componentes APUs'!$N$1:$Q$30,2,0)</f>
        <v>Volqueta</v>
      </c>
      <c r="C21435" s="73"/>
      <c r="D21435" s="70" t="str">
        <f>VLOOKUP(A21435,'[1]Componentes APUs'!$N$1:$Q$30,3,0)</f>
        <v>U</v>
      </c>
      <c r="E21435" s="50">
        <v>0</v>
      </c>
      <c r="F21435" s="51">
        <f>VLOOKUP(A21435,'[1]Componentes APUs'!$N$1:$Q$30,4,0)</f>
        <v>18900000</v>
      </c>
      <c r="G21435" s="51">
        <f>IFERROR(ROUNDUP(F21435*(E21435/21)/E21382,0),0)</f>
        <v>0</v>
      </c>
    </row>
    <row r="21436" spans="1:7" x14ac:dyDescent="0.25">
      <c r="A21436" s="69" t="s">
        <v>324</v>
      </c>
      <c r="B21436" s="72" t="str">
        <f>VLOOKUP(A21436,'[1]Componentes APUs'!$N$1:$Q$30,2,0)</f>
        <v>Retroexcavadora</v>
      </c>
      <c r="C21436" s="73"/>
      <c r="D21436" s="70" t="str">
        <f>VLOOKUP(A21436,'[1]Componentes APUs'!$N$1:$Q$30,3,0)</f>
        <v>U</v>
      </c>
      <c r="E21436" s="50">
        <v>0</v>
      </c>
      <c r="F21436" s="51">
        <f>VLOOKUP(A21436,'[1]Componentes APUs'!$N$1:$Q$30,4,0)</f>
        <v>1494459.54</v>
      </c>
      <c r="G21436" s="51">
        <f>IFERROR(ROUNDUP(F21436*(E21436/21)/E21382,0),0)</f>
        <v>0</v>
      </c>
    </row>
    <row r="21437" spans="1:7" x14ac:dyDescent="0.25">
      <c r="A21437" s="219" t="s">
        <v>99</v>
      </c>
      <c r="B21437" s="219"/>
      <c r="C21437" s="219"/>
      <c r="D21437" s="219"/>
      <c r="E21437" s="219"/>
      <c r="F21437" s="219"/>
      <c r="G21437" s="52">
        <f>SUM(G21432:G21436)</f>
        <v>2381</v>
      </c>
    </row>
    <row r="21438" spans="1:7" x14ac:dyDescent="0.25">
      <c r="A21438" s="56"/>
      <c r="B21438" s="57"/>
      <c r="C21438" s="57"/>
      <c r="D21438" s="57"/>
      <c r="E21438" s="57"/>
      <c r="F21438" s="57"/>
      <c r="G21438" s="58"/>
    </row>
    <row r="21439" spans="1:7" x14ac:dyDescent="0.25">
      <c r="A21439" s="219" t="s">
        <v>1516</v>
      </c>
      <c r="B21439" s="219"/>
      <c r="C21439" s="219"/>
      <c r="D21439" s="219"/>
      <c r="E21439" s="219"/>
      <c r="F21439" s="219"/>
      <c r="G21439" s="52">
        <f>G21437+G21428+G21411+G21401+G21391</f>
        <v>25857</v>
      </c>
    </row>
    <row r="21440" spans="1:7" x14ac:dyDescent="0.25">
      <c r="A21440" s="59"/>
      <c r="B21440" s="60"/>
      <c r="C21440" s="60"/>
      <c r="D21440" s="60"/>
      <c r="E21440" s="57"/>
      <c r="F21440" s="57"/>
      <c r="G21440" s="58"/>
    </row>
    <row r="21441" spans="1:7" x14ac:dyDescent="0.25">
      <c r="A21441" s="64"/>
      <c r="D21441" s="55"/>
      <c r="E21441" s="49" t="s">
        <v>25</v>
      </c>
      <c r="F21441" s="54">
        <v>0.15</v>
      </c>
      <c r="G21441" s="51">
        <f>G21439*F21441</f>
        <v>3878.5499999999997</v>
      </c>
    </row>
    <row r="21442" spans="1:7" x14ac:dyDescent="0.25">
      <c r="A21442" s="64"/>
      <c r="D21442" s="55"/>
      <c r="E21442" s="49" t="s">
        <v>26</v>
      </c>
      <c r="F21442" s="54">
        <v>0.05</v>
      </c>
      <c r="G21442" s="51">
        <f>G21439*F21442</f>
        <v>1292.8500000000001</v>
      </c>
    </row>
    <row r="21443" spans="1:7" x14ac:dyDescent="0.25">
      <c r="A21443" s="61"/>
      <c r="B21443" s="65"/>
      <c r="C21443" s="65"/>
      <c r="D21443" s="62"/>
      <c r="E21443" s="49" t="s">
        <v>27</v>
      </c>
      <c r="F21443" s="54">
        <v>0.05</v>
      </c>
      <c r="G21443" s="51">
        <f>G21439*F21443</f>
        <v>1292.8500000000001</v>
      </c>
    </row>
    <row r="21444" spans="1:7" x14ac:dyDescent="0.25">
      <c r="A21444" s="61"/>
      <c r="B21444" s="62"/>
      <c r="C21444" s="62"/>
      <c r="D21444" s="62"/>
      <c r="E21444" s="62"/>
      <c r="F21444" s="62"/>
      <c r="G21444" s="63"/>
    </row>
    <row r="21445" spans="1:7" x14ac:dyDescent="0.25">
      <c r="A21445" s="219" t="s">
        <v>1517</v>
      </c>
      <c r="B21445" s="219"/>
      <c r="C21445" s="219"/>
      <c r="D21445" s="219"/>
      <c r="E21445" s="219"/>
      <c r="F21445" s="219"/>
      <c r="G21445" s="52">
        <f>G21439+G21441+G21442+G21443</f>
        <v>32321.249999999996</v>
      </c>
    </row>
    <row r="21446" spans="1:7" x14ac:dyDescent="0.25">
      <c r="A21446" s="59"/>
      <c r="B21446" s="60"/>
      <c r="C21446" s="60"/>
      <c r="D21446" s="60"/>
      <c r="E21446" s="57"/>
      <c r="F21446" s="57"/>
      <c r="G21446" s="58"/>
    </row>
    <row r="21447" spans="1:7" x14ac:dyDescent="0.25">
      <c r="A21447" s="64"/>
      <c r="D21447" s="55"/>
      <c r="E21447" s="49" t="s">
        <v>102</v>
      </c>
      <c r="F21447" s="49" t="s">
        <v>103</v>
      </c>
      <c r="G21447" s="51">
        <f>G21443*19%</f>
        <v>245.64150000000004</v>
      </c>
    </row>
    <row r="21448" spans="1:7" x14ac:dyDescent="0.25">
      <c r="A21448" s="61"/>
      <c r="B21448" s="62"/>
      <c r="C21448" s="62"/>
      <c r="D21448" s="62"/>
      <c r="E21448" s="57"/>
      <c r="F21448" s="57"/>
      <c r="G21448" s="58"/>
    </row>
    <row r="21449" spans="1:7" x14ac:dyDescent="0.25">
      <c r="A21449" s="219" t="s">
        <v>104</v>
      </c>
      <c r="B21449" s="219"/>
      <c r="C21449" s="219"/>
      <c r="D21449" s="219"/>
      <c r="E21449" s="219"/>
      <c r="F21449" s="219"/>
      <c r="G21449" s="52">
        <f>G21447+G21445</f>
        <v>32566.891499999998</v>
      </c>
    </row>
    <row r="21451" spans="1:7" x14ac:dyDescent="0.25">
      <c r="A21451" s="74" t="s">
        <v>29</v>
      </c>
      <c r="B21451" s="237" t="s">
        <v>30</v>
      </c>
      <c r="C21451" s="238"/>
      <c r="D21451" s="74" t="s">
        <v>31</v>
      </c>
      <c r="E21451" s="74" t="s">
        <v>32</v>
      </c>
      <c r="F21451" s="74" t="s">
        <v>189</v>
      </c>
      <c r="G21451" s="74" t="s">
        <v>33</v>
      </c>
    </row>
    <row r="21452" spans="1:7" ht="44.25" customHeight="1" x14ac:dyDescent="0.25">
      <c r="A21452" s="50" t="str">
        <f>Presupuesto!B409</f>
        <v>072_AUX</v>
      </c>
      <c r="B21452" s="242" t="str">
        <f>Presupuesto!C409</f>
        <v>SUMINISTRO E INSTALACIÓN DE CANALIZACIÓN DE SEÑALES, FUERZA Y COMUNICACIÓN PARA TRANSFORMADOR DE PATIO EN TRES (3) TUBOS CONDUIT METALICOS GALVANIZADO IMC DIAMETRO 1" Y TUBOS PVC 1" .  (Longitud Promedio 6 m)</v>
      </c>
      <c r="C21452" s="239"/>
      <c r="D21452" s="50" t="s">
        <v>8</v>
      </c>
      <c r="E21452" s="50">
        <v>2.5</v>
      </c>
      <c r="F21452" s="50"/>
      <c r="G21452" s="51">
        <f>G21521</f>
        <v>1058721.8455000001</v>
      </c>
    </row>
    <row r="21453" spans="1:7" x14ac:dyDescent="0.25">
      <c r="A21453" s="234" t="s">
        <v>34</v>
      </c>
      <c r="B21453" s="236"/>
      <c r="C21453" s="236"/>
      <c r="D21453" s="236"/>
      <c r="E21453" s="236"/>
      <c r="F21453" s="236"/>
      <c r="G21453" s="235"/>
    </row>
    <row r="21454" spans="1:7" x14ac:dyDescent="0.25">
      <c r="A21454" s="49" t="s">
        <v>35</v>
      </c>
      <c r="B21454" s="234" t="s">
        <v>36</v>
      </c>
      <c r="C21454" s="235"/>
      <c r="D21454" s="49" t="s">
        <v>37</v>
      </c>
      <c r="E21454" s="49" t="s">
        <v>38</v>
      </c>
      <c r="F21454" s="49" t="s">
        <v>39</v>
      </c>
      <c r="G21454" s="49" t="s">
        <v>40</v>
      </c>
    </row>
    <row r="21455" spans="1:7" x14ac:dyDescent="0.25">
      <c r="A21455" s="17" t="str">
        <f>Material!A246</f>
        <v>MA-245</v>
      </c>
      <c r="B21455" s="72" t="str">
        <f>IFERROR(VLOOKUP(A21455,Material!$A:$H,2,0),"-")</f>
        <v>TUBO METALICO IMC CONDUIT GALVANIZADO DE 1"</v>
      </c>
      <c r="C21455" s="73"/>
      <c r="D21455" s="50" t="str">
        <f>IFERROR(VLOOKUP(A21455,Material!$A:$H,4,0),"-")</f>
        <v>ML</v>
      </c>
      <c r="E21455" s="50">
        <v>9</v>
      </c>
      <c r="F21455" s="51">
        <f>IFERROR(VLOOKUP(A21455,Material!$A:$H,3,0),"-")</f>
        <v>33995</v>
      </c>
      <c r="G21455" s="51">
        <f t="shared" ref="G21455:G21462" si="322">IFERROR(ROUNDUP(F21455*E21455,0),"-")</f>
        <v>305955</v>
      </c>
    </row>
    <row r="21456" spans="1:7" x14ac:dyDescent="0.25">
      <c r="A21456" s="17" t="str">
        <f>Material!A247</f>
        <v>MA-246</v>
      </c>
      <c r="B21456" s="72" t="str">
        <f>IFERROR(VLOOKUP(A21456,Material!$A:$H,2,0),"-")</f>
        <v>CORAZA METÁLICA LIQUID TIGHT DE 1"</v>
      </c>
      <c r="C21456" s="73"/>
      <c r="D21456" s="50" t="str">
        <f>IFERROR(VLOOKUP(A21456,Material!$A:$H,4,0),"-")</f>
        <v>ML</v>
      </c>
      <c r="E21456" s="50">
        <f>2*3</f>
        <v>6</v>
      </c>
      <c r="F21456" s="51">
        <f>IFERROR(VLOOKUP(A21456,Material!$A:$H,3,0),"-")</f>
        <v>11895</v>
      </c>
      <c r="G21456" s="51">
        <f t="shared" si="322"/>
        <v>71370</v>
      </c>
    </row>
    <row r="21457" spans="1:7" x14ac:dyDescent="0.25">
      <c r="A21457" s="17" t="str">
        <f>Material!A264</f>
        <v>MA-263</v>
      </c>
      <c r="B21457" s="72" t="str">
        <f>IFERROR(VLOOKUP(A21457,Material!$A:$H,2,0),"-")</f>
        <v>TERMINAL IMC 1"</v>
      </c>
      <c r="C21457" s="73"/>
      <c r="D21457" s="50" t="str">
        <f>IFERROR(VLOOKUP(A21457,Material!$A:$H,4,0),"-")</f>
        <v>UN</v>
      </c>
      <c r="E21457" s="50">
        <f>1*3</f>
        <v>3</v>
      </c>
      <c r="F21457" s="51">
        <f>IFERROR(VLOOKUP(A21457,Material!$A:$H,3,0),"-")</f>
        <v>2600</v>
      </c>
      <c r="G21457" s="51">
        <f>IFERROR(ROUNDUP(F21457*E21457,0),"-")</f>
        <v>7800</v>
      </c>
    </row>
    <row r="21458" spans="1:7" x14ac:dyDescent="0.25">
      <c r="A21458" s="17" t="str">
        <f>Material!A248</f>
        <v>MA-247</v>
      </c>
      <c r="B21458" s="72" t="str">
        <f>IFERROR(VLOOKUP(A21458,Material!$A:$H,2,0),"-")</f>
        <v>CONECTOR RECTO LIQUID TIGHT DE 1"</v>
      </c>
      <c r="C21458" s="73"/>
      <c r="D21458" s="50" t="str">
        <f>IFERROR(VLOOKUP(A21458,Material!$A:$H,4,0),"-")</f>
        <v>UN</v>
      </c>
      <c r="E21458" s="50">
        <f>2*3</f>
        <v>6</v>
      </c>
      <c r="F21458" s="51">
        <f>IFERROR(VLOOKUP(A21458,Material!$A:$H,3,0),"-")</f>
        <v>6175</v>
      </c>
      <c r="G21458" s="51">
        <f>IFERROR(ROUNDUP(F21458*E21458,0),"-")</f>
        <v>37050</v>
      </c>
    </row>
    <row r="21459" spans="1:7" x14ac:dyDescent="0.25">
      <c r="A21459" s="17" t="str">
        <f>Material!A216</f>
        <v>MA-215</v>
      </c>
      <c r="B21459" s="72" t="str">
        <f>IFERROR(VLOOKUP(A21459,Material!$A:$H,2,0),"-")</f>
        <v>TUBO PVC 1"</v>
      </c>
      <c r="C21459" s="73"/>
      <c r="D21459" s="50" t="s">
        <v>108</v>
      </c>
      <c r="E21459" s="50">
        <f>3*3</f>
        <v>9</v>
      </c>
      <c r="F21459" s="51">
        <f>IFERROR(VLOOKUP(A21459,Material!$A:$H,3,0),"-")</f>
        <v>3055</v>
      </c>
      <c r="G21459" s="51">
        <f t="shared" si="322"/>
        <v>27495</v>
      </c>
    </row>
    <row r="21460" spans="1:7" x14ac:dyDescent="0.25">
      <c r="A21460" s="17" t="str">
        <f>Material!A250</f>
        <v>MA-249</v>
      </c>
      <c r="B21460" s="72" t="str">
        <f>IFERROR(VLOOKUP(A21460,Material!$A:$H,2,0),"-")</f>
        <v>CURVA PVC DE 1"</v>
      </c>
      <c r="C21460" s="73"/>
      <c r="D21460" s="50" t="str">
        <f>IFERROR(VLOOKUP(A21460,Material!$A:$H,4,0),"-")</f>
        <v>UN</v>
      </c>
      <c r="E21460" s="50">
        <f>1*3</f>
        <v>3</v>
      </c>
      <c r="F21460" s="51">
        <f>IFERROR(VLOOKUP(A21460,Material!$A:$H,3,0),"-")</f>
        <v>1365</v>
      </c>
      <c r="G21460" s="51">
        <f t="shared" si="322"/>
        <v>4095</v>
      </c>
    </row>
    <row r="21461" spans="1:7" x14ac:dyDescent="0.25">
      <c r="A21461" s="17" t="str">
        <f>Material!A201</f>
        <v>MA-200</v>
      </c>
      <c r="B21461" s="72" t="str">
        <f>IFERROR(VLOOKUP(A21461,Material!$A:$H,2,0),"-")</f>
        <v>SOLDADURA PVC 1/4 GL</v>
      </c>
      <c r="C21461" s="73"/>
      <c r="D21461" s="50" t="str">
        <f>IFERROR(VLOOKUP(A21461,Material!$A:$H,4,0),"-")</f>
        <v>GALÓN</v>
      </c>
      <c r="E21461" s="50">
        <f>3/60</f>
        <v>0.05</v>
      </c>
      <c r="F21461" s="51">
        <f>IFERROR(VLOOKUP(A21461,Material!$A:$H,3,0),"-")</f>
        <v>88270</v>
      </c>
      <c r="G21461" s="51">
        <f t="shared" si="322"/>
        <v>4414</v>
      </c>
    </row>
    <row r="21462" spans="1:7" x14ac:dyDescent="0.25">
      <c r="A21462" s="17" t="str">
        <f>Material!A253</f>
        <v>MA-252</v>
      </c>
      <c r="B21462" s="72" t="str">
        <f>IFERROR(VLOOKUP(A21462,Material!$A:$H,2,0),"-")</f>
        <v>LIMPIADOR DE TUBERÍA PVC 1/4 GL</v>
      </c>
      <c r="C21462" s="73"/>
      <c r="D21462" s="50" t="str">
        <f>IFERROR(VLOOKUP(A21462,Material!$A:$H,4,0),"-")</f>
        <v>GALÓN</v>
      </c>
      <c r="E21462" s="50">
        <f>3/60</f>
        <v>0.05</v>
      </c>
      <c r="F21462" s="51">
        <f>IFERROR(VLOOKUP(A21462,Material!$A:$H,3,0),"-")</f>
        <v>60970</v>
      </c>
      <c r="G21462" s="51">
        <f t="shared" si="322"/>
        <v>3049</v>
      </c>
    </row>
    <row r="21463" spans="1:7" x14ac:dyDescent="0.25">
      <c r="A21463" s="234" t="s">
        <v>41</v>
      </c>
      <c r="B21463" s="236"/>
      <c r="C21463" s="236"/>
      <c r="D21463" s="236"/>
      <c r="E21463" s="236"/>
      <c r="F21463" s="235"/>
      <c r="G21463" s="52">
        <f>SUM(G21455:G21462)</f>
        <v>461228</v>
      </c>
    </row>
    <row r="21464" spans="1:7" x14ac:dyDescent="0.25">
      <c r="A21464" s="56"/>
      <c r="B21464" s="57"/>
      <c r="C21464" s="57"/>
      <c r="D21464" s="57"/>
      <c r="E21464" s="57"/>
      <c r="F21464" s="57"/>
      <c r="G21464" s="58"/>
    </row>
    <row r="21465" spans="1:7" x14ac:dyDescent="0.25">
      <c r="A21465" s="234" t="s">
        <v>42</v>
      </c>
      <c r="B21465" s="236"/>
      <c r="C21465" s="236"/>
      <c r="D21465" s="236"/>
      <c r="E21465" s="236"/>
      <c r="F21465" s="236"/>
      <c r="G21465" s="235"/>
    </row>
    <row r="21466" spans="1:7" x14ac:dyDescent="0.25">
      <c r="A21466" s="49" t="s">
        <v>35</v>
      </c>
      <c r="B21466" s="49" t="s">
        <v>36</v>
      </c>
      <c r="C21466" s="49" t="s">
        <v>38</v>
      </c>
      <c r="D21466" s="49" t="s">
        <v>43</v>
      </c>
      <c r="E21466" s="49" t="s">
        <v>44</v>
      </c>
      <c r="F21466" s="49" t="s">
        <v>45</v>
      </c>
      <c r="G21466" s="49" t="s">
        <v>40</v>
      </c>
    </row>
    <row r="21467" spans="1:7" x14ac:dyDescent="0.25">
      <c r="A21467" s="50" t="s">
        <v>319</v>
      </c>
      <c r="B21467" s="68" t="str">
        <f>VLOOKUP(A21467,'Componentes APUs'!$H$1:$L$25,2,0)</f>
        <v>Ingeniero Residente de Obra</v>
      </c>
      <c r="C21467" s="93">
        <v>0.25</v>
      </c>
      <c r="D21467" s="50">
        <f>VLOOKUP(A21467,'Componentes APUs'!$H$1:$L$25,3,0)</f>
        <v>4</v>
      </c>
      <c r="E21467" s="51">
        <f>VLOOKUP(A21467,'Componentes APUs'!$H$1:$L$25,4,0)</f>
        <v>271142.85714285716</v>
      </c>
      <c r="F21467" s="51">
        <f>VLOOKUP(A21467,'Componentes APUs'!$H$1:$L$25,5,0)</f>
        <v>162685.71428571429</v>
      </c>
      <c r="G21467" s="51">
        <f>ROUNDUP((E21467+F21467)*C21467/E21452,0)</f>
        <v>43383</v>
      </c>
    </row>
    <row r="21468" spans="1:7" x14ac:dyDescent="0.25">
      <c r="A21468" s="50" t="s">
        <v>320</v>
      </c>
      <c r="B21468" s="68" t="str">
        <f>VLOOKUP(A21468,'Componentes APUs'!$H$1:$L$25,2,0)</f>
        <v>Tecnico Supervisor</v>
      </c>
      <c r="C21468" s="93">
        <v>0.25</v>
      </c>
      <c r="D21468" s="50">
        <f>VLOOKUP(A21468,'Componentes APUs'!$H$1:$L$25,3,0)</f>
        <v>2.2999999999999998</v>
      </c>
      <c r="E21468" s="51">
        <f>VLOOKUP(A21468,'Componentes APUs'!$H$1:$L$25,4,0)</f>
        <v>155907.14285714284</v>
      </c>
      <c r="F21468" s="51">
        <f>VLOOKUP(A21468,'Componentes APUs'!$H$1:$L$25,5,0)</f>
        <v>93544.285714285696</v>
      </c>
      <c r="G21468" s="51">
        <f>ROUNDUP((E21468+F21468)*C21468/E21452,0)</f>
        <v>24946</v>
      </c>
    </row>
    <row r="21469" spans="1:7" x14ac:dyDescent="0.25">
      <c r="A21469" s="50" t="s">
        <v>1160</v>
      </c>
      <c r="B21469" s="68" t="str">
        <f>VLOOKUP(A21469,'Componentes APUs'!$H$1:$L$25,2,0)</f>
        <v>Oficial Eléctrico</v>
      </c>
      <c r="C21469" s="93">
        <v>1</v>
      </c>
      <c r="D21469" s="50">
        <f>VLOOKUP(A21469,'Componentes APUs'!$H$1:$L$25,3,0)</f>
        <v>2</v>
      </c>
      <c r="E21469" s="51">
        <f>VLOOKUP(A21469,'Componentes APUs'!$H$1:$L$25,4,0)</f>
        <v>154619.04761904763</v>
      </c>
      <c r="F21469" s="51">
        <f>VLOOKUP(A21469,'Componentes APUs'!$H$1:$L$25,5,0)</f>
        <v>92771.42857142858</v>
      </c>
      <c r="G21469" s="51">
        <f>ROUNDUP((E21469+F21469)*C21469/E21452,0)</f>
        <v>98957</v>
      </c>
    </row>
    <row r="21470" spans="1:7" x14ac:dyDescent="0.25">
      <c r="A21470" s="50" t="s">
        <v>48</v>
      </c>
      <c r="B21470" s="68" t="str">
        <f>VLOOKUP(A21470,'Componentes APUs'!$H$1:$L$25,2,0)</f>
        <v>Ayudante Calificado</v>
      </c>
      <c r="C21470" s="93">
        <v>1</v>
      </c>
      <c r="D21470" s="50">
        <f>VLOOKUP(A21470,'Componentes APUs'!$H$1:$L$25,3,0)</f>
        <v>1.5</v>
      </c>
      <c r="E21470" s="51">
        <f>VLOOKUP(A21470,'Componentes APUs'!$H$1:$L$25,4,0)</f>
        <v>115964.28571428571</v>
      </c>
      <c r="F21470" s="51">
        <f>VLOOKUP(A21470,'Componentes APUs'!$H$1:$L$25,5,0)</f>
        <v>69578.57142857142</v>
      </c>
      <c r="G21470" s="51">
        <f>ROUNDUP((E21470+F21470)*C21470/E21452,0)</f>
        <v>74218</v>
      </c>
    </row>
    <row r="21471" spans="1:7" x14ac:dyDescent="0.25">
      <c r="A21471" s="50" t="s">
        <v>50</v>
      </c>
      <c r="B21471" s="68" t="str">
        <f>VLOOKUP(A21471,'Componentes APUs'!$H$1:$L$25,2,0)</f>
        <v>Profesional en SST</v>
      </c>
      <c r="C21471" s="93">
        <v>0.25</v>
      </c>
      <c r="D21471" s="50">
        <f>VLOOKUP(A21471,'Componentes APUs'!$H$1:$L$25,3,0)</f>
        <v>2.5</v>
      </c>
      <c r="E21471" s="51">
        <f>VLOOKUP(A21471,'Componentes APUs'!$H$1:$L$25,4,0)</f>
        <v>169464.28571428571</v>
      </c>
      <c r="F21471" s="51">
        <f>VLOOKUP(A21471,'Componentes APUs'!$H$1:$L$25,5,0)</f>
        <v>101678.57142857142</v>
      </c>
      <c r="G21471" s="51">
        <f>ROUNDUP((E21471+F21471)*C21471/E21452,0)</f>
        <v>27115</v>
      </c>
    </row>
    <row r="21472" spans="1:7" x14ac:dyDescent="0.25">
      <c r="A21472" s="50" t="s">
        <v>52</v>
      </c>
      <c r="B21472" s="68" t="str">
        <f>VLOOKUP(A21472,'Componentes APUs'!$H$1:$L$25,2,0)</f>
        <v>Ayudante No Calificado</v>
      </c>
      <c r="C21472" s="93">
        <v>0</v>
      </c>
      <c r="D21472" s="50">
        <f>VLOOKUP(A21472,'Componentes APUs'!$H$1:$L$25,3,0)</f>
        <v>1</v>
      </c>
      <c r="E21472" s="51">
        <f>VLOOKUP(A21472,'Componentes APUs'!$H$1:$L$25,4,0)</f>
        <v>77309.523809523816</v>
      </c>
      <c r="F21472" s="51">
        <f>VLOOKUP(A21472,'Componentes APUs'!$H$1:$L$25,5,0)</f>
        <v>46385.71428571429</v>
      </c>
      <c r="G21472" s="51">
        <f>ROUNDUP((E21472+F21472)*C21472/E21452,0)</f>
        <v>0</v>
      </c>
    </row>
    <row r="21473" spans="1:7" x14ac:dyDescent="0.25">
      <c r="A21473" s="234" t="s">
        <v>56</v>
      </c>
      <c r="B21473" s="236"/>
      <c r="C21473" s="236"/>
      <c r="D21473" s="236"/>
      <c r="E21473" s="236"/>
      <c r="F21473" s="235"/>
      <c r="G21473" s="52">
        <f>SUM(G21467:G21472)</f>
        <v>268619</v>
      </c>
    </row>
    <row r="21474" spans="1:7" x14ac:dyDescent="0.25">
      <c r="A21474" s="56"/>
      <c r="B21474" s="57"/>
      <c r="C21474" s="57"/>
      <c r="D21474" s="57"/>
      <c r="E21474" s="57"/>
      <c r="F21474" s="57"/>
      <c r="G21474" s="58"/>
    </row>
    <row r="21475" spans="1:7" x14ac:dyDescent="0.25">
      <c r="A21475" s="234" t="s">
        <v>57</v>
      </c>
      <c r="B21475" s="236"/>
      <c r="C21475" s="236"/>
      <c r="D21475" s="236"/>
      <c r="E21475" s="236"/>
      <c r="F21475" s="236"/>
      <c r="G21475" s="235"/>
    </row>
    <row r="21476" spans="1:7" x14ac:dyDescent="0.25">
      <c r="A21476" s="49" t="s">
        <v>35</v>
      </c>
      <c r="B21476" s="234" t="s">
        <v>36</v>
      </c>
      <c r="C21476" s="235"/>
      <c r="D21476" s="49" t="s">
        <v>37</v>
      </c>
      <c r="E21476" s="49" t="s">
        <v>38</v>
      </c>
      <c r="F21476" s="49" t="s">
        <v>39</v>
      </c>
      <c r="G21476" s="49" t="s">
        <v>40</v>
      </c>
    </row>
    <row r="21477" spans="1:7" x14ac:dyDescent="0.25">
      <c r="A21477" s="50" t="s">
        <v>326</v>
      </c>
      <c r="B21477" s="242" t="str">
        <f>VLOOKUP(A21477,'Componentes APUs'!$S$1:$V$10,2,0)</f>
        <v>Juego Llaves</v>
      </c>
      <c r="C21477" s="239"/>
      <c r="D21477" s="50" t="s">
        <v>18</v>
      </c>
      <c r="E21477" s="50">
        <v>2</v>
      </c>
      <c r="F21477" s="51">
        <f>VLOOKUP(A21477,'Componentes APUs'!$S$1:$V$10,4,0)</f>
        <v>9167</v>
      </c>
      <c r="G21477" s="51">
        <f>ROUNDUP(F21477*((E21477/21)/E21452),0)</f>
        <v>350</v>
      </c>
    </row>
    <row r="21478" spans="1:7" x14ac:dyDescent="0.25">
      <c r="A21478" s="50" t="s">
        <v>58</v>
      </c>
      <c r="B21478" s="242" t="str">
        <f>VLOOKUP(A21478,'Componentes APUs'!$S$1:$V$10,2,0)</f>
        <v>Manila de servicio</v>
      </c>
      <c r="C21478" s="239"/>
      <c r="D21478" s="50" t="s">
        <v>18</v>
      </c>
      <c r="E21478" s="50">
        <v>0</v>
      </c>
      <c r="F21478" s="51">
        <f>VLOOKUP(A21478,'Componentes APUs'!$S$1:$V$10,4,0)</f>
        <v>2333</v>
      </c>
      <c r="G21478" s="51">
        <f>ROUNDUP(F21478*((E21478/21)/E21452),0)</f>
        <v>0</v>
      </c>
    </row>
    <row r="21479" spans="1:7" x14ac:dyDescent="0.25">
      <c r="A21479" s="50" t="s">
        <v>327</v>
      </c>
      <c r="B21479" s="242" t="str">
        <f>VLOOKUP(A21479,'Componentes APUs'!$S$1:$V$10,2,0)</f>
        <v>Tula portaherramientas</v>
      </c>
      <c r="C21479" s="239"/>
      <c r="D21479" s="50" t="s">
        <v>18</v>
      </c>
      <c r="E21479" s="50">
        <v>2</v>
      </c>
      <c r="F21479" s="51">
        <f>VLOOKUP(A21479,'Componentes APUs'!$S$1:$V$10,4,0)</f>
        <v>1250</v>
      </c>
      <c r="G21479" s="51">
        <f>ROUNDUP(F21479*((E21479/21)/E21452),0)</f>
        <v>48</v>
      </c>
    </row>
    <row r="21480" spans="1:7" x14ac:dyDescent="0.25">
      <c r="A21480" s="50" t="s">
        <v>60</v>
      </c>
      <c r="B21480" s="242" t="str">
        <f>VLOOKUP(A21480,'Componentes APUs'!$S$1:$V$10,2,0)</f>
        <v>Agarradoras</v>
      </c>
      <c r="C21480" s="239"/>
      <c r="D21480" s="50" t="s">
        <v>18</v>
      </c>
      <c r="E21480" s="50">
        <v>0</v>
      </c>
      <c r="F21480" s="51">
        <f>VLOOKUP(A21480,'Componentes APUs'!$S$1:$V$10,4,0)</f>
        <v>125000</v>
      </c>
      <c r="G21480" s="51">
        <f>ROUNDUP(F21480*((E21480/21)/E21452),0)</f>
        <v>0</v>
      </c>
    </row>
    <row r="21481" spans="1:7" x14ac:dyDescent="0.25">
      <c r="A21481" s="50" t="s">
        <v>62</v>
      </c>
      <c r="B21481" s="242" t="str">
        <f>VLOOKUP(A21481,'Componentes APUs'!$S$1:$V$10,2,0)</f>
        <v>Templadoras</v>
      </c>
      <c r="C21481" s="239"/>
      <c r="D21481" s="50" t="s">
        <v>18</v>
      </c>
      <c r="E21481" s="50">
        <v>0</v>
      </c>
      <c r="F21481" s="51">
        <f>VLOOKUP(A21481,'Componentes APUs'!$S$1:$V$10,4,0)</f>
        <v>250000</v>
      </c>
      <c r="G21481" s="51">
        <f>ROUNDUP(F21481*((E21481/21)/E21452),0)</f>
        <v>0</v>
      </c>
    </row>
    <row r="21482" spans="1:7" x14ac:dyDescent="0.25">
      <c r="A21482" s="50" t="s">
        <v>328</v>
      </c>
      <c r="B21482" s="242" t="str">
        <f>VLOOKUP(A21482,'Componentes APUs'!$S$1:$V$10,2,0)</f>
        <v>Herramienta Menor</v>
      </c>
      <c r="C21482" s="239"/>
      <c r="D21482" s="50" t="s">
        <v>18</v>
      </c>
      <c r="E21482" s="50">
        <v>2</v>
      </c>
      <c r="F21482" s="51">
        <f>VLOOKUP(A21482,'Componentes APUs'!$S$1:$V$10,4,0)</f>
        <v>75758</v>
      </c>
      <c r="G21482" s="51">
        <f>ROUNDUP(F21482*((E21482/21)/E21452),0)</f>
        <v>2887</v>
      </c>
    </row>
    <row r="21483" spans="1:7" x14ac:dyDescent="0.25">
      <c r="A21483" s="234" t="s">
        <v>69</v>
      </c>
      <c r="B21483" s="236"/>
      <c r="C21483" s="236"/>
      <c r="D21483" s="236"/>
      <c r="E21483" s="236"/>
      <c r="F21483" s="235"/>
      <c r="G21483" s="52">
        <f>SUM(G21477:G21482)</f>
        <v>3285</v>
      </c>
    </row>
    <row r="21484" spans="1:7" x14ac:dyDescent="0.25">
      <c r="A21484" s="56"/>
      <c r="B21484" s="57"/>
      <c r="C21484" s="57"/>
      <c r="D21484" s="57"/>
      <c r="E21484" s="57"/>
      <c r="F21484" s="57"/>
      <c r="G21484" s="58"/>
    </row>
    <row r="21485" spans="1:7" x14ac:dyDescent="0.25">
      <c r="A21485" s="234" t="s">
        <v>70</v>
      </c>
      <c r="B21485" s="236"/>
      <c r="C21485" s="236"/>
      <c r="D21485" s="236"/>
      <c r="E21485" s="236"/>
      <c r="F21485" s="236"/>
      <c r="G21485" s="235"/>
    </row>
    <row r="21486" spans="1:7" x14ac:dyDescent="0.25">
      <c r="A21486" s="49" t="s">
        <v>35</v>
      </c>
      <c r="B21486" s="234" t="s">
        <v>36</v>
      </c>
      <c r="C21486" s="235"/>
      <c r="D21486" s="49" t="s">
        <v>37</v>
      </c>
      <c r="E21486" s="49" t="s">
        <v>38</v>
      </c>
      <c r="F21486" s="49" t="s">
        <v>39</v>
      </c>
      <c r="G21486" s="49" t="s">
        <v>40</v>
      </c>
    </row>
    <row r="21487" spans="1:7" x14ac:dyDescent="0.25">
      <c r="A21487" s="50" t="s">
        <v>71</v>
      </c>
      <c r="B21487" s="71" t="str">
        <f>VLOOKUP(A21487,'Componentes APUs'!$A$1:$D$14,2,0)</f>
        <v>Camisa indigo sin partes metalicas</v>
      </c>
      <c r="C21487" s="71"/>
      <c r="D21487" s="50" t="str">
        <f>VLOOKUP(A21487,'Componentes APUs'!$A$1:$D$14,3,0)</f>
        <v>U</v>
      </c>
      <c r="E21487" s="50">
        <f>SUM(C21467:C21472)</f>
        <v>2.75</v>
      </c>
      <c r="F21487" s="51">
        <f>VLOOKUP(A21487,'Componentes APUs'!$A$1:$D$14,4,0)</f>
        <v>8585.8585858585866</v>
      </c>
      <c r="G21487" s="51">
        <f>ROUNDUP(F21487*(E21487/21)/E21452,0)</f>
        <v>450</v>
      </c>
    </row>
    <row r="21488" spans="1:7" x14ac:dyDescent="0.25">
      <c r="A21488" s="69" t="s">
        <v>73</v>
      </c>
      <c r="B21488" s="72" t="str">
        <f>VLOOKUP(A21488,'Componentes APUs'!$A$1:$D$14,2,0)</f>
        <v>Bota de seguridad dielectrica</v>
      </c>
      <c r="C21488" s="73"/>
      <c r="D21488" s="70" t="str">
        <f>VLOOKUP(A21488,'Componentes APUs'!$A$1:$D$14,3,0)</f>
        <v>Par</v>
      </c>
      <c r="E21488" s="50">
        <f>SUM(C21467:C21472)</f>
        <v>2.75</v>
      </c>
      <c r="F21488" s="51">
        <f>VLOOKUP(A21488,'Componentes APUs'!$A$1:$D$14,4,0)</f>
        <v>7500</v>
      </c>
      <c r="G21488" s="51">
        <f>ROUNDUP(F21488*(E21488/21)/E21452,0)</f>
        <v>393</v>
      </c>
    </row>
    <row r="21489" spans="1:7" x14ac:dyDescent="0.25">
      <c r="A21489" s="50" t="s">
        <v>76</v>
      </c>
      <c r="B21489" s="72" t="str">
        <f>VLOOKUP(A21489,'Componentes APUs'!$A$1:$D$14,2,0)</f>
        <v>Casco dielectrico Tipo 1 Clase E con barbuquejo</v>
      </c>
      <c r="C21489" s="73"/>
      <c r="D21489" s="50" t="str">
        <f>VLOOKUP(A21489,'Componentes APUs'!$A$1:$D$14,3,0)</f>
        <v>U</v>
      </c>
      <c r="E21489" s="50">
        <f>C21467+C21470+C21471+C21468+C21472+IF(A21469&lt;&gt;"MO-3",C21469,0)</f>
        <v>2.75</v>
      </c>
      <c r="F21489" s="51">
        <f>VLOOKUP(A21489,'Componentes APUs'!$A$1:$D$14,4,0)</f>
        <v>10101.010101010101</v>
      </c>
      <c r="G21489" s="51">
        <f>ROUNDUP(F21489*(E21489/21)/E21452,0)</f>
        <v>530</v>
      </c>
    </row>
    <row r="21490" spans="1:7" x14ac:dyDescent="0.25">
      <c r="A21490" s="69" t="s">
        <v>77</v>
      </c>
      <c r="B21490" s="72" t="str">
        <f>VLOOKUP(A21490,'Componentes APUs'!$A$1:$D$14,2,0)</f>
        <v>Correa plastica y antiflama</v>
      </c>
      <c r="C21490" s="73"/>
      <c r="D21490" s="50" t="str">
        <f>VLOOKUP(A21490,'Componentes APUs'!$A$1:$D$14,3,0)</f>
        <v>U</v>
      </c>
      <c r="E21490" s="50">
        <f>SUM(C21467:C21472)</f>
        <v>2.75</v>
      </c>
      <c r="F21490" s="51">
        <f>VLOOKUP(A21490,'Componentes APUs'!$A$1:$D$14,4,0)</f>
        <v>3787.878787878788</v>
      </c>
      <c r="G21490" s="51">
        <f>ROUNDUP(F21490*(E21490/21)/E21452,0)</f>
        <v>199</v>
      </c>
    </row>
    <row r="21491" spans="1:7" x14ac:dyDescent="0.25">
      <c r="A21491" s="50" t="s">
        <v>79</v>
      </c>
      <c r="B21491" s="72" t="str">
        <f>VLOOKUP(A21491,'Componentes APUs'!$A$1:$D$14,2,0)</f>
        <v>Gafas protectoras filtro UV</v>
      </c>
      <c r="C21491" s="73"/>
      <c r="D21491" s="50" t="str">
        <f>VLOOKUP(A21491,'Componentes APUs'!$A$1:$D$14,3,0)</f>
        <v>U</v>
      </c>
      <c r="E21491" s="50">
        <f>SUM(C21467:C21472)</f>
        <v>2.75</v>
      </c>
      <c r="F21491" s="51">
        <f>VLOOKUP(A21491,'Componentes APUs'!$A$1:$D$14,4,0)</f>
        <v>2777.7777777777778</v>
      </c>
      <c r="G21491" s="51">
        <f>ROUNDUP(F21491*(E21491/21)/E21452,0)</f>
        <v>146</v>
      </c>
    </row>
    <row r="21492" spans="1:7" x14ac:dyDescent="0.25">
      <c r="A21492" s="69" t="s">
        <v>402</v>
      </c>
      <c r="B21492" s="72" t="str">
        <f>VLOOKUP(A21492,'Componentes APUs'!$A$1:$D$14,2,0)</f>
        <v>Bota de seguridad PVC dielectrica</v>
      </c>
      <c r="C21492" s="73"/>
      <c r="D21492" s="50" t="str">
        <f>VLOOKUP(A21492,'Componentes APUs'!$A$1:$D$14,3,0)</f>
        <v>Par</v>
      </c>
      <c r="E21492" s="50">
        <f>SUM(C21467:C21472)</f>
        <v>2.75</v>
      </c>
      <c r="F21492" s="51">
        <f>VLOOKUP(A21492,'Componentes APUs'!$A$1:$D$14,4,0)</f>
        <v>2916.6666666666665</v>
      </c>
      <c r="G21492" s="51">
        <f>ROUNDUP(F21492*(E21492/21)/E21452,0)</f>
        <v>153</v>
      </c>
    </row>
    <row r="21493" spans="1:7" x14ac:dyDescent="0.25">
      <c r="A21493" s="50" t="s">
        <v>403</v>
      </c>
      <c r="B21493" s="72" t="str">
        <f>VLOOKUP(A21493,'Componentes APUs'!$A$1:$D$14,2,0)</f>
        <v>Capuchon</v>
      </c>
      <c r="C21493" s="73"/>
      <c r="D21493" s="50" t="str">
        <f>VLOOKUP(A21493,'Componentes APUs'!$A$1:$D$14,3,0)</f>
        <v>U</v>
      </c>
      <c r="E21493" s="50">
        <f>SUM(C21467:C21472)</f>
        <v>2.75</v>
      </c>
      <c r="F21493" s="51">
        <f>VLOOKUP(A21493,'Componentes APUs'!$A$1:$D$14,4,0)</f>
        <v>2525.2525252525252</v>
      </c>
      <c r="G21493" s="51">
        <f>ROUNDUP(F21493*(E21493/21)/E21452,0)</f>
        <v>133</v>
      </c>
    </row>
    <row r="21494" spans="1:7" x14ac:dyDescent="0.25">
      <c r="A21494" s="69" t="s">
        <v>81</v>
      </c>
      <c r="B21494" s="72" t="str">
        <f>VLOOKUP(A21494,'Componentes APUs'!$A$1:$D$14,2,0)</f>
        <v>Guantes Protectores  - ingeniero reforzados</v>
      </c>
      <c r="C21494" s="73"/>
      <c r="D21494" s="50" t="str">
        <f>VLOOKUP(A21494,'Componentes APUs'!$A$1:$D$14,3,0)</f>
        <v>Par</v>
      </c>
      <c r="E21494" s="50">
        <f>C21469+C21470+C21472</f>
        <v>2</v>
      </c>
      <c r="F21494" s="51">
        <f>VLOOKUP(A21494,'Componentes APUs'!$A$1:$D$14,4,0)</f>
        <v>2525.2525252525252</v>
      </c>
      <c r="G21494" s="51">
        <f>ROUNDUP(F21494*(E21494/21)/E21452,0)</f>
        <v>97</v>
      </c>
    </row>
    <row r="21495" spans="1:7" x14ac:dyDescent="0.25">
      <c r="A21495" s="50" t="s">
        <v>83</v>
      </c>
      <c r="B21495" s="72" t="str">
        <f>VLOOKUP(A21495,'Componentes APUs'!$A$1:$D$14,2,0)</f>
        <v>Impermeable (pantalon camisa)</v>
      </c>
      <c r="C21495" s="73"/>
      <c r="D21495" s="50" t="str">
        <f>VLOOKUP(A21495,'Componentes APUs'!$A$1:$D$14,3,0)</f>
        <v>U</v>
      </c>
      <c r="E21495" s="50">
        <f>SUM(C21467:C21472)</f>
        <v>2.75</v>
      </c>
      <c r="F21495" s="51">
        <f>VLOOKUP(A21495,'Componentes APUs'!$A$1:$D$14,4,0)</f>
        <v>3750</v>
      </c>
      <c r="G21495" s="51">
        <f>ROUNDUP(F21495*(E21495/21)/E21452,0)</f>
        <v>197</v>
      </c>
    </row>
    <row r="21496" spans="1:7" x14ac:dyDescent="0.25">
      <c r="A21496" s="69" t="s">
        <v>85</v>
      </c>
      <c r="B21496" s="72" t="str">
        <f>VLOOKUP(A21496,'Componentes APUs'!$A$1:$D$14,2,0)</f>
        <v>Jean Dielectrico</v>
      </c>
      <c r="C21496" s="73"/>
      <c r="D21496" s="50" t="str">
        <f>VLOOKUP(A21496,'Componentes APUs'!$A$1:$D$14,3,0)</f>
        <v>U</v>
      </c>
      <c r="E21496" s="50">
        <f>SUM(C21467:C21472)</f>
        <v>2.75</v>
      </c>
      <c r="F21496" s="51">
        <f>VLOOKUP(A21496,'Componentes APUs'!$A$1:$D$14,4,0)</f>
        <v>7575.757575757576</v>
      </c>
      <c r="G21496" s="51">
        <f>ROUNDUP(F21496*(E21496/21)/E21452,0)</f>
        <v>397</v>
      </c>
    </row>
    <row r="21497" spans="1:7" x14ac:dyDescent="0.25">
      <c r="A21497" s="50" t="s">
        <v>87</v>
      </c>
      <c r="B21497" s="72" t="str">
        <f>VLOOKUP(A21497,'Componentes APUs'!$A$1:$D$14,2,0)</f>
        <v>Casco dielectrico Tipo 2 Clase E con barboquejo</v>
      </c>
      <c r="C21497" s="73"/>
      <c r="D21497" s="50" t="str">
        <f>VLOOKUP(A21497,'Componentes APUs'!$A$1:$D$14,3,0)</f>
        <v>U</v>
      </c>
      <c r="E21497" s="53">
        <f>IF(A21469="MO-3",C21469,0)</f>
        <v>0</v>
      </c>
      <c r="F21497" s="51">
        <f>VLOOKUP(A21497,'Componentes APUs'!$A$1:$D$14,4,0)</f>
        <v>7500</v>
      </c>
      <c r="G21497" s="51">
        <f>ROUNDUP(F21497*(E21497/21)/E21452,0)</f>
        <v>0</v>
      </c>
    </row>
    <row r="21498" spans="1:7" x14ac:dyDescent="0.25">
      <c r="A21498" s="69" t="s">
        <v>89</v>
      </c>
      <c r="B21498" s="72" t="str">
        <f>VLOOKUP(A21498,'Componentes APUs'!$A$1:$D$14,2,0)</f>
        <v>Kit de rescate para trabajo en alturas</v>
      </c>
      <c r="C21498" s="73"/>
      <c r="D21498" s="50" t="str">
        <f>VLOOKUP(A21498,'Componentes APUs'!$A$1:$D$14,3,0)</f>
        <v>U</v>
      </c>
      <c r="E21498" s="50">
        <f>IF(AND(A21469="MO-3",C21469=2),1,0)</f>
        <v>0</v>
      </c>
      <c r="F21498" s="51">
        <f>VLOOKUP(A21498,'Componentes APUs'!$A$1:$D$14,4,0)</f>
        <v>37500</v>
      </c>
      <c r="G21498" s="51">
        <f>ROUNDUP(F21498*(E21498/21)/E21452,0)</f>
        <v>0</v>
      </c>
    </row>
    <row r="21499" spans="1:7" x14ac:dyDescent="0.25">
      <c r="A21499" s="50" t="s">
        <v>91</v>
      </c>
      <c r="B21499" s="72" t="str">
        <f>VLOOKUP(A21499,'Componentes APUs'!$A$1:$D$14,2,0)</f>
        <v>Equipo completo para trabajo en alturas con pretales (Arnes dielectrico, 1 mosqueton de seguridad, tie off dielectrico, eslinga de posicionamiento, juego de pretales)</v>
      </c>
      <c r="C21499" s="73"/>
      <c r="D21499" s="50" t="str">
        <f>VLOOKUP(A21499,'Componentes APUs'!$A$1:$D$14,3,0)</f>
        <v>U</v>
      </c>
      <c r="E21499" s="50">
        <f>IF(A21469="MO-3",C21469,0)</f>
        <v>0</v>
      </c>
      <c r="F21499" s="51">
        <f>VLOOKUP(A21499,'Componentes APUs'!$A$1:$D$14,4,0)</f>
        <v>26041.666666666668</v>
      </c>
      <c r="G21499" s="51">
        <f>ROUNDUP(F21499*(E21499/21)/E21452,0)</f>
        <v>0</v>
      </c>
    </row>
    <row r="21500" spans="1:7" x14ac:dyDescent="0.25">
      <c r="A21500" s="234" t="s">
        <v>95</v>
      </c>
      <c r="B21500" s="236"/>
      <c r="C21500" s="236"/>
      <c r="D21500" s="236"/>
      <c r="E21500" s="236"/>
      <c r="F21500" s="235"/>
      <c r="G21500" s="52">
        <f>SUM(G21487:G21499)</f>
        <v>2695</v>
      </c>
    </row>
    <row r="21501" spans="1:7" x14ac:dyDescent="0.25">
      <c r="A21501" s="56"/>
      <c r="B21501" s="57"/>
      <c r="C21501" s="57"/>
      <c r="D21501" s="57"/>
      <c r="E21501" s="57"/>
      <c r="F21501" s="57"/>
      <c r="G21501" s="58"/>
    </row>
    <row r="21502" spans="1:7" x14ac:dyDescent="0.25">
      <c r="A21502" s="234" t="s">
        <v>96</v>
      </c>
      <c r="B21502" s="236"/>
      <c r="C21502" s="236"/>
      <c r="D21502" s="236"/>
      <c r="E21502" s="236"/>
      <c r="F21502" s="236"/>
      <c r="G21502" s="235"/>
    </row>
    <row r="21503" spans="1:7" x14ac:dyDescent="0.25">
      <c r="A21503" s="49" t="s">
        <v>35</v>
      </c>
      <c r="B21503" s="234" t="s">
        <v>36</v>
      </c>
      <c r="C21503" s="235"/>
      <c r="D21503" s="49" t="s">
        <v>37</v>
      </c>
      <c r="E21503" s="49" t="s">
        <v>38</v>
      </c>
      <c r="F21503" s="49" t="s">
        <v>39</v>
      </c>
      <c r="G21503" s="49" t="s">
        <v>40</v>
      </c>
    </row>
    <row r="21504" spans="1:7" x14ac:dyDescent="0.25">
      <c r="A21504" s="69" t="s">
        <v>97</v>
      </c>
      <c r="B21504" s="72" t="str">
        <f>VLOOKUP(A21504,'Componentes APUs'!$N$1:$Q$30,2,0)</f>
        <v>Camioneta</v>
      </c>
      <c r="C21504" s="73"/>
      <c r="D21504" s="70" t="str">
        <f>VLOOKUP(A21504,'Componentes APUs'!$N$1:$Q$30,3,0)</f>
        <v>U</v>
      </c>
      <c r="E21504" s="50">
        <v>1</v>
      </c>
      <c r="F21504" s="51">
        <f>VLOOKUP(A21504,'Componentes APUs'!$N$1:$Q$30,4,0)</f>
        <v>5500000</v>
      </c>
      <c r="G21504" s="51">
        <f>IFERROR(ROUNDUP(F21504*(E21504/21)/E21452,0),"-")</f>
        <v>104762</v>
      </c>
    </row>
    <row r="21505" spans="1:7" x14ac:dyDescent="0.25">
      <c r="A21505" s="50" t="s">
        <v>321</v>
      </c>
      <c r="B21505" s="72" t="str">
        <f>VLOOKUP(A21505,'Componentes APUs'!$N$1:$Q$30,2,0)</f>
        <v>Grúa Hidráulica</v>
      </c>
      <c r="C21505" s="73"/>
      <c r="D21505" s="70" t="str">
        <f>VLOOKUP(A21505,'Componentes APUs'!$N$1:$Q$30,3,0)</f>
        <v>U</v>
      </c>
      <c r="E21505" s="50">
        <v>0</v>
      </c>
      <c r="F21505" s="51">
        <f>VLOOKUP(A21505,'Componentes APUs'!$N$1:$Q$30,4,0)</f>
        <v>21000000</v>
      </c>
      <c r="G21505" s="51">
        <f>IFERROR(ROUNDUP(F21505*(E21505/21)/E21452,0),"-")</f>
        <v>0</v>
      </c>
    </row>
    <row r="21506" spans="1:7" x14ac:dyDescent="0.25">
      <c r="A21506" s="69" t="s">
        <v>322</v>
      </c>
      <c r="B21506" s="72" t="str">
        <f>VLOOKUP(A21506,'Componentes APUs'!$N$1:$Q$30,2,0)</f>
        <v>Camabaja</v>
      </c>
      <c r="C21506" s="73"/>
      <c r="D21506" s="70" t="str">
        <f>VLOOKUP(A21506,'Componentes APUs'!$N$1:$Q$30,3,0)</f>
        <v>TON/KM</v>
      </c>
      <c r="E21506" s="50">
        <v>0</v>
      </c>
      <c r="F21506" s="51">
        <f>VLOOKUP(A21506,'Componentes APUs'!$N$1:$Q$30,4,0)</f>
        <v>611</v>
      </c>
      <c r="G21506" s="51">
        <f>IFERROR(ROUNDUP(F21506*(E21506/21)/E21452,0),"-")</f>
        <v>0</v>
      </c>
    </row>
    <row r="21507" spans="1:7" x14ac:dyDescent="0.25">
      <c r="A21507" s="50" t="s">
        <v>323</v>
      </c>
      <c r="B21507" s="72" t="str">
        <f>VLOOKUP(A21507,'Componentes APUs'!$N$1:$Q$30,2,0)</f>
        <v>Volqueta</v>
      </c>
      <c r="C21507" s="73"/>
      <c r="D21507" s="70" t="str">
        <f>VLOOKUP(A21507,'Componentes APUs'!$N$1:$Q$30,3,0)</f>
        <v>U</v>
      </c>
      <c r="E21507" s="50">
        <v>0</v>
      </c>
      <c r="F21507" s="51">
        <f>VLOOKUP(A21507,'Componentes APUs'!$N$1:$Q$30,4,0)</f>
        <v>14828184</v>
      </c>
      <c r="G21507" s="51">
        <f>IFERROR(ROUNDUP(F21507*(E21507/21)/E21452,0),"-")</f>
        <v>0</v>
      </c>
    </row>
    <row r="21508" spans="1:7" x14ac:dyDescent="0.25">
      <c r="A21508" s="69" t="s">
        <v>324</v>
      </c>
      <c r="B21508" s="72" t="str">
        <f>VLOOKUP(A21508,'Componentes APUs'!$N$1:$Q$30,2,0)</f>
        <v>Retroexcavadora</v>
      </c>
      <c r="C21508" s="73"/>
      <c r="D21508" s="70" t="str">
        <f>VLOOKUP(A21508,'Componentes APUs'!$N$1:$Q$30,3,0)</f>
        <v>U</v>
      </c>
      <c r="E21508" s="50">
        <v>0</v>
      </c>
      <c r="F21508" s="51">
        <f>VLOOKUP(A21508,'Componentes APUs'!$N$1:$Q$30,4,0)</f>
        <v>46030656</v>
      </c>
      <c r="G21508" s="51">
        <f>IFERROR(ROUNDUP(F21508*(E21508/21)/E21452,0),"-")</f>
        <v>0</v>
      </c>
    </row>
    <row r="21509" spans="1:7" x14ac:dyDescent="0.25">
      <c r="A21509" s="234" t="s">
        <v>99</v>
      </c>
      <c r="B21509" s="236"/>
      <c r="C21509" s="236"/>
      <c r="D21509" s="236"/>
      <c r="E21509" s="236"/>
      <c r="F21509" s="235"/>
      <c r="G21509" s="52">
        <f>SUM(G21504:G21508)</f>
        <v>104762</v>
      </c>
    </row>
    <row r="21510" spans="1:7" x14ac:dyDescent="0.25">
      <c r="A21510" s="56"/>
      <c r="B21510" s="57"/>
      <c r="C21510" s="57"/>
      <c r="D21510" s="57"/>
      <c r="E21510" s="57"/>
      <c r="F21510" s="57"/>
      <c r="G21510" s="58"/>
    </row>
    <row r="21511" spans="1:7" x14ac:dyDescent="0.25">
      <c r="A21511" s="234" t="s">
        <v>1516</v>
      </c>
      <c r="B21511" s="236"/>
      <c r="C21511" s="236"/>
      <c r="D21511" s="236"/>
      <c r="E21511" s="236"/>
      <c r="F21511" s="235"/>
      <c r="G21511" s="52">
        <f>G21509+G21500+G21483+G21473+G21463</f>
        <v>840589</v>
      </c>
    </row>
    <row r="21512" spans="1:7" x14ac:dyDescent="0.25">
      <c r="A21512" s="59"/>
      <c r="B21512" s="60"/>
      <c r="C21512" s="60"/>
      <c r="D21512" s="60"/>
      <c r="E21512" s="57"/>
      <c r="F21512" s="57"/>
      <c r="G21512" s="58"/>
    </row>
    <row r="21513" spans="1:7" x14ac:dyDescent="0.25">
      <c r="A21513" s="64"/>
      <c r="D21513" s="55"/>
      <c r="E21513" s="49" t="s">
        <v>25</v>
      </c>
      <c r="F21513" s="54">
        <v>0.15</v>
      </c>
      <c r="G21513" s="51">
        <f>G21511*F21513</f>
        <v>126088.34999999999</v>
      </c>
    </row>
    <row r="21514" spans="1:7" x14ac:dyDescent="0.25">
      <c r="A21514" s="64"/>
      <c r="D21514" s="55"/>
      <c r="E21514" s="49" t="s">
        <v>26</v>
      </c>
      <c r="F21514" s="54">
        <v>0.05</v>
      </c>
      <c r="G21514" s="51">
        <f>G21511*F21514</f>
        <v>42029.450000000004</v>
      </c>
    </row>
    <row r="21515" spans="1:7" x14ac:dyDescent="0.25">
      <c r="A21515" s="61"/>
      <c r="B21515" s="65"/>
      <c r="C21515" s="65"/>
      <c r="D21515" s="62"/>
      <c r="E21515" s="49" t="s">
        <v>27</v>
      </c>
      <c r="F21515" s="54">
        <v>0.05</v>
      </c>
      <c r="G21515" s="51">
        <f>G21511*F21515</f>
        <v>42029.450000000004</v>
      </c>
    </row>
    <row r="21516" spans="1:7" x14ac:dyDescent="0.25">
      <c r="A21516" s="61"/>
      <c r="B21516" s="62"/>
      <c r="C21516" s="62"/>
      <c r="D21516" s="62"/>
      <c r="E21516" s="62"/>
      <c r="F21516" s="62"/>
      <c r="G21516" s="63"/>
    </row>
    <row r="21517" spans="1:7" x14ac:dyDescent="0.25">
      <c r="A21517" s="234" t="s">
        <v>1517</v>
      </c>
      <c r="B21517" s="236"/>
      <c r="C21517" s="236"/>
      <c r="D21517" s="236"/>
      <c r="E21517" s="236"/>
      <c r="F21517" s="235"/>
      <c r="G21517" s="52">
        <f>G21511+G21513+G21514+G21515</f>
        <v>1050736.25</v>
      </c>
    </row>
    <row r="21518" spans="1:7" x14ac:dyDescent="0.25">
      <c r="A21518" s="59"/>
      <c r="B21518" s="60"/>
      <c r="C21518" s="60"/>
      <c r="D21518" s="60"/>
      <c r="E21518" s="57"/>
      <c r="F21518" s="57"/>
      <c r="G21518" s="58"/>
    </row>
    <row r="21519" spans="1:7" x14ac:dyDescent="0.25">
      <c r="A21519" s="64"/>
      <c r="D21519" s="55"/>
      <c r="E21519" s="49" t="s">
        <v>102</v>
      </c>
      <c r="F21519" s="49" t="s">
        <v>103</v>
      </c>
      <c r="G21519" s="51">
        <f>G21515*19%</f>
        <v>7985.5955000000013</v>
      </c>
    </row>
    <row r="21520" spans="1:7" x14ac:dyDescent="0.25">
      <c r="A21520" s="61"/>
      <c r="B21520" s="62"/>
      <c r="C21520" s="62"/>
      <c r="D21520" s="62"/>
      <c r="E21520" s="57"/>
      <c r="F21520" s="57"/>
      <c r="G21520" s="58"/>
    </row>
    <row r="21521" spans="1:7" x14ac:dyDescent="0.25">
      <c r="A21521" s="234" t="s">
        <v>104</v>
      </c>
      <c r="B21521" s="236"/>
      <c r="C21521" s="236"/>
      <c r="D21521" s="236"/>
      <c r="E21521" s="236"/>
      <c r="F21521" s="235"/>
      <c r="G21521" s="52">
        <f>G21519+G21517</f>
        <v>1058721.8455000001</v>
      </c>
    </row>
    <row r="21523" spans="1:7" x14ac:dyDescent="0.25">
      <c r="A21523" s="74" t="s">
        <v>29</v>
      </c>
      <c r="B21523" s="226" t="s">
        <v>30</v>
      </c>
      <c r="C21523" s="226"/>
      <c r="D21523" s="74" t="s">
        <v>31</v>
      </c>
      <c r="E21523" s="74" t="s">
        <v>32</v>
      </c>
      <c r="F21523" s="74" t="s">
        <v>189</v>
      </c>
      <c r="G21523" s="74" t="s">
        <v>33</v>
      </c>
    </row>
    <row r="21524" spans="1:7" ht="34.5" customHeight="1" x14ac:dyDescent="0.25">
      <c r="A21524" s="50" t="str">
        <f>Presupuesto!B410</f>
        <v>073_AUX</v>
      </c>
      <c r="B21524" s="220" t="str">
        <f>Presupuesto!C410</f>
        <v>SUMINISTRO E INSTALACIÓN DE CANALIZACIÓN  EN TUBERIA  PVC DE 1" PARA COMUNICACIÓN, SEÑALES Y FUERZA DEL CONTROL DE TRANSFORMADOR DE POTENCIA</v>
      </c>
      <c r="C21524" s="220"/>
      <c r="D21524" s="50" t="s">
        <v>108</v>
      </c>
      <c r="E21524" s="50">
        <v>134</v>
      </c>
      <c r="F21524" s="50"/>
      <c r="G21524" s="51">
        <f>G21593</f>
        <v>28496.1875</v>
      </c>
    </row>
    <row r="21525" spans="1:7" x14ac:dyDescent="0.25">
      <c r="A21525" s="219" t="s">
        <v>34</v>
      </c>
      <c r="B21525" s="219"/>
      <c r="C21525" s="219"/>
      <c r="D21525" s="219"/>
      <c r="E21525" s="219"/>
      <c r="F21525" s="219"/>
      <c r="G21525" s="219"/>
    </row>
    <row r="21526" spans="1:7" x14ac:dyDescent="0.25">
      <c r="A21526" s="49" t="s">
        <v>35</v>
      </c>
      <c r="B21526" s="219" t="s">
        <v>36</v>
      </c>
      <c r="C21526" s="219"/>
      <c r="D21526" s="49" t="s">
        <v>37</v>
      </c>
      <c r="E21526" s="49" t="s">
        <v>38</v>
      </c>
      <c r="F21526" s="49" t="s">
        <v>39</v>
      </c>
      <c r="G21526" s="49" t="s">
        <v>40</v>
      </c>
    </row>
    <row r="21527" spans="1:7" x14ac:dyDescent="0.25">
      <c r="A21527" s="17" t="str">
        <f>Material!A216</f>
        <v>MA-215</v>
      </c>
      <c r="B21527" s="72" t="str">
        <f>IFERROR(VLOOKUP(A21527,Material!$A:$H,2,0),"-")</f>
        <v>TUBO PVC 1"</v>
      </c>
      <c r="C21527" s="73"/>
      <c r="D21527" s="50" t="str">
        <f>IFERROR(VLOOKUP(A21527,Material!$A:$H,4,0),"-")</f>
        <v>ML</v>
      </c>
      <c r="E21527" s="50">
        <v>1</v>
      </c>
      <c r="F21527" s="51">
        <f>IFERROR(VLOOKUP(A21527,Material!$A:$H,3,0),"-")</f>
        <v>3055</v>
      </c>
      <c r="G21527" s="51">
        <f t="shared" ref="G21527:G21534" si="323">IFERROR(ROUNDUP(F21527*E21527,0),"-")</f>
        <v>3055</v>
      </c>
    </row>
    <row r="21528" spans="1:7" x14ac:dyDescent="0.25">
      <c r="A21528" s="17" t="str">
        <f>Material!A250</f>
        <v>MA-249</v>
      </c>
      <c r="B21528" s="72" t="str">
        <f>IFERROR(VLOOKUP(A21528,Material!$A:$H,2,0),"-")</f>
        <v>CURVA PVC DE 1"</v>
      </c>
      <c r="C21528" s="73"/>
      <c r="D21528" s="50" t="str">
        <f>IFERROR(VLOOKUP(A21528,Material!$A:$H,4,0),"-")</f>
        <v>UN</v>
      </c>
      <c r="E21528" s="50">
        <v>1</v>
      </c>
      <c r="F21528" s="51">
        <f>IFERROR(VLOOKUP(A21528,Material!$A:$H,3,0),"-")</f>
        <v>1365</v>
      </c>
      <c r="G21528" s="51">
        <f t="shared" si="323"/>
        <v>1365</v>
      </c>
    </row>
    <row r="21529" spans="1:7" x14ac:dyDescent="0.25">
      <c r="A21529" s="17" t="str">
        <f>Material!A552</f>
        <v>MA-551</v>
      </c>
      <c r="B21529" s="72" t="str">
        <f>IFERROR(VLOOKUP(A21529,Material!$A:$H,2,0),"-")</f>
        <v>TERMINAL PVC 1"</v>
      </c>
      <c r="C21529" s="73"/>
      <c r="D21529" s="50" t="s">
        <v>108</v>
      </c>
      <c r="E21529" s="50">
        <v>1</v>
      </c>
      <c r="F21529" s="51">
        <f>IFERROR(VLOOKUP(A21529,Material!$A:$H,3,0),"-")</f>
        <v>1170</v>
      </c>
      <c r="G21529" s="51">
        <f t="shared" si="323"/>
        <v>1170</v>
      </c>
    </row>
    <row r="21530" spans="1:7" x14ac:dyDescent="0.25">
      <c r="A21530" s="17" t="str">
        <f>Material!A201</f>
        <v>MA-200</v>
      </c>
      <c r="B21530" s="72" t="str">
        <f>IFERROR(VLOOKUP(A21530,Material!$A:$H,2,0),"-")</f>
        <v>SOLDADURA PVC 1/4 GL</v>
      </c>
      <c r="C21530" s="73"/>
      <c r="D21530" s="50" t="str">
        <f>IFERROR(VLOOKUP(A21530,Material!$A:$H,4,0),"-")</f>
        <v>GALÓN</v>
      </c>
      <c r="E21530" s="50">
        <v>6.6666000000000003E-2</v>
      </c>
      <c r="F21530" s="51">
        <f>IFERROR(VLOOKUP(A21530,Material!$A:$H,3,0),"-")</f>
        <v>88270</v>
      </c>
      <c r="G21530" s="51">
        <f t="shared" si="323"/>
        <v>5885</v>
      </c>
    </row>
    <row r="21531" spans="1:7" x14ac:dyDescent="0.25">
      <c r="A21531" s="17" t="str">
        <f>Material!A253</f>
        <v>MA-252</v>
      </c>
      <c r="B21531" s="72" t="str">
        <f>IFERROR(VLOOKUP(A21531,Material!$A:$H,2,0),"-")</f>
        <v>LIMPIADOR DE TUBERÍA PVC 1/4 GL</v>
      </c>
      <c r="C21531" s="73"/>
      <c r="D21531" s="50" t="str">
        <f>IFERROR(VLOOKUP(A21531,Material!$A:$H,4,0),"-")</f>
        <v>GALÓN</v>
      </c>
      <c r="E21531" s="50">
        <v>6.6666000000000003E-2</v>
      </c>
      <c r="F21531" s="51">
        <f>IFERROR(VLOOKUP(A21531,Material!$A:$H,3,0),"-")</f>
        <v>60970</v>
      </c>
      <c r="G21531" s="51">
        <f t="shared" si="323"/>
        <v>4065</v>
      </c>
    </row>
    <row r="21532" spans="1:7" x14ac:dyDescent="0.25">
      <c r="A21532" s="17"/>
      <c r="B21532" s="72" t="str">
        <f>IFERROR(VLOOKUP(A21532,Material!$A:$H,2,0),"-")</f>
        <v>-</v>
      </c>
      <c r="C21532" s="73"/>
      <c r="D21532" s="50" t="str">
        <f>IFERROR(VLOOKUP(A21532,Material!$A:$H,4,0),"-")</f>
        <v>-</v>
      </c>
      <c r="E21532" s="50"/>
      <c r="F21532" s="51" t="str">
        <f>IFERROR(VLOOKUP(A21532,Material!$A:$H,3,0),"-")</f>
        <v>-</v>
      </c>
      <c r="G21532" s="51" t="str">
        <f t="shared" si="323"/>
        <v>-</v>
      </c>
    </row>
    <row r="21533" spans="1:7" x14ac:dyDescent="0.25">
      <c r="A21533" s="17"/>
      <c r="B21533" s="72" t="str">
        <f>IFERROR(VLOOKUP(A21533,Material!$A:$H,2,0),"-")</f>
        <v>-</v>
      </c>
      <c r="C21533" s="73"/>
      <c r="D21533" s="50" t="str">
        <f>IFERROR(VLOOKUP(A21533,Material!$A:$H,4,0),"-")</f>
        <v>-</v>
      </c>
      <c r="E21533" s="50"/>
      <c r="F21533" s="51" t="str">
        <f>IFERROR(VLOOKUP(A21533,Material!$A:$H,3,0),"-")</f>
        <v>-</v>
      </c>
      <c r="G21533" s="51" t="str">
        <f t="shared" si="323"/>
        <v>-</v>
      </c>
    </row>
    <row r="21534" spans="1:7" x14ac:dyDescent="0.25">
      <c r="A21534" s="17"/>
      <c r="B21534" s="72" t="str">
        <f>IFERROR(VLOOKUP(A21534,Material!$A:$H,2,0),"-")</f>
        <v>-</v>
      </c>
      <c r="C21534" s="73"/>
      <c r="D21534" s="50" t="str">
        <f>IFERROR(VLOOKUP(A21534,Material!$A:$H,4,0),"-")</f>
        <v>-</v>
      </c>
      <c r="E21534" s="50"/>
      <c r="F21534" s="51" t="str">
        <f>IFERROR(VLOOKUP(A21534,Material!$A:$H,3,0),"-")</f>
        <v>-</v>
      </c>
      <c r="G21534" s="51" t="str">
        <f t="shared" si="323"/>
        <v>-</v>
      </c>
    </row>
    <row r="21535" spans="1:7" x14ac:dyDescent="0.25">
      <c r="A21535" s="219" t="s">
        <v>41</v>
      </c>
      <c r="B21535" s="219"/>
      <c r="C21535" s="219"/>
      <c r="D21535" s="219"/>
      <c r="E21535" s="219"/>
      <c r="F21535" s="219"/>
      <c r="G21535" s="52">
        <f>SUM(G21527:G21534)</f>
        <v>15540</v>
      </c>
    </row>
    <row r="21536" spans="1:7" x14ac:dyDescent="0.25">
      <c r="A21536" s="56"/>
      <c r="B21536" s="57"/>
      <c r="C21536" s="57"/>
      <c r="D21536" s="57"/>
      <c r="E21536" s="57"/>
      <c r="F21536" s="57"/>
      <c r="G21536" s="58"/>
    </row>
    <row r="21537" spans="1:7" x14ac:dyDescent="0.25">
      <c r="A21537" s="219" t="s">
        <v>42</v>
      </c>
      <c r="B21537" s="219"/>
      <c r="C21537" s="219"/>
      <c r="D21537" s="219"/>
      <c r="E21537" s="219"/>
      <c r="F21537" s="219"/>
      <c r="G21537" s="219"/>
    </row>
    <row r="21538" spans="1:7" x14ac:dyDescent="0.25">
      <c r="A21538" s="49" t="s">
        <v>35</v>
      </c>
      <c r="B21538" s="49" t="s">
        <v>36</v>
      </c>
      <c r="C21538" s="49" t="s">
        <v>38</v>
      </c>
      <c r="D21538" s="49" t="s">
        <v>43</v>
      </c>
      <c r="E21538" s="49" t="s">
        <v>44</v>
      </c>
      <c r="F21538" s="49" t="s">
        <v>45</v>
      </c>
      <c r="G21538" s="49" t="s">
        <v>40</v>
      </c>
    </row>
    <row r="21539" spans="1:7" x14ac:dyDescent="0.25">
      <c r="A21539" s="50" t="s">
        <v>319</v>
      </c>
      <c r="B21539" s="68" t="str">
        <f>VLOOKUP(A21539,'Componentes APUs'!$H$1:$L$25,2,0)</f>
        <v>Ingeniero Residente de Obra</v>
      </c>
      <c r="C21539" s="93">
        <v>0.25</v>
      </c>
      <c r="D21539" s="50">
        <f>VLOOKUP(A21539,'Componentes APUs'!$H$1:$L$25,3,0)</f>
        <v>4</v>
      </c>
      <c r="E21539" s="51">
        <f>VLOOKUP(A21539,'Componentes APUs'!$H$1:$L$25,4,0)</f>
        <v>271142.85714285716</v>
      </c>
      <c r="F21539" s="51">
        <f>VLOOKUP(A21539,'Componentes APUs'!$H$1:$L$25,5,0)</f>
        <v>162685.71428571429</v>
      </c>
      <c r="G21539" s="51">
        <f>ROUNDUP((E21539+F21539)*C21539/E21524,0)</f>
        <v>810</v>
      </c>
    </row>
    <row r="21540" spans="1:7" x14ac:dyDescent="0.25">
      <c r="A21540" s="50" t="s">
        <v>320</v>
      </c>
      <c r="B21540" s="68" t="str">
        <f>VLOOKUP(A21540,'Componentes APUs'!$H$1:$L$25,2,0)</f>
        <v>Tecnico Supervisor</v>
      </c>
      <c r="C21540" s="93">
        <v>0.25</v>
      </c>
      <c r="D21540" s="50">
        <f>VLOOKUP(A21540,'Componentes APUs'!$H$1:$L$25,3,0)</f>
        <v>2.2999999999999998</v>
      </c>
      <c r="E21540" s="51">
        <f>VLOOKUP(A21540,'Componentes APUs'!$H$1:$L$25,4,0)</f>
        <v>155907.14285714284</v>
      </c>
      <c r="F21540" s="51">
        <f>VLOOKUP(A21540,'Componentes APUs'!$H$1:$L$25,5,0)</f>
        <v>93544.285714285696</v>
      </c>
      <c r="G21540" s="51">
        <f>ROUNDUP((E21540+F21540)*C21540/E21524,0)</f>
        <v>466</v>
      </c>
    </row>
    <row r="21541" spans="1:7" x14ac:dyDescent="0.25">
      <c r="A21541" s="50" t="s">
        <v>1160</v>
      </c>
      <c r="B21541" s="68" t="str">
        <f>VLOOKUP(A21541,'Componentes APUs'!$H$1:$L$25,2,0)</f>
        <v>Oficial Eléctrico</v>
      </c>
      <c r="C21541" s="93">
        <v>1</v>
      </c>
      <c r="D21541" s="50">
        <f>VLOOKUP(A21541,'Componentes APUs'!$H$1:$L$25,3,0)</f>
        <v>2</v>
      </c>
      <c r="E21541" s="51">
        <f>VLOOKUP(A21541,'Componentes APUs'!$H$1:$L$25,4,0)</f>
        <v>154619.04761904763</v>
      </c>
      <c r="F21541" s="51">
        <f>VLOOKUP(A21541,'Componentes APUs'!$H$1:$L$25,5,0)</f>
        <v>92771.42857142858</v>
      </c>
      <c r="G21541" s="51">
        <f>ROUNDUP((E21541+F21541)*C21541/E21524,0)</f>
        <v>1847</v>
      </c>
    </row>
    <row r="21542" spans="1:7" x14ac:dyDescent="0.25">
      <c r="A21542" s="50" t="s">
        <v>48</v>
      </c>
      <c r="B21542" s="68" t="str">
        <f>VLOOKUP(A21542,'Componentes APUs'!$H$1:$L$25,2,0)</f>
        <v>Ayudante Calificado</v>
      </c>
      <c r="C21542" s="93">
        <v>1</v>
      </c>
      <c r="D21542" s="50">
        <f>VLOOKUP(A21542,'Componentes APUs'!$H$1:$L$25,3,0)</f>
        <v>1.5</v>
      </c>
      <c r="E21542" s="51">
        <f>VLOOKUP(A21542,'Componentes APUs'!$H$1:$L$25,4,0)</f>
        <v>115964.28571428571</v>
      </c>
      <c r="F21542" s="51">
        <f>VLOOKUP(A21542,'Componentes APUs'!$H$1:$L$25,5,0)</f>
        <v>69578.57142857142</v>
      </c>
      <c r="G21542" s="51">
        <f>ROUNDUP((E21542+F21542)*C21542/E21524,0)</f>
        <v>1385</v>
      </c>
    </row>
    <row r="21543" spans="1:7" x14ac:dyDescent="0.25">
      <c r="A21543" s="50" t="s">
        <v>50</v>
      </c>
      <c r="B21543" s="68" t="str">
        <f>VLOOKUP(A21543,'Componentes APUs'!$H$1:$L$25,2,0)</f>
        <v>Profesional en SST</v>
      </c>
      <c r="C21543" s="93">
        <v>0.25</v>
      </c>
      <c r="D21543" s="50">
        <f>VLOOKUP(A21543,'Componentes APUs'!$H$1:$L$25,3,0)</f>
        <v>2.5</v>
      </c>
      <c r="E21543" s="51">
        <f>VLOOKUP(A21543,'Componentes APUs'!$H$1:$L$25,4,0)</f>
        <v>169464.28571428571</v>
      </c>
      <c r="F21543" s="51">
        <f>VLOOKUP(A21543,'Componentes APUs'!$H$1:$L$25,5,0)</f>
        <v>101678.57142857142</v>
      </c>
      <c r="G21543" s="51">
        <f>ROUNDUP((E21543+F21543)*C21543/E21524,0)</f>
        <v>506</v>
      </c>
    </row>
    <row r="21544" spans="1:7" x14ac:dyDescent="0.25">
      <c r="A21544" s="50" t="s">
        <v>52</v>
      </c>
      <c r="B21544" s="68" t="str">
        <f>VLOOKUP(A21544,'Componentes APUs'!$H$1:$L$25,2,0)</f>
        <v>Ayudante No Calificado</v>
      </c>
      <c r="C21544" s="93">
        <v>0</v>
      </c>
      <c r="D21544" s="50">
        <f>VLOOKUP(A21544,'Componentes APUs'!$H$1:$L$25,3,0)</f>
        <v>1</v>
      </c>
      <c r="E21544" s="51">
        <f>VLOOKUP(A21544,'Componentes APUs'!$H$1:$L$25,4,0)</f>
        <v>77309.523809523816</v>
      </c>
      <c r="F21544" s="51">
        <f>VLOOKUP(A21544,'Componentes APUs'!$H$1:$L$25,5,0)</f>
        <v>46385.71428571429</v>
      </c>
      <c r="G21544" s="51">
        <f>ROUNDUP((E21544+F21544)*C21544/E21524,0)</f>
        <v>0</v>
      </c>
    </row>
    <row r="21545" spans="1:7" x14ac:dyDescent="0.25">
      <c r="A21545" s="219" t="s">
        <v>56</v>
      </c>
      <c r="B21545" s="219"/>
      <c r="C21545" s="219"/>
      <c r="D21545" s="219"/>
      <c r="E21545" s="219"/>
      <c r="F21545" s="219"/>
      <c r="G21545" s="52">
        <f>SUM(G21539:G21544)</f>
        <v>5014</v>
      </c>
    </row>
    <row r="21546" spans="1:7" x14ac:dyDescent="0.25">
      <c r="A21546" s="56"/>
      <c r="B21546" s="57"/>
      <c r="C21546" s="57"/>
      <c r="D21546" s="57"/>
      <c r="E21546" s="57"/>
      <c r="F21546" s="57"/>
      <c r="G21546" s="58"/>
    </row>
    <row r="21547" spans="1:7" x14ac:dyDescent="0.25">
      <c r="A21547" s="219" t="s">
        <v>57</v>
      </c>
      <c r="B21547" s="219"/>
      <c r="C21547" s="219"/>
      <c r="D21547" s="219"/>
      <c r="E21547" s="219"/>
      <c r="F21547" s="219"/>
      <c r="G21547" s="219"/>
    </row>
    <row r="21548" spans="1:7" x14ac:dyDescent="0.25">
      <c r="A21548" s="49" t="s">
        <v>35</v>
      </c>
      <c r="B21548" s="219" t="s">
        <v>36</v>
      </c>
      <c r="C21548" s="219"/>
      <c r="D21548" s="49" t="s">
        <v>37</v>
      </c>
      <c r="E21548" s="49" t="s">
        <v>38</v>
      </c>
      <c r="F21548" s="49" t="s">
        <v>39</v>
      </c>
      <c r="G21548" s="49" t="s">
        <v>40</v>
      </c>
    </row>
    <row r="21549" spans="1:7" x14ac:dyDescent="0.25">
      <c r="A21549" s="50" t="s">
        <v>326</v>
      </c>
      <c r="B21549" s="220" t="str">
        <f>VLOOKUP(A21549,'Componentes APUs'!$S$1:$V$10,2,0)</f>
        <v>Juego Llaves</v>
      </c>
      <c r="C21549" s="220"/>
      <c r="D21549" s="50" t="s">
        <v>18</v>
      </c>
      <c r="E21549" s="50">
        <v>2</v>
      </c>
      <c r="F21549" s="51">
        <f>VLOOKUP(A21549,'Componentes APUs'!$S$1:$V$10,4,0)</f>
        <v>9167</v>
      </c>
      <c r="G21549" s="51">
        <f>ROUNDUP(F21549*((E21549/21)/E21524),0)</f>
        <v>7</v>
      </c>
    </row>
    <row r="21550" spans="1:7" x14ac:dyDescent="0.25">
      <c r="A21550" s="50" t="s">
        <v>58</v>
      </c>
      <c r="B21550" s="220" t="str">
        <f>VLOOKUP(A21550,'Componentes APUs'!$S$1:$V$10,2,0)</f>
        <v>Manila de servicio</v>
      </c>
      <c r="C21550" s="220"/>
      <c r="D21550" s="50" t="s">
        <v>18</v>
      </c>
      <c r="E21550" s="50">
        <v>0</v>
      </c>
      <c r="F21550" s="51">
        <f>VLOOKUP(A21550,'Componentes APUs'!$S$1:$V$10,4,0)</f>
        <v>2333</v>
      </c>
      <c r="G21550" s="51">
        <f>ROUNDUP(F21550*((E21550/21)/E21524),0)</f>
        <v>0</v>
      </c>
    </row>
    <row r="21551" spans="1:7" x14ac:dyDescent="0.25">
      <c r="A21551" s="50" t="s">
        <v>327</v>
      </c>
      <c r="B21551" s="220" t="str">
        <f>VLOOKUP(A21551,'Componentes APUs'!$S$1:$V$10,2,0)</f>
        <v>Tula portaherramientas</v>
      </c>
      <c r="C21551" s="220"/>
      <c r="D21551" s="50" t="s">
        <v>18</v>
      </c>
      <c r="E21551" s="50">
        <v>2</v>
      </c>
      <c r="F21551" s="51">
        <f>VLOOKUP(A21551,'Componentes APUs'!$S$1:$V$10,4,0)</f>
        <v>1250</v>
      </c>
      <c r="G21551" s="51">
        <f>ROUNDUP(F21551*((E21551/21)/E21524),0)</f>
        <v>1</v>
      </c>
    </row>
    <row r="21552" spans="1:7" x14ac:dyDescent="0.25">
      <c r="A21552" s="50" t="s">
        <v>60</v>
      </c>
      <c r="B21552" s="220" t="str">
        <f>VLOOKUP(A21552,'Componentes APUs'!$S$1:$V$10,2,0)</f>
        <v>Agarradoras</v>
      </c>
      <c r="C21552" s="220"/>
      <c r="D21552" s="50" t="s">
        <v>18</v>
      </c>
      <c r="E21552" s="50">
        <v>0</v>
      </c>
      <c r="F21552" s="51">
        <f>VLOOKUP(A21552,'Componentes APUs'!$S$1:$V$10,4,0)</f>
        <v>125000</v>
      </c>
      <c r="G21552" s="51">
        <f>ROUNDUP(F21552*((E21552/21)/E21524),0)</f>
        <v>0</v>
      </c>
    </row>
    <row r="21553" spans="1:7" x14ac:dyDescent="0.25">
      <c r="A21553" s="50" t="s">
        <v>62</v>
      </c>
      <c r="B21553" s="220" t="str">
        <f>VLOOKUP(A21553,'Componentes APUs'!$S$1:$V$10,2,0)</f>
        <v>Templadoras</v>
      </c>
      <c r="C21553" s="220"/>
      <c r="D21553" s="50" t="s">
        <v>18</v>
      </c>
      <c r="E21553" s="50">
        <v>0</v>
      </c>
      <c r="F21553" s="51">
        <f>VLOOKUP(A21553,'Componentes APUs'!$S$1:$V$10,4,0)</f>
        <v>250000</v>
      </c>
      <c r="G21553" s="51">
        <f>ROUNDUP(F21553*((E21553/21)/E21524),0)</f>
        <v>0</v>
      </c>
    </row>
    <row r="21554" spans="1:7" x14ac:dyDescent="0.25">
      <c r="A21554" s="50" t="s">
        <v>328</v>
      </c>
      <c r="B21554" s="220" t="str">
        <f>VLOOKUP(A21554,'Componentes APUs'!$S$1:$V$10,2,0)</f>
        <v>Herramienta Menor</v>
      </c>
      <c r="C21554" s="220"/>
      <c r="D21554" s="50" t="s">
        <v>18</v>
      </c>
      <c r="E21554" s="50">
        <v>2</v>
      </c>
      <c r="F21554" s="51">
        <f>VLOOKUP(A21554,'Componentes APUs'!$S$1:$V$10,4,0)</f>
        <v>75758</v>
      </c>
      <c r="G21554" s="51">
        <f>ROUNDUP(F21554*((E21554/21)/E21524),0)</f>
        <v>54</v>
      </c>
    </row>
    <row r="21555" spans="1:7" x14ac:dyDescent="0.25">
      <c r="A21555" s="219" t="s">
        <v>69</v>
      </c>
      <c r="B21555" s="219"/>
      <c r="C21555" s="219"/>
      <c r="D21555" s="219"/>
      <c r="E21555" s="219"/>
      <c r="F21555" s="219"/>
      <c r="G21555" s="52">
        <f>SUM(G21549:G21554)</f>
        <v>62</v>
      </c>
    </row>
    <row r="21556" spans="1:7" x14ac:dyDescent="0.25">
      <c r="A21556" s="56"/>
      <c r="B21556" s="57"/>
      <c r="C21556" s="57"/>
      <c r="D21556" s="57"/>
      <c r="E21556" s="57"/>
      <c r="F21556" s="57"/>
      <c r="G21556" s="58"/>
    </row>
    <row r="21557" spans="1:7" x14ac:dyDescent="0.25">
      <c r="A21557" s="219" t="s">
        <v>70</v>
      </c>
      <c r="B21557" s="219"/>
      <c r="C21557" s="219"/>
      <c r="D21557" s="219"/>
      <c r="E21557" s="219"/>
      <c r="F21557" s="219"/>
      <c r="G21557" s="219"/>
    </row>
    <row r="21558" spans="1:7" x14ac:dyDescent="0.25">
      <c r="A21558" s="49" t="s">
        <v>35</v>
      </c>
      <c r="B21558" s="219" t="s">
        <v>36</v>
      </c>
      <c r="C21558" s="219"/>
      <c r="D21558" s="49" t="s">
        <v>37</v>
      </c>
      <c r="E21558" s="49" t="s">
        <v>38</v>
      </c>
      <c r="F21558" s="49" t="s">
        <v>39</v>
      </c>
      <c r="G21558" s="49" t="s">
        <v>40</v>
      </c>
    </row>
    <row r="21559" spans="1:7" x14ac:dyDescent="0.25">
      <c r="A21559" s="50" t="s">
        <v>71</v>
      </c>
      <c r="B21559" s="71" t="str">
        <f>VLOOKUP(A21559,'Componentes APUs'!$A$1:$D$14,2,0)</f>
        <v>Camisa indigo sin partes metalicas</v>
      </c>
      <c r="C21559" s="71"/>
      <c r="D21559" s="50" t="str">
        <f>VLOOKUP(A21559,'Componentes APUs'!$A$1:$D$14,3,0)</f>
        <v>U</v>
      </c>
      <c r="E21559" s="50">
        <f>SUM(C21539:C21544)</f>
        <v>2.75</v>
      </c>
      <c r="F21559" s="51">
        <f>VLOOKUP(A21559,'Componentes APUs'!$A$1:$D$14,4,0)</f>
        <v>8585.8585858585866</v>
      </c>
      <c r="G21559" s="51">
        <f>ROUNDUP(F21559*(E21559/21)/E21524,0)</f>
        <v>9</v>
      </c>
    </row>
    <row r="21560" spans="1:7" x14ac:dyDescent="0.25">
      <c r="A21560" s="69" t="s">
        <v>73</v>
      </c>
      <c r="B21560" s="72" t="str">
        <f>VLOOKUP(A21560,'Componentes APUs'!$A$1:$D$14,2,0)</f>
        <v>Bota de seguridad dielectrica</v>
      </c>
      <c r="C21560" s="73"/>
      <c r="D21560" s="70" t="str">
        <f>VLOOKUP(A21560,'Componentes APUs'!$A$1:$D$14,3,0)</f>
        <v>Par</v>
      </c>
      <c r="E21560" s="50">
        <f>SUM(C21539:C21544)</f>
        <v>2.75</v>
      </c>
      <c r="F21560" s="51">
        <f>VLOOKUP(A21560,'Componentes APUs'!$A$1:$D$14,4,0)</f>
        <v>7500</v>
      </c>
      <c r="G21560" s="51">
        <f>ROUNDUP(F21560*(E21560/21)/E21524,0)</f>
        <v>8</v>
      </c>
    </row>
    <row r="21561" spans="1:7" x14ac:dyDescent="0.25">
      <c r="A21561" s="50" t="s">
        <v>76</v>
      </c>
      <c r="B21561" s="72" t="str">
        <f>VLOOKUP(A21561,'Componentes APUs'!$A$1:$D$14,2,0)</f>
        <v>Casco dielectrico Tipo 1 Clase E con barbuquejo</v>
      </c>
      <c r="C21561" s="73"/>
      <c r="D21561" s="50" t="str">
        <f>VLOOKUP(A21561,'Componentes APUs'!$A$1:$D$14,3,0)</f>
        <v>U</v>
      </c>
      <c r="E21561" s="50">
        <f>C21539+C21542+C21543+C21540+C21544+IF(A21541&lt;&gt;"MO-3",C21541,0)</f>
        <v>2.75</v>
      </c>
      <c r="F21561" s="51">
        <f>VLOOKUP(A21561,'Componentes APUs'!$A$1:$D$14,4,0)</f>
        <v>10101.010101010101</v>
      </c>
      <c r="G21561" s="51">
        <f>ROUNDUP(F21561*(E21561/21)/E21524,0)</f>
        <v>10</v>
      </c>
    </row>
    <row r="21562" spans="1:7" x14ac:dyDescent="0.25">
      <c r="A21562" s="69" t="s">
        <v>77</v>
      </c>
      <c r="B21562" s="72" t="str">
        <f>VLOOKUP(A21562,'Componentes APUs'!$A$1:$D$14,2,0)</f>
        <v>Correa plastica y antiflama</v>
      </c>
      <c r="C21562" s="73"/>
      <c r="D21562" s="50" t="str">
        <f>VLOOKUP(A21562,'Componentes APUs'!$A$1:$D$14,3,0)</f>
        <v>U</v>
      </c>
      <c r="E21562" s="50">
        <f>SUM(C21539:C21544)</f>
        <v>2.75</v>
      </c>
      <c r="F21562" s="51">
        <f>VLOOKUP(A21562,'Componentes APUs'!$A$1:$D$14,4,0)</f>
        <v>3787.878787878788</v>
      </c>
      <c r="G21562" s="51">
        <f>ROUNDUP(F21562*(E21562/21)/E21524,0)</f>
        <v>4</v>
      </c>
    </row>
    <row r="21563" spans="1:7" x14ac:dyDescent="0.25">
      <c r="A21563" s="50" t="s">
        <v>79</v>
      </c>
      <c r="B21563" s="72" t="str">
        <f>VLOOKUP(A21563,'Componentes APUs'!$A$1:$D$14,2,0)</f>
        <v>Gafas protectoras filtro UV</v>
      </c>
      <c r="C21563" s="73"/>
      <c r="D21563" s="50" t="str">
        <f>VLOOKUP(A21563,'Componentes APUs'!$A$1:$D$14,3,0)</f>
        <v>U</v>
      </c>
      <c r="E21563" s="50">
        <f>SUM(C21539:C21544)</f>
        <v>2.75</v>
      </c>
      <c r="F21563" s="51">
        <f>VLOOKUP(A21563,'Componentes APUs'!$A$1:$D$14,4,0)</f>
        <v>2777.7777777777778</v>
      </c>
      <c r="G21563" s="51">
        <f>ROUNDUP(F21563*(E21563/21)/E21524,0)</f>
        <v>3</v>
      </c>
    </row>
    <row r="21564" spans="1:7" x14ac:dyDescent="0.25">
      <c r="A21564" s="69" t="s">
        <v>402</v>
      </c>
      <c r="B21564" s="72" t="str">
        <f>VLOOKUP(A21564,'Componentes APUs'!$A$1:$D$14,2,0)</f>
        <v>Bota de seguridad PVC dielectrica</v>
      </c>
      <c r="C21564" s="73"/>
      <c r="D21564" s="50" t="str">
        <f>VLOOKUP(A21564,'Componentes APUs'!$A$1:$D$14,3,0)</f>
        <v>Par</v>
      </c>
      <c r="E21564" s="50">
        <f>SUM(C21539:C21544)</f>
        <v>2.75</v>
      </c>
      <c r="F21564" s="51">
        <f>VLOOKUP(A21564,'Componentes APUs'!$A$1:$D$14,4,0)</f>
        <v>2916.6666666666665</v>
      </c>
      <c r="G21564" s="51">
        <f>ROUNDUP(F21564*(E21564/21)/E21524,0)</f>
        <v>3</v>
      </c>
    </row>
    <row r="21565" spans="1:7" x14ac:dyDescent="0.25">
      <c r="A21565" s="50" t="s">
        <v>403</v>
      </c>
      <c r="B21565" s="72" t="str">
        <f>VLOOKUP(A21565,'Componentes APUs'!$A$1:$D$14,2,0)</f>
        <v>Capuchon</v>
      </c>
      <c r="C21565" s="73"/>
      <c r="D21565" s="50" t="str">
        <f>VLOOKUP(A21565,'Componentes APUs'!$A$1:$D$14,3,0)</f>
        <v>U</v>
      </c>
      <c r="E21565" s="50">
        <f>SUM(C21539:C21544)</f>
        <v>2.75</v>
      </c>
      <c r="F21565" s="51">
        <f>VLOOKUP(A21565,'Componentes APUs'!$A$1:$D$14,4,0)</f>
        <v>2525.2525252525252</v>
      </c>
      <c r="G21565" s="51">
        <f>ROUNDUP(F21565*(E21565/21)/E21524,0)</f>
        <v>3</v>
      </c>
    </row>
    <row r="21566" spans="1:7" x14ac:dyDescent="0.25">
      <c r="A21566" s="69" t="s">
        <v>81</v>
      </c>
      <c r="B21566" s="72" t="str">
        <f>VLOOKUP(A21566,'Componentes APUs'!$A$1:$D$14,2,0)</f>
        <v>Guantes Protectores  - ingeniero reforzados</v>
      </c>
      <c r="C21566" s="73"/>
      <c r="D21566" s="50" t="str">
        <f>VLOOKUP(A21566,'Componentes APUs'!$A$1:$D$14,3,0)</f>
        <v>Par</v>
      </c>
      <c r="E21566" s="50">
        <f>C21541+C21542+C21544</f>
        <v>2</v>
      </c>
      <c r="F21566" s="51">
        <f>VLOOKUP(A21566,'Componentes APUs'!$A$1:$D$14,4,0)</f>
        <v>2525.2525252525252</v>
      </c>
      <c r="G21566" s="51">
        <f>ROUNDUP(F21566*(E21566/21)/E21524,0)</f>
        <v>2</v>
      </c>
    </row>
    <row r="21567" spans="1:7" x14ac:dyDescent="0.25">
      <c r="A21567" s="50" t="s">
        <v>83</v>
      </c>
      <c r="B21567" s="72" t="str">
        <f>VLOOKUP(A21567,'Componentes APUs'!$A$1:$D$14,2,0)</f>
        <v>Impermeable (pantalon camisa)</v>
      </c>
      <c r="C21567" s="73"/>
      <c r="D21567" s="50" t="str">
        <f>VLOOKUP(A21567,'Componentes APUs'!$A$1:$D$14,3,0)</f>
        <v>U</v>
      </c>
      <c r="E21567" s="50">
        <f>SUM(C21539:C21544)</f>
        <v>2.75</v>
      </c>
      <c r="F21567" s="51">
        <f>VLOOKUP(A21567,'Componentes APUs'!$A$1:$D$14,4,0)</f>
        <v>3750</v>
      </c>
      <c r="G21567" s="51">
        <f>ROUNDUP(F21567*(E21567/21)/E21524,0)</f>
        <v>4</v>
      </c>
    </row>
    <row r="21568" spans="1:7" x14ac:dyDescent="0.25">
      <c r="A21568" s="69" t="s">
        <v>85</v>
      </c>
      <c r="B21568" s="72" t="str">
        <f>VLOOKUP(A21568,'Componentes APUs'!$A$1:$D$14,2,0)</f>
        <v>Jean Dielectrico</v>
      </c>
      <c r="C21568" s="73"/>
      <c r="D21568" s="50" t="str">
        <f>VLOOKUP(A21568,'Componentes APUs'!$A$1:$D$14,3,0)</f>
        <v>U</v>
      </c>
      <c r="E21568" s="50">
        <f>SUM(C21539:C21544)</f>
        <v>2.75</v>
      </c>
      <c r="F21568" s="51">
        <f>VLOOKUP(A21568,'Componentes APUs'!$A$1:$D$14,4,0)</f>
        <v>7575.757575757576</v>
      </c>
      <c r="G21568" s="51">
        <f>ROUNDUP(F21568*(E21568/21)/E21524,0)</f>
        <v>8</v>
      </c>
    </row>
    <row r="21569" spans="1:7" x14ac:dyDescent="0.25">
      <c r="A21569" s="50" t="s">
        <v>87</v>
      </c>
      <c r="B21569" s="72" t="str">
        <f>VLOOKUP(A21569,'Componentes APUs'!$A$1:$D$14,2,0)</f>
        <v>Casco dielectrico Tipo 2 Clase E con barboquejo</v>
      </c>
      <c r="C21569" s="73"/>
      <c r="D21569" s="50" t="str">
        <f>VLOOKUP(A21569,'Componentes APUs'!$A$1:$D$14,3,0)</f>
        <v>U</v>
      </c>
      <c r="E21569" s="53">
        <f>IF(A21541="MO-3",C21541,0)</f>
        <v>0</v>
      </c>
      <c r="F21569" s="51">
        <f>VLOOKUP(A21569,'Componentes APUs'!$A$1:$D$14,4,0)</f>
        <v>7500</v>
      </c>
      <c r="G21569" s="51">
        <f>ROUNDUP(F21569*(E21569/21)/E21524,0)</f>
        <v>0</v>
      </c>
    </row>
    <row r="21570" spans="1:7" x14ac:dyDescent="0.25">
      <c r="A21570" s="69" t="s">
        <v>89</v>
      </c>
      <c r="B21570" s="72" t="str">
        <f>VLOOKUP(A21570,'Componentes APUs'!$A$1:$D$14,2,0)</f>
        <v>Kit de rescate para trabajo en alturas</v>
      </c>
      <c r="C21570" s="73"/>
      <c r="D21570" s="50" t="str">
        <f>VLOOKUP(A21570,'Componentes APUs'!$A$1:$D$14,3,0)</f>
        <v>U</v>
      </c>
      <c r="E21570" s="50">
        <f>IF(AND(A21541="MO-3",C21541=2),1,0)</f>
        <v>0</v>
      </c>
      <c r="F21570" s="51">
        <f>VLOOKUP(A21570,'Componentes APUs'!$A$1:$D$14,4,0)</f>
        <v>37500</v>
      </c>
      <c r="G21570" s="51">
        <f>ROUNDUP(F21570*(E21570/21)/E21524,0)</f>
        <v>0</v>
      </c>
    </row>
    <row r="21571" spans="1:7" x14ac:dyDescent="0.25">
      <c r="A21571" s="50" t="s">
        <v>91</v>
      </c>
      <c r="B21571" s="72" t="str">
        <f>VLOOKUP(A21571,'Componentes APUs'!$A$1:$D$14,2,0)</f>
        <v>Equipo completo para trabajo en alturas con pretales (Arnes dielectrico, 1 mosqueton de seguridad, tie off dielectrico, eslinga de posicionamiento, juego de pretales)</v>
      </c>
      <c r="C21571" s="73"/>
      <c r="D21571" s="50" t="str">
        <f>VLOOKUP(A21571,'Componentes APUs'!$A$1:$D$14,3,0)</f>
        <v>U</v>
      </c>
      <c r="E21571" s="50">
        <f>IF(A21541="MO-3",C21541,0)</f>
        <v>0</v>
      </c>
      <c r="F21571" s="51">
        <f>VLOOKUP(A21571,'Componentes APUs'!$A$1:$D$14,4,0)</f>
        <v>26041.666666666668</v>
      </c>
      <c r="G21571" s="51">
        <f>ROUNDUP(F21571*(E21571/21)/E21524,0)</f>
        <v>0</v>
      </c>
    </row>
    <row r="21572" spans="1:7" x14ac:dyDescent="0.25">
      <c r="A21572" s="219" t="s">
        <v>95</v>
      </c>
      <c r="B21572" s="219"/>
      <c r="C21572" s="219"/>
      <c r="D21572" s="219"/>
      <c r="E21572" s="219"/>
      <c r="F21572" s="219"/>
      <c r="G21572" s="52">
        <f>SUM(G21559:G21571)</f>
        <v>54</v>
      </c>
    </row>
    <row r="21573" spans="1:7" x14ac:dyDescent="0.25">
      <c r="A21573" s="56"/>
      <c r="B21573" s="57"/>
      <c r="C21573" s="57"/>
      <c r="D21573" s="57"/>
      <c r="E21573" s="57"/>
      <c r="F21573" s="57"/>
      <c r="G21573" s="58"/>
    </row>
    <row r="21574" spans="1:7" x14ac:dyDescent="0.25">
      <c r="A21574" s="219" t="s">
        <v>96</v>
      </c>
      <c r="B21574" s="219"/>
      <c r="C21574" s="219"/>
      <c r="D21574" s="219"/>
      <c r="E21574" s="219"/>
      <c r="F21574" s="219"/>
      <c r="G21574" s="219"/>
    </row>
    <row r="21575" spans="1:7" x14ac:dyDescent="0.25">
      <c r="A21575" s="49" t="s">
        <v>35</v>
      </c>
      <c r="B21575" s="225" t="s">
        <v>36</v>
      </c>
      <c r="C21575" s="225"/>
      <c r="D21575" s="49" t="s">
        <v>37</v>
      </c>
      <c r="E21575" s="49" t="s">
        <v>38</v>
      </c>
      <c r="F21575" s="49" t="s">
        <v>39</v>
      </c>
      <c r="G21575" s="49" t="s">
        <v>40</v>
      </c>
    </row>
    <row r="21576" spans="1:7" x14ac:dyDescent="0.25">
      <c r="A21576" s="69" t="s">
        <v>97</v>
      </c>
      <c r="B21576" s="72" t="str">
        <f>VLOOKUP(A21576,'Componentes APUs'!$N$1:$Q$30,2,0)</f>
        <v>Camioneta</v>
      </c>
      <c r="C21576" s="73"/>
      <c r="D21576" s="70" t="str">
        <f>VLOOKUP(A21576,'Componentes APUs'!$N$1:$Q$30,3,0)</f>
        <v>U</v>
      </c>
      <c r="E21576" s="50">
        <v>1</v>
      </c>
      <c r="F21576" s="51">
        <f>VLOOKUP(A21576,'Componentes APUs'!$N$1:$Q$30,4,0)</f>
        <v>5500000</v>
      </c>
      <c r="G21576" s="51">
        <f>IFERROR(ROUNDUP(F21576*(E21576/21)/E21524,0),"-")</f>
        <v>1955</v>
      </c>
    </row>
    <row r="21577" spans="1:7" x14ac:dyDescent="0.25">
      <c r="A21577" s="50" t="s">
        <v>321</v>
      </c>
      <c r="B21577" s="72" t="str">
        <f>VLOOKUP(A21577,'Componentes APUs'!$N$1:$Q$30,2,0)</f>
        <v>Grúa Hidráulica</v>
      </c>
      <c r="C21577" s="73"/>
      <c r="D21577" s="70" t="str">
        <f>VLOOKUP(A21577,'Componentes APUs'!$N$1:$Q$30,3,0)</f>
        <v>U</v>
      </c>
      <c r="E21577" s="50">
        <v>0</v>
      </c>
      <c r="F21577" s="51">
        <f>VLOOKUP(A21577,'Componentes APUs'!$N$1:$Q$30,4,0)</f>
        <v>21000000</v>
      </c>
      <c r="G21577" s="51">
        <f>IFERROR(ROUNDUP(F21577*(E21577/21)/E21524,0),"-")</f>
        <v>0</v>
      </c>
    </row>
    <row r="21578" spans="1:7" x14ac:dyDescent="0.25">
      <c r="A21578" s="69" t="s">
        <v>322</v>
      </c>
      <c r="B21578" s="72" t="str">
        <f>VLOOKUP(A21578,'Componentes APUs'!$N$1:$Q$30,2,0)</f>
        <v>Camabaja</v>
      </c>
      <c r="C21578" s="73"/>
      <c r="D21578" s="70" t="str">
        <f>VLOOKUP(A21578,'Componentes APUs'!$N$1:$Q$30,3,0)</f>
        <v>TON/KM</v>
      </c>
      <c r="E21578" s="50">
        <v>0</v>
      </c>
      <c r="F21578" s="51">
        <f>VLOOKUP(A21578,'Componentes APUs'!$N$1:$Q$30,4,0)</f>
        <v>611</v>
      </c>
      <c r="G21578" s="51">
        <f>IFERROR(ROUNDUP(F21578*(E21578/21)/E21524,0),"-")</f>
        <v>0</v>
      </c>
    </row>
    <row r="21579" spans="1:7" x14ac:dyDescent="0.25">
      <c r="A21579" s="50" t="s">
        <v>323</v>
      </c>
      <c r="B21579" s="72" t="str">
        <f>VLOOKUP(A21579,'Componentes APUs'!$N$1:$Q$30,2,0)</f>
        <v>Volqueta</v>
      </c>
      <c r="C21579" s="73"/>
      <c r="D21579" s="70" t="str">
        <f>VLOOKUP(A21579,'Componentes APUs'!$N$1:$Q$30,3,0)</f>
        <v>U</v>
      </c>
      <c r="E21579" s="50">
        <v>0</v>
      </c>
      <c r="F21579" s="51">
        <f>VLOOKUP(A21579,'Componentes APUs'!$N$1:$Q$30,4,0)</f>
        <v>14828184</v>
      </c>
      <c r="G21579" s="51">
        <f>IFERROR(ROUNDUP(F21579*(E21579/21)/E21524,0),"-")</f>
        <v>0</v>
      </c>
    </row>
    <row r="21580" spans="1:7" x14ac:dyDescent="0.25">
      <c r="A21580" s="69" t="s">
        <v>324</v>
      </c>
      <c r="B21580" s="72" t="str">
        <f>VLOOKUP(A21580,'Componentes APUs'!$N$1:$Q$30,2,0)</f>
        <v>Retroexcavadora</v>
      </c>
      <c r="C21580" s="73"/>
      <c r="D21580" s="70" t="str">
        <f>VLOOKUP(A21580,'Componentes APUs'!$N$1:$Q$30,3,0)</f>
        <v>U</v>
      </c>
      <c r="E21580" s="50">
        <v>0</v>
      </c>
      <c r="F21580" s="51">
        <f>VLOOKUP(A21580,'Componentes APUs'!$N$1:$Q$30,4,0)</f>
        <v>46030656</v>
      </c>
      <c r="G21580" s="51">
        <f>IFERROR(ROUNDUP(F21580*(E21580/21)/E21524,0),"-")</f>
        <v>0</v>
      </c>
    </row>
    <row r="21581" spans="1:7" x14ac:dyDescent="0.25">
      <c r="A21581" s="219" t="s">
        <v>99</v>
      </c>
      <c r="B21581" s="219"/>
      <c r="C21581" s="219"/>
      <c r="D21581" s="219"/>
      <c r="E21581" s="219"/>
      <c r="F21581" s="219"/>
      <c r="G21581" s="52">
        <f>SUM(G21576:G21580)</f>
        <v>1955</v>
      </c>
    </row>
    <row r="21582" spans="1:7" x14ac:dyDescent="0.25">
      <c r="A21582" s="56"/>
      <c r="B21582" s="57"/>
      <c r="C21582" s="57"/>
      <c r="D21582" s="57"/>
      <c r="E21582" s="57"/>
      <c r="F21582" s="57"/>
      <c r="G21582" s="58"/>
    </row>
    <row r="21583" spans="1:7" x14ac:dyDescent="0.25">
      <c r="A21583" s="219" t="s">
        <v>1516</v>
      </c>
      <c r="B21583" s="219"/>
      <c r="C21583" s="219"/>
      <c r="D21583" s="219"/>
      <c r="E21583" s="219"/>
      <c r="F21583" s="219"/>
      <c r="G21583" s="52">
        <f>G21581+G21572+G21555+G21545+G21535</f>
        <v>22625</v>
      </c>
    </row>
    <row r="21584" spans="1:7" x14ac:dyDescent="0.25">
      <c r="A21584" s="59"/>
      <c r="B21584" s="60"/>
      <c r="C21584" s="60"/>
      <c r="D21584" s="60"/>
      <c r="E21584" s="57"/>
      <c r="F21584" s="57"/>
      <c r="G21584" s="58"/>
    </row>
    <row r="21585" spans="1:7" x14ac:dyDescent="0.25">
      <c r="A21585" s="64"/>
      <c r="D21585" s="55"/>
      <c r="E21585" s="49" t="s">
        <v>25</v>
      </c>
      <c r="F21585" s="54">
        <v>0.15</v>
      </c>
      <c r="G21585" s="51">
        <f>G21583*F21585</f>
        <v>3393.75</v>
      </c>
    </row>
    <row r="21586" spans="1:7" x14ac:dyDescent="0.25">
      <c r="A21586" s="64"/>
      <c r="D21586" s="55"/>
      <c r="E21586" s="49" t="s">
        <v>26</v>
      </c>
      <c r="F21586" s="54">
        <v>0.05</v>
      </c>
      <c r="G21586" s="51">
        <f>G21583*F21586</f>
        <v>1131.25</v>
      </c>
    </row>
    <row r="21587" spans="1:7" x14ac:dyDescent="0.25">
      <c r="A21587" s="61"/>
      <c r="B21587" s="65"/>
      <c r="C21587" s="65"/>
      <c r="D21587" s="62"/>
      <c r="E21587" s="49" t="s">
        <v>27</v>
      </c>
      <c r="F21587" s="54">
        <v>0.05</v>
      </c>
      <c r="G21587" s="51">
        <f>G21583*F21587</f>
        <v>1131.25</v>
      </c>
    </row>
    <row r="21588" spans="1:7" x14ac:dyDescent="0.25">
      <c r="A21588" s="61"/>
      <c r="B21588" s="62"/>
      <c r="C21588" s="62"/>
      <c r="D21588" s="62"/>
      <c r="E21588" s="62"/>
      <c r="F21588" s="62"/>
      <c r="G21588" s="63"/>
    </row>
    <row r="21589" spans="1:7" x14ac:dyDescent="0.25">
      <c r="A21589" s="219" t="s">
        <v>1517</v>
      </c>
      <c r="B21589" s="219"/>
      <c r="C21589" s="219"/>
      <c r="D21589" s="219"/>
      <c r="E21589" s="219"/>
      <c r="F21589" s="219"/>
      <c r="G21589" s="52">
        <f>G21583+G21585+G21586+G21587</f>
        <v>28281.25</v>
      </c>
    </row>
    <row r="21590" spans="1:7" x14ac:dyDescent="0.25">
      <c r="A21590" s="59"/>
      <c r="B21590" s="60"/>
      <c r="C21590" s="60"/>
      <c r="D21590" s="60"/>
      <c r="E21590" s="57"/>
      <c r="F21590" s="57"/>
      <c r="G21590" s="58"/>
    </row>
    <row r="21591" spans="1:7" x14ac:dyDescent="0.25">
      <c r="A21591" s="64"/>
      <c r="D21591" s="55"/>
      <c r="E21591" s="49" t="s">
        <v>102</v>
      </c>
      <c r="F21591" s="49" t="s">
        <v>103</v>
      </c>
      <c r="G21591" s="51">
        <f>G21587*19%</f>
        <v>214.9375</v>
      </c>
    </row>
    <row r="21592" spans="1:7" x14ac:dyDescent="0.25">
      <c r="A21592" s="61"/>
      <c r="B21592" s="62"/>
      <c r="C21592" s="62"/>
      <c r="D21592" s="62"/>
      <c r="E21592" s="57"/>
      <c r="F21592" s="57"/>
      <c r="G21592" s="58"/>
    </row>
    <row r="21593" spans="1:7" x14ac:dyDescent="0.25">
      <c r="A21593" s="219" t="s">
        <v>104</v>
      </c>
      <c r="B21593" s="219"/>
      <c r="C21593" s="219"/>
      <c r="D21593" s="219"/>
      <c r="E21593" s="219"/>
      <c r="F21593" s="219"/>
      <c r="G21593" s="52">
        <f>G21591+G21589</f>
        <v>28496.1875</v>
      </c>
    </row>
    <row r="21595" spans="1:7" x14ac:dyDescent="0.25">
      <c r="A21595" s="74" t="s">
        <v>29</v>
      </c>
      <c r="B21595" s="226" t="s">
        <v>30</v>
      </c>
      <c r="C21595" s="226"/>
      <c r="D21595" s="74" t="s">
        <v>31</v>
      </c>
      <c r="E21595" s="74" t="s">
        <v>32</v>
      </c>
      <c r="F21595" s="74" t="s">
        <v>189</v>
      </c>
      <c r="G21595" s="74" t="s">
        <v>33</v>
      </c>
    </row>
    <row r="21596" spans="1:7" ht="50.25" customHeight="1" x14ac:dyDescent="0.25">
      <c r="A21596" s="50" t="str">
        <f>Presupuesto!B411</f>
        <v>074_AUX</v>
      </c>
      <c r="B21596" s="220" t="str">
        <f>Presupuesto!C411</f>
        <v xml:space="preserve">SUMINISTRO E INSTALACIÓN DE CIRCUITO ALIMENTADOR PARA ILUMINACIÓN, TOMAS Y CALEFACCIÓN DE CONTROLES DE PATIO EN TUBERÍA PVC 1" Y CABLE  10 AWG Cu- TC-THHN - 600 V. (RECONECTADORES  Y SECCIONADORES) </v>
      </c>
      <c r="C21596" s="220"/>
      <c r="D21596" s="50" t="s">
        <v>108</v>
      </c>
      <c r="E21596" s="50">
        <v>110</v>
      </c>
      <c r="F21596" s="50"/>
      <c r="G21596" s="51">
        <f>G21663</f>
        <v>52558.934999999998</v>
      </c>
    </row>
    <row r="21597" spans="1:7" x14ac:dyDescent="0.25">
      <c r="A21597" s="219"/>
      <c r="B21597" s="219"/>
      <c r="C21597" s="219"/>
      <c r="D21597" s="219"/>
      <c r="E21597" s="219"/>
      <c r="F21597" s="219"/>
      <c r="G21597" s="219"/>
    </row>
    <row r="21598" spans="1:7" x14ac:dyDescent="0.25">
      <c r="A21598" s="49" t="s">
        <v>35</v>
      </c>
      <c r="B21598" s="219" t="s">
        <v>36</v>
      </c>
      <c r="C21598" s="219"/>
      <c r="D21598" s="49" t="s">
        <v>37</v>
      </c>
      <c r="E21598" s="49" t="s">
        <v>38</v>
      </c>
      <c r="F21598" s="49" t="s">
        <v>39</v>
      </c>
      <c r="G21598" s="49" t="s">
        <v>40</v>
      </c>
    </row>
    <row r="21599" spans="1:7" x14ac:dyDescent="0.25">
      <c r="A21599" s="17" t="str">
        <f>Material!A215</f>
        <v>MA-214</v>
      </c>
      <c r="B21599" s="72" t="str">
        <f>IFERROR(VLOOKUP(A21599,Material!$A:$J,2,0),"-")</f>
        <v>CABLE 10 AWG Cu- TC-THHN/THWN - 600 V</v>
      </c>
      <c r="C21599" s="73"/>
      <c r="D21599" s="50" t="str">
        <f>IFERROR(VLOOKUP(A21599,Material!$A:$J,4,0),"-")</f>
        <v>ML</v>
      </c>
      <c r="E21599" s="50">
        <v>3</v>
      </c>
      <c r="F21599" s="51">
        <f>IFERROR(VLOOKUP(A21599,Material!$A:$J,3,0),"-")</f>
        <v>5070</v>
      </c>
      <c r="G21599" s="51">
        <f t="shared" ref="G21599:G21604" si="324">IFERROR(ROUNDUP(F21599*E21599,0),"-")</f>
        <v>15210</v>
      </c>
    </row>
    <row r="21600" spans="1:7" x14ac:dyDescent="0.25">
      <c r="A21600" s="17" t="str">
        <f>Material!A216</f>
        <v>MA-215</v>
      </c>
      <c r="B21600" s="72" t="str">
        <f>IFERROR(VLOOKUP(A21600,Material!$A:$J,2,0),"-")</f>
        <v>TUBO PVC 1"</v>
      </c>
      <c r="C21600" s="76"/>
      <c r="D21600" s="50" t="str">
        <f>IFERROR(VLOOKUP(A21600,Material!$A:$J,4,0),"-")</f>
        <v>ML</v>
      </c>
      <c r="E21600" s="50">
        <v>2</v>
      </c>
      <c r="F21600" s="51">
        <f>IFERROR(VLOOKUP(A21600,Material!$A:$J,3,0),"-")</f>
        <v>3055</v>
      </c>
      <c r="G21600" s="51">
        <f t="shared" si="324"/>
        <v>6110</v>
      </c>
    </row>
    <row r="21601" spans="1:7" x14ac:dyDescent="0.25">
      <c r="A21601" s="17" t="str">
        <f>Material!A217</f>
        <v>MA-216</v>
      </c>
      <c r="B21601" s="72" t="str">
        <f>IFERROR(VLOOKUP(A21601,Material!$A:$J,2,0),"-")</f>
        <v>UNIÓN PVC 1"</v>
      </c>
      <c r="C21601" s="76"/>
      <c r="D21601" s="50" t="str">
        <f>IFERROR(VLOOKUP(A21601,Material!$A:$J,4,0),"-")</f>
        <v>UN</v>
      </c>
      <c r="E21601" s="50">
        <v>1</v>
      </c>
      <c r="F21601" s="51">
        <f>IFERROR(VLOOKUP(A21601,Material!$A:$J,3,0),"-")</f>
        <v>786.5</v>
      </c>
      <c r="G21601" s="51">
        <f t="shared" si="324"/>
        <v>787</v>
      </c>
    </row>
    <row r="21602" spans="1:7" x14ac:dyDescent="0.25">
      <c r="A21602" s="17" t="str">
        <f>Material!A133</f>
        <v>MA-132</v>
      </c>
      <c r="B21602" s="72" t="str">
        <f>IFERROR(VLOOKUP(A21602,Material!$A:$J,2,0),"-")</f>
        <v>BOQUILLA PVC 1/2"</v>
      </c>
      <c r="C21602" s="76"/>
      <c r="D21602" s="50" t="str">
        <f>IFERROR(VLOOKUP(A21602,Material!$A:$J,4,0),"-")</f>
        <v>UN</v>
      </c>
      <c r="E21602" s="50">
        <v>1</v>
      </c>
      <c r="F21602" s="51">
        <f>IFERROR(VLOOKUP(A21602,Material!$A:$J,3,0),"-")</f>
        <v>8502</v>
      </c>
      <c r="G21602" s="51">
        <f t="shared" si="324"/>
        <v>8502</v>
      </c>
    </row>
    <row r="21603" spans="1:7" x14ac:dyDescent="0.25">
      <c r="A21603" s="17" t="str">
        <f>Material!A201</f>
        <v>MA-200</v>
      </c>
      <c r="B21603" s="72" t="str">
        <f>IFERROR(VLOOKUP(A21603,Material!$A:$J,2,0),"-")</f>
        <v>SOLDADURA PVC 1/4 GL</v>
      </c>
      <c r="C21603" s="76"/>
      <c r="D21603" s="50" t="str">
        <f>IFERROR(VLOOKUP(A21603,Material!$A:$J,4,0),"-")</f>
        <v>GALÓN</v>
      </c>
      <c r="E21603" s="50">
        <f>1/60</f>
        <v>1.6666666666666666E-2</v>
      </c>
      <c r="F21603" s="51">
        <f>IFERROR(VLOOKUP(A21603,Material!$A:$J,3,0),"-")</f>
        <v>88270</v>
      </c>
      <c r="G21603" s="51">
        <f t="shared" si="324"/>
        <v>1472</v>
      </c>
    </row>
    <row r="21604" spans="1:7" x14ac:dyDescent="0.25">
      <c r="A21604" s="17" t="str">
        <f>Material!A253</f>
        <v>MA-252</v>
      </c>
      <c r="B21604" s="72" t="str">
        <f>IFERROR(VLOOKUP(A21604,Material!$A:$J,2,0),"-")</f>
        <v>LIMPIADOR DE TUBERÍA PVC 1/4 GL</v>
      </c>
      <c r="C21604" s="76"/>
      <c r="D21604" s="50" t="str">
        <f>IFERROR(VLOOKUP(A21604,Material!$A:$J,4,0),"-")</f>
        <v>GALÓN</v>
      </c>
      <c r="E21604" s="50">
        <f>1/60</f>
        <v>1.6666666666666666E-2</v>
      </c>
      <c r="F21604" s="51">
        <f>IFERROR(VLOOKUP(A21604,Material!$A:$J,3,0),"-")</f>
        <v>60970</v>
      </c>
      <c r="G21604" s="51">
        <f t="shared" si="324"/>
        <v>1017</v>
      </c>
    </row>
    <row r="21605" spans="1:7" x14ac:dyDescent="0.25">
      <c r="A21605" s="219" t="s">
        <v>41</v>
      </c>
      <c r="B21605" s="219"/>
      <c r="C21605" s="219"/>
      <c r="D21605" s="219"/>
      <c r="E21605" s="219"/>
      <c r="F21605" s="219"/>
      <c r="G21605" s="52">
        <f>SUM(G21599:G21604)</f>
        <v>33098</v>
      </c>
    </row>
    <row r="21606" spans="1:7" x14ac:dyDescent="0.25">
      <c r="A21606" s="56"/>
      <c r="B21606" s="57"/>
      <c r="C21606" s="57"/>
      <c r="D21606" s="57"/>
      <c r="E21606" s="57"/>
      <c r="F21606" s="57"/>
      <c r="G21606" s="58"/>
    </row>
    <row r="21607" spans="1:7" x14ac:dyDescent="0.25">
      <c r="A21607" s="219" t="s">
        <v>42</v>
      </c>
      <c r="B21607" s="219"/>
      <c r="C21607" s="219"/>
      <c r="D21607" s="219"/>
      <c r="E21607" s="219"/>
      <c r="F21607" s="219"/>
      <c r="G21607" s="219"/>
    </row>
    <row r="21608" spans="1:7" x14ac:dyDescent="0.25">
      <c r="A21608" s="49" t="s">
        <v>35</v>
      </c>
      <c r="B21608" s="49" t="s">
        <v>36</v>
      </c>
      <c r="C21608" s="49" t="s">
        <v>38</v>
      </c>
      <c r="D21608" s="49" t="s">
        <v>43</v>
      </c>
      <c r="E21608" s="49" t="s">
        <v>44</v>
      </c>
      <c r="F21608" s="49" t="s">
        <v>45</v>
      </c>
      <c r="G21608" s="49" t="s">
        <v>40</v>
      </c>
    </row>
    <row r="21609" spans="1:7" x14ac:dyDescent="0.25">
      <c r="A21609" s="50" t="s">
        <v>319</v>
      </c>
      <c r="B21609" s="68" t="str">
        <f>VLOOKUP(A21609,'[1]Componentes APUs'!$H$1:$L$25,2,0)</f>
        <v>Ingeniero Residente de Obra</v>
      </c>
      <c r="C21609" s="93">
        <v>0.25</v>
      </c>
      <c r="D21609" s="50">
        <f>VLOOKUP(A21609,'[1]Componentes APUs'!$H$1:$L$25,3,0)</f>
        <v>4</v>
      </c>
      <c r="E21609" s="51">
        <f>VLOOKUP(A21609,'[1]Componentes APUs'!$H$1:$L$25,4,0)</f>
        <v>271142.85714285716</v>
      </c>
      <c r="F21609" s="51">
        <f>VLOOKUP(A21609,'[1]Componentes APUs'!$H$1:$L$25,5,0)</f>
        <v>162685.71428571429</v>
      </c>
      <c r="G21609" s="51">
        <f>ROUNDUP((E21609+F21609)*C21609/E21596,0)</f>
        <v>986</v>
      </c>
    </row>
    <row r="21610" spans="1:7" x14ac:dyDescent="0.25">
      <c r="A21610" s="50" t="s">
        <v>320</v>
      </c>
      <c r="B21610" s="68" t="str">
        <f>VLOOKUP(A21610,'[1]Componentes APUs'!$H$1:$L$25,2,0)</f>
        <v>Tecnico Supervisor</v>
      </c>
      <c r="C21610" s="93">
        <v>0.25</v>
      </c>
      <c r="D21610" s="50">
        <f>VLOOKUP(A21610,'[1]Componentes APUs'!$H$1:$L$25,3,0)</f>
        <v>2.2999999999999998</v>
      </c>
      <c r="E21610" s="51">
        <f>VLOOKUP(A21610,'[1]Componentes APUs'!$H$1:$L$25,4,0)</f>
        <v>155907.14285714284</v>
      </c>
      <c r="F21610" s="51">
        <f>VLOOKUP(A21610,'[1]Componentes APUs'!$H$1:$L$25,5,0)</f>
        <v>93544.285714285696</v>
      </c>
      <c r="G21610" s="51">
        <f>ROUNDUP((E21610+F21610)*C21610/E21596,0)</f>
        <v>567</v>
      </c>
    </row>
    <row r="21611" spans="1:7" x14ac:dyDescent="0.25">
      <c r="A21611" s="50" t="s">
        <v>1160</v>
      </c>
      <c r="B21611" s="68" t="str">
        <f>VLOOKUP(A21611,'[1]Componentes APUs'!$H$1:$L$25,2,0)</f>
        <v>Oficial Eléctrico</v>
      </c>
      <c r="C21611" s="93">
        <v>1</v>
      </c>
      <c r="D21611" s="50">
        <f>VLOOKUP(A21611,'[1]Componentes APUs'!$H$1:$L$25,3,0)</f>
        <v>2</v>
      </c>
      <c r="E21611" s="51">
        <f>VLOOKUP(A21611,'[1]Componentes APUs'!$H$1:$L$25,4,0)</f>
        <v>154619.04761904763</v>
      </c>
      <c r="F21611" s="51">
        <f>VLOOKUP(A21611,'[1]Componentes APUs'!$H$1:$L$25,5,0)</f>
        <v>92771.42857142858</v>
      </c>
      <c r="G21611" s="51">
        <f>ROUNDUP((E21611+F21611)*C21611/E21596,0)</f>
        <v>2250</v>
      </c>
    </row>
    <row r="21612" spans="1:7" x14ac:dyDescent="0.25">
      <c r="A21612" s="50" t="s">
        <v>48</v>
      </c>
      <c r="B21612" s="68" t="str">
        <f>VLOOKUP(A21612,'[1]Componentes APUs'!$H$1:$L$25,2,0)</f>
        <v>Ayudante Calificado</v>
      </c>
      <c r="C21612" s="93">
        <v>1</v>
      </c>
      <c r="D21612" s="50">
        <f>VLOOKUP(A21612,'[1]Componentes APUs'!$H$1:$L$25,3,0)</f>
        <v>1.5</v>
      </c>
      <c r="E21612" s="51">
        <f>VLOOKUP(A21612,'[1]Componentes APUs'!$H$1:$L$25,4,0)</f>
        <v>115964.28571428571</v>
      </c>
      <c r="F21612" s="51">
        <f>VLOOKUP(A21612,'[1]Componentes APUs'!$H$1:$L$25,5,0)</f>
        <v>69578.57142857142</v>
      </c>
      <c r="G21612" s="51">
        <f>ROUNDUP((E21612+F21612)*C21612/E21596,0)</f>
        <v>1687</v>
      </c>
    </row>
    <row r="21613" spans="1:7" x14ac:dyDescent="0.25">
      <c r="A21613" s="50" t="s">
        <v>50</v>
      </c>
      <c r="B21613" s="68" t="str">
        <f>VLOOKUP(A21613,'[1]Componentes APUs'!$H$1:$L$25,2,0)</f>
        <v>Profesional en SST</v>
      </c>
      <c r="C21613" s="93">
        <v>0.25</v>
      </c>
      <c r="D21613" s="50">
        <f>VLOOKUP(A21613,'[1]Componentes APUs'!$H$1:$L$25,3,0)</f>
        <v>2.5</v>
      </c>
      <c r="E21613" s="51">
        <f>VLOOKUP(A21613,'[1]Componentes APUs'!$H$1:$L$25,4,0)</f>
        <v>169464.28571428571</v>
      </c>
      <c r="F21613" s="51">
        <f>VLOOKUP(A21613,'[1]Componentes APUs'!$H$1:$L$25,5,0)</f>
        <v>101678.57142857142</v>
      </c>
      <c r="G21613" s="51">
        <f>ROUNDUP((E21613+F21613)*C21613/E21596,0)</f>
        <v>617</v>
      </c>
    </row>
    <row r="21614" spans="1:7" x14ac:dyDescent="0.25">
      <c r="A21614" s="50" t="s">
        <v>52</v>
      </c>
      <c r="B21614" s="68" t="str">
        <f>VLOOKUP(A21614,'[1]Componentes APUs'!$H$1:$L$25,2,0)</f>
        <v>Ayudante No Calificado</v>
      </c>
      <c r="C21614" s="93">
        <v>0</v>
      </c>
      <c r="D21614" s="50">
        <f>VLOOKUP(A21614,'[1]Componentes APUs'!$H$1:$L$25,3,0)</f>
        <v>1</v>
      </c>
      <c r="E21614" s="51">
        <f>VLOOKUP(A21614,'[1]Componentes APUs'!$H$1:$L$25,4,0)</f>
        <v>77309.523809523816</v>
      </c>
      <c r="F21614" s="51">
        <f>VLOOKUP(A21614,'[1]Componentes APUs'!$H$1:$L$25,5,0)</f>
        <v>46385.71428571429</v>
      </c>
      <c r="G21614" s="51">
        <f>ROUNDUP((E21614+F21614)*C21614/E21596,0)</f>
        <v>0</v>
      </c>
    </row>
    <row r="21615" spans="1:7" x14ac:dyDescent="0.25">
      <c r="A21615" s="219" t="s">
        <v>56</v>
      </c>
      <c r="B21615" s="219"/>
      <c r="C21615" s="219"/>
      <c r="D21615" s="219"/>
      <c r="E21615" s="219"/>
      <c r="F21615" s="219"/>
      <c r="G21615" s="52">
        <f>SUM(G21609:G21614)</f>
        <v>6107</v>
      </c>
    </row>
    <row r="21616" spans="1:7" x14ac:dyDescent="0.25">
      <c r="A21616" s="56"/>
      <c r="B21616" s="57"/>
      <c r="C21616" s="57"/>
      <c r="D21616" s="57"/>
      <c r="E21616" s="57"/>
      <c r="F21616" s="57"/>
      <c r="G21616" s="58"/>
    </row>
    <row r="21617" spans="1:7" x14ac:dyDescent="0.25">
      <c r="A21617" s="219" t="s">
        <v>57</v>
      </c>
      <c r="B21617" s="219"/>
      <c r="C21617" s="219"/>
      <c r="D21617" s="219"/>
      <c r="E21617" s="219"/>
      <c r="F21617" s="219"/>
      <c r="G21617" s="219"/>
    </row>
    <row r="21618" spans="1:7" x14ac:dyDescent="0.25">
      <c r="A21618" s="49" t="s">
        <v>35</v>
      </c>
      <c r="B21618" s="219" t="s">
        <v>36</v>
      </c>
      <c r="C21618" s="219"/>
      <c r="D21618" s="49" t="s">
        <v>37</v>
      </c>
      <c r="E21618" s="49" t="s">
        <v>38</v>
      </c>
      <c r="F21618" s="49" t="s">
        <v>39</v>
      </c>
      <c r="G21618" s="49" t="s">
        <v>40</v>
      </c>
    </row>
    <row r="21619" spans="1:7" x14ac:dyDescent="0.25">
      <c r="A21619" s="50" t="s">
        <v>326</v>
      </c>
      <c r="B21619" s="220" t="str">
        <f>VLOOKUP(A21619,'[1]Componentes APUs'!$S$1:$V$10,2,0)</f>
        <v>Juego Llaves</v>
      </c>
      <c r="C21619" s="220"/>
      <c r="D21619" s="50" t="s">
        <v>18</v>
      </c>
      <c r="E21619" s="50">
        <v>2</v>
      </c>
      <c r="F21619" s="51">
        <f>VLOOKUP(A21619,'[1]Componentes APUs'!$S$1:$V$10,4,0)</f>
        <v>9167</v>
      </c>
      <c r="G21619" s="51">
        <f>ROUNDUP(F21619*((E21619/21)/E21596),0)</f>
        <v>8</v>
      </c>
    </row>
    <row r="21620" spans="1:7" x14ac:dyDescent="0.25">
      <c r="A21620" s="50" t="s">
        <v>58</v>
      </c>
      <c r="B21620" s="220" t="str">
        <f>VLOOKUP(A21620,'[1]Componentes APUs'!$S$1:$V$10,2,0)</f>
        <v>Manila de servicio</v>
      </c>
      <c r="C21620" s="220"/>
      <c r="D21620" s="50" t="s">
        <v>18</v>
      </c>
      <c r="E21620" s="50">
        <v>0</v>
      </c>
      <c r="F21620" s="51">
        <f>VLOOKUP(A21620,'[1]Componentes APUs'!$S$1:$V$10,4,0)</f>
        <v>2333</v>
      </c>
      <c r="G21620" s="51">
        <f>ROUNDUP(F21620*((E21620/21)/E21596),0)</f>
        <v>0</v>
      </c>
    </row>
    <row r="21621" spans="1:7" x14ac:dyDescent="0.25">
      <c r="A21621" s="50" t="s">
        <v>327</v>
      </c>
      <c r="B21621" s="220" t="str">
        <f>VLOOKUP(A21621,'[1]Componentes APUs'!$S$1:$V$10,2,0)</f>
        <v>Tula portaherramientas</v>
      </c>
      <c r="C21621" s="220"/>
      <c r="D21621" s="50" t="s">
        <v>18</v>
      </c>
      <c r="E21621" s="50">
        <v>2</v>
      </c>
      <c r="F21621" s="51">
        <f>VLOOKUP(A21621,'[1]Componentes APUs'!$S$1:$V$10,4,0)</f>
        <v>1250</v>
      </c>
      <c r="G21621" s="51">
        <f>ROUNDUP(F21621*((E21621/21)/E21596),0)</f>
        <v>2</v>
      </c>
    </row>
    <row r="21622" spans="1:7" x14ac:dyDescent="0.25">
      <c r="A21622" s="50" t="s">
        <v>60</v>
      </c>
      <c r="B21622" s="220" t="str">
        <f>VLOOKUP(A21622,'[1]Componentes APUs'!$S$1:$V$10,2,0)</f>
        <v>Agarradoras</v>
      </c>
      <c r="C21622" s="220"/>
      <c r="D21622" s="50" t="s">
        <v>18</v>
      </c>
      <c r="E21622" s="50">
        <v>0</v>
      </c>
      <c r="F21622" s="51">
        <f>VLOOKUP(A21622,'[1]Componentes APUs'!$S$1:$V$10,4,0)</f>
        <v>125000</v>
      </c>
      <c r="G21622" s="51">
        <f>ROUNDUP(F21622*((E21622/21)/E21596),0)</f>
        <v>0</v>
      </c>
    </row>
    <row r="21623" spans="1:7" x14ac:dyDescent="0.25">
      <c r="A21623" s="50" t="s">
        <v>62</v>
      </c>
      <c r="B21623" s="220" t="str">
        <f>VLOOKUP(A21623,'[1]Componentes APUs'!$S$1:$V$10,2,0)</f>
        <v>Templadoras</v>
      </c>
      <c r="C21623" s="220"/>
      <c r="D21623" s="50" t="s">
        <v>18</v>
      </c>
      <c r="E21623" s="50">
        <v>0</v>
      </c>
      <c r="F21623" s="51">
        <f>VLOOKUP(A21623,'[1]Componentes APUs'!$S$1:$V$10,4,0)</f>
        <v>250000</v>
      </c>
      <c r="G21623" s="51">
        <f>ROUNDUP(F21623*((E21623/21)/E21596),0)</f>
        <v>0</v>
      </c>
    </row>
    <row r="21624" spans="1:7" x14ac:dyDescent="0.25">
      <c r="A21624" s="50" t="s">
        <v>328</v>
      </c>
      <c r="B21624" s="220" t="str">
        <f>VLOOKUP(A21624,'[1]Componentes APUs'!$S$1:$V$10,2,0)</f>
        <v>Herramienta Menor</v>
      </c>
      <c r="C21624" s="220"/>
      <c r="D21624" s="50" t="s">
        <v>18</v>
      </c>
      <c r="E21624" s="50">
        <v>2</v>
      </c>
      <c r="F21624" s="51">
        <f>VLOOKUP(A21624,'[1]Componentes APUs'!$S$1:$V$10,4,0)</f>
        <v>75758</v>
      </c>
      <c r="G21624" s="51">
        <f>ROUNDUP(F21624*((E21624/21)/E21596),0)</f>
        <v>66</v>
      </c>
    </row>
    <row r="21625" spans="1:7" x14ac:dyDescent="0.25">
      <c r="A21625" s="219" t="s">
        <v>69</v>
      </c>
      <c r="B21625" s="219"/>
      <c r="C21625" s="219"/>
      <c r="D21625" s="219"/>
      <c r="E21625" s="219"/>
      <c r="F21625" s="219"/>
      <c r="G21625" s="52">
        <f>SUM(G21619:G21624)</f>
        <v>76</v>
      </c>
    </row>
    <row r="21626" spans="1:7" x14ac:dyDescent="0.25">
      <c r="A21626" s="56"/>
      <c r="B21626" s="57"/>
      <c r="C21626" s="57"/>
      <c r="D21626" s="57"/>
      <c r="E21626" s="57"/>
      <c r="F21626" s="57"/>
      <c r="G21626" s="58"/>
    </row>
    <row r="21627" spans="1:7" x14ac:dyDescent="0.25">
      <c r="A21627" s="219" t="s">
        <v>70</v>
      </c>
      <c r="B21627" s="219"/>
      <c r="C21627" s="219"/>
      <c r="D21627" s="219"/>
      <c r="E21627" s="219"/>
      <c r="F21627" s="219"/>
      <c r="G21627" s="219"/>
    </row>
    <row r="21628" spans="1:7" x14ac:dyDescent="0.25">
      <c r="A21628" s="49" t="s">
        <v>35</v>
      </c>
      <c r="B21628" s="219" t="s">
        <v>36</v>
      </c>
      <c r="C21628" s="219"/>
      <c r="D21628" s="49" t="s">
        <v>37</v>
      </c>
      <c r="E21628" s="49" t="s">
        <v>38</v>
      </c>
      <c r="F21628" s="49" t="s">
        <v>39</v>
      </c>
      <c r="G21628" s="49" t="s">
        <v>40</v>
      </c>
    </row>
    <row r="21629" spans="1:7" x14ac:dyDescent="0.25">
      <c r="A21629" s="50" t="s">
        <v>71</v>
      </c>
      <c r="B21629" s="71" t="str">
        <f>VLOOKUP(A21629,'[1]Componentes APUs'!$A$1:$D$14,2,0)</f>
        <v>Camisa indigo sin partes metalicas</v>
      </c>
      <c r="C21629" s="71"/>
      <c r="D21629" s="50" t="str">
        <f>VLOOKUP(A21629,'[1]Componentes APUs'!$A$1:$D$14,3,0)</f>
        <v>U</v>
      </c>
      <c r="E21629" s="50">
        <f>SUM(C21609:C21614)</f>
        <v>2.75</v>
      </c>
      <c r="F21629" s="51">
        <f>VLOOKUP(A21629,'[1]Componentes APUs'!$A$1:$D$14,4,0)</f>
        <v>8585.8585858585866</v>
      </c>
      <c r="G21629" s="51">
        <f>ROUNDUP(F21629*(E21629/21)/E21596,0)</f>
        <v>11</v>
      </c>
    </row>
    <row r="21630" spans="1:7" x14ac:dyDescent="0.25">
      <c r="A21630" s="69" t="s">
        <v>73</v>
      </c>
      <c r="B21630" s="72" t="str">
        <f>VLOOKUP(A21630,'[1]Componentes APUs'!$A$1:$D$14,2,0)</f>
        <v>Bota de seguridad dielectrica</v>
      </c>
      <c r="C21630" s="73"/>
      <c r="D21630" s="70" t="str">
        <f>VLOOKUP(A21630,'[1]Componentes APUs'!$A$1:$D$14,3,0)</f>
        <v>Par</v>
      </c>
      <c r="E21630" s="50">
        <f>SUM(C21609:C21614)</f>
        <v>2.75</v>
      </c>
      <c r="F21630" s="51">
        <f>VLOOKUP(A21630,'[1]Componentes APUs'!$A$1:$D$14,4,0)</f>
        <v>7500</v>
      </c>
      <c r="G21630" s="51">
        <f>ROUNDUP(F21630*(E21630/21)/E21596,0)</f>
        <v>9</v>
      </c>
    </row>
    <row r="21631" spans="1:7" x14ac:dyDescent="0.25">
      <c r="A21631" s="50" t="s">
        <v>76</v>
      </c>
      <c r="B21631" s="72" t="str">
        <f>VLOOKUP(A21631,'[1]Componentes APUs'!$A$1:$D$14,2,0)</f>
        <v>Casco dielectrico Tipo 1 Clase E con barbuquejo</v>
      </c>
      <c r="C21631" s="73"/>
      <c r="D21631" s="50" t="str">
        <f>VLOOKUP(A21631,'[1]Componentes APUs'!$A$1:$D$14,3,0)</f>
        <v>U</v>
      </c>
      <c r="E21631" s="50">
        <f>C21609+C21610+C21613+C21614+C21612+IF(A21611&lt;&gt;"MO-3",C21611,0)</f>
        <v>2.75</v>
      </c>
      <c r="F21631" s="51">
        <f>VLOOKUP(A21631,'[1]Componentes APUs'!$A$1:$D$14,4,0)</f>
        <v>10101.010101010101</v>
      </c>
      <c r="G21631" s="51">
        <f>ROUNDUP(F21631*(E21631/21)/E21596,0)</f>
        <v>13</v>
      </c>
    </row>
    <row r="21632" spans="1:7" x14ac:dyDescent="0.25">
      <c r="A21632" s="69" t="s">
        <v>77</v>
      </c>
      <c r="B21632" s="72" t="str">
        <f>VLOOKUP(A21632,'[1]Componentes APUs'!$A$1:$D$14,2,0)</f>
        <v>Correa plastica y antiflama</v>
      </c>
      <c r="C21632" s="73"/>
      <c r="D21632" s="50" t="str">
        <f>VLOOKUP(A21632,'[1]Componentes APUs'!$A$1:$D$14,3,0)</f>
        <v>U</v>
      </c>
      <c r="E21632" s="50">
        <f>SUM(C21609:C21614)</f>
        <v>2.75</v>
      </c>
      <c r="F21632" s="51">
        <f>VLOOKUP(A21632,'[1]Componentes APUs'!$A$1:$D$14,4,0)</f>
        <v>3787.878787878788</v>
      </c>
      <c r="G21632" s="51">
        <f>ROUNDUP(F21632*(E21632/21)/E21596,0)</f>
        <v>5</v>
      </c>
    </row>
    <row r="21633" spans="1:7" x14ac:dyDescent="0.25">
      <c r="A21633" s="50" t="s">
        <v>79</v>
      </c>
      <c r="B21633" s="72" t="str">
        <f>VLOOKUP(A21633,'[1]Componentes APUs'!$A$1:$D$14,2,0)</f>
        <v>Gafas protectoras filtro UV</v>
      </c>
      <c r="C21633" s="73"/>
      <c r="D21633" s="50" t="str">
        <f>VLOOKUP(A21633,'[1]Componentes APUs'!$A$1:$D$14,3,0)</f>
        <v>U</v>
      </c>
      <c r="E21633" s="50">
        <f>SUM(C21609:C21614)</f>
        <v>2.75</v>
      </c>
      <c r="F21633" s="51">
        <f>VLOOKUP(A21633,'[1]Componentes APUs'!$A$1:$D$14,4,0)</f>
        <v>2777.7777777777778</v>
      </c>
      <c r="G21633" s="51">
        <f>ROUNDUP(F21633*(E21633/21)/E21596,0)</f>
        <v>4</v>
      </c>
    </row>
    <row r="21634" spans="1:7" x14ac:dyDescent="0.25">
      <c r="A21634" s="69" t="s">
        <v>402</v>
      </c>
      <c r="B21634" s="72" t="str">
        <f>VLOOKUP(A21634,'[1]Componentes APUs'!$A$1:$D$14,2,0)</f>
        <v>Bota de seguridad PVC dielectrica</v>
      </c>
      <c r="C21634" s="73"/>
      <c r="D21634" s="50" t="str">
        <f>VLOOKUP(A21634,'[1]Componentes APUs'!$A$1:$D$14,3,0)</f>
        <v>Par</v>
      </c>
      <c r="E21634" s="50">
        <f>SUM(C21609:C21614)</f>
        <v>2.75</v>
      </c>
      <c r="F21634" s="51">
        <f>VLOOKUP(A21634,'[1]Componentes APUs'!$A$1:$D$14,4,0)</f>
        <v>2916.6666666666665</v>
      </c>
      <c r="G21634" s="51">
        <f>ROUNDUP(F21634*(E21634/21)/E21596,0)</f>
        <v>4</v>
      </c>
    </row>
    <row r="21635" spans="1:7" x14ac:dyDescent="0.25">
      <c r="A21635" s="50" t="s">
        <v>403</v>
      </c>
      <c r="B21635" s="72" t="str">
        <f>VLOOKUP(A21635,'[1]Componentes APUs'!$A$1:$D$14,2,0)</f>
        <v>Capuchon</v>
      </c>
      <c r="C21635" s="73"/>
      <c r="D21635" s="50" t="str">
        <f>VLOOKUP(A21635,'[1]Componentes APUs'!$A$1:$D$14,3,0)</f>
        <v>U</v>
      </c>
      <c r="E21635" s="50">
        <f>SUM(C21609:C21614)</f>
        <v>2.75</v>
      </c>
      <c r="F21635" s="51">
        <f>VLOOKUP(A21635,'[1]Componentes APUs'!$A$1:$D$14,4,0)</f>
        <v>2525.2525252525252</v>
      </c>
      <c r="G21635" s="51">
        <f>ROUNDUP(F21635*(E21635/21)/E21596,0)</f>
        <v>4</v>
      </c>
    </row>
    <row r="21636" spans="1:7" x14ac:dyDescent="0.25">
      <c r="A21636" s="69" t="s">
        <v>81</v>
      </c>
      <c r="B21636" s="72" t="str">
        <f>VLOOKUP(A21636,'[1]Componentes APUs'!$A$1:$D$14,2,0)</f>
        <v>Guantes Protectores  - ingeniero reforzados</v>
      </c>
      <c r="C21636" s="73"/>
      <c r="D21636" s="50" t="str">
        <f>VLOOKUP(A21636,'[1]Componentes APUs'!$A$1:$D$14,3,0)</f>
        <v>Par</v>
      </c>
      <c r="E21636" s="50">
        <f>C21611+C21612+C21614</f>
        <v>2</v>
      </c>
      <c r="F21636" s="51">
        <f>VLOOKUP(A21636,'[1]Componentes APUs'!$A$1:$D$14,4,0)</f>
        <v>2525.2525252525252</v>
      </c>
      <c r="G21636" s="51">
        <f>ROUNDUP(F21636*(E21636/21)/E21596,0)</f>
        <v>3</v>
      </c>
    </row>
    <row r="21637" spans="1:7" x14ac:dyDescent="0.25">
      <c r="A21637" s="50" t="s">
        <v>83</v>
      </c>
      <c r="B21637" s="72" t="str">
        <f>VLOOKUP(A21637,'[1]Componentes APUs'!$A$1:$D$14,2,0)</f>
        <v>Impermeable (pantalon camisa)</v>
      </c>
      <c r="C21637" s="73"/>
      <c r="D21637" s="50" t="str">
        <f>VLOOKUP(A21637,'[1]Componentes APUs'!$A$1:$D$14,3,0)</f>
        <v>U</v>
      </c>
      <c r="E21637" s="50">
        <f>SUM(C21609:C21614)</f>
        <v>2.75</v>
      </c>
      <c r="F21637" s="51">
        <f>VLOOKUP(A21637,'[1]Componentes APUs'!$A$1:$D$14,4,0)</f>
        <v>3750</v>
      </c>
      <c r="G21637" s="51">
        <f>ROUNDUP(F21637*(E21637/21)/E21596,0)</f>
        <v>5</v>
      </c>
    </row>
    <row r="21638" spans="1:7" x14ac:dyDescent="0.25">
      <c r="A21638" s="69" t="s">
        <v>85</v>
      </c>
      <c r="B21638" s="72" t="str">
        <f>VLOOKUP(A21638,'[1]Componentes APUs'!$A$1:$D$14,2,0)</f>
        <v>Jean Dielectrico</v>
      </c>
      <c r="C21638" s="73"/>
      <c r="D21638" s="50" t="str">
        <f>VLOOKUP(A21638,'[1]Componentes APUs'!$A$1:$D$14,3,0)</f>
        <v>U</v>
      </c>
      <c r="E21638" s="50">
        <f>SUM(C21609:C21614)</f>
        <v>2.75</v>
      </c>
      <c r="F21638" s="51">
        <f>VLOOKUP(A21638,'[1]Componentes APUs'!$A$1:$D$14,4,0)</f>
        <v>7575.757575757576</v>
      </c>
      <c r="G21638" s="51">
        <f>ROUNDUP(F21638*(E21638/21)/E21596,0)</f>
        <v>10</v>
      </c>
    </row>
    <row r="21639" spans="1:7" x14ac:dyDescent="0.25">
      <c r="A21639" s="50" t="s">
        <v>87</v>
      </c>
      <c r="B21639" s="72" t="str">
        <f>VLOOKUP(A21639,'[1]Componentes APUs'!$A$1:$D$14,2,0)</f>
        <v>Casco dielectrico Tipo 2 Clase E con barboquejo</v>
      </c>
      <c r="C21639" s="73"/>
      <c r="D21639" s="50" t="str">
        <f>VLOOKUP(A21639,'[1]Componentes APUs'!$A$1:$D$14,3,0)</f>
        <v>U</v>
      </c>
      <c r="E21639" s="53">
        <f>IF(A21611="MO-3",C21611,0)</f>
        <v>0</v>
      </c>
      <c r="F21639" s="51">
        <f>VLOOKUP(A21639,'[1]Componentes APUs'!$A$1:$D$14,4,0)</f>
        <v>7500</v>
      </c>
      <c r="G21639" s="51">
        <f>ROUNDUP(F21639*(E21639/21)/E21596,0)</f>
        <v>0</v>
      </c>
    </row>
    <row r="21640" spans="1:7" x14ac:dyDescent="0.25">
      <c r="A21640" s="69" t="s">
        <v>89</v>
      </c>
      <c r="B21640" s="72" t="str">
        <f>VLOOKUP(A21640,'[1]Componentes APUs'!$A$1:$D$14,2,0)</f>
        <v>Kit de rescate para trabajo en alturas</v>
      </c>
      <c r="C21640" s="73"/>
      <c r="D21640" s="50" t="str">
        <f>VLOOKUP(A21640,'[1]Componentes APUs'!$A$1:$D$14,3,0)</f>
        <v>U</v>
      </c>
      <c r="E21640" s="50">
        <f>IF(AND(A21611="MO-3",C21611=2),1,0)</f>
        <v>0</v>
      </c>
      <c r="F21640" s="51">
        <f>VLOOKUP(A21640,'[1]Componentes APUs'!$A$1:$D$14,4,0)</f>
        <v>37500</v>
      </c>
      <c r="G21640" s="51">
        <f>ROUNDUP(F21640*(E21640/21)/E21596,0)</f>
        <v>0</v>
      </c>
    </row>
    <row r="21641" spans="1:7" x14ac:dyDescent="0.25">
      <c r="A21641" s="50" t="s">
        <v>91</v>
      </c>
      <c r="B21641" s="72" t="str">
        <f>VLOOKUP(A21641,'[1]Componentes APUs'!$A$1:$D$14,2,0)</f>
        <v>Equipo completo para trabajo en alturas con pretales (Arnes dielectrico, 1 mosqueton de seguridad, tie off dielectrico, eslinga de posicionamiento, juego de pretales)</v>
      </c>
      <c r="C21641" s="73"/>
      <c r="D21641" s="50" t="str">
        <f>VLOOKUP(A21641,'[1]Componentes APUs'!$A$1:$D$14,3,0)</f>
        <v>U</v>
      </c>
      <c r="E21641" s="50" t="b">
        <f>IF(A21611="MO-3",C21611)</f>
        <v>0</v>
      </c>
      <c r="F21641" s="51">
        <f>VLOOKUP(A21641,'[1]Componentes APUs'!$A$1:$D$14,4,0)</f>
        <v>26041.666666666668</v>
      </c>
      <c r="G21641" s="51">
        <f>ROUNDUP(F21641*(E21641/21)/E21596,0)</f>
        <v>0</v>
      </c>
    </row>
    <row r="21642" spans="1:7" x14ac:dyDescent="0.25">
      <c r="A21642" s="219" t="s">
        <v>95</v>
      </c>
      <c r="B21642" s="219"/>
      <c r="C21642" s="219"/>
      <c r="D21642" s="219"/>
      <c r="E21642" s="219"/>
      <c r="F21642" s="219"/>
      <c r="G21642" s="52">
        <f>SUM(G21629:G21641)</f>
        <v>68</v>
      </c>
    </row>
    <row r="21643" spans="1:7" x14ac:dyDescent="0.25">
      <c r="A21643" s="56"/>
      <c r="B21643" s="57"/>
      <c r="C21643" s="57"/>
      <c r="D21643" s="57"/>
      <c r="E21643" s="57"/>
      <c r="F21643" s="57"/>
      <c r="G21643" s="58"/>
    </row>
    <row r="21644" spans="1:7" x14ac:dyDescent="0.25">
      <c r="A21644" s="219" t="s">
        <v>96</v>
      </c>
      <c r="B21644" s="219"/>
      <c r="C21644" s="219"/>
      <c r="D21644" s="219"/>
      <c r="E21644" s="219"/>
      <c r="F21644" s="219"/>
      <c r="G21644" s="219"/>
    </row>
    <row r="21645" spans="1:7" x14ac:dyDescent="0.25">
      <c r="A21645" s="49" t="s">
        <v>35</v>
      </c>
      <c r="B21645" s="225" t="s">
        <v>36</v>
      </c>
      <c r="C21645" s="225"/>
      <c r="D21645" s="49" t="s">
        <v>37</v>
      </c>
      <c r="E21645" s="49" t="s">
        <v>38</v>
      </c>
      <c r="F21645" s="49" t="s">
        <v>39</v>
      </c>
      <c r="G21645" s="49" t="s">
        <v>40</v>
      </c>
    </row>
    <row r="21646" spans="1:7" x14ac:dyDescent="0.25">
      <c r="A21646" s="69" t="s">
        <v>97</v>
      </c>
      <c r="B21646" s="72" t="str">
        <f>VLOOKUP(A21646,'[1]Componentes APUs'!$N$1:$Q$30,2,0)</f>
        <v>Camioneta</v>
      </c>
      <c r="C21646" s="73"/>
      <c r="D21646" s="70" t="str">
        <f>VLOOKUP(A21646,'[1]Componentes APUs'!$N$1:$Q$30,3,0)</f>
        <v>U</v>
      </c>
      <c r="E21646" s="50">
        <v>1</v>
      </c>
      <c r="F21646" s="51">
        <f>VLOOKUP(A21646,'[1]Componentes APUs'!$N$1:$Q$30,4,0)</f>
        <v>5500000</v>
      </c>
      <c r="G21646" s="51">
        <f>IFERROR(ROUNDUP(F21646*(E21646/21)/E21596,0),0)</f>
        <v>2381</v>
      </c>
    </row>
    <row r="21647" spans="1:7" x14ac:dyDescent="0.25">
      <c r="A21647" s="50" t="s">
        <v>321</v>
      </c>
      <c r="B21647" s="72" t="str">
        <f>VLOOKUP(A21647,'[1]Componentes APUs'!$N$1:$Q$30,2,0)</f>
        <v>Grúa Hidráulica</v>
      </c>
      <c r="C21647" s="73"/>
      <c r="D21647" s="70" t="str">
        <f>VLOOKUP(A21647,'[1]Componentes APUs'!$N$1:$Q$30,3,0)</f>
        <v>U</v>
      </c>
      <c r="E21647" s="50">
        <v>0</v>
      </c>
      <c r="F21647" s="51">
        <f>VLOOKUP(A21647,'[1]Componentes APUs'!$N$1:$Q$30,4,0)</f>
        <v>21000000</v>
      </c>
      <c r="G21647" s="51">
        <f>IFERROR(ROUNDUP(F21647*(E21647/21)/E21596,0),0)</f>
        <v>0</v>
      </c>
    </row>
    <row r="21648" spans="1:7" x14ac:dyDescent="0.25">
      <c r="A21648" s="69" t="s">
        <v>322</v>
      </c>
      <c r="B21648" s="72" t="str">
        <f>VLOOKUP(A21648,'[1]Componentes APUs'!$N$1:$Q$30,2,0)</f>
        <v>Camabaja</v>
      </c>
      <c r="C21648" s="73"/>
      <c r="D21648" s="70" t="str">
        <f>VLOOKUP(A21648,'[1]Componentes APUs'!$N$1:$Q$30,3,0)</f>
        <v>TON/KM</v>
      </c>
      <c r="E21648" s="50">
        <v>0</v>
      </c>
      <c r="F21648" s="51">
        <f>VLOOKUP(A21648,'[1]Componentes APUs'!$N$1:$Q$30,4,0)</f>
        <v>611</v>
      </c>
      <c r="G21648" s="51">
        <f>IFERROR(ROUNDUP(F21648*(E21648/21)/E21596,0),0)</f>
        <v>0</v>
      </c>
    </row>
    <row r="21649" spans="1:7" x14ac:dyDescent="0.25">
      <c r="A21649" s="50" t="s">
        <v>323</v>
      </c>
      <c r="B21649" s="72" t="str">
        <f>VLOOKUP(A21649,'[1]Componentes APUs'!$N$1:$Q$30,2,0)</f>
        <v>Volqueta</v>
      </c>
      <c r="C21649" s="73"/>
      <c r="D21649" s="70" t="str">
        <f>VLOOKUP(A21649,'[1]Componentes APUs'!$N$1:$Q$30,3,0)</f>
        <v>U</v>
      </c>
      <c r="E21649" s="50">
        <v>0</v>
      </c>
      <c r="F21649" s="51">
        <f>VLOOKUP(A21649,'[1]Componentes APUs'!$N$1:$Q$30,4,0)</f>
        <v>18900000</v>
      </c>
      <c r="G21649" s="51">
        <f>IFERROR(ROUNDUP(F21649*(E21649/21)/E21596,0),0)</f>
        <v>0</v>
      </c>
    </row>
    <row r="21650" spans="1:7" x14ac:dyDescent="0.25">
      <c r="A21650" s="69" t="s">
        <v>324</v>
      </c>
      <c r="B21650" s="72" t="str">
        <f>VLOOKUP(A21650,'[1]Componentes APUs'!$N$1:$Q$30,2,0)</f>
        <v>Retroexcavadora</v>
      </c>
      <c r="C21650" s="73"/>
      <c r="D21650" s="70" t="str">
        <f>VLOOKUP(A21650,'[1]Componentes APUs'!$N$1:$Q$30,3,0)</f>
        <v>U</v>
      </c>
      <c r="E21650" s="50">
        <v>0</v>
      </c>
      <c r="F21650" s="51">
        <f>VLOOKUP(A21650,'[1]Componentes APUs'!$N$1:$Q$30,4,0)</f>
        <v>1494459.54</v>
      </c>
      <c r="G21650" s="51">
        <f>IFERROR(ROUNDUP(F21650*(E21650/21)/E21596,0),0)</f>
        <v>0</v>
      </c>
    </row>
    <row r="21651" spans="1:7" x14ac:dyDescent="0.25">
      <c r="A21651" s="219" t="s">
        <v>99</v>
      </c>
      <c r="B21651" s="219"/>
      <c r="C21651" s="219"/>
      <c r="D21651" s="219"/>
      <c r="E21651" s="219"/>
      <c r="F21651" s="219"/>
      <c r="G21651" s="52">
        <f>SUM(G21646:G21650)</f>
        <v>2381</v>
      </c>
    </row>
    <row r="21652" spans="1:7" x14ac:dyDescent="0.25">
      <c r="A21652" s="56"/>
      <c r="B21652" s="57"/>
      <c r="C21652" s="57"/>
      <c r="D21652" s="57"/>
      <c r="E21652" s="57"/>
      <c r="F21652" s="57"/>
      <c r="G21652" s="58"/>
    </row>
    <row r="21653" spans="1:7" x14ac:dyDescent="0.25">
      <c r="A21653" s="219" t="s">
        <v>1516</v>
      </c>
      <c r="B21653" s="219"/>
      <c r="C21653" s="219"/>
      <c r="D21653" s="219"/>
      <c r="E21653" s="219"/>
      <c r="F21653" s="219"/>
      <c r="G21653" s="52">
        <f>G21651+G21642+G21625+G21615+G21605</f>
        <v>41730</v>
      </c>
    </row>
    <row r="21654" spans="1:7" x14ac:dyDescent="0.25">
      <c r="A21654" s="59"/>
      <c r="B21654" s="60"/>
      <c r="C21654" s="60"/>
      <c r="D21654" s="60"/>
      <c r="E21654" s="57"/>
      <c r="F21654" s="57"/>
      <c r="G21654" s="58"/>
    </row>
    <row r="21655" spans="1:7" x14ac:dyDescent="0.25">
      <c r="A21655" s="64"/>
      <c r="D21655" s="55"/>
      <c r="E21655" s="49" t="s">
        <v>25</v>
      </c>
      <c r="F21655" s="54">
        <v>0.15</v>
      </c>
      <c r="G21655" s="51">
        <f>G21653*F21655</f>
        <v>6259.5</v>
      </c>
    </row>
    <row r="21656" spans="1:7" x14ac:dyDescent="0.25">
      <c r="A21656" s="64"/>
      <c r="D21656" s="55"/>
      <c r="E21656" s="49" t="s">
        <v>26</v>
      </c>
      <c r="F21656" s="54">
        <v>0.05</v>
      </c>
      <c r="G21656" s="51">
        <f>G21653*F21656</f>
        <v>2086.5</v>
      </c>
    </row>
    <row r="21657" spans="1:7" x14ac:dyDescent="0.25">
      <c r="A21657" s="61"/>
      <c r="B21657" s="65"/>
      <c r="C21657" s="65"/>
      <c r="D21657" s="62"/>
      <c r="E21657" s="49" t="s">
        <v>27</v>
      </c>
      <c r="F21657" s="54">
        <v>0.05</v>
      </c>
      <c r="G21657" s="51">
        <f>G21653*F21657</f>
        <v>2086.5</v>
      </c>
    </row>
    <row r="21658" spans="1:7" x14ac:dyDescent="0.25">
      <c r="A21658" s="61"/>
      <c r="B21658" s="62"/>
      <c r="C21658" s="62"/>
      <c r="D21658" s="62"/>
      <c r="E21658" s="62"/>
      <c r="F21658" s="62"/>
      <c r="G21658" s="63"/>
    </row>
    <row r="21659" spans="1:7" x14ac:dyDescent="0.25">
      <c r="A21659" s="219" t="s">
        <v>1517</v>
      </c>
      <c r="B21659" s="219"/>
      <c r="C21659" s="219"/>
      <c r="D21659" s="219"/>
      <c r="E21659" s="219"/>
      <c r="F21659" s="219"/>
      <c r="G21659" s="52">
        <f>G21653+G21655+G21656+G21657</f>
        <v>52162.5</v>
      </c>
    </row>
    <row r="21660" spans="1:7" x14ac:dyDescent="0.25">
      <c r="A21660" s="59"/>
      <c r="B21660" s="60"/>
      <c r="C21660" s="60"/>
      <c r="D21660" s="60"/>
      <c r="E21660" s="57"/>
      <c r="F21660" s="57"/>
      <c r="G21660" s="58"/>
    </row>
    <row r="21661" spans="1:7" x14ac:dyDescent="0.25">
      <c r="A21661" s="64"/>
      <c r="D21661" s="55"/>
      <c r="E21661" s="49" t="s">
        <v>102</v>
      </c>
      <c r="F21661" s="49" t="s">
        <v>103</v>
      </c>
      <c r="G21661" s="51">
        <f>G21657*19%</f>
        <v>396.435</v>
      </c>
    </row>
    <row r="21662" spans="1:7" x14ac:dyDescent="0.25">
      <c r="A21662" s="61"/>
      <c r="B21662" s="62"/>
      <c r="C21662" s="62"/>
      <c r="D21662" s="62"/>
      <c r="E21662" s="57"/>
      <c r="F21662" s="57"/>
      <c r="G21662" s="58"/>
    </row>
    <row r="21663" spans="1:7" x14ac:dyDescent="0.25">
      <c r="A21663" s="219" t="s">
        <v>104</v>
      </c>
      <c r="B21663" s="219"/>
      <c r="C21663" s="219"/>
      <c r="D21663" s="219"/>
      <c r="E21663" s="219"/>
      <c r="F21663" s="219"/>
      <c r="G21663" s="52">
        <f>G21661+G21659</f>
        <v>52558.934999999998</v>
      </c>
    </row>
    <row r="21665" spans="1:7" x14ac:dyDescent="0.25">
      <c r="A21665" s="74" t="s">
        <v>29</v>
      </c>
      <c r="B21665" s="226" t="s">
        <v>30</v>
      </c>
      <c r="C21665" s="226"/>
      <c r="D21665" s="74" t="s">
        <v>31</v>
      </c>
      <c r="E21665" s="74" t="s">
        <v>32</v>
      </c>
      <c r="F21665" s="74" t="s">
        <v>189</v>
      </c>
      <c r="G21665" s="74" t="s">
        <v>33</v>
      </c>
    </row>
    <row r="21666" spans="1:7" ht="48.75" customHeight="1" x14ac:dyDescent="0.25">
      <c r="A21666" s="50" t="str">
        <f>Presupuesto!B412</f>
        <v>075_AUX</v>
      </c>
      <c r="B21666" s="220" t="str">
        <f>Presupuesto!C412</f>
        <v>SALIDA (TOMA MONOFÁSICA, ILUMINACIÓN Y CALEFACCIÓN), CAJA RAWELT EN TUBERÍA IMC DE 1/2" Y CORAZA. EN CABLE 3 X 10 AWG CU- TC-THHN - 600 V LONGITUD DE 2 METROS.</v>
      </c>
      <c r="C21666" s="220"/>
      <c r="D21666" s="50" t="s">
        <v>8</v>
      </c>
      <c r="E21666" s="50">
        <v>10</v>
      </c>
      <c r="F21666" s="50"/>
      <c r="G21666" s="51">
        <f>G21735</f>
        <v>259749.204</v>
      </c>
    </row>
    <row r="21667" spans="1:7" x14ac:dyDescent="0.25">
      <c r="A21667" s="219"/>
      <c r="B21667" s="219"/>
      <c r="C21667" s="219"/>
      <c r="D21667" s="219"/>
      <c r="E21667" s="219"/>
      <c r="F21667" s="219"/>
      <c r="G21667" s="219"/>
    </row>
    <row r="21668" spans="1:7" x14ac:dyDescent="0.25">
      <c r="A21668" s="49" t="s">
        <v>35</v>
      </c>
      <c r="B21668" s="219" t="s">
        <v>36</v>
      </c>
      <c r="C21668" s="219"/>
      <c r="D21668" s="49" t="s">
        <v>37</v>
      </c>
      <c r="E21668" s="49" t="s">
        <v>38</v>
      </c>
      <c r="F21668" s="49" t="s">
        <v>39</v>
      </c>
      <c r="G21668" s="49" t="s">
        <v>40</v>
      </c>
    </row>
    <row r="21669" spans="1:7" x14ac:dyDescent="0.25">
      <c r="A21669" s="17" t="str">
        <f>Material!A142</f>
        <v>MA-141</v>
      </c>
      <c r="B21669" s="72" t="str">
        <f>IFERROR(VLOOKUP(A21669,Material!$A:$J,2,0),"-")</f>
        <v>CAJA RAWELT</v>
      </c>
      <c r="C21669" s="73"/>
      <c r="D21669" s="50" t="str">
        <f>IFERROR(VLOOKUP(A21669,Material!$A:$J,4,0),"-")</f>
        <v>UN</v>
      </c>
      <c r="E21669" s="50">
        <v>1</v>
      </c>
      <c r="F21669" s="51">
        <f>IFERROR(VLOOKUP(A21669,Material!$A:$J,3,0),"-")</f>
        <v>13778.7</v>
      </c>
      <c r="G21669" s="51">
        <f t="shared" ref="G21669:G21676" si="325">IFERROR(ROUNDUP(F21669*E21669,0),"-")</f>
        <v>13779</v>
      </c>
    </row>
    <row r="21670" spans="1:7" ht="25.5" customHeight="1" x14ac:dyDescent="0.25">
      <c r="A21670" s="17" t="str">
        <f>Material!A108</f>
        <v>MA-107</v>
      </c>
      <c r="B21670" s="221" t="str">
        <f>IFERROR(VLOOKUP(A21670,Material!$A:$J,2,0),"-")</f>
        <v>TUBO CONDUIT METALICO GALVANIZADO IMC DIAMETRO 1/2 PULG. (REF. EH = 43440)</v>
      </c>
      <c r="C21670" s="222"/>
      <c r="D21670" s="50" t="str">
        <f>IFERROR(VLOOKUP(A21670,Material!$A:$J,4,0),"-")</f>
        <v>ML</v>
      </c>
      <c r="E21670" s="50">
        <v>1</v>
      </c>
      <c r="F21670" s="51">
        <f>IFERROR(VLOOKUP(A21670,Material!$A:$J,3,0),"-")</f>
        <v>19760</v>
      </c>
      <c r="G21670" s="51">
        <f t="shared" si="325"/>
        <v>19760</v>
      </c>
    </row>
    <row r="21671" spans="1:7" x14ac:dyDescent="0.25">
      <c r="A21671" s="17" t="str">
        <f>Material!A143</f>
        <v>MA-142</v>
      </c>
      <c r="B21671" s="72" t="str">
        <f>IFERROR(VLOOKUP(A21671,Material!$A:$J,2,0),"-")</f>
        <v>CORAZA METÁLICA LIQUID TIGHT DE 1/2"</v>
      </c>
      <c r="C21671" s="76"/>
      <c r="D21671" s="50" t="str">
        <f>IFERROR(VLOOKUP(A21671,Material!$A:$J,4,0),"-")</f>
        <v>ML</v>
      </c>
      <c r="E21671" s="50">
        <v>1</v>
      </c>
      <c r="F21671" s="51">
        <f>IFERROR(VLOOKUP(A21671,Material!$A:$J,3,0),"-")</f>
        <v>7020</v>
      </c>
      <c r="G21671" s="51">
        <f t="shared" si="325"/>
        <v>7020</v>
      </c>
    </row>
    <row r="21672" spans="1:7" x14ac:dyDescent="0.25">
      <c r="A21672" s="17" t="str">
        <f>Material!A44</f>
        <v>MA-43</v>
      </c>
      <c r="B21672" s="72" t="str">
        <f>IFERROR(VLOOKUP(A21672,Material!$A:$J,2,0),"-")</f>
        <v>CABLE 3x10 AWG Cu- TC-THHN/THWN - 600 V</v>
      </c>
      <c r="C21672" s="76"/>
      <c r="D21672" s="50" t="str">
        <f>IFERROR(VLOOKUP(A21672,Material!$A:$J,4,0),"-")</f>
        <v>ML</v>
      </c>
      <c r="E21672" s="50">
        <v>2</v>
      </c>
      <c r="F21672" s="51">
        <f>IFERROR(VLOOKUP(A21672,Material!$A:$J,3,0),"-")</f>
        <v>26000</v>
      </c>
      <c r="G21672" s="51">
        <f t="shared" si="325"/>
        <v>52000</v>
      </c>
    </row>
    <row r="21673" spans="1:7" x14ac:dyDescent="0.25">
      <c r="A21673" s="17"/>
      <c r="B21673" s="72" t="str">
        <f>IFERROR(VLOOKUP(A21673,Material!$A:$J,2,0),"-")</f>
        <v>-</v>
      </c>
      <c r="C21673" s="76"/>
      <c r="D21673" s="50" t="str">
        <f>IFERROR(VLOOKUP(A21673,Material!$A:$J,4,0),"-")</f>
        <v>-</v>
      </c>
      <c r="E21673" s="50"/>
      <c r="F21673" s="51" t="str">
        <f>IFERROR(VLOOKUP(A21673,Material!$A:$J,3,0),"-")</f>
        <v>-</v>
      </c>
      <c r="G21673" s="51" t="str">
        <f t="shared" si="325"/>
        <v>-</v>
      </c>
    </row>
    <row r="21674" spans="1:7" x14ac:dyDescent="0.25">
      <c r="A21674" s="17"/>
      <c r="B21674" s="72" t="str">
        <f>IFERROR(VLOOKUP(A21674,Material!$A:$J,2,0),"-")</f>
        <v>-</v>
      </c>
      <c r="C21674" s="76"/>
      <c r="D21674" s="50" t="str">
        <f>IFERROR(VLOOKUP(A21674,Material!$A:$J,4,0),"-")</f>
        <v>-</v>
      </c>
      <c r="E21674" s="50"/>
      <c r="F21674" s="51" t="str">
        <f>IFERROR(VLOOKUP(A21674,Material!$A:$J,3,0),"-")</f>
        <v>-</v>
      </c>
      <c r="G21674" s="51" t="str">
        <f t="shared" si="325"/>
        <v>-</v>
      </c>
    </row>
    <row r="21675" spans="1:7" x14ac:dyDescent="0.25">
      <c r="A21675" s="17"/>
      <c r="B21675" s="72" t="str">
        <f>IFERROR(VLOOKUP(A21675,Material!$A:$J,2,0),"-")</f>
        <v>-</v>
      </c>
      <c r="C21675" s="76"/>
      <c r="D21675" s="50" t="str">
        <f>IFERROR(VLOOKUP(A21675,Material!$A:$J,4,0),"-")</f>
        <v>-</v>
      </c>
      <c r="E21675" s="50"/>
      <c r="F21675" s="51" t="str">
        <f>IFERROR(VLOOKUP(A21675,Material!$A:$J,3,0),"-")</f>
        <v>-</v>
      </c>
      <c r="G21675" s="51" t="str">
        <f t="shared" si="325"/>
        <v>-</v>
      </c>
    </row>
    <row r="21676" spans="1:7" x14ac:dyDescent="0.25">
      <c r="A21676" s="17"/>
      <c r="B21676" s="72" t="str">
        <f>IFERROR(VLOOKUP(A21676,Material!$A:$J,2,0),"-")</f>
        <v>-</v>
      </c>
      <c r="C21676" s="76"/>
      <c r="D21676" s="50" t="str">
        <f>IFERROR(VLOOKUP(A21676,Material!$A:$J,4,0),"-")</f>
        <v>-</v>
      </c>
      <c r="E21676" s="50"/>
      <c r="F21676" s="51" t="str">
        <f>IFERROR(VLOOKUP(A21676,Material!$A:$J,3,0),"-")</f>
        <v>-</v>
      </c>
      <c r="G21676" s="51" t="str">
        <f t="shared" si="325"/>
        <v>-</v>
      </c>
    </row>
    <row r="21677" spans="1:7" x14ac:dyDescent="0.25">
      <c r="A21677" s="219" t="s">
        <v>41</v>
      </c>
      <c r="B21677" s="219"/>
      <c r="C21677" s="219"/>
      <c r="D21677" s="219"/>
      <c r="E21677" s="219"/>
      <c r="F21677" s="219"/>
      <c r="G21677" s="52">
        <f>SUM(G21669:G21676)</f>
        <v>92559</v>
      </c>
    </row>
    <row r="21678" spans="1:7" x14ac:dyDescent="0.25">
      <c r="A21678" s="56"/>
      <c r="B21678" s="57"/>
      <c r="C21678" s="57"/>
      <c r="D21678" s="57"/>
      <c r="E21678" s="57"/>
      <c r="F21678" s="57"/>
      <c r="G21678" s="58"/>
    </row>
    <row r="21679" spans="1:7" x14ac:dyDescent="0.25">
      <c r="A21679" s="219" t="s">
        <v>42</v>
      </c>
      <c r="B21679" s="219"/>
      <c r="C21679" s="219"/>
      <c r="D21679" s="219"/>
      <c r="E21679" s="219"/>
      <c r="F21679" s="219"/>
      <c r="G21679" s="219"/>
    </row>
    <row r="21680" spans="1:7" x14ac:dyDescent="0.25">
      <c r="A21680" s="49" t="s">
        <v>35</v>
      </c>
      <c r="B21680" s="49" t="s">
        <v>36</v>
      </c>
      <c r="C21680" s="49" t="s">
        <v>38</v>
      </c>
      <c r="D21680" s="49" t="s">
        <v>43</v>
      </c>
      <c r="E21680" s="49" t="s">
        <v>44</v>
      </c>
      <c r="F21680" s="49" t="s">
        <v>45</v>
      </c>
      <c r="G21680" s="49" t="s">
        <v>40</v>
      </c>
    </row>
    <row r="21681" spans="1:7" x14ac:dyDescent="0.25">
      <c r="A21681" s="50" t="s">
        <v>319</v>
      </c>
      <c r="B21681" s="68" t="str">
        <f>VLOOKUP(A21681,'[1]Componentes APUs'!$H$1:$L$25,2,0)</f>
        <v>Ingeniero Residente de Obra</v>
      </c>
      <c r="C21681" s="93">
        <v>0.25</v>
      </c>
      <c r="D21681" s="50">
        <f>VLOOKUP(A21681,'[1]Componentes APUs'!$H$1:$L$25,3,0)</f>
        <v>4</v>
      </c>
      <c r="E21681" s="51">
        <f>VLOOKUP(A21681,'[1]Componentes APUs'!$H$1:$L$25,4,0)</f>
        <v>271142.85714285716</v>
      </c>
      <c r="F21681" s="51">
        <f>VLOOKUP(A21681,'[1]Componentes APUs'!$H$1:$L$25,5,0)</f>
        <v>162685.71428571429</v>
      </c>
      <c r="G21681" s="51">
        <f>ROUNDUP((E21681+F21681)*C21681/E21666,0)</f>
        <v>10846</v>
      </c>
    </row>
    <row r="21682" spans="1:7" x14ac:dyDescent="0.25">
      <c r="A21682" s="50" t="s">
        <v>320</v>
      </c>
      <c r="B21682" s="68" t="str">
        <f>VLOOKUP(A21682,'[1]Componentes APUs'!$H$1:$L$25,2,0)</f>
        <v>Tecnico Supervisor</v>
      </c>
      <c r="C21682" s="93">
        <v>0.25</v>
      </c>
      <c r="D21682" s="50">
        <f>VLOOKUP(A21682,'[1]Componentes APUs'!$H$1:$L$25,3,0)</f>
        <v>2.2999999999999998</v>
      </c>
      <c r="E21682" s="51">
        <f>VLOOKUP(A21682,'[1]Componentes APUs'!$H$1:$L$25,4,0)</f>
        <v>155907.14285714284</v>
      </c>
      <c r="F21682" s="51">
        <f>VLOOKUP(A21682,'[1]Componentes APUs'!$H$1:$L$25,5,0)</f>
        <v>93544.285714285696</v>
      </c>
      <c r="G21682" s="51">
        <f>ROUNDUP((E21682+F21682)*C21682/E21666,0)</f>
        <v>6237</v>
      </c>
    </row>
    <row r="21683" spans="1:7" x14ac:dyDescent="0.25">
      <c r="A21683" s="50" t="s">
        <v>1160</v>
      </c>
      <c r="B21683" s="68" t="str">
        <f>VLOOKUP(A21683,'[1]Componentes APUs'!$H$1:$L$25,2,0)</f>
        <v>Oficial Eléctrico</v>
      </c>
      <c r="C21683" s="93">
        <v>1</v>
      </c>
      <c r="D21683" s="50">
        <f>VLOOKUP(A21683,'[1]Componentes APUs'!$H$1:$L$25,3,0)</f>
        <v>2</v>
      </c>
      <c r="E21683" s="51">
        <f>VLOOKUP(A21683,'[1]Componentes APUs'!$H$1:$L$25,4,0)</f>
        <v>154619.04761904763</v>
      </c>
      <c r="F21683" s="51">
        <f>VLOOKUP(A21683,'[1]Componentes APUs'!$H$1:$L$25,5,0)</f>
        <v>92771.42857142858</v>
      </c>
      <c r="G21683" s="51">
        <f>ROUNDUP((E21683+F21683)*C21683/E21666,0)</f>
        <v>24740</v>
      </c>
    </row>
    <row r="21684" spans="1:7" x14ac:dyDescent="0.25">
      <c r="A21684" s="50" t="s">
        <v>48</v>
      </c>
      <c r="B21684" s="68" t="str">
        <f>VLOOKUP(A21684,'[1]Componentes APUs'!$H$1:$L$25,2,0)</f>
        <v>Ayudante Calificado</v>
      </c>
      <c r="C21684" s="93">
        <v>2</v>
      </c>
      <c r="D21684" s="50">
        <f>VLOOKUP(A21684,'[1]Componentes APUs'!$H$1:$L$25,3,0)</f>
        <v>1.5</v>
      </c>
      <c r="E21684" s="51">
        <f>VLOOKUP(A21684,'[1]Componentes APUs'!$H$1:$L$25,4,0)</f>
        <v>115964.28571428571</v>
      </c>
      <c r="F21684" s="51">
        <f>VLOOKUP(A21684,'[1]Componentes APUs'!$H$1:$L$25,5,0)</f>
        <v>69578.57142857142</v>
      </c>
      <c r="G21684" s="51">
        <f>ROUNDUP((E21684+F21684)*C21684/E21666,0)</f>
        <v>37109</v>
      </c>
    </row>
    <row r="21685" spans="1:7" x14ac:dyDescent="0.25">
      <c r="A21685" s="50" t="s">
        <v>50</v>
      </c>
      <c r="B21685" s="68" t="str">
        <f>VLOOKUP(A21685,'[1]Componentes APUs'!$H$1:$L$25,2,0)</f>
        <v>Profesional en SST</v>
      </c>
      <c r="C21685" s="93">
        <v>0.25</v>
      </c>
      <c r="D21685" s="50">
        <f>VLOOKUP(A21685,'[1]Componentes APUs'!$H$1:$L$25,3,0)</f>
        <v>2.5</v>
      </c>
      <c r="E21685" s="51">
        <f>VLOOKUP(A21685,'[1]Componentes APUs'!$H$1:$L$25,4,0)</f>
        <v>169464.28571428571</v>
      </c>
      <c r="F21685" s="51">
        <f>VLOOKUP(A21685,'[1]Componentes APUs'!$H$1:$L$25,5,0)</f>
        <v>101678.57142857142</v>
      </c>
      <c r="G21685" s="51">
        <f>ROUNDUP((E21685+F21685)*C21685/E21666,0)</f>
        <v>6779</v>
      </c>
    </row>
    <row r="21686" spans="1:7" x14ac:dyDescent="0.25">
      <c r="A21686" s="50" t="s">
        <v>52</v>
      </c>
      <c r="B21686" s="68" t="str">
        <f>VLOOKUP(A21686,'[1]Componentes APUs'!$H$1:$L$25,2,0)</f>
        <v>Ayudante No Calificado</v>
      </c>
      <c r="C21686" s="93">
        <v>0</v>
      </c>
      <c r="D21686" s="50">
        <f>VLOOKUP(A21686,'[1]Componentes APUs'!$H$1:$L$25,3,0)</f>
        <v>1</v>
      </c>
      <c r="E21686" s="51">
        <f>VLOOKUP(A21686,'[1]Componentes APUs'!$H$1:$L$25,4,0)</f>
        <v>77309.523809523816</v>
      </c>
      <c r="F21686" s="51">
        <f>VLOOKUP(A21686,'[1]Componentes APUs'!$H$1:$L$25,5,0)</f>
        <v>46385.71428571429</v>
      </c>
      <c r="G21686" s="51">
        <f>ROUNDUP((E21686+F21686)*C21686/E21666,0)</f>
        <v>0</v>
      </c>
    </row>
    <row r="21687" spans="1:7" x14ac:dyDescent="0.25">
      <c r="A21687" s="219" t="s">
        <v>56</v>
      </c>
      <c r="B21687" s="219"/>
      <c r="C21687" s="219"/>
      <c r="D21687" s="219"/>
      <c r="E21687" s="219"/>
      <c r="F21687" s="219"/>
      <c r="G21687" s="52">
        <f>SUM(G21681:G21686)</f>
        <v>85711</v>
      </c>
    </row>
    <row r="21688" spans="1:7" x14ac:dyDescent="0.25">
      <c r="A21688" s="56"/>
      <c r="B21688" s="57"/>
      <c r="C21688" s="57"/>
      <c r="D21688" s="57"/>
      <c r="E21688" s="57"/>
      <c r="F21688" s="57"/>
      <c r="G21688" s="58"/>
    </row>
    <row r="21689" spans="1:7" x14ac:dyDescent="0.25">
      <c r="A21689" s="219" t="s">
        <v>57</v>
      </c>
      <c r="B21689" s="219"/>
      <c r="C21689" s="219"/>
      <c r="D21689" s="219"/>
      <c r="E21689" s="219"/>
      <c r="F21689" s="219"/>
      <c r="G21689" s="219"/>
    </row>
    <row r="21690" spans="1:7" x14ac:dyDescent="0.25">
      <c r="A21690" s="49" t="s">
        <v>35</v>
      </c>
      <c r="B21690" s="219" t="s">
        <v>36</v>
      </c>
      <c r="C21690" s="219"/>
      <c r="D21690" s="49" t="s">
        <v>37</v>
      </c>
      <c r="E21690" s="49" t="s">
        <v>38</v>
      </c>
      <c r="F21690" s="49" t="s">
        <v>39</v>
      </c>
      <c r="G21690" s="49" t="s">
        <v>40</v>
      </c>
    </row>
    <row r="21691" spans="1:7" x14ac:dyDescent="0.25">
      <c r="A21691" s="50" t="s">
        <v>326</v>
      </c>
      <c r="B21691" s="220" t="str">
        <f>VLOOKUP(A21691,'[1]Componentes APUs'!$S$1:$V$10,2,0)</f>
        <v>Juego Llaves</v>
      </c>
      <c r="C21691" s="220"/>
      <c r="D21691" s="50" t="s">
        <v>18</v>
      </c>
      <c r="E21691" s="50">
        <v>2</v>
      </c>
      <c r="F21691" s="51">
        <f>VLOOKUP(A21691,'[1]Componentes APUs'!$S$1:$V$10,4,0)</f>
        <v>9167</v>
      </c>
      <c r="G21691" s="51">
        <f>ROUNDUP(F21691*((E21691/21)/E21666),0)</f>
        <v>88</v>
      </c>
    </row>
    <row r="21692" spans="1:7" x14ac:dyDescent="0.25">
      <c r="A21692" s="50" t="s">
        <v>58</v>
      </c>
      <c r="B21692" s="220" t="str">
        <f>VLOOKUP(A21692,'[1]Componentes APUs'!$S$1:$V$10,2,0)</f>
        <v>Manila de servicio</v>
      </c>
      <c r="C21692" s="220"/>
      <c r="D21692" s="50" t="s">
        <v>18</v>
      </c>
      <c r="E21692" s="50">
        <v>2</v>
      </c>
      <c r="F21692" s="51">
        <f>VLOOKUP(A21692,'[1]Componentes APUs'!$S$1:$V$10,4,0)</f>
        <v>2333</v>
      </c>
      <c r="G21692" s="51">
        <f>ROUNDUP(F21692*((E21692/21)/E21666),0)</f>
        <v>23</v>
      </c>
    </row>
    <row r="21693" spans="1:7" x14ac:dyDescent="0.25">
      <c r="A21693" s="50" t="s">
        <v>327</v>
      </c>
      <c r="B21693" s="220" t="str">
        <f>VLOOKUP(A21693,'[1]Componentes APUs'!$S$1:$V$10,2,0)</f>
        <v>Tula portaherramientas</v>
      </c>
      <c r="C21693" s="220"/>
      <c r="D21693" s="50" t="s">
        <v>18</v>
      </c>
      <c r="E21693" s="50">
        <v>2</v>
      </c>
      <c r="F21693" s="51">
        <f>VLOOKUP(A21693,'[1]Componentes APUs'!$S$1:$V$10,4,0)</f>
        <v>1250</v>
      </c>
      <c r="G21693" s="51">
        <f>ROUNDUP(F21693*((E21693/21)/E21666),0)</f>
        <v>12</v>
      </c>
    </row>
    <row r="21694" spans="1:7" x14ac:dyDescent="0.25">
      <c r="A21694" s="50" t="s">
        <v>60</v>
      </c>
      <c r="B21694" s="220" t="str">
        <f>VLOOKUP(A21694,'[1]Componentes APUs'!$S$1:$V$10,2,0)</f>
        <v>Agarradoras</v>
      </c>
      <c r="C21694" s="220"/>
      <c r="D21694" s="50" t="s">
        <v>18</v>
      </c>
      <c r="E21694" s="50">
        <v>0</v>
      </c>
      <c r="F21694" s="51">
        <f>VLOOKUP(A21694,'[1]Componentes APUs'!$S$1:$V$10,4,0)</f>
        <v>125000</v>
      </c>
      <c r="G21694" s="51">
        <f>ROUNDUP(F21694*((E21694/21)/E21666),0)</f>
        <v>0</v>
      </c>
    </row>
    <row r="21695" spans="1:7" x14ac:dyDescent="0.25">
      <c r="A21695" s="50" t="s">
        <v>62</v>
      </c>
      <c r="B21695" s="220" t="str">
        <f>VLOOKUP(A21695,'[1]Componentes APUs'!$S$1:$V$10,2,0)</f>
        <v>Templadoras</v>
      </c>
      <c r="C21695" s="220"/>
      <c r="D21695" s="50" t="s">
        <v>18</v>
      </c>
      <c r="E21695" s="50">
        <v>0</v>
      </c>
      <c r="F21695" s="51">
        <f>VLOOKUP(A21695,'[1]Componentes APUs'!$S$1:$V$10,4,0)</f>
        <v>250000</v>
      </c>
      <c r="G21695" s="51">
        <f>ROUNDUP(F21695*((E21695/21)/E21666),0)</f>
        <v>0</v>
      </c>
    </row>
    <row r="21696" spans="1:7" x14ac:dyDescent="0.25">
      <c r="A21696" s="50" t="s">
        <v>328</v>
      </c>
      <c r="B21696" s="220" t="str">
        <f>VLOOKUP(A21696,'[1]Componentes APUs'!$S$1:$V$10,2,0)</f>
        <v>Herramienta Menor</v>
      </c>
      <c r="C21696" s="220"/>
      <c r="D21696" s="50" t="s">
        <v>18</v>
      </c>
      <c r="E21696" s="50">
        <v>2</v>
      </c>
      <c r="F21696" s="51">
        <f>VLOOKUP(A21696,'[1]Componentes APUs'!$S$1:$V$10,4,0)</f>
        <v>75758</v>
      </c>
      <c r="G21696" s="51">
        <f>ROUNDUP(F21696*((E21696/21)/E21666),0)</f>
        <v>722</v>
      </c>
    </row>
    <row r="21697" spans="1:7" x14ac:dyDescent="0.25">
      <c r="A21697" s="219" t="s">
        <v>69</v>
      </c>
      <c r="B21697" s="219"/>
      <c r="C21697" s="219"/>
      <c r="D21697" s="219"/>
      <c r="E21697" s="219"/>
      <c r="F21697" s="219"/>
      <c r="G21697" s="52">
        <f>SUM(G21691:G21696)</f>
        <v>845</v>
      </c>
    </row>
    <row r="21698" spans="1:7" x14ac:dyDescent="0.25">
      <c r="A21698" s="56"/>
      <c r="B21698" s="57"/>
      <c r="C21698" s="57"/>
      <c r="D21698" s="57"/>
      <c r="E21698" s="57"/>
      <c r="F21698" s="57"/>
      <c r="G21698" s="58"/>
    </row>
    <row r="21699" spans="1:7" x14ac:dyDescent="0.25">
      <c r="A21699" s="219" t="s">
        <v>70</v>
      </c>
      <c r="B21699" s="219"/>
      <c r="C21699" s="219"/>
      <c r="D21699" s="219"/>
      <c r="E21699" s="219"/>
      <c r="F21699" s="219"/>
      <c r="G21699" s="219"/>
    </row>
    <row r="21700" spans="1:7" x14ac:dyDescent="0.25">
      <c r="A21700" s="49" t="s">
        <v>35</v>
      </c>
      <c r="B21700" s="219" t="s">
        <v>36</v>
      </c>
      <c r="C21700" s="219"/>
      <c r="D21700" s="49" t="s">
        <v>37</v>
      </c>
      <c r="E21700" s="49" t="s">
        <v>38</v>
      </c>
      <c r="F21700" s="49" t="s">
        <v>39</v>
      </c>
      <c r="G21700" s="49" t="s">
        <v>40</v>
      </c>
    </row>
    <row r="21701" spans="1:7" x14ac:dyDescent="0.25">
      <c r="A21701" s="50" t="s">
        <v>71</v>
      </c>
      <c r="B21701" s="71" t="str">
        <f>VLOOKUP(A21701,'[1]Componentes APUs'!$A$1:$D$14,2,0)</f>
        <v>Camisa indigo sin partes metalicas</v>
      </c>
      <c r="C21701" s="71"/>
      <c r="D21701" s="50" t="str">
        <f>VLOOKUP(A21701,'[1]Componentes APUs'!$A$1:$D$14,3,0)</f>
        <v>U</v>
      </c>
      <c r="E21701" s="50">
        <f>SUM(C21681:C21686)</f>
        <v>3.75</v>
      </c>
      <c r="F21701" s="51">
        <f>VLOOKUP(A21701,'[1]Componentes APUs'!$A$1:$D$14,4,0)</f>
        <v>8585.8585858585866</v>
      </c>
      <c r="G21701" s="51">
        <f>ROUNDUP(F21701*(E21701/21)/E21666,0)</f>
        <v>154</v>
      </c>
    </row>
    <row r="21702" spans="1:7" x14ac:dyDescent="0.25">
      <c r="A21702" s="69" t="s">
        <v>73</v>
      </c>
      <c r="B21702" s="72" t="str">
        <f>VLOOKUP(A21702,'[1]Componentes APUs'!$A$1:$D$14,2,0)</f>
        <v>Bota de seguridad dielectrica</v>
      </c>
      <c r="C21702" s="73"/>
      <c r="D21702" s="70" t="str">
        <f>VLOOKUP(A21702,'[1]Componentes APUs'!$A$1:$D$14,3,0)</f>
        <v>Par</v>
      </c>
      <c r="E21702" s="50">
        <f>SUM(C21681:C21686)</f>
        <v>3.75</v>
      </c>
      <c r="F21702" s="51">
        <f>VLOOKUP(A21702,'[1]Componentes APUs'!$A$1:$D$14,4,0)</f>
        <v>7500</v>
      </c>
      <c r="G21702" s="51">
        <f>ROUNDUP(F21702*(E21702/21)/E21666,0)</f>
        <v>134</v>
      </c>
    </row>
    <row r="21703" spans="1:7" x14ac:dyDescent="0.25">
      <c r="A21703" s="50" t="s">
        <v>76</v>
      </c>
      <c r="B21703" s="72" t="str">
        <f>VLOOKUP(A21703,'[1]Componentes APUs'!$A$1:$D$14,2,0)</f>
        <v>Casco dielectrico Tipo 1 Clase E con barbuquejo</v>
      </c>
      <c r="C21703" s="73"/>
      <c r="D21703" s="50" t="str">
        <f>VLOOKUP(A21703,'[1]Componentes APUs'!$A$1:$D$14,3,0)</f>
        <v>U</v>
      </c>
      <c r="E21703" s="50">
        <f>C21686+C21681+C21684+C21685+C21682+IF(A21683&lt;&gt;"MO-3",C21683,0)</f>
        <v>3.75</v>
      </c>
      <c r="F21703" s="51">
        <f>VLOOKUP(A21703,'[1]Componentes APUs'!$A$1:$D$14,4,0)</f>
        <v>10101.010101010101</v>
      </c>
      <c r="G21703" s="51">
        <f>ROUNDUP(F21703*(E21703/21)/E21666,0)</f>
        <v>181</v>
      </c>
    </row>
    <row r="21704" spans="1:7" x14ac:dyDescent="0.25">
      <c r="A21704" s="69" t="s">
        <v>77</v>
      </c>
      <c r="B21704" s="72" t="str">
        <f>VLOOKUP(A21704,'[1]Componentes APUs'!$A$1:$D$14,2,0)</f>
        <v>Correa plastica y antiflama</v>
      </c>
      <c r="C21704" s="73"/>
      <c r="D21704" s="50" t="str">
        <f>VLOOKUP(A21704,'[1]Componentes APUs'!$A$1:$D$14,3,0)</f>
        <v>U</v>
      </c>
      <c r="E21704" s="50">
        <f>SUM(C21681:C21686)</f>
        <v>3.75</v>
      </c>
      <c r="F21704" s="51">
        <f>VLOOKUP(A21704,'[1]Componentes APUs'!$A$1:$D$14,4,0)</f>
        <v>3787.878787878788</v>
      </c>
      <c r="G21704" s="51">
        <f>ROUNDUP(F21704*(E21704/21)/E21666,0)</f>
        <v>68</v>
      </c>
    </row>
    <row r="21705" spans="1:7" x14ac:dyDescent="0.25">
      <c r="A21705" s="50" t="s">
        <v>79</v>
      </c>
      <c r="B21705" s="72" t="str">
        <f>VLOOKUP(A21705,'[1]Componentes APUs'!$A$1:$D$14,2,0)</f>
        <v>Gafas protectoras filtro UV</v>
      </c>
      <c r="C21705" s="73"/>
      <c r="D21705" s="50" t="str">
        <f>VLOOKUP(A21705,'[1]Componentes APUs'!$A$1:$D$14,3,0)</f>
        <v>U</v>
      </c>
      <c r="E21705" s="50">
        <f>SUM(C21681:C21686)</f>
        <v>3.75</v>
      </c>
      <c r="F21705" s="51">
        <f>VLOOKUP(A21705,'[1]Componentes APUs'!$A$1:$D$14,4,0)</f>
        <v>2777.7777777777778</v>
      </c>
      <c r="G21705" s="51">
        <f>ROUNDUP(F21705*(E21705/21)/E21666,0)</f>
        <v>50</v>
      </c>
    </row>
    <row r="21706" spans="1:7" x14ac:dyDescent="0.25">
      <c r="A21706" s="69" t="s">
        <v>402</v>
      </c>
      <c r="B21706" s="72" t="str">
        <f>VLOOKUP(A21706,'[1]Componentes APUs'!$A$1:$D$14,2,0)</f>
        <v>Bota de seguridad PVC dielectrica</v>
      </c>
      <c r="C21706" s="73"/>
      <c r="D21706" s="50" t="str">
        <f>VLOOKUP(A21706,'[1]Componentes APUs'!$A$1:$D$14,3,0)</f>
        <v>Par</v>
      </c>
      <c r="E21706" s="50">
        <f>SUM(C21681:C21686)</f>
        <v>3.75</v>
      </c>
      <c r="F21706" s="51">
        <f>VLOOKUP(A21706,'[1]Componentes APUs'!$A$1:$D$14,4,0)</f>
        <v>2916.6666666666665</v>
      </c>
      <c r="G21706" s="51">
        <f>ROUNDUP(F21706*(E21706/21)/E21666,0)</f>
        <v>53</v>
      </c>
    </row>
    <row r="21707" spans="1:7" x14ac:dyDescent="0.25">
      <c r="A21707" s="50" t="s">
        <v>403</v>
      </c>
      <c r="B21707" s="72" t="str">
        <f>VLOOKUP(A21707,'[1]Componentes APUs'!$A$1:$D$14,2,0)</f>
        <v>Capuchon</v>
      </c>
      <c r="C21707" s="73"/>
      <c r="D21707" s="50" t="str">
        <f>VLOOKUP(A21707,'[1]Componentes APUs'!$A$1:$D$14,3,0)</f>
        <v>U</v>
      </c>
      <c r="E21707" s="50">
        <f>SUM(C21681:C21686)</f>
        <v>3.75</v>
      </c>
      <c r="F21707" s="51">
        <f>VLOOKUP(A21707,'[1]Componentes APUs'!$A$1:$D$14,4,0)</f>
        <v>2525.2525252525252</v>
      </c>
      <c r="G21707" s="51">
        <f>ROUNDUP(F21707*(E21707/21)/E21666,0)</f>
        <v>46</v>
      </c>
    </row>
    <row r="21708" spans="1:7" x14ac:dyDescent="0.25">
      <c r="A21708" s="69" t="s">
        <v>81</v>
      </c>
      <c r="B21708" s="72" t="str">
        <f>VLOOKUP(A21708,'[1]Componentes APUs'!$A$1:$D$14,2,0)</f>
        <v>Guantes Protectores  - ingeniero reforzados</v>
      </c>
      <c r="C21708" s="73"/>
      <c r="D21708" s="50" t="str">
        <f>VLOOKUP(A21708,'[1]Componentes APUs'!$A$1:$D$14,3,0)</f>
        <v>Par</v>
      </c>
      <c r="E21708" s="50">
        <f>C21683+C21684+C21686</f>
        <v>3</v>
      </c>
      <c r="F21708" s="51">
        <f>VLOOKUP(A21708,'[1]Componentes APUs'!$A$1:$D$14,4,0)</f>
        <v>2525.2525252525252</v>
      </c>
      <c r="G21708" s="51">
        <f>ROUNDUP(F21708*(E21708/21)/E21666,0)</f>
        <v>37</v>
      </c>
    </row>
    <row r="21709" spans="1:7" x14ac:dyDescent="0.25">
      <c r="A21709" s="50" t="s">
        <v>83</v>
      </c>
      <c r="B21709" s="72" t="str">
        <f>VLOOKUP(A21709,'[1]Componentes APUs'!$A$1:$D$14,2,0)</f>
        <v>Impermeable (pantalon camisa)</v>
      </c>
      <c r="C21709" s="73"/>
      <c r="D21709" s="50" t="str">
        <f>VLOOKUP(A21709,'[1]Componentes APUs'!$A$1:$D$14,3,0)</f>
        <v>U</v>
      </c>
      <c r="E21709" s="50">
        <f>SUM(C21681:C21686)</f>
        <v>3.75</v>
      </c>
      <c r="F21709" s="51">
        <f>VLOOKUP(A21709,'[1]Componentes APUs'!$A$1:$D$14,4,0)</f>
        <v>3750</v>
      </c>
      <c r="G21709" s="51">
        <f>ROUNDUP(F21709*(E21709/21)/E21666,0)</f>
        <v>67</v>
      </c>
    </row>
    <row r="21710" spans="1:7" x14ac:dyDescent="0.25">
      <c r="A21710" s="69" t="s">
        <v>85</v>
      </c>
      <c r="B21710" s="72" t="str">
        <f>VLOOKUP(A21710,'[1]Componentes APUs'!$A$1:$D$14,2,0)</f>
        <v>Jean Dielectrico</v>
      </c>
      <c r="C21710" s="73"/>
      <c r="D21710" s="50" t="str">
        <f>VLOOKUP(A21710,'[1]Componentes APUs'!$A$1:$D$14,3,0)</f>
        <v>U</v>
      </c>
      <c r="E21710" s="50">
        <f>SUM(C21681:C21686)</f>
        <v>3.75</v>
      </c>
      <c r="F21710" s="51">
        <f>VLOOKUP(A21710,'[1]Componentes APUs'!$A$1:$D$14,4,0)</f>
        <v>7575.757575757576</v>
      </c>
      <c r="G21710" s="51">
        <f>ROUNDUP(F21710*(E21710/21)/E21666,0)</f>
        <v>136</v>
      </c>
    </row>
    <row r="21711" spans="1:7" x14ac:dyDescent="0.25">
      <c r="A21711" s="50" t="s">
        <v>87</v>
      </c>
      <c r="B21711" s="72" t="str">
        <f>VLOOKUP(A21711,'[1]Componentes APUs'!$A$1:$D$14,2,0)</f>
        <v>Casco dielectrico Tipo 2 Clase E con barboquejo</v>
      </c>
      <c r="C21711" s="73"/>
      <c r="D21711" s="50" t="str">
        <f>VLOOKUP(A21711,'[1]Componentes APUs'!$A$1:$D$14,3,0)</f>
        <v>U</v>
      </c>
      <c r="E21711" s="53">
        <f>IF(A21683="MO-3",C21683,0)</f>
        <v>0</v>
      </c>
      <c r="F21711" s="51">
        <f>VLOOKUP(A21711,'[1]Componentes APUs'!$A$1:$D$14,4,0)</f>
        <v>7500</v>
      </c>
      <c r="G21711" s="51">
        <f>ROUNDUP(F21711*(E21711/21)/E21666,0)</f>
        <v>0</v>
      </c>
    </row>
    <row r="21712" spans="1:7" x14ac:dyDescent="0.25">
      <c r="A21712" s="69" t="s">
        <v>89</v>
      </c>
      <c r="B21712" s="72" t="str">
        <f>VLOOKUP(A21712,'[1]Componentes APUs'!$A$1:$D$14,2,0)</f>
        <v>Kit de rescate para trabajo en alturas</v>
      </c>
      <c r="C21712" s="73"/>
      <c r="D21712" s="50" t="str">
        <f>VLOOKUP(A21712,'[1]Componentes APUs'!$A$1:$D$14,3,0)</f>
        <v>U</v>
      </c>
      <c r="E21712" s="50">
        <f>IF(AND(A21683="MO-3",C21683=2),1,0)</f>
        <v>0</v>
      </c>
      <c r="F21712" s="51">
        <f>VLOOKUP(A21712,'[1]Componentes APUs'!$A$1:$D$14,4,0)</f>
        <v>37500</v>
      </c>
      <c r="G21712" s="51">
        <f>ROUNDUP(F21712*(E21712/21)/E21666,0)</f>
        <v>0</v>
      </c>
    </row>
    <row r="21713" spans="1:7" x14ac:dyDescent="0.25">
      <c r="A21713" s="50" t="s">
        <v>91</v>
      </c>
      <c r="B21713" s="72" t="str">
        <f>VLOOKUP(A21713,'[1]Componentes APUs'!$A$1:$D$14,2,0)</f>
        <v>Equipo completo para trabajo en alturas con pretales (Arnes dielectrico, 1 mosqueton de seguridad, tie off dielectrico, eslinga de posicionamiento, juego de pretales)</v>
      </c>
      <c r="C21713" s="73"/>
      <c r="D21713" s="50" t="str">
        <f>VLOOKUP(A21713,'[1]Componentes APUs'!$A$1:$D$14,3,0)</f>
        <v>U</v>
      </c>
      <c r="E21713" s="50">
        <f>IF(A21683="MO-3",C21683,0)</f>
        <v>0</v>
      </c>
      <c r="F21713" s="51">
        <f>VLOOKUP(A21713,'[1]Componentes APUs'!$A$1:$D$14,4,0)</f>
        <v>26041.666666666668</v>
      </c>
      <c r="G21713" s="51">
        <f>ROUNDUP(F21713*(E21713/21)/E21666,0)</f>
        <v>0</v>
      </c>
    </row>
    <row r="21714" spans="1:7" x14ac:dyDescent="0.25">
      <c r="A21714" s="219" t="s">
        <v>95</v>
      </c>
      <c r="B21714" s="219"/>
      <c r="C21714" s="219"/>
      <c r="D21714" s="219"/>
      <c r="E21714" s="219"/>
      <c r="F21714" s="219"/>
      <c r="G21714" s="52">
        <f>SUM(G21701:G21713)</f>
        <v>926</v>
      </c>
    </row>
    <row r="21715" spans="1:7" x14ac:dyDescent="0.25">
      <c r="A21715" s="56"/>
      <c r="B21715" s="57"/>
      <c r="C21715" s="57"/>
      <c r="D21715" s="57"/>
      <c r="E21715" s="57"/>
      <c r="F21715" s="57"/>
      <c r="G21715" s="58"/>
    </row>
    <row r="21716" spans="1:7" x14ac:dyDescent="0.25">
      <c r="A21716" s="219" t="s">
        <v>96</v>
      </c>
      <c r="B21716" s="219"/>
      <c r="C21716" s="219"/>
      <c r="D21716" s="219"/>
      <c r="E21716" s="219"/>
      <c r="F21716" s="219"/>
      <c r="G21716" s="219"/>
    </row>
    <row r="21717" spans="1:7" x14ac:dyDescent="0.25">
      <c r="A21717" s="49" t="s">
        <v>35</v>
      </c>
      <c r="B21717" s="225" t="s">
        <v>36</v>
      </c>
      <c r="C21717" s="225"/>
      <c r="D21717" s="49" t="s">
        <v>37</v>
      </c>
      <c r="E21717" s="49" t="s">
        <v>38</v>
      </c>
      <c r="F21717" s="49" t="s">
        <v>39</v>
      </c>
      <c r="G21717" s="49" t="s">
        <v>40</v>
      </c>
    </row>
    <row r="21718" spans="1:7" x14ac:dyDescent="0.25">
      <c r="A21718" s="69" t="s">
        <v>97</v>
      </c>
      <c r="B21718" s="72" t="str">
        <f>VLOOKUP(A21718,'[1]Componentes APUs'!$N$1:$Q$30,2,0)</f>
        <v>Camioneta</v>
      </c>
      <c r="C21718" s="73"/>
      <c r="D21718" s="70" t="str">
        <f>VLOOKUP(A21718,'[1]Componentes APUs'!$N$1:$Q$30,3,0)</f>
        <v>U</v>
      </c>
      <c r="E21718" s="50">
        <v>1</v>
      </c>
      <c r="F21718" s="51">
        <f>VLOOKUP(A21718,'[1]Componentes APUs'!$N$1:$Q$30,4,0)</f>
        <v>5500000</v>
      </c>
      <c r="G21718" s="51">
        <f>IFERROR(ROUNDUP(F21718*(E21718/21)/E21666,0),0)</f>
        <v>26191</v>
      </c>
    </row>
    <row r="21719" spans="1:7" x14ac:dyDescent="0.25">
      <c r="A21719" s="50" t="s">
        <v>321</v>
      </c>
      <c r="B21719" s="72" t="str">
        <f>VLOOKUP(A21719,'[1]Componentes APUs'!$N$1:$Q$30,2,0)</f>
        <v>Grúa Hidráulica</v>
      </c>
      <c r="C21719" s="73"/>
      <c r="D21719" s="70" t="str">
        <f>VLOOKUP(A21719,'[1]Componentes APUs'!$N$1:$Q$30,3,0)</f>
        <v>U</v>
      </c>
      <c r="E21719" s="50">
        <v>0</v>
      </c>
      <c r="F21719" s="51">
        <f>VLOOKUP(A21719,'[1]Componentes APUs'!$N$1:$Q$30,4,0)</f>
        <v>21000000</v>
      </c>
      <c r="G21719" s="51">
        <f>IFERROR(ROUNDUP(F21719*(E21719/21)/E21666,0),0)</f>
        <v>0</v>
      </c>
    </row>
    <row r="21720" spans="1:7" x14ac:dyDescent="0.25">
      <c r="A21720" s="69" t="s">
        <v>322</v>
      </c>
      <c r="B21720" s="72" t="str">
        <f>VLOOKUP(A21720,'[1]Componentes APUs'!$N$1:$Q$30,2,0)</f>
        <v>Camabaja</v>
      </c>
      <c r="C21720" s="73"/>
      <c r="D21720" s="70" t="str">
        <f>VLOOKUP(A21720,'[1]Componentes APUs'!$N$1:$Q$30,3,0)</f>
        <v>TON/KM</v>
      </c>
      <c r="E21720" s="50">
        <v>0</v>
      </c>
      <c r="F21720" s="51">
        <f>VLOOKUP(A21720,'[1]Componentes APUs'!$N$1:$Q$30,4,0)</f>
        <v>611</v>
      </c>
      <c r="G21720" s="51">
        <f>IFERROR(ROUNDUP(F21720*(E21720/21)/E21666,0),0)</f>
        <v>0</v>
      </c>
    </row>
    <row r="21721" spans="1:7" x14ac:dyDescent="0.25">
      <c r="A21721" s="50" t="s">
        <v>323</v>
      </c>
      <c r="B21721" s="72" t="str">
        <f>VLOOKUP(A21721,'[1]Componentes APUs'!$N$1:$Q$30,2,0)</f>
        <v>Volqueta</v>
      </c>
      <c r="C21721" s="73"/>
      <c r="D21721" s="70" t="str">
        <f>VLOOKUP(A21721,'[1]Componentes APUs'!$N$1:$Q$30,3,0)</f>
        <v>U</v>
      </c>
      <c r="E21721" s="50">
        <v>0</v>
      </c>
      <c r="F21721" s="51">
        <f>VLOOKUP(A21721,'[1]Componentes APUs'!$N$1:$Q$30,4,0)</f>
        <v>18900000</v>
      </c>
      <c r="G21721" s="51">
        <f>IFERROR(ROUNDUP(F21721*(E21721/21)/E21666,0),0)</f>
        <v>0</v>
      </c>
    </row>
    <row r="21722" spans="1:7" x14ac:dyDescent="0.25">
      <c r="A21722" s="69" t="s">
        <v>324</v>
      </c>
      <c r="B21722" s="72" t="str">
        <f>VLOOKUP(A21722,'[1]Componentes APUs'!$N$1:$Q$30,2,0)</f>
        <v>Retroexcavadora</v>
      </c>
      <c r="C21722" s="73"/>
      <c r="D21722" s="70" t="str">
        <f>VLOOKUP(A21722,'[1]Componentes APUs'!$N$1:$Q$30,3,0)</f>
        <v>U</v>
      </c>
      <c r="E21722" s="50">
        <v>0</v>
      </c>
      <c r="F21722" s="51">
        <f>VLOOKUP(A21722,'[1]Componentes APUs'!$N$1:$Q$30,4,0)</f>
        <v>1494459.54</v>
      </c>
      <c r="G21722" s="51">
        <f>IFERROR(ROUNDUP(F21722*(E21722/21)/E21666,0),0)</f>
        <v>0</v>
      </c>
    </row>
    <row r="21723" spans="1:7" x14ac:dyDescent="0.25">
      <c r="A21723" s="219" t="s">
        <v>99</v>
      </c>
      <c r="B21723" s="219"/>
      <c r="C21723" s="219"/>
      <c r="D21723" s="219"/>
      <c r="E21723" s="219"/>
      <c r="F21723" s="219"/>
      <c r="G21723" s="52">
        <f>SUM(G21718:G21722)</f>
        <v>26191</v>
      </c>
    </row>
    <row r="21724" spans="1:7" x14ac:dyDescent="0.25">
      <c r="A21724" s="56"/>
      <c r="B21724" s="57"/>
      <c r="C21724" s="57"/>
      <c r="D21724" s="57"/>
      <c r="E21724" s="57"/>
      <c r="F21724" s="57"/>
      <c r="G21724" s="58"/>
    </row>
    <row r="21725" spans="1:7" x14ac:dyDescent="0.25">
      <c r="A21725" s="219" t="s">
        <v>1516</v>
      </c>
      <c r="B21725" s="219"/>
      <c r="C21725" s="219"/>
      <c r="D21725" s="219"/>
      <c r="E21725" s="219"/>
      <c r="F21725" s="219"/>
      <c r="G21725" s="52">
        <f>G21723+G21714+G21697+G21687+G21677</f>
        <v>206232</v>
      </c>
    </row>
    <row r="21726" spans="1:7" x14ac:dyDescent="0.25">
      <c r="A21726" s="59"/>
      <c r="B21726" s="60"/>
      <c r="C21726" s="60"/>
      <c r="D21726" s="60"/>
      <c r="E21726" s="57"/>
      <c r="F21726" s="57"/>
      <c r="G21726" s="58"/>
    </row>
    <row r="21727" spans="1:7" x14ac:dyDescent="0.25">
      <c r="A21727" s="64"/>
      <c r="D21727" s="55"/>
      <c r="E21727" s="49" t="s">
        <v>25</v>
      </c>
      <c r="F21727" s="54">
        <v>0.15</v>
      </c>
      <c r="G21727" s="51">
        <f>G21725*F21727</f>
        <v>30934.799999999999</v>
      </c>
    </row>
    <row r="21728" spans="1:7" x14ac:dyDescent="0.25">
      <c r="A21728" s="64"/>
      <c r="D21728" s="55"/>
      <c r="E21728" s="49" t="s">
        <v>26</v>
      </c>
      <c r="F21728" s="54">
        <v>0.05</v>
      </c>
      <c r="G21728" s="51">
        <f>G21725*F21728</f>
        <v>10311.6</v>
      </c>
    </row>
    <row r="21729" spans="1:7" x14ac:dyDescent="0.25">
      <c r="A21729" s="61"/>
      <c r="B21729" s="65"/>
      <c r="C21729" s="65"/>
      <c r="D21729" s="62"/>
      <c r="E21729" s="49" t="s">
        <v>27</v>
      </c>
      <c r="F21729" s="54">
        <v>0.05</v>
      </c>
      <c r="G21729" s="51">
        <f>G21725*F21729</f>
        <v>10311.6</v>
      </c>
    </row>
    <row r="21730" spans="1:7" x14ac:dyDescent="0.25">
      <c r="A21730" s="61"/>
      <c r="B21730" s="62"/>
      <c r="C21730" s="62"/>
      <c r="D21730" s="62"/>
      <c r="E21730" s="62"/>
      <c r="F21730" s="62"/>
      <c r="G21730" s="63"/>
    </row>
    <row r="21731" spans="1:7" x14ac:dyDescent="0.25">
      <c r="A21731" s="219" t="s">
        <v>1517</v>
      </c>
      <c r="B21731" s="219"/>
      <c r="C21731" s="219"/>
      <c r="D21731" s="219"/>
      <c r="E21731" s="219"/>
      <c r="F21731" s="219"/>
      <c r="G21731" s="52">
        <f>G21725+G21727+G21728+G21729</f>
        <v>257790</v>
      </c>
    </row>
    <row r="21732" spans="1:7" x14ac:dyDescent="0.25">
      <c r="A21732" s="59"/>
      <c r="B21732" s="60"/>
      <c r="C21732" s="60"/>
      <c r="D21732" s="60"/>
      <c r="E21732" s="57"/>
      <c r="F21732" s="57"/>
      <c r="G21732" s="58"/>
    </row>
    <row r="21733" spans="1:7" x14ac:dyDescent="0.25">
      <c r="A21733" s="64"/>
      <c r="D21733" s="55"/>
      <c r="E21733" s="49" t="s">
        <v>102</v>
      </c>
      <c r="F21733" s="49" t="s">
        <v>103</v>
      </c>
      <c r="G21733" s="51">
        <f>G21729*19%</f>
        <v>1959.2040000000002</v>
      </c>
    </row>
    <row r="21734" spans="1:7" x14ac:dyDescent="0.25">
      <c r="A21734" s="61"/>
      <c r="B21734" s="62"/>
      <c r="C21734" s="62"/>
      <c r="D21734" s="62"/>
      <c r="E21734" s="57"/>
      <c r="F21734" s="57"/>
      <c r="G21734" s="58"/>
    </row>
    <row r="21735" spans="1:7" x14ac:dyDescent="0.25">
      <c r="A21735" s="219" t="s">
        <v>104</v>
      </c>
      <c r="B21735" s="219"/>
      <c r="C21735" s="219"/>
      <c r="D21735" s="219"/>
      <c r="E21735" s="219"/>
      <c r="F21735" s="219"/>
      <c r="G21735" s="52">
        <f>G21733+G21731</f>
        <v>259749.204</v>
      </c>
    </row>
    <row r="21737" spans="1:7" x14ac:dyDescent="0.25">
      <c r="A21737" s="74" t="s">
        <v>29</v>
      </c>
      <c r="B21737" s="226" t="s">
        <v>30</v>
      </c>
      <c r="C21737" s="226"/>
      <c r="D21737" s="74" t="s">
        <v>31</v>
      </c>
      <c r="E21737" s="74" t="s">
        <v>32</v>
      </c>
      <c r="F21737" s="74" t="s">
        <v>189</v>
      </c>
      <c r="G21737" s="74" t="s">
        <v>33</v>
      </c>
    </row>
    <row r="21738" spans="1:7" ht="34.5" customHeight="1" x14ac:dyDescent="0.25">
      <c r="A21738" s="50" t="str">
        <f>Presupuesto!B413</f>
        <v>076_AUX</v>
      </c>
      <c r="B21738" s="220" t="str">
        <f>Presupuesto!C413</f>
        <v xml:space="preserve">SUMINISTRO E INSTALACIÓN DE CANALIZACIÓN PARA LLEGADA A EQUIPOS EN PATIO EN TUBO CONDUIT METALICO GALVANIZADO IMC DIAMETRO 3/4" (SECCIONADOR, RECONECTADOR Y CIRCUITO AUXILIAR DE CONTROLES) </v>
      </c>
      <c r="C21738" s="220"/>
      <c r="D21738" s="50" t="s">
        <v>8</v>
      </c>
      <c r="E21738" s="50">
        <v>20</v>
      </c>
      <c r="F21738" s="50"/>
      <c r="G21738" s="51">
        <f>G21808</f>
        <v>174918.10050000003</v>
      </c>
    </row>
    <row r="21739" spans="1:7" x14ac:dyDescent="0.25">
      <c r="A21739" s="219" t="s">
        <v>34</v>
      </c>
      <c r="B21739" s="219"/>
      <c r="C21739" s="219"/>
      <c r="D21739" s="219"/>
      <c r="E21739" s="219"/>
      <c r="F21739" s="219"/>
      <c r="G21739" s="219"/>
    </row>
    <row r="21740" spans="1:7" x14ac:dyDescent="0.25">
      <c r="A21740" s="49" t="s">
        <v>35</v>
      </c>
      <c r="B21740" s="219" t="s">
        <v>36</v>
      </c>
      <c r="C21740" s="219"/>
      <c r="D21740" s="49" t="s">
        <v>37</v>
      </c>
      <c r="E21740" s="49" t="s">
        <v>38</v>
      </c>
      <c r="F21740" s="49" t="s">
        <v>39</v>
      </c>
      <c r="G21740" s="49" t="s">
        <v>40</v>
      </c>
    </row>
    <row r="21741" spans="1:7" x14ac:dyDescent="0.25">
      <c r="A21741" s="17" t="str">
        <f>Material!A70</f>
        <v>MA-69</v>
      </c>
      <c r="B21741" s="143" t="str">
        <f>IFERROR(VLOOKUP(A21741,Material!$A:$H,2,0),"-")</f>
        <v>TUBO CONDUIT METÁLICO GALVANIZADO IMC DIAMETRO 3/4"</v>
      </c>
      <c r="C21741" s="73"/>
      <c r="D21741" s="50" t="str">
        <f>IFERROR(VLOOKUP(A21741,Material!$A:$H,4,0),"-")</f>
        <v>ML</v>
      </c>
      <c r="E21741" s="53">
        <v>1</v>
      </c>
      <c r="F21741" s="51">
        <f>IFERROR(VLOOKUP(A21741,Material!$A:$H,3,0),"-")</f>
        <v>29965</v>
      </c>
      <c r="G21741" s="51">
        <f t="shared" ref="G21741:G21749" si="326">IFERROR(ROUNDUP(F21741*E21741,0),"-")</f>
        <v>29965</v>
      </c>
    </row>
    <row r="21742" spans="1:7" x14ac:dyDescent="0.25">
      <c r="A21742" s="17" t="str">
        <f>Material!A71</f>
        <v>MA-70</v>
      </c>
      <c r="B21742" s="143" t="str">
        <f>IFERROR(VLOOKUP(A21742,Material!$A:$H,2,0),"-")</f>
        <v>CORAZA METÁLICA LIQUID TIGHT DE 3/4"</v>
      </c>
      <c r="C21742" s="73"/>
      <c r="D21742" s="50" t="str">
        <f>IFERROR(VLOOKUP(A21742,Material!$A:$H,4,0),"-")</f>
        <v>ML</v>
      </c>
      <c r="E21742" s="53">
        <v>0.5</v>
      </c>
      <c r="F21742" s="51">
        <f>IFERROR(VLOOKUP(A21742,Material!$A:$H,3,0),"-")</f>
        <v>8905</v>
      </c>
      <c r="G21742" s="51">
        <f t="shared" si="326"/>
        <v>4453</v>
      </c>
    </row>
    <row r="21743" spans="1:7" x14ac:dyDescent="0.25">
      <c r="A21743" s="17" t="str">
        <f>Material!A72</f>
        <v>MA-71</v>
      </c>
      <c r="B21743" s="143" t="str">
        <f>IFERROR(VLOOKUP(A21743,Material!$A:$H,2,0),"-")</f>
        <v>TUBERÍA PVC 3/4"</v>
      </c>
      <c r="C21743" s="73"/>
      <c r="D21743" s="50" t="s">
        <v>108</v>
      </c>
      <c r="E21743" s="53">
        <v>2</v>
      </c>
      <c r="F21743" s="51">
        <f>IFERROR(VLOOKUP(A21743,Material!$A:$H,3,0),"-")</f>
        <v>2253.3333333333335</v>
      </c>
      <c r="G21743" s="51">
        <f t="shared" si="326"/>
        <v>4507</v>
      </c>
    </row>
    <row r="21744" spans="1:7" x14ac:dyDescent="0.25">
      <c r="A21744" s="17" t="str">
        <f>Material!A73</f>
        <v>MA-72</v>
      </c>
      <c r="B21744" s="143" t="str">
        <f>IFERROR(VLOOKUP(A21744,Material!$A:$H,2,0),"-")</f>
        <v>CURVA PVC 3/4"</v>
      </c>
      <c r="C21744" s="73"/>
      <c r="D21744" s="50" t="str">
        <f>IFERROR(VLOOKUP(A21744,Material!$A:$H,4,0),"-")</f>
        <v>UN</v>
      </c>
      <c r="E21744" s="53">
        <v>1</v>
      </c>
      <c r="F21744" s="51">
        <f>IFERROR(VLOOKUP(A21744,Material!$A:$H,3,0),"-")</f>
        <v>975</v>
      </c>
      <c r="G21744" s="51">
        <f t="shared" si="326"/>
        <v>975</v>
      </c>
    </row>
    <row r="21745" spans="1:7" x14ac:dyDescent="0.25">
      <c r="A21745" s="17" t="str">
        <f>Material!A74</f>
        <v>MA-73</v>
      </c>
      <c r="B21745" s="143" t="str">
        <f>IFERROR(VLOOKUP(A21745,Material!$A:$H,2,0),"-")</f>
        <v>CONECTOR RECTO LIQUID TIGHT DE 3/4"</v>
      </c>
      <c r="C21745" s="73"/>
      <c r="D21745" s="50" t="str">
        <f>IFERROR(VLOOKUP(A21745,Material!$A:$H,4,0),"-")</f>
        <v>UN</v>
      </c>
      <c r="E21745" s="53">
        <v>2</v>
      </c>
      <c r="F21745" s="51">
        <f>IFERROR(VLOOKUP(A21745,Material!$A:$H,3,0),"-")</f>
        <v>19034.600000000002</v>
      </c>
      <c r="G21745" s="51">
        <f t="shared" si="326"/>
        <v>38070</v>
      </c>
    </row>
    <row r="21746" spans="1:7" x14ac:dyDescent="0.25">
      <c r="A21746" s="17" t="str">
        <f>Material!A75</f>
        <v>MA-74</v>
      </c>
      <c r="B21746" s="143" t="str">
        <f>IFERROR(VLOOKUP(A21746,Material!$A:$H,2,0),"-")</f>
        <v>CONDULETA TIPO LR DE 3/4" IMC</v>
      </c>
      <c r="C21746" s="73"/>
      <c r="D21746" s="50" t="str">
        <f>IFERROR(VLOOKUP(A21746,Material!$A:$H,4,0),"-")</f>
        <v>UN</v>
      </c>
      <c r="E21746" s="53">
        <v>1</v>
      </c>
      <c r="F21746" s="51">
        <f>IFERROR(VLOOKUP(A21746,Material!$A:$H,3,0),"-")</f>
        <v>8433.1</v>
      </c>
      <c r="G21746" s="51">
        <f t="shared" si="326"/>
        <v>8434</v>
      </c>
    </row>
    <row r="21747" spans="1:7" x14ac:dyDescent="0.25">
      <c r="A21747" s="17" t="str">
        <f>Material!A201</f>
        <v>MA-200</v>
      </c>
      <c r="B21747" s="143" t="str">
        <f>IFERROR(VLOOKUP(A21747,Material!$A:$H,2,0),"-")</f>
        <v>SOLDADURA PVC 1/4 GL</v>
      </c>
      <c r="C21747" s="73"/>
      <c r="D21747" s="50" t="str">
        <f>IFERROR(VLOOKUP(A21747,Material!$A:$H,4,0),"-")</f>
        <v>GALÓN</v>
      </c>
      <c r="E21747" s="96">
        <v>3.3333333333333333E-2</v>
      </c>
      <c r="F21747" s="51">
        <f>IFERROR(VLOOKUP(A21747,Material!$A:$H,3,0),"-")</f>
        <v>88270</v>
      </c>
      <c r="G21747" s="51">
        <f t="shared" si="326"/>
        <v>2943</v>
      </c>
    </row>
    <row r="21748" spans="1:7" x14ac:dyDescent="0.25">
      <c r="A21748" s="17" t="str">
        <f>Material!A253</f>
        <v>MA-252</v>
      </c>
      <c r="B21748" s="143" t="str">
        <f>IFERROR(VLOOKUP(A21748,Material!$A:$H,2,0),"-")</f>
        <v>LIMPIADOR DE TUBERÍA PVC 1/4 GL</v>
      </c>
      <c r="C21748" s="73"/>
      <c r="D21748" s="50" t="str">
        <f>IFERROR(VLOOKUP(A21748,Material!$A:$H,4,0),"-")</f>
        <v>GALÓN</v>
      </c>
      <c r="E21748" s="96">
        <v>3.3333333333333333E-2</v>
      </c>
      <c r="F21748" s="51">
        <f>IFERROR(VLOOKUP(A21748,Material!$A:$H,3,0),"-")</f>
        <v>60970</v>
      </c>
      <c r="G21748" s="51">
        <f t="shared" si="326"/>
        <v>2033</v>
      </c>
    </row>
    <row r="21749" spans="1:7" x14ac:dyDescent="0.25">
      <c r="A21749" s="17"/>
      <c r="B21749" s="143" t="str">
        <f>IFERROR(VLOOKUP(A21749,Material!$A:$H,2,0),"-")</f>
        <v>-</v>
      </c>
      <c r="C21749" s="73"/>
      <c r="D21749" s="50" t="str">
        <f>IFERROR(VLOOKUP(A21749,Material!$A:$H,4,0),"-")</f>
        <v>-</v>
      </c>
      <c r="E21749" s="96"/>
      <c r="F21749" s="51" t="str">
        <f>IFERROR(VLOOKUP(A21749,Material!$A:$H,3,0),"-")</f>
        <v>-</v>
      </c>
      <c r="G21749" s="51" t="str">
        <f t="shared" si="326"/>
        <v>-</v>
      </c>
    </row>
    <row r="21750" spans="1:7" x14ac:dyDescent="0.25">
      <c r="A21750" s="219" t="s">
        <v>41</v>
      </c>
      <c r="B21750" s="219"/>
      <c r="C21750" s="219"/>
      <c r="D21750" s="219"/>
      <c r="E21750" s="219"/>
      <c r="F21750" s="219"/>
      <c r="G21750" s="52">
        <f>SUM(G21741:G21749)</f>
        <v>91380</v>
      </c>
    </row>
    <row r="21751" spans="1:7" x14ac:dyDescent="0.25">
      <c r="A21751" s="56"/>
      <c r="B21751" s="57"/>
      <c r="C21751" s="57"/>
      <c r="D21751" s="57"/>
      <c r="E21751" s="57"/>
      <c r="F21751" s="57"/>
      <c r="G21751" s="58"/>
    </row>
    <row r="21752" spans="1:7" x14ac:dyDescent="0.25">
      <c r="A21752" s="219" t="s">
        <v>42</v>
      </c>
      <c r="B21752" s="219"/>
      <c r="C21752" s="219"/>
      <c r="D21752" s="219"/>
      <c r="E21752" s="219"/>
      <c r="F21752" s="219"/>
      <c r="G21752" s="219"/>
    </row>
    <row r="21753" spans="1:7" x14ac:dyDescent="0.25">
      <c r="A21753" s="49" t="s">
        <v>35</v>
      </c>
      <c r="B21753" s="49" t="s">
        <v>36</v>
      </c>
      <c r="C21753" s="49" t="s">
        <v>38</v>
      </c>
      <c r="D21753" s="49" t="s">
        <v>43</v>
      </c>
      <c r="E21753" s="49" t="s">
        <v>44</v>
      </c>
      <c r="F21753" s="49" t="s">
        <v>45</v>
      </c>
      <c r="G21753" s="49" t="s">
        <v>40</v>
      </c>
    </row>
    <row r="21754" spans="1:7" x14ac:dyDescent="0.25">
      <c r="A21754" s="50" t="s">
        <v>319</v>
      </c>
      <c r="B21754" s="68" t="str">
        <f>VLOOKUP(A21754,'Componentes APUs'!$H$1:$L$25,2,0)</f>
        <v>Ingeniero Residente de Obra</v>
      </c>
      <c r="C21754" s="93">
        <v>0.25</v>
      </c>
      <c r="D21754" s="50">
        <f>VLOOKUP(A21754,'Componentes APUs'!$H$1:$L$25,3,0)</f>
        <v>4</v>
      </c>
      <c r="E21754" s="51">
        <f>VLOOKUP(A21754,'Componentes APUs'!$H$1:$L$25,4,0)</f>
        <v>271142.85714285716</v>
      </c>
      <c r="F21754" s="51">
        <f>VLOOKUP(A21754,'Componentes APUs'!$H$1:$L$25,5,0)</f>
        <v>162685.71428571429</v>
      </c>
      <c r="G21754" s="51">
        <f>ROUNDUP((E21754+F21754)*C21754/E21738,0)</f>
        <v>5423</v>
      </c>
    </row>
    <row r="21755" spans="1:7" x14ac:dyDescent="0.25">
      <c r="A21755" s="50" t="s">
        <v>320</v>
      </c>
      <c r="B21755" s="68" t="str">
        <f>VLOOKUP(A21755,'Componentes APUs'!$H$1:$L$25,2,0)</f>
        <v>Tecnico Supervisor</v>
      </c>
      <c r="C21755" s="93">
        <v>0.25</v>
      </c>
      <c r="D21755" s="50">
        <f>VLOOKUP(A21755,'Componentes APUs'!$H$1:$L$25,3,0)</f>
        <v>2.2999999999999998</v>
      </c>
      <c r="E21755" s="51">
        <f>VLOOKUP(A21755,'Componentes APUs'!$H$1:$L$25,4,0)</f>
        <v>155907.14285714284</v>
      </c>
      <c r="F21755" s="51">
        <f>VLOOKUP(A21755,'Componentes APUs'!$H$1:$L$25,5,0)</f>
        <v>93544.285714285696</v>
      </c>
      <c r="G21755" s="51">
        <f>ROUNDUP((E21755+F21755)*C21755/E21738,0)</f>
        <v>3119</v>
      </c>
    </row>
    <row r="21756" spans="1:7" x14ac:dyDescent="0.25">
      <c r="A21756" s="50" t="s">
        <v>46</v>
      </c>
      <c r="B21756" s="68" t="str">
        <f>VLOOKUP(A21756,'Componentes APUs'!$H$1:$L$25,2,0)</f>
        <v>Tecnico Liniero</v>
      </c>
      <c r="C21756" s="93">
        <v>1</v>
      </c>
      <c r="D21756" s="50">
        <f>VLOOKUP(A21756,'Componentes APUs'!$H$1:$L$25,3,0)</f>
        <v>2</v>
      </c>
      <c r="E21756" s="51">
        <f>VLOOKUP(A21756,'Componentes APUs'!$H$1:$L$25,4,0)</f>
        <v>154619.04761904763</v>
      </c>
      <c r="F21756" s="51">
        <f>VLOOKUP(A21756,'Componentes APUs'!$H$1:$L$25,5,0)</f>
        <v>92771.42857142858</v>
      </c>
      <c r="G21756" s="51">
        <f>ROUNDUP((E21756+F21756)*C21756/E21738,0)</f>
        <v>12370</v>
      </c>
    </row>
    <row r="21757" spans="1:7" x14ac:dyDescent="0.25">
      <c r="A21757" s="50" t="s">
        <v>48</v>
      </c>
      <c r="B21757" s="68" t="str">
        <f>VLOOKUP(A21757,'Componentes APUs'!$H$1:$L$25,2,0)</f>
        <v>Ayudante Calificado</v>
      </c>
      <c r="C21757" s="93">
        <v>1</v>
      </c>
      <c r="D21757" s="50">
        <f>VLOOKUP(A21757,'Componentes APUs'!$H$1:$L$25,3,0)</f>
        <v>1.5</v>
      </c>
      <c r="E21757" s="51">
        <f>VLOOKUP(A21757,'Componentes APUs'!$H$1:$L$25,4,0)</f>
        <v>115964.28571428571</v>
      </c>
      <c r="F21757" s="51">
        <f>VLOOKUP(A21757,'Componentes APUs'!$H$1:$L$25,5,0)</f>
        <v>69578.57142857142</v>
      </c>
      <c r="G21757" s="51">
        <f>ROUNDUP((E21757+F21757)*C21757/E21738,0)</f>
        <v>9278</v>
      </c>
    </row>
    <row r="21758" spans="1:7" x14ac:dyDescent="0.25">
      <c r="A21758" s="50" t="s">
        <v>50</v>
      </c>
      <c r="B21758" s="68" t="str">
        <f>VLOOKUP(A21758,'Componentes APUs'!$H$1:$L$25,2,0)</f>
        <v>Profesional en SST</v>
      </c>
      <c r="C21758" s="93">
        <v>0.25</v>
      </c>
      <c r="D21758" s="50">
        <f>VLOOKUP(A21758,'Componentes APUs'!$H$1:$L$25,3,0)</f>
        <v>2.5</v>
      </c>
      <c r="E21758" s="51">
        <f>VLOOKUP(A21758,'Componentes APUs'!$H$1:$L$25,4,0)</f>
        <v>169464.28571428571</v>
      </c>
      <c r="F21758" s="51">
        <f>VLOOKUP(A21758,'Componentes APUs'!$H$1:$L$25,5,0)</f>
        <v>101678.57142857142</v>
      </c>
      <c r="G21758" s="51">
        <f>ROUNDUP((E21758+F21758)*C21758/E21738,0)</f>
        <v>3390</v>
      </c>
    </row>
    <row r="21759" spans="1:7" x14ac:dyDescent="0.25">
      <c r="A21759" s="50" t="s">
        <v>52</v>
      </c>
      <c r="B21759" s="68" t="str">
        <f>VLOOKUP(A21759,'Componentes APUs'!$H$1:$L$25,2,0)</f>
        <v>Ayudante No Calificado</v>
      </c>
      <c r="C21759" s="93">
        <v>0</v>
      </c>
      <c r="D21759" s="50">
        <f>VLOOKUP(A21759,'Componentes APUs'!$H$1:$L$25,3,0)</f>
        <v>1</v>
      </c>
      <c r="E21759" s="51">
        <f>VLOOKUP(A21759,'Componentes APUs'!$H$1:$L$25,4,0)</f>
        <v>77309.523809523816</v>
      </c>
      <c r="F21759" s="51">
        <f>VLOOKUP(A21759,'Componentes APUs'!$H$1:$L$25,5,0)</f>
        <v>46385.71428571429</v>
      </c>
      <c r="G21759" s="51">
        <f>ROUNDUP((E21759+F21759)*C21759/E21738,0)</f>
        <v>0</v>
      </c>
    </row>
    <row r="21760" spans="1:7" x14ac:dyDescent="0.25">
      <c r="A21760" s="219" t="s">
        <v>56</v>
      </c>
      <c r="B21760" s="219"/>
      <c r="C21760" s="219"/>
      <c r="D21760" s="219"/>
      <c r="E21760" s="219"/>
      <c r="F21760" s="219"/>
      <c r="G21760" s="52">
        <f>SUM(G21754:G21759)</f>
        <v>33580</v>
      </c>
    </row>
    <row r="21761" spans="1:7" x14ac:dyDescent="0.25">
      <c r="A21761" s="56"/>
      <c r="B21761" s="57"/>
      <c r="C21761" s="57"/>
      <c r="D21761" s="57"/>
      <c r="E21761" s="57"/>
      <c r="F21761" s="57"/>
      <c r="G21761" s="58"/>
    </row>
    <row r="21762" spans="1:7" x14ac:dyDescent="0.25">
      <c r="A21762" s="219" t="s">
        <v>57</v>
      </c>
      <c r="B21762" s="219"/>
      <c r="C21762" s="219"/>
      <c r="D21762" s="219"/>
      <c r="E21762" s="219"/>
      <c r="F21762" s="219"/>
      <c r="G21762" s="219"/>
    </row>
    <row r="21763" spans="1:7" x14ac:dyDescent="0.25">
      <c r="A21763" s="49" t="s">
        <v>35</v>
      </c>
      <c r="B21763" s="219" t="s">
        <v>36</v>
      </c>
      <c r="C21763" s="219"/>
      <c r="D21763" s="49" t="s">
        <v>37</v>
      </c>
      <c r="E21763" s="49" t="s">
        <v>38</v>
      </c>
      <c r="F21763" s="49" t="s">
        <v>39</v>
      </c>
      <c r="G21763" s="49" t="s">
        <v>40</v>
      </c>
    </row>
    <row r="21764" spans="1:7" x14ac:dyDescent="0.25">
      <c r="A21764" s="50" t="s">
        <v>326</v>
      </c>
      <c r="B21764" s="220" t="str">
        <f>VLOOKUP(A21764,'Componentes APUs'!$S$1:$V$10,2,0)</f>
        <v>Juego Llaves</v>
      </c>
      <c r="C21764" s="220"/>
      <c r="D21764" s="50" t="s">
        <v>18</v>
      </c>
      <c r="E21764" s="50">
        <v>2</v>
      </c>
      <c r="F21764" s="51">
        <f>VLOOKUP(A21764,'Componentes APUs'!$S$1:$V$10,4,0)</f>
        <v>9167</v>
      </c>
      <c r="G21764" s="51">
        <f>ROUNDUP(F21764*((E21764/21)/E21738),0)</f>
        <v>44</v>
      </c>
    </row>
    <row r="21765" spans="1:7" x14ac:dyDescent="0.25">
      <c r="A21765" s="50" t="s">
        <v>58</v>
      </c>
      <c r="B21765" s="220" t="str">
        <f>VLOOKUP(A21765,'Componentes APUs'!$S$1:$V$10,2,0)</f>
        <v>Manila de servicio</v>
      </c>
      <c r="C21765" s="220"/>
      <c r="D21765" s="50" t="s">
        <v>18</v>
      </c>
      <c r="E21765" s="50">
        <v>2</v>
      </c>
      <c r="F21765" s="51">
        <f>VLOOKUP(A21765,'Componentes APUs'!$S$1:$V$10,4,0)</f>
        <v>2333</v>
      </c>
      <c r="G21765" s="51">
        <f>ROUNDUP(F21765*((E21765/21)/E21738),0)</f>
        <v>12</v>
      </c>
    </row>
    <row r="21766" spans="1:7" x14ac:dyDescent="0.25">
      <c r="A21766" s="50" t="s">
        <v>327</v>
      </c>
      <c r="B21766" s="220" t="str">
        <f>VLOOKUP(A21766,'Componentes APUs'!$S$1:$V$10,2,0)</f>
        <v>Tula portaherramientas</v>
      </c>
      <c r="C21766" s="220"/>
      <c r="D21766" s="50" t="s">
        <v>18</v>
      </c>
      <c r="E21766" s="50">
        <v>2</v>
      </c>
      <c r="F21766" s="51">
        <f>VLOOKUP(A21766,'Componentes APUs'!$S$1:$V$10,4,0)</f>
        <v>1250</v>
      </c>
      <c r="G21766" s="51">
        <f>ROUNDUP(F21766*((E21766/21)/E21738),0)</f>
        <v>6</v>
      </c>
    </row>
    <row r="21767" spans="1:7" x14ac:dyDescent="0.25">
      <c r="A21767" s="50" t="s">
        <v>60</v>
      </c>
      <c r="B21767" s="220" t="str">
        <f>VLOOKUP(A21767,'Componentes APUs'!$S$1:$V$10,2,0)</f>
        <v>Agarradoras</v>
      </c>
      <c r="C21767" s="220"/>
      <c r="D21767" s="50" t="s">
        <v>18</v>
      </c>
      <c r="E21767" s="50">
        <v>0</v>
      </c>
      <c r="F21767" s="51">
        <f>VLOOKUP(A21767,'Componentes APUs'!$S$1:$V$10,4,0)</f>
        <v>125000</v>
      </c>
      <c r="G21767" s="51">
        <f>ROUNDUP(F21767*((E21767/21)/E21738),0)</f>
        <v>0</v>
      </c>
    </row>
    <row r="21768" spans="1:7" x14ac:dyDescent="0.25">
      <c r="A21768" s="50" t="s">
        <v>62</v>
      </c>
      <c r="B21768" s="220" t="str">
        <f>VLOOKUP(A21768,'Componentes APUs'!$S$1:$V$10,2,0)</f>
        <v>Templadoras</v>
      </c>
      <c r="C21768" s="220"/>
      <c r="D21768" s="50" t="s">
        <v>18</v>
      </c>
      <c r="E21768" s="50">
        <v>0</v>
      </c>
      <c r="F21768" s="51">
        <f>VLOOKUP(A21768,'Componentes APUs'!$S$1:$V$10,4,0)</f>
        <v>250000</v>
      </c>
      <c r="G21768" s="51">
        <f>ROUNDUP(F21768*((E21768/21)/E21738),0)</f>
        <v>0</v>
      </c>
    </row>
    <row r="21769" spans="1:7" x14ac:dyDescent="0.25">
      <c r="A21769" s="50" t="s">
        <v>328</v>
      </c>
      <c r="B21769" s="220" t="str">
        <f>VLOOKUP(A21769,'Componentes APUs'!$S$1:$V$10,2,0)</f>
        <v>Herramienta Menor</v>
      </c>
      <c r="C21769" s="220"/>
      <c r="D21769" s="50" t="s">
        <v>18</v>
      </c>
      <c r="E21769" s="50">
        <v>2</v>
      </c>
      <c r="F21769" s="51">
        <f>VLOOKUP(A21769,'Componentes APUs'!$S$1:$V$10,4,0)</f>
        <v>75758</v>
      </c>
      <c r="G21769" s="51">
        <f>ROUNDUP(F21769*((E21769/21)/E21738),0)</f>
        <v>361</v>
      </c>
    </row>
    <row r="21770" spans="1:7" x14ac:dyDescent="0.25">
      <c r="A21770" s="219" t="s">
        <v>69</v>
      </c>
      <c r="B21770" s="219"/>
      <c r="C21770" s="219"/>
      <c r="D21770" s="219"/>
      <c r="E21770" s="219"/>
      <c r="F21770" s="219"/>
      <c r="G21770" s="52">
        <f>SUM(G21764:G21769)</f>
        <v>423</v>
      </c>
    </row>
    <row r="21771" spans="1:7" x14ac:dyDescent="0.25">
      <c r="A21771" s="56"/>
      <c r="B21771" s="57"/>
      <c r="C21771" s="57"/>
      <c r="D21771" s="57"/>
      <c r="E21771" s="57"/>
      <c r="F21771" s="57"/>
      <c r="G21771" s="58"/>
    </row>
    <row r="21772" spans="1:7" x14ac:dyDescent="0.25">
      <c r="A21772" s="219" t="s">
        <v>70</v>
      </c>
      <c r="B21772" s="219"/>
      <c r="C21772" s="219"/>
      <c r="D21772" s="219"/>
      <c r="E21772" s="219"/>
      <c r="F21772" s="219"/>
      <c r="G21772" s="219"/>
    </row>
    <row r="21773" spans="1:7" x14ac:dyDescent="0.25">
      <c r="A21773" s="49" t="s">
        <v>35</v>
      </c>
      <c r="B21773" s="219" t="s">
        <v>36</v>
      </c>
      <c r="C21773" s="219"/>
      <c r="D21773" s="49" t="s">
        <v>37</v>
      </c>
      <c r="E21773" s="49" t="s">
        <v>38</v>
      </c>
      <c r="F21773" s="49" t="s">
        <v>39</v>
      </c>
      <c r="G21773" s="49" t="s">
        <v>40</v>
      </c>
    </row>
    <row r="21774" spans="1:7" x14ac:dyDescent="0.25">
      <c r="A21774" s="50" t="s">
        <v>71</v>
      </c>
      <c r="B21774" s="71" t="str">
        <f>VLOOKUP(A21774,'Componentes APUs'!$A$1:$D$14,2,0)</f>
        <v>Camisa indigo sin partes metalicas</v>
      </c>
      <c r="C21774" s="71"/>
      <c r="D21774" s="50" t="str">
        <f>VLOOKUP(A21774,'Componentes APUs'!$A$1:$D$14,3,0)</f>
        <v>U</v>
      </c>
      <c r="E21774" s="50">
        <f>SUM(C21754:C21759)</f>
        <v>2.75</v>
      </c>
      <c r="F21774" s="51">
        <f>VLOOKUP(A21774,'Componentes APUs'!$A$1:$D$14,4,0)</f>
        <v>8585.8585858585866</v>
      </c>
      <c r="G21774" s="51">
        <f>ROUNDUP(F21774*(E21774/21)/E21738,0)</f>
        <v>57</v>
      </c>
    </row>
    <row r="21775" spans="1:7" x14ac:dyDescent="0.25">
      <c r="A21775" s="69" t="s">
        <v>73</v>
      </c>
      <c r="B21775" s="72" t="str">
        <f>VLOOKUP(A21775,'Componentes APUs'!$A$1:$D$14,2,0)</f>
        <v>Bota de seguridad dielectrica</v>
      </c>
      <c r="C21775" s="73"/>
      <c r="D21775" s="70" t="str">
        <f>VLOOKUP(A21775,'Componentes APUs'!$A$1:$D$14,3,0)</f>
        <v>Par</v>
      </c>
      <c r="E21775" s="50">
        <f>SUM(C21754:C21759)</f>
        <v>2.75</v>
      </c>
      <c r="F21775" s="51">
        <f>VLOOKUP(A21775,'Componentes APUs'!$A$1:$D$14,4,0)</f>
        <v>7500</v>
      </c>
      <c r="G21775" s="51">
        <f>ROUNDUP(F21775*(E21775/21)/E21738,0)</f>
        <v>50</v>
      </c>
    </row>
    <row r="21776" spans="1:7" x14ac:dyDescent="0.25">
      <c r="A21776" s="50" t="s">
        <v>76</v>
      </c>
      <c r="B21776" s="72" t="str">
        <f>VLOOKUP(A21776,'Componentes APUs'!$A$1:$D$14,2,0)</f>
        <v>Casco dielectrico Tipo 1 Clase E con barbuquejo</v>
      </c>
      <c r="C21776" s="73"/>
      <c r="D21776" s="50" t="str">
        <f>VLOOKUP(A21776,'Componentes APUs'!$A$1:$D$14,3,0)</f>
        <v>U</v>
      </c>
      <c r="E21776" s="50">
        <f>C21754+C21757+C21758+C21755+C21759+IF(A21756&lt;&gt;"MO-3",C21756,0)</f>
        <v>1.75</v>
      </c>
      <c r="F21776" s="51">
        <f>VLOOKUP(A21776,'Componentes APUs'!$A$1:$D$14,4,0)</f>
        <v>10101.010101010101</v>
      </c>
      <c r="G21776" s="51">
        <f>ROUNDUP(F21776*(E21776/21)/E21738,0)</f>
        <v>43</v>
      </c>
    </row>
    <row r="21777" spans="1:7" x14ac:dyDescent="0.25">
      <c r="A21777" s="69" t="s">
        <v>77</v>
      </c>
      <c r="B21777" s="72" t="str">
        <f>VLOOKUP(A21777,'Componentes APUs'!$A$1:$D$14,2,0)</f>
        <v>Correa plastica y antiflama</v>
      </c>
      <c r="C21777" s="73"/>
      <c r="D21777" s="50" t="str">
        <f>VLOOKUP(A21777,'Componentes APUs'!$A$1:$D$14,3,0)</f>
        <v>U</v>
      </c>
      <c r="E21777" s="50">
        <f>SUM(C21754:C21759)</f>
        <v>2.75</v>
      </c>
      <c r="F21777" s="51">
        <f>VLOOKUP(A21777,'Componentes APUs'!$A$1:$D$14,4,0)</f>
        <v>3787.878787878788</v>
      </c>
      <c r="G21777" s="51">
        <f>ROUNDUP(F21777*(E21777/21)/E21738,0)</f>
        <v>25</v>
      </c>
    </row>
    <row r="21778" spans="1:7" x14ac:dyDescent="0.25">
      <c r="A21778" s="50" t="s">
        <v>79</v>
      </c>
      <c r="B21778" s="72" t="str">
        <f>VLOOKUP(A21778,'Componentes APUs'!$A$1:$D$14,2,0)</f>
        <v>Gafas protectoras filtro UV</v>
      </c>
      <c r="C21778" s="73"/>
      <c r="D21778" s="50" t="str">
        <f>VLOOKUP(A21778,'Componentes APUs'!$A$1:$D$14,3,0)</f>
        <v>U</v>
      </c>
      <c r="E21778" s="50">
        <f>SUM(C21754:C21759)</f>
        <v>2.75</v>
      </c>
      <c r="F21778" s="51">
        <f>VLOOKUP(A21778,'Componentes APUs'!$A$1:$D$14,4,0)</f>
        <v>2777.7777777777778</v>
      </c>
      <c r="G21778" s="51">
        <f>ROUNDUP(F21778*(E21778/21)/E21738,0)</f>
        <v>19</v>
      </c>
    </row>
    <row r="21779" spans="1:7" x14ac:dyDescent="0.25">
      <c r="A21779" s="69" t="s">
        <v>402</v>
      </c>
      <c r="B21779" s="72" t="str">
        <f>VLOOKUP(A21779,'Componentes APUs'!$A$1:$D$14,2,0)</f>
        <v>Bota de seguridad PVC dielectrica</v>
      </c>
      <c r="C21779" s="73"/>
      <c r="D21779" s="50" t="str">
        <f>VLOOKUP(A21779,'Componentes APUs'!$A$1:$D$14,3,0)</f>
        <v>Par</v>
      </c>
      <c r="E21779" s="50">
        <f>SUM(C21754:C21759)</f>
        <v>2.75</v>
      </c>
      <c r="F21779" s="51">
        <f>VLOOKUP(A21779,'Componentes APUs'!$A$1:$D$14,4,0)</f>
        <v>2916.6666666666665</v>
      </c>
      <c r="G21779" s="51">
        <f>ROUNDUP(F21779*(E21779/21)/E21738,0)</f>
        <v>20</v>
      </c>
    </row>
    <row r="21780" spans="1:7" x14ac:dyDescent="0.25">
      <c r="A21780" s="50" t="s">
        <v>403</v>
      </c>
      <c r="B21780" s="72" t="str">
        <f>VLOOKUP(A21780,'Componentes APUs'!$A$1:$D$14,2,0)</f>
        <v>Capuchon</v>
      </c>
      <c r="C21780" s="73"/>
      <c r="D21780" s="50" t="str">
        <f>VLOOKUP(A21780,'Componentes APUs'!$A$1:$D$14,3,0)</f>
        <v>U</v>
      </c>
      <c r="E21780" s="50">
        <f>SUM(C21754:C21759)</f>
        <v>2.75</v>
      </c>
      <c r="F21780" s="51">
        <f>VLOOKUP(A21780,'Componentes APUs'!$A$1:$D$14,4,0)</f>
        <v>2525.2525252525252</v>
      </c>
      <c r="G21780" s="51">
        <f>ROUNDUP(F21780*(E21780/21)/E21738,0)</f>
        <v>17</v>
      </c>
    </row>
    <row r="21781" spans="1:7" x14ac:dyDescent="0.25">
      <c r="A21781" s="69" t="s">
        <v>81</v>
      </c>
      <c r="B21781" s="72" t="str">
        <f>VLOOKUP(A21781,'Componentes APUs'!$A$1:$D$14,2,0)</f>
        <v>Guantes Protectores  - ingeniero reforzados</v>
      </c>
      <c r="C21781" s="73"/>
      <c r="D21781" s="50" t="str">
        <f>VLOOKUP(A21781,'Componentes APUs'!$A$1:$D$14,3,0)</f>
        <v>Par</v>
      </c>
      <c r="E21781" s="50">
        <f>C21756+C21757+C21759</f>
        <v>2</v>
      </c>
      <c r="F21781" s="51">
        <f>VLOOKUP(A21781,'Componentes APUs'!$A$1:$D$14,4,0)</f>
        <v>2525.2525252525252</v>
      </c>
      <c r="G21781" s="51">
        <f>ROUNDUP(F21781*(E21781/21)/E21738,0)</f>
        <v>13</v>
      </c>
    </row>
    <row r="21782" spans="1:7" x14ac:dyDescent="0.25">
      <c r="A21782" s="50" t="s">
        <v>83</v>
      </c>
      <c r="B21782" s="72" t="str">
        <f>VLOOKUP(A21782,'Componentes APUs'!$A$1:$D$14,2,0)</f>
        <v>Impermeable (pantalon camisa)</v>
      </c>
      <c r="C21782" s="73"/>
      <c r="D21782" s="50" t="str">
        <f>VLOOKUP(A21782,'Componentes APUs'!$A$1:$D$14,3,0)</f>
        <v>U</v>
      </c>
      <c r="E21782" s="50">
        <f>SUM(C21754:C21759)</f>
        <v>2.75</v>
      </c>
      <c r="F21782" s="51">
        <f>VLOOKUP(A21782,'Componentes APUs'!$A$1:$D$14,4,0)</f>
        <v>3750</v>
      </c>
      <c r="G21782" s="51">
        <f>ROUNDUP(F21782*(E21782/21)/E21738,0)</f>
        <v>25</v>
      </c>
    </row>
    <row r="21783" spans="1:7" x14ac:dyDescent="0.25">
      <c r="A21783" s="69" t="s">
        <v>85</v>
      </c>
      <c r="B21783" s="72" t="str">
        <f>VLOOKUP(A21783,'Componentes APUs'!$A$1:$D$14,2,0)</f>
        <v>Jean Dielectrico</v>
      </c>
      <c r="C21783" s="73"/>
      <c r="D21783" s="50" t="str">
        <f>VLOOKUP(A21783,'Componentes APUs'!$A$1:$D$14,3,0)</f>
        <v>U</v>
      </c>
      <c r="E21783" s="50">
        <f>SUM(C21754:C21759)</f>
        <v>2.75</v>
      </c>
      <c r="F21783" s="51">
        <f>VLOOKUP(A21783,'Componentes APUs'!$A$1:$D$14,4,0)</f>
        <v>7575.757575757576</v>
      </c>
      <c r="G21783" s="51">
        <f>ROUNDUP(F21783*(E21783/21)/E21738,0)</f>
        <v>50</v>
      </c>
    </row>
    <row r="21784" spans="1:7" x14ac:dyDescent="0.25">
      <c r="A21784" s="50" t="s">
        <v>87</v>
      </c>
      <c r="B21784" s="72" t="str">
        <f>VLOOKUP(A21784,'Componentes APUs'!$A$1:$D$14,2,0)</f>
        <v>Casco dielectrico Tipo 2 Clase E con barboquejo</v>
      </c>
      <c r="C21784" s="73"/>
      <c r="D21784" s="50" t="str">
        <f>VLOOKUP(A21784,'Componentes APUs'!$A$1:$D$14,3,0)</f>
        <v>U</v>
      </c>
      <c r="E21784" s="53">
        <f>IF(A21756="MO-3",C21756,0)</f>
        <v>1</v>
      </c>
      <c r="F21784" s="51">
        <f>VLOOKUP(A21784,'Componentes APUs'!$A$1:$D$14,4,0)</f>
        <v>7500</v>
      </c>
      <c r="G21784" s="51">
        <f>ROUNDUP(F21784*(E21784/21)/E21738,0)</f>
        <v>18</v>
      </c>
    </row>
    <row r="21785" spans="1:7" x14ac:dyDescent="0.25">
      <c r="A21785" s="69" t="s">
        <v>89</v>
      </c>
      <c r="B21785" s="72" t="str">
        <f>VLOOKUP(A21785,'Componentes APUs'!$A$1:$D$14,2,0)</f>
        <v>Kit de rescate para trabajo en alturas</v>
      </c>
      <c r="C21785" s="73"/>
      <c r="D21785" s="50" t="str">
        <f>VLOOKUP(A21785,'Componentes APUs'!$A$1:$D$14,3,0)</f>
        <v>U</v>
      </c>
      <c r="E21785" s="50">
        <f>IF(AND(A21756="MO-3",C21756=2),1,0)</f>
        <v>0</v>
      </c>
      <c r="F21785" s="51">
        <f>VLOOKUP(A21785,'Componentes APUs'!$A$1:$D$14,4,0)</f>
        <v>37500</v>
      </c>
      <c r="G21785" s="51">
        <f>ROUNDUP(F21785*(E21785/21)/E21738,0)</f>
        <v>0</v>
      </c>
    </row>
    <row r="21786" spans="1:7" x14ac:dyDescent="0.25">
      <c r="A21786" s="50" t="s">
        <v>91</v>
      </c>
      <c r="B21786" s="72" t="str">
        <f>VLOOKUP(A21786,'Componentes APUs'!$A$1:$D$14,2,0)</f>
        <v>Equipo completo para trabajo en alturas con pretales (Arnes dielectrico, 1 mosqueton de seguridad, tie off dielectrico, eslinga de posicionamiento, juego de pretales)</v>
      </c>
      <c r="C21786" s="73"/>
      <c r="D21786" s="50" t="str">
        <f>VLOOKUP(A21786,'Componentes APUs'!$A$1:$D$14,3,0)</f>
        <v>U</v>
      </c>
      <c r="E21786" s="50">
        <f>IF(A21756="MO-3",C21756,0)</f>
        <v>1</v>
      </c>
      <c r="F21786" s="51">
        <f>VLOOKUP(A21786,'Componentes APUs'!$A$1:$D$14,4,0)</f>
        <v>26041.666666666668</v>
      </c>
      <c r="G21786" s="51">
        <f>ROUNDUP(F21786*(E21786/21)/E21738,0)</f>
        <v>63</v>
      </c>
    </row>
    <row r="21787" spans="1:7" x14ac:dyDescent="0.25">
      <c r="A21787" s="219" t="s">
        <v>95</v>
      </c>
      <c r="B21787" s="219"/>
      <c r="C21787" s="219"/>
      <c r="D21787" s="219"/>
      <c r="E21787" s="219"/>
      <c r="F21787" s="219"/>
      <c r="G21787" s="52">
        <f>SUM(G21774:G21786)</f>
        <v>400</v>
      </c>
    </row>
    <row r="21788" spans="1:7" x14ac:dyDescent="0.25">
      <c r="A21788" s="56"/>
      <c r="B21788" s="57"/>
      <c r="C21788" s="57"/>
      <c r="D21788" s="57"/>
      <c r="E21788" s="57"/>
      <c r="F21788" s="57"/>
      <c r="G21788" s="58"/>
    </row>
    <row r="21789" spans="1:7" x14ac:dyDescent="0.25">
      <c r="A21789" s="219" t="s">
        <v>96</v>
      </c>
      <c r="B21789" s="219"/>
      <c r="C21789" s="219"/>
      <c r="D21789" s="219"/>
      <c r="E21789" s="219"/>
      <c r="F21789" s="219"/>
      <c r="G21789" s="219"/>
    </row>
    <row r="21790" spans="1:7" x14ac:dyDescent="0.25">
      <c r="A21790" s="49" t="s">
        <v>35</v>
      </c>
      <c r="B21790" s="225" t="s">
        <v>36</v>
      </c>
      <c r="C21790" s="225"/>
      <c r="D21790" s="49" t="s">
        <v>37</v>
      </c>
      <c r="E21790" s="49" t="s">
        <v>38</v>
      </c>
      <c r="F21790" s="49" t="s">
        <v>39</v>
      </c>
      <c r="G21790" s="49" t="s">
        <v>40</v>
      </c>
    </row>
    <row r="21791" spans="1:7" x14ac:dyDescent="0.25">
      <c r="A21791" s="69" t="s">
        <v>97</v>
      </c>
      <c r="B21791" s="72" t="str">
        <f>VLOOKUP(A21791,'Componentes APUs'!$N$1:$Q$30,2,0)</f>
        <v>Camioneta</v>
      </c>
      <c r="C21791" s="73"/>
      <c r="D21791" s="70" t="str">
        <f>VLOOKUP(A21791,'Componentes APUs'!$N$1:$Q$30,3,0)</f>
        <v>U</v>
      </c>
      <c r="E21791" s="50">
        <v>1</v>
      </c>
      <c r="F21791" s="51">
        <f>VLOOKUP(A21791,'Componentes APUs'!$N$1:$Q$30,4,0)</f>
        <v>5500000</v>
      </c>
      <c r="G21791" s="51">
        <f>IFERROR(ROUNDUP(F21791*(E21791/21)/E21738,0),"-")</f>
        <v>13096</v>
      </c>
    </row>
    <row r="21792" spans="1:7" x14ac:dyDescent="0.25">
      <c r="A21792" s="50" t="s">
        <v>321</v>
      </c>
      <c r="B21792" s="72" t="str">
        <f>VLOOKUP(A21792,'Componentes APUs'!$N$1:$Q$30,2,0)</f>
        <v>Grúa Hidráulica</v>
      </c>
      <c r="C21792" s="73"/>
      <c r="D21792" s="70" t="str">
        <f>VLOOKUP(A21792,'Componentes APUs'!$N$1:$Q$30,3,0)</f>
        <v>U</v>
      </c>
      <c r="E21792" s="50">
        <v>0</v>
      </c>
      <c r="F21792" s="51">
        <f>VLOOKUP(A21792,'Componentes APUs'!$N$1:$Q$30,4,0)</f>
        <v>21000000</v>
      </c>
      <c r="G21792" s="51">
        <f>IFERROR(ROUNDUP(F21792*(E21792/21)/E21738,0),"-")</f>
        <v>0</v>
      </c>
    </row>
    <row r="21793" spans="1:7" x14ac:dyDescent="0.25">
      <c r="A21793" s="69" t="s">
        <v>322</v>
      </c>
      <c r="B21793" s="72" t="str">
        <f>VLOOKUP(A21793,'Componentes APUs'!$N$1:$Q$30,2,0)</f>
        <v>Camabaja</v>
      </c>
      <c r="C21793" s="73"/>
      <c r="D21793" s="70" t="str">
        <f>VLOOKUP(A21793,'Componentes APUs'!$N$1:$Q$30,3,0)</f>
        <v>TON/KM</v>
      </c>
      <c r="E21793" s="50">
        <v>0</v>
      </c>
      <c r="F21793" s="51">
        <f>VLOOKUP(A21793,'Componentes APUs'!$N$1:$Q$30,4,0)</f>
        <v>611</v>
      </c>
      <c r="G21793" s="51">
        <f>IFERROR(ROUNDUP(F21793*(E21793/21)/E21738,0),"-")</f>
        <v>0</v>
      </c>
    </row>
    <row r="21794" spans="1:7" x14ac:dyDescent="0.25">
      <c r="A21794" s="50" t="s">
        <v>323</v>
      </c>
      <c r="B21794" s="72" t="str">
        <f>VLOOKUP(A21794,'Componentes APUs'!$N$1:$Q$30,2,0)</f>
        <v>Volqueta</v>
      </c>
      <c r="C21794" s="73"/>
      <c r="D21794" s="70" t="str">
        <f>VLOOKUP(A21794,'Componentes APUs'!$N$1:$Q$30,3,0)</f>
        <v>U</v>
      </c>
      <c r="E21794" s="50">
        <v>0</v>
      </c>
      <c r="F21794" s="51">
        <f>VLOOKUP(A21794,'Componentes APUs'!$N$1:$Q$30,4,0)</f>
        <v>14828184</v>
      </c>
      <c r="G21794" s="51">
        <f>IFERROR(ROUNDUP(F21794*(E21794/21)/E21738,0),"-")</f>
        <v>0</v>
      </c>
    </row>
    <row r="21795" spans="1:7" x14ac:dyDescent="0.25">
      <c r="A21795" s="69" t="s">
        <v>324</v>
      </c>
      <c r="B21795" s="72" t="str">
        <f>VLOOKUP(A21795,'Componentes APUs'!$N$1:$Q$30,2,0)</f>
        <v>Retroexcavadora</v>
      </c>
      <c r="C21795" s="73"/>
      <c r="D21795" s="70" t="str">
        <f>VLOOKUP(A21795,'Componentes APUs'!$N$1:$Q$30,3,0)</f>
        <v>U</v>
      </c>
      <c r="E21795" s="50">
        <v>0</v>
      </c>
      <c r="F21795" s="51">
        <f>VLOOKUP(A21795,'Componentes APUs'!$N$1:$Q$30,4,0)</f>
        <v>46030656</v>
      </c>
      <c r="G21795" s="51">
        <f>IFERROR(ROUNDUP(F21795*(E21795/21)/E21738,0),"-")</f>
        <v>0</v>
      </c>
    </row>
    <row r="21796" spans="1:7" x14ac:dyDescent="0.25">
      <c r="A21796" s="219" t="s">
        <v>99</v>
      </c>
      <c r="B21796" s="219"/>
      <c r="C21796" s="219"/>
      <c r="D21796" s="219"/>
      <c r="E21796" s="219"/>
      <c r="F21796" s="219"/>
      <c r="G21796" s="52">
        <f>SUM(G21791:G21795)</f>
        <v>13096</v>
      </c>
    </row>
    <row r="21797" spans="1:7" x14ac:dyDescent="0.25">
      <c r="A21797" s="56"/>
      <c r="B21797" s="57"/>
      <c r="C21797" s="57"/>
      <c r="D21797" s="57"/>
      <c r="E21797" s="57"/>
      <c r="F21797" s="57"/>
      <c r="G21797" s="58"/>
    </row>
    <row r="21798" spans="1:7" x14ac:dyDescent="0.25">
      <c r="A21798" s="219" t="s">
        <v>1516</v>
      </c>
      <c r="B21798" s="219"/>
      <c r="C21798" s="219"/>
      <c r="D21798" s="219"/>
      <c r="E21798" s="219"/>
      <c r="F21798" s="219"/>
      <c r="G21798" s="52">
        <f>G21796+G21787+G21770+G21760+G21750</f>
        <v>138879</v>
      </c>
    </row>
    <row r="21799" spans="1:7" x14ac:dyDescent="0.25">
      <c r="A21799" s="59"/>
      <c r="B21799" s="60"/>
      <c r="C21799" s="60"/>
      <c r="D21799" s="60"/>
      <c r="E21799" s="57"/>
      <c r="F21799" s="57"/>
      <c r="G21799" s="58"/>
    </row>
    <row r="21800" spans="1:7" x14ac:dyDescent="0.25">
      <c r="A21800" s="64"/>
      <c r="D21800" s="55"/>
      <c r="E21800" s="49" t="s">
        <v>25</v>
      </c>
      <c r="F21800" s="54">
        <v>0.15</v>
      </c>
      <c r="G21800" s="51">
        <f>G21798*F21800</f>
        <v>20831.849999999999</v>
      </c>
    </row>
    <row r="21801" spans="1:7" x14ac:dyDescent="0.25">
      <c r="A21801" s="64"/>
      <c r="D21801" s="55"/>
      <c r="E21801" s="49" t="s">
        <v>26</v>
      </c>
      <c r="F21801" s="54">
        <v>0.05</v>
      </c>
      <c r="G21801" s="51">
        <f>G21798*F21801</f>
        <v>6943.9500000000007</v>
      </c>
    </row>
    <row r="21802" spans="1:7" x14ac:dyDescent="0.25">
      <c r="A21802" s="61"/>
      <c r="B21802" s="65"/>
      <c r="C21802" s="65"/>
      <c r="D21802" s="62"/>
      <c r="E21802" s="49" t="s">
        <v>27</v>
      </c>
      <c r="F21802" s="54">
        <v>0.05</v>
      </c>
      <c r="G21802" s="51">
        <f>G21798*F21802</f>
        <v>6943.9500000000007</v>
      </c>
    </row>
    <row r="21803" spans="1:7" x14ac:dyDescent="0.25">
      <c r="A21803" s="61"/>
      <c r="B21803" s="62"/>
      <c r="C21803" s="62"/>
      <c r="D21803" s="62"/>
      <c r="E21803" s="62"/>
      <c r="F21803" s="62"/>
      <c r="G21803" s="63"/>
    </row>
    <row r="21804" spans="1:7" x14ac:dyDescent="0.25">
      <c r="A21804" s="219" t="s">
        <v>1517</v>
      </c>
      <c r="B21804" s="219"/>
      <c r="C21804" s="219"/>
      <c r="D21804" s="219"/>
      <c r="E21804" s="219"/>
      <c r="F21804" s="219"/>
      <c r="G21804" s="52">
        <f>G21798+G21800+G21801+G21802</f>
        <v>173598.75000000003</v>
      </c>
    </row>
    <row r="21805" spans="1:7" x14ac:dyDescent="0.25">
      <c r="A21805" s="59"/>
      <c r="B21805" s="60"/>
      <c r="C21805" s="60"/>
      <c r="D21805" s="60"/>
      <c r="E21805" s="57"/>
      <c r="F21805" s="57"/>
      <c r="G21805" s="58"/>
    </row>
    <row r="21806" spans="1:7" x14ac:dyDescent="0.25">
      <c r="A21806" s="64"/>
      <c r="D21806" s="55"/>
      <c r="E21806" s="49" t="s">
        <v>102</v>
      </c>
      <c r="F21806" s="49" t="s">
        <v>103</v>
      </c>
      <c r="G21806" s="51">
        <f>G21802*19%</f>
        <v>1319.3505000000002</v>
      </c>
    </row>
    <row r="21807" spans="1:7" x14ac:dyDescent="0.25">
      <c r="A21807" s="61"/>
      <c r="B21807" s="62"/>
      <c r="C21807" s="62"/>
      <c r="D21807" s="62"/>
      <c r="E21807" s="57"/>
      <c r="F21807" s="57"/>
      <c r="G21807" s="58"/>
    </row>
    <row r="21808" spans="1:7" x14ac:dyDescent="0.25">
      <c r="A21808" s="219" t="s">
        <v>104</v>
      </c>
      <c r="B21808" s="219"/>
      <c r="C21808" s="219"/>
      <c r="D21808" s="219"/>
      <c r="E21808" s="219"/>
      <c r="F21808" s="219"/>
      <c r="G21808" s="52">
        <f>G21806+G21804</f>
        <v>174918.10050000003</v>
      </c>
    </row>
    <row r="21810" spans="1:7" x14ac:dyDescent="0.25">
      <c r="A21810" s="74" t="s">
        <v>29</v>
      </c>
      <c r="B21810" s="237" t="s">
        <v>30</v>
      </c>
      <c r="C21810" s="238"/>
      <c r="D21810" s="74" t="s">
        <v>31</v>
      </c>
      <c r="E21810" s="74" t="s">
        <v>32</v>
      </c>
      <c r="F21810" s="74" t="s">
        <v>189</v>
      </c>
      <c r="G21810" s="74" t="s">
        <v>33</v>
      </c>
    </row>
    <row r="21811" spans="1:7" ht="41.25" customHeight="1" x14ac:dyDescent="0.25">
      <c r="A21811" s="50" t="str">
        <f>Presupuesto!B415</f>
        <v>077_AUX</v>
      </c>
      <c r="B21811" s="220" t="str">
        <f>Presupuesto!C415</f>
        <v>SUMINISTRO E INSTALACIÓN DE CIRCUITO DE ALIMENTACIÓN PARA TABLEROS EN TUBERÍA EMT DE 3/4" (ILUMINACIÓN, CALEFACCIÓN y TOMAS). CABLE cu (1#12F+1#12N+1#12T) AWG cu THHN-600v</v>
      </c>
      <c r="C21811" s="239"/>
      <c r="D21811" s="50" t="s">
        <v>8</v>
      </c>
      <c r="E21811" s="50">
        <v>8</v>
      </c>
      <c r="F21811" s="50"/>
      <c r="G21811" s="51">
        <f>G21878</f>
        <v>588297.33600000001</v>
      </c>
    </row>
    <row r="21812" spans="1:7" x14ac:dyDescent="0.25">
      <c r="A21812" s="219" t="s">
        <v>34</v>
      </c>
      <c r="B21812" s="219"/>
      <c r="C21812" s="219"/>
      <c r="D21812" s="219"/>
      <c r="E21812" s="219"/>
      <c r="F21812" s="219"/>
      <c r="G21812" s="219"/>
    </row>
    <row r="21813" spans="1:7" ht="16.5" customHeight="1" x14ac:dyDescent="0.25">
      <c r="A21813" s="49" t="s">
        <v>35</v>
      </c>
      <c r="B21813" s="234" t="s">
        <v>36</v>
      </c>
      <c r="C21813" s="235"/>
      <c r="D21813" s="49" t="s">
        <v>37</v>
      </c>
      <c r="E21813" s="49" t="s">
        <v>38</v>
      </c>
      <c r="F21813" s="49" t="s">
        <v>39</v>
      </c>
      <c r="G21813" s="49" t="s">
        <v>40</v>
      </c>
    </row>
    <row r="21814" spans="1:7" x14ac:dyDescent="0.25">
      <c r="A21814" s="17" t="str">
        <f>Material!A221</f>
        <v>MA-220</v>
      </c>
      <c r="B21814" s="72" t="str">
        <f>IFERROR(VLOOKUP(A21814,Material!$A:$H,2,0),"-")</f>
        <v>TUBO METALICO EMT CONDUIT GALVANIZADO DE 3/4"</v>
      </c>
      <c r="C21814" s="73"/>
      <c r="D21814" s="50" t="str">
        <f>IFERROR(VLOOKUP(A21814,Material!$A:$H,4,0),"-")</f>
        <v>ML</v>
      </c>
      <c r="E21814" s="50">
        <v>15</v>
      </c>
      <c r="F21814" s="51">
        <f>IFERROR(VLOOKUP(A21814,Material!$A:$H,3,0),"-")</f>
        <v>11830</v>
      </c>
      <c r="G21814" s="51">
        <f t="shared" ref="G21814:G21819" si="327">IFERROR(ROUNDUP(F21814*E21814,0),"-")</f>
        <v>177450</v>
      </c>
    </row>
    <row r="21815" spans="1:7" x14ac:dyDescent="0.25">
      <c r="A21815" s="17" t="str">
        <f>Material!A220</f>
        <v>MA-219</v>
      </c>
      <c r="B21815" s="72" t="str">
        <f>IFERROR(VLOOKUP(A21815,Material!$A:$H,2,0),"-")</f>
        <v>CABLE AISLADO NO 12 AWG COBRE THHN</v>
      </c>
      <c r="C21815" s="76"/>
      <c r="D21815" s="50" t="str">
        <f>IFERROR(VLOOKUP(A21815,Material!$A:$H,4,0),"-")</f>
        <v>ML</v>
      </c>
      <c r="E21815" s="50">
        <f>15*3</f>
        <v>45</v>
      </c>
      <c r="F21815" s="51">
        <f>IFERROR(VLOOKUP(A21815,Material!$A:$H,3,0),"-")</f>
        <v>3445</v>
      </c>
      <c r="G21815" s="51">
        <f t="shared" si="327"/>
        <v>155025</v>
      </c>
    </row>
    <row r="21816" spans="1:7" x14ac:dyDescent="0.25">
      <c r="A21816" s="17" t="str">
        <f>Material!A225</f>
        <v>MA-224</v>
      </c>
      <c r="B21816" s="72" t="str">
        <f>IFERROR(VLOOKUP(A21816,Material!$A:$H,2,0),"-")</f>
        <v>CURVA 90 GRADOS EMT DE 3/4"</v>
      </c>
      <c r="C21816" s="76"/>
      <c r="D21816" s="50" t="str">
        <f>IFERROR(VLOOKUP(A21816,Material!$A:$H,4,0),"-")</f>
        <v>UN</v>
      </c>
      <c r="E21816" s="50">
        <v>1</v>
      </c>
      <c r="F21816" s="51">
        <f>IFERROR(VLOOKUP(A21816,Material!$A:$H,3,0),"-")</f>
        <v>2340</v>
      </c>
      <c r="G21816" s="51">
        <f t="shared" si="327"/>
        <v>2340</v>
      </c>
    </row>
    <row r="21817" spans="1:7" x14ac:dyDescent="0.25">
      <c r="A21817" s="17" t="str">
        <f>Material!A224</f>
        <v>MA-223</v>
      </c>
      <c r="B21817" s="72" t="str">
        <f>IFERROR(VLOOKUP(A21817,Material!$A:$H,2,0),"-")</f>
        <v>UNION EMT 3/4"</v>
      </c>
      <c r="C21817" s="76"/>
      <c r="D21817" s="50" t="str">
        <f>IFERROR(VLOOKUP(A21817,Material!$A:$H,4,0),"-")</f>
        <v>UN</v>
      </c>
      <c r="E21817" s="50">
        <v>5</v>
      </c>
      <c r="F21817" s="51">
        <f>IFERROR(VLOOKUP(A21817,Material!$A:$H,3,0),"-")</f>
        <v>1495</v>
      </c>
      <c r="G21817" s="51">
        <f t="shared" si="327"/>
        <v>7475</v>
      </c>
    </row>
    <row r="21818" spans="1:7" x14ac:dyDescent="0.25">
      <c r="A21818" s="17" t="str">
        <f>Material!A223</f>
        <v>MA-222</v>
      </c>
      <c r="B21818" s="72" t="str">
        <f>IFERROR(VLOOKUP(A21818,Material!$A:$H,2,0),"-")</f>
        <v xml:space="preserve">TERMINAL-CONECTOR EMT DE 3/4" </v>
      </c>
      <c r="C21818" s="76"/>
      <c r="D21818" s="50" t="str">
        <f>IFERROR(VLOOKUP(A21818,Material!$A:$H,4,0),"-")</f>
        <v>UN</v>
      </c>
      <c r="E21818" s="50">
        <v>2</v>
      </c>
      <c r="F21818" s="51">
        <f>IFERROR(VLOOKUP(A21818,Material!$A:$H,3,0),"-")</f>
        <v>1495</v>
      </c>
      <c r="G21818" s="51">
        <f t="shared" si="327"/>
        <v>2990</v>
      </c>
    </row>
    <row r="21819" spans="1:7" x14ac:dyDescent="0.25">
      <c r="A21819" s="17" t="str">
        <f>Material!A226</f>
        <v>MA-225</v>
      </c>
      <c r="B21819" s="72" t="str">
        <f>IFERROR(VLOOKUP(A21819,Material!$A:$H,2,0),"-")</f>
        <v>ABRAZADERA GRAPA METALICA 3/4"</v>
      </c>
      <c r="C21819" s="76"/>
      <c r="D21819" s="50" t="str">
        <f>IFERROR(VLOOKUP(A21819,Material!$A:$H,4,0),"-")</f>
        <v>UN</v>
      </c>
      <c r="E21819" s="50">
        <v>10</v>
      </c>
      <c r="F21819" s="51">
        <f>IFERROR(VLOOKUP(A21819,Material!$A:$H,3,0),"-")</f>
        <v>325</v>
      </c>
      <c r="G21819" s="51">
        <f t="shared" si="327"/>
        <v>3250</v>
      </c>
    </row>
    <row r="21820" spans="1:7" x14ac:dyDescent="0.25">
      <c r="A21820" s="234" t="s">
        <v>41</v>
      </c>
      <c r="B21820" s="236"/>
      <c r="C21820" s="236"/>
      <c r="D21820" s="236"/>
      <c r="E21820" s="236"/>
      <c r="F21820" s="235"/>
      <c r="G21820" s="52">
        <f>SUM(G21814:G21819)</f>
        <v>348530</v>
      </c>
    </row>
    <row r="21821" spans="1:7" x14ac:dyDescent="0.25">
      <c r="A21821" s="56"/>
      <c r="B21821" s="57"/>
      <c r="C21821" s="57"/>
      <c r="D21821" s="57"/>
      <c r="E21821" s="57"/>
      <c r="F21821" s="57"/>
      <c r="G21821" s="58"/>
    </row>
    <row r="21822" spans="1:7" x14ac:dyDescent="0.25">
      <c r="A21822" s="219" t="s">
        <v>42</v>
      </c>
      <c r="B21822" s="219"/>
      <c r="C21822" s="219"/>
      <c r="D21822" s="219"/>
      <c r="E21822" s="219"/>
      <c r="F21822" s="219"/>
      <c r="G21822" s="219"/>
    </row>
    <row r="21823" spans="1:7" x14ac:dyDescent="0.25">
      <c r="A21823" s="49" t="s">
        <v>35</v>
      </c>
      <c r="B21823" s="49" t="s">
        <v>36</v>
      </c>
      <c r="C21823" s="49" t="s">
        <v>38</v>
      </c>
      <c r="D21823" s="49" t="s">
        <v>43</v>
      </c>
      <c r="E21823" s="49" t="s">
        <v>44</v>
      </c>
      <c r="F21823" s="49" t="s">
        <v>45</v>
      </c>
      <c r="G21823" s="49" t="s">
        <v>40</v>
      </c>
    </row>
    <row r="21824" spans="1:7" x14ac:dyDescent="0.25">
      <c r="A21824" s="50" t="s">
        <v>319</v>
      </c>
      <c r="B21824" s="68" t="str">
        <f>VLOOKUP(A21824,'Componentes APUs'!$H$1:$L$25,2,0)</f>
        <v>Ingeniero Residente de Obra</v>
      </c>
      <c r="C21824" s="93">
        <v>0.25</v>
      </c>
      <c r="D21824" s="50">
        <f>VLOOKUP(A21824,'Componentes APUs'!$H$1:$L$25,3,0)</f>
        <v>4</v>
      </c>
      <c r="E21824" s="51">
        <f>VLOOKUP(A21824,'Componentes APUs'!$H$1:$L$25,4,0)</f>
        <v>271142.85714285716</v>
      </c>
      <c r="F21824" s="51">
        <f>VLOOKUP(A21824,'Componentes APUs'!$H$1:$L$25,5,0)</f>
        <v>162685.71428571429</v>
      </c>
      <c r="G21824" s="51">
        <f>ROUNDUP((E21824+F21824)*C21824/E21811,0)</f>
        <v>13558</v>
      </c>
    </row>
    <row r="21825" spans="1:7" x14ac:dyDescent="0.25">
      <c r="A21825" s="50" t="s">
        <v>320</v>
      </c>
      <c r="B21825" s="68" t="str">
        <f>VLOOKUP(A21825,'Componentes APUs'!$H$1:$L$25,2,0)</f>
        <v>Tecnico Supervisor</v>
      </c>
      <c r="C21825" s="93">
        <v>0.25</v>
      </c>
      <c r="D21825" s="50">
        <f>VLOOKUP(A21825,'Componentes APUs'!$H$1:$L$25,3,0)</f>
        <v>2.2999999999999998</v>
      </c>
      <c r="E21825" s="51">
        <f>VLOOKUP(A21825,'Componentes APUs'!$H$1:$L$25,4,0)</f>
        <v>155907.14285714284</v>
      </c>
      <c r="F21825" s="51">
        <f>VLOOKUP(A21825,'Componentes APUs'!$H$1:$L$25,5,0)</f>
        <v>93544.285714285696</v>
      </c>
      <c r="G21825" s="51">
        <f>ROUNDUP((E21825+F21825)*C21825/E21811,0)</f>
        <v>7796</v>
      </c>
    </row>
    <row r="21826" spans="1:7" x14ac:dyDescent="0.25">
      <c r="A21826" s="50" t="s">
        <v>1160</v>
      </c>
      <c r="B21826" s="68" t="str">
        <f>VLOOKUP(A21826,'Componentes APUs'!$H$1:$L$25,2,0)</f>
        <v>Oficial Eléctrico</v>
      </c>
      <c r="C21826" s="93">
        <v>1</v>
      </c>
      <c r="D21826" s="50">
        <f>VLOOKUP(A21826,'Componentes APUs'!$H$1:$L$25,3,0)</f>
        <v>2</v>
      </c>
      <c r="E21826" s="51">
        <f>VLOOKUP(A21826,'Componentes APUs'!$H$1:$L$25,4,0)</f>
        <v>154619.04761904763</v>
      </c>
      <c r="F21826" s="51">
        <f>VLOOKUP(A21826,'Componentes APUs'!$H$1:$L$25,5,0)</f>
        <v>92771.42857142858</v>
      </c>
      <c r="G21826" s="51">
        <f>ROUNDUP((E21826+F21826)*C21826/E21811,0)</f>
        <v>30924</v>
      </c>
    </row>
    <row r="21827" spans="1:7" x14ac:dyDescent="0.25">
      <c r="A21827" s="50" t="s">
        <v>48</v>
      </c>
      <c r="B21827" s="68" t="str">
        <f>VLOOKUP(A21827,'Componentes APUs'!$H$1:$L$25,2,0)</f>
        <v>Ayudante Calificado</v>
      </c>
      <c r="C21827" s="93">
        <v>1</v>
      </c>
      <c r="D21827" s="50">
        <f>VLOOKUP(A21827,'Componentes APUs'!$H$1:$L$25,3,0)</f>
        <v>1.5</v>
      </c>
      <c r="E21827" s="51">
        <f>VLOOKUP(A21827,'Componentes APUs'!$H$1:$L$25,4,0)</f>
        <v>115964.28571428571</v>
      </c>
      <c r="F21827" s="51">
        <f>VLOOKUP(A21827,'Componentes APUs'!$H$1:$L$25,5,0)</f>
        <v>69578.57142857142</v>
      </c>
      <c r="G21827" s="51">
        <f>ROUNDUP((E21827+F21827)*C21827/E21811,0)</f>
        <v>23193</v>
      </c>
    </row>
    <row r="21828" spans="1:7" x14ac:dyDescent="0.25">
      <c r="A21828" s="50" t="s">
        <v>50</v>
      </c>
      <c r="B21828" s="68" t="str">
        <f>VLOOKUP(A21828,'Componentes APUs'!$H$1:$L$25,2,0)</f>
        <v>Profesional en SST</v>
      </c>
      <c r="C21828" s="93">
        <v>0.25</v>
      </c>
      <c r="D21828" s="50">
        <f>VLOOKUP(A21828,'Componentes APUs'!$H$1:$L$25,3,0)</f>
        <v>2.5</v>
      </c>
      <c r="E21828" s="51">
        <f>VLOOKUP(A21828,'Componentes APUs'!$H$1:$L$25,4,0)</f>
        <v>169464.28571428571</v>
      </c>
      <c r="F21828" s="51">
        <f>VLOOKUP(A21828,'Componentes APUs'!$H$1:$L$25,5,0)</f>
        <v>101678.57142857142</v>
      </c>
      <c r="G21828" s="51">
        <f>ROUNDUP((E21828+F21828)*C21828/E21811,0)</f>
        <v>8474</v>
      </c>
    </row>
    <row r="21829" spans="1:7" x14ac:dyDescent="0.25">
      <c r="A21829" s="50" t="s">
        <v>52</v>
      </c>
      <c r="B21829" s="68" t="str">
        <f>VLOOKUP(A21829,'Componentes APUs'!$H$1:$L$25,2,0)</f>
        <v>Ayudante No Calificado</v>
      </c>
      <c r="C21829" s="93">
        <v>0</v>
      </c>
      <c r="D21829" s="50">
        <f>VLOOKUP(A21829,'Componentes APUs'!$H$1:$L$25,3,0)</f>
        <v>1</v>
      </c>
      <c r="E21829" s="51">
        <f>VLOOKUP(A21829,'Componentes APUs'!$H$1:$L$25,4,0)</f>
        <v>77309.523809523816</v>
      </c>
      <c r="F21829" s="51">
        <f>VLOOKUP(A21829,'Componentes APUs'!$H$1:$L$25,5,0)</f>
        <v>46385.71428571429</v>
      </c>
      <c r="G21829" s="51">
        <f>ROUNDUP((E21829+F21829)*C21829/E21811,0)</f>
        <v>0</v>
      </c>
    </row>
    <row r="21830" spans="1:7" x14ac:dyDescent="0.25">
      <c r="A21830" s="219" t="s">
        <v>56</v>
      </c>
      <c r="B21830" s="219"/>
      <c r="C21830" s="219"/>
      <c r="D21830" s="219"/>
      <c r="E21830" s="219"/>
      <c r="F21830" s="219"/>
      <c r="G21830" s="52">
        <f>SUM(G21824:G21829)</f>
        <v>83945</v>
      </c>
    </row>
    <row r="21831" spans="1:7" x14ac:dyDescent="0.25">
      <c r="A21831" s="56"/>
      <c r="B21831" s="57"/>
      <c r="C21831" s="57"/>
      <c r="D21831" s="57"/>
      <c r="E21831" s="57"/>
      <c r="F21831" s="57"/>
      <c r="G21831" s="58"/>
    </row>
    <row r="21832" spans="1:7" x14ac:dyDescent="0.25">
      <c r="A21832" s="219" t="s">
        <v>57</v>
      </c>
      <c r="B21832" s="219"/>
      <c r="C21832" s="219"/>
      <c r="D21832" s="219"/>
      <c r="E21832" s="219"/>
      <c r="F21832" s="219"/>
      <c r="G21832" s="219"/>
    </row>
    <row r="21833" spans="1:7" x14ac:dyDescent="0.25">
      <c r="A21833" s="49" t="s">
        <v>35</v>
      </c>
      <c r="B21833" s="219" t="s">
        <v>36</v>
      </c>
      <c r="C21833" s="219"/>
      <c r="D21833" s="49" t="s">
        <v>37</v>
      </c>
      <c r="E21833" s="49" t="s">
        <v>38</v>
      </c>
      <c r="F21833" s="49" t="s">
        <v>39</v>
      </c>
      <c r="G21833" s="49" t="s">
        <v>40</v>
      </c>
    </row>
    <row r="21834" spans="1:7" x14ac:dyDescent="0.25">
      <c r="A21834" s="50" t="s">
        <v>326</v>
      </c>
      <c r="B21834" s="220" t="str">
        <f>VLOOKUP(A21834,'Componentes APUs'!$S$1:$V$10,2,0)</f>
        <v>Juego Llaves</v>
      </c>
      <c r="C21834" s="220"/>
      <c r="D21834" s="50" t="s">
        <v>18</v>
      </c>
      <c r="E21834" s="50">
        <v>2</v>
      </c>
      <c r="F21834" s="51">
        <f>VLOOKUP(A21834,'Componentes APUs'!$S$1:$V$10,4,0)</f>
        <v>9167</v>
      </c>
      <c r="G21834" s="51">
        <f>ROUNDUP(F21834*((E21834/21)/E21811),0)</f>
        <v>110</v>
      </c>
    </row>
    <row r="21835" spans="1:7" x14ac:dyDescent="0.25">
      <c r="A21835" s="50" t="s">
        <v>58</v>
      </c>
      <c r="B21835" s="220" t="str">
        <f>VLOOKUP(A21835,'Componentes APUs'!$S$1:$V$10,2,0)</f>
        <v>Manila de servicio</v>
      </c>
      <c r="C21835" s="220"/>
      <c r="D21835" s="50" t="s">
        <v>18</v>
      </c>
      <c r="E21835" s="50">
        <v>0</v>
      </c>
      <c r="F21835" s="51">
        <f>VLOOKUP(A21835,'Componentes APUs'!$S$1:$V$10,4,0)</f>
        <v>2333</v>
      </c>
      <c r="G21835" s="51">
        <f>ROUNDUP(F21835*((E21835/21)/E21811),0)</f>
        <v>0</v>
      </c>
    </row>
    <row r="21836" spans="1:7" x14ac:dyDescent="0.25">
      <c r="A21836" s="50" t="s">
        <v>327</v>
      </c>
      <c r="B21836" s="220" t="str">
        <f>VLOOKUP(A21836,'Componentes APUs'!$S$1:$V$10,2,0)</f>
        <v>Tula portaherramientas</v>
      </c>
      <c r="C21836" s="220"/>
      <c r="D21836" s="50" t="s">
        <v>18</v>
      </c>
      <c r="E21836" s="50">
        <v>2</v>
      </c>
      <c r="F21836" s="51">
        <f>VLOOKUP(A21836,'Componentes APUs'!$S$1:$V$10,4,0)</f>
        <v>1250</v>
      </c>
      <c r="G21836" s="51">
        <f>ROUNDUP(F21836*((E21836/21)/E21811),0)</f>
        <v>15</v>
      </c>
    </row>
    <row r="21837" spans="1:7" x14ac:dyDescent="0.25">
      <c r="A21837" s="50" t="s">
        <v>60</v>
      </c>
      <c r="B21837" s="220" t="str">
        <f>VLOOKUP(A21837,'Componentes APUs'!$S$1:$V$10,2,0)</f>
        <v>Agarradoras</v>
      </c>
      <c r="C21837" s="220"/>
      <c r="D21837" s="50" t="s">
        <v>18</v>
      </c>
      <c r="E21837" s="50">
        <v>0</v>
      </c>
      <c r="F21837" s="51">
        <f>VLOOKUP(A21837,'Componentes APUs'!$S$1:$V$10,4,0)</f>
        <v>125000</v>
      </c>
      <c r="G21837" s="51">
        <f>ROUNDUP(F21837*((E21837/21)/E21811),0)</f>
        <v>0</v>
      </c>
    </row>
    <row r="21838" spans="1:7" x14ac:dyDescent="0.25">
      <c r="A21838" s="50" t="s">
        <v>62</v>
      </c>
      <c r="B21838" s="220" t="str">
        <f>VLOOKUP(A21838,'Componentes APUs'!$S$1:$V$10,2,0)</f>
        <v>Templadoras</v>
      </c>
      <c r="C21838" s="220"/>
      <c r="D21838" s="50" t="s">
        <v>18</v>
      </c>
      <c r="E21838" s="50">
        <v>0</v>
      </c>
      <c r="F21838" s="51">
        <f>VLOOKUP(A21838,'Componentes APUs'!$S$1:$V$10,4,0)</f>
        <v>250000</v>
      </c>
      <c r="G21838" s="51">
        <f>ROUNDUP(F21838*((E21838/21)/E21811),0)</f>
        <v>0</v>
      </c>
    </row>
    <row r="21839" spans="1:7" x14ac:dyDescent="0.25">
      <c r="A21839" s="50" t="s">
        <v>328</v>
      </c>
      <c r="B21839" s="220" t="str">
        <f>VLOOKUP(A21839,'Componentes APUs'!$S$1:$V$10,2,0)</f>
        <v>Herramienta Menor</v>
      </c>
      <c r="C21839" s="220"/>
      <c r="D21839" s="50" t="s">
        <v>18</v>
      </c>
      <c r="E21839" s="50">
        <v>2</v>
      </c>
      <c r="F21839" s="51">
        <f>VLOOKUP(A21839,'Componentes APUs'!$S$1:$V$10,4,0)</f>
        <v>75758</v>
      </c>
      <c r="G21839" s="51">
        <f>ROUNDUP(F21839*((E21839/21)/E21811),0)</f>
        <v>902</v>
      </c>
    </row>
    <row r="21840" spans="1:7" x14ac:dyDescent="0.25">
      <c r="A21840" s="219" t="s">
        <v>69</v>
      </c>
      <c r="B21840" s="219"/>
      <c r="C21840" s="219"/>
      <c r="D21840" s="219"/>
      <c r="E21840" s="219"/>
      <c r="F21840" s="219"/>
      <c r="G21840" s="52">
        <f>SUM(G21834:G21839)</f>
        <v>1027</v>
      </c>
    </row>
    <row r="21841" spans="1:7" x14ac:dyDescent="0.25">
      <c r="A21841" s="56"/>
      <c r="B21841" s="57"/>
      <c r="C21841" s="57"/>
      <c r="D21841" s="57"/>
      <c r="E21841" s="57"/>
      <c r="F21841" s="57"/>
      <c r="G21841" s="58"/>
    </row>
    <row r="21842" spans="1:7" x14ac:dyDescent="0.25">
      <c r="A21842" s="219" t="s">
        <v>70</v>
      </c>
      <c r="B21842" s="219"/>
      <c r="C21842" s="219"/>
      <c r="D21842" s="219"/>
      <c r="E21842" s="219"/>
      <c r="F21842" s="219"/>
      <c r="G21842" s="219"/>
    </row>
    <row r="21843" spans="1:7" x14ac:dyDescent="0.25">
      <c r="A21843" s="49" t="s">
        <v>35</v>
      </c>
      <c r="B21843" s="219" t="s">
        <v>36</v>
      </c>
      <c r="C21843" s="219"/>
      <c r="D21843" s="49" t="s">
        <v>37</v>
      </c>
      <c r="E21843" s="49" t="s">
        <v>38</v>
      </c>
      <c r="F21843" s="49" t="s">
        <v>39</v>
      </c>
      <c r="G21843" s="49" t="s">
        <v>40</v>
      </c>
    </row>
    <row r="21844" spans="1:7" x14ac:dyDescent="0.25">
      <c r="A21844" s="50" t="s">
        <v>71</v>
      </c>
      <c r="B21844" s="71" t="str">
        <f>VLOOKUP(A21844,'Componentes APUs'!$A$1:$D$14,2,0)</f>
        <v>Camisa indigo sin partes metalicas</v>
      </c>
      <c r="C21844" s="71"/>
      <c r="D21844" s="50" t="str">
        <f>VLOOKUP(A21844,'Componentes APUs'!$A$1:$D$14,3,0)</f>
        <v>U</v>
      </c>
      <c r="E21844" s="50">
        <f>SUM(C21824:C21829)</f>
        <v>2.75</v>
      </c>
      <c r="F21844" s="51">
        <f>VLOOKUP(A21844,'Componentes APUs'!$A$1:$D$14,4,0)</f>
        <v>8585.8585858585866</v>
      </c>
      <c r="G21844" s="51">
        <f>ROUNDUP(F21844*(E21844/21)/E21811,0)</f>
        <v>141</v>
      </c>
    </row>
    <row r="21845" spans="1:7" x14ac:dyDescent="0.25">
      <c r="A21845" s="69" t="s">
        <v>73</v>
      </c>
      <c r="B21845" s="72" t="str">
        <f>VLOOKUP(A21845,'Componentes APUs'!$A$1:$D$14,2,0)</f>
        <v>Bota de seguridad dielectrica</v>
      </c>
      <c r="C21845" s="73"/>
      <c r="D21845" s="70" t="str">
        <f>VLOOKUP(A21845,'Componentes APUs'!$A$1:$D$14,3,0)</f>
        <v>Par</v>
      </c>
      <c r="E21845" s="50">
        <f>SUM(C21824:C21829)</f>
        <v>2.75</v>
      </c>
      <c r="F21845" s="51">
        <f>VLOOKUP(A21845,'Componentes APUs'!$A$1:$D$14,4,0)</f>
        <v>7500</v>
      </c>
      <c r="G21845" s="51">
        <f>ROUNDUP(F21845*(E21845/21)/E21811,0)</f>
        <v>123</v>
      </c>
    </row>
    <row r="21846" spans="1:7" x14ac:dyDescent="0.25">
      <c r="A21846" s="50" t="s">
        <v>76</v>
      </c>
      <c r="B21846" s="72" t="str">
        <f>VLOOKUP(A21846,'Componentes APUs'!$A$1:$D$14,2,0)</f>
        <v>Casco dielectrico Tipo 1 Clase E con barbuquejo</v>
      </c>
      <c r="C21846" s="73"/>
      <c r="D21846" s="50" t="str">
        <f>VLOOKUP(A21846,'Componentes APUs'!$A$1:$D$14,3,0)</f>
        <v>U</v>
      </c>
      <c r="E21846" s="50">
        <f>C21829+C21824+C21827+C21828+C21825+IF(A21826&lt;&gt;"MO-3",C21826,0)</f>
        <v>2.75</v>
      </c>
      <c r="F21846" s="51">
        <f>VLOOKUP(A21846,'Componentes APUs'!$A$1:$D$14,4,0)</f>
        <v>10101.010101010101</v>
      </c>
      <c r="G21846" s="51">
        <f>ROUNDUP(F21846*(E21846/21)/E21811,0)</f>
        <v>166</v>
      </c>
    </row>
    <row r="21847" spans="1:7" x14ac:dyDescent="0.25">
      <c r="A21847" s="69" t="s">
        <v>77</v>
      </c>
      <c r="B21847" s="72" t="str">
        <f>VLOOKUP(A21847,'Componentes APUs'!$A$1:$D$14,2,0)</f>
        <v>Correa plastica y antiflama</v>
      </c>
      <c r="C21847" s="73"/>
      <c r="D21847" s="50" t="str">
        <f>VLOOKUP(A21847,'Componentes APUs'!$A$1:$D$14,3,0)</f>
        <v>U</v>
      </c>
      <c r="E21847" s="50">
        <f>SUM(C21824:C21829)</f>
        <v>2.75</v>
      </c>
      <c r="F21847" s="51">
        <f>VLOOKUP(A21847,'Componentes APUs'!$A$1:$D$14,4,0)</f>
        <v>3787.878787878788</v>
      </c>
      <c r="G21847" s="51">
        <f>ROUNDUP(F21847*(E21847/21)/E21811,0)</f>
        <v>63</v>
      </c>
    </row>
    <row r="21848" spans="1:7" x14ac:dyDescent="0.25">
      <c r="A21848" s="50" t="s">
        <v>79</v>
      </c>
      <c r="B21848" s="72" t="str">
        <f>VLOOKUP(A21848,'Componentes APUs'!$A$1:$D$14,2,0)</f>
        <v>Gafas protectoras filtro UV</v>
      </c>
      <c r="C21848" s="73"/>
      <c r="D21848" s="50" t="str">
        <f>VLOOKUP(A21848,'Componentes APUs'!$A$1:$D$14,3,0)</f>
        <v>U</v>
      </c>
      <c r="E21848" s="50">
        <f>SUM(C21824:C21829)</f>
        <v>2.75</v>
      </c>
      <c r="F21848" s="51">
        <f>VLOOKUP(A21848,'Componentes APUs'!$A$1:$D$14,4,0)</f>
        <v>2777.7777777777778</v>
      </c>
      <c r="G21848" s="51">
        <f>ROUNDUP(F21848*(E21848/21)/E21811,0)</f>
        <v>46</v>
      </c>
    </row>
    <row r="21849" spans="1:7" x14ac:dyDescent="0.25">
      <c r="A21849" s="69" t="s">
        <v>402</v>
      </c>
      <c r="B21849" s="72" t="str">
        <f>VLOOKUP(A21849,'Componentes APUs'!$A$1:$D$14,2,0)</f>
        <v>Bota de seguridad PVC dielectrica</v>
      </c>
      <c r="C21849" s="73"/>
      <c r="D21849" s="50" t="str">
        <f>VLOOKUP(A21849,'Componentes APUs'!$A$1:$D$14,3,0)</f>
        <v>Par</v>
      </c>
      <c r="E21849" s="50">
        <f>SUM(C21824:C21829)</f>
        <v>2.75</v>
      </c>
      <c r="F21849" s="51">
        <f>VLOOKUP(A21849,'Componentes APUs'!$A$1:$D$14,4,0)</f>
        <v>2916.6666666666665</v>
      </c>
      <c r="G21849" s="51">
        <f>ROUNDUP(F21849*(E21849/21)/E21811,0)</f>
        <v>48</v>
      </c>
    </row>
    <row r="21850" spans="1:7" x14ac:dyDescent="0.25">
      <c r="A21850" s="50" t="s">
        <v>403</v>
      </c>
      <c r="B21850" s="72" t="str">
        <f>VLOOKUP(A21850,'Componentes APUs'!$A$1:$D$14,2,0)</f>
        <v>Capuchon</v>
      </c>
      <c r="C21850" s="73"/>
      <c r="D21850" s="50" t="str">
        <f>VLOOKUP(A21850,'Componentes APUs'!$A$1:$D$14,3,0)</f>
        <v>U</v>
      </c>
      <c r="E21850" s="50">
        <f>SUM(C21824:C21829)</f>
        <v>2.75</v>
      </c>
      <c r="F21850" s="51">
        <f>VLOOKUP(A21850,'Componentes APUs'!$A$1:$D$14,4,0)</f>
        <v>2525.2525252525252</v>
      </c>
      <c r="G21850" s="51">
        <f>ROUNDUP(F21850*(E21850/21)/E21811,0)</f>
        <v>42</v>
      </c>
    </row>
    <row r="21851" spans="1:7" x14ac:dyDescent="0.25">
      <c r="A21851" s="69" t="s">
        <v>81</v>
      </c>
      <c r="B21851" s="72" t="str">
        <f>VLOOKUP(A21851,'Componentes APUs'!$A$1:$D$14,2,0)</f>
        <v>Guantes Protectores  - ingeniero reforzados</v>
      </c>
      <c r="C21851" s="73"/>
      <c r="D21851" s="50" t="str">
        <f>VLOOKUP(A21851,'Componentes APUs'!$A$1:$D$14,3,0)</f>
        <v>Par</v>
      </c>
      <c r="E21851" s="50">
        <f>C21826+C21827+C21829</f>
        <v>2</v>
      </c>
      <c r="F21851" s="51">
        <f>VLOOKUP(A21851,'Componentes APUs'!$A$1:$D$14,4,0)</f>
        <v>2525.2525252525252</v>
      </c>
      <c r="G21851" s="51">
        <f>ROUNDUP(F21851*(E21851/21)/E21811,0)</f>
        <v>31</v>
      </c>
    </row>
    <row r="21852" spans="1:7" x14ac:dyDescent="0.25">
      <c r="A21852" s="50" t="s">
        <v>83</v>
      </c>
      <c r="B21852" s="72" t="str">
        <f>VLOOKUP(A21852,'Componentes APUs'!$A$1:$D$14,2,0)</f>
        <v>Impermeable (pantalon camisa)</v>
      </c>
      <c r="C21852" s="73"/>
      <c r="D21852" s="50" t="str">
        <f>VLOOKUP(A21852,'Componentes APUs'!$A$1:$D$14,3,0)</f>
        <v>U</v>
      </c>
      <c r="E21852" s="50">
        <f>SUM(C21824:C21829)</f>
        <v>2.75</v>
      </c>
      <c r="F21852" s="51">
        <f>VLOOKUP(A21852,'Componentes APUs'!$A$1:$D$14,4,0)</f>
        <v>3750</v>
      </c>
      <c r="G21852" s="51">
        <f>ROUNDUP(F21852*(E21852/21)/E21811,0)</f>
        <v>62</v>
      </c>
    </row>
    <row r="21853" spans="1:7" x14ac:dyDescent="0.25">
      <c r="A21853" s="69" t="s">
        <v>85</v>
      </c>
      <c r="B21853" s="72" t="str">
        <f>VLOOKUP(A21853,'Componentes APUs'!$A$1:$D$14,2,0)</f>
        <v>Jean Dielectrico</v>
      </c>
      <c r="C21853" s="73"/>
      <c r="D21853" s="50" t="str">
        <f>VLOOKUP(A21853,'Componentes APUs'!$A$1:$D$14,3,0)</f>
        <v>U</v>
      </c>
      <c r="E21853" s="50">
        <f>SUM(C21824:C21829)</f>
        <v>2.75</v>
      </c>
      <c r="F21853" s="51">
        <f>VLOOKUP(A21853,'Componentes APUs'!$A$1:$D$14,4,0)</f>
        <v>7575.757575757576</v>
      </c>
      <c r="G21853" s="51">
        <f>ROUNDUP(F21853*(E21853/21)/E21811,0)</f>
        <v>125</v>
      </c>
    </row>
    <row r="21854" spans="1:7" x14ac:dyDescent="0.25">
      <c r="A21854" s="50" t="s">
        <v>87</v>
      </c>
      <c r="B21854" s="72" t="str">
        <f>VLOOKUP(A21854,'Componentes APUs'!$A$1:$D$14,2,0)</f>
        <v>Casco dielectrico Tipo 2 Clase E con barboquejo</v>
      </c>
      <c r="C21854" s="73"/>
      <c r="D21854" s="50" t="str">
        <f>VLOOKUP(A21854,'Componentes APUs'!$A$1:$D$14,3,0)</f>
        <v>U</v>
      </c>
      <c r="E21854" s="53">
        <f>IF(A21826="MO-3",C21826,0)</f>
        <v>0</v>
      </c>
      <c r="F21854" s="51">
        <f>VLOOKUP(A21854,'Componentes APUs'!$A$1:$D$14,4,0)</f>
        <v>7500</v>
      </c>
      <c r="G21854" s="51">
        <f>ROUNDUP(F21854*(E21854/21)/E21811,0)</f>
        <v>0</v>
      </c>
    </row>
    <row r="21855" spans="1:7" x14ac:dyDescent="0.25">
      <c r="A21855" s="69" t="s">
        <v>89</v>
      </c>
      <c r="B21855" s="72" t="str">
        <f>VLOOKUP(A21855,'Componentes APUs'!$A$1:$D$14,2,0)</f>
        <v>Kit de rescate para trabajo en alturas</v>
      </c>
      <c r="C21855" s="73"/>
      <c r="D21855" s="50" t="str">
        <f>VLOOKUP(A21855,'Componentes APUs'!$A$1:$D$14,3,0)</f>
        <v>U</v>
      </c>
      <c r="E21855" s="50">
        <f>IF(AND(A21826="MO-3",C21826=2),1,0)</f>
        <v>0</v>
      </c>
      <c r="F21855" s="51">
        <f>VLOOKUP(A21855,'Componentes APUs'!$A$1:$D$14,4,0)</f>
        <v>37500</v>
      </c>
      <c r="G21855" s="51">
        <f>ROUNDUP(F21855*(E21855/21)/E21811,0)</f>
        <v>0</v>
      </c>
    </row>
    <row r="21856" spans="1:7" x14ac:dyDescent="0.25">
      <c r="A21856" s="50" t="s">
        <v>91</v>
      </c>
      <c r="B21856" s="72" t="str">
        <f>VLOOKUP(A21856,'Componentes APUs'!$A$1:$D$14,2,0)</f>
        <v>Equipo completo para trabajo en alturas con pretales (Arnes dielectrico, 1 mosqueton de seguridad, tie off dielectrico, eslinga de posicionamiento, juego de pretales)</v>
      </c>
      <c r="C21856" s="73"/>
      <c r="D21856" s="50" t="str">
        <f>VLOOKUP(A21856,'Componentes APUs'!$A$1:$D$14,3,0)</f>
        <v>U</v>
      </c>
      <c r="E21856" s="50">
        <f>IF(A21826="MO-3",C21826,0)</f>
        <v>0</v>
      </c>
      <c r="F21856" s="51">
        <f>VLOOKUP(A21856,'Componentes APUs'!$A$1:$D$14,4,0)</f>
        <v>26041.666666666668</v>
      </c>
      <c r="G21856" s="51">
        <f>ROUNDUP(F21856*(E21856/21)/E21811,0)</f>
        <v>0</v>
      </c>
    </row>
    <row r="21857" spans="1:7" x14ac:dyDescent="0.25">
      <c r="A21857" s="219" t="s">
        <v>95</v>
      </c>
      <c r="B21857" s="219"/>
      <c r="C21857" s="219"/>
      <c r="D21857" s="219"/>
      <c r="E21857" s="219"/>
      <c r="F21857" s="219"/>
      <c r="G21857" s="52">
        <f>SUM(G21844:G21856)</f>
        <v>847</v>
      </c>
    </row>
    <row r="21858" spans="1:7" x14ac:dyDescent="0.25">
      <c r="A21858" s="56"/>
      <c r="B21858" s="57"/>
      <c r="C21858" s="57"/>
      <c r="D21858" s="57"/>
      <c r="E21858" s="57"/>
      <c r="F21858" s="57"/>
      <c r="G21858" s="58"/>
    </row>
    <row r="21859" spans="1:7" x14ac:dyDescent="0.25">
      <c r="A21859" s="219" t="s">
        <v>96</v>
      </c>
      <c r="B21859" s="219"/>
      <c r="C21859" s="219"/>
      <c r="D21859" s="219"/>
      <c r="E21859" s="219"/>
      <c r="F21859" s="219"/>
      <c r="G21859" s="219"/>
    </row>
    <row r="21860" spans="1:7" x14ac:dyDescent="0.25">
      <c r="A21860" s="49" t="s">
        <v>35</v>
      </c>
      <c r="B21860" s="225" t="s">
        <v>36</v>
      </c>
      <c r="C21860" s="225"/>
      <c r="D21860" s="49" t="s">
        <v>37</v>
      </c>
      <c r="E21860" s="49" t="s">
        <v>38</v>
      </c>
      <c r="F21860" s="49" t="s">
        <v>39</v>
      </c>
      <c r="G21860" s="49" t="s">
        <v>40</v>
      </c>
    </row>
    <row r="21861" spans="1:7" x14ac:dyDescent="0.25">
      <c r="A21861" s="69" t="s">
        <v>97</v>
      </c>
      <c r="B21861" s="72" t="str">
        <f>VLOOKUP(A21861,'Componentes APUs'!$N$1:$Q$30,2,0)</f>
        <v>Camioneta</v>
      </c>
      <c r="C21861" s="73"/>
      <c r="D21861" s="70" t="str">
        <f>VLOOKUP(A21861,'Componentes APUs'!$N$1:$Q$30,3,0)</f>
        <v>U</v>
      </c>
      <c r="E21861" s="50">
        <v>1</v>
      </c>
      <c r="F21861" s="51">
        <f>VLOOKUP(A21861,'Componentes APUs'!$N$1:$Q$30,4,0)</f>
        <v>5500000</v>
      </c>
      <c r="G21861" s="51">
        <f>IFERROR(ROUNDUP(F21861*(E21861/21)/E21811,0),0)</f>
        <v>32739</v>
      </c>
    </row>
    <row r="21862" spans="1:7" x14ac:dyDescent="0.25">
      <c r="A21862" s="50" t="s">
        <v>321</v>
      </c>
      <c r="B21862" s="72" t="str">
        <f>VLOOKUP(A21862,'Componentes APUs'!$N$1:$Q$30,2,0)</f>
        <v>Grúa Hidráulica</v>
      </c>
      <c r="C21862" s="73"/>
      <c r="D21862" s="70" t="str">
        <f>VLOOKUP(A21862,'Componentes APUs'!$N$1:$Q$30,3,0)</f>
        <v>U</v>
      </c>
      <c r="E21862" s="50">
        <v>0</v>
      </c>
      <c r="F21862" s="51">
        <f>VLOOKUP(A21862,'Componentes APUs'!$N$1:$Q$30,4,0)</f>
        <v>21000000</v>
      </c>
      <c r="G21862" s="51">
        <f>IFERROR(ROUNDUP(F21862*(E21862/21)/E21811,0),0)</f>
        <v>0</v>
      </c>
    </row>
    <row r="21863" spans="1:7" x14ac:dyDescent="0.25">
      <c r="A21863" s="69" t="s">
        <v>322</v>
      </c>
      <c r="B21863" s="72" t="str">
        <f>VLOOKUP(A21863,'Componentes APUs'!$N$1:$Q$30,2,0)</f>
        <v>Camabaja</v>
      </c>
      <c r="C21863" s="73"/>
      <c r="D21863" s="70" t="str">
        <f>VLOOKUP(A21863,'Componentes APUs'!$N$1:$Q$30,3,0)</f>
        <v>TON/KM</v>
      </c>
      <c r="E21863" s="50">
        <v>0</v>
      </c>
      <c r="F21863" s="51">
        <f>VLOOKUP(A21863,'Componentes APUs'!$N$1:$Q$30,4,0)</f>
        <v>611</v>
      </c>
      <c r="G21863" s="51">
        <f>IFERROR(ROUNDUP(F21863*(E21863/21)/E21811,0),0)</f>
        <v>0</v>
      </c>
    </row>
    <row r="21864" spans="1:7" x14ac:dyDescent="0.25">
      <c r="A21864" s="50" t="s">
        <v>323</v>
      </c>
      <c r="B21864" s="72" t="str">
        <f>VLOOKUP(A21864,'Componentes APUs'!$N$1:$Q$30,2,0)</f>
        <v>Volqueta</v>
      </c>
      <c r="C21864" s="73"/>
      <c r="D21864" s="70" t="str">
        <f>VLOOKUP(A21864,'Componentes APUs'!$N$1:$Q$30,3,0)</f>
        <v>U</v>
      </c>
      <c r="E21864" s="50">
        <v>0</v>
      </c>
      <c r="F21864" s="51">
        <f>VLOOKUP(A21864,'Componentes APUs'!$N$1:$Q$30,4,0)</f>
        <v>14828184</v>
      </c>
      <c r="G21864" s="51">
        <f>IFERROR(ROUNDUP(F21864*(E21864/21)/E21811,0),0)</f>
        <v>0</v>
      </c>
    </row>
    <row r="21865" spans="1:7" x14ac:dyDescent="0.25">
      <c r="A21865" s="69" t="s">
        <v>324</v>
      </c>
      <c r="B21865" s="72" t="str">
        <f>VLOOKUP(A21865,'Componentes APUs'!$N$1:$Q$30,2,0)</f>
        <v>Retroexcavadora</v>
      </c>
      <c r="C21865" s="73"/>
      <c r="D21865" s="70" t="str">
        <f>VLOOKUP(A21865,'Componentes APUs'!$N$1:$Q$30,3,0)</f>
        <v>U</v>
      </c>
      <c r="E21865" s="50">
        <v>0</v>
      </c>
      <c r="F21865" s="51">
        <f>VLOOKUP(A21865,'Componentes APUs'!$N$1:$Q$30,4,0)</f>
        <v>46030656</v>
      </c>
      <c r="G21865" s="51">
        <f>IFERROR(ROUNDUP(F21865*(E21865/21)/E21811,0),0)</f>
        <v>0</v>
      </c>
    </row>
    <row r="21866" spans="1:7" x14ac:dyDescent="0.25">
      <c r="A21866" s="219" t="s">
        <v>99</v>
      </c>
      <c r="B21866" s="219"/>
      <c r="C21866" s="219"/>
      <c r="D21866" s="219"/>
      <c r="E21866" s="219"/>
      <c r="F21866" s="219"/>
      <c r="G21866" s="52">
        <f>SUM(G21861:G21865)</f>
        <v>32739</v>
      </c>
    </row>
    <row r="21867" spans="1:7" x14ac:dyDescent="0.25">
      <c r="A21867" s="56"/>
      <c r="B21867" s="57"/>
      <c r="C21867" s="57"/>
      <c r="D21867" s="57"/>
      <c r="E21867" s="57"/>
      <c r="F21867" s="57"/>
      <c r="G21867" s="58"/>
    </row>
    <row r="21868" spans="1:7" x14ac:dyDescent="0.25">
      <c r="A21868" s="219" t="s">
        <v>1516</v>
      </c>
      <c r="B21868" s="219"/>
      <c r="C21868" s="219"/>
      <c r="D21868" s="219"/>
      <c r="E21868" s="219"/>
      <c r="F21868" s="219"/>
      <c r="G21868" s="52">
        <f>G21866+G21857+G21840+G21830+G21820</f>
        <v>467088</v>
      </c>
    </row>
    <row r="21869" spans="1:7" x14ac:dyDescent="0.25">
      <c r="A21869" s="59"/>
      <c r="B21869" s="60"/>
      <c r="C21869" s="60"/>
      <c r="D21869" s="60"/>
      <c r="E21869" s="57"/>
      <c r="F21869" s="57"/>
      <c r="G21869" s="58"/>
    </row>
    <row r="21870" spans="1:7" x14ac:dyDescent="0.25">
      <c r="A21870" s="64"/>
      <c r="D21870" s="55"/>
      <c r="E21870" s="49" t="s">
        <v>25</v>
      </c>
      <c r="F21870" s="54">
        <v>0.15</v>
      </c>
      <c r="G21870" s="51">
        <f>G21868*F21870</f>
        <v>70063.199999999997</v>
      </c>
    </row>
    <row r="21871" spans="1:7" x14ac:dyDescent="0.25">
      <c r="A21871" s="64"/>
      <c r="D21871" s="55"/>
      <c r="E21871" s="49" t="s">
        <v>26</v>
      </c>
      <c r="F21871" s="54">
        <v>0.05</v>
      </c>
      <c r="G21871" s="51">
        <f>G21868*F21871</f>
        <v>23354.400000000001</v>
      </c>
    </row>
    <row r="21872" spans="1:7" x14ac:dyDescent="0.25">
      <c r="A21872" s="61"/>
      <c r="B21872" s="65"/>
      <c r="C21872" s="65"/>
      <c r="D21872" s="62"/>
      <c r="E21872" s="49" t="s">
        <v>27</v>
      </c>
      <c r="F21872" s="54">
        <v>0.05</v>
      </c>
      <c r="G21872" s="51">
        <f>G21868*F21872</f>
        <v>23354.400000000001</v>
      </c>
    </row>
    <row r="21873" spans="1:7" x14ac:dyDescent="0.25">
      <c r="A21873" s="61"/>
      <c r="B21873" s="62"/>
      <c r="C21873" s="62"/>
      <c r="D21873" s="62"/>
      <c r="E21873" s="62"/>
      <c r="F21873" s="62"/>
      <c r="G21873" s="63"/>
    </row>
    <row r="21874" spans="1:7" x14ac:dyDescent="0.25">
      <c r="A21874" s="219" t="s">
        <v>1517</v>
      </c>
      <c r="B21874" s="219"/>
      <c r="C21874" s="219"/>
      <c r="D21874" s="219"/>
      <c r="E21874" s="219"/>
      <c r="F21874" s="219"/>
      <c r="G21874" s="52">
        <f>G21868+G21870+G21871+G21872</f>
        <v>583860</v>
      </c>
    </row>
    <row r="21875" spans="1:7" x14ac:dyDescent="0.25">
      <c r="A21875" s="59"/>
      <c r="B21875" s="60"/>
      <c r="C21875" s="60"/>
      <c r="D21875" s="60"/>
      <c r="E21875" s="57"/>
      <c r="F21875" s="57"/>
      <c r="G21875" s="58"/>
    </row>
    <row r="21876" spans="1:7" x14ac:dyDescent="0.25">
      <c r="A21876" s="64"/>
      <c r="D21876" s="55"/>
      <c r="E21876" s="49" t="s">
        <v>102</v>
      </c>
      <c r="F21876" s="49" t="s">
        <v>103</v>
      </c>
      <c r="G21876" s="51">
        <f>G21872*19%</f>
        <v>4437.3360000000002</v>
      </c>
    </row>
    <row r="21877" spans="1:7" x14ac:dyDescent="0.25">
      <c r="A21877" s="61"/>
      <c r="B21877" s="62"/>
      <c r="C21877" s="62"/>
      <c r="D21877" s="62"/>
      <c r="E21877" s="57"/>
      <c r="F21877" s="57"/>
      <c r="G21877" s="58"/>
    </row>
    <row r="21878" spans="1:7" x14ac:dyDescent="0.25">
      <c r="A21878" s="219" t="s">
        <v>104</v>
      </c>
      <c r="B21878" s="219"/>
      <c r="C21878" s="219"/>
      <c r="D21878" s="219"/>
      <c r="E21878" s="219"/>
      <c r="F21878" s="219"/>
      <c r="G21878" s="52">
        <f>G21876+G21874</f>
        <v>588297.33600000001</v>
      </c>
    </row>
    <row r="21880" spans="1:7" x14ac:dyDescent="0.25">
      <c r="A21880" s="74" t="s">
        <v>29</v>
      </c>
      <c r="B21880" s="237" t="s">
        <v>30</v>
      </c>
      <c r="C21880" s="238"/>
      <c r="D21880" s="74" t="s">
        <v>31</v>
      </c>
      <c r="E21880" s="74" t="s">
        <v>32</v>
      </c>
      <c r="F21880" s="74" t="s">
        <v>189</v>
      </c>
      <c r="G21880" s="74" t="s">
        <v>33</v>
      </c>
    </row>
    <row r="21881" spans="1:7" ht="38.25" customHeight="1" x14ac:dyDescent="0.25">
      <c r="A21881" s="50" t="str">
        <f>Presupuesto!B416</f>
        <v>078_AUX</v>
      </c>
      <c r="B21881" s="220" t="str">
        <f>Presupuesto!C416</f>
        <v>SUMINISTRO E INSTALACIÓN DE SALIDA DE ILUMINACIÓN, CALEFACCIÓN y TOMACORRIENTE MONOFÁSICA EN TUBERÍA EMT DE  3/4" CON CABLE Cu (1#12F+1#12N+1#14T) AWG  (Longitud Promedio 2m)</v>
      </c>
      <c r="C21881" s="239"/>
      <c r="D21881" s="50" t="s">
        <v>8</v>
      </c>
      <c r="E21881" s="50">
        <v>8</v>
      </c>
      <c r="F21881" s="50"/>
      <c r="G21881" s="51">
        <f>G21949</f>
        <v>209168.94349999999</v>
      </c>
    </row>
    <row r="21882" spans="1:7" x14ac:dyDescent="0.25">
      <c r="A21882" s="219" t="s">
        <v>34</v>
      </c>
      <c r="B21882" s="219"/>
      <c r="C21882" s="219"/>
      <c r="D21882" s="219"/>
      <c r="E21882" s="219"/>
      <c r="F21882" s="219"/>
      <c r="G21882" s="219"/>
    </row>
    <row r="21883" spans="1:7" x14ac:dyDescent="0.25">
      <c r="A21883" s="49" t="s">
        <v>35</v>
      </c>
      <c r="B21883" s="234" t="s">
        <v>36</v>
      </c>
      <c r="C21883" s="235"/>
      <c r="D21883" s="49" t="s">
        <v>37</v>
      </c>
      <c r="E21883" s="49" t="s">
        <v>38</v>
      </c>
      <c r="F21883" s="49" t="s">
        <v>39</v>
      </c>
      <c r="G21883" s="49" t="s">
        <v>40</v>
      </c>
    </row>
    <row r="21884" spans="1:7" x14ac:dyDescent="0.25">
      <c r="A21884" s="17" t="str">
        <f>Material!A221</f>
        <v>MA-220</v>
      </c>
      <c r="B21884" s="72" t="str">
        <f>IFERROR(VLOOKUP(A21884,Material!$A:$H,2,0),"-")</f>
        <v>TUBO METALICO EMT CONDUIT GALVANIZADO DE 3/4"</v>
      </c>
      <c r="C21884" s="73"/>
      <c r="D21884" s="50" t="str">
        <f>IFERROR(VLOOKUP(A21884,Material!$A:$H,4,0),"-")</f>
        <v>ML</v>
      </c>
      <c r="E21884" s="50">
        <v>2</v>
      </c>
      <c r="F21884" s="51">
        <f>IFERROR(VLOOKUP(A21884,Material!$A:$H,3,0),"-")</f>
        <v>11830</v>
      </c>
      <c r="G21884" s="51">
        <f t="shared" ref="G21884:G21890" si="328">IFERROR(ROUNDUP(F21884*E21884,0),"-")</f>
        <v>23660</v>
      </c>
    </row>
    <row r="21885" spans="1:7" x14ac:dyDescent="0.25">
      <c r="A21885" s="17" t="str">
        <f>Material!A220</f>
        <v>MA-219</v>
      </c>
      <c r="B21885" s="72" t="str">
        <f>IFERROR(VLOOKUP(A21885,Material!$A:$H,2,0),"-")</f>
        <v>CABLE AISLADO NO 12 AWG COBRE THHN</v>
      </c>
      <c r="C21885" s="76"/>
      <c r="D21885" s="50" t="str">
        <f>IFERROR(VLOOKUP(A21885,Material!$A:$H,4,0),"-")</f>
        <v>ML</v>
      </c>
      <c r="E21885" s="50">
        <f>2*2</f>
        <v>4</v>
      </c>
      <c r="F21885" s="51">
        <f>IFERROR(VLOOKUP(A21885,Material!$A:$H,3,0),"-")</f>
        <v>3445</v>
      </c>
      <c r="G21885" s="51">
        <f t="shared" si="328"/>
        <v>13780</v>
      </c>
    </row>
    <row r="21886" spans="1:7" x14ac:dyDescent="0.25">
      <c r="A21886" s="17" t="str">
        <f>Material!A227</f>
        <v>MA-226</v>
      </c>
      <c r="B21886" s="72" t="str">
        <f>IFERROR(VLOOKUP(A21886,Material!$A:$H,2,0),"-")</f>
        <v>CABLE AISLADO NO 14 AWG COBRE THHN</v>
      </c>
      <c r="C21886" s="76"/>
      <c r="D21886" s="50" t="str">
        <f>IFERROR(VLOOKUP(A21886,Material!$A:$H,4,0),"-")</f>
        <v>ML</v>
      </c>
      <c r="E21886" s="50">
        <v>2</v>
      </c>
      <c r="F21886" s="51">
        <f>IFERROR(VLOOKUP(A21886,Material!$A:$H,3,0),"-")</f>
        <v>2210</v>
      </c>
      <c r="G21886" s="51">
        <f t="shared" si="328"/>
        <v>4420</v>
      </c>
    </row>
    <row r="21887" spans="1:7" x14ac:dyDescent="0.25">
      <c r="A21887" s="17" t="str">
        <f>Material!A225</f>
        <v>MA-224</v>
      </c>
      <c r="B21887" s="72" t="str">
        <f>IFERROR(VLOOKUP(A21887,Material!$A:$H,2,0),"-")</f>
        <v>CURVA 90 GRADOS EMT DE 3/4"</v>
      </c>
      <c r="C21887" s="76"/>
      <c r="D21887" s="50" t="str">
        <f>IFERROR(VLOOKUP(A21887,Material!$A:$H,4,0),"-")</f>
        <v>UN</v>
      </c>
      <c r="E21887" s="50">
        <v>1</v>
      </c>
      <c r="F21887" s="51">
        <f>IFERROR(VLOOKUP(A21887,Material!$A:$H,3,0),"-")</f>
        <v>2340</v>
      </c>
      <c r="G21887" s="51">
        <f t="shared" si="328"/>
        <v>2340</v>
      </c>
    </row>
    <row r="21888" spans="1:7" x14ac:dyDescent="0.25">
      <c r="A21888" s="17" t="str">
        <f>Material!A224</f>
        <v>MA-223</v>
      </c>
      <c r="B21888" s="72" t="str">
        <f>IFERROR(VLOOKUP(A21888,Material!$A:$H,2,0),"-")</f>
        <v>UNION EMT 3/4"</v>
      </c>
      <c r="C21888" s="76"/>
      <c r="D21888" s="50" t="str">
        <f>IFERROR(VLOOKUP(A21888,Material!$A:$H,4,0),"-")</f>
        <v>UN</v>
      </c>
      <c r="E21888" s="50">
        <v>1</v>
      </c>
      <c r="F21888" s="51">
        <f>IFERROR(VLOOKUP(A21888,Material!$A:$H,3,0),"-")</f>
        <v>1495</v>
      </c>
      <c r="G21888" s="51">
        <f t="shared" si="328"/>
        <v>1495</v>
      </c>
    </row>
    <row r="21889" spans="1:7" x14ac:dyDescent="0.25">
      <c r="A21889" s="17" t="str">
        <f>Material!A223</f>
        <v>MA-222</v>
      </c>
      <c r="B21889" s="72" t="str">
        <f>IFERROR(VLOOKUP(A21889,Material!$A:$H,2,0),"-")</f>
        <v xml:space="preserve">TERMINAL-CONECTOR EMT DE 3/4" </v>
      </c>
      <c r="C21889" s="76"/>
      <c r="D21889" s="50" t="str">
        <f>IFERROR(VLOOKUP(A21889,Material!$A:$H,4,0),"-")</f>
        <v>UN</v>
      </c>
      <c r="E21889" s="50">
        <v>1</v>
      </c>
      <c r="F21889" s="51">
        <f>IFERROR(VLOOKUP(A21889,Material!$A:$H,3,0),"-")</f>
        <v>1495</v>
      </c>
      <c r="G21889" s="51">
        <f t="shared" si="328"/>
        <v>1495</v>
      </c>
    </row>
    <row r="21890" spans="1:7" x14ac:dyDescent="0.25">
      <c r="A21890" s="17" t="str">
        <f>Material!A226</f>
        <v>MA-225</v>
      </c>
      <c r="B21890" s="72" t="str">
        <f>IFERROR(VLOOKUP(A21890,Material!$A:$H,2,0),"-")</f>
        <v>ABRAZADERA GRAPA METALICA 3/4"</v>
      </c>
      <c r="C21890" s="76"/>
      <c r="D21890" s="50" t="str">
        <f>IFERROR(VLOOKUP(A21890,Material!$A:$H,4,0),"-")</f>
        <v>UN</v>
      </c>
      <c r="E21890" s="50">
        <v>1</v>
      </c>
      <c r="F21890" s="51">
        <f>IFERROR(VLOOKUP(A21890,Material!$A:$H,3,0),"-")</f>
        <v>325</v>
      </c>
      <c r="G21890" s="51">
        <f t="shared" si="328"/>
        <v>325</v>
      </c>
    </row>
    <row r="21891" spans="1:7" x14ac:dyDescent="0.25">
      <c r="A21891" s="234" t="s">
        <v>41</v>
      </c>
      <c r="B21891" s="236"/>
      <c r="C21891" s="236"/>
      <c r="D21891" s="236"/>
      <c r="E21891" s="236"/>
      <c r="F21891" s="235"/>
      <c r="G21891" s="52">
        <f>SUM(G21884:G21890)</f>
        <v>47515</v>
      </c>
    </row>
    <row r="21892" spans="1:7" x14ac:dyDescent="0.25">
      <c r="A21892" s="56"/>
      <c r="B21892" s="57"/>
      <c r="C21892" s="57"/>
      <c r="D21892" s="57"/>
      <c r="E21892" s="57"/>
      <c r="F21892" s="57"/>
      <c r="G21892" s="58"/>
    </row>
    <row r="21893" spans="1:7" x14ac:dyDescent="0.25">
      <c r="A21893" s="219" t="s">
        <v>42</v>
      </c>
      <c r="B21893" s="219"/>
      <c r="C21893" s="219"/>
      <c r="D21893" s="219"/>
      <c r="E21893" s="219"/>
      <c r="F21893" s="219"/>
      <c r="G21893" s="219"/>
    </row>
    <row r="21894" spans="1:7" x14ac:dyDescent="0.25">
      <c r="A21894" s="49" t="s">
        <v>35</v>
      </c>
      <c r="B21894" s="49" t="s">
        <v>36</v>
      </c>
      <c r="C21894" s="49" t="s">
        <v>38</v>
      </c>
      <c r="D21894" s="49" t="s">
        <v>43</v>
      </c>
      <c r="E21894" s="49" t="s">
        <v>44</v>
      </c>
      <c r="F21894" s="49" t="s">
        <v>45</v>
      </c>
      <c r="G21894" s="49" t="s">
        <v>40</v>
      </c>
    </row>
    <row r="21895" spans="1:7" x14ac:dyDescent="0.25">
      <c r="A21895" s="50" t="s">
        <v>319</v>
      </c>
      <c r="B21895" s="68" t="str">
        <f>VLOOKUP(A21895,'Componentes APUs'!$H$1:$L$25,2,0)</f>
        <v>Ingeniero Residente de Obra</v>
      </c>
      <c r="C21895" s="93">
        <v>0.25</v>
      </c>
      <c r="D21895" s="50">
        <f>VLOOKUP(A21895,'Componentes APUs'!$H$1:$L$25,3,0)</f>
        <v>4</v>
      </c>
      <c r="E21895" s="51">
        <f>VLOOKUP(A21895,'Componentes APUs'!$H$1:$L$25,4,0)</f>
        <v>271142.85714285716</v>
      </c>
      <c r="F21895" s="51">
        <f>VLOOKUP(A21895,'Componentes APUs'!$H$1:$L$25,5,0)</f>
        <v>162685.71428571429</v>
      </c>
      <c r="G21895" s="51">
        <f>ROUNDUP((E21895+F21895)*C21895/E21881,0)</f>
        <v>13558</v>
      </c>
    </row>
    <row r="21896" spans="1:7" x14ac:dyDescent="0.25">
      <c r="A21896" s="50" t="s">
        <v>320</v>
      </c>
      <c r="B21896" s="68" t="str">
        <f>VLOOKUP(A21896,'Componentes APUs'!$H$1:$L$25,2,0)</f>
        <v>Tecnico Supervisor</v>
      </c>
      <c r="C21896" s="93">
        <v>0.25</v>
      </c>
      <c r="D21896" s="50">
        <f>VLOOKUP(A21896,'Componentes APUs'!$H$1:$L$25,3,0)</f>
        <v>2.2999999999999998</v>
      </c>
      <c r="E21896" s="51">
        <f>VLOOKUP(A21896,'Componentes APUs'!$H$1:$L$25,4,0)</f>
        <v>155907.14285714284</v>
      </c>
      <c r="F21896" s="51">
        <f>VLOOKUP(A21896,'Componentes APUs'!$H$1:$L$25,5,0)</f>
        <v>93544.285714285696</v>
      </c>
      <c r="G21896" s="51">
        <f>ROUNDUP((E21896+F21896)*C21896/E21881,0)</f>
        <v>7796</v>
      </c>
    </row>
    <row r="21897" spans="1:7" x14ac:dyDescent="0.25">
      <c r="A21897" s="50" t="s">
        <v>1160</v>
      </c>
      <c r="B21897" s="68" t="str">
        <f>VLOOKUP(A21897,'Componentes APUs'!$H$1:$L$25,2,0)</f>
        <v>Oficial Eléctrico</v>
      </c>
      <c r="C21897" s="93">
        <v>1</v>
      </c>
      <c r="D21897" s="50">
        <f>VLOOKUP(A21897,'Componentes APUs'!$H$1:$L$25,3,0)</f>
        <v>2</v>
      </c>
      <c r="E21897" s="51">
        <f>VLOOKUP(A21897,'Componentes APUs'!$H$1:$L$25,4,0)</f>
        <v>154619.04761904763</v>
      </c>
      <c r="F21897" s="51">
        <f>VLOOKUP(A21897,'Componentes APUs'!$H$1:$L$25,5,0)</f>
        <v>92771.42857142858</v>
      </c>
      <c r="G21897" s="51">
        <f>ROUNDUP((E21897+F21897)*C21897/E21881,0)</f>
        <v>30924</v>
      </c>
    </row>
    <row r="21898" spans="1:7" x14ac:dyDescent="0.25">
      <c r="A21898" s="50" t="s">
        <v>48</v>
      </c>
      <c r="B21898" s="68" t="str">
        <f>VLOOKUP(A21898,'Componentes APUs'!$H$1:$L$25,2,0)</f>
        <v>Ayudante Calificado</v>
      </c>
      <c r="C21898" s="93">
        <v>1</v>
      </c>
      <c r="D21898" s="50">
        <f>VLOOKUP(A21898,'Componentes APUs'!$H$1:$L$25,3,0)</f>
        <v>1.5</v>
      </c>
      <c r="E21898" s="51">
        <f>VLOOKUP(A21898,'Componentes APUs'!$H$1:$L$25,4,0)</f>
        <v>115964.28571428571</v>
      </c>
      <c r="F21898" s="51">
        <f>VLOOKUP(A21898,'Componentes APUs'!$H$1:$L$25,5,0)</f>
        <v>69578.57142857142</v>
      </c>
      <c r="G21898" s="51">
        <f>ROUNDUP((E21898+F21898)*C21898/E21881,0)</f>
        <v>23193</v>
      </c>
    </row>
    <row r="21899" spans="1:7" x14ac:dyDescent="0.25">
      <c r="A21899" s="50" t="s">
        <v>50</v>
      </c>
      <c r="B21899" s="68" t="str">
        <f>VLOOKUP(A21899,'Componentes APUs'!$H$1:$L$25,2,0)</f>
        <v>Profesional en SST</v>
      </c>
      <c r="C21899" s="93">
        <v>0.25</v>
      </c>
      <c r="D21899" s="50">
        <f>VLOOKUP(A21899,'Componentes APUs'!$H$1:$L$25,3,0)</f>
        <v>2.5</v>
      </c>
      <c r="E21899" s="51">
        <f>VLOOKUP(A21899,'Componentes APUs'!$H$1:$L$25,4,0)</f>
        <v>169464.28571428571</v>
      </c>
      <c r="F21899" s="51">
        <f>VLOOKUP(A21899,'Componentes APUs'!$H$1:$L$25,5,0)</f>
        <v>101678.57142857142</v>
      </c>
      <c r="G21899" s="51">
        <f>ROUNDUP((E21899+F21899)*C21899/E21881,0)</f>
        <v>8474</v>
      </c>
    </row>
    <row r="21900" spans="1:7" x14ac:dyDescent="0.25">
      <c r="A21900" s="50" t="s">
        <v>52</v>
      </c>
      <c r="B21900" s="68" t="str">
        <f>VLOOKUP(A21900,'Componentes APUs'!$H$1:$L$25,2,0)</f>
        <v>Ayudante No Calificado</v>
      </c>
      <c r="C21900" s="93">
        <v>0</v>
      </c>
      <c r="D21900" s="50">
        <f>VLOOKUP(A21900,'Componentes APUs'!$H$1:$L$25,3,0)</f>
        <v>1</v>
      </c>
      <c r="E21900" s="51">
        <f>VLOOKUP(A21900,'Componentes APUs'!$H$1:$L$25,4,0)</f>
        <v>77309.523809523816</v>
      </c>
      <c r="F21900" s="51">
        <f>VLOOKUP(A21900,'Componentes APUs'!$H$1:$L$25,5,0)</f>
        <v>46385.71428571429</v>
      </c>
      <c r="G21900" s="51">
        <f>ROUNDUP((E21900+F21900)*C21900/E21881,0)</f>
        <v>0</v>
      </c>
    </row>
    <row r="21901" spans="1:7" x14ac:dyDescent="0.25">
      <c r="A21901" s="219" t="s">
        <v>56</v>
      </c>
      <c r="B21901" s="219"/>
      <c r="C21901" s="219"/>
      <c r="D21901" s="219"/>
      <c r="E21901" s="219"/>
      <c r="F21901" s="219"/>
      <c r="G21901" s="52">
        <f>SUM(G21895:G21900)</f>
        <v>83945</v>
      </c>
    </row>
    <row r="21902" spans="1:7" x14ac:dyDescent="0.25">
      <c r="A21902" s="56"/>
      <c r="B21902" s="57"/>
      <c r="C21902" s="57"/>
      <c r="D21902" s="57"/>
      <c r="E21902" s="57"/>
      <c r="F21902" s="57"/>
      <c r="G21902" s="58"/>
    </row>
    <row r="21903" spans="1:7" x14ac:dyDescent="0.25">
      <c r="A21903" s="219" t="s">
        <v>57</v>
      </c>
      <c r="B21903" s="219"/>
      <c r="C21903" s="219"/>
      <c r="D21903" s="219"/>
      <c r="E21903" s="219"/>
      <c r="F21903" s="219"/>
      <c r="G21903" s="219"/>
    </row>
    <row r="21904" spans="1:7" x14ac:dyDescent="0.25">
      <c r="A21904" s="49" t="s">
        <v>35</v>
      </c>
      <c r="B21904" s="219" t="s">
        <v>36</v>
      </c>
      <c r="C21904" s="219"/>
      <c r="D21904" s="49" t="s">
        <v>37</v>
      </c>
      <c r="E21904" s="49" t="s">
        <v>38</v>
      </c>
      <c r="F21904" s="49" t="s">
        <v>39</v>
      </c>
      <c r="G21904" s="49" t="s">
        <v>40</v>
      </c>
    </row>
    <row r="21905" spans="1:7" x14ac:dyDescent="0.25">
      <c r="A21905" s="50" t="s">
        <v>326</v>
      </c>
      <c r="B21905" s="220" t="str">
        <f>VLOOKUP(A21905,'Componentes APUs'!$S$1:$V$10,2,0)</f>
        <v>Juego Llaves</v>
      </c>
      <c r="C21905" s="220"/>
      <c r="D21905" s="50" t="s">
        <v>18</v>
      </c>
      <c r="E21905" s="50">
        <v>2</v>
      </c>
      <c r="F21905" s="51">
        <f>VLOOKUP(A21905,'Componentes APUs'!$S$1:$V$10,4,0)</f>
        <v>9167</v>
      </c>
      <c r="G21905" s="51">
        <f>ROUNDUP(F21905*((E21905/21)/E21881),0)</f>
        <v>110</v>
      </c>
    </row>
    <row r="21906" spans="1:7" x14ac:dyDescent="0.25">
      <c r="A21906" s="50" t="s">
        <v>58</v>
      </c>
      <c r="B21906" s="220" t="str">
        <f>VLOOKUP(A21906,'Componentes APUs'!$S$1:$V$10,2,0)</f>
        <v>Manila de servicio</v>
      </c>
      <c r="C21906" s="220"/>
      <c r="D21906" s="50" t="s">
        <v>18</v>
      </c>
      <c r="E21906" s="50">
        <v>0</v>
      </c>
      <c r="F21906" s="51">
        <f>VLOOKUP(A21906,'Componentes APUs'!$S$1:$V$10,4,0)</f>
        <v>2333</v>
      </c>
      <c r="G21906" s="51">
        <f>ROUNDUP(F21906*((E21906/21)/E21881),0)</f>
        <v>0</v>
      </c>
    </row>
    <row r="21907" spans="1:7" x14ac:dyDescent="0.25">
      <c r="A21907" s="50" t="s">
        <v>327</v>
      </c>
      <c r="B21907" s="220" t="str">
        <f>VLOOKUP(A21907,'Componentes APUs'!$S$1:$V$10,2,0)</f>
        <v>Tula portaherramientas</v>
      </c>
      <c r="C21907" s="220"/>
      <c r="D21907" s="50" t="s">
        <v>18</v>
      </c>
      <c r="E21907" s="50">
        <v>2</v>
      </c>
      <c r="F21907" s="51">
        <f>VLOOKUP(A21907,'Componentes APUs'!$S$1:$V$10,4,0)</f>
        <v>1250</v>
      </c>
      <c r="G21907" s="51">
        <f>ROUNDUP(F21907*((E21907/21)/E21881),0)</f>
        <v>15</v>
      </c>
    </row>
    <row r="21908" spans="1:7" x14ac:dyDescent="0.25">
      <c r="A21908" s="50" t="s">
        <v>60</v>
      </c>
      <c r="B21908" s="220" t="str">
        <f>VLOOKUP(A21908,'Componentes APUs'!$S$1:$V$10,2,0)</f>
        <v>Agarradoras</v>
      </c>
      <c r="C21908" s="220"/>
      <c r="D21908" s="50" t="s">
        <v>18</v>
      </c>
      <c r="E21908" s="50">
        <v>0</v>
      </c>
      <c r="F21908" s="51">
        <f>VLOOKUP(A21908,'Componentes APUs'!$S$1:$V$10,4,0)</f>
        <v>125000</v>
      </c>
      <c r="G21908" s="51">
        <f>ROUNDUP(F21908*((E21908/21)/E21881),0)</f>
        <v>0</v>
      </c>
    </row>
    <row r="21909" spans="1:7" x14ac:dyDescent="0.25">
      <c r="A21909" s="50" t="s">
        <v>62</v>
      </c>
      <c r="B21909" s="220" t="str">
        <f>VLOOKUP(A21909,'Componentes APUs'!$S$1:$V$10,2,0)</f>
        <v>Templadoras</v>
      </c>
      <c r="C21909" s="220"/>
      <c r="D21909" s="50" t="s">
        <v>18</v>
      </c>
      <c r="E21909" s="50">
        <v>0</v>
      </c>
      <c r="F21909" s="51">
        <f>VLOOKUP(A21909,'Componentes APUs'!$S$1:$V$10,4,0)</f>
        <v>250000</v>
      </c>
      <c r="G21909" s="51">
        <f>ROUNDUP(F21909*((E21909/21)/E21881),0)</f>
        <v>0</v>
      </c>
    </row>
    <row r="21910" spans="1:7" x14ac:dyDescent="0.25">
      <c r="A21910" s="50" t="s">
        <v>328</v>
      </c>
      <c r="B21910" s="220" t="str">
        <f>VLOOKUP(A21910,'Componentes APUs'!$S$1:$V$10,2,0)</f>
        <v>Herramienta Menor</v>
      </c>
      <c r="C21910" s="220"/>
      <c r="D21910" s="50" t="s">
        <v>18</v>
      </c>
      <c r="E21910" s="50">
        <v>2</v>
      </c>
      <c r="F21910" s="51">
        <f>VLOOKUP(A21910,'Componentes APUs'!$S$1:$V$10,4,0)</f>
        <v>75758</v>
      </c>
      <c r="G21910" s="51">
        <f>ROUNDUP(F21910*((E21910/21)/E21881),0)</f>
        <v>902</v>
      </c>
    </row>
    <row r="21911" spans="1:7" x14ac:dyDescent="0.25">
      <c r="A21911" s="219" t="s">
        <v>69</v>
      </c>
      <c r="B21911" s="219"/>
      <c r="C21911" s="219"/>
      <c r="D21911" s="219"/>
      <c r="E21911" s="219"/>
      <c r="F21911" s="219"/>
      <c r="G21911" s="52">
        <f>SUM(G21905:G21910)</f>
        <v>1027</v>
      </c>
    </row>
    <row r="21912" spans="1:7" x14ac:dyDescent="0.25">
      <c r="A21912" s="56"/>
      <c r="B21912" s="57"/>
      <c r="C21912" s="57"/>
      <c r="D21912" s="57"/>
      <c r="E21912" s="57"/>
      <c r="F21912" s="57"/>
      <c r="G21912" s="58"/>
    </row>
    <row r="21913" spans="1:7" x14ac:dyDescent="0.25">
      <c r="A21913" s="219" t="s">
        <v>70</v>
      </c>
      <c r="B21913" s="219"/>
      <c r="C21913" s="219"/>
      <c r="D21913" s="219"/>
      <c r="E21913" s="219"/>
      <c r="F21913" s="219"/>
      <c r="G21913" s="219"/>
    </row>
    <row r="21914" spans="1:7" x14ac:dyDescent="0.25">
      <c r="A21914" s="49" t="s">
        <v>35</v>
      </c>
      <c r="B21914" s="219" t="s">
        <v>36</v>
      </c>
      <c r="C21914" s="219"/>
      <c r="D21914" s="49" t="s">
        <v>37</v>
      </c>
      <c r="E21914" s="49" t="s">
        <v>38</v>
      </c>
      <c r="F21914" s="49" t="s">
        <v>39</v>
      </c>
      <c r="G21914" s="49" t="s">
        <v>40</v>
      </c>
    </row>
    <row r="21915" spans="1:7" x14ac:dyDescent="0.25">
      <c r="A21915" s="50" t="s">
        <v>71</v>
      </c>
      <c r="B21915" s="71" t="str">
        <f>VLOOKUP(A21915,'Componentes APUs'!$A$1:$D$14,2,0)</f>
        <v>Camisa indigo sin partes metalicas</v>
      </c>
      <c r="C21915" s="71"/>
      <c r="D21915" s="50" t="str">
        <f>VLOOKUP(A21915,'Componentes APUs'!$A$1:$D$14,3,0)</f>
        <v>U</v>
      </c>
      <c r="E21915" s="50">
        <f>SUM(C21895:C21900)</f>
        <v>2.75</v>
      </c>
      <c r="F21915" s="51">
        <f>VLOOKUP(A21915,'Componentes APUs'!$A$1:$D$14,4,0)</f>
        <v>8585.8585858585866</v>
      </c>
      <c r="G21915" s="51">
        <f>ROUNDUP(F21915*(E21915/21)/E21881,0)</f>
        <v>141</v>
      </c>
    </row>
    <row r="21916" spans="1:7" x14ac:dyDescent="0.25">
      <c r="A21916" s="69" t="s">
        <v>73</v>
      </c>
      <c r="B21916" s="72" t="str">
        <f>VLOOKUP(A21916,'Componentes APUs'!$A$1:$D$14,2,0)</f>
        <v>Bota de seguridad dielectrica</v>
      </c>
      <c r="C21916" s="73"/>
      <c r="D21916" s="70" t="str">
        <f>VLOOKUP(A21916,'Componentes APUs'!$A$1:$D$14,3,0)</f>
        <v>Par</v>
      </c>
      <c r="E21916" s="50">
        <f>SUM(C21895:C21900)</f>
        <v>2.75</v>
      </c>
      <c r="F21916" s="51">
        <f>VLOOKUP(A21916,'Componentes APUs'!$A$1:$D$14,4,0)</f>
        <v>7500</v>
      </c>
      <c r="G21916" s="51">
        <f>ROUNDUP(F21916*(E21916/21)/E21881,0)</f>
        <v>123</v>
      </c>
    </row>
    <row r="21917" spans="1:7" x14ac:dyDescent="0.25">
      <c r="A21917" s="50" t="s">
        <v>76</v>
      </c>
      <c r="B21917" s="72" t="str">
        <f>VLOOKUP(A21917,'Componentes APUs'!$A$1:$D$14,2,0)</f>
        <v>Casco dielectrico Tipo 1 Clase E con barbuquejo</v>
      </c>
      <c r="C21917" s="73"/>
      <c r="D21917" s="50" t="str">
        <f>VLOOKUP(A21917,'Componentes APUs'!$A$1:$D$14,3,0)</f>
        <v>U</v>
      </c>
      <c r="E21917" s="50">
        <f>C21900+C21895+C21898+C21899+C21896+IF(A21897&lt;&gt;"MO-3",C21897,0)</f>
        <v>2.75</v>
      </c>
      <c r="F21917" s="51">
        <f>VLOOKUP(A21917,'Componentes APUs'!$A$1:$D$14,4,0)</f>
        <v>10101.010101010101</v>
      </c>
      <c r="G21917" s="51">
        <f>ROUNDUP(F21917*(E21917/21)/E21881,0)</f>
        <v>166</v>
      </c>
    </row>
    <row r="21918" spans="1:7" x14ac:dyDescent="0.25">
      <c r="A21918" s="69" t="s">
        <v>77</v>
      </c>
      <c r="B21918" s="72" t="str">
        <f>VLOOKUP(A21918,'Componentes APUs'!$A$1:$D$14,2,0)</f>
        <v>Correa plastica y antiflama</v>
      </c>
      <c r="C21918" s="73"/>
      <c r="D21918" s="50" t="str">
        <f>VLOOKUP(A21918,'Componentes APUs'!$A$1:$D$14,3,0)</f>
        <v>U</v>
      </c>
      <c r="E21918" s="50">
        <f>SUM(C21895:C21900)</f>
        <v>2.75</v>
      </c>
      <c r="F21918" s="51">
        <f>VLOOKUP(A21918,'Componentes APUs'!$A$1:$D$14,4,0)</f>
        <v>3787.878787878788</v>
      </c>
      <c r="G21918" s="51">
        <f>ROUNDUP(F21918*(E21918/21)/E21881,0)</f>
        <v>63</v>
      </c>
    </row>
    <row r="21919" spans="1:7" x14ac:dyDescent="0.25">
      <c r="A21919" s="50" t="s">
        <v>79</v>
      </c>
      <c r="B21919" s="72" t="str">
        <f>VLOOKUP(A21919,'Componentes APUs'!$A$1:$D$14,2,0)</f>
        <v>Gafas protectoras filtro UV</v>
      </c>
      <c r="C21919" s="73"/>
      <c r="D21919" s="50" t="str">
        <f>VLOOKUP(A21919,'Componentes APUs'!$A$1:$D$14,3,0)</f>
        <v>U</v>
      </c>
      <c r="E21919" s="50">
        <f>SUM(C21895:C21900)</f>
        <v>2.75</v>
      </c>
      <c r="F21919" s="51">
        <f>VLOOKUP(A21919,'Componentes APUs'!$A$1:$D$14,4,0)</f>
        <v>2777.7777777777778</v>
      </c>
      <c r="G21919" s="51">
        <f>ROUNDUP(F21919*(E21919/21)/E21881,0)</f>
        <v>46</v>
      </c>
    </row>
    <row r="21920" spans="1:7" x14ac:dyDescent="0.25">
      <c r="A21920" s="69" t="s">
        <v>402</v>
      </c>
      <c r="B21920" s="72" t="str">
        <f>VLOOKUP(A21920,'Componentes APUs'!$A$1:$D$14,2,0)</f>
        <v>Bota de seguridad PVC dielectrica</v>
      </c>
      <c r="C21920" s="73"/>
      <c r="D21920" s="50" t="str">
        <f>VLOOKUP(A21920,'Componentes APUs'!$A$1:$D$14,3,0)</f>
        <v>Par</v>
      </c>
      <c r="E21920" s="50">
        <f>SUM(C21895:C21900)</f>
        <v>2.75</v>
      </c>
      <c r="F21920" s="51">
        <f>VLOOKUP(A21920,'Componentes APUs'!$A$1:$D$14,4,0)</f>
        <v>2916.6666666666665</v>
      </c>
      <c r="G21920" s="51">
        <f>ROUNDUP(F21920*(E21920/21)/E21881,0)</f>
        <v>48</v>
      </c>
    </row>
    <row r="21921" spans="1:7" x14ac:dyDescent="0.25">
      <c r="A21921" s="50" t="s">
        <v>403</v>
      </c>
      <c r="B21921" s="72" t="str">
        <f>VLOOKUP(A21921,'Componentes APUs'!$A$1:$D$14,2,0)</f>
        <v>Capuchon</v>
      </c>
      <c r="C21921" s="73"/>
      <c r="D21921" s="50" t="str">
        <f>VLOOKUP(A21921,'Componentes APUs'!$A$1:$D$14,3,0)</f>
        <v>U</v>
      </c>
      <c r="E21921" s="50">
        <f>SUM(C21895:C21900)</f>
        <v>2.75</v>
      </c>
      <c r="F21921" s="51">
        <f>VLOOKUP(A21921,'Componentes APUs'!$A$1:$D$14,4,0)</f>
        <v>2525.2525252525252</v>
      </c>
      <c r="G21921" s="51">
        <f>ROUNDUP(F21921*(E21921/21)/E21881,0)</f>
        <v>42</v>
      </c>
    </row>
    <row r="21922" spans="1:7" x14ac:dyDescent="0.25">
      <c r="A21922" s="69" t="s">
        <v>81</v>
      </c>
      <c r="B21922" s="72" t="str">
        <f>VLOOKUP(A21922,'Componentes APUs'!$A$1:$D$14,2,0)</f>
        <v>Guantes Protectores  - ingeniero reforzados</v>
      </c>
      <c r="C21922" s="73"/>
      <c r="D21922" s="50" t="str">
        <f>VLOOKUP(A21922,'Componentes APUs'!$A$1:$D$14,3,0)</f>
        <v>Par</v>
      </c>
      <c r="E21922" s="50">
        <f>C21897+C21898+C21900</f>
        <v>2</v>
      </c>
      <c r="F21922" s="51">
        <f>VLOOKUP(A21922,'Componentes APUs'!$A$1:$D$14,4,0)</f>
        <v>2525.2525252525252</v>
      </c>
      <c r="G21922" s="51">
        <f>ROUNDUP(F21922*(E21922/21)/E21881,0)</f>
        <v>31</v>
      </c>
    </row>
    <row r="21923" spans="1:7" x14ac:dyDescent="0.25">
      <c r="A21923" s="50" t="s">
        <v>83</v>
      </c>
      <c r="B21923" s="72" t="str">
        <f>VLOOKUP(A21923,'Componentes APUs'!$A$1:$D$14,2,0)</f>
        <v>Impermeable (pantalon camisa)</v>
      </c>
      <c r="C21923" s="73"/>
      <c r="D21923" s="50" t="str">
        <f>VLOOKUP(A21923,'Componentes APUs'!$A$1:$D$14,3,0)</f>
        <v>U</v>
      </c>
      <c r="E21923" s="50">
        <f>SUM(C21895:C21900)</f>
        <v>2.75</v>
      </c>
      <c r="F21923" s="51">
        <f>VLOOKUP(A21923,'Componentes APUs'!$A$1:$D$14,4,0)</f>
        <v>3750</v>
      </c>
      <c r="G21923" s="51">
        <f>ROUNDUP(F21923*(E21923/21)/E21881,0)</f>
        <v>62</v>
      </c>
    </row>
    <row r="21924" spans="1:7" x14ac:dyDescent="0.25">
      <c r="A21924" s="69" t="s">
        <v>85</v>
      </c>
      <c r="B21924" s="72" t="str">
        <f>VLOOKUP(A21924,'Componentes APUs'!$A$1:$D$14,2,0)</f>
        <v>Jean Dielectrico</v>
      </c>
      <c r="C21924" s="73"/>
      <c r="D21924" s="50" t="str">
        <f>VLOOKUP(A21924,'Componentes APUs'!$A$1:$D$14,3,0)</f>
        <v>U</v>
      </c>
      <c r="E21924" s="50">
        <f>SUM(C21895:C21900)</f>
        <v>2.75</v>
      </c>
      <c r="F21924" s="51">
        <f>VLOOKUP(A21924,'Componentes APUs'!$A$1:$D$14,4,0)</f>
        <v>7575.757575757576</v>
      </c>
      <c r="G21924" s="51">
        <f>ROUNDUP(F21924*(E21924/21)/E21881,0)</f>
        <v>125</v>
      </c>
    </row>
    <row r="21925" spans="1:7" x14ac:dyDescent="0.25">
      <c r="A21925" s="50" t="s">
        <v>87</v>
      </c>
      <c r="B21925" s="72" t="str">
        <f>VLOOKUP(A21925,'Componentes APUs'!$A$1:$D$14,2,0)</f>
        <v>Casco dielectrico Tipo 2 Clase E con barboquejo</v>
      </c>
      <c r="C21925" s="73"/>
      <c r="D21925" s="50" t="str">
        <f>VLOOKUP(A21925,'Componentes APUs'!$A$1:$D$14,3,0)</f>
        <v>U</v>
      </c>
      <c r="E21925" s="53">
        <f>IF(A21897="MO-3",C21897,0)</f>
        <v>0</v>
      </c>
      <c r="F21925" s="51">
        <f>VLOOKUP(A21925,'Componentes APUs'!$A$1:$D$14,4,0)</f>
        <v>7500</v>
      </c>
      <c r="G21925" s="51">
        <f>ROUNDUP(F21925*(E21925/21)/E21881,0)</f>
        <v>0</v>
      </c>
    </row>
    <row r="21926" spans="1:7" x14ac:dyDescent="0.25">
      <c r="A21926" s="69" t="s">
        <v>89</v>
      </c>
      <c r="B21926" s="72" t="str">
        <f>VLOOKUP(A21926,'Componentes APUs'!$A$1:$D$14,2,0)</f>
        <v>Kit de rescate para trabajo en alturas</v>
      </c>
      <c r="C21926" s="73"/>
      <c r="D21926" s="50" t="str">
        <f>VLOOKUP(A21926,'Componentes APUs'!$A$1:$D$14,3,0)</f>
        <v>U</v>
      </c>
      <c r="E21926" s="50">
        <f>IF(AND(A21897="MO-3",C21897=2),1,0)</f>
        <v>0</v>
      </c>
      <c r="F21926" s="51">
        <f>VLOOKUP(A21926,'Componentes APUs'!$A$1:$D$14,4,0)</f>
        <v>37500</v>
      </c>
      <c r="G21926" s="51">
        <f>ROUNDUP(F21926*(E21926/21)/E21881,0)</f>
        <v>0</v>
      </c>
    </row>
    <row r="21927" spans="1:7" x14ac:dyDescent="0.25">
      <c r="A21927" s="50" t="s">
        <v>91</v>
      </c>
      <c r="B21927" s="72" t="str">
        <f>VLOOKUP(A21927,'Componentes APUs'!$A$1:$D$14,2,0)</f>
        <v>Equipo completo para trabajo en alturas con pretales (Arnes dielectrico, 1 mosqueton de seguridad, tie off dielectrico, eslinga de posicionamiento, juego de pretales)</v>
      </c>
      <c r="C21927" s="73"/>
      <c r="D21927" s="50" t="str">
        <f>VLOOKUP(A21927,'Componentes APUs'!$A$1:$D$14,3,0)</f>
        <v>U</v>
      </c>
      <c r="E21927" s="50">
        <f>IF(A21897="MO-3",C21897,0)</f>
        <v>0</v>
      </c>
      <c r="F21927" s="51">
        <f>VLOOKUP(A21927,'Componentes APUs'!$A$1:$D$14,4,0)</f>
        <v>26041.666666666668</v>
      </c>
      <c r="G21927" s="51">
        <f>ROUNDUP(F21927*(E21927/21)/E21881,0)</f>
        <v>0</v>
      </c>
    </row>
    <row r="21928" spans="1:7" x14ac:dyDescent="0.25">
      <c r="A21928" s="219" t="s">
        <v>95</v>
      </c>
      <c r="B21928" s="219"/>
      <c r="C21928" s="219"/>
      <c r="D21928" s="219"/>
      <c r="E21928" s="219"/>
      <c r="F21928" s="219"/>
      <c r="G21928" s="52">
        <f>SUM(G21915:G21927)</f>
        <v>847</v>
      </c>
    </row>
    <row r="21929" spans="1:7" x14ac:dyDescent="0.25">
      <c r="A21929" s="56"/>
      <c r="B21929" s="57"/>
      <c r="C21929" s="57"/>
      <c r="D21929" s="57"/>
      <c r="E21929" s="57"/>
      <c r="F21929" s="57"/>
      <c r="G21929" s="58"/>
    </row>
    <row r="21930" spans="1:7" x14ac:dyDescent="0.25">
      <c r="A21930" s="219" t="s">
        <v>96</v>
      </c>
      <c r="B21930" s="219"/>
      <c r="C21930" s="219"/>
      <c r="D21930" s="219"/>
      <c r="E21930" s="219"/>
      <c r="F21930" s="219"/>
      <c r="G21930" s="219"/>
    </row>
    <row r="21931" spans="1:7" x14ac:dyDescent="0.25">
      <c r="A21931" s="49" t="s">
        <v>35</v>
      </c>
      <c r="B21931" s="225" t="s">
        <v>36</v>
      </c>
      <c r="C21931" s="225"/>
      <c r="D21931" s="49" t="s">
        <v>37</v>
      </c>
      <c r="E21931" s="49" t="s">
        <v>38</v>
      </c>
      <c r="F21931" s="49" t="s">
        <v>39</v>
      </c>
      <c r="G21931" s="49" t="s">
        <v>40</v>
      </c>
    </row>
    <row r="21932" spans="1:7" x14ac:dyDescent="0.25">
      <c r="A21932" s="69" t="s">
        <v>97</v>
      </c>
      <c r="B21932" s="72" t="str">
        <f>VLOOKUP(A21932,'Componentes APUs'!$N$1:$Q$30,2,0)</f>
        <v>Camioneta</v>
      </c>
      <c r="C21932" s="73"/>
      <c r="D21932" s="70" t="str">
        <f>VLOOKUP(A21932,'Componentes APUs'!$N$1:$Q$30,3,0)</f>
        <v>U</v>
      </c>
      <c r="E21932" s="50">
        <v>1</v>
      </c>
      <c r="F21932" s="51">
        <f>VLOOKUP(A21932,'Componentes APUs'!$N$1:$Q$30,4,0)</f>
        <v>5500000</v>
      </c>
      <c r="G21932" s="51">
        <f>IFERROR(ROUNDUP(F21932*(E21932/21)/E21881,0),0)</f>
        <v>32739</v>
      </c>
    </row>
    <row r="21933" spans="1:7" x14ac:dyDescent="0.25">
      <c r="A21933" s="50" t="s">
        <v>321</v>
      </c>
      <c r="B21933" s="72" t="str">
        <f>VLOOKUP(A21933,'Componentes APUs'!$N$1:$Q$30,2,0)</f>
        <v>Grúa Hidráulica</v>
      </c>
      <c r="C21933" s="73"/>
      <c r="D21933" s="70" t="str">
        <f>VLOOKUP(A21933,'Componentes APUs'!$N$1:$Q$30,3,0)</f>
        <v>U</v>
      </c>
      <c r="E21933" s="50">
        <v>0</v>
      </c>
      <c r="F21933" s="51">
        <f>VLOOKUP(A21933,'Componentes APUs'!$N$1:$Q$30,4,0)</f>
        <v>21000000</v>
      </c>
      <c r="G21933" s="51">
        <f>IFERROR(ROUNDUP(F21933*(E21933/21)/E21881,0),0)</f>
        <v>0</v>
      </c>
    </row>
    <row r="21934" spans="1:7" x14ac:dyDescent="0.25">
      <c r="A21934" s="69" t="s">
        <v>322</v>
      </c>
      <c r="B21934" s="72" t="str">
        <f>VLOOKUP(A21934,'Componentes APUs'!$N$1:$Q$30,2,0)</f>
        <v>Camabaja</v>
      </c>
      <c r="C21934" s="73"/>
      <c r="D21934" s="70" t="str">
        <f>VLOOKUP(A21934,'Componentes APUs'!$N$1:$Q$30,3,0)</f>
        <v>TON/KM</v>
      </c>
      <c r="E21934" s="50">
        <v>0</v>
      </c>
      <c r="F21934" s="51">
        <f>VLOOKUP(A21934,'Componentes APUs'!$N$1:$Q$30,4,0)</f>
        <v>611</v>
      </c>
      <c r="G21934" s="51">
        <f>IFERROR(ROUNDUP(F21934*(E21934/21)/E21881,0),0)</f>
        <v>0</v>
      </c>
    </row>
    <row r="21935" spans="1:7" x14ac:dyDescent="0.25">
      <c r="A21935" s="50" t="s">
        <v>323</v>
      </c>
      <c r="B21935" s="72" t="str">
        <f>VLOOKUP(A21935,'Componentes APUs'!$N$1:$Q$30,2,0)</f>
        <v>Volqueta</v>
      </c>
      <c r="C21935" s="73"/>
      <c r="D21935" s="70" t="str">
        <f>VLOOKUP(A21935,'Componentes APUs'!$N$1:$Q$30,3,0)</f>
        <v>U</v>
      </c>
      <c r="E21935" s="50">
        <v>0</v>
      </c>
      <c r="F21935" s="51">
        <f>VLOOKUP(A21935,'Componentes APUs'!$N$1:$Q$30,4,0)</f>
        <v>14828184</v>
      </c>
      <c r="G21935" s="51">
        <f>IFERROR(ROUNDUP(F21935*(E21935/21)/E21881,0),0)</f>
        <v>0</v>
      </c>
    </row>
    <row r="21936" spans="1:7" x14ac:dyDescent="0.25">
      <c r="A21936" s="69" t="s">
        <v>324</v>
      </c>
      <c r="B21936" s="72" t="str">
        <f>VLOOKUP(A21936,'Componentes APUs'!$N$1:$Q$30,2,0)</f>
        <v>Retroexcavadora</v>
      </c>
      <c r="C21936" s="73"/>
      <c r="D21936" s="70" t="str">
        <f>VLOOKUP(A21936,'Componentes APUs'!$N$1:$Q$30,3,0)</f>
        <v>U</v>
      </c>
      <c r="E21936" s="50">
        <v>0</v>
      </c>
      <c r="F21936" s="51">
        <f>VLOOKUP(A21936,'Componentes APUs'!$N$1:$Q$30,4,0)</f>
        <v>46030656</v>
      </c>
      <c r="G21936" s="51">
        <f>IFERROR(ROUNDUP(F21936*(E21936/21)/E21881,0),0)</f>
        <v>0</v>
      </c>
    </row>
    <row r="21937" spans="1:7" x14ac:dyDescent="0.25">
      <c r="A21937" s="219" t="s">
        <v>99</v>
      </c>
      <c r="B21937" s="219"/>
      <c r="C21937" s="219"/>
      <c r="D21937" s="219"/>
      <c r="E21937" s="219"/>
      <c r="F21937" s="219"/>
      <c r="G21937" s="52">
        <f>SUM(G21932:G21936)</f>
        <v>32739</v>
      </c>
    </row>
    <row r="21938" spans="1:7" x14ac:dyDescent="0.25">
      <c r="A21938" s="56"/>
      <c r="B21938" s="57"/>
      <c r="C21938" s="57"/>
      <c r="D21938" s="57"/>
      <c r="E21938" s="57"/>
      <c r="F21938" s="57"/>
      <c r="G21938" s="58"/>
    </row>
    <row r="21939" spans="1:7" x14ac:dyDescent="0.25">
      <c r="A21939" s="219" t="s">
        <v>1516</v>
      </c>
      <c r="B21939" s="219"/>
      <c r="C21939" s="219"/>
      <c r="D21939" s="219"/>
      <c r="E21939" s="219"/>
      <c r="F21939" s="219"/>
      <c r="G21939" s="52">
        <f>G21937+G21928+G21911+G21901+G21891</f>
        <v>166073</v>
      </c>
    </row>
    <row r="21940" spans="1:7" x14ac:dyDescent="0.25">
      <c r="A21940" s="59"/>
      <c r="B21940" s="60"/>
      <c r="C21940" s="60"/>
      <c r="D21940" s="60"/>
      <c r="E21940" s="57"/>
      <c r="F21940" s="57"/>
      <c r="G21940" s="58"/>
    </row>
    <row r="21941" spans="1:7" x14ac:dyDescent="0.25">
      <c r="A21941" s="64"/>
      <c r="D21941" s="55"/>
      <c r="E21941" s="49" t="s">
        <v>25</v>
      </c>
      <c r="F21941" s="54">
        <v>0.15</v>
      </c>
      <c r="G21941" s="51">
        <f>G21939*F21941</f>
        <v>24910.95</v>
      </c>
    </row>
    <row r="21942" spans="1:7" x14ac:dyDescent="0.25">
      <c r="A21942" s="64"/>
      <c r="D21942" s="55"/>
      <c r="E21942" s="49" t="s">
        <v>26</v>
      </c>
      <c r="F21942" s="54">
        <v>0.05</v>
      </c>
      <c r="G21942" s="51">
        <f>G21939*F21942</f>
        <v>8303.65</v>
      </c>
    </row>
    <row r="21943" spans="1:7" x14ac:dyDescent="0.25">
      <c r="A21943" s="61"/>
      <c r="B21943" s="65"/>
      <c r="C21943" s="65"/>
      <c r="D21943" s="62"/>
      <c r="E21943" s="49" t="s">
        <v>27</v>
      </c>
      <c r="F21943" s="54">
        <v>0.05</v>
      </c>
      <c r="G21943" s="51">
        <f>G21939*F21943</f>
        <v>8303.65</v>
      </c>
    </row>
    <row r="21944" spans="1:7" x14ac:dyDescent="0.25">
      <c r="A21944" s="61"/>
      <c r="B21944" s="62"/>
      <c r="C21944" s="62"/>
      <c r="D21944" s="62"/>
      <c r="E21944" s="62"/>
      <c r="F21944" s="62"/>
      <c r="G21944" s="63"/>
    </row>
    <row r="21945" spans="1:7" x14ac:dyDescent="0.25">
      <c r="A21945" s="219" t="s">
        <v>1517</v>
      </c>
      <c r="B21945" s="219"/>
      <c r="C21945" s="219"/>
      <c r="D21945" s="219"/>
      <c r="E21945" s="219"/>
      <c r="F21945" s="219"/>
      <c r="G21945" s="52">
        <f>G21939+G21941+G21942+G21943</f>
        <v>207591.25</v>
      </c>
    </row>
    <row r="21946" spans="1:7" x14ac:dyDescent="0.25">
      <c r="A21946" s="59"/>
      <c r="B21946" s="60"/>
      <c r="C21946" s="60"/>
      <c r="D21946" s="60"/>
      <c r="E21946" s="57"/>
      <c r="F21946" s="57"/>
      <c r="G21946" s="58"/>
    </row>
    <row r="21947" spans="1:7" x14ac:dyDescent="0.25">
      <c r="A21947" s="64"/>
      <c r="D21947" s="55"/>
      <c r="E21947" s="49" t="s">
        <v>102</v>
      </c>
      <c r="F21947" s="49" t="s">
        <v>103</v>
      </c>
      <c r="G21947" s="51">
        <f>G21943*19%</f>
        <v>1577.6934999999999</v>
      </c>
    </row>
    <row r="21948" spans="1:7" x14ac:dyDescent="0.25">
      <c r="A21948" s="61"/>
      <c r="B21948" s="62"/>
      <c r="C21948" s="62"/>
      <c r="D21948" s="62"/>
      <c r="E21948" s="57"/>
      <c r="F21948" s="57"/>
      <c r="G21948" s="58"/>
    </row>
    <row r="21949" spans="1:7" x14ac:dyDescent="0.25">
      <c r="A21949" s="219" t="s">
        <v>104</v>
      </c>
      <c r="B21949" s="219"/>
      <c r="C21949" s="219"/>
      <c r="D21949" s="219"/>
      <c r="E21949" s="219"/>
      <c r="F21949" s="219"/>
      <c r="G21949" s="52">
        <f>G21947+G21945</f>
        <v>209168.94349999999</v>
      </c>
    </row>
    <row r="21951" spans="1:7" x14ac:dyDescent="0.25">
      <c r="A21951" s="74" t="s">
        <v>29</v>
      </c>
      <c r="B21951" s="237" t="s">
        <v>30</v>
      </c>
      <c r="C21951" s="238"/>
      <c r="D21951" s="74" t="s">
        <v>31</v>
      </c>
      <c r="E21951" s="74" t="s">
        <v>32</v>
      </c>
      <c r="F21951" s="74" t="s">
        <v>189</v>
      </c>
      <c r="G21951" s="74" t="s">
        <v>33</v>
      </c>
    </row>
    <row r="21952" spans="1:7" ht="59.25" customHeight="1" x14ac:dyDescent="0.25">
      <c r="A21952" s="50" t="str">
        <f>Presupuesto!B419</f>
        <v>079_AUX</v>
      </c>
      <c r="B21952" s="220" t="str">
        <f>Presupuesto!C419</f>
        <v>SUMINISTRO E INSTALACIÓN DE INSTALACIÓN DE TABLERO AUTOSOPORTADO DE FABRICACIÓN ESPECIAL. DE USO INTERIOR. IP 54. LAMINA DE ACERO GALVANIZADA CALIBRE 18. (+NK02).  INCLUYE BARRAJE DE 400 A, ANALIZADOR DE RED M4M,  TOTALIZADOR 3X100 A, 40 BREAKERS MONOPOLARES 1X10A DC. ILUMINACIÓN, TOMA LEVITON Y  ACCESORIOS.</v>
      </c>
      <c r="C21952" s="239"/>
      <c r="D21952" s="50" t="s">
        <v>8</v>
      </c>
      <c r="E21952" s="50">
        <v>1</v>
      </c>
      <c r="F21952" s="50"/>
      <c r="G21952" s="51">
        <f>G22021</f>
        <v>23157785.414500002</v>
      </c>
    </row>
    <row r="21953" spans="1:7" x14ac:dyDescent="0.25">
      <c r="A21953" s="219" t="s">
        <v>34</v>
      </c>
      <c r="B21953" s="219"/>
      <c r="C21953" s="219"/>
      <c r="D21953" s="219"/>
      <c r="E21953" s="219"/>
      <c r="F21953" s="219"/>
      <c r="G21953" s="219"/>
    </row>
    <row r="21954" spans="1:7" x14ac:dyDescent="0.25">
      <c r="A21954" s="49" t="s">
        <v>35</v>
      </c>
      <c r="B21954" s="234" t="s">
        <v>36</v>
      </c>
      <c r="C21954" s="235"/>
      <c r="D21954" s="49" t="s">
        <v>37</v>
      </c>
      <c r="E21954" s="49" t="s">
        <v>38</v>
      </c>
      <c r="F21954" s="49" t="s">
        <v>39</v>
      </c>
      <c r="G21954" s="49" t="s">
        <v>40</v>
      </c>
    </row>
    <row r="21955" spans="1:7" ht="36.75" customHeight="1" x14ac:dyDescent="0.25">
      <c r="A21955" s="17" t="str">
        <f>Material!A32</f>
        <v>MA-31</v>
      </c>
      <c r="B21955" s="221" t="str">
        <f>IFERROR(VLOOKUP(A21955,Material!$A:$H,2,0),"-")</f>
        <v>TABLERO AUTOSOPORTADO DE FABRICACIÓN ESPECIAL. DE USO INTERIOR. IP 65. LAMINA DE ACERO GALVANIZADA CALIBRE 18. PARA ALBERGAR HASTA 6 EQUIPOS DE MEDIDA SEMIDIRECTA</v>
      </c>
      <c r="C21955" s="222"/>
      <c r="D21955" s="93" t="str">
        <f>IFERROR(VLOOKUP(A21955,Material!$A:$H,4,0),"-")</f>
        <v>UN</v>
      </c>
      <c r="E21955" s="93">
        <v>1</v>
      </c>
      <c r="F21955" s="144">
        <f>IFERROR(VLOOKUP(A21955,Material!$A:$H,3,0),"-")</f>
        <v>9100000</v>
      </c>
      <c r="G21955" s="144">
        <f t="shared" ref="G21955:G21964" si="329">IFERROR(ROUNDUP(F21955*E21955,0),"-")</f>
        <v>9100000</v>
      </c>
    </row>
    <row r="21956" spans="1:7" x14ac:dyDescent="0.25">
      <c r="A21956" s="17" t="str">
        <f>Material!A33</f>
        <v>MA-32</v>
      </c>
      <c r="B21956" s="72" t="str">
        <f>IFERROR(VLOOKUP(A21956,Material!$A:$H,2,0),"-")</f>
        <v>LÁMPARA LED</v>
      </c>
      <c r="C21956" s="76"/>
      <c r="D21956" s="93" t="str">
        <f>IFERROR(VLOOKUP(A21956,Material!$A:$H,4,0),"-")</f>
        <v>UN</v>
      </c>
      <c r="E21956" s="93">
        <v>1</v>
      </c>
      <c r="F21956" s="144">
        <f>IFERROR(VLOOKUP(A21956,Material!$A:$H,3,0),"-")</f>
        <v>307373.88256268692</v>
      </c>
      <c r="G21956" s="144">
        <f t="shared" si="329"/>
        <v>307374</v>
      </c>
    </row>
    <row r="21957" spans="1:7" x14ac:dyDescent="0.25">
      <c r="A21957" s="17" t="str">
        <f>Material!A188</f>
        <v>MA-187</v>
      </c>
      <c r="B21957" s="72" t="str">
        <f>IFERROR(VLOOKUP(A21957,Material!$A:$H,2,0),"-")</f>
        <v>INTERRUPTOR DC 1X10 (6 kA)</v>
      </c>
      <c r="C21957" s="76"/>
      <c r="D21957" s="93" t="str">
        <f>IFERROR(VLOOKUP(A21957,Material!$A:$H,4,0),"-")</f>
        <v>UN</v>
      </c>
      <c r="E21957" s="93">
        <v>41</v>
      </c>
      <c r="F21957" s="144">
        <f>IFERROR(VLOOKUP(A21957,Material!$A:$H,3,0),"-")</f>
        <v>71500</v>
      </c>
      <c r="G21957" s="144">
        <f t="shared" si="329"/>
        <v>2931500</v>
      </c>
    </row>
    <row r="21958" spans="1:7" x14ac:dyDescent="0.25">
      <c r="A21958" s="17" t="str">
        <f>Material!A564</f>
        <v>MA-563</v>
      </c>
      <c r="B21958" s="72" t="str">
        <f>IFERROR(VLOOKUP(A21958,Material!$A:$H,2,0),"-")</f>
        <v>BREAKER 1X50 A DC</v>
      </c>
      <c r="C21958" s="76"/>
      <c r="D21958" s="93" t="str">
        <f>IFERROR(VLOOKUP(A21958,Material!$A:$H,4,0),"-")</f>
        <v>UN</v>
      </c>
      <c r="E21958" s="93">
        <v>1</v>
      </c>
      <c r="F21958" s="144">
        <f>IFERROR(VLOOKUP(A21958,Material!$A:$H,3,0),"-")</f>
        <v>58500</v>
      </c>
      <c r="G21958" s="144">
        <f t="shared" ref="G21958" si="330">IFERROR(ROUNDUP(F21958*E21958,0),"-")</f>
        <v>58500</v>
      </c>
    </row>
    <row r="21959" spans="1:7" x14ac:dyDescent="0.25">
      <c r="A21959" s="17" t="str">
        <f>Material!A37</f>
        <v>MA-36</v>
      </c>
      <c r="B21959" s="72" t="str">
        <f>IFERROR(VLOOKUP(A21959,Material!$A:$H,2,0),"-")</f>
        <v>CANALETAS RANURADA 40X60 MM</v>
      </c>
      <c r="C21959" s="76"/>
      <c r="D21959" s="93" t="str">
        <f>IFERROR(VLOOKUP(A21959,Material!$A:$H,4,0),"-")</f>
        <v>ML</v>
      </c>
      <c r="E21959" s="93">
        <v>8</v>
      </c>
      <c r="F21959" s="144">
        <f>IFERROR(VLOOKUP(A21959,Material!$A:$H,3,0),"-")</f>
        <v>31908.5</v>
      </c>
      <c r="G21959" s="144">
        <f t="shared" si="329"/>
        <v>255268</v>
      </c>
    </row>
    <row r="21960" spans="1:7" x14ac:dyDescent="0.25">
      <c r="A21960" s="17" t="str">
        <f>Material!A142</f>
        <v>MA-141</v>
      </c>
      <c r="B21960" s="72" t="str">
        <f>IFERROR(VLOOKUP(A21960,Material!$A:$H,2,0),"-")</f>
        <v>CAJA RAWELT</v>
      </c>
      <c r="C21960" s="76"/>
      <c r="D21960" s="50" t="str">
        <f>IFERROR(VLOOKUP(A21960,Material!$A:$H,4,0),"-")</f>
        <v>UN</v>
      </c>
      <c r="E21960" s="50">
        <v>1</v>
      </c>
      <c r="F21960" s="51">
        <f>IFERROR(VLOOKUP(A21960,Material!$A:$H,3,0),"-")</f>
        <v>13778.7</v>
      </c>
      <c r="G21960" s="51">
        <f t="shared" si="329"/>
        <v>13779</v>
      </c>
    </row>
    <row r="21961" spans="1:7" x14ac:dyDescent="0.25">
      <c r="A21961" s="17" t="str">
        <f>Material!A230</f>
        <v>MA-229</v>
      </c>
      <c r="B21961" s="72" t="str">
        <f>IFERROR(VLOOKUP(A21961,Material!$A:$H,2,0),"-")</f>
        <v>TOMA CORRIENTE LEVITON</v>
      </c>
      <c r="C21961" s="76"/>
      <c r="D21961" s="50" t="str">
        <f>IFERROR(VLOOKUP(A21961,Material!$A:$H,4,0),"-")</f>
        <v>UN</v>
      </c>
      <c r="E21961" s="50">
        <v>1</v>
      </c>
      <c r="F21961" s="51">
        <f>IFERROR(VLOOKUP(A21961,Material!$A:$H,3,0),"-")</f>
        <v>4615</v>
      </c>
      <c r="G21961" s="51">
        <f t="shared" si="329"/>
        <v>4615</v>
      </c>
    </row>
    <row r="21962" spans="1:7" x14ac:dyDescent="0.25">
      <c r="A21962" s="17" t="str">
        <f>Material!A259</f>
        <v>MA-258</v>
      </c>
      <c r="B21962" s="72" t="str">
        <f>IFERROR(VLOOKUP(A21962,Material!$A:$H,2,0),"-")</f>
        <v>ANALIZADOR DE REDES M4M</v>
      </c>
      <c r="C21962" s="76"/>
      <c r="D21962" s="50" t="str">
        <f>IFERROR(VLOOKUP(A21962,Material!$A:$H,4,0),"-")</f>
        <v>UN</v>
      </c>
      <c r="E21962" s="50">
        <v>1</v>
      </c>
      <c r="F21962" s="51">
        <f>IFERROR(VLOOKUP(A21962,Material!$A:$H,3,0),"-")</f>
        <v>2776410</v>
      </c>
      <c r="G21962" s="51">
        <f t="shared" si="329"/>
        <v>2776410</v>
      </c>
    </row>
    <row r="21963" spans="1:7" x14ac:dyDescent="0.25">
      <c r="A21963" s="17" t="str">
        <f>Material!A261</f>
        <v>MA-260</v>
      </c>
      <c r="B21963" s="72" t="str">
        <f>IFERROR(VLOOKUP(A21963,Material!$A:$H,2,0),"-")</f>
        <v>BARRAJE DE COBRE 400A</v>
      </c>
      <c r="C21963" s="76"/>
      <c r="D21963" s="50" t="str">
        <f>IFERROR(VLOOKUP(A21963,Material!$A:$H,4,0),"-")</f>
        <v>UN</v>
      </c>
      <c r="E21963" s="50">
        <v>1</v>
      </c>
      <c r="F21963" s="51">
        <f>IFERROR(VLOOKUP(A21963,Material!$A:$H,3,0),"-")</f>
        <v>469781</v>
      </c>
      <c r="G21963" s="51">
        <f t="shared" si="329"/>
        <v>469781</v>
      </c>
    </row>
    <row r="21964" spans="1:7" x14ac:dyDescent="0.25">
      <c r="A21964" s="17"/>
      <c r="B21964" s="72" t="str">
        <f>IFERROR(VLOOKUP(A21964,Material!$A:$H,2,0),"-")</f>
        <v>-</v>
      </c>
      <c r="C21964" s="76"/>
      <c r="D21964" s="50" t="str">
        <f>IFERROR(VLOOKUP(A21964,Material!$A:$H,4,0),"-")</f>
        <v>-</v>
      </c>
      <c r="E21964" s="50"/>
      <c r="F21964" s="51" t="str">
        <f>IFERROR(VLOOKUP(A21964,Material!$A:$H,3,0),"-")</f>
        <v>-</v>
      </c>
      <c r="G21964" s="51" t="str">
        <f t="shared" si="329"/>
        <v>-</v>
      </c>
    </row>
    <row r="21965" spans="1:7" x14ac:dyDescent="0.25">
      <c r="A21965" s="234" t="s">
        <v>41</v>
      </c>
      <c r="B21965" s="236"/>
      <c r="C21965" s="236"/>
      <c r="D21965" s="236"/>
      <c r="E21965" s="236"/>
      <c r="F21965" s="235"/>
      <c r="G21965" s="52">
        <f>SUM(G21955:G21964)</f>
        <v>15917227</v>
      </c>
    </row>
    <row r="21966" spans="1:7" x14ac:dyDescent="0.25">
      <c r="A21966" s="56"/>
      <c r="B21966" s="57"/>
      <c r="C21966" s="57"/>
      <c r="D21966" s="57"/>
      <c r="E21966" s="57"/>
      <c r="F21966" s="57"/>
      <c r="G21966" s="58"/>
    </row>
    <row r="21967" spans="1:7" x14ac:dyDescent="0.25">
      <c r="A21967" s="219" t="s">
        <v>42</v>
      </c>
      <c r="B21967" s="219"/>
      <c r="C21967" s="219"/>
      <c r="D21967" s="219"/>
      <c r="E21967" s="219"/>
      <c r="F21967" s="219"/>
      <c r="G21967" s="219"/>
    </row>
    <row r="21968" spans="1:7" x14ac:dyDescent="0.25">
      <c r="A21968" s="49" t="s">
        <v>35</v>
      </c>
      <c r="B21968" s="49" t="s">
        <v>36</v>
      </c>
      <c r="C21968" s="49" t="s">
        <v>38</v>
      </c>
      <c r="D21968" s="49" t="s">
        <v>43</v>
      </c>
      <c r="E21968" s="49" t="s">
        <v>44</v>
      </c>
      <c r="F21968" s="49" t="s">
        <v>45</v>
      </c>
      <c r="G21968" s="49" t="s">
        <v>40</v>
      </c>
    </row>
    <row r="21969" spans="1:7" x14ac:dyDescent="0.25">
      <c r="A21969" s="50" t="s">
        <v>319</v>
      </c>
      <c r="B21969" s="68" t="str">
        <f>VLOOKUP(A21969,'Componentes APUs'!$H$1:$L$25,2,0)</f>
        <v>Ingeniero Residente de Obra</v>
      </c>
      <c r="C21969" s="93">
        <v>0.25</v>
      </c>
      <c r="D21969" s="50">
        <f>VLOOKUP(A21969,'Componentes APUs'!$H$1:$L$25,3,0)</f>
        <v>4</v>
      </c>
      <c r="E21969" s="51">
        <f>VLOOKUP(A21969,'Componentes APUs'!$H$1:$L$25,4,0)</f>
        <v>271142.85714285716</v>
      </c>
      <c r="F21969" s="51">
        <f>VLOOKUP(A21969,'Componentes APUs'!$H$1:$L$25,5,0)</f>
        <v>162685.71428571429</v>
      </c>
      <c r="G21969" s="51">
        <f>ROUNDUP((E21969+F21969)*C21969/E21952,0)</f>
        <v>108458</v>
      </c>
    </row>
    <row r="21970" spans="1:7" x14ac:dyDescent="0.25">
      <c r="A21970" s="50" t="s">
        <v>320</v>
      </c>
      <c r="B21970" s="68" t="str">
        <f>VLOOKUP(A21970,'Componentes APUs'!$H$1:$L$25,2,0)</f>
        <v>Tecnico Supervisor</v>
      </c>
      <c r="C21970" s="93">
        <v>0.25</v>
      </c>
      <c r="D21970" s="50">
        <f>VLOOKUP(A21970,'Componentes APUs'!$H$1:$L$25,3,0)</f>
        <v>2.2999999999999998</v>
      </c>
      <c r="E21970" s="51">
        <f>VLOOKUP(A21970,'Componentes APUs'!$H$1:$L$25,4,0)</f>
        <v>155907.14285714284</v>
      </c>
      <c r="F21970" s="51">
        <f>VLOOKUP(A21970,'Componentes APUs'!$H$1:$L$25,5,0)</f>
        <v>93544.285714285696</v>
      </c>
      <c r="G21970" s="51">
        <f>ROUNDUP((E21970+F21970)*C21970/E21952,0)</f>
        <v>62363</v>
      </c>
    </row>
    <row r="21971" spans="1:7" x14ac:dyDescent="0.25">
      <c r="A21971" s="50" t="s">
        <v>1160</v>
      </c>
      <c r="B21971" s="68" t="str">
        <f>VLOOKUP(A21971,'Componentes APUs'!$H$1:$L$25,2,0)</f>
        <v>Oficial Eléctrico</v>
      </c>
      <c r="C21971" s="93">
        <v>1</v>
      </c>
      <c r="D21971" s="50">
        <f>VLOOKUP(A21971,'Componentes APUs'!$H$1:$L$25,3,0)</f>
        <v>2</v>
      </c>
      <c r="E21971" s="51">
        <f>VLOOKUP(A21971,'Componentes APUs'!$H$1:$L$25,4,0)</f>
        <v>154619.04761904763</v>
      </c>
      <c r="F21971" s="51">
        <f>VLOOKUP(A21971,'Componentes APUs'!$H$1:$L$25,5,0)</f>
        <v>92771.42857142858</v>
      </c>
      <c r="G21971" s="51">
        <f>ROUNDUP((E21971+F21971)*C21971/E21952,0)</f>
        <v>247391</v>
      </c>
    </row>
    <row r="21972" spans="1:7" x14ac:dyDescent="0.25">
      <c r="A21972" s="50" t="s">
        <v>48</v>
      </c>
      <c r="B21972" s="68" t="str">
        <f>VLOOKUP(A21972,'Componentes APUs'!$H$1:$L$25,2,0)</f>
        <v>Ayudante Calificado</v>
      </c>
      <c r="C21972" s="93">
        <v>1</v>
      </c>
      <c r="D21972" s="50">
        <f>VLOOKUP(A21972,'Componentes APUs'!$H$1:$L$25,3,0)</f>
        <v>1.5</v>
      </c>
      <c r="E21972" s="51">
        <f>VLOOKUP(A21972,'Componentes APUs'!$H$1:$L$25,4,0)</f>
        <v>115964.28571428571</v>
      </c>
      <c r="F21972" s="51">
        <f>VLOOKUP(A21972,'Componentes APUs'!$H$1:$L$25,5,0)</f>
        <v>69578.57142857142</v>
      </c>
      <c r="G21972" s="51">
        <f>ROUNDUP((E21972+F21972)*C21972/E21952,0)</f>
        <v>185543</v>
      </c>
    </row>
    <row r="21973" spans="1:7" x14ac:dyDescent="0.25">
      <c r="A21973" s="50" t="s">
        <v>50</v>
      </c>
      <c r="B21973" s="68" t="str">
        <f>VLOOKUP(A21973,'Componentes APUs'!$H$1:$L$25,2,0)</f>
        <v>Profesional en SST</v>
      </c>
      <c r="C21973" s="93">
        <v>0.25</v>
      </c>
      <c r="D21973" s="50">
        <f>VLOOKUP(A21973,'Componentes APUs'!$H$1:$L$25,3,0)</f>
        <v>2.5</v>
      </c>
      <c r="E21973" s="51">
        <f>VLOOKUP(A21973,'Componentes APUs'!$H$1:$L$25,4,0)</f>
        <v>169464.28571428571</v>
      </c>
      <c r="F21973" s="51">
        <f>VLOOKUP(A21973,'Componentes APUs'!$H$1:$L$25,5,0)</f>
        <v>101678.57142857142</v>
      </c>
      <c r="G21973" s="51">
        <f>ROUNDUP((E21973+F21973)*C21973/E21952,0)</f>
        <v>67786</v>
      </c>
    </row>
    <row r="21974" spans="1:7" x14ac:dyDescent="0.25">
      <c r="A21974" s="50" t="s">
        <v>52</v>
      </c>
      <c r="B21974" s="68" t="str">
        <f>VLOOKUP(A21974,'Componentes APUs'!$H$1:$L$25,2,0)</f>
        <v>Ayudante No Calificado</v>
      </c>
      <c r="C21974" s="93">
        <v>0</v>
      </c>
      <c r="D21974" s="50">
        <f>VLOOKUP(A21974,'Componentes APUs'!$H$1:$L$25,3,0)</f>
        <v>1</v>
      </c>
      <c r="E21974" s="51">
        <f>VLOOKUP(A21974,'Componentes APUs'!$H$1:$L$25,4,0)</f>
        <v>77309.523809523816</v>
      </c>
      <c r="F21974" s="51">
        <f>VLOOKUP(A21974,'Componentes APUs'!$H$1:$L$25,5,0)</f>
        <v>46385.71428571429</v>
      </c>
      <c r="G21974" s="51">
        <f>ROUNDUP((E21974+F21974)*C21974/E21952,0)</f>
        <v>0</v>
      </c>
    </row>
    <row r="21975" spans="1:7" x14ac:dyDescent="0.25">
      <c r="A21975" s="50" t="s">
        <v>1121</v>
      </c>
      <c r="B21975" s="68" t="str">
        <f>VLOOKUP(A21975,'Componentes APUs'!$H$1:$L$25,2,0)</f>
        <v>Ingeniero Especialista de Control y Protección Subestación</v>
      </c>
      <c r="C21975" s="93">
        <v>1</v>
      </c>
      <c r="D21975" s="50">
        <f>VLOOKUP(A21975,'Componentes APUs'!$H$1:$L$25,3,0)</f>
        <v>14</v>
      </c>
      <c r="E21975" s="51">
        <f>VLOOKUP(A21975,'Componentes APUs'!$H$1:$L$25,4,0)</f>
        <v>949000</v>
      </c>
      <c r="F21975" s="51">
        <f>VLOOKUP(A21975,'Componentes APUs'!$H$1:$L$25,5,0)</f>
        <v>569400</v>
      </c>
      <c r="G21975" s="51">
        <f>ROUNDUP((E21975+F21975)*C21975/E21952,0)</f>
        <v>1518400</v>
      </c>
    </row>
    <row r="21976" spans="1:7" x14ac:dyDescent="0.25">
      <c r="A21976" s="219" t="s">
        <v>56</v>
      </c>
      <c r="B21976" s="219"/>
      <c r="C21976" s="219"/>
      <c r="D21976" s="219"/>
      <c r="E21976" s="219"/>
      <c r="F21976" s="219"/>
      <c r="G21976" s="52">
        <f>SUM(G21969:G21975)</f>
        <v>2189941</v>
      </c>
    </row>
    <row r="21977" spans="1:7" x14ac:dyDescent="0.25">
      <c r="A21977" s="56"/>
      <c r="B21977" s="57"/>
      <c r="C21977" s="57"/>
      <c r="D21977" s="57"/>
      <c r="E21977" s="57"/>
      <c r="F21977" s="57"/>
      <c r="G21977" s="58"/>
    </row>
    <row r="21978" spans="1:7" x14ac:dyDescent="0.25">
      <c r="A21978" s="219" t="s">
        <v>57</v>
      </c>
      <c r="B21978" s="219"/>
      <c r="C21978" s="219"/>
      <c r="D21978" s="219"/>
      <c r="E21978" s="219"/>
      <c r="F21978" s="219"/>
      <c r="G21978" s="219"/>
    </row>
    <row r="21979" spans="1:7" x14ac:dyDescent="0.25">
      <c r="A21979" s="49" t="s">
        <v>35</v>
      </c>
      <c r="B21979" s="219" t="s">
        <v>36</v>
      </c>
      <c r="C21979" s="219"/>
      <c r="D21979" s="49" t="s">
        <v>37</v>
      </c>
      <c r="E21979" s="49" t="s">
        <v>38</v>
      </c>
      <c r="F21979" s="49" t="s">
        <v>39</v>
      </c>
      <c r="G21979" s="49" t="s">
        <v>40</v>
      </c>
    </row>
    <row r="21980" spans="1:7" x14ac:dyDescent="0.25">
      <c r="A21980" s="50" t="s">
        <v>326</v>
      </c>
      <c r="B21980" s="220" t="str">
        <f>VLOOKUP(A21980,'Componentes APUs'!$S$1:$V$10,2,0)</f>
        <v>Juego Llaves</v>
      </c>
      <c r="C21980" s="220"/>
      <c r="D21980" s="50" t="s">
        <v>18</v>
      </c>
      <c r="E21980" s="50">
        <v>2</v>
      </c>
      <c r="F21980" s="51">
        <f>VLOOKUP(A21980,'Componentes APUs'!$S$1:$V$10,4,0)</f>
        <v>9167</v>
      </c>
      <c r="G21980" s="51">
        <f>ROUNDUP(F21980*((E21980/21)/E21952),0)</f>
        <v>874</v>
      </c>
    </row>
    <row r="21981" spans="1:7" x14ac:dyDescent="0.25">
      <c r="A21981" s="50" t="s">
        <v>58</v>
      </c>
      <c r="B21981" s="220" t="str">
        <f>VLOOKUP(A21981,'Componentes APUs'!$S$1:$V$10,2,0)</f>
        <v>Manila de servicio</v>
      </c>
      <c r="C21981" s="220"/>
      <c r="D21981" s="50" t="s">
        <v>18</v>
      </c>
      <c r="E21981" s="50">
        <v>0</v>
      </c>
      <c r="F21981" s="51">
        <f>VLOOKUP(A21981,'Componentes APUs'!$S$1:$V$10,4,0)</f>
        <v>2333</v>
      </c>
      <c r="G21981" s="51">
        <f>ROUNDUP(F21981*((E21981/21)/E21952),0)</f>
        <v>0</v>
      </c>
    </row>
    <row r="21982" spans="1:7" x14ac:dyDescent="0.25">
      <c r="A21982" s="50" t="s">
        <v>327</v>
      </c>
      <c r="B21982" s="220" t="str">
        <f>VLOOKUP(A21982,'Componentes APUs'!$S$1:$V$10,2,0)</f>
        <v>Tula portaherramientas</v>
      </c>
      <c r="C21982" s="220"/>
      <c r="D21982" s="50" t="s">
        <v>18</v>
      </c>
      <c r="E21982" s="50">
        <v>2</v>
      </c>
      <c r="F21982" s="51">
        <f>VLOOKUP(A21982,'Componentes APUs'!$S$1:$V$10,4,0)</f>
        <v>1250</v>
      </c>
      <c r="G21982" s="51">
        <f>ROUNDUP(F21982*((E21982/21)/E21952),0)</f>
        <v>120</v>
      </c>
    </row>
    <row r="21983" spans="1:7" x14ac:dyDescent="0.25">
      <c r="A21983" s="50" t="s">
        <v>60</v>
      </c>
      <c r="B21983" s="220" t="str">
        <f>VLOOKUP(A21983,'Componentes APUs'!$S$1:$V$10,2,0)</f>
        <v>Agarradoras</v>
      </c>
      <c r="C21983" s="220"/>
      <c r="D21983" s="50" t="s">
        <v>18</v>
      </c>
      <c r="E21983" s="50">
        <v>0</v>
      </c>
      <c r="F21983" s="51">
        <f>VLOOKUP(A21983,'Componentes APUs'!$S$1:$V$10,4,0)</f>
        <v>125000</v>
      </c>
      <c r="G21983" s="51">
        <f>ROUNDUP(F21983*((E21983/21)/E21952),0)</f>
        <v>0</v>
      </c>
    </row>
    <row r="21984" spans="1:7" x14ac:dyDescent="0.25">
      <c r="A21984" s="50" t="s">
        <v>62</v>
      </c>
      <c r="B21984" s="220" t="str">
        <f>VLOOKUP(A21984,'Componentes APUs'!$S$1:$V$10,2,0)</f>
        <v>Templadoras</v>
      </c>
      <c r="C21984" s="220"/>
      <c r="D21984" s="50" t="s">
        <v>18</v>
      </c>
      <c r="E21984" s="50">
        <v>0</v>
      </c>
      <c r="F21984" s="51">
        <f>VLOOKUP(A21984,'Componentes APUs'!$S$1:$V$10,4,0)</f>
        <v>250000</v>
      </c>
      <c r="G21984" s="51">
        <f>ROUNDUP(F21984*((E21984/21)/E21952),0)</f>
        <v>0</v>
      </c>
    </row>
    <row r="21985" spans="1:7" x14ac:dyDescent="0.25">
      <c r="A21985" s="50" t="s">
        <v>328</v>
      </c>
      <c r="B21985" s="220" t="str">
        <f>VLOOKUP(A21985,'Componentes APUs'!$S$1:$V$10,2,0)</f>
        <v>Herramienta Menor</v>
      </c>
      <c r="C21985" s="220"/>
      <c r="D21985" s="50" t="s">
        <v>18</v>
      </c>
      <c r="E21985" s="50">
        <v>2</v>
      </c>
      <c r="F21985" s="51">
        <f>VLOOKUP(A21985,'Componentes APUs'!$S$1:$V$10,4,0)</f>
        <v>75758</v>
      </c>
      <c r="G21985" s="51">
        <f>ROUNDUP(F21985*((E21985/21)/E21952),0)</f>
        <v>7216</v>
      </c>
    </row>
    <row r="21986" spans="1:7" x14ac:dyDescent="0.25">
      <c r="A21986" s="219" t="s">
        <v>69</v>
      </c>
      <c r="B21986" s="219"/>
      <c r="C21986" s="219"/>
      <c r="D21986" s="219"/>
      <c r="E21986" s="219"/>
      <c r="F21986" s="219"/>
      <c r="G21986" s="52">
        <f>SUM(G21980:G21985)</f>
        <v>8210</v>
      </c>
    </row>
    <row r="21987" spans="1:7" x14ac:dyDescent="0.25">
      <c r="A21987" s="56"/>
      <c r="B21987" s="57"/>
      <c r="C21987" s="57"/>
      <c r="D21987" s="57"/>
      <c r="E21987" s="57"/>
      <c r="F21987" s="57"/>
      <c r="G21987" s="58"/>
    </row>
    <row r="21988" spans="1:7" x14ac:dyDescent="0.25">
      <c r="A21988" s="219" t="s">
        <v>70</v>
      </c>
      <c r="B21988" s="219"/>
      <c r="C21988" s="219"/>
      <c r="D21988" s="219"/>
      <c r="E21988" s="219"/>
      <c r="F21988" s="219"/>
      <c r="G21988" s="219"/>
    </row>
    <row r="21989" spans="1:7" x14ac:dyDescent="0.25">
      <c r="A21989" s="49" t="s">
        <v>35</v>
      </c>
      <c r="B21989" s="219" t="s">
        <v>36</v>
      </c>
      <c r="C21989" s="219"/>
      <c r="D21989" s="49" t="s">
        <v>37</v>
      </c>
      <c r="E21989" s="49" t="s">
        <v>38</v>
      </c>
      <c r="F21989" s="49" t="s">
        <v>39</v>
      </c>
      <c r="G21989" s="49" t="s">
        <v>40</v>
      </c>
    </row>
    <row r="21990" spans="1:7" x14ac:dyDescent="0.25">
      <c r="A21990" s="50" t="s">
        <v>71</v>
      </c>
      <c r="B21990" s="71" t="str">
        <f>VLOOKUP(A21990,'Componentes APUs'!$A$1:$D$14,2,0)</f>
        <v>Camisa indigo sin partes metalicas</v>
      </c>
      <c r="C21990" s="71"/>
      <c r="D21990" s="50" t="str">
        <f>VLOOKUP(A21990,'Componentes APUs'!$A$1:$D$14,3,0)</f>
        <v>U</v>
      </c>
      <c r="E21990" s="50">
        <f>SUM(C21969:C21975)</f>
        <v>3.75</v>
      </c>
      <c r="F21990" s="51">
        <f>VLOOKUP(A21990,'Componentes APUs'!$A$1:$D$14,4,0)</f>
        <v>8585.8585858585866</v>
      </c>
      <c r="G21990" s="51">
        <f>ROUNDUP(F21990*(E21990/21)/E21952,0)</f>
        <v>1534</v>
      </c>
    </row>
    <row r="21991" spans="1:7" x14ac:dyDescent="0.25">
      <c r="A21991" s="69" t="s">
        <v>73</v>
      </c>
      <c r="B21991" s="72" t="str">
        <f>VLOOKUP(A21991,'Componentes APUs'!$A$1:$D$14,2,0)</f>
        <v>Bota de seguridad dielectrica</v>
      </c>
      <c r="C21991" s="73"/>
      <c r="D21991" s="70" t="str">
        <f>VLOOKUP(A21991,'Componentes APUs'!$A$1:$D$14,3,0)</f>
        <v>Par</v>
      </c>
      <c r="E21991" s="50">
        <f>SUM(C21969:C21975)</f>
        <v>3.75</v>
      </c>
      <c r="F21991" s="51">
        <f>VLOOKUP(A21991,'Componentes APUs'!$A$1:$D$14,4,0)</f>
        <v>7500</v>
      </c>
      <c r="G21991" s="51">
        <f>ROUNDUP(F21991*(E21991/21)/E21952,0)</f>
        <v>1340</v>
      </c>
    </row>
    <row r="21992" spans="1:7" x14ac:dyDescent="0.25">
      <c r="A21992" s="50" t="s">
        <v>76</v>
      </c>
      <c r="B21992" s="72" t="str">
        <f>VLOOKUP(A21992,'Componentes APUs'!$A$1:$D$14,2,0)</f>
        <v>Casco dielectrico Tipo 1 Clase E con barbuquejo</v>
      </c>
      <c r="C21992" s="73"/>
      <c r="D21992" s="50" t="str">
        <f>VLOOKUP(A21992,'Componentes APUs'!$A$1:$D$14,3,0)</f>
        <v>U</v>
      </c>
      <c r="E21992" s="50">
        <f>C21969+C21975+C21970+C21973+C21974+C21972+IF(A21971&lt;&gt;"MO-3",C21971,0)</f>
        <v>3.75</v>
      </c>
      <c r="F21992" s="51">
        <f>VLOOKUP(A21992,'Componentes APUs'!$A$1:$D$14,4,0)</f>
        <v>10101.010101010101</v>
      </c>
      <c r="G21992" s="51">
        <f>ROUNDUP(F21992*(E21992/21)/E21952,0)</f>
        <v>1804</v>
      </c>
    </row>
    <row r="21993" spans="1:7" x14ac:dyDescent="0.25">
      <c r="A21993" s="69" t="s">
        <v>77</v>
      </c>
      <c r="B21993" s="72" t="str">
        <f>VLOOKUP(A21993,'Componentes APUs'!$A$1:$D$14,2,0)</f>
        <v>Correa plastica y antiflama</v>
      </c>
      <c r="C21993" s="73"/>
      <c r="D21993" s="50" t="str">
        <f>VLOOKUP(A21993,'Componentes APUs'!$A$1:$D$14,3,0)</f>
        <v>U</v>
      </c>
      <c r="E21993" s="50">
        <f>SUM(C21969:C21975)</f>
        <v>3.75</v>
      </c>
      <c r="F21993" s="51">
        <f>VLOOKUP(A21993,'Componentes APUs'!$A$1:$D$14,4,0)</f>
        <v>3787.878787878788</v>
      </c>
      <c r="G21993" s="51">
        <f>ROUNDUP(F21993*(E21993/21)/E21952,0)</f>
        <v>677</v>
      </c>
    </row>
    <row r="21994" spans="1:7" x14ac:dyDescent="0.25">
      <c r="A21994" s="50" t="s">
        <v>79</v>
      </c>
      <c r="B21994" s="72" t="str">
        <f>VLOOKUP(A21994,'Componentes APUs'!$A$1:$D$14,2,0)</f>
        <v>Gafas protectoras filtro UV</v>
      </c>
      <c r="C21994" s="73"/>
      <c r="D21994" s="50" t="str">
        <f>VLOOKUP(A21994,'Componentes APUs'!$A$1:$D$14,3,0)</f>
        <v>U</v>
      </c>
      <c r="E21994" s="50">
        <f>SUM(C21969:C21975)</f>
        <v>3.75</v>
      </c>
      <c r="F21994" s="51">
        <f>VLOOKUP(A21994,'Componentes APUs'!$A$1:$D$14,4,0)</f>
        <v>2777.7777777777778</v>
      </c>
      <c r="G21994" s="51">
        <f>ROUNDUP(F21994*(E21994/21)/E21952,0)</f>
        <v>497</v>
      </c>
    </row>
    <row r="21995" spans="1:7" x14ac:dyDescent="0.25">
      <c r="A21995" s="69" t="s">
        <v>402</v>
      </c>
      <c r="B21995" s="72" t="str">
        <f>VLOOKUP(A21995,'Componentes APUs'!$A$1:$D$14,2,0)</f>
        <v>Bota de seguridad PVC dielectrica</v>
      </c>
      <c r="C21995" s="73"/>
      <c r="D21995" s="50" t="str">
        <f>VLOOKUP(A21995,'Componentes APUs'!$A$1:$D$14,3,0)</f>
        <v>Par</v>
      </c>
      <c r="E21995" s="50">
        <f>SUM(C21969:C21975)</f>
        <v>3.75</v>
      </c>
      <c r="F21995" s="51">
        <f>VLOOKUP(A21995,'Componentes APUs'!$A$1:$D$14,4,0)</f>
        <v>2916.6666666666665</v>
      </c>
      <c r="G21995" s="51">
        <f>ROUNDUP(F21995*(E21995/21)/E21952,0)</f>
        <v>521</v>
      </c>
    </row>
    <row r="21996" spans="1:7" x14ac:dyDescent="0.25">
      <c r="A21996" s="50" t="s">
        <v>403</v>
      </c>
      <c r="B21996" s="72" t="str">
        <f>VLOOKUP(A21996,'Componentes APUs'!$A$1:$D$14,2,0)</f>
        <v>Capuchon</v>
      </c>
      <c r="C21996" s="73"/>
      <c r="D21996" s="50" t="str">
        <f>VLOOKUP(A21996,'Componentes APUs'!$A$1:$D$14,3,0)</f>
        <v>U</v>
      </c>
      <c r="E21996" s="50">
        <f>SUM(C21969:C21975)</f>
        <v>3.75</v>
      </c>
      <c r="F21996" s="51">
        <f>VLOOKUP(A21996,'Componentes APUs'!$A$1:$D$14,4,0)</f>
        <v>2525.2525252525252</v>
      </c>
      <c r="G21996" s="51">
        <f>ROUNDUP(F21996*(E21996/21)/E21952,0)</f>
        <v>451</v>
      </c>
    </row>
    <row r="21997" spans="1:7" x14ac:dyDescent="0.25">
      <c r="A21997" s="69" t="s">
        <v>81</v>
      </c>
      <c r="B21997" s="72" t="str">
        <f>VLOOKUP(A21997,'Componentes APUs'!$A$1:$D$14,2,0)</f>
        <v>Guantes Protectores  - ingeniero reforzados</v>
      </c>
      <c r="C21997" s="73"/>
      <c r="D21997" s="50" t="str">
        <f>VLOOKUP(A21997,'Componentes APUs'!$A$1:$D$14,3,0)</f>
        <v>Par</v>
      </c>
      <c r="E21997" s="50">
        <f>C21971+C21972+C21974+C21975</f>
        <v>3</v>
      </c>
      <c r="F21997" s="51">
        <f>VLOOKUP(A21997,'Componentes APUs'!$A$1:$D$14,4,0)</f>
        <v>2525.2525252525252</v>
      </c>
      <c r="G21997" s="51">
        <f>ROUNDUP(F21997*(E21997/21)/E21952,0)</f>
        <v>361</v>
      </c>
    </row>
    <row r="21998" spans="1:7" x14ac:dyDescent="0.25">
      <c r="A21998" s="50" t="s">
        <v>83</v>
      </c>
      <c r="B21998" s="72" t="str">
        <f>VLOOKUP(A21998,'Componentes APUs'!$A$1:$D$14,2,0)</f>
        <v>Impermeable (pantalon camisa)</v>
      </c>
      <c r="C21998" s="73"/>
      <c r="D21998" s="50" t="str">
        <f>VLOOKUP(A21998,'Componentes APUs'!$A$1:$D$14,3,0)</f>
        <v>U</v>
      </c>
      <c r="E21998" s="50">
        <f>SUM(C21969:C21975)</f>
        <v>3.75</v>
      </c>
      <c r="F21998" s="51">
        <f>VLOOKUP(A21998,'Componentes APUs'!$A$1:$D$14,4,0)</f>
        <v>3750</v>
      </c>
      <c r="G21998" s="51">
        <f>ROUNDUP(F21998*(E21998/21)/E21952,0)</f>
        <v>670</v>
      </c>
    </row>
    <row r="21999" spans="1:7" x14ac:dyDescent="0.25">
      <c r="A21999" s="69" t="s">
        <v>85</v>
      </c>
      <c r="B21999" s="72" t="str">
        <f>VLOOKUP(A21999,'Componentes APUs'!$A$1:$D$14,2,0)</f>
        <v>Jean Dielectrico</v>
      </c>
      <c r="C21999" s="73"/>
      <c r="D21999" s="50" t="str">
        <f>VLOOKUP(A21999,'Componentes APUs'!$A$1:$D$14,3,0)</f>
        <v>U</v>
      </c>
      <c r="E21999" s="50">
        <f>SUM(C21969:C21975)</f>
        <v>3.75</v>
      </c>
      <c r="F21999" s="51">
        <f>VLOOKUP(A21999,'Componentes APUs'!$A$1:$D$14,4,0)</f>
        <v>7575.757575757576</v>
      </c>
      <c r="G21999" s="51">
        <f>ROUNDUP(F21999*(E21999/21)/E21952,0)</f>
        <v>1353</v>
      </c>
    </row>
    <row r="22000" spans="1:7" x14ac:dyDescent="0.25">
      <c r="A22000" s="50" t="s">
        <v>87</v>
      </c>
      <c r="B22000" s="72" t="str">
        <f>VLOOKUP(A22000,'Componentes APUs'!$A$1:$D$14,2,0)</f>
        <v>Casco dielectrico Tipo 2 Clase E con barboquejo</v>
      </c>
      <c r="C22000" s="73"/>
      <c r="D22000" s="50" t="str">
        <f>VLOOKUP(A22000,'Componentes APUs'!$A$1:$D$14,3,0)</f>
        <v>U</v>
      </c>
      <c r="E22000" s="53">
        <f>IF(A21971="MO-3",C21971,0)</f>
        <v>0</v>
      </c>
      <c r="F22000" s="51">
        <f>VLOOKUP(A22000,'Componentes APUs'!$A$1:$D$14,4,0)</f>
        <v>7500</v>
      </c>
      <c r="G22000" s="51">
        <f>ROUNDUP(F22000*(E22000/21)/E21952,0)</f>
        <v>0</v>
      </c>
    </row>
    <row r="22001" spans="1:7" x14ac:dyDescent="0.25">
      <c r="A22001" s="69" t="s">
        <v>89</v>
      </c>
      <c r="B22001" s="72" t="str">
        <f>VLOOKUP(A22001,'Componentes APUs'!$A$1:$D$14,2,0)</f>
        <v>Kit de rescate para trabajo en alturas</v>
      </c>
      <c r="C22001" s="73"/>
      <c r="D22001" s="50" t="str">
        <f>VLOOKUP(A22001,'Componentes APUs'!$A$1:$D$14,3,0)</f>
        <v>U</v>
      </c>
      <c r="E22001" s="50">
        <f>IF(AND(A21971="MO-3",C21971=2),1,0)</f>
        <v>0</v>
      </c>
      <c r="F22001" s="51">
        <f>VLOOKUP(A22001,'Componentes APUs'!$A$1:$D$14,4,0)</f>
        <v>37500</v>
      </c>
      <c r="G22001" s="51">
        <f>ROUNDUP(F22001*(E22001/21)/E21952,0)</f>
        <v>0</v>
      </c>
    </row>
    <row r="22002" spans="1:7" x14ac:dyDescent="0.25">
      <c r="A22002" s="50" t="s">
        <v>91</v>
      </c>
      <c r="B22002" s="72" t="str">
        <f>VLOOKUP(A22002,'Componentes APUs'!$A$1:$D$14,2,0)</f>
        <v>Equipo completo para trabajo en alturas con pretales (Arnes dielectrico, 1 mosqueton de seguridad, tie off dielectrico, eslinga de posicionamiento, juego de pretales)</v>
      </c>
      <c r="C22002" s="73"/>
      <c r="D22002" s="50" t="str">
        <f>VLOOKUP(A22002,'Componentes APUs'!$A$1:$D$14,3,0)</f>
        <v>U</v>
      </c>
      <c r="E22002" s="50">
        <f>IF(A21971="MO-3",C21971,0)</f>
        <v>0</v>
      </c>
      <c r="F22002" s="51">
        <f>VLOOKUP(A22002,'Componentes APUs'!$A$1:$D$14,4,0)</f>
        <v>26041.666666666668</v>
      </c>
      <c r="G22002" s="51">
        <f>ROUNDUP(F22002*(E22002/21)/E21952,0)</f>
        <v>0</v>
      </c>
    </row>
    <row r="22003" spans="1:7" x14ac:dyDescent="0.25">
      <c r="A22003" s="219" t="s">
        <v>95</v>
      </c>
      <c r="B22003" s="219"/>
      <c r="C22003" s="219"/>
      <c r="D22003" s="219"/>
      <c r="E22003" s="219"/>
      <c r="F22003" s="219"/>
      <c r="G22003" s="52">
        <f>SUM(G21990:G22002)</f>
        <v>9208</v>
      </c>
    </row>
    <row r="22004" spans="1:7" x14ac:dyDescent="0.25">
      <c r="A22004" s="56"/>
      <c r="B22004" s="57"/>
      <c r="C22004" s="57"/>
      <c r="D22004" s="57"/>
      <c r="E22004" s="57"/>
      <c r="F22004" s="57"/>
      <c r="G22004" s="58"/>
    </row>
    <row r="22005" spans="1:7" x14ac:dyDescent="0.25">
      <c r="A22005" s="219" t="s">
        <v>96</v>
      </c>
      <c r="B22005" s="219"/>
      <c r="C22005" s="219"/>
      <c r="D22005" s="219"/>
      <c r="E22005" s="219"/>
      <c r="F22005" s="219"/>
      <c r="G22005" s="219"/>
    </row>
    <row r="22006" spans="1:7" x14ac:dyDescent="0.25">
      <c r="A22006" s="49" t="s">
        <v>35</v>
      </c>
      <c r="B22006" s="225" t="s">
        <v>36</v>
      </c>
      <c r="C22006" s="225"/>
      <c r="D22006" s="49" t="s">
        <v>37</v>
      </c>
      <c r="E22006" s="49" t="s">
        <v>38</v>
      </c>
      <c r="F22006" s="49" t="s">
        <v>39</v>
      </c>
      <c r="G22006" s="49" t="s">
        <v>40</v>
      </c>
    </row>
    <row r="22007" spans="1:7" x14ac:dyDescent="0.25">
      <c r="A22007" s="69" t="s">
        <v>97</v>
      </c>
      <c r="B22007" s="72" t="str">
        <f>VLOOKUP(A22007,'Componentes APUs'!$N$1:$Q$30,2,0)</f>
        <v>Camioneta</v>
      </c>
      <c r="C22007" s="73"/>
      <c r="D22007" s="70" t="str">
        <f>VLOOKUP(A22007,'Componentes APUs'!$N$1:$Q$30,3,0)</f>
        <v>U</v>
      </c>
      <c r="E22007" s="50">
        <v>1</v>
      </c>
      <c r="F22007" s="51">
        <f>VLOOKUP(A22007,'Componentes APUs'!$N$1:$Q$30,4,0)</f>
        <v>5500000</v>
      </c>
      <c r="G22007" s="51">
        <f>IFERROR(ROUNDUP(F22007*(E22007/21)/E21952,0),0)</f>
        <v>261905</v>
      </c>
    </row>
    <row r="22008" spans="1:7" x14ac:dyDescent="0.25">
      <c r="A22008" s="50" t="s">
        <v>321</v>
      </c>
      <c r="B22008" s="72" t="str">
        <f>VLOOKUP(A22008,'Componentes APUs'!$N$1:$Q$30,2,0)</f>
        <v>Grúa Hidráulica</v>
      </c>
      <c r="C22008" s="73"/>
      <c r="D22008" s="70" t="str">
        <f>VLOOKUP(A22008,'Componentes APUs'!$N$1:$Q$30,3,0)</f>
        <v>U</v>
      </c>
      <c r="E22008" s="50">
        <v>0</v>
      </c>
      <c r="F22008" s="51">
        <f>VLOOKUP(A22008,'Componentes APUs'!$N$1:$Q$30,4,0)</f>
        <v>21000000</v>
      </c>
      <c r="G22008" s="51">
        <f>IFERROR(ROUNDUP(F22008*(E22008/21)/E21952,0),0)</f>
        <v>0</v>
      </c>
    </row>
    <row r="22009" spans="1:7" x14ac:dyDescent="0.25">
      <c r="A22009" s="219" t="s">
        <v>99</v>
      </c>
      <c r="B22009" s="219"/>
      <c r="C22009" s="219"/>
      <c r="D22009" s="219"/>
      <c r="E22009" s="219"/>
      <c r="F22009" s="219"/>
      <c r="G22009" s="52">
        <f>SUM(G22007:G22008)</f>
        <v>261905</v>
      </c>
    </row>
    <row r="22010" spans="1:7" x14ac:dyDescent="0.25">
      <c r="A22010" s="56"/>
      <c r="B22010" s="57"/>
      <c r="C22010" s="57"/>
      <c r="D22010" s="57"/>
      <c r="E22010" s="57"/>
      <c r="F22010" s="57"/>
      <c r="G22010" s="58"/>
    </row>
    <row r="22011" spans="1:7" x14ac:dyDescent="0.25">
      <c r="A22011" s="219" t="s">
        <v>1516</v>
      </c>
      <c r="B22011" s="219"/>
      <c r="C22011" s="219"/>
      <c r="D22011" s="219"/>
      <c r="E22011" s="219"/>
      <c r="F22011" s="219"/>
      <c r="G22011" s="52">
        <f>G22009+G22003+G21986+G21976+G21965</f>
        <v>18386491</v>
      </c>
    </row>
    <row r="22012" spans="1:7" x14ac:dyDescent="0.25">
      <c r="A22012" s="59"/>
      <c r="B22012" s="60"/>
      <c r="C22012" s="60"/>
      <c r="D22012" s="60"/>
      <c r="E22012" s="57"/>
      <c r="F22012" s="57"/>
      <c r="G22012" s="58"/>
    </row>
    <row r="22013" spans="1:7" x14ac:dyDescent="0.25">
      <c r="A22013" s="64"/>
      <c r="D22013" s="55"/>
      <c r="E22013" s="49" t="s">
        <v>25</v>
      </c>
      <c r="F22013" s="54">
        <v>0.15</v>
      </c>
      <c r="G22013" s="51">
        <f>G22011*F22013</f>
        <v>2757973.65</v>
      </c>
    </row>
    <row r="22014" spans="1:7" x14ac:dyDescent="0.25">
      <c r="A22014" s="64"/>
      <c r="D22014" s="55"/>
      <c r="E22014" s="49" t="s">
        <v>26</v>
      </c>
      <c r="F22014" s="54">
        <v>0.05</v>
      </c>
      <c r="G22014" s="51">
        <f>G22011*F22014</f>
        <v>919324.55</v>
      </c>
    </row>
    <row r="22015" spans="1:7" x14ac:dyDescent="0.25">
      <c r="A22015" s="61"/>
      <c r="B22015" s="65"/>
      <c r="C22015" s="65"/>
      <c r="D22015" s="62"/>
      <c r="E22015" s="49" t="s">
        <v>27</v>
      </c>
      <c r="F22015" s="54">
        <v>0.05</v>
      </c>
      <c r="G22015" s="51">
        <f>G22011*F22015</f>
        <v>919324.55</v>
      </c>
    </row>
    <row r="22016" spans="1:7" x14ac:dyDescent="0.25">
      <c r="A22016" s="61"/>
      <c r="B22016" s="62"/>
      <c r="C22016" s="62"/>
      <c r="D22016" s="62"/>
      <c r="E22016" s="62"/>
      <c r="F22016" s="62"/>
      <c r="G22016" s="63"/>
    </row>
    <row r="22017" spans="1:7" x14ac:dyDescent="0.25">
      <c r="A22017" s="219" t="s">
        <v>1517</v>
      </c>
      <c r="B22017" s="219"/>
      <c r="C22017" s="219"/>
      <c r="D22017" s="219"/>
      <c r="E22017" s="219"/>
      <c r="F22017" s="219"/>
      <c r="G22017" s="52">
        <f>G22011+G22013+G22014+G22015</f>
        <v>22983113.75</v>
      </c>
    </row>
    <row r="22018" spans="1:7" x14ac:dyDescent="0.25">
      <c r="A22018" s="59"/>
      <c r="B22018" s="60"/>
      <c r="C22018" s="60"/>
      <c r="D22018" s="60"/>
      <c r="E22018" s="57"/>
      <c r="F22018" s="57"/>
      <c r="G22018" s="58"/>
    </row>
    <row r="22019" spans="1:7" x14ac:dyDescent="0.25">
      <c r="A22019" s="64"/>
      <c r="D22019" s="55"/>
      <c r="E22019" s="49" t="s">
        <v>102</v>
      </c>
      <c r="F22019" s="49" t="s">
        <v>103</v>
      </c>
      <c r="G22019" s="51">
        <f>G22015*19%</f>
        <v>174671.66450000001</v>
      </c>
    </row>
    <row r="22020" spans="1:7" x14ac:dyDescent="0.25">
      <c r="A22020" s="61"/>
      <c r="B22020" s="62"/>
      <c r="C22020" s="62"/>
      <c r="D22020" s="62"/>
      <c r="E22020" s="57"/>
      <c r="F22020" s="57"/>
      <c r="G22020" s="58"/>
    </row>
    <row r="22021" spans="1:7" x14ac:dyDescent="0.25">
      <c r="A22021" s="219" t="s">
        <v>104</v>
      </c>
      <c r="B22021" s="219"/>
      <c r="C22021" s="219"/>
      <c r="D22021" s="219"/>
      <c r="E22021" s="219"/>
      <c r="F22021" s="219"/>
      <c r="G22021" s="52">
        <f>G22019+G22017</f>
        <v>23157785.414500002</v>
      </c>
    </row>
    <row r="22023" spans="1:7" x14ac:dyDescent="0.25">
      <c r="A22023" s="74" t="s">
        <v>29</v>
      </c>
      <c r="B22023" s="237" t="s">
        <v>30</v>
      </c>
      <c r="C22023" s="238"/>
      <c r="D22023" s="74" t="s">
        <v>31</v>
      </c>
      <c r="E22023" s="74" t="s">
        <v>32</v>
      </c>
      <c r="F22023" s="74" t="s">
        <v>189</v>
      </c>
      <c r="G22023" s="74" t="s">
        <v>33</v>
      </c>
    </row>
    <row r="22024" spans="1:7" ht="59.25" customHeight="1" x14ac:dyDescent="0.25">
      <c r="A22024" s="50" t="str">
        <f>Presupuesto!B420</f>
        <v>080_AUX</v>
      </c>
      <c r="B22024" s="220" t="str">
        <f>Presupuesto!C420</f>
        <v>SUMINISTRO E INSTALACIÓN DE INSTALACIÓN DE TABLERO AUTOSOPORTADO DE FABRICACIÓN ESPECIAL. DE USO INTERIOR. IP 54. LAMINA DE ACERO GALVANIZADA CALIBRE 18. (+NK02).  INCLUYE BARRAJE DE 400 A, ANALIZADOR DE RED M4M,  TOTALIZADOR 3X80 A, 20 BREAKERS MONOPOLARES 1X10A DC. ILUMINACIÓN, TOMA LEVITON Y  ACCESORIOS.</v>
      </c>
      <c r="C22024" s="239"/>
      <c r="D22024" s="50" t="s">
        <v>8</v>
      </c>
      <c r="E22024" s="50">
        <v>1</v>
      </c>
      <c r="F22024" s="50"/>
      <c r="G22024" s="51">
        <f>G22094</f>
        <v>21356700.414500002</v>
      </c>
    </row>
    <row r="22025" spans="1:7" x14ac:dyDescent="0.25">
      <c r="A22025" s="219" t="s">
        <v>34</v>
      </c>
      <c r="B22025" s="219"/>
      <c r="C22025" s="219"/>
      <c r="D22025" s="219"/>
      <c r="E22025" s="219"/>
      <c r="F22025" s="219"/>
      <c r="G22025" s="219"/>
    </row>
    <row r="22026" spans="1:7" x14ac:dyDescent="0.25">
      <c r="A22026" s="49" t="s">
        <v>35</v>
      </c>
      <c r="B22026" s="234" t="s">
        <v>36</v>
      </c>
      <c r="C22026" s="235"/>
      <c r="D22026" s="49" t="s">
        <v>37</v>
      </c>
      <c r="E22026" s="49" t="s">
        <v>38</v>
      </c>
      <c r="F22026" s="49" t="s">
        <v>39</v>
      </c>
      <c r="G22026" s="49" t="s">
        <v>40</v>
      </c>
    </row>
    <row r="22027" spans="1:7" ht="42" customHeight="1" x14ac:dyDescent="0.25">
      <c r="A22027" s="17" t="str">
        <f>Material!A32</f>
        <v>MA-31</v>
      </c>
      <c r="B22027" s="221" t="str">
        <f>IFERROR(VLOOKUP(A22027,Material!$A:$H,2,0),"-")</f>
        <v>TABLERO AUTOSOPORTADO DE FABRICACIÓN ESPECIAL. DE USO INTERIOR. IP 65. LAMINA DE ACERO GALVANIZADA CALIBRE 18. PARA ALBERGAR HASTA 6 EQUIPOS DE MEDIDA SEMIDIRECTA</v>
      </c>
      <c r="C22027" s="222"/>
      <c r="D22027" s="50" t="str">
        <f>IFERROR(VLOOKUP(A22027,Material!$A:$H,4,0),"-")</f>
        <v>UN</v>
      </c>
      <c r="E22027" s="50">
        <v>1</v>
      </c>
      <c r="F22027" s="51">
        <f>IFERROR(VLOOKUP(A22027,Material!$A:$H,3,0),"-")</f>
        <v>9100000</v>
      </c>
      <c r="G22027" s="51">
        <f t="shared" ref="G22027:G22036" si="331">IFERROR(ROUNDUP(F22027*E22027,0),"-")</f>
        <v>9100000</v>
      </c>
    </row>
    <row r="22028" spans="1:7" x14ac:dyDescent="0.25">
      <c r="A22028" s="17" t="str">
        <f>Material!A33</f>
        <v>MA-32</v>
      </c>
      <c r="B22028" s="72" t="str">
        <f>IFERROR(VLOOKUP(A22028,Material!$A:$H,2,0),"-")</f>
        <v>LÁMPARA LED</v>
      </c>
      <c r="C22028" s="76"/>
      <c r="D22028" s="93" t="str">
        <f>IFERROR(VLOOKUP(A22028,Material!$A:$H,4,0),"-")</f>
        <v>UN</v>
      </c>
      <c r="E22028" s="93">
        <v>1</v>
      </c>
      <c r="F22028" s="144">
        <f>IFERROR(VLOOKUP(A22028,Material!$A:$H,3,0),"-")</f>
        <v>307373.88256268692</v>
      </c>
      <c r="G22028" s="144">
        <f t="shared" si="331"/>
        <v>307374</v>
      </c>
    </row>
    <row r="22029" spans="1:7" x14ac:dyDescent="0.25">
      <c r="A22029" s="17" t="str">
        <f>Material!A188</f>
        <v>MA-187</v>
      </c>
      <c r="B22029" s="72" t="str">
        <f>IFERROR(VLOOKUP(A22029,Material!$A:$H,2,0),"-")</f>
        <v>INTERRUPTOR DC 1X10 (6 kA)</v>
      </c>
      <c r="C22029" s="76"/>
      <c r="D22029" s="93" t="str">
        <f>IFERROR(VLOOKUP(A22029,Material!$A:$H,4,0),"-")</f>
        <v>UN</v>
      </c>
      <c r="E22029" s="93">
        <v>21</v>
      </c>
      <c r="F22029" s="144">
        <f>IFERROR(VLOOKUP(A22029,Material!$A:$H,3,0),"-")</f>
        <v>71500</v>
      </c>
      <c r="G22029" s="144">
        <f t="shared" si="331"/>
        <v>1501500</v>
      </c>
    </row>
    <row r="22030" spans="1:7" x14ac:dyDescent="0.25">
      <c r="A22030" s="17" t="str">
        <f>Material!A564</f>
        <v>MA-563</v>
      </c>
      <c r="B22030" s="72" t="str">
        <f>IFERROR(VLOOKUP(A22030,Material!$A:$H,2,0),"-")</f>
        <v>BREAKER 1X50 A DC</v>
      </c>
      <c r="C22030" s="76"/>
      <c r="D22030" s="93" t="str">
        <f>IFERROR(VLOOKUP(A22030,Material!$A:$H,4,0),"-")</f>
        <v>UN</v>
      </c>
      <c r="E22030" s="93">
        <v>1</v>
      </c>
      <c r="F22030" s="144">
        <f>IFERROR(VLOOKUP(A22030,Material!$A:$H,3,0),"-")</f>
        <v>58500</v>
      </c>
      <c r="G22030" s="144">
        <f t="shared" si="331"/>
        <v>58500</v>
      </c>
    </row>
    <row r="22031" spans="1:7" x14ac:dyDescent="0.25">
      <c r="A22031" s="17" t="str">
        <f>Material!A37</f>
        <v>MA-36</v>
      </c>
      <c r="B22031" s="72" t="str">
        <f>IFERROR(VLOOKUP(A22031,Material!$A:$H,2,0),"-")</f>
        <v>CANALETAS RANURADA 40X60 MM</v>
      </c>
      <c r="C22031" s="76"/>
      <c r="D22031" s="93" t="str">
        <f>IFERROR(VLOOKUP(A22031,Material!$A:$H,4,0),"-")</f>
        <v>ML</v>
      </c>
      <c r="E22031" s="93">
        <v>8</v>
      </c>
      <c r="F22031" s="144">
        <f>IFERROR(VLOOKUP(A22031,Material!$A:$H,3,0),"-")</f>
        <v>31908.5</v>
      </c>
      <c r="G22031" s="144">
        <f t="shared" si="331"/>
        <v>255268</v>
      </c>
    </row>
    <row r="22032" spans="1:7" x14ac:dyDescent="0.25">
      <c r="A22032" s="17" t="str">
        <f>Material!A142</f>
        <v>MA-141</v>
      </c>
      <c r="B22032" s="72" t="str">
        <f>IFERROR(VLOOKUP(A22032,Material!$A:$H,2,0),"-")</f>
        <v>CAJA RAWELT</v>
      </c>
      <c r="C22032" s="76"/>
      <c r="D22032" s="50" t="str">
        <f>IFERROR(VLOOKUP(A22032,Material!$A:$H,4,0),"-")</f>
        <v>UN</v>
      </c>
      <c r="E22032" s="50">
        <v>1</v>
      </c>
      <c r="F22032" s="51">
        <f>IFERROR(VLOOKUP(A22032,Material!$A:$H,3,0),"-")</f>
        <v>13778.7</v>
      </c>
      <c r="G22032" s="51">
        <f t="shared" si="331"/>
        <v>13779</v>
      </c>
    </row>
    <row r="22033" spans="1:7" x14ac:dyDescent="0.25">
      <c r="A22033" s="17" t="str">
        <f>Material!A230</f>
        <v>MA-229</v>
      </c>
      <c r="B22033" s="72" t="str">
        <f>IFERROR(VLOOKUP(A22033,Material!$A:$H,2,0),"-")</f>
        <v>TOMA CORRIENTE LEVITON</v>
      </c>
      <c r="C22033" s="76"/>
      <c r="D22033" s="50" t="str">
        <f>IFERROR(VLOOKUP(A22033,Material!$A:$H,4,0),"-")</f>
        <v>UN</v>
      </c>
      <c r="E22033" s="50">
        <v>1</v>
      </c>
      <c r="F22033" s="51">
        <f>IFERROR(VLOOKUP(A22033,Material!$A:$H,3,0),"-")</f>
        <v>4615</v>
      </c>
      <c r="G22033" s="51">
        <f t="shared" si="331"/>
        <v>4615</v>
      </c>
    </row>
    <row r="22034" spans="1:7" x14ac:dyDescent="0.25">
      <c r="A22034" s="17" t="str">
        <f>Material!A259</f>
        <v>MA-258</v>
      </c>
      <c r="B22034" s="72" t="str">
        <f>IFERROR(VLOOKUP(A22034,Material!$A:$H,2,0),"-")</f>
        <v>ANALIZADOR DE REDES M4M</v>
      </c>
      <c r="C22034" s="76"/>
      <c r="D22034" s="50" t="str">
        <f>IFERROR(VLOOKUP(A22034,Material!$A:$H,4,0),"-")</f>
        <v>UN</v>
      </c>
      <c r="E22034" s="50">
        <v>1</v>
      </c>
      <c r="F22034" s="51">
        <f>IFERROR(VLOOKUP(A22034,Material!$A:$H,3,0),"-")</f>
        <v>2776410</v>
      </c>
      <c r="G22034" s="51">
        <f t="shared" si="331"/>
        <v>2776410</v>
      </c>
    </row>
    <row r="22035" spans="1:7" x14ac:dyDescent="0.25">
      <c r="A22035" s="17" t="str">
        <f>Material!A261</f>
        <v>MA-260</v>
      </c>
      <c r="B22035" s="72" t="str">
        <f>IFERROR(VLOOKUP(A22035,Material!$A:$H,2,0),"-")</f>
        <v>BARRAJE DE COBRE 400A</v>
      </c>
      <c r="C22035" s="76"/>
      <c r="D22035" s="50" t="str">
        <f>IFERROR(VLOOKUP(A22035,Material!$A:$H,4,0),"-")</f>
        <v>UN</v>
      </c>
      <c r="E22035" s="50">
        <v>1</v>
      </c>
      <c r="F22035" s="51">
        <f>IFERROR(VLOOKUP(A22035,Material!$A:$H,3,0),"-")</f>
        <v>469781</v>
      </c>
      <c r="G22035" s="51">
        <f t="shared" si="331"/>
        <v>469781</v>
      </c>
    </row>
    <row r="22036" spans="1:7" x14ac:dyDescent="0.25">
      <c r="A22036" s="17"/>
      <c r="B22036" s="72" t="str">
        <f>IFERROR(VLOOKUP(A22036,Material!$A:$H,2,0),"-")</f>
        <v>-</v>
      </c>
      <c r="C22036" s="76"/>
      <c r="D22036" s="50" t="str">
        <f>IFERROR(VLOOKUP(A22036,Material!$A:$H,4,0),"-")</f>
        <v>-</v>
      </c>
      <c r="E22036" s="50"/>
      <c r="F22036" s="51" t="str">
        <f>IFERROR(VLOOKUP(A22036,Material!$A:$H,3,0),"-")</f>
        <v>-</v>
      </c>
      <c r="G22036" s="51" t="str">
        <f t="shared" si="331"/>
        <v>-</v>
      </c>
    </row>
    <row r="22037" spans="1:7" x14ac:dyDescent="0.25">
      <c r="A22037" s="234" t="s">
        <v>41</v>
      </c>
      <c r="B22037" s="236"/>
      <c r="C22037" s="236"/>
      <c r="D22037" s="236"/>
      <c r="E22037" s="236"/>
      <c r="F22037" s="235"/>
      <c r="G22037" s="52">
        <f>SUM(G22027:G22036)</f>
        <v>14487227</v>
      </c>
    </row>
    <row r="22038" spans="1:7" x14ac:dyDescent="0.25">
      <c r="A22038" s="56"/>
      <c r="B22038" s="57"/>
      <c r="C22038" s="57"/>
      <c r="D22038" s="57"/>
      <c r="E22038" s="57"/>
      <c r="F22038" s="57"/>
      <c r="G22038" s="58"/>
    </row>
    <row r="22039" spans="1:7" x14ac:dyDescent="0.25">
      <c r="A22039" s="219" t="s">
        <v>42</v>
      </c>
      <c r="B22039" s="219"/>
      <c r="C22039" s="219"/>
      <c r="D22039" s="219"/>
      <c r="E22039" s="219"/>
      <c r="F22039" s="219"/>
      <c r="G22039" s="219"/>
    </row>
    <row r="22040" spans="1:7" x14ac:dyDescent="0.25">
      <c r="A22040" s="49" t="s">
        <v>35</v>
      </c>
      <c r="B22040" s="49" t="s">
        <v>36</v>
      </c>
      <c r="C22040" s="49" t="s">
        <v>38</v>
      </c>
      <c r="D22040" s="49" t="s">
        <v>43</v>
      </c>
      <c r="E22040" s="49" t="s">
        <v>44</v>
      </c>
      <c r="F22040" s="49" t="s">
        <v>45</v>
      </c>
      <c r="G22040" s="49" t="s">
        <v>40</v>
      </c>
    </row>
    <row r="22041" spans="1:7" x14ac:dyDescent="0.25">
      <c r="A22041" s="50" t="s">
        <v>319</v>
      </c>
      <c r="B22041" s="68" t="str">
        <f>VLOOKUP(A22041,'Componentes APUs'!$H$1:$L$25,2,0)</f>
        <v>Ingeniero Residente de Obra</v>
      </c>
      <c r="C22041" s="93">
        <v>0.25</v>
      </c>
      <c r="D22041" s="50">
        <f>VLOOKUP(A22041,'Componentes APUs'!$H$1:$L$25,3,0)</f>
        <v>4</v>
      </c>
      <c r="E22041" s="51">
        <f>VLOOKUP(A22041,'Componentes APUs'!$H$1:$L$25,4,0)</f>
        <v>271142.85714285716</v>
      </c>
      <c r="F22041" s="51">
        <f>VLOOKUP(A22041,'Componentes APUs'!$H$1:$L$25,5,0)</f>
        <v>162685.71428571429</v>
      </c>
      <c r="G22041" s="51">
        <f>ROUNDUP((E22041+F22041)*C22041/E22024,0)</f>
        <v>108458</v>
      </c>
    </row>
    <row r="22042" spans="1:7" x14ac:dyDescent="0.25">
      <c r="A22042" s="50" t="s">
        <v>320</v>
      </c>
      <c r="B22042" s="68" t="str">
        <f>VLOOKUP(A22042,'Componentes APUs'!$H$1:$L$25,2,0)</f>
        <v>Tecnico Supervisor</v>
      </c>
      <c r="C22042" s="93">
        <v>0.25</v>
      </c>
      <c r="D22042" s="50">
        <f>VLOOKUP(A22042,'Componentes APUs'!$H$1:$L$25,3,0)</f>
        <v>2.2999999999999998</v>
      </c>
      <c r="E22042" s="51">
        <f>VLOOKUP(A22042,'Componentes APUs'!$H$1:$L$25,4,0)</f>
        <v>155907.14285714284</v>
      </c>
      <c r="F22042" s="51">
        <f>VLOOKUP(A22042,'Componentes APUs'!$H$1:$L$25,5,0)</f>
        <v>93544.285714285696</v>
      </c>
      <c r="G22042" s="51">
        <f>ROUNDUP((E22042+F22042)*C22042/E22024,0)</f>
        <v>62363</v>
      </c>
    </row>
    <row r="22043" spans="1:7" x14ac:dyDescent="0.25">
      <c r="A22043" s="50" t="s">
        <v>1160</v>
      </c>
      <c r="B22043" s="68" t="str">
        <f>VLOOKUP(A22043,'Componentes APUs'!$H$1:$L$25,2,0)</f>
        <v>Oficial Eléctrico</v>
      </c>
      <c r="C22043" s="93">
        <v>1</v>
      </c>
      <c r="D22043" s="50">
        <f>VLOOKUP(A22043,'Componentes APUs'!$H$1:$L$25,3,0)</f>
        <v>2</v>
      </c>
      <c r="E22043" s="51">
        <f>VLOOKUP(A22043,'Componentes APUs'!$H$1:$L$25,4,0)</f>
        <v>154619.04761904763</v>
      </c>
      <c r="F22043" s="51">
        <f>VLOOKUP(A22043,'Componentes APUs'!$H$1:$L$25,5,0)</f>
        <v>92771.42857142858</v>
      </c>
      <c r="G22043" s="51">
        <f>ROUNDUP((E22043+F22043)*C22043/E22024,0)</f>
        <v>247391</v>
      </c>
    </row>
    <row r="22044" spans="1:7" x14ac:dyDescent="0.25">
      <c r="A22044" s="50" t="s">
        <v>48</v>
      </c>
      <c r="B22044" s="68" t="str">
        <f>VLOOKUP(A22044,'Componentes APUs'!$H$1:$L$25,2,0)</f>
        <v>Ayudante Calificado</v>
      </c>
      <c r="C22044" s="93">
        <v>1</v>
      </c>
      <c r="D22044" s="50">
        <f>VLOOKUP(A22044,'Componentes APUs'!$H$1:$L$25,3,0)</f>
        <v>1.5</v>
      </c>
      <c r="E22044" s="51">
        <f>VLOOKUP(A22044,'Componentes APUs'!$H$1:$L$25,4,0)</f>
        <v>115964.28571428571</v>
      </c>
      <c r="F22044" s="51">
        <f>VLOOKUP(A22044,'Componentes APUs'!$H$1:$L$25,5,0)</f>
        <v>69578.57142857142</v>
      </c>
      <c r="G22044" s="51">
        <f>ROUNDUP((E22044+F22044)*C22044/E22024,0)</f>
        <v>185543</v>
      </c>
    </row>
    <row r="22045" spans="1:7" x14ac:dyDescent="0.25">
      <c r="A22045" s="50" t="s">
        <v>50</v>
      </c>
      <c r="B22045" s="68" t="str">
        <f>VLOOKUP(A22045,'Componentes APUs'!$H$1:$L$25,2,0)</f>
        <v>Profesional en SST</v>
      </c>
      <c r="C22045" s="93">
        <v>0.25</v>
      </c>
      <c r="D22045" s="50">
        <f>VLOOKUP(A22045,'Componentes APUs'!$H$1:$L$25,3,0)</f>
        <v>2.5</v>
      </c>
      <c r="E22045" s="51">
        <f>VLOOKUP(A22045,'Componentes APUs'!$H$1:$L$25,4,0)</f>
        <v>169464.28571428571</v>
      </c>
      <c r="F22045" s="51">
        <f>VLOOKUP(A22045,'Componentes APUs'!$H$1:$L$25,5,0)</f>
        <v>101678.57142857142</v>
      </c>
      <c r="G22045" s="51">
        <f>ROUNDUP((E22045+F22045)*C22045/E22024,0)</f>
        <v>67786</v>
      </c>
    </row>
    <row r="22046" spans="1:7" x14ac:dyDescent="0.25">
      <c r="A22046" s="50" t="s">
        <v>52</v>
      </c>
      <c r="B22046" s="68" t="str">
        <f>VLOOKUP(A22046,'Componentes APUs'!$H$1:$L$25,2,0)</f>
        <v>Ayudante No Calificado</v>
      </c>
      <c r="C22046" s="93">
        <v>0</v>
      </c>
      <c r="D22046" s="50">
        <f>VLOOKUP(A22046,'Componentes APUs'!$H$1:$L$25,3,0)</f>
        <v>1</v>
      </c>
      <c r="E22046" s="51">
        <f>VLOOKUP(A22046,'Componentes APUs'!$H$1:$L$25,4,0)</f>
        <v>77309.523809523816</v>
      </c>
      <c r="F22046" s="51">
        <f>VLOOKUP(A22046,'Componentes APUs'!$H$1:$L$25,5,0)</f>
        <v>46385.71428571429</v>
      </c>
      <c r="G22046" s="51">
        <f>ROUNDUP((E22046+F22046)*C22046/E22024,0)</f>
        <v>0</v>
      </c>
    </row>
    <row r="22047" spans="1:7" x14ac:dyDescent="0.25">
      <c r="A22047" s="50" t="s">
        <v>1121</v>
      </c>
      <c r="B22047" s="68" t="str">
        <f>VLOOKUP(A22047,'Componentes APUs'!$H$1:$L$25,2,0)</f>
        <v>Ingeniero Especialista de Control y Protección Subestación</v>
      </c>
      <c r="C22047" s="93">
        <v>1</v>
      </c>
      <c r="D22047" s="50">
        <f>VLOOKUP(A22047,'Componentes APUs'!$H$1:$L$25,3,0)</f>
        <v>14</v>
      </c>
      <c r="E22047" s="51">
        <f>VLOOKUP(A22047,'Componentes APUs'!$H$1:$L$25,4,0)</f>
        <v>949000</v>
      </c>
      <c r="F22047" s="51">
        <f>VLOOKUP(A22047,'Componentes APUs'!$H$1:$L$25,5,0)</f>
        <v>569400</v>
      </c>
      <c r="G22047" s="51">
        <f>ROUNDUP((E22047+F22047)*C22047/E22024,0)</f>
        <v>1518400</v>
      </c>
    </row>
    <row r="22048" spans="1:7" x14ac:dyDescent="0.25">
      <c r="A22048" s="219" t="s">
        <v>56</v>
      </c>
      <c r="B22048" s="219"/>
      <c r="C22048" s="219"/>
      <c r="D22048" s="219"/>
      <c r="E22048" s="219"/>
      <c r="F22048" s="219"/>
      <c r="G22048" s="52">
        <f>SUM(G22041:G22047)</f>
        <v>2189941</v>
      </c>
    </row>
    <row r="22049" spans="1:7" x14ac:dyDescent="0.25">
      <c r="A22049" s="56"/>
      <c r="B22049" s="57"/>
      <c r="C22049" s="57"/>
      <c r="D22049" s="57"/>
      <c r="E22049" s="57"/>
      <c r="F22049" s="57"/>
      <c r="G22049" s="58"/>
    </row>
    <row r="22050" spans="1:7" x14ac:dyDescent="0.25">
      <c r="A22050" s="219" t="s">
        <v>57</v>
      </c>
      <c r="B22050" s="219"/>
      <c r="C22050" s="219"/>
      <c r="D22050" s="219"/>
      <c r="E22050" s="219"/>
      <c r="F22050" s="219"/>
      <c r="G22050" s="219"/>
    </row>
    <row r="22051" spans="1:7" x14ac:dyDescent="0.25">
      <c r="A22051" s="49" t="s">
        <v>35</v>
      </c>
      <c r="B22051" s="219" t="s">
        <v>36</v>
      </c>
      <c r="C22051" s="219"/>
      <c r="D22051" s="49" t="s">
        <v>37</v>
      </c>
      <c r="E22051" s="49" t="s">
        <v>38</v>
      </c>
      <c r="F22051" s="49" t="s">
        <v>39</v>
      </c>
      <c r="G22051" s="49" t="s">
        <v>40</v>
      </c>
    </row>
    <row r="22052" spans="1:7" x14ac:dyDescent="0.25">
      <c r="A22052" s="50" t="s">
        <v>326</v>
      </c>
      <c r="B22052" s="220" t="str">
        <f>VLOOKUP(A22052,'Componentes APUs'!$S$1:$V$10,2,0)</f>
        <v>Juego Llaves</v>
      </c>
      <c r="C22052" s="220"/>
      <c r="D22052" s="50" t="s">
        <v>18</v>
      </c>
      <c r="E22052" s="50">
        <v>2</v>
      </c>
      <c r="F22052" s="51">
        <f>VLOOKUP(A22052,'Componentes APUs'!$S$1:$V$10,4,0)</f>
        <v>9167</v>
      </c>
      <c r="G22052" s="51">
        <f>ROUNDUP(F22052*((E22052/21)/E22024),0)</f>
        <v>874</v>
      </c>
    </row>
    <row r="22053" spans="1:7" x14ac:dyDescent="0.25">
      <c r="A22053" s="50" t="s">
        <v>58</v>
      </c>
      <c r="B22053" s="220" t="str">
        <f>VLOOKUP(A22053,'Componentes APUs'!$S$1:$V$10,2,0)</f>
        <v>Manila de servicio</v>
      </c>
      <c r="C22053" s="220"/>
      <c r="D22053" s="50" t="s">
        <v>18</v>
      </c>
      <c r="E22053" s="50">
        <v>0</v>
      </c>
      <c r="F22053" s="51">
        <f>VLOOKUP(A22053,'Componentes APUs'!$S$1:$V$10,4,0)</f>
        <v>2333</v>
      </c>
      <c r="G22053" s="51">
        <f>ROUNDUP(F22053*((E22053/21)/E22024),0)</f>
        <v>0</v>
      </c>
    </row>
    <row r="22054" spans="1:7" x14ac:dyDescent="0.25">
      <c r="A22054" s="50" t="s">
        <v>327</v>
      </c>
      <c r="B22054" s="220" t="str">
        <f>VLOOKUP(A22054,'Componentes APUs'!$S$1:$V$10,2,0)</f>
        <v>Tula portaherramientas</v>
      </c>
      <c r="C22054" s="220"/>
      <c r="D22054" s="50" t="s">
        <v>18</v>
      </c>
      <c r="E22054" s="50">
        <v>2</v>
      </c>
      <c r="F22054" s="51">
        <f>VLOOKUP(A22054,'Componentes APUs'!$S$1:$V$10,4,0)</f>
        <v>1250</v>
      </c>
      <c r="G22054" s="51">
        <f>ROUNDUP(F22054*((E22054/21)/E22024),0)</f>
        <v>120</v>
      </c>
    </row>
    <row r="22055" spans="1:7" x14ac:dyDescent="0.25">
      <c r="A22055" s="50" t="s">
        <v>60</v>
      </c>
      <c r="B22055" s="220" t="str">
        <f>VLOOKUP(A22055,'Componentes APUs'!$S$1:$V$10,2,0)</f>
        <v>Agarradoras</v>
      </c>
      <c r="C22055" s="220"/>
      <c r="D22055" s="50" t="s">
        <v>18</v>
      </c>
      <c r="E22055" s="50">
        <v>0</v>
      </c>
      <c r="F22055" s="51">
        <f>VLOOKUP(A22055,'Componentes APUs'!$S$1:$V$10,4,0)</f>
        <v>125000</v>
      </c>
      <c r="G22055" s="51">
        <f>ROUNDUP(F22055*((E22055/21)/E22024),0)</f>
        <v>0</v>
      </c>
    </row>
    <row r="22056" spans="1:7" x14ac:dyDescent="0.25">
      <c r="A22056" s="50" t="s">
        <v>62</v>
      </c>
      <c r="B22056" s="220" t="str">
        <f>VLOOKUP(A22056,'Componentes APUs'!$S$1:$V$10,2,0)</f>
        <v>Templadoras</v>
      </c>
      <c r="C22056" s="220"/>
      <c r="D22056" s="50" t="s">
        <v>18</v>
      </c>
      <c r="E22056" s="50">
        <v>0</v>
      </c>
      <c r="F22056" s="51">
        <f>VLOOKUP(A22056,'Componentes APUs'!$S$1:$V$10,4,0)</f>
        <v>250000</v>
      </c>
      <c r="G22056" s="51">
        <f>ROUNDUP(F22056*((E22056/21)/E22024),0)</f>
        <v>0</v>
      </c>
    </row>
    <row r="22057" spans="1:7" x14ac:dyDescent="0.25">
      <c r="A22057" s="50" t="s">
        <v>328</v>
      </c>
      <c r="B22057" s="220" t="str">
        <f>VLOOKUP(A22057,'Componentes APUs'!$S$1:$V$10,2,0)</f>
        <v>Herramienta Menor</v>
      </c>
      <c r="C22057" s="220"/>
      <c r="D22057" s="50" t="s">
        <v>18</v>
      </c>
      <c r="E22057" s="50">
        <v>2</v>
      </c>
      <c r="F22057" s="51">
        <f>VLOOKUP(A22057,'Componentes APUs'!$S$1:$V$10,4,0)</f>
        <v>75758</v>
      </c>
      <c r="G22057" s="51">
        <f>ROUNDUP(F22057*((E22057/21)/E22024),0)</f>
        <v>7216</v>
      </c>
    </row>
    <row r="22058" spans="1:7" x14ac:dyDescent="0.25">
      <c r="A22058" s="219" t="s">
        <v>69</v>
      </c>
      <c r="B22058" s="219"/>
      <c r="C22058" s="219"/>
      <c r="D22058" s="219"/>
      <c r="E22058" s="219"/>
      <c r="F22058" s="219"/>
      <c r="G22058" s="52">
        <f>SUM(G22052:G22057)</f>
        <v>8210</v>
      </c>
    </row>
    <row r="22059" spans="1:7" x14ac:dyDescent="0.25">
      <c r="A22059" s="56"/>
      <c r="B22059" s="57"/>
      <c r="C22059" s="57"/>
      <c r="D22059" s="57"/>
      <c r="E22059" s="57"/>
      <c r="F22059" s="57"/>
      <c r="G22059" s="58"/>
    </row>
    <row r="22060" spans="1:7" x14ac:dyDescent="0.25">
      <c r="A22060" s="219" t="s">
        <v>70</v>
      </c>
      <c r="B22060" s="219"/>
      <c r="C22060" s="219"/>
      <c r="D22060" s="219"/>
      <c r="E22060" s="219"/>
      <c r="F22060" s="219"/>
      <c r="G22060" s="219"/>
    </row>
    <row r="22061" spans="1:7" x14ac:dyDescent="0.25">
      <c r="A22061" s="49" t="s">
        <v>35</v>
      </c>
      <c r="B22061" s="219" t="s">
        <v>36</v>
      </c>
      <c r="C22061" s="219"/>
      <c r="D22061" s="49" t="s">
        <v>37</v>
      </c>
      <c r="E22061" s="49" t="s">
        <v>38</v>
      </c>
      <c r="F22061" s="49" t="s">
        <v>39</v>
      </c>
      <c r="G22061" s="49" t="s">
        <v>40</v>
      </c>
    </row>
    <row r="22062" spans="1:7" x14ac:dyDescent="0.25">
      <c r="A22062" s="50" t="s">
        <v>71</v>
      </c>
      <c r="B22062" s="71" t="str">
        <f>VLOOKUP(A22062,'Componentes APUs'!$A$1:$D$14,2,0)</f>
        <v>Camisa indigo sin partes metalicas</v>
      </c>
      <c r="C22062" s="71"/>
      <c r="D22062" s="50" t="str">
        <f>VLOOKUP(A22062,'Componentes APUs'!$A$1:$D$14,3,0)</f>
        <v>U</v>
      </c>
      <c r="E22062" s="50">
        <f>SUM(C22041:C22047)</f>
        <v>3.75</v>
      </c>
      <c r="F22062" s="51">
        <f>VLOOKUP(A22062,'Componentes APUs'!$A$1:$D$14,4,0)</f>
        <v>8585.8585858585866</v>
      </c>
      <c r="G22062" s="51">
        <f>ROUNDUP(F22062*(E22062/21)/E22024,0)</f>
        <v>1534</v>
      </c>
    </row>
    <row r="22063" spans="1:7" x14ac:dyDescent="0.25">
      <c r="A22063" s="69" t="s">
        <v>73</v>
      </c>
      <c r="B22063" s="72" t="str">
        <f>VLOOKUP(A22063,'Componentes APUs'!$A$1:$D$14,2,0)</f>
        <v>Bota de seguridad dielectrica</v>
      </c>
      <c r="C22063" s="73"/>
      <c r="D22063" s="70" t="str">
        <f>VLOOKUP(A22063,'Componentes APUs'!$A$1:$D$14,3,0)</f>
        <v>Par</v>
      </c>
      <c r="E22063" s="50">
        <f>SUM(C22041:C22047)</f>
        <v>3.75</v>
      </c>
      <c r="F22063" s="51">
        <f>VLOOKUP(A22063,'Componentes APUs'!$A$1:$D$14,4,0)</f>
        <v>7500</v>
      </c>
      <c r="G22063" s="51">
        <f>ROUNDUP(F22063*(E22063/21)/E22024,0)</f>
        <v>1340</v>
      </c>
    </row>
    <row r="22064" spans="1:7" x14ac:dyDescent="0.25">
      <c r="A22064" s="50" t="s">
        <v>76</v>
      </c>
      <c r="B22064" s="72" t="str">
        <f>VLOOKUP(A22064,'Componentes APUs'!$A$1:$D$14,2,0)</f>
        <v>Casco dielectrico Tipo 1 Clase E con barbuquejo</v>
      </c>
      <c r="C22064" s="73"/>
      <c r="D22064" s="50" t="str">
        <f>VLOOKUP(A22064,'Componentes APUs'!$A$1:$D$14,3,0)</f>
        <v>U</v>
      </c>
      <c r="E22064" s="50">
        <f>C22041+C22047+C22042+C22045+C22046+C22044+IF(A22043&lt;&gt;"MO-3",C22043,0)</f>
        <v>3.75</v>
      </c>
      <c r="F22064" s="51">
        <f>VLOOKUP(A22064,'Componentes APUs'!$A$1:$D$14,4,0)</f>
        <v>10101.010101010101</v>
      </c>
      <c r="G22064" s="51">
        <f>ROUNDUP(F22064*(E22064/21)/E22024,0)</f>
        <v>1804</v>
      </c>
    </row>
    <row r="22065" spans="1:7" x14ac:dyDescent="0.25">
      <c r="A22065" s="69" t="s">
        <v>77</v>
      </c>
      <c r="B22065" s="72" t="str">
        <f>VLOOKUP(A22065,'Componentes APUs'!$A$1:$D$14,2,0)</f>
        <v>Correa plastica y antiflama</v>
      </c>
      <c r="C22065" s="73"/>
      <c r="D22065" s="50" t="str">
        <f>VLOOKUP(A22065,'Componentes APUs'!$A$1:$D$14,3,0)</f>
        <v>U</v>
      </c>
      <c r="E22065" s="50">
        <f>SUM(C22041:C22047)</f>
        <v>3.75</v>
      </c>
      <c r="F22065" s="51">
        <f>VLOOKUP(A22065,'Componentes APUs'!$A$1:$D$14,4,0)</f>
        <v>3787.878787878788</v>
      </c>
      <c r="G22065" s="51">
        <f>ROUNDUP(F22065*(E22065/21)/E22024,0)</f>
        <v>677</v>
      </c>
    </row>
    <row r="22066" spans="1:7" x14ac:dyDescent="0.25">
      <c r="A22066" s="50" t="s">
        <v>79</v>
      </c>
      <c r="B22066" s="72" t="str">
        <f>VLOOKUP(A22066,'Componentes APUs'!$A$1:$D$14,2,0)</f>
        <v>Gafas protectoras filtro UV</v>
      </c>
      <c r="C22066" s="73"/>
      <c r="D22066" s="50" t="str">
        <f>VLOOKUP(A22066,'Componentes APUs'!$A$1:$D$14,3,0)</f>
        <v>U</v>
      </c>
      <c r="E22066" s="50">
        <f>SUM(C22041:C22047)</f>
        <v>3.75</v>
      </c>
      <c r="F22066" s="51">
        <f>VLOOKUP(A22066,'Componentes APUs'!$A$1:$D$14,4,0)</f>
        <v>2777.7777777777778</v>
      </c>
      <c r="G22066" s="51">
        <f>ROUNDUP(F22066*(E22066/21)/E22024,0)</f>
        <v>497</v>
      </c>
    </row>
    <row r="22067" spans="1:7" x14ac:dyDescent="0.25">
      <c r="A22067" s="69" t="s">
        <v>402</v>
      </c>
      <c r="B22067" s="72" t="str">
        <f>VLOOKUP(A22067,'Componentes APUs'!$A$1:$D$14,2,0)</f>
        <v>Bota de seguridad PVC dielectrica</v>
      </c>
      <c r="C22067" s="73"/>
      <c r="D22067" s="50" t="str">
        <f>VLOOKUP(A22067,'Componentes APUs'!$A$1:$D$14,3,0)</f>
        <v>Par</v>
      </c>
      <c r="E22067" s="50">
        <f>SUM(C22041:C22047)</f>
        <v>3.75</v>
      </c>
      <c r="F22067" s="51">
        <f>VLOOKUP(A22067,'Componentes APUs'!$A$1:$D$14,4,0)</f>
        <v>2916.6666666666665</v>
      </c>
      <c r="G22067" s="51">
        <f>ROUNDUP(F22067*(E22067/21)/E22024,0)</f>
        <v>521</v>
      </c>
    </row>
    <row r="22068" spans="1:7" x14ac:dyDescent="0.25">
      <c r="A22068" s="50" t="s">
        <v>403</v>
      </c>
      <c r="B22068" s="72" t="str">
        <f>VLOOKUP(A22068,'Componentes APUs'!$A$1:$D$14,2,0)</f>
        <v>Capuchon</v>
      </c>
      <c r="C22068" s="73"/>
      <c r="D22068" s="50" t="str">
        <f>VLOOKUP(A22068,'Componentes APUs'!$A$1:$D$14,3,0)</f>
        <v>U</v>
      </c>
      <c r="E22068" s="50">
        <f>SUM(C22041:C22047)</f>
        <v>3.75</v>
      </c>
      <c r="F22068" s="51">
        <f>VLOOKUP(A22068,'Componentes APUs'!$A$1:$D$14,4,0)</f>
        <v>2525.2525252525252</v>
      </c>
      <c r="G22068" s="51">
        <f>ROUNDUP(F22068*(E22068/21)/E22024,0)</f>
        <v>451</v>
      </c>
    </row>
    <row r="22069" spans="1:7" x14ac:dyDescent="0.25">
      <c r="A22069" s="69" t="s">
        <v>81</v>
      </c>
      <c r="B22069" s="72" t="str">
        <f>VLOOKUP(A22069,'Componentes APUs'!$A$1:$D$14,2,0)</f>
        <v>Guantes Protectores  - ingeniero reforzados</v>
      </c>
      <c r="C22069" s="73"/>
      <c r="D22069" s="50" t="str">
        <f>VLOOKUP(A22069,'Componentes APUs'!$A$1:$D$14,3,0)</f>
        <v>Par</v>
      </c>
      <c r="E22069" s="50">
        <f>C22043+C22044+C22046+C22047</f>
        <v>3</v>
      </c>
      <c r="F22069" s="51">
        <f>VLOOKUP(A22069,'Componentes APUs'!$A$1:$D$14,4,0)</f>
        <v>2525.2525252525252</v>
      </c>
      <c r="G22069" s="51">
        <f>ROUNDUP(F22069*(E22069/21)/E22024,0)</f>
        <v>361</v>
      </c>
    </row>
    <row r="22070" spans="1:7" x14ac:dyDescent="0.25">
      <c r="A22070" s="50" t="s">
        <v>83</v>
      </c>
      <c r="B22070" s="72" t="str">
        <f>VLOOKUP(A22070,'Componentes APUs'!$A$1:$D$14,2,0)</f>
        <v>Impermeable (pantalon camisa)</v>
      </c>
      <c r="C22070" s="73"/>
      <c r="D22070" s="50" t="str">
        <f>VLOOKUP(A22070,'Componentes APUs'!$A$1:$D$14,3,0)</f>
        <v>U</v>
      </c>
      <c r="E22070" s="50">
        <f>SUM(C22041:C22047)</f>
        <v>3.75</v>
      </c>
      <c r="F22070" s="51">
        <f>VLOOKUP(A22070,'Componentes APUs'!$A$1:$D$14,4,0)</f>
        <v>3750</v>
      </c>
      <c r="G22070" s="51">
        <f>ROUNDUP(F22070*(E22070/21)/E22024,0)</f>
        <v>670</v>
      </c>
    </row>
    <row r="22071" spans="1:7" x14ac:dyDescent="0.25">
      <c r="A22071" s="69" t="s">
        <v>85</v>
      </c>
      <c r="B22071" s="72" t="str">
        <f>VLOOKUP(A22071,'Componentes APUs'!$A$1:$D$14,2,0)</f>
        <v>Jean Dielectrico</v>
      </c>
      <c r="C22071" s="73"/>
      <c r="D22071" s="50" t="str">
        <f>VLOOKUP(A22071,'Componentes APUs'!$A$1:$D$14,3,0)</f>
        <v>U</v>
      </c>
      <c r="E22071" s="50">
        <f>SUM(C22041:C22047)</f>
        <v>3.75</v>
      </c>
      <c r="F22071" s="51">
        <f>VLOOKUP(A22071,'Componentes APUs'!$A$1:$D$14,4,0)</f>
        <v>7575.757575757576</v>
      </c>
      <c r="G22071" s="51">
        <f>ROUNDUP(F22071*(E22071/21)/E22024,0)</f>
        <v>1353</v>
      </c>
    </row>
    <row r="22072" spans="1:7" x14ac:dyDescent="0.25">
      <c r="A22072" s="50" t="s">
        <v>87</v>
      </c>
      <c r="B22072" s="72" t="str">
        <f>VLOOKUP(A22072,'Componentes APUs'!$A$1:$D$14,2,0)</f>
        <v>Casco dielectrico Tipo 2 Clase E con barboquejo</v>
      </c>
      <c r="C22072" s="73"/>
      <c r="D22072" s="50" t="str">
        <f>VLOOKUP(A22072,'Componentes APUs'!$A$1:$D$14,3,0)</f>
        <v>U</v>
      </c>
      <c r="E22072" s="53">
        <f>IF(A22043="MO-3",C22043,0)</f>
        <v>0</v>
      </c>
      <c r="F22072" s="51">
        <f>VLOOKUP(A22072,'Componentes APUs'!$A$1:$D$14,4,0)</f>
        <v>7500</v>
      </c>
      <c r="G22072" s="51">
        <f>ROUNDUP(F22072*(E22072/21)/E22024,0)</f>
        <v>0</v>
      </c>
    </row>
    <row r="22073" spans="1:7" x14ac:dyDescent="0.25">
      <c r="A22073" s="69" t="s">
        <v>89</v>
      </c>
      <c r="B22073" s="72" t="str">
        <f>VLOOKUP(A22073,'Componentes APUs'!$A$1:$D$14,2,0)</f>
        <v>Kit de rescate para trabajo en alturas</v>
      </c>
      <c r="C22073" s="73"/>
      <c r="D22073" s="50" t="str">
        <f>VLOOKUP(A22073,'Componentes APUs'!$A$1:$D$14,3,0)</f>
        <v>U</v>
      </c>
      <c r="E22073" s="50">
        <f>IF(AND(A22043="MO-3",C22043=2),1,0)</f>
        <v>0</v>
      </c>
      <c r="F22073" s="51">
        <f>VLOOKUP(A22073,'Componentes APUs'!$A$1:$D$14,4,0)</f>
        <v>37500</v>
      </c>
      <c r="G22073" s="51">
        <f>ROUNDUP(F22073*(E22073/21)/E22024,0)</f>
        <v>0</v>
      </c>
    </row>
    <row r="22074" spans="1:7" x14ac:dyDescent="0.25">
      <c r="A22074" s="50" t="s">
        <v>91</v>
      </c>
      <c r="B22074" s="72" t="str">
        <f>VLOOKUP(A22074,'Componentes APUs'!$A$1:$D$14,2,0)</f>
        <v>Equipo completo para trabajo en alturas con pretales (Arnes dielectrico, 1 mosqueton de seguridad, tie off dielectrico, eslinga de posicionamiento, juego de pretales)</v>
      </c>
      <c r="C22074" s="73"/>
      <c r="D22074" s="50" t="str">
        <f>VLOOKUP(A22074,'Componentes APUs'!$A$1:$D$14,3,0)</f>
        <v>U</v>
      </c>
      <c r="E22074" s="50">
        <f>IF(A22043="MO-3",C22043,0)</f>
        <v>0</v>
      </c>
      <c r="F22074" s="51">
        <f>VLOOKUP(A22074,'Componentes APUs'!$A$1:$D$14,4,0)</f>
        <v>26041.666666666668</v>
      </c>
      <c r="G22074" s="51">
        <f>ROUNDUP(F22074*(E22074/21)/E22024,0)</f>
        <v>0</v>
      </c>
    </row>
    <row r="22075" spans="1:7" x14ac:dyDescent="0.25">
      <c r="A22075" s="219" t="s">
        <v>95</v>
      </c>
      <c r="B22075" s="219"/>
      <c r="C22075" s="219"/>
      <c r="D22075" s="219"/>
      <c r="E22075" s="219"/>
      <c r="F22075" s="219"/>
      <c r="G22075" s="52">
        <f>SUM(G22062:G22074)</f>
        <v>9208</v>
      </c>
    </row>
    <row r="22076" spans="1:7" x14ac:dyDescent="0.25">
      <c r="A22076" s="56"/>
      <c r="B22076" s="57"/>
      <c r="C22076" s="57"/>
      <c r="D22076" s="57"/>
      <c r="E22076" s="57"/>
      <c r="F22076" s="57"/>
      <c r="G22076" s="58"/>
    </row>
    <row r="22077" spans="1:7" x14ac:dyDescent="0.25">
      <c r="A22077" s="219" t="s">
        <v>96</v>
      </c>
      <c r="B22077" s="219"/>
      <c r="C22077" s="219"/>
      <c r="D22077" s="219"/>
      <c r="E22077" s="219"/>
      <c r="F22077" s="219"/>
      <c r="G22077" s="219"/>
    </row>
    <row r="22078" spans="1:7" x14ac:dyDescent="0.25">
      <c r="A22078" s="49" t="s">
        <v>35</v>
      </c>
      <c r="B22078" s="225" t="s">
        <v>36</v>
      </c>
      <c r="C22078" s="225"/>
      <c r="D22078" s="49" t="s">
        <v>37</v>
      </c>
      <c r="E22078" s="49" t="s">
        <v>38</v>
      </c>
      <c r="F22078" s="49" t="s">
        <v>39</v>
      </c>
      <c r="G22078" s="49" t="s">
        <v>40</v>
      </c>
    </row>
    <row r="22079" spans="1:7" x14ac:dyDescent="0.25">
      <c r="A22079" s="69" t="s">
        <v>97</v>
      </c>
      <c r="B22079" s="72" t="str">
        <f>VLOOKUP(A22079,'Componentes APUs'!$N$1:$Q$30,2,0)</f>
        <v>Camioneta</v>
      </c>
      <c r="C22079" s="73"/>
      <c r="D22079" s="70" t="str">
        <f>VLOOKUP(A22079,'Componentes APUs'!$N$1:$Q$30,3,0)</f>
        <v>U</v>
      </c>
      <c r="E22079" s="50">
        <v>1</v>
      </c>
      <c r="F22079" s="51">
        <f>VLOOKUP(A22079,'Componentes APUs'!$N$1:$Q$30,4,0)</f>
        <v>5500000</v>
      </c>
      <c r="G22079" s="51">
        <f>IFERROR(ROUNDUP(F22079*(E22079/21)/E22024,0),0)</f>
        <v>261905</v>
      </c>
    </row>
    <row r="22080" spans="1:7" x14ac:dyDescent="0.25">
      <c r="A22080" s="50" t="s">
        <v>321</v>
      </c>
      <c r="B22080" s="72" t="str">
        <f>VLOOKUP(A22080,'Componentes APUs'!$N$1:$Q$30,2,0)</f>
        <v>Grúa Hidráulica</v>
      </c>
      <c r="C22080" s="73"/>
      <c r="D22080" s="70" t="str">
        <f>VLOOKUP(A22080,'Componentes APUs'!$N$1:$Q$30,3,0)</f>
        <v>U</v>
      </c>
      <c r="E22080" s="50">
        <v>0</v>
      </c>
      <c r="F22080" s="51">
        <f>VLOOKUP(A22080,'Componentes APUs'!$N$1:$Q$30,4,0)</f>
        <v>21000000</v>
      </c>
      <c r="G22080" s="51">
        <f>IFERROR(ROUNDUP(F22080*(E22080/21)/E22024,0),0)</f>
        <v>0</v>
      </c>
    </row>
    <row r="22081" spans="1:7" x14ac:dyDescent="0.25">
      <c r="A22081" s="69" t="s">
        <v>322</v>
      </c>
      <c r="B22081" s="72" t="str">
        <f>VLOOKUP(A22081,'Componentes APUs'!$N$1:$Q$30,2,0)</f>
        <v>Camabaja</v>
      </c>
      <c r="C22081" s="73"/>
      <c r="D22081" s="70" t="str">
        <f>VLOOKUP(A22081,'Componentes APUs'!$N$1:$Q$30,3,0)</f>
        <v>TON/KM</v>
      </c>
      <c r="E22081" s="50">
        <v>0</v>
      </c>
      <c r="F22081" s="51">
        <f>VLOOKUP(A22081,'Componentes APUs'!$N$1:$Q$30,4,0)</f>
        <v>611</v>
      </c>
      <c r="G22081" s="51">
        <f>IFERROR(ROUNDUP(F22081*(E22081/21)/E22024,0),0)</f>
        <v>0</v>
      </c>
    </row>
    <row r="22082" spans="1:7" x14ac:dyDescent="0.25">
      <c r="A22082" s="219" t="s">
        <v>99</v>
      </c>
      <c r="B22082" s="219"/>
      <c r="C22082" s="219"/>
      <c r="D22082" s="219"/>
      <c r="E22082" s="219"/>
      <c r="F22082" s="219"/>
      <c r="G22082" s="52">
        <f>SUM(G22079:G22081)</f>
        <v>261905</v>
      </c>
    </row>
    <row r="22083" spans="1:7" x14ac:dyDescent="0.25">
      <c r="A22083" s="56"/>
      <c r="B22083" s="57"/>
      <c r="C22083" s="57"/>
      <c r="D22083" s="57"/>
      <c r="E22083" s="57"/>
      <c r="F22083" s="57"/>
      <c r="G22083" s="58"/>
    </row>
    <row r="22084" spans="1:7" x14ac:dyDescent="0.25">
      <c r="A22084" s="219" t="s">
        <v>1516</v>
      </c>
      <c r="B22084" s="219"/>
      <c r="C22084" s="219"/>
      <c r="D22084" s="219"/>
      <c r="E22084" s="219"/>
      <c r="F22084" s="219"/>
      <c r="G22084" s="52">
        <f>G22082+G22075+G22058+G22048+G22037</f>
        <v>16956491</v>
      </c>
    </row>
    <row r="22085" spans="1:7" x14ac:dyDescent="0.25">
      <c r="A22085" s="59"/>
      <c r="B22085" s="60"/>
      <c r="C22085" s="60"/>
      <c r="D22085" s="60"/>
      <c r="E22085" s="57"/>
      <c r="F22085" s="57"/>
      <c r="G22085" s="58"/>
    </row>
    <row r="22086" spans="1:7" x14ac:dyDescent="0.25">
      <c r="A22086" s="64"/>
      <c r="D22086" s="55"/>
      <c r="E22086" s="49" t="s">
        <v>25</v>
      </c>
      <c r="F22086" s="54">
        <v>0.15</v>
      </c>
      <c r="G22086" s="51">
        <f>G22084*F22086</f>
        <v>2543473.65</v>
      </c>
    </row>
    <row r="22087" spans="1:7" x14ac:dyDescent="0.25">
      <c r="A22087" s="64"/>
      <c r="D22087" s="55"/>
      <c r="E22087" s="49" t="s">
        <v>26</v>
      </c>
      <c r="F22087" s="54">
        <v>0.05</v>
      </c>
      <c r="G22087" s="51">
        <f>G22084*F22087</f>
        <v>847824.55</v>
      </c>
    </row>
    <row r="22088" spans="1:7" x14ac:dyDescent="0.25">
      <c r="A22088" s="61"/>
      <c r="B22088" s="65"/>
      <c r="C22088" s="65"/>
      <c r="D22088" s="62"/>
      <c r="E22088" s="49" t="s">
        <v>27</v>
      </c>
      <c r="F22088" s="54">
        <v>0.05</v>
      </c>
      <c r="G22088" s="51">
        <f>G22084*F22088</f>
        <v>847824.55</v>
      </c>
    </row>
    <row r="22089" spans="1:7" x14ac:dyDescent="0.25">
      <c r="A22089" s="61"/>
      <c r="B22089" s="62"/>
      <c r="C22089" s="62"/>
      <c r="D22089" s="62"/>
      <c r="E22089" s="62"/>
      <c r="F22089" s="62"/>
      <c r="G22089" s="63"/>
    </row>
    <row r="22090" spans="1:7" x14ac:dyDescent="0.25">
      <c r="A22090" s="219" t="s">
        <v>1517</v>
      </c>
      <c r="B22090" s="219"/>
      <c r="C22090" s="219"/>
      <c r="D22090" s="219"/>
      <c r="E22090" s="219"/>
      <c r="F22090" s="219"/>
      <c r="G22090" s="52">
        <f>G22084+G22086+G22087+G22088</f>
        <v>21195613.75</v>
      </c>
    </row>
    <row r="22091" spans="1:7" x14ac:dyDescent="0.25">
      <c r="A22091" s="59"/>
      <c r="B22091" s="60"/>
      <c r="C22091" s="60"/>
      <c r="D22091" s="60"/>
      <c r="E22091" s="57"/>
      <c r="F22091" s="57"/>
      <c r="G22091" s="58"/>
    </row>
    <row r="22092" spans="1:7" x14ac:dyDescent="0.25">
      <c r="A22092" s="64"/>
      <c r="D22092" s="55"/>
      <c r="E22092" s="49" t="s">
        <v>102</v>
      </c>
      <c r="F22092" s="49" t="s">
        <v>103</v>
      </c>
      <c r="G22092" s="51">
        <f>G22088*19%</f>
        <v>161086.66450000001</v>
      </c>
    </row>
    <row r="22093" spans="1:7" x14ac:dyDescent="0.25">
      <c r="A22093" s="61"/>
      <c r="B22093" s="62"/>
      <c r="C22093" s="62"/>
      <c r="D22093" s="62"/>
      <c r="E22093" s="57"/>
      <c r="F22093" s="57"/>
      <c r="G22093" s="58"/>
    </row>
    <row r="22094" spans="1:7" x14ac:dyDescent="0.25">
      <c r="A22094" s="219" t="s">
        <v>104</v>
      </c>
      <c r="B22094" s="219"/>
      <c r="C22094" s="219"/>
      <c r="D22094" s="219"/>
      <c r="E22094" s="219"/>
      <c r="F22094" s="219"/>
      <c r="G22094" s="52">
        <f>G22092+G22090</f>
        <v>21356700.414500002</v>
      </c>
    </row>
    <row r="22096" spans="1:7" x14ac:dyDescent="0.25">
      <c r="A22096" s="74" t="s">
        <v>29</v>
      </c>
      <c r="B22096" s="237" t="s">
        <v>30</v>
      </c>
      <c r="C22096" s="238"/>
      <c r="D22096" s="74" t="s">
        <v>31</v>
      </c>
      <c r="E22096" s="74" t="s">
        <v>32</v>
      </c>
      <c r="F22096" s="74" t="s">
        <v>189</v>
      </c>
      <c r="G22096" s="74" t="s">
        <v>33</v>
      </c>
    </row>
    <row r="22097" spans="1:7" ht="38.25" customHeight="1" x14ac:dyDescent="0.25">
      <c r="A22097" s="50" t="str">
        <f>Presupuesto!B422</f>
        <v>082_AUX</v>
      </c>
      <c r="B22097" s="220" t="str">
        <f>Presupuesto!C422</f>
        <v>SUMINISTRO E INSTALACIÓN DE CABLE 2x8AWG Cu- TC-THHN - 600 V PARA TABLEROS. INCLUYE TERMINALES. (RECTIFICADOR - BANCO DE BATERIAS) (+NK01) - (+B01)/ (BATERIAS - DISTRIBUCIÓN DC) (+B01)-(+NK02)</v>
      </c>
      <c r="C22097" s="239"/>
      <c r="D22097" s="50" t="s">
        <v>108</v>
      </c>
      <c r="E22097" s="50">
        <v>60</v>
      </c>
      <c r="F22097" s="50"/>
      <c r="G22097" s="51">
        <f>G22163</f>
        <v>44675.724500000004</v>
      </c>
    </row>
    <row r="22098" spans="1:7" x14ac:dyDescent="0.25">
      <c r="A22098" s="219" t="s">
        <v>34</v>
      </c>
      <c r="B22098" s="219"/>
      <c r="C22098" s="219"/>
      <c r="D22098" s="219"/>
      <c r="E22098" s="219"/>
      <c r="F22098" s="219"/>
      <c r="G22098" s="219"/>
    </row>
    <row r="22099" spans="1:7" x14ac:dyDescent="0.25">
      <c r="A22099" s="49" t="s">
        <v>35</v>
      </c>
      <c r="B22099" s="234" t="s">
        <v>36</v>
      </c>
      <c r="C22099" s="235"/>
      <c r="D22099" s="49" t="s">
        <v>37</v>
      </c>
      <c r="E22099" s="49" t="s">
        <v>38</v>
      </c>
      <c r="F22099" s="49" t="s">
        <v>39</v>
      </c>
      <c r="G22099" s="49" t="s">
        <v>40</v>
      </c>
    </row>
    <row r="22100" spans="1:7" x14ac:dyDescent="0.25">
      <c r="A22100" s="17" t="str">
        <f>Material!A275</f>
        <v>MA-274</v>
      </c>
      <c r="B22100" s="72" t="str">
        <f>IFERROR(VLOOKUP(A22100,Material!$A:$H,2,0),"-")</f>
        <v>CABLE AISLADO NO 8 AWG COBRE THHN</v>
      </c>
      <c r="C22100" s="76"/>
      <c r="D22100" s="50" t="str">
        <f>IFERROR(VLOOKUP(A22100,Material!$A:$H,4,0),"-")</f>
        <v>ML</v>
      </c>
      <c r="E22100" s="50">
        <v>2</v>
      </c>
      <c r="F22100" s="51">
        <f>IFERROR(VLOOKUP(A22100,Material!$A:$H,3,0),"-")</f>
        <v>8645</v>
      </c>
      <c r="G22100" s="51">
        <f>IFERROR(ROUNDUP(F22100*E22100,0),"-")</f>
        <v>17290</v>
      </c>
    </row>
    <row r="22101" spans="1:7" x14ac:dyDescent="0.25">
      <c r="A22101" s="17" t="str">
        <f>Material!A263</f>
        <v>MA-262</v>
      </c>
      <c r="B22101" s="72" t="str">
        <f>IFERROR(VLOOKUP(A22101,Material!$A:$H,2,0),"-")</f>
        <v>CONECTOR TERMINAL CU PARA CABLE 8 AWG</v>
      </c>
      <c r="C22101" s="76"/>
      <c r="D22101" s="50" t="str">
        <f>IFERROR(VLOOKUP(A22101,Material!$A:$H,4,0),"-")</f>
        <v>UN</v>
      </c>
      <c r="E22101" s="107">
        <f>4/15</f>
        <v>0.26666666666666666</v>
      </c>
      <c r="F22101" s="51">
        <f>IFERROR(VLOOKUP(A22101,Material!$A:$H,3,0),"-")</f>
        <v>1235</v>
      </c>
      <c r="G22101" s="51">
        <f>IFERROR(ROUNDUP(F22101*E22101,0),"-")</f>
        <v>330</v>
      </c>
    </row>
    <row r="22102" spans="1:7" x14ac:dyDescent="0.25">
      <c r="A22102" s="17" t="str">
        <f>Material!A276</f>
        <v>MA-275</v>
      </c>
      <c r="B22102" s="72" t="str">
        <f>IFERROR(VLOOKUP(A22102,Material!$A:$H,2,0),"-")</f>
        <v>AMARRA PLASTICA</v>
      </c>
      <c r="C22102" s="76"/>
      <c r="D22102" s="50" t="str">
        <f>IFERROR(VLOOKUP(A22102,Material!$A:$H,4,0),"-")</f>
        <v>UN</v>
      </c>
      <c r="E22102" s="50">
        <v>5</v>
      </c>
      <c r="F22102" s="51">
        <f>IFERROR(VLOOKUP(A22102,Material!$A:$H,3,0),"-")</f>
        <v>167.70000000000002</v>
      </c>
      <c r="G22102" s="51">
        <f>IFERROR(ROUNDUP(F22102*E22102,0),"-")</f>
        <v>839</v>
      </c>
    </row>
    <row r="22103" spans="1:7" x14ac:dyDescent="0.25">
      <c r="A22103" s="17" t="str">
        <f>Material!A235</f>
        <v>MA-234</v>
      </c>
      <c r="B22103" s="72" t="str">
        <f>IFERROR(VLOOKUP(A22103,Material!$A:$H,2,0),"-")</f>
        <v>CINTA AISLANTE 23</v>
      </c>
      <c r="C22103" s="76"/>
      <c r="D22103" s="50" t="str">
        <f>IFERROR(VLOOKUP(A22103,Material!$A:$H,4,0),"-")</f>
        <v>ML</v>
      </c>
      <c r="E22103" s="50">
        <v>0.04</v>
      </c>
      <c r="F22103" s="51">
        <f>IFERROR(VLOOKUP(A22103,Material!$A:$H,3,0),"-")</f>
        <v>29683.333333333332</v>
      </c>
      <c r="G22103" s="51">
        <f>IFERROR(ROUNDUP(F22103*E22103,0),"-")</f>
        <v>1188</v>
      </c>
    </row>
    <row r="22104" spans="1:7" x14ac:dyDescent="0.25">
      <c r="A22104" s="17" t="str">
        <f>Material!A236</f>
        <v>MA-235</v>
      </c>
      <c r="B22104" s="72" t="str">
        <f>IFERROR(VLOOKUP(A22104,Material!$A:$H,2,0),"-")</f>
        <v>CINTA AISLANTE 33</v>
      </c>
      <c r="C22104" s="76"/>
      <c r="D22104" s="50" t="str">
        <f>IFERROR(VLOOKUP(A22104,Material!$A:$H,4,0),"-")</f>
        <v>ML</v>
      </c>
      <c r="E22104" s="50">
        <v>0.04</v>
      </c>
      <c r="F22104" s="51">
        <f>IFERROR(VLOOKUP(A22104,Material!$A:$H,3,0),"-")</f>
        <v>1826.5</v>
      </c>
      <c r="G22104" s="51">
        <f>IFERROR(ROUNDUP(F22104*E22104,0),"-")</f>
        <v>74</v>
      </c>
    </row>
    <row r="22105" spans="1:7" x14ac:dyDescent="0.25">
      <c r="A22105" s="234" t="s">
        <v>41</v>
      </c>
      <c r="B22105" s="236"/>
      <c r="C22105" s="236"/>
      <c r="D22105" s="236"/>
      <c r="E22105" s="236"/>
      <c r="F22105" s="235"/>
      <c r="G22105" s="52">
        <f>SUM(G22100:G22104)</f>
        <v>19721</v>
      </c>
    </row>
    <row r="22106" spans="1:7" x14ac:dyDescent="0.25">
      <c r="A22106" s="56"/>
      <c r="B22106" s="57"/>
      <c r="C22106" s="57"/>
      <c r="D22106" s="57"/>
      <c r="E22106" s="57"/>
      <c r="F22106" s="57"/>
      <c r="G22106" s="58"/>
    </row>
    <row r="22107" spans="1:7" x14ac:dyDescent="0.25">
      <c r="A22107" s="219" t="s">
        <v>42</v>
      </c>
      <c r="B22107" s="219"/>
      <c r="C22107" s="219"/>
      <c r="D22107" s="219"/>
      <c r="E22107" s="219"/>
      <c r="F22107" s="219"/>
      <c r="G22107" s="219"/>
    </row>
    <row r="22108" spans="1:7" x14ac:dyDescent="0.25">
      <c r="A22108" s="49" t="s">
        <v>35</v>
      </c>
      <c r="B22108" s="49" t="s">
        <v>36</v>
      </c>
      <c r="C22108" s="49" t="s">
        <v>38</v>
      </c>
      <c r="D22108" s="49" t="s">
        <v>43</v>
      </c>
      <c r="E22108" s="49" t="s">
        <v>44</v>
      </c>
      <c r="F22108" s="49" t="s">
        <v>45</v>
      </c>
      <c r="G22108" s="49" t="s">
        <v>40</v>
      </c>
    </row>
    <row r="22109" spans="1:7" x14ac:dyDescent="0.25">
      <c r="A22109" s="50" t="s">
        <v>319</v>
      </c>
      <c r="B22109" s="68" t="str">
        <f>VLOOKUP(A22109,'Componentes APUs'!$H$1:$L$25,2,0)</f>
        <v>Ingeniero Residente de Obra</v>
      </c>
      <c r="C22109" s="93">
        <v>0.25</v>
      </c>
      <c r="D22109" s="50">
        <f>VLOOKUP(A22109,'Componentes APUs'!$H$1:$L$25,3,0)</f>
        <v>4</v>
      </c>
      <c r="E22109" s="51">
        <f>VLOOKUP(A22109,'Componentes APUs'!$H$1:$L$25,4,0)</f>
        <v>271142.85714285716</v>
      </c>
      <c r="F22109" s="51">
        <f>VLOOKUP(A22109,'Componentes APUs'!$H$1:$L$25,5,0)</f>
        <v>162685.71428571429</v>
      </c>
      <c r="G22109" s="51">
        <f>ROUNDUP((E22109+F22109)*C22109/E22097,0)</f>
        <v>1808</v>
      </c>
    </row>
    <row r="22110" spans="1:7" x14ac:dyDescent="0.25">
      <c r="A22110" s="50" t="s">
        <v>320</v>
      </c>
      <c r="B22110" s="68" t="str">
        <f>VLOOKUP(A22110,'Componentes APUs'!$H$1:$L$25,2,0)</f>
        <v>Tecnico Supervisor</v>
      </c>
      <c r="C22110" s="93">
        <v>0.25</v>
      </c>
      <c r="D22110" s="50">
        <f>VLOOKUP(A22110,'Componentes APUs'!$H$1:$L$25,3,0)</f>
        <v>2.2999999999999998</v>
      </c>
      <c r="E22110" s="51">
        <f>VLOOKUP(A22110,'Componentes APUs'!$H$1:$L$25,4,0)</f>
        <v>155907.14285714284</v>
      </c>
      <c r="F22110" s="51">
        <f>VLOOKUP(A22110,'Componentes APUs'!$H$1:$L$25,5,0)</f>
        <v>93544.285714285696</v>
      </c>
      <c r="G22110" s="51">
        <f>ROUNDUP((E22110+F22110)*C22110/E22097,0)</f>
        <v>1040</v>
      </c>
    </row>
    <row r="22111" spans="1:7" x14ac:dyDescent="0.25">
      <c r="A22111" s="50" t="s">
        <v>1160</v>
      </c>
      <c r="B22111" s="68" t="str">
        <f>VLOOKUP(A22111,'Componentes APUs'!$H$1:$L$25,2,0)</f>
        <v>Oficial Eléctrico</v>
      </c>
      <c r="C22111" s="93">
        <v>1</v>
      </c>
      <c r="D22111" s="50">
        <f>VLOOKUP(A22111,'Componentes APUs'!$H$1:$L$25,3,0)</f>
        <v>2</v>
      </c>
      <c r="E22111" s="51">
        <f>VLOOKUP(A22111,'Componentes APUs'!$H$1:$L$25,4,0)</f>
        <v>154619.04761904763</v>
      </c>
      <c r="F22111" s="51">
        <f>VLOOKUP(A22111,'Componentes APUs'!$H$1:$L$25,5,0)</f>
        <v>92771.42857142858</v>
      </c>
      <c r="G22111" s="51">
        <f>ROUNDUP((E22111+F22111)*C22111/E22097,0)</f>
        <v>4124</v>
      </c>
    </row>
    <row r="22112" spans="1:7" x14ac:dyDescent="0.25">
      <c r="A22112" s="50" t="s">
        <v>48</v>
      </c>
      <c r="B22112" s="68" t="str">
        <f>VLOOKUP(A22112,'Componentes APUs'!$H$1:$L$25,2,0)</f>
        <v>Ayudante Calificado</v>
      </c>
      <c r="C22112" s="93">
        <v>1</v>
      </c>
      <c r="D22112" s="50">
        <f>VLOOKUP(A22112,'Componentes APUs'!$H$1:$L$25,3,0)</f>
        <v>1.5</v>
      </c>
      <c r="E22112" s="51">
        <f>VLOOKUP(A22112,'Componentes APUs'!$H$1:$L$25,4,0)</f>
        <v>115964.28571428571</v>
      </c>
      <c r="F22112" s="51">
        <f>VLOOKUP(A22112,'Componentes APUs'!$H$1:$L$25,5,0)</f>
        <v>69578.57142857142</v>
      </c>
      <c r="G22112" s="51">
        <f>ROUNDUP((E22112+F22112)*C22112/E22097,0)</f>
        <v>3093</v>
      </c>
    </row>
    <row r="22113" spans="1:7" x14ac:dyDescent="0.25">
      <c r="A22113" s="50" t="s">
        <v>50</v>
      </c>
      <c r="B22113" s="68" t="str">
        <f>VLOOKUP(A22113,'Componentes APUs'!$H$1:$L$25,2,0)</f>
        <v>Profesional en SST</v>
      </c>
      <c r="C22113" s="93">
        <v>0.25</v>
      </c>
      <c r="D22113" s="50">
        <f>VLOOKUP(A22113,'Componentes APUs'!$H$1:$L$25,3,0)</f>
        <v>2.5</v>
      </c>
      <c r="E22113" s="51">
        <f>VLOOKUP(A22113,'Componentes APUs'!$H$1:$L$25,4,0)</f>
        <v>169464.28571428571</v>
      </c>
      <c r="F22113" s="51">
        <f>VLOOKUP(A22113,'Componentes APUs'!$H$1:$L$25,5,0)</f>
        <v>101678.57142857142</v>
      </c>
      <c r="G22113" s="51">
        <f>ROUNDUP((E22113+F22113)*C22113/E22097,0)</f>
        <v>1130</v>
      </c>
    </row>
    <row r="22114" spans="1:7" x14ac:dyDescent="0.25">
      <c r="A22114" s="50" t="s">
        <v>52</v>
      </c>
      <c r="B22114" s="68" t="str">
        <f>VLOOKUP(A22114,'Componentes APUs'!$H$1:$L$25,2,0)</f>
        <v>Ayudante No Calificado</v>
      </c>
      <c r="C22114" s="93">
        <v>0</v>
      </c>
      <c r="D22114" s="50">
        <f>VLOOKUP(A22114,'Componentes APUs'!$H$1:$L$25,3,0)</f>
        <v>1</v>
      </c>
      <c r="E22114" s="51">
        <f>VLOOKUP(A22114,'Componentes APUs'!$H$1:$L$25,4,0)</f>
        <v>77309.523809523816</v>
      </c>
      <c r="F22114" s="51">
        <f>VLOOKUP(A22114,'Componentes APUs'!$H$1:$L$25,5,0)</f>
        <v>46385.71428571429</v>
      </c>
      <c r="G22114" s="51">
        <f>ROUNDUP((E22114+F22114)*C22114/E22097,0)</f>
        <v>0</v>
      </c>
    </row>
    <row r="22115" spans="1:7" x14ac:dyDescent="0.25">
      <c r="A22115" s="219" t="s">
        <v>56</v>
      </c>
      <c r="B22115" s="219"/>
      <c r="C22115" s="219"/>
      <c r="D22115" s="219"/>
      <c r="E22115" s="219"/>
      <c r="F22115" s="219"/>
      <c r="G22115" s="52">
        <f>SUM(G22109:G22114)</f>
        <v>11195</v>
      </c>
    </row>
    <row r="22116" spans="1:7" x14ac:dyDescent="0.25">
      <c r="A22116" s="56"/>
      <c r="B22116" s="57"/>
      <c r="C22116" s="57"/>
      <c r="D22116" s="57"/>
      <c r="E22116" s="57"/>
      <c r="F22116" s="57"/>
      <c r="G22116" s="58"/>
    </row>
    <row r="22117" spans="1:7" x14ac:dyDescent="0.25">
      <c r="A22117" s="219" t="s">
        <v>57</v>
      </c>
      <c r="B22117" s="219"/>
      <c r="C22117" s="219"/>
      <c r="D22117" s="219"/>
      <c r="E22117" s="219"/>
      <c r="F22117" s="219"/>
      <c r="G22117" s="219"/>
    </row>
    <row r="22118" spans="1:7" x14ac:dyDescent="0.25">
      <c r="A22118" s="49" t="s">
        <v>35</v>
      </c>
      <c r="B22118" s="219" t="s">
        <v>36</v>
      </c>
      <c r="C22118" s="219"/>
      <c r="D22118" s="49" t="s">
        <v>37</v>
      </c>
      <c r="E22118" s="49" t="s">
        <v>38</v>
      </c>
      <c r="F22118" s="49" t="s">
        <v>39</v>
      </c>
      <c r="G22118" s="49" t="s">
        <v>40</v>
      </c>
    </row>
    <row r="22119" spans="1:7" x14ac:dyDescent="0.25">
      <c r="A22119" s="50" t="s">
        <v>326</v>
      </c>
      <c r="B22119" s="220" t="str">
        <f>VLOOKUP(A22119,'Componentes APUs'!$S$1:$V$10,2,0)</f>
        <v>Juego Llaves</v>
      </c>
      <c r="C22119" s="220"/>
      <c r="D22119" s="50" t="s">
        <v>18</v>
      </c>
      <c r="E22119" s="50">
        <v>1</v>
      </c>
      <c r="F22119" s="51">
        <f>VLOOKUP(A22119,'Componentes APUs'!$S$1:$V$10,4,0)</f>
        <v>9167</v>
      </c>
      <c r="G22119" s="51">
        <f>ROUNDUP(F22119*((E22119/21)/E22097),0)</f>
        <v>8</v>
      </c>
    </row>
    <row r="22120" spans="1:7" x14ac:dyDescent="0.25">
      <c r="A22120" s="50" t="s">
        <v>58</v>
      </c>
      <c r="B22120" s="220" t="str">
        <f>VLOOKUP(A22120,'Componentes APUs'!$S$1:$V$10,2,0)</f>
        <v>Manila de servicio</v>
      </c>
      <c r="C22120" s="220"/>
      <c r="D22120" s="50" t="s">
        <v>18</v>
      </c>
      <c r="E22120" s="50">
        <v>0</v>
      </c>
      <c r="F22120" s="51">
        <f>VLOOKUP(A22120,'Componentes APUs'!$S$1:$V$10,4,0)</f>
        <v>2333</v>
      </c>
      <c r="G22120" s="51">
        <f>ROUNDUP(F22120*((E22120/21)/E22097),0)</f>
        <v>0</v>
      </c>
    </row>
    <row r="22121" spans="1:7" x14ac:dyDescent="0.25">
      <c r="A22121" s="50" t="s">
        <v>327</v>
      </c>
      <c r="B22121" s="220" t="str">
        <f>VLOOKUP(A22121,'Componentes APUs'!$S$1:$V$10,2,0)</f>
        <v>Tula portaherramientas</v>
      </c>
      <c r="C22121" s="220"/>
      <c r="D22121" s="50" t="s">
        <v>18</v>
      </c>
      <c r="E22121" s="50">
        <v>1</v>
      </c>
      <c r="F22121" s="51">
        <f>VLOOKUP(A22121,'Componentes APUs'!$S$1:$V$10,4,0)</f>
        <v>1250</v>
      </c>
      <c r="G22121" s="51">
        <f>ROUNDUP(F22121*((E22121/21)/E22097),0)</f>
        <v>1</v>
      </c>
    </row>
    <row r="22122" spans="1:7" x14ac:dyDescent="0.25">
      <c r="A22122" s="50" t="s">
        <v>60</v>
      </c>
      <c r="B22122" s="220" t="str">
        <f>VLOOKUP(A22122,'Componentes APUs'!$S$1:$V$10,2,0)</f>
        <v>Agarradoras</v>
      </c>
      <c r="C22122" s="220"/>
      <c r="D22122" s="50" t="s">
        <v>18</v>
      </c>
      <c r="E22122" s="50">
        <v>0</v>
      </c>
      <c r="F22122" s="51">
        <f>VLOOKUP(A22122,'Componentes APUs'!$S$1:$V$10,4,0)</f>
        <v>125000</v>
      </c>
      <c r="G22122" s="51">
        <f>ROUNDUP(F22122*((E22122/21)/E22097),0)</f>
        <v>0</v>
      </c>
    </row>
    <row r="22123" spans="1:7" x14ac:dyDescent="0.25">
      <c r="A22123" s="50" t="s">
        <v>62</v>
      </c>
      <c r="B22123" s="220" t="str">
        <f>VLOOKUP(A22123,'Componentes APUs'!$S$1:$V$10,2,0)</f>
        <v>Templadoras</v>
      </c>
      <c r="C22123" s="220"/>
      <c r="D22123" s="50" t="s">
        <v>18</v>
      </c>
      <c r="E22123" s="50">
        <v>0</v>
      </c>
      <c r="F22123" s="51">
        <f>VLOOKUP(A22123,'Componentes APUs'!$S$1:$V$10,4,0)</f>
        <v>250000</v>
      </c>
      <c r="G22123" s="51">
        <f>ROUNDUP(F22123*((E22123/21)/E22097),0)</f>
        <v>0</v>
      </c>
    </row>
    <row r="22124" spans="1:7" x14ac:dyDescent="0.25">
      <c r="A22124" s="50" t="s">
        <v>328</v>
      </c>
      <c r="B22124" s="220" t="str">
        <f>VLOOKUP(A22124,'Componentes APUs'!$S$1:$V$10,2,0)</f>
        <v>Herramienta Menor</v>
      </c>
      <c r="C22124" s="220"/>
      <c r="D22124" s="50" t="s">
        <v>18</v>
      </c>
      <c r="E22124" s="50">
        <v>1</v>
      </c>
      <c r="F22124" s="51">
        <f>VLOOKUP(A22124,'Componentes APUs'!$S$1:$V$10,4,0)</f>
        <v>75758</v>
      </c>
      <c r="G22124" s="51">
        <f>ROUNDUP(F22124*((E22124/21)/E22097),0)</f>
        <v>61</v>
      </c>
    </row>
    <row r="22125" spans="1:7" x14ac:dyDescent="0.25">
      <c r="A22125" s="219" t="s">
        <v>69</v>
      </c>
      <c r="B22125" s="219"/>
      <c r="C22125" s="219"/>
      <c r="D22125" s="219"/>
      <c r="E22125" s="219"/>
      <c r="F22125" s="219"/>
      <c r="G22125" s="52">
        <f>SUM(G22119:G22124)</f>
        <v>70</v>
      </c>
    </row>
    <row r="22126" spans="1:7" x14ac:dyDescent="0.25">
      <c r="A22126" s="56"/>
      <c r="B22126" s="57"/>
      <c r="C22126" s="57"/>
      <c r="D22126" s="57"/>
      <c r="E22126" s="57"/>
      <c r="F22126" s="57"/>
      <c r="G22126" s="58"/>
    </row>
    <row r="22127" spans="1:7" x14ac:dyDescent="0.25">
      <c r="A22127" s="219" t="s">
        <v>70</v>
      </c>
      <c r="B22127" s="219"/>
      <c r="C22127" s="219"/>
      <c r="D22127" s="219"/>
      <c r="E22127" s="219"/>
      <c r="F22127" s="219"/>
      <c r="G22127" s="219"/>
    </row>
    <row r="22128" spans="1:7" x14ac:dyDescent="0.25">
      <c r="A22128" s="49" t="s">
        <v>35</v>
      </c>
      <c r="B22128" s="219" t="s">
        <v>36</v>
      </c>
      <c r="C22128" s="219"/>
      <c r="D22128" s="49" t="s">
        <v>37</v>
      </c>
      <c r="E22128" s="49" t="s">
        <v>38</v>
      </c>
      <c r="F22128" s="49" t="s">
        <v>39</v>
      </c>
      <c r="G22128" s="49" t="s">
        <v>40</v>
      </c>
    </row>
    <row r="22129" spans="1:7" x14ac:dyDescent="0.25">
      <c r="A22129" s="50" t="s">
        <v>71</v>
      </c>
      <c r="B22129" s="71" t="str">
        <f>VLOOKUP(A22129,'Componentes APUs'!$A$1:$D$14,2,0)</f>
        <v>Camisa indigo sin partes metalicas</v>
      </c>
      <c r="C22129" s="71"/>
      <c r="D22129" s="50" t="str">
        <f>VLOOKUP(A22129,'Componentes APUs'!$A$1:$D$14,3,0)</f>
        <v>U</v>
      </c>
      <c r="E22129" s="50">
        <f>SUM(C22109:C22114)</f>
        <v>2.75</v>
      </c>
      <c r="F22129" s="51">
        <f>VLOOKUP(A22129,'Componentes APUs'!$A$1:$D$14,4,0)</f>
        <v>8585.8585858585866</v>
      </c>
      <c r="G22129" s="51">
        <f>ROUNDUP(F22129*(E22129/21)/E22097,0)</f>
        <v>19</v>
      </c>
    </row>
    <row r="22130" spans="1:7" x14ac:dyDescent="0.25">
      <c r="A22130" s="69" t="s">
        <v>73</v>
      </c>
      <c r="B22130" s="72" t="str">
        <f>VLOOKUP(A22130,'Componentes APUs'!$A$1:$D$14,2,0)</f>
        <v>Bota de seguridad dielectrica</v>
      </c>
      <c r="C22130" s="73"/>
      <c r="D22130" s="70" t="str">
        <f>VLOOKUP(A22130,'Componentes APUs'!$A$1:$D$14,3,0)</f>
        <v>Par</v>
      </c>
      <c r="E22130" s="50">
        <f>SUM(C22109:C22114)</f>
        <v>2.75</v>
      </c>
      <c r="F22130" s="51">
        <f>VLOOKUP(A22130,'Componentes APUs'!$A$1:$D$14,4,0)</f>
        <v>7500</v>
      </c>
      <c r="G22130" s="51">
        <f>ROUNDUP(F22130*(E22130/21)/E22097,0)</f>
        <v>17</v>
      </c>
    </row>
    <row r="22131" spans="1:7" x14ac:dyDescent="0.25">
      <c r="A22131" s="50" t="s">
        <v>76</v>
      </c>
      <c r="B22131" s="72" t="str">
        <f>VLOOKUP(A22131,'Componentes APUs'!$A$1:$D$14,2,0)</f>
        <v>Casco dielectrico Tipo 1 Clase E con barbuquejo</v>
      </c>
      <c r="C22131" s="73"/>
      <c r="D22131" s="50" t="str">
        <f>VLOOKUP(A22131,'Componentes APUs'!$A$1:$D$14,3,0)</f>
        <v>U</v>
      </c>
      <c r="E22131" s="50">
        <f>C22114+C22109+C22112+C22113+C22110+IF(A22111&lt;&gt;"MO-3",C22111,0)</f>
        <v>2.75</v>
      </c>
      <c r="F22131" s="51">
        <f>VLOOKUP(A22131,'Componentes APUs'!$A$1:$D$14,4,0)</f>
        <v>10101.010101010101</v>
      </c>
      <c r="G22131" s="51">
        <f>ROUNDUP(F22131*(E22131/21)/E22097,0)</f>
        <v>23</v>
      </c>
    </row>
    <row r="22132" spans="1:7" x14ac:dyDescent="0.25">
      <c r="A22132" s="69" t="s">
        <v>77</v>
      </c>
      <c r="B22132" s="72" t="str">
        <f>VLOOKUP(A22132,'Componentes APUs'!$A$1:$D$14,2,0)</f>
        <v>Correa plastica y antiflama</v>
      </c>
      <c r="C22132" s="73"/>
      <c r="D22132" s="50" t="str">
        <f>VLOOKUP(A22132,'Componentes APUs'!$A$1:$D$14,3,0)</f>
        <v>U</v>
      </c>
      <c r="E22132" s="50">
        <f>SUM(C22109:C22114)</f>
        <v>2.75</v>
      </c>
      <c r="F22132" s="51">
        <f>VLOOKUP(A22132,'Componentes APUs'!$A$1:$D$14,4,0)</f>
        <v>3787.878787878788</v>
      </c>
      <c r="G22132" s="51">
        <f>ROUNDUP(F22132*(E22132/21)/E22097,0)</f>
        <v>9</v>
      </c>
    </row>
    <row r="22133" spans="1:7" x14ac:dyDescent="0.25">
      <c r="A22133" s="50" t="s">
        <v>79</v>
      </c>
      <c r="B22133" s="72" t="str">
        <f>VLOOKUP(A22133,'Componentes APUs'!$A$1:$D$14,2,0)</f>
        <v>Gafas protectoras filtro UV</v>
      </c>
      <c r="C22133" s="73"/>
      <c r="D22133" s="50" t="str">
        <f>VLOOKUP(A22133,'Componentes APUs'!$A$1:$D$14,3,0)</f>
        <v>U</v>
      </c>
      <c r="E22133" s="50">
        <f>SUM(C22109:C22114)</f>
        <v>2.75</v>
      </c>
      <c r="F22133" s="51">
        <f>VLOOKUP(A22133,'Componentes APUs'!$A$1:$D$14,4,0)</f>
        <v>2777.7777777777778</v>
      </c>
      <c r="G22133" s="51">
        <f>ROUNDUP(F22133*(E22133/21)/E22097,0)</f>
        <v>7</v>
      </c>
    </row>
    <row r="22134" spans="1:7" x14ac:dyDescent="0.25">
      <c r="A22134" s="69" t="s">
        <v>402</v>
      </c>
      <c r="B22134" s="72" t="str">
        <f>VLOOKUP(A22134,'Componentes APUs'!$A$1:$D$14,2,0)</f>
        <v>Bota de seguridad PVC dielectrica</v>
      </c>
      <c r="C22134" s="73"/>
      <c r="D22134" s="50" t="str">
        <f>VLOOKUP(A22134,'Componentes APUs'!$A$1:$D$14,3,0)</f>
        <v>Par</v>
      </c>
      <c r="E22134" s="50">
        <f>SUM(C22109:C22114)</f>
        <v>2.75</v>
      </c>
      <c r="F22134" s="51">
        <f>VLOOKUP(A22134,'Componentes APUs'!$A$1:$D$14,4,0)</f>
        <v>2916.6666666666665</v>
      </c>
      <c r="G22134" s="51">
        <f>ROUNDUP(F22134*(E22134/21)/E22097,0)</f>
        <v>7</v>
      </c>
    </row>
    <row r="22135" spans="1:7" x14ac:dyDescent="0.25">
      <c r="A22135" s="50" t="s">
        <v>403</v>
      </c>
      <c r="B22135" s="72" t="str">
        <f>VLOOKUP(A22135,'Componentes APUs'!$A$1:$D$14,2,0)</f>
        <v>Capuchon</v>
      </c>
      <c r="C22135" s="73"/>
      <c r="D22135" s="50" t="str">
        <f>VLOOKUP(A22135,'Componentes APUs'!$A$1:$D$14,3,0)</f>
        <v>U</v>
      </c>
      <c r="E22135" s="50">
        <f>SUM(C22109:C22114)</f>
        <v>2.75</v>
      </c>
      <c r="F22135" s="51">
        <f>VLOOKUP(A22135,'Componentes APUs'!$A$1:$D$14,4,0)</f>
        <v>2525.2525252525252</v>
      </c>
      <c r="G22135" s="51">
        <f>ROUNDUP(F22135*(E22135/21)/E22097,0)</f>
        <v>6</v>
      </c>
    </row>
    <row r="22136" spans="1:7" x14ac:dyDescent="0.25">
      <c r="A22136" s="69" t="s">
        <v>81</v>
      </c>
      <c r="B22136" s="72" t="str">
        <f>VLOOKUP(A22136,'Componentes APUs'!$A$1:$D$14,2,0)</f>
        <v>Guantes Protectores  - ingeniero reforzados</v>
      </c>
      <c r="C22136" s="73"/>
      <c r="D22136" s="50" t="str">
        <f>VLOOKUP(A22136,'Componentes APUs'!$A$1:$D$14,3,0)</f>
        <v>Par</v>
      </c>
      <c r="E22136" s="50">
        <f>C22111+C22112+C22114</f>
        <v>2</v>
      </c>
      <c r="F22136" s="51">
        <f>VLOOKUP(A22136,'Componentes APUs'!$A$1:$D$14,4,0)</f>
        <v>2525.2525252525252</v>
      </c>
      <c r="G22136" s="51">
        <f>ROUNDUP(F22136*(E22136/21)/E22097,0)</f>
        <v>5</v>
      </c>
    </row>
    <row r="22137" spans="1:7" x14ac:dyDescent="0.25">
      <c r="A22137" s="50" t="s">
        <v>83</v>
      </c>
      <c r="B22137" s="72" t="str">
        <f>VLOOKUP(A22137,'Componentes APUs'!$A$1:$D$14,2,0)</f>
        <v>Impermeable (pantalon camisa)</v>
      </c>
      <c r="C22137" s="73"/>
      <c r="D22137" s="50" t="str">
        <f>VLOOKUP(A22137,'Componentes APUs'!$A$1:$D$14,3,0)</f>
        <v>U</v>
      </c>
      <c r="E22137" s="50">
        <f>SUM(C22109:C22114)</f>
        <v>2.75</v>
      </c>
      <c r="F22137" s="51">
        <f>VLOOKUP(A22137,'Componentes APUs'!$A$1:$D$14,4,0)</f>
        <v>3750</v>
      </c>
      <c r="G22137" s="51">
        <f>ROUNDUP(F22137*(E22137/21)/E22097,0)</f>
        <v>9</v>
      </c>
    </row>
    <row r="22138" spans="1:7" x14ac:dyDescent="0.25">
      <c r="A22138" s="69" t="s">
        <v>85</v>
      </c>
      <c r="B22138" s="72" t="str">
        <f>VLOOKUP(A22138,'Componentes APUs'!$A$1:$D$14,2,0)</f>
        <v>Jean Dielectrico</v>
      </c>
      <c r="C22138" s="73"/>
      <c r="D22138" s="50" t="str">
        <f>VLOOKUP(A22138,'Componentes APUs'!$A$1:$D$14,3,0)</f>
        <v>U</v>
      </c>
      <c r="E22138" s="50">
        <f>SUM(C22109:C22114)</f>
        <v>2.75</v>
      </c>
      <c r="F22138" s="51">
        <f>VLOOKUP(A22138,'Componentes APUs'!$A$1:$D$14,4,0)</f>
        <v>7575.757575757576</v>
      </c>
      <c r="G22138" s="51">
        <f>ROUNDUP(F22138*(E22138/21)/E22097,0)</f>
        <v>17</v>
      </c>
    </row>
    <row r="22139" spans="1:7" x14ac:dyDescent="0.25">
      <c r="A22139" s="50" t="s">
        <v>87</v>
      </c>
      <c r="B22139" s="72" t="str">
        <f>VLOOKUP(A22139,'Componentes APUs'!$A$1:$D$14,2,0)</f>
        <v>Casco dielectrico Tipo 2 Clase E con barboquejo</v>
      </c>
      <c r="C22139" s="73"/>
      <c r="D22139" s="50" t="str">
        <f>VLOOKUP(A22139,'Componentes APUs'!$A$1:$D$14,3,0)</f>
        <v>U</v>
      </c>
      <c r="E22139" s="53">
        <f>IF(A22111="MO-3",C22111,0)</f>
        <v>0</v>
      </c>
      <c r="F22139" s="51">
        <f>VLOOKUP(A22139,'Componentes APUs'!$A$1:$D$14,4,0)</f>
        <v>7500</v>
      </c>
      <c r="G22139" s="51">
        <f>ROUNDUP(F22139*(E22139/21)/E22097,0)</f>
        <v>0</v>
      </c>
    </row>
    <row r="22140" spans="1:7" x14ac:dyDescent="0.25">
      <c r="A22140" s="69" t="s">
        <v>89</v>
      </c>
      <c r="B22140" s="72" t="str">
        <f>VLOOKUP(A22140,'Componentes APUs'!$A$1:$D$14,2,0)</f>
        <v>Kit de rescate para trabajo en alturas</v>
      </c>
      <c r="C22140" s="73"/>
      <c r="D22140" s="50" t="str">
        <f>VLOOKUP(A22140,'Componentes APUs'!$A$1:$D$14,3,0)</f>
        <v>U</v>
      </c>
      <c r="E22140" s="50">
        <f>IF(AND(A22111="MO-3",C22111=2),1,0)</f>
        <v>0</v>
      </c>
      <c r="F22140" s="51">
        <f>VLOOKUP(A22140,'Componentes APUs'!$A$1:$D$14,4,0)</f>
        <v>37500</v>
      </c>
      <c r="G22140" s="51">
        <f>ROUNDUP(F22140*(E22140/21)/E22097,0)</f>
        <v>0</v>
      </c>
    </row>
    <row r="22141" spans="1:7" x14ac:dyDescent="0.25">
      <c r="A22141" s="50" t="s">
        <v>91</v>
      </c>
      <c r="B22141" s="72" t="str">
        <f>VLOOKUP(A22141,'Componentes APUs'!$A$1:$D$14,2,0)</f>
        <v>Equipo completo para trabajo en alturas con pretales (Arnes dielectrico, 1 mosqueton de seguridad, tie off dielectrico, eslinga de posicionamiento, juego de pretales)</v>
      </c>
      <c r="C22141" s="73"/>
      <c r="D22141" s="50" t="str">
        <f>VLOOKUP(A22141,'Componentes APUs'!$A$1:$D$14,3,0)</f>
        <v>U</v>
      </c>
      <c r="E22141" s="50">
        <f>IF(A22111="MO-3",C22111,0)</f>
        <v>0</v>
      </c>
      <c r="F22141" s="51">
        <f>VLOOKUP(A22141,'Componentes APUs'!$A$1:$D$14,4,0)</f>
        <v>26041.666666666668</v>
      </c>
      <c r="G22141" s="51">
        <f>ROUNDUP(F22141*(E22141/21)/E22097,0)</f>
        <v>0</v>
      </c>
    </row>
    <row r="22142" spans="1:7" x14ac:dyDescent="0.25">
      <c r="A22142" s="219" t="s">
        <v>95</v>
      </c>
      <c r="B22142" s="219"/>
      <c r="C22142" s="219"/>
      <c r="D22142" s="219"/>
      <c r="E22142" s="219"/>
      <c r="F22142" s="219"/>
      <c r="G22142" s="52">
        <f>SUM(G22129:G22141)</f>
        <v>119</v>
      </c>
    </row>
    <row r="22143" spans="1:7" x14ac:dyDescent="0.25">
      <c r="A22143" s="56"/>
      <c r="B22143" s="57"/>
      <c r="C22143" s="57"/>
      <c r="D22143" s="57"/>
      <c r="E22143" s="57"/>
      <c r="F22143" s="57"/>
      <c r="G22143" s="58"/>
    </row>
    <row r="22144" spans="1:7" x14ac:dyDescent="0.25">
      <c r="A22144" s="219" t="s">
        <v>96</v>
      </c>
      <c r="B22144" s="219"/>
      <c r="C22144" s="219"/>
      <c r="D22144" s="219"/>
      <c r="E22144" s="219"/>
      <c r="F22144" s="219"/>
      <c r="G22144" s="219"/>
    </row>
    <row r="22145" spans="1:7" x14ac:dyDescent="0.25">
      <c r="A22145" s="49" t="s">
        <v>35</v>
      </c>
      <c r="B22145" s="225" t="s">
        <v>36</v>
      </c>
      <c r="C22145" s="225"/>
      <c r="D22145" s="49" t="s">
        <v>37</v>
      </c>
      <c r="E22145" s="49" t="s">
        <v>38</v>
      </c>
      <c r="F22145" s="49" t="s">
        <v>39</v>
      </c>
      <c r="G22145" s="49" t="s">
        <v>40</v>
      </c>
    </row>
    <row r="22146" spans="1:7" x14ac:dyDescent="0.25">
      <c r="A22146" s="69" t="s">
        <v>97</v>
      </c>
      <c r="B22146" s="72" t="str">
        <f>VLOOKUP(A22146,'Componentes APUs'!$N$1:$Q$30,2,0)</f>
        <v>Camioneta</v>
      </c>
      <c r="C22146" s="73"/>
      <c r="D22146" s="70" t="str">
        <f>VLOOKUP(A22146,'Componentes APUs'!$N$1:$Q$30,3,0)</f>
        <v>U</v>
      </c>
      <c r="E22146" s="50">
        <v>1</v>
      </c>
      <c r="F22146" s="51">
        <f>VLOOKUP(A22146,'Componentes APUs'!$N$1:$Q$30,4,0)</f>
        <v>5500000</v>
      </c>
      <c r="G22146" s="51">
        <f>IFERROR(ROUNDUP(F22146*(E22146/21)/E22097,0),0)</f>
        <v>4366</v>
      </c>
    </row>
    <row r="22147" spans="1:7" x14ac:dyDescent="0.25">
      <c r="A22147" s="50" t="s">
        <v>321</v>
      </c>
      <c r="B22147" s="72" t="str">
        <f>VLOOKUP(A22147,'Componentes APUs'!$N$1:$Q$30,2,0)</f>
        <v>Grúa Hidráulica</v>
      </c>
      <c r="C22147" s="73"/>
      <c r="D22147" s="70" t="str">
        <f>VLOOKUP(A22147,'Componentes APUs'!$N$1:$Q$30,3,0)</f>
        <v>U</v>
      </c>
      <c r="E22147" s="50">
        <v>0</v>
      </c>
      <c r="F22147" s="51">
        <f>VLOOKUP(A22147,'Componentes APUs'!$N$1:$Q$30,4,0)</f>
        <v>21000000</v>
      </c>
      <c r="G22147" s="51">
        <f>IFERROR(ROUNDUP(F22147*(E22147/21)/E22097,0),0)</f>
        <v>0</v>
      </c>
    </row>
    <row r="22148" spans="1:7" x14ac:dyDescent="0.25">
      <c r="A22148" s="69" t="s">
        <v>322</v>
      </c>
      <c r="B22148" s="72" t="str">
        <f>VLOOKUP(A22148,'Componentes APUs'!$N$1:$Q$30,2,0)</f>
        <v>Camabaja</v>
      </c>
      <c r="C22148" s="73"/>
      <c r="D22148" s="70" t="str">
        <f>VLOOKUP(A22148,'Componentes APUs'!$N$1:$Q$30,3,0)</f>
        <v>TON/KM</v>
      </c>
      <c r="E22148" s="50">
        <v>0</v>
      </c>
      <c r="F22148" s="51">
        <f>VLOOKUP(A22148,'Componentes APUs'!$N$1:$Q$30,4,0)</f>
        <v>611</v>
      </c>
      <c r="G22148" s="51">
        <f>IFERROR(ROUNDUP(F22148*(E22148/21)/E22097,0),0)</f>
        <v>0</v>
      </c>
    </row>
    <row r="22149" spans="1:7" x14ac:dyDescent="0.25">
      <c r="A22149" s="50" t="s">
        <v>323</v>
      </c>
      <c r="B22149" s="72" t="str">
        <f>VLOOKUP(A22149,'Componentes APUs'!$N$1:$Q$30,2,0)</f>
        <v>Volqueta</v>
      </c>
      <c r="C22149" s="73"/>
      <c r="D22149" s="70" t="str">
        <f>VLOOKUP(A22149,'Componentes APUs'!$N$1:$Q$30,3,0)</f>
        <v>U</v>
      </c>
      <c r="E22149" s="50">
        <v>0</v>
      </c>
      <c r="F22149" s="51">
        <f>VLOOKUP(A22149,'Componentes APUs'!$N$1:$Q$30,4,0)</f>
        <v>14828184</v>
      </c>
      <c r="G22149" s="51">
        <f>IFERROR(ROUNDUP(F22149*(E22149/21)/E22097,0),0)</f>
        <v>0</v>
      </c>
    </row>
    <row r="22150" spans="1:7" x14ac:dyDescent="0.25">
      <c r="A22150" s="69" t="s">
        <v>324</v>
      </c>
      <c r="B22150" s="72" t="str">
        <f>VLOOKUP(A22150,'Componentes APUs'!$N$1:$Q$30,2,0)</f>
        <v>Retroexcavadora</v>
      </c>
      <c r="C22150" s="73"/>
      <c r="D22150" s="70" t="str">
        <f>VLOOKUP(A22150,'Componentes APUs'!$N$1:$Q$30,3,0)</f>
        <v>U</v>
      </c>
      <c r="E22150" s="50">
        <v>0</v>
      </c>
      <c r="F22150" s="51">
        <f>VLOOKUP(A22150,'Componentes APUs'!$N$1:$Q$30,4,0)</f>
        <v>46030656</v>
      </c>
      <c r="G22150" s="51">
        <f>IFERROR(ROUNDUP(F22150*(E22150/21)/E22097,0),0)</f>
        <v>0</v>
      </c>
    </row>
    <row r="22151" spans="1:7" x14ac:dyDescent="0.25">
      <c r="A22151" s="219" t="s">
        <v>99</v>
      </c>
      <c r="B22151" s="219"/>
      <c r="C22151" s="219"/>
      <c r="D22151" s="219"/>
      <c r="E22151" s="219"/>
      <c r="F22151" s="219"/>
      <c r="G22151" s="52">
        <f>SUM(G22146:G22150)</f>
        <v>4366</v>
      </c>
    </row>
    <row r="22152" spans="1:7" x14ac:dyDescent="0.25">
      <c r="A22152" s="56"/>
      <c r="B22152" s="57"/>
      <c r="C22152" s="57"/>
      <c r="D22152" s="57"/>
      <c r="E22152" s="57"/>
      <c r="F22152" s="57"/>
      <c r="G22152" s="58"/>
    </row>
    <row r="22153" spans="1:7" x14ac:dyDescent="0.25">
      <c r="A22153" s="219" t="s">
        <v>1516</v>
      </c>
      <c r="B22153" s="219"/>
      <c r="C22153" s="219"/>
      <c r="D22153" s="219"/>
      <c r="E22153" s="219"/>
      <c r="F22153" s="219"/>
      <c r="G22153" s="52">
        <f>G22151+G22142+G22125+G22115+G22105</f>
        <v>35471</v>
      </c>
    </row>
    <row r="22154" spans="1:7" x14ac:dyDescent="0.25">
      <c r="A22154" s="59"/>
      <c r="B22154" s="60"/>
      <c r="C22154" s="60"/>
      <c r="D22154" s="60"/>
      <c r="E22154" s="57"/>
      <c r="F22154" s="57"/>
      <c r="G22154" s="58"/>
    </row>
    <row r="22155" spans="1:7" x14ac:dyDescent="0.25">
      <c r="A22155" s="64"/>
      <c r="D22155" s="55"/>
      <c r="E22155" s="49" t="s">
        <v>25</v>
      </c>
      <c r="F22155" s="54">
        <v>0.15</v>
      </c>
      <c r="G22155" s="51">
        <f>G22153*F22155</f>
        <v>5320.65</v>
      </c>
    </row>
    <row r="22156" spans="1:7" x14ac:dyDescent="0.25">
      <c r="A22156" s="64"/>
      <c r="D22156" s="55"/>
      <c r="E22156" s="49" t="s">
        <v>26</v>
      </c>
      <c r="F22156" s="54">
        <v>0.05</v>
      </c>
      <c r="G22156" s="51">
        <f>G22153*F22156</f>
        <v>1773.5500000000002</v>
      </c>
    </row>
    <row r="22157" spans="1:7" x14ac:dyDescent="0.25">
      <c r="A22157" s="61"/>
      <c r="B22157" s="65"/>
      <c r="C22157" s="65"/>
      <c r="D22157" s="62"/>
      <c r="E22157" s="49" t="s">
        <v>27</v>
      </c>
      <c r="F22157" s="54">
        <v>0.05</v>
      </c>
      <c r="G22157" s="51">
        <f>G22153*F22157</f>
        <v>1773.5500000000002</v>
      </c>
    </row>
    <row r="22158" spans="1:7" x14ac:dyDescent="0.25">
      <c r="A22158" s="61"/>
      <c r="B22158" s="62"/>
      <c r="C22158" s="62"/>
      <c r="D22158" s="62"/>
      <c r="E22158" s="62"/>
      <c r="F22158" s="62"/>
      <c r="G22158" s="63"/>
    </row>
    <row r="22159" spans="1:7" x14ac:dyDescent="0.25">
      <c r="A22159" s="219" t="s">
        <v>1517</v>
      </c>
      <c r="B22159" s="219"/>
      <c r="C22159" s="219"/>
      <c r="D22159" s="219"/>
      <c r="E22159" s="219"/>
      <c r="F22159" s="219"/>
      <c r="G22159" s="52">
        <f>G22153+G22155+G22156+G22157</f>
        <v>44338.750000000007</v>
      </c>
    </row>
    <row r="22160" spans="1:7" x14ac:dyDescent="0.25">
      <c r="A22160" s="59"/>
      <c r="B22160" s="60"/>
      <c r="C22160" s="60"/>
      <c r="D22160" s="60"/>
      <c r="E22160" s="57"/>
      <c r="F22160" s="57"/>
      <c r="G22160" s="58"/>
    </row>
    <row r="22161" spans="1:7" x14ac:dyDescent="0.25">
      <c r="A22161" s="64"/>
      <c r="D22161" s="55"/>
      <c r="E22161" s="49" t="s">
        <v>102</v>
      </c>
      <c r="F22161" s="49" t="s">
        <v>103</v>
      </c>
      <c r="G22161" s="51">
        <f>G22157*19%</f>
        <v>336.97450000000003</v>
      </c>
    </row>
    <row r="22162" spans="1:7" x14ac:dyDescent="0.25">
      <c r="A22162" s="61"/>
      <c r="B22162" s="62"/>
      <c r="C22162" s="62"/>
      <c r="D22162" s="62"/>
      <c r="E22162" s="57"/>
      <c r="F22162" s="57"/>
      <c r="G22162" s="58"/>
    </row>
    <row r="22163" spans="1:7" x14ac:dyDescent="0.25">
      <c r="A22163" s="219" t="s">
        <v>104</v>
      </c>
      <c r="B22163" s="219"/>
      <c r="C22163" s="219"/>
      <c r="D22163" s="219"/>
      <c r="E22163" s="219"/>
      <c r="F22163" s="219"/>
      <c r="G22163" s="52">
        <f>G22161+G22159</f>
        <v>44675.724500000004</v>
      </c>
    </row>
    <row r="22165" spans="1:7" x14ac:dyDescent="0.25">
      <c r="A22165" s="74" t="s">
        <v>29</v>
      </c>
      <c r="B22165" s="237" t="s">
        <v>30</v>
      </c>
      <c r="C22165" s="238"/>
      <c r="D22165" s="74" t="s">
        <v>31</v>
      </c>
      <c r="E22165" s="74" t="s">
        <v>32</v>
      </c>
      <c r="F22165" s="74" t="s">
        <v>189</v>
      </c>
      <c r="G22165" s="74" t="s">
        <v>33</v>
      </c>
    </row>
    <row r="22166" spans="1:7" ht="28.5" customHeight="1" x14ac:dyDescent="0.25">
      <c r="A22166" s="50" t="str">
        <f>Presupuesto!B424</f>
        <v>084_AUX</v>
      </c>
      <c r="B22166" s="220" t="str">
        <f>Presupuesto!C424</f>
        <v>SUMINISTRO E INSTALACIÓN DE CIRCUITO ALIMENTADOR DC PARA TREN DE CELDAS 34,5 - 13,8 kV CABLE 3x10 AWG Cu</v>
      </c>
      <c r="C22166" s="239"/>
      <c r="D22166" s="50" t="s">
        <v>8</v>
      </c>
      <c r="E22166" s="50">
        <v>100</v>
      </c>
      <c r="F22166" s="50"/>
      <c r="G22166" s="51">
        <f>G22234</f>
        <v>44650.534500000009</v>
      </c>
    </row>
    <row r="22167" spans="1:7" x14ac:dyDescent="0.25">
      <c r="A22167" s="219" t="s">
        <v>34</v>
      </c>
      <c r="B22167" s="219"/>
      <c r="C22167" s="219"/>
      <c r="D22167" s="219"/>
      <c r="E22167" s="219"/>
      <c r="F22167" s="219"/>
      <c r="G22167" s="219"/>
    </row>
    <row r="22168" spans="1:7" x14ac:dyDescent="0.25">
      <c r="A22168" s="49" t="s">
        <v>35</v>
      </c>
      <c r="B22168" s="234" t="s">
        <v>36</v>
      </c>
      <c r="C22168" s="235"/>
      <c r="D22168" s="49" t="s">
        <v>37</v>
      </c>
      <c r="E22168" s="49" t="s">
        <v>38</v>
      </c>
      <c r="F22168" s="49" t="s">
        <v>39</v>
      </c>
      <c r="G22168" s="49" t="s">
        <v>40</v>
      </c>
    </row>
    <row r="22169" spans="1:7" x14ac:dyDescent="0.25">
      <c r="A22169" s="17" t="str">
        <f>Material!A44</f>
        <v>MA-43</v>
      </c>
      <c r="B22169" s="72" t="str">
        <f>IFERROR(VLOOKUP(A22169,Material!$A:$H,2,0),"-")</f>
        <v>CABLE 3x10 AWG Cu- TC-THHN/THWN - 600 V</v>
      </c>
      <c r="C22169" s="73"/>
      <c r="D22169" s="50" t="str">
        <f>IFERROR(VLOOKUP(A22169,Material!$A:$H,4,0),"-")</f>
        <v>ML</v>
      </c>
      <c r="E22169" s="50">
        <v>1</v>
      </c>
      <c r="F22169" s="51">
        <f>IFERROR(VLOOKUP(A22169,Material!$A:$H,3,0),"-")</f>
        <v>26000</v>
      </c>
      <c r="G22169" s="51">
        <f t="shared" ref="G22169:G22175" si="332">IFERROR(ROUNDUP(F22169*E22169,0),"-")</f>
        <v>26000</v>
      </c>
    </row>
    <row r="22170" spans="1:7" x14ac:dyDescent="0.25">
      <c r="A22170" s="17"/>
      <c r="B22170" s="72" t="str">
        <f>IFERROR(VLOOKUP(A22170,Material!$A:$H,2,0),"-")</f>
        <v>-</v>
      </c>
      <c r="C22170" s="73"/>
      <c r="D22170" s="50" t="str">
        <f>IFERROR(VLOOKUP(A22170,Material!$A:$H,4,0),"-")</f>
        <v>-</v>
      </c>
      <c r="E22170" s="50"/>
      <c r="F22170" s="51" t="str">
        <f>IFERROR(VLOOKUP(A22170,Material!$A:$H,3,0),"-")</f>
        <v>-</v>
      </c>
      <c r="G22170" s="51" t="str">
        <f t="shared" si="332"/>
        <v>-</v>
      </c>
    </row>
    <row r="22171" spans="1:7" x14ac:dyDescent="0.25">
      <c r="A22171" s="17"/>
      <c r="B22171" s="72" t="str">
        <f>IFERROR(VLOOKUP(A22171,Material!$A:$H,2,0),"-")</f>
        <v>-</v>
      </c>
      <c r="C22171" s="73"/>
      <c r="D22171" s="50" t="str">
        <f>IFERROR(VLOOKUP(A22171,Material!$A:$H,4,0),"-")</f>
        <v>-</v>
      </c>
      <c r="E22171" s="50"/>
      <c r="F22171" s="51" t="str">
        <f>IFERROR(VLOOKUP(A22171,Material!$A:$H,3,0),"-")</f>
        <v>-</v>
      </c>
      <c r="G22171" s="51" t="str">
        <f t="shared" si="332"/>
        <v>-</v>
      </c>
    </row>
    <row r="22172" spans="1:7" x14ac:dyDescent="0.25">
      <c r="A22172" s="17"/>
      <c r="B22172" s="72" t="str">
        <f>IFERROR(VLOOKUP(A22172,Material!$A:$H,2,0),"-")</f>
        <v>-</v>
      </c>
      <c r="C22172" s="73"/>
      <c r="D22172" s="50" t="str">
        <f>IFERROR(VLOOKUP(A22172,Material!$A:$H,4,0),"-")</f>
        <v>-</v>
      </c>
      <c r="E22172" s="50"/>
      <c r="F22172" s="51" t="str">
        <f>IFERROR(VLOOKUP(A22172,Material!$A:$H,3,0),"-")</f>
        <v>-</v>
      </c>
      <c r="G22172" s="51" t="str">
        <f t="shared" si="332"/>
        <v>-</v>
      </c>
    </row>
    <row r="22173" spans="1:7" x14ac:dyDescent="0.25">
      <c r="A22173" s="17"/>
      <c r="B22173" s="72" t="str">
        <f>IFERROR(VLOOKUP(A22173,Material!$A:$H,2,0),"-")</f>
        <v>-</v>
      </c>
      <c r="C22173" s="73"/>
      <c r="D22173" s="50" t="str">
        <f>IFERROR(VLOOKUP(A22173,Material!$A:$H,4,0),"-")</f>
        <v>-</v>
      </c>
      <c r="E22173" s="50"/>
      <c r="F22173" s="51" t="str">
        <f>IFERROR(VLOOKUP(A22173,Material!$A:$H,3,0),"-")</f>
        <v>-</v>
      </c>
      <c r="G22173" s="51" t="str">
        <f t="shared" si="332"/>
        <v>-</v>
      </c>
    </row>
    <row r="22174" spans="1:7" x14ac:dyDescent="0.25">
      <c r="A22174" s="17"/>
      <c r="B22174" s="72" t="str">
        <f>IFERROR(VLOOKUP(A22174,Material!$A:$H,2,0),"-")</f>
        <v>-</v>
      </c>
      <c r="C22174" s="73"/>
      <c r="D22174" s="50" t="str">
        <f>IFERROR(VLOOKUP(A22174,Material!$A:$H,4,0),"-")</f>
        <v>-</v>
      </c>
      <c r="E22174" s="50"/>
      <c r="F22174" s="51" t="str">
        <f>IFERROR(VLOOKUP(A22174,Material!$A:$H,3,0),"-")</f>
        <v>-</v>
      </c>
      <c r="G22174" s="51" t="str">
        <f t="shared" si="332"/>
        <v>-</v>
      </c>
    </row>
    <row r="22175" spans="1:7" x14ac:dyDescent="0.25">
      <c r="A22175" s="17"/>
      <c r="B22175" s="72" t="str">
        <f>IFERROR(VLOOKUP(A22175,Material!$A:$H,2,0),"-")</f>
        <v>-</v>
      </c>
      <c r="C22175" s="73"/>
      <c r="D22175" s="50" t="str">
        <f>IFERROR(VLOOKUP(A22175,Material!$A:$H,4,0),"-")</f>
        <v>-</v>
      </c>
      <c r="E22175" s="50"/>
      <c r="F22175" s="51" t="str">
        <f>IFERROR(VLOOKUP(A22175,Material!$A:$H,3,0),"-")</f>
        <v>-</v>
      </c>
      <c r="G22175" s="51" t="str">
        <f t="shared" si="332"/>
        <v>-</v>
      </c>
    </row>
    <row r="22176" spans="1:7" x14ac:dyDescent="0.25">
      <c r="A22176" s="234" t="s">
        <v>41</v>
      </c>
      <c r="B22176" s="236"/>
      <c r="C22176" s="236"/>
      <c r="D22176" s="236"/>
      <c r="E22176" s="236"/>
      <c r="F22176" s="235"/>
      <c r="G22176" s="52">
        <f>SUM(G22169:G22175)</f>
        <v>26000</v>
      </c>
    </row>
    <row r="22177" spans="1:7" x14ac:dyDescent="0.25">
      <c r="A22177" s="56"/>
      <c r="B22177" s="57"/>
      <c r="C22177" s="57"/>
      <c r="D22177" s="57"/>
      <c r="E22177" s="57"/>
      <c r="F22177" s="57"/>
      <c r="G22177" s="58"/>
    </row>
    <row r="22178" spans="1:7" x14ac:dyDescent="0.25">
      <c r="A22178" s="219" t="s">
        <v>42</v>
      </c>
      <c r="B22178" s="219"/>
      <c r="C22178" s="219"/>
      <c r="D22178" s="219"/>
      <c r="E22178" s="219"/>
      <c r="F22178" s="219"/>
      <c r="G22178" s="219"/>
    </row>
    <row r="22179" spans="1:7" x14ac:dyDescent="0.25">
      <c r="A22179" s="49" t="s">
        <v>35</v>
      </c>
      <c r="B22179" s="49" t="s">
        <v>36</v>
      </c>
      <c r="C22179" s="49" t="s">
        <v>38</v>
      </c>
      <c r="D22179" s="49" t="s">
        <v>43</v>
      </c>
      <c r="E22179" s="49" t="s">
        <v>44</v>
      </c>
      <c r="F22179" s="49" t="s">
        <v>45</v>
      </c>
      <c r="G22179" s="49" t="s">
        <v>40</v>
      </c>
    </row>
    <row r="22180" spans="1:7" x14ac:dyDescent="0.25">
      <c r="A22180" s="50" t="s">
        <v>319</v>
      </c>
      <c r="B22180" s="68" t="str">
        <f>VLOOKUP(A22180,'Componentes APUs'!$H$1:$L$25,2,0)</f>
        <v>Ingeniero Residente de Obra</v>
      </c>
      <c r="C22180" s="93">
        <v>0.25</v>
      </c>
      <c r="D22180" s="50">
        <f>VLOOKUP(A22180,'Componentes APUs'!$H$1:$L$25,3,0)</f>
        <v>4</v>
      </c>
      <c r="E22180" s="51">
        <f>VLOOKUP(A22180,'Componentes APUs'!$H$1:$L$25,4,0)</f>
        <v>271142.85714285716</v>
      </c>
      <c r="F22180" s="51">
        <f>VLOOKUP(A22180,'Componentes APUs'!$H$1:$L$25,5,0)</f>
        <v>162685.71428571429</v>
      </c>
      <c r="G22180" s="51">
        <f>ROUNDUP((E22180+F22180)*C22180/E22166,0)</f>
        <v>1085</v>
      </c>
    </row>
    <row r="22181" spans="1:7" x14ac:dyDescent="0.25">
      <c r="A22181" s="50" t="s">
        <v>320</v>
      </c>
      <c r="B22181" s="68" t="str">
        <f>VLOOKUP(A22181,'Componentes APUs'!$H$1:$L$25,2,0)</f>
        <v>Tecnico Supervisor</v>
      </c>
      <c r="C22181" s="93">
        <v>0.25</v>
      </c>
      <c r="D22181" s="50">
        <f>VLOOKUP(A22181,'Componentes APUs'!$H$1:$L$25,3,0)</f>
        <v>2.2999999999999998</v>
      </c>
      <c r="E22181" s="51">
        <f>VLOOKUP(A22181,'Componentes APUs'!$H$1:$L$25,4,0)</f>
        <v>155907.14285714284</v>
      </c>
      <c r="F22181" s="51">
        <f>VLOOKUP(A22181,'Componentes APUs'!$H$1:$L$25,5,0)</f>
        <v>93544.285714285696</v>
      </c>
      <c r="G22181" s="51">
        <f>ROUNDUP((E22181+F22181)*C22181/E22166,0)</f>
        <v>624</v>
      </c>
    </row>
    <row r="22182" spans="1:7" x14ac:dyDescent="0.25">
      <c r="A22182" s="50" t="s">
        <v>1160</v>
      </c>
      <c r="B22182" s="68" t="str">
        <f>VLOOKUP(A22182,'Componentes APUs'!$H$1:$L$25,2,0)</f>
        <v>Oficial Eléctrico</v>
      </c>
      <c r="C22182" s="93">
        <v>1</v>
      </c>
      <c r="D22182" s="50">
        <f>VLOOKUP(A22182,'Componentes APUs'!$H$1:$L$25,3,0)</f>
        <v>2</v>
      </c>
      <c r="E22182" s="51">
        <f>VLOOKUP(A22182,'Componentes APUs'!$H$1:$L$25,4,0)</f>
        <v>154619.04761904763</v>
      </c>
      <c r="F22182" s="51">
        <f>VLOOKUP(A22182,'Componentes APUs'!$H$1:$L$25,5,0)</f>
        <v>92771.42857142858</v>
      </c>
      <c r="G22182" s="51">
        <f>ROUNDUP((E22182+F22182)*C22182/E22166,0)</f>
        <v>2474</v>
      </c>
    </row>
    <row r="22183" spans="1:7" x14ac:dyDescent="0.25">
      <c r="A22183" s="50" t="s">
        <v>48</v>
      </c>
      <c r="B22183" s="68" t="str">
        <f>VLOOKUP(A22183,'Componentes APUs'!$H$1:$L$25,2,0)</f>
        <v>Ayudante Calificado</v>
      </c>
      <c r="C22183" s="93">
        <v>1</v>
      </c>
      <c r="D22183" s="50">
        <f>VLOOKUP(A22183,'Componentes APUs'!$H$1:$L$25,3,0)</f>
        <v>1.5</v>
      </c>
      <c r="E22183" s="51">
        <f>VLOOKUP(A22183,'Componentes APUs'!$H$1:$L$25,4,0)</f>
        <v>115964.28571428571</v>
      </c>
      <c r="F22183" s="51">
        <f>VLOOKUP(A22183,'Componentes APUs'!$H$1:$L$25,5,0)</f>
        <v>69578.57142857142</v>
      </c>
      <c r="G22183" s="51">
        <f>ROUNDUP((E22183+F22183)*C22183/E22166,0)</f>
        <v>1856</v>
      </c>
    </row>
    <row r="22184" spans="1:7" x14ac:dyDescent="0.25">
      <c r="A22184" s="50" t="s">
        <v>50</v>
      </c>
      <c r="B22184" s="68" t="str">
        <f>VLOOKUP(A22184,'Componentes APUs'!$H$1:$L$25,2,0)</f>
        <v>Profesional en SST</v>
      </c>
      <c r="C22184" s="93">
        <v>0.25</v>
      </c>
      <c r="D22184" s="50">
        <f>VLOOKUP(A22184,'Componentes APUs'!$H$1:$L$25,3,0)</f>
        <v>2.5</v>
      </c>
      <c r="E22184" s="51">
        <f>VLOOKUP(A22184,'Componentes APUs'!$H$1:$L$25,4,0)</f>
        <v>169464.28571428571</v>
      </c>
      <c r="F22184" s="51">
        <f>VLOOKUP(A22184,'Componentes APUs'!$H$1:$L$25,5,0)</f>
        <v>101678.57142857142</v>
      </c>
      <c r="G22184" s="51">
        <f>ROUNDUP((E22184+F22184)*C22184/E22166,0)</f>
        <v>678</v>
      </c>
    </row>
    <row r="22185" spans="1:7" x14ac:dyDescent="0.25">
      <c r="A22185" s="50" t="s">
        <v>52</v>
      </c>
      <c r="B22185" s="68" t="str">
        <f>VLOOKUP(A22185,'Componentes APUs'!$H$1:$L$25,2,0)</f>
        <v>Ayudante No Calificado</v>
      </c>
      <c r="C22185" s="93">
        <v>0</v>
      </c>
      <c r="D22185" s="50">
        <f>VLOOKUP(A22185,'Componentes APUs'!$H$1:$L$25,3,0)</f>
        <v>1</v>
      </c>
      <c r="E22185" s="51">
        <f>VLOOKUP(A22185,'Componentes APUs'!$H$1:$L$25,4,0)</f>
        <v>77309.523809523816</v>
      </c>
      <c r="F22185" s="51">
        <f>VLOOKUP(A22185,'Componentes APUs'!$H$1:$L$25,5,0)</f>
        <v>46385.71428571429</v>
      </c>
      <c r="G22185" s="51">
        <f>ROUNDUP((E22185+F22185)*C22185/E22166,0)</f>
        <v>0</v>
      </c>
    </row>
    <row r="22186" spans="1:7" x14ac:dyDescent="0.25">
      <c r="A22186" s="219" t="s">
        <v>56</v>
      </c>
      <c r="B22186" s="219"/>
      <c r="C22186" s="219"/>
      <c r="D22186" s="219"/>
      <c r="E22186" s="219"/>
      <c r="F22186" s="219"/>
      <c r="G22186" s="52">
        <f>SUM(G22180:G22185)</f>
        <v>6717</v>
      </c>
    </row>
    <row r="22187" spans="1:7" x14ac:dyDescent="0.25">
      <c r="A22187" s="56"/>
      <c r="B22187" s="57"/>
      <c r="C22187" s="57"/>
      <c r="D22187" s="57"/>
      <c r="E22187" s="57"/>
      <c r="F22187" s="57"/>
      <c r="G22187" s="58"/>
    </row>
    <row r="22188" spans="1:7" x14ac:dyDescent="0.25">
      <c r="A22188" s="219" t="s">
        <v>57</v>
      </c>
      <c r="B22188" s="219"/>
      <c r="C22188" s="219"/>
      <c r="D22188" s="219"/>
      <c r="E22188" s="219"/>
      <c r="F22188" s="219"/>
      <c r="G22188" s="219"/>
    </row>
    <row r="22189" spans="1:7" x14ac:dyDescent="0.25">
      <c r="A22189" s="49" t="s">
        <v>35</v>
      </c>
      <c r="B22189" s="219" t="s">
        <v>36</v>
      </c>
      <c r="C22189" s="219"/>
      <c r="D22189" s="49" t="s">
        <v>37</v>
      </c>
      <c r="E22189" s="49" t="s">
        <v>38</v>
      </c>
      <c r="F22189" s="49" t="s">
        <v>39</v>
      </c>
      <c r="G22189" s="49" t="s">
        <v>40</v>
      </c>
    </row>
    <row r="22190" spans="1:7" x14ac:dyDescent="0.25">
      <c r="A22190" s="50" t="s">
        <v>326</v>
      </c>
      <c r="B22190" s="220" t="str">
        <f>VLOOKUP(A22190,'Componentes APUs'!$S$1:$V$10,2,0)</f>
        <v>Juego Llaves</v>
      </c>
      <c r="C22190" s="220"/>
      <c r="D22190" s="50" t="s">
        <v>18</v>
      </c>
      <c r="E22190" s="50">
        <v>1</v>
      </c>
      <c r="F22190" s="51">
        <f>VLOOKUP(A22190,'Componentes APUs'!$S$1:$V$10,4,0)</f>
        <v>9167</v>
      </c>
      <c r="G22190" s="51">
        <f>ROUNDUP(F22190*((E22190/21)/E22166),0)</f>
        <v>5</v>
      </c>
    </row>
    <row r="22191" spans="1:7" x14ac:dyDescent="0.25">
      <c r="A22191" s="50" t="s">
        <v>58</v>
      </c>
      <c r="B22191" s="220" t="str">
        <f>VLOOKUP(A22191,'Componentes APUs'!$S$1:$V$10,2,0)</f>
        <v>Manila de servicio</v>
      </c>
      <c r="C22191" s="220"/>
      <c r="D22191" s="50" t="s">
        <v>18</v>
      </c>
      <c r="E22191" s="50">
        <v>0</v>
      </c>
      <c r="F22191" s="51">
        <f>VLOOKUP(A22191,'Componentes APUs'!$S$1:$V$10,4,0)</f>
        <v>2333</v>
      </c>
      <c r="G22191" s="51">
        <f>ROUNDUP(F22191*((E22191/21)/E22166),0)</f>
        <v>0</v>
      </c>
    </row>
    <row r="22192" spans="1:7" x14ac:dyDescent="0.25">
      <c r="A22192" s="50" t="s">
        <v>327</v>
      </c>
      <c r="B22192" s="220" t="str">
        <f>VLOOKUP(A22192,'Componentes APUs'!$S$1:$V$10,2,0)</f>
        <v>Tula portaherramientas</v>
      </c>
      <c r="C22192" s="220"/>
      <c r="D22192" s="50" t="s">
        <v>18</v>
      </c>
      <c r="E22192" s="50">
        <v>1</v>
      </c>
      <c r="F22192" s="51">
        <f>VLOOKUP(A22192,'Componentes APUs'!$S$1:$V$10,4,0)</f>
        <v>1250</v>
      </c>
      <c r="G22192" s="51">
        <f>ROUNDUP(F22192*((E22192/21)/E22166),0)</f>
        <v>1</v>
      </c>
    </row>
    <row r="22193" spans="1:7" x14ac:dyDescent="0.25">
      <c r="A22193" s="50" t="s">
        <v>60</v>
      </c>
      <c r="B22193" s="220" t="str">
        <f>VLOOKUP(A22193,'Componentes APUs'!$S$1:$V$10,2,0)</f>
        <v>Agarradoras</v>
      </c>
      <c r="C22193" s="220"/>
      <c r="D22193" s="50" t="s">
        <v>18</v>
      </c>
      <c r="E22193" s="50">
        <v>0</v>
      </c>
      <c r="F22193" s="51">
        <f>VLOOKUP(A22193,'Componentes APUs'!$S$1:$V$10,4,0)</f>
        <v>125000</v>
      </c>
      <c r="G22193" s="51">
        <f>ROUNDUP(F22193*((E22193/21)/E22166),0)</f>
        <v>0</v>
      </c>
    </row>
    <row r="22194" spans="1:7" x14ac:dyDescent="0.25">
      <c r="A22194" s="50" t="s">
        <v>62</v>
      </c>
      <c r="B22194" s="220" t="str">
        <f>VLOOKUP(A22194,'Componentes APUs'!$S$1:$V$10,2,0)</f>
        <v>Templadoras</v>
      </c>
      <c r="C22194" s="220"/>
      <c r="D22194" s="50" t="s">
        <v>18</v>
      </c>
      <c r="E22194" s="50">
        <v>0</v>
      </c>
      <c r="F22194" s="51">
        <f>VLOOKUP(A22194,'Componentes APUs'!$S$1:$V$10,4,0)</f>
        <v>250000</v>
      </c>
      <c r="G22194" s="51">
        <f>ROUNDUP(F22194*((E22194/21)/E22166),0)</f>
        <v>0</v>
      </c>
    </row>
    <row r="22195" spans="1:7" x14ac:dyDescent="0.25">
      <c r="A22195" s="50" t="s">
        <v>328</v>
      </c>
      <c r="B22195" s="220" t="str">
        <f>VLOOKUP(A22195,'Componentes APUs'!$S$1:$V$10,2,0)</f>
        <v>Herramienta Menor</v>
      </c>
      <c r="C22195" s="220"/>
      <c r="D22195" s="50" t="s">
        <v>18</v>
      </c>
      <c r="E22195" s="50">
        <v>1</v>
      </c>
      <c r="F22195" s="51">
        <f>VLOOKUP(A22195,'Componentes APUs'!$S$1:$V$10,4,0)</f>
        <v>75758</v>
      </c>
      <c r="G22195" s="51">
        <f>ROUNDUP(F22195*((E22195/21)/E22166),0)</f>
        <v>37</v>
      </c>
    </row>
    <row r="22196" spans="1:7" x14ac:dyDescent="0.25">
      <c r="A22196" s="219" t="s">
        <v>69</v>
      </c>
      <c r="B22196" s="219"/>
      <c r="C22196" s="219"/>
      <c r="D22196" s="219"/>
      <c r="E22196" s="219"/>
      <c r="F22196" s="219"/>
      <c r="G22196" s="52">
        <f>SUM(G22190:G22195)</f>
        <v>43</v>
      </c>
    </row>
    <row r="22197" spans="1:7" x14ac:dyDescent="0.25">
      <c r="A22197" s="56"/>
      <c r="B22197" s="57"/>
      <c r="C22197" s="57"/>
      <c r="D22197" s="57"/>
      <c r="E22197" s="57"/>
      <c r="F22197" s="57"/>
      <c r="G22197" s="58"/>
    </row>
    <row r="22198" spans="1:7" x14ac:dyDescent="0.25">
      <c r="A22198" s="219" t="s">
        <v>70</v>
      </c>
      <c r="B22198" s="219"/>
      <c r="C22198" s="219"/>
      <c r="D22198" s="219"/>
      <c r="E22198" s="219"/>
      <c r="F22198" s="219"/>
      <c r="G22198" s="219"/>
    </row>
    <row r="22199" spans="1:7" x14ac:dyDescent="0.25">
      <c r="A22199" s="49" t="s">
        <v>35</v>
      </c>
      <c r="B22199" s="219" t="s">
        <v>36</v>
      </c>
      <c r="C22199" s="219"/>
      <c r="D22199" s="49" t="s">
        <v>37</v>
      </c>
      <c r="E22199" s="49" t="s">
        <v>38</v>
      </c>
      <c r="F22199" s="49" t="s">
        <v>39</v>
      </c>
      <c r="G22199" s="49" t="s">
        <v>40</v>
      </c>
    </row>
    <row r="22200" spans="1:7" x14ac:dyDescent="0.25">
      <c r="A22200" s="50" t="s">
        <v>71</v>
      </c>
      <c r="B22200" s="71" t="str">
        <f>VLOOKUP(A22200,'Componentes APUs'!$A$1:$D$14,2,0)</f>
        <v>Camisa indigo sin partes metalicas</v>
      </c>
      <c r="C22200" s="71"/>
      <c r="D22200" s="50" t="str">
        <f>VLOOKUP(A22200,'Componentes APUs'!$A$1:$D$14,3,0)</f>
        <v>U</v>
      </c>
      <c r="E22200" s="50">
        <f>SUM(C22180:C22185)</f>
        <v>2.75</v>
      </c>
      <c r="F22200" s="51">
        <f>VLOOKUP(A22200,'Componentes APUs'!$A$1:$D$14,4,0)</f>
        <v>8585.8585858585866</v>
      </c>
      <c r="G22200" s="51">
        <f>ROUNDUP(F22200*(E22200/21)/E22166,0)</f>
        <v>12</v>
      </c>
    </row>
    <row r="22201" spans="1:7" x14ac:dyDescent="0.25">
      <c r="A22201" s="69" t="s">
        <v>73</v>
      </c>
      <c r="B22201" s="72" t="str">
        <f>VLOOKUP(A22201,'Componentes APUs'!$A$1:$D$14,2,0)</f>
        <v>Bota de seguridad dielectrica</v>
      </c>
      <c r="C22201" s="73"/>
      <c r="D22201" s="70" t="str">
        <f>VLOOKUP(A22201,'Componentes APUs'!$A$1:$D$14,3,0)</f>
        <v>Par</v>
      </c>
      <c r="E22201" s="50">
        <f>SUM(C22180:C22185)</f>
        <v>2.75</v>
      </c>
      <c r="F22201" s="51">
        <f>VLOOKUP(A22201,'Componentes APUs'!$A$1:$D$14,4,0)</f>
        <v>7500</v>
      </c>
      <c r="G22201" s="51">
        <f>ROUNDUP(F22201*(E22201/21)/E22166,0)</f>
        <v>10</v>
      </c>
    </row>
    <row r="22202" spans="1:7" x14ac:dyDescent="0.25">
      <c r="A22202" s="50" t="s">
        <v>76</v>
      </c>
      <c r="B22202" s="72" t="str">
        <f>VLOOKUP(A22202,'Componentes APUs'!$A$1:$D$14,2,0)</f>
        <v>Casco dielectrico Tipo 1 Clase E con barbuquejo</v>
      </c>
      <c r="C22202" s="73"/>
      <c r="D22202" s="50" t="str">
        <f>VLOOKUP(A22202,'Componentes APUs'!$A$1:$D$14,3,0)</f>
        <v>U</v>
      </c>
      <c r="E22202" s="50">
        <f>C22185+C22180+C22183+C22184+C22181+IF(A22182&lt;&gt;"MO-3",C22182,0)</f>
        <v>2.75</v>
      </c>
      <c r="F22202" s="51">
        <f>VLOOKUP(A22202,'Componentes APUs'!$A$1:$D$14,4,0)</f>
        <v>10101.010101010101</v>
      </c>
      <c r="G22202" s="51">
        <f>ROUNDUP(F22202*(E22202/21)/E22166,0)</f>
        <v>14</v>
      </c>
    </row>
    <row r="22203" spans="1:7" x14ac:dyDescent="0.25">
      <c r="A22203" s="69" t="s">
        <v>77</v>
      </c>
      <c r="B22203" s="72" t="str">
        <f>VLOOKUP(A22203,'Componentes APUs'!$A$1:$D$14,2,0)</f>
        <v>Correa plastica y antiflama</v>
      </c>
      <c r="C22203" s="73"/>
      <c r="D22203" s="50" t="str">
        <f>VLOOKUP(A22203,'Componentes APUs'!$A$1:$D$14,3,0)</f>
        <v>U</v>
      </c>
      <c r="E22203" s="50">
        <f>SUM(C22180:C22185)</f>
        <v>2.75</v>
      </c>
      <c r="F22203" s="51">
        <f>VLOOKUP(A22203,'Componentes APUs'!$A$1:$D$14,4,0)</f>
        <v>3787.878787878788</v>
      </c>
      <c r="G22203" s="51">
        <f>ROUNDUP(F22203*(E22203/21)/E22166,0)</f>
        <v>5</v>
      </c>
    </row>
    <row r="22204" spans="1:7" x14ac:dyDescent="0.25">
      <c r="A22204" s="50" t="s">
        <v>79</v>
      </c>
      <c r="B22204" s="72" t="str">
        <f>VLOOKUP(A22204,'Componentes APUs'!$A$1:$D$14,2,0)</f>
        <v>Gafas protectoras filtro UV</v>
      </c>
      <c r="C22204" s="73"/>
      <c r="D22204" s="50" t="str">
        <f>VLOOKUP(A22204,'Componentes APUs'!$A$1:$D$14,3,0)</f>
        <v>U</v>
      </c>
      <c r="E22204" s="50">
        <f>SUM(C22180:C22185)</f>
        <v>2.75</v>
      </c>
      <c r="F22204" s="51">
        <f>VLOOKUP(A22204,'Componentes APUs'!$A$1:$D$14,4,0)</f>
        <v>2777.7777777777778</v>
      </c>
      <c r="G22204" s="51">
        <f>ROUNDUP(F22204*(E22204/21)/E22166,0)</f>
        <v>4</v>
      </c>
    </row>
    <row r="22205" spans="1:7" x14ac:dyDescent="0.25">
      <c r="A22205" s="69" t="s">
        <v>402</v>
      </c>
      <c r="B22205" s="72" t="str">
        <f>VLOOKUP(A22205,'Componentes APUs'!$A$1:$D$14,2,0)</f>
        <v>Bota de seguridad PVC dielectrica</v>
      </c>
      <c r="C22205" s="73"/>
      <c r="D22205" s="50" t="str">
        <f>VLOOKUP(A22205,'Componentes APUs'!$A$1:$D$14,3,0)</f>
        <v>Par</v>
      </c>
      <c r="E22205" s="50">
        <f>SUM(C22180:C22185)</f>
        <v>2.75</v>
      </c>
      <c r="F22205" s="51">
        <f>VLOOKUP(A22205,'Componentes APUs'!$A$1:$D$14,4,0)</f>
        <v>2916.6666666666665</v>
      </c>
      <c r="G22205" s="51">
        <f>ROUNDUP(F22205*(E22205/21)/E22166,0)</f>
        <v>4</v>
      </c>
    </row>
    <row r="22206" spans="1:7" x14ac:dyDescent="0.25">
      <c r="A22206" s="50" t="s">
        <v>403</v>
      </c>
      <c r="B22206" s="72" t="str">
        <f>VLOOKUP(A22206,'Componentes APUs'!$A$1:$D$14,2,0)</f>
        <v>Capuchon</v>
      </c>
      <c r="C22206" s="73"/>
      <c r="D22206" s="50" t="str">
        <f>VLOOKUP(A22206,'Componentes APUs'!$A$1:$D$14,3,0)</f>
        <v>U</v>
      </c>
      <c r="E22206" s="50">
        <f>SUM(C22180:C22185)</f>
        <v>2.75</v>
      </c>
      <c r="F22206" s="51">
        <f>VLOOKUP(A22206,'Componentes APUs'!$A$1:$D$14,4,0)</f>
        <v>2525.2525252525252</v>
      </c>
      <c r="G22206" s="51">
        <f>ROUNDUP(F22206*(E22206/21)/E22166,0)</f>
        <v>4</v>
      </c>
    </row>
    <row r="22207" spans="1:7" x14ac:dyDescent="0.25">
      <c r="A22207" s="69" t="s">
        <v>81</v>
      </c>
      <c r="B22207" s="72" t="str">
        <f>VLOOKUP(A22207,'Componentes APUs'!$A$1:$D$14,2,0)</f>
        <v>Guantes Protectores  - ingeniero reforzados</v>
      </c>
      <c r="C22207" s="73"/>
      <c r="D22207" s="50" t="str">
        <f>VLOOKUP(A22207,'Componentes APUs'!$A$1:$D$14,3,0)</f>
        <v>Par</v>
      </c>
      <c r="E22207" s="50">
        <f>C22182+C22183+C22185</f>
        <v>2</v>
      </c>
      <c r="F22207" s="51">
        <f>VLOOKUP(A22207,'Componentes APUs'!$A$1:$D$14,4,0)</f>
        <v>2525.2525252525252</v>
      </c>
      <c r="G22207" s="51">
        <f>ROUNDUP(F22207*(E22207/21)/E22166,0)</f>
        <v>3</v>
      </c>
    </row>
    <row r="22208" spans="1:7" x14ac:dyDescent="0.25">
      <c r="A22208" s="50" t="s">
        <v>83</v>
      </c>
      <c r="B22208" s="72" t="str">
        <f>VLOOKUP(A22208,'Componentes APUs'!$A$1:$D$14,2,0)</f>
        <v>Impermeable (pantalon camisa)</v>
      </c>
      <c r="C22208" s="73"/>
      <c r="D22208" s="50" t="str">
        <f>VLOOKUP(A22208,'Componentes APUs'!$A$1:$D$14,3,0)</f>
        <v>U</v>
      </c>
      <c r="E22208" s="50">
        <f>SUM(C22180:C22185)</f>
        <v>2.75</v>
      </c>
      <c r="F22208" s="51">
        <f>VLOOKUP(A22208,'Componentes APUs'!$A$1:$D$14,4,0)</f>
        <v>3750</v>
      </c>
      <c r="G22208" s="51">
        <f>ROUNDUP(F22208*(E22208/21)/E22166,0)</f>
        <v>5</v>
      </c>
    </row>
    <row r="22209" spans="1:7" x14ac:dyDescent="0.25">
      <c r="A22209" s="69" t="s">
        <v>85</v>
      </c>
      <c r="B22209" s="72" t="str">
        <f>VLOOKUP(A22209,'Componentes APUs'!$A$1:$D$14,2,0)</f>
        <v>Jean Dielectrico</v>
      </c>
      <c r="C22209" s="73"/>
      <c r="D22209" s="50" t="str">
        <f>VLOOKUP(A22209,'Componentes APUs'!$A$1:$D$14,3,0)</f>
        <v>U</v>
      </c>
      <c r="E22209" s="50">
        <f>SUM(C22180:C22185)</f>
        <v>2.75</v>
      </c>
      <c r="F22209" s="51">
        <f>VLOOKUP(A22209,'Componentes APUs'!$A$1:$D$14,4,0)</f>
        <v>7575.757575757576</v>
      </c>
      <c r="G22209" s="51">
        <f>ROUNDUP(F22209*(E22209/21)/E22166,0)</f>
        <v>10</v>
      </c>
    </row>
    <row r="22210" spans="1:7" x14ac:dyDescent="0.25">
      <c r="A22210" s="50" t="s">
        <v>87</v>
      </c>
      <c r="B22210" s="72" t="str">
        <f>VLOOKUP(A22210,'Componentes APUs'!$A$1:$D$14,2,0)</f>
        <v>Casco dielectrico Tipo 2 Clase E con barboquejo</v>
      </c>
      <c r="C22210" s="73"/>
      <c r="D22210" s="50" t="str">
        <f>VLOOKUP(A22210,'Componentes APUs'!$A$1:$D$14,3,0)</f>
        <v>U</v>
      </c>
      <c r="E22210" s="53">
        <f>IF(A22182="MO-3",C22182,0)</f>
        <v>0</v>
      </c>
      <c r="F22210" s="51">
        <f>VLOOKUP(A22210,'Componentes APUs'!$A$1:$D$14,4,0)</f>
        <v>7500</v>
      </c>
      <c r="G22210" s="51">
        <f>ROUNDUP(F22210*(E22210/21)/E22166,0)</f>
        <v>0</v>
      </c>
    </row>
    <row r="22211" spans="1:7" x14ac:dyDescent="0.25">
      <c r="A22211" s="69" t="s">
        <v>89</v>
      </c>
      <c r="B22211" s="72" t="str">
        <f>VLOOKUP(A22211,'Componentes APUs'!$A$1:$D$14,2,0)</f>
        <v>Kit de rescate para trabajo en alturas</v>
      </c>
      <c r="C22211" s="73"/>
      <c r="D22211" s="50" t="str">
        <f>VLOOKUP(A22211,'Componentes APUs'!$A$1:$D$14,3,0)</f>
        <v>U</v>
      </c>
      <c r="E22211" s="50">
        <f>IF(AND(A22182="MO-3",C22182=2),1,0)</f>
        <v>0</v>
      </c>
      <c r="F22211" s="51">
        <f>VLOOKUP(A22211,'Componentes APUs'!$A$1:$D$14,4,0)</f>
        <v>37500</v>
      </c>
      <c r="G22211" s="51">
        <f>ROUNDUP(F22211*(E22211/21)/E22166,0)</f>
        <v>0</v>
      </c>
    </row>
    <row r="22212" spans="1:7" x14ac:dyDescent="0.25">
      <c r="A22212" s="50" t="s">
        <v>91</v>
      </c>
      <c r="B22212" s="72" t="str">
        <f>VLOOKUP(A22212,'Componentes APUs'!$A$1:$D$14,2,0)</f>
        <v>Equipo completo para trabajo en alturas con pretales (Arnes dielectrico, 1 mosqueton de seguridad, tie off dielectrico, eslinga de posicionamiento, juego de pretales)</v>
      </c>
      <c r="C22212" s="73"/>
      <c r="D22212" s="50" t="str">
        <f>VLOOKUP(A22212,'Componentes APUs'!$A$1:$D$14,3,0)</f>
        <v>U</v>
      </c>
      <c r="E22212" s="50">
        <f>IF(A22182="MO-3",C22182,0)</f>
        <v>0</v>
      </c>
      <c r="F22212" s="51">
        <f>VLOOKUP(A22212,'Componentes APUs'!$A$1:$D$14,4,0)</f>
        <v>26041.666666666668</v>
      </c>
      <c r="G22212" s="51">
        <f>ROUNDUP(F22212*(E22212/21)/E22166,0)</f>
        <v>0</v>
      </c>
    </row>
    <row r="22213" spans="1:7" x14ac:dyDescent="0.25">
      <c r="A22213" s="219" t="s">
        <v>95</v>
      </c>
      <c r="B22213" s="219"/>
      <c r="C22213" s="219"/>
      <c r="D22213" s="219"/>
      <c r="E22213" s="219"/>
      <c r="F22213" s="219"/>
      <c r="G22213" s="52">
        <f>SUM(G22200:G22212)</f>
        <v>71</v>
      </c>
    </row>
    <row r="22214" spans="1:7" x14ac:dyDescent="0.25">
      <c r="A22214" s="56"/>
      <c r="B22214" s="57"/>
      <c r="C22214" s="57"/>
      <c r="D22214" s="57"/>
      <c r="E22214" s="57"/>
      <c r="F22214" s="57"/>
      <c r="G22214" s="58"/>
    </row>
    <row r="22215" spans="1:7" x14ac:dyDescent="0.25">
      <c r="A22215" s="219" t="s">
        <v>96</v>
      </c>
      <c r="B22215" s="219"/>
      <c r="C22215" s="219"/>
      <c r="D22215" s="219"/>
      <c r="E22215" s="219"/>
      <c r="F22215" s="219"/>
      <c r="G22215" s="219"/>
    </row>
    <row r="22216" spans="1:7" x14ac:dyDescent="0.25">
      <c r="A22216" s="49" t="s">
        <v>35</v>
      </c>
      <c r="B22216" s="225" t="s">
        <v>36</v>
      </c>
      <c r="C22216" s="225"/>
      <c r="D22216" s="49" t="s">
        <v>37</v>
      </c>
      <c r="E22216" s="49" t="s">
        <v>38</v>
      </c>
      <c r="F22216" s="49" t="s">
        <v>39</v>
      </c>
      <c r="G22216" s="49" t="s">
        <v>40</v>
      </c>
    </row>
    <row r="22217" spans="1:7" x14ac:dyDescent="0.25">
      <c r="A22217" s="69" t="s">
        <v>97</v>
      </c>
      <c r="B22217" s="72" t="str">
        <f>VLOOKUP(A22217,'Componentes APUs'!$N$1:$Q$30,2,0)</f>
        <v>Camioneta</v>
      </c>
      <c r="C22217" s="73"/>
      <c r="D22217" s="70" t="str">
        <f>VLOOKUP(A22217,'Componentes APUs'!$N$1:$Q$30,3,0)</f>
        <v>U</v>
      </c>
      <c r="E22217" s="50">
        <v>1</v>
      </c>
      <c r="F22217" s="51">
        <f>VLOOKUP(A22217,'Componentes APUs'!$N$1:$Q$30,4,0)</f>
        <v>5500000</v>
      </c>
      <c r="G22217" s="51">
        <f>IFERROR(ROUNDUP(F22217*(E22217/21)/E22166,0),0)</f>
        <v>2620</v>
      </c>
    </row>
    <row r="22218" spans="1:7" x14ac:dyDescent="0.25">
      <c r="A22218" s="50" t="s">
        <v>321</v>
      </c>
      <c r="B22218" s="72" t="str">
        <f>VLOOKUP(A22218,'Componentes APUs'!$N$1:$Q$30,2,0)</f>
        <v>Grúa Hidráulica</v>
      </c>
      <c r="C22218" s="73"/>
      <c r="D22218" s="70" t="str">
        <f>VLOOKUP(A22218,'Componentes APUs'!$N$1:$Q$30,3,0)</f>
        <v>U</v>
      </c>
      <c r="E22218" s="50">
        <v>0</v>
      </c>
      <c r="F22218" s="51">
        <f>VLOOKUP(A22218,'Componentes APUs'!$N$1:$Q$30,4,0)</f>
        <v>21000000</v>
      </c>
      <c r="G22218" s="51">
        <f>IFERROR(ROUNDUP(F22218*(E22218/21)/E22166,0),0)</f>
        <v>0</v>
      </c>
    </row>
    <row r="22219" spans="1:7" x14ac:dyDescent="0.25">
      <c r="A22219" s="69" t="s">
        <v>322</v>
      </c>
      <c r="B22219" s="72" t="str">
        <f>VLOOKUP(A22219,'Componentes APUs'!$N$1:$Q$30,2,0)</f>
        <v>Camabaja</v>
      </c>
      <c r="C22219" s="73"/>
      <c r="D22219" s="70" t="str">
        <f>VLOOKUP(A22219,'Componentes APUs'!$N$1:$Q$30,3,0)</f>
        <v>TON/KM</v>
      </c>
      <c r="E22219" s="50">
        <v>0</v>
      </c>
      <c r="F22219" s="51">
        <f>VLOOKUP(A22219,'Componentes APUs'!$N$1:$Q$30,4,0)</f>
        <v>611</v>
      </c>
      <c r="G22219" s="51">
        <f>IFERROR(ROUNDUP(F22219*(E22219/21)/E22166,0),0)</f>
        <v>0</v>
      </c>
    </row>
    <row r="22220" spans="1:7" x14ac:dyDescent="0.25">
      <c r="A22220" s="50" t="s">
        <v>323</v>
      </c>
      <c r="B22220" s="72" t="str">
        <f>VLOOKUP(A22220,'Componentes APUs'!$N$1:$Q$30,2,0)</f>
        <v>Volqueta</v>
      </c>
      <c r="C22220" s="73"/>
      <c r="D22220" s="70" t="str">
        <f>VLOOKUP(A22220,'Componentes APUs'!$N$1:$Q$30,3,0)</f>
        <v>U</v>
      </c>
      <c r="E22220" s="50">
        <v>0</v>
      </c>
      <c r="F22220" s="51">
        <f>VLOOKUP(A22220,'Componentes APUs'!$N$1:$Q$30,4,0)</f>
        <v>14828184</v>
      </c>
      <c r="G22220" s="51">
        <f>IFERROR(ROUNDUP(F22220*(E22220/21)/E22166,0),0)</f>
        <v>0</v>
      </c>
    </row>
    <row r="22221" spans="1:7" x14ac:dyDescent="0.25">
      <c r="A22221" s="69" t="s">
        <v>324</v>
      </c>
      <c r="B22221" s="72" t="str">
        <f>VLOOKUP(A22221,'Componentes APUs'!$N$1:$Q$30,2,0)</f>
        <v>Retroexcavadora</v>
      </c>
      <c r="C22221" s="73"/>
      <c r="D22221" s="70" t="str">
        <f>VLOOKUP(A22221,'Componentes APUs'!$N$1:$Q$30,3,0)</f>
        <v>U</v>
      </c>
      <c r="E22221" s="50">
        <v>0</v>
      </c>
      <c r="F22221" s="51">
        <f>VLOOKUP(A22221,'Componentes APUs'!$N$1:$Q$30,4,0)</f>
        <v>46030656</v>
      </c>
      <c r="G22221" s="51">
        <f>IFERROR(ROUNDUP(F22221*(E22221/21)/E22166,0),0)</f>
        <v>0</v>
      </c>
    </row>
    <row r="22222" spans="1:7" x14ac:dyDescent="0.25">
      <c r="A22222" s="219" t="s">
        <v>99</v>
      </c>
      <c r="B22222" s="219"/>
      <c r="C22222" s="219"/>
      <c r="D22222" s="219"/>
      <c r="E22222" s="219"/>
      <c r="F22222" s="219"/>
      <c r="G22222" s="52">
        <f>SUM(G22217:G22221)</f>
        <v>2620</v>
      </c>
    </row>
    <row r="22223" spans="1:7" x14ac:dyDescent="0.25">
      <c r="A22223" s="56"/>
      <c r="B22223" s="57"/>
      <c r="C22223" s="57"/>
      <c r="D22223" s="57"/>
      <c r="E22223" s="57"/>
      <c r="F22223" s="57"/>
      <c r="G22223" s="58"/>
    </row>
    <row r="22224" spans="1:7" x14ac:dyDescent="0.25">
      <c r="A22224" s="219" t="s">
        <v>1516</v>
      </c>
      <c r="B22224" s="219"/>
      <c r="C22224" s="219"/>
      <c r="D22224" s="219"/>
      <c r="E22224" s="219"/>
      <c r="F22224" s="219"/>
      <c r="G22224" s="52">
        <f>G22222+G22213+G22196+G22186+G22176</f>
        <v>35451</v>
      </c>
    </row>
    <row r="22225" spans="1:7" x14ac:dyDescent="0.25">
      <c r="A22225" s="59"/>
      <c r="B22225" s="60"/>
      <c r="C22225" s="60"/>
      <c r="D22225" s="60"/>
      <c r="E22225" s="57"/>
      <c r="F22225" s="57"/>
      <c r="G22225" s="58"/>
    </row>
    <row r="22226" spans="1:7" x14ac:dyDescent="0.25">
      <c r="A22226" s="64"/>
      <c r="D22226" s="55"/>
      <c r="E22226" s="49" t="s">
        <v>25</v>
      </c>
      <c r="F22226" s="54">
        <v>0.15</v>
      </c>
      <c r="G22226" s="51">
        <f>G22224*F22226</f>
        <v>5317.65</v>
      </c>
    </row>
    <row r="22227" spans="1:7" x14ac:dyDescent="0.25">
      <c r="A22227" s="64"/>
      <c r="D22227" s="55"/>
      <c r="E22227" s="49" t="s">
        <v>26</v>
      </c>
      <c r="F22227" s="54">
        <v>0.05</v>
      </c>
      <c r="G22227" s="51">
        <f>G22224*F22227</f>
        <v>1772.5500000000002</v>
      </c>
    </row>
    <row r="22228" spans="1:7" x14ac:dyDescent="0.25">
      <c r="A22228" s="61"/>
      <c r="B22228" s="65"/>
      <c r="C22228" s="65"/>
      <c r="D22228" s="62"/>
      <c r="E22228" s="49" t="s">
        <v>27</v>
      </c>
      <c r="F22228" s="54">
        <v>0.05</v>
      </c>
      <c r="G22228" s="51">
        <f>G22224*F22228</f>
        <v>1772.5500000000002</v>
      </c>
    </row>
    <row r="22229" spans="1:7" x14ac:dyDescent="0.25">
      <c r="A22229" s="61"/>
      <c r="B22229" s="62"/>
      <c r="C22229" s="62"/>
      <c r="D22229" s="62"/>
      <c r="E22229" s="62"/>
      <c r="F22229" s="62"/>
      <c r="G22229" s="63"/>
    </row>
    <row r="22230" spans="1:7" x14ac:dyDescent="0.25">
      <c r="A22230" s="219" t="s">
        <v>1517</v>
      </c>
      <c r="B22230" s="219"/>
      <c r="C22230" s="219"/>
      <c r="D22230" s="219"/>
      <c r="E22230" s="219"/>
      <c r="F22230" s="219"/>
      <c r="G22230" s="52">
        <f>G22224+G22226+G22227+G22228</f>
        <v>44313.750000000007</v>
      </c>
    </row>
    <row r="22231" spans="1:7" x14ac:dyDescent="0.25">
      <c r="A22231" s="59"/>
      <c r="B22231" s="60"/>
      <c r="C22231" s="60"/>
      <c r="D22231" s="60"/>
      <c r="E22231" s="57"/>
      <c r="F22231" s="57"/>
      <c r="G22231" s="58"/>
    </row>
    <row r="22232" spans="1:7" x14ac:dyDescent="0.25">
      <c r="A22232" s="64"/>
      <c r="D22232" s="55"/>
      <c r="E22232" s="49" t="s">
        <v>102</v>
      </c>
      <c r="F22232" s="49" t="s">
        <v>103</v>
      </c>
      <c r="G22232" s="51">
        <f>G22228*19%</f>
        <v>336.78450000000004</v>
      </c>
    </row>
    <row r="22233" spans="1:7" x14ac:dyDescent="0.25">
      <c r="A22233" s="61"/>
      <c r="B22233" s="62"/>
      <c r="C22233" s="62"/>
      <c r="D22233" s="62"/>
      <c r="E22233" s="57"/>
      <c r="F22233" s="57"/>
      <c r="G22233" s="58"/>
    </row>
    <row r="22234" spans="1:7" x14ac:dyDescent="0.25">
      <c r="A22234" s="219" t="s">
        <v>104</v>
      </c>
      <c r="B22234" s="219"/>
      <c r="C22234" s="219"/>
      <c r="D22234" s="219"/>
      <c r="E22234" s="219"/>
      <c r="F22234" s="219"/>
      <c r="G22234" s="52">
        <f>G22232+G22230</f>
        <v>44650.534500000009</v>
      </c>
    </row>
    <row r="22236" spans="1:7" x14ac:dyDescent="0.25">
      <c r="A22236" s="74" t="s">
        <v>29</v>
      </c>
      <c r="B22236" s="237" t="s">
        <v>30</v>
      </c>
      <c r="C22236" s="238"/>
      <c r="D22236" s="74" t="s">
        <v>31</v>
      </c>
      <c r="E22236" s="74" t="s">
        <v>32</v>
      </c>
      <c r="F22236" s="74" t="s">
        <v>189</v>
      </c>
      <c r="G22236" s="74" t="s">
        <v>33</v>
      </c>
    </row>
    <row r="22237" spans="1:7" x14ac:dyDescent="0.25">
      <c r="A22237" s="50" t="str">
        <f>Presupuesto!B426</f>
        <v>085_AUX</v>
      </c>
      <c r="B22237" s="220" t="str">
        <f>Presupuesto!C426</f>
        <v>CONEXIÓN EN X CON SOLDADURA EXOTÉRMICA</v>
      </c>
      <c r="C22237" s="239"/>
      <c r="D22237" s="50" t="s">
        <v>8</v>
      </c>
      <c r="E22237" s="93">
        <v>8</v>
      </c>
      <c r="F22237" s="50"/>
      <c r="G22237" s="51">
        <f>G22306</f>
        <v>195796.83199999997</v>
      </c>
    </row>
    <row r="22238" spans="1:7" x14ac:dyDescent="0.25">
      <c r="A22238" s="219" t="s">
        <v>34</v>
      </c>
      <c r="B22238" s="219"/>
      <c r="C22238" s="219"/>
      <c r="D22238" s="219"/>
      <c r="E22238" s="219"/>
      <c r="F22238" s="219"/>
      <c r="G22238" s="219"/>
    </row>
    <row r="22239" spans="1:7" x14ac:dyDescent="0.25">
      <c r="A22239" s="49" t="s">
        <v>35</v>
      </c>
      <c r="B22239" s="234" t="s">
        <v>36</v>
      </c>
      <c r="C22239" s="235"/>
      <c r="D22239" s="49" t="s">
        <v>37</v>
      </c>
      <c r="E22239" s="49" t="s">
        <v>38</v>
      </c>
      <c r="F22239" s="49" t="s">
        <v>39</v>
      </c>
      <c r="G22239" s="49" t="s">
        <v>40</v>
      </c>
    </row>
    <row r="22240" spans="1:7" x14ac:dyDescent="0.25">
      <c r="A22240" s="17" t="str">
        <f>Material!A163</f>
        <v>MA-162</v>
      </c>
      <c r="B22240" s="72" t="str">
        <f>IFERROR(VLOOKUP(A22240,Material!$A:$H,2,0),"-")</f>
        <v>SOLDADURA EXOTÉRMICA 200 G</v>
      </c>
      <c r="C22240" s="76"/>
      <c r="D22240" s="50" t="str">
        <f>IFERROR(VLOOKUP(A22240,Material!$A:$H,4,0),"-")</f>
        <v>UN</v>
      </c>
      <c r="E22240" s="50">
        <v>1</v>
      </c>
      <c r="F22240" s="51">
        <f>IFERROR(VLOOKUP(A22240,Material!$A:$H,3,0),"-")</f>
        <v>37375</v>
      </c>
      <c r="G22240" s="51">
        <f t="shared" ref="G22240:G22246" si="333">IFERROR(ROUNDUP(F22240*E22240,0),"-")</f>
        <v>37375</v>
      </c>
    </row>
    <row r="22241" spans="1:7" x14ac:dyDescent="0.25">
      <c r="A22241" s="17"/>
      <c r="B22241" s="72" t="str">
        <f>IFERROR(VLOOKUP(A22241,Material!$A:$H,2,0),"-")</f>
        <v>-</v>
      </c>
      <c r="C22241" s="76"/>
      <c r="D22241" s="50" t="str">
        <f>IFERROR(VLOOKUP(A22241,Material!$A:$H,4,0),"-")</f>
        <v>-</v>
      </c>
      <c r="E22241" s="50"/>
      <c r="F22241" s="51" t="str">
        <f>IFERROR(VLOOKUP(A22241,Material!$A:$H,3,0),"-")</f>
        <v>-</v>
      </c>
      <c r="G22241" s="51" t="str">
        <f t="shared" si="333"/>
        <v>-</v>
      </c>
    </row>
    <row r="22242" spans="1:7" x14ac:dyDescent="0.25">
      <c r="A22242" s="17"/>
      <c r="B22242" s="72" t="str">
        <f>IFERROR(VLOOKUP(A22242,Material!$A:$H,2,0),"-")</f>
        <v>-</v>
      </c>
      <c r="C22242" s="76"/>
      <c r="D22242" s="50" t="str">
        <f>IFERROR(VLOOKUP(A22242,Material!$A:$H,4,0),"-")</f>
        <v>-</v>
      </c>
      <c r="E22242" s="50"/>
      <c r="F22242" s="51" t="str">
        <f>IFERROR(VLOOKUP(A22242,Material!$A:$H,3,0),"-")</f>
        <v>-</v>
      </c>
      <c r="G22242" s="51" t="str">
        <f t="shared" si="333"/>
        <v>-</v>
      </c>
    </row>
    <row r="22243" spans="1:7" x14ac:dyDescent="0.25">
      <c r="A22243" s="17"/>
      <c r="B22243" s="72" t="str">
        <f>IFERROR(VLOOKUP(A22243,Material!$A:$H,2,0),"-")</f>
        <v>-</v>
      </c>
      <c r="C22243" s="76"/>
      <c r="D22243" s="50" t="str">
        <f>IFERROR(VLOOKUP(A22243,Material!$A:$H,4,0),"-")</f>
        <v>-</v>
      </c>
      <c r="E22243" s="50"/>
      <c r="F22243" s="51" t="str">
        <f>IFERROR(VLOOKUP(A22243,Material!$A:$H,3,0),"-")</f>
        <v>-</v>
      </c>
      <c r="G22243" s="51" t="str">
        <f t="shared" si="333"/>
        <v>-</v>
      </c>
    </row>
    <row r="22244" spans="1:7" x14ac:dyDescent="0.25">
      <c r="A22244" s="17"/>
      <c r="B22244" s="72" t="str">
        <f>IFERROR(VLOOKUP(A22244,Material!$A:$H,2,0),"-")</f>
        <v>-</v>
      </c>
      <c r="C22244" s="76"/>
      <c r="D22244" s="50" t="str">
        <f>IFERROR(VLOOKUP(A22244,Material!$A:$H,4,0),"-")</f>
        <v>-</v>
      </c>
      <c r="E22244" s="50"/>
      <c r="F22244" s="51" t="str">
        <f>IFERROR(VLOOKUP(A22244,Material!$A:$H,3,0),"-")</f>
        <v>-</v>
      </c>
      <c r="G22244" s="51" t="str">
        <f t="shared" si="333"/>
        <v>-</v>
      </c>
    </row>
    <row r="22245" spans="1:7" x14ac:dyDescent="0.25">
      <c r="A22245" s="17"/>
      <c r="B22245" s="72" t="str">
        <f>IFERROR(VLOOKUP(A22245,Material!$A:$H,2,0),"-")</f>
        <v>-</v>
      </c>
      <c r="C22245" s="76"/>
      <c r="D22245" s="50" t="str">
        <f>IFERROR(VLOOKUP(A22245,Material!$A:$H,4,0),"-")</f>
        <v>-</v>
      </c>
      <c r="E22245" s="50"/>
      <c r="F22245" s="51" t="str">
        <f>IFERROR(VLOOKUP(A22245,Material!$A:$H,3,0),"-")</f>
        <v>-</v>
      </c>
      <c r="G22245" s="51" t="str">
        <f t="shared" si="333"/>
        <v>-</v>
      </c>
    </row>
    <row r="22246" spans="1:7" x14ac:dyDescent="0.25">
      <c r="A22246" s="17"/>
      <c r="B22246" s="72" t="str">
        <f>IFERROR(VLOOKUP(A22246,Material!$A:$H,2,0),"-")</f>
        <v>-</v>
      </c>
      <c r="C22246" s="76"/>
      <c r="D22246" s="50" t="str">
        <f>IFERROR(VLOOKUP(A22246,Material!$A:$H,4,0),"-")</f>
        <v>-</v>
      </c>
      <c r="E22246" s="50"/>
      <c r="F22246" s="51" t="str">
        <f>IFERROR(VLOOKUP(A22246,Material!$A:$H,3,0),"-")</f>
        <v>-</v>
      </c>
      <c r="G22246" s="51" t="str">
        <f t="shared" si="333"/>
        <v>-</v>
      </c>
    </row>
    <row r="22247" spans="1:7" x14ac:dyDescent="0.25">
      <c r="A22247" s="234" t="s">
        <v>41</v>
      </c>
      <c r="B22247" s="236"/>
      <c r="C22247" s="236"/>
      <c r="D22247" s="236"/>
      <c r="E22247" s="236"/>
      <c r="F22247" s="235"/>
      <c r="G22247" s="52">
        <f>SUM(G22240:G22246)</f>
        <v>37375</v>
      </c>
    </row>
    <row r="22248" spans="1:7" x14ac:dyDescent="0.25">
      <c r="A22248" s="56"/>
      <c r="B22248" s="57"/>
      <c r="C22248" s="57"/>
      <c r="D22248" s="57"/>
      <c r="E22248" s="57"/>
      <c r="F22248" s="57"/>
      <c r="G22248" s="58"/>
    </row>
    <row r="22249" spans="1:7" x14ac:dyDescent="0.25">
      <c r="A22249" s="219" t="s">
        <v>42</v>
      </c>
      <c r="B22249" s="219"/>
      <c r="C22249" s="219"/>
      <c r="D22249" s="219"/>
      <c r="E22249" s="219"/>
      <c r="F22249" s="219"/>
      <c r="G22249" s="219"/>
    </row>
    <row r="22250" spans="1:7" x14ac:dyDescent="0.25">
      <c r="A22250" s="49" t="s">
        <v>35</v>
      </c>
      <c r="B22250" s="49" t="s">
        <v>36</v>
      </c>
      <c r="C22250" s="49" t="s">
        <v>38</v>
      </c>
      <c r="D22250" s="49" t="s">
        <v>43</v>
      </c>
      <c r="E22250" s="49" t="s">
        <v>44</v>
      </c>
      <c r="F22250" s="49" t="s">
        <v>45</v>
      </c>
      <c r="G22250" s="49" t="s">
        <v>40</v>
      </c>
    </row>
    <row r="22251" spans="1:7" x14ac:dyDescent="0.25">
      <c r="A22251" s="50" t="s">
        <v>319</v>
      </c>
      <c r="B22251" s="68" t="str">
        <f>VLOOKUP(A22251,'Componentes APUs'!$H$1:$L$25,2,0)</f>
        <v>Ingeniero Residente de Obra</v>
      </c>
      <c r="C22251" s="93">
        <v>0.25</v>
      </c>
      <c r="D22251" s="50">
        <f>VLOOKUP(A22251,'Componentes APUs'!$H$1:$L$25,3,0)</f>
        <v>4</v>
      </c>
      <c r="E22251" s="51">
        <f>VLOOKUP(A22251,'Componentes APUs'!$H$1:$L$25,4,0)</f>
        <v>271142.85714285716</v>
      </c>
      <c r="F22251" s="51">
        <f>VLOOKUP(A22251,'Componentes APUs'!$H$1:$L$25,5,0)</f>
        <v>162685.71428571429</v>
      </c>
      <c r="G22251" s="51">
        <f>ROUNDUP((E22251+F22251)*C22251/E22237,0)</f>
        <v>13558</v>
      </c>
    </row>
    <row r="22252" spans="1:7" x14ac:dyDescent="0.25">
      <c r="A22252" s="50" t="s">
        <v>320</v>
      </c>
      <c r="B22252" s="68" t="str">
        <f>VLOOKUP(A22252,'Componentes APUs'!$H$1:$L$25,2,0)</f>
        <v>Tecnico Supervisor</v>
      </c>
      <c r="C22252" s="93">
        <v>0.25</v>
      </c>
      <c r="D22252" s="50">
        <f>VLOOKUP(A22252,'Componentes APUs'!$H$1:$L$25,3,0)</f>
        <v>2.2999999999999998</v>
      </c>
      <c r="E22252" s="51">
        <f>VLOOKUP(A22252,'Componentes APUs'!$H$1:$L$25,4,0)</f>
        <v>155907.14285714284</v>
      </c>
      <c r="F22252" s="51">
        <f>VLOOKUP(A22252,'Componentes APUs'!$H$1:$L$25,5,0)</f>
        <v>93544.285714285696</v>
      </c>
      <c r="G22252" s="51">
        <f>ROUNDUP((E22252+F22252)*C22252/E22237,0)</f>
        <v>7796</v>
      </c>
    </row>
    <row r="22253" spans="1:7" x14ac:dyDescent="0.25">
      <c r="A22253" s="50" t="s">
        <v>1160</v>
      </c>
      <c r="B22253" s="68" t="str">
        <f>VLOOKUP(A22253,'Componentes APUs'!$H$1:$L$25,2,0)</f>
        <v>Oficial Eléctrico</v>
      </c>
      <c r="C22253" s="93">
        <v>1</v>
      </c>
      <c r="D22253" s="50">
        <f>VLOOKUP(A22253,'Componentes APUs'!$H$1:$L$25,3,0)</f>
        <v>2</v>
      </c>
      <c r="E22253" s="51">
        <f>VLOOKUP(A22253,'Componentes APUs'!$H$1:$L$25,4,0)</f>
        <v>154619.04761904763</v>
      </c>
      <c r="F22253" s="51">
        <f>VLOOKUP(A22253,'Componentes APUs'!$H$1:$L$25,5,0)</f>
        <v>92771.42857142858</v>
      </c>
      <c r="G22253" s="51">
        <f>ROUNDUP((E22253+F22253)*C22253/E22237,0)</f>
        <v>30924</v>
      </c>
    </row>
    <row r="22254" spans="1:7" x14ac:dyDescent="0.25">
      <c r="A22254" s="50" t="s">
        <v>48</v>
      </c>
      <c r="B22254" s="68" t="str">
        <f>VLOOKUP(A22254,'Componentes APUs'!$H$1:$L$25,2,0)</f>
        <v>Ayudante Calificado</v>
      </c>
      <c r="C22254" s="93">
        <v>1</v>
      </c>
      <c r="D22254" s="50">
        <f>VLOOKUP(A22254,'Componentes APUs'!$H$1:$L$25,3,0)</f>
        <v>1.5</v>
      </c>
      <c r="E22254" s="51">
        <f>VLOOKUP(A22254,'Componentes APUs'!$H$1:$L$25,4,0)</f>
        <v>115964.28571428571</v>
      </c>
      <c r="F22254" s="51">
        <f>VLOOKUP(A22254,'Componentes APUs'!$H$1:$L$25,5,0)</f>
        <v>69578.57142857142</v>
      </c>
      <c r="G22254" s="51">
        <f>ROUNDUP((E22254+F22254)*C22254/E22237,0)</f>
        <v>23193</v>
      </c>
    </row>
    <row r="22255" spans="1:7" x14ac:dyDescent="0.25">
      <c r="A22255" s="50" t="s">
        <v>50</v>
      </c>
      <c r="B22255" s="68" t="str">
        <f>VLOOKUP(A22255,'Componentes APUs'!$H$1:$L$25,2,0)</f>
        <v>Profesional en SST</v>
      </c>
      <c r="C22255" s="93">
        <v>0.25</v>
      </c>
      <c r="D22255" s="50">
        <f>VLOOKUP(A22255,'Componentes APUs'!$H$1:$L$25,3,0)</f>
        <v>2.5</v>
      </c>
      <c r="E22255" s="51">
        <f>VLOOKUP(A22255,'Componentes APUs'!$H$1:$L$25,4,0)</f>
        <v>169464.28571428571</v>
      </c>
      <c r="F22255" s="51">
        <f>VLOOKUP(A22255,'Componentes APUs'!$H$1:$L$25,5,0)</f>
        <v>101678.57142857142</v>
      </c>
      <c r="G22255" s="51">
        <f>ROUNDUP((E22255+F22255)*C22255/E22237,0)</f>
        <v>8474</v>
      </c>
    </row>
    <row r="22256" spans="1:7" x14ac:dyDescent="0.25">
      <c r="A22256" s="50" t="s">
        <v>52</v>
      </c>
      <c r="B22256" s="68" t="str">
        <f>VLOOKUP(A22256,'Componentes APUs'!$H$1:$L$25,2,0)</f>
        <v>Ayudante No Calificado</v>
      </c>
      <c r="C22256" s="93">
        <v>0</v>
      </c>
      <c r="D22256" s="50">
        <f>VLOOKUP(A22256,'Componentes APUs'!$H$1:$L$25,3,0)</f>
        <v>1</v>
      </c>
      <c r="E22256" s="51">
        <f>VLOOKUP(A22256,'Componentes APUs'!$H$1:$L$25,4,0)</f>
        <v>77309.523809523816</v>
      </c>
      <c r="F22256" s="51">
        <f>VLOOKUP(A22256,'Componentes APUs'!$H$1:$L$25,5,0)</f>
        <v>46385.71428571429</v>
      </c>
      <c r="G22256" s="51">
        <f>ROUNDUP((E22256+F22256)*C22256/E22237,0)</f>
        <v>0</v>
      </c>
    </row>
    <row r="22257" spans="1:7" x14ac:dyDescent="0.25">
      <c r="A22257" s="219" t="s">
        <v>56</v>
      </c>
      <c r="B22257" s="219"/>
      <c r="C22257" s="219"/>
      <c r="D22257" s="219"/>
      <c r="E22257" s="219"/>
      <c r="F22257" s="219"/>
      <c r="G22257" s="52">
        <f>SUM(G22251:G22256)</f>
        <v>83945</v>
      </c>
    </row>
    <row r="22258" spans="1:7" x14ac:dyDescent="0.25">
      <c r="A22258" s="56"/>
      <c r="B22258" s="57"/>
      <c r="C22258" s="57"/>
      <c r="D22258" s="57"/>
      <c r="E22258" s="57"/>
      <c r="F22258" s="57"/>
      <c r="G22258" s="58"/>
    </row>
    <row r="22259" spans="1:7" x14ac:dyDescent="0.25">
      <c r="A22259" s="219" t="s">
        <v>57</v>
      </c>
      <c r="B22259" s="219"/>
      <c r="C22259" s="219"/>
      <c r="D22259" s="219"/>
      <c r="E22259" s="219"/>
      <c r="F22259" s="219"/>
      <c r="G22259" s="219"/>
    </row>
    <row r="22260" spans="1:7" x14ac:dyDescent="0.25">
      <c r="A22260" s="49" t="s">
        <v>35</v>
      </c>
      <c r="B22260" s="219" t="s">
        <v>36</v>
      </c>
      <c r="C22260" s="219"/>
      <c r="D22260" s="49" t="s">
        <v>37</v>
      </c>
      <c r="E22260" s="49" t="s">
        <v>38</v>
      </c>
      <c r="F22260" s="49" t="s">
        <v>39</v>
      </c>
      <c r="G22260" s="49" t="s">
        <v>40</v>
      </c>
    </row>
    <row r="22261" spans="1:7" x14ac:dyDescent="0.25">
      <c r="A22261" s="50" t="s">
        <v>326</v>
      </c>
      <c r="B22261" s="220" t="str">
        <f>VLOOKUP(A22261,'Componentes APUs'!$S$1:$V$10,2,0)</f>
        <v>Juego Llaves</v>
      </c>
      <c r="C22261" s="220"/>
      <c r="D22261" s="50" t="s">
        <v>18</v>
      </c>
      <c r="E22261" s="50">
        <v>1</v>
      </c>
      <c r="F22261" s="51">
        <f>VLOOKUP(A22261,'Componentes APUs'!$S$1:$V$10,4,0)</f>
        <v>9167</v>
      </c>
      <c r="G22261" s="51">
        <f>ROUNDUP(F22261*((E22261/21)/E22237),0)</f>
        <v>55</v>
      </c>
    </row>
    <row r="22262" spans="1:7" x14ac:dyDescent="0.25">
      <c r="A22262" s="50" t="s">
        <v>58</v>
      </c>
      <c r="B22262" s="220" t="str">
        <f>VLOOKUP(A22262,'Componentes APUs'!$S$1:$V$10,2,0)</f>
        <v>Manila de servicio</v>
      </c>
      <c r="C22262" s="220"/>
      <c r="D22262" s="50" t="s">
        <v>18</v>
      </c>
      <c r="E22262" s="50">
        <v>0</v>
      </c>
      <c r="F22262" s="51">
        <f>VLOOKUP(A22262,'Componentes APUs'!$S$1:$V$10,4,0)</f>
        <v>2333</v>
      </c>
      <c r="G22262" s="51">
        <f>ROUNDUP(F22262*((E22262/21)/E22237),0)</f>
        <v>0</v>
      </c>
    </row>
    <row r="22263" spans="1:7" x14ac:dyDescent="0.25">
      <c r="A22263" s="50" t="s">
        <v>327</v>
      </c>
      <c r="B22263" s="220" t="str">
        <f>VLOOKUP(A22263,'Componentes APUs'!$S$1:$V$10,2,0)</f>
        <v>Tula portaherramientas</v>
      </c>
      <c r="C22263" s="220"/>
      <c r="D22263" s="50" t="s">
        <v>18</v>
      </c>
      <c r="E22263" s="50">
        <v>1</v>
      </c>
      <c r="F22263" s="51">
        <f>VLOOKUP(A22263,'Componentes APUs'!$S$1:$V$10,4,0)</f>
        <v>1250</v>
      </c>
      <c r="G22263" s="51">
        <f>ROUNDUP(F22263*((E22263/21)/E22237),0)</f>
        <v>8</v>
      </c>
    </row>
    <row r="22264" spans="1:7" x14ac:dyDescent="0.25">
      <c r="A22264" s="50" t="s">
        <v>60</v>
      </c>
      <c r="B22264" s="220" t="str">
        <f>VLOOKUP(A22264,'Componentes APUs'!$S$1:$V$10,2,0)</f>
        <v>Agarradoras</v>
      </c>
      <c r="C22264" s="220"/>
      <c r="D22264" s="50" t="s">
        <v>18</v>
      </c>
      <c r="E22264" s="50">
        <v>0</v>
      </c>
      <c r="F22264" s="51">
        <f>VLOOKUP(A22264,'Componentes APUs'!$S$1:$V$10,4,0)</f>
        <v>125000</v>
      </c>
      <c r="G22264" s="51">
        <f>ROUNDUP(F22264*((E22264/21)/E22237),0)</f>
        <v>0</v>
      </c>
    </row>
    <row r="22265" spans="1:7" x14ac:dyDescent="0.25">
      <c r="A22265" s="50" t="s">
        <v>62</v>
      </c>
      <c r="B22265" s="220" t="str">
        <f>VLOOKUP(A22265,'Componentes APUs'!$S$1:$V$10,2,0)</f>
        <v>Templadoras</v>
      </c>
      <c r="C22265" s="220"/>
      <c r="D22265" s="50" t="s">
        <v>18</v>
      </c>
      <c r="E22265" s="50">
        <v>0</v>
      </c>
      <c r="F22265" s="51">
        <f>VLOOKUP(A22265,'Componentes APUs'!$S$1:$V$10,4,0)</f>
        <v>250000</v>
      </c>
      <c r="G22265" s="51">
        <f>ROUNDUP(F22265*((E22265/21)/E22237),0)</f>
        <v>0</v>
      </c>
    </row>
    <row r="22266" spans="1:7" ht="15" customHeight="1" x14ac:dyDescent="0.25">
      <c r="A22266" s="50" t="s">
        <v>328</v>
      </c>
      <c r="B22266" s="220" t="str">
        <f>VLOOKUP(A22266,'Componentes APUs'!$S$1:$V$10,2,0)</f>
        <v>Herramienta Menor</v>
      </c>
      <c r="C22266" s="220"/>
      <c r="D22266" s="50" t="s">
        <v>18</v>
      </c>
      <c r="E22266" s="50">
        <v>1</v>
      </c>
      <c r="F22266" s="51">
        <f>VLOOKUP(A22266,'Componentes APUs'!$S$1:$V$10,4,0)</f>
        <v>75758</v>
      </c>
      <c r="G22266" s="51">
        <f>ROUNDUP(F22266*((E22266/21)/E22237),0)</f>
        <v>451</v>
      </c>
    </row>
    <row r="22267" spans="1:7" ht="15" customHeight="1" x14ac:dyDescent="0.25">
      <c r="A22267" s="50" t="s">
        <v>1046</v>
      </c>
      <c r="B22267" s="220" t="str">
        <f>VLOOKUP(A22267,'Componentes APUs'!$S$1:$V$10,2,0)</f>
        <v>Molde Grafito Soldadura Exotérmica En X</v>
      </c>
      <c r="C22267" s="220"/>
      <c r="D22267" s="50" t="s">
        <v>18</v>
      </c>
      <c r="E22267" s="50">
        <f>1/40</f>
        <v>2.5000000000000001E-2</v>
      </c>
      <c r="F22267" s="51">
        <f>VLOOKUP(A22267,'Componentes APUs'!$S$1:$V$10,4,0)</f>
        <v>239000</v>
      </c>
      <c r="G22267" s="51">
        <f>ROUNDUP(F22267*((E22267/21)/E22237),0)</f>
        <v>36</v>
      </c>
    </row>
    <row r="22268" spans="1:7" x14ac:dyDescent="0.25">
      <c r="A22268" s="219" t="s">
        <v>69</v>
      </c>
      <c r="B22268" s="219"/>
      <c r="C22268" s="219"/>
      <c r="D22268" s="219"/>
      <c r="E22268" s="219"/>
      <c r="F22268" s="219"/>
      <c r="G22268" s="52">
        <f>SUM(G22261:G22267)</f>
        <v>550</v>
      </c>
    </row>
    <row r="22269" spans="1:7" x14ac:dyDescent="0.25">
      <c r="A22269" s="56"/>
      <c r="B22269" s="57"/>
      <c r="C22269" s="57"/>
      <c r="D22269" s="57"/>
      <c r="E22269" s="57"/>
      <c r="F22269" s="57"/>
      <c r="G22269" s="58"/>
    </row>
    <row r="22270" spans="1:7" x14ac:dyDescent="0.25">
      <c r="A22270" s="219" t="s">
        <v>70</v>
      </c>
      <c r="B22270" s="219"/>
      <c r="C22270" s="219"/>
      <c r="D22270" s="219"/>
      <c r="E22270" s="219"/>
      <c r="F22270" s="219"/>
      <c r="G22270" s="219"/>
    </row>
    <row r="22271" spans="1:7" x14ac:dyDescent="0.25">
      <c r="A22271" s="49" t="s">
        <v>35</v>
      </c>
      <c r="B22271" s="219" t="s">
        <v>36</v>
      </c>
      <c r="C22271" s="219"/>
      <c r="D22271" s="49" t="s">
        <v>37</v>
      </c>
      <c r="E22271" s="49" t="s">
        <v>38</v>
      </c>
      <c r="F22271" s="49" t="s">
        <v>39</v>
      </c>
      <c r="G22271" s="49" t="s">
        <v>40</v>
      </c>
    </row>
    <row r="22272" spans="1:7" x14ac:dyDescent="0.25">
      <c r="A22272" s="50" t="s">
        <v>71</v>
      </c>
      <c r="B22272" s="71" t="str">
        <f>VLOOKUP(A22272,'Componentes APUs'!$A$1:$D$14,2,0)</f>
        <v>Camisa indigo sin partes metalicas</v>
      </c>
      <c r="C22272" s="71"/>
      <c r="D22272" s="50" t="str">
        <f>VLOOKUP(A22272,'Componentes APUs'!$A$1:$D$14,3,0)</f>
        <v>U</v>
      </c>
      <c r="E22272" s="50">
        <f>SUM(C22251:C22256)</f>
        <v>2.75</v>
      </c>
      <c r="F22272" s="51">
        <f>VLOOKUP(A22272,'Componentes APUs'!$A$1:$D$14,4,0)</f>
        <v>8585.8585858585866</v>
      </c>
      <c r="G22272" s="51">
        <f>ROUNDUP(F22272*(E22272/21)/E22237,0)</f>
        <v>141</v>
      </c>
    </row>
    <row r="22273" spans="1:7" x14ac:dyDescent="0.25">
      <c r="A22273" s="69" t="s">
        <v>73</v>
      </c>
      <c r="B22273" s="72" t="str">
        <f>VLOOKUP(A22273,'Componentes APUs'!$A$1:$D$14,2,0)</f>
        <v>Bota de seguridad dielectrica</v>
      </c>
      <c r="C22273" s="73"/>
      <c r="D22273" s="70" t="str">
        <f>VLOOKUP(A22273,'Componentes APUs'!$A$1:$D$14,3,0)</f>
        <v>Par</v>
      </c>
      <c r="E22273" s="50">
        <f>SUM(C22251:C22256)</f>
        <v>2.75</v>
      </c>
      <c r="F22273" s="51">
        <f>VLOOKUP(A22273,'Componentes APUs'!$A$1:$D$14,4,0)</f>
        <v>7500</v>
      </c>
      <c r="G22273" s="51">
        <f>ROUNDUP(F22273*(E22273/21)/E22237,0)</f>
        <v>123</v>
      </c>
    </row>
    <row r="22274" spans="1:7" x14ac:dyDescent="0.25">
      <c r="A22274" s="50" t="s">
        <v>76</v>
      </c>
      <c r="B22274" s="72" t="str">
        <f>VLOOKUP(A22274,'Componentes APUs'!$A$1:$D$14,2,0)</f>
        <v>Casco dielectrico Tipo 1 Clase E con barbuquejo</v>
      </c>
      <c r="C22274" s="73"/>
      <c r="D22274" s="50" t="str">
        <f>VLOOKUP(A22274,'Componentes APUs'!$A$1:$D$14,3,0)</f>
        <v>U</v>
      </c>
      <c r="E22274" s="50">
        <f>C22256+C22251+C22254+C22255+C22252+IF(A22253&lt;&gt;"MO-3",C22253,0)</f>
        <v>2.75</v>
      </c>
      <c r="F22274" s="51">
        <f>VLOOKUP(A22274,'Componentes APUs'!$A$1:$D$14,4,0)</f>
        <v>10101.010101010101</v>
      </c>
      <c r="G22274" s="51">
        <f>ROUNDUP(F22274*(E22274/21)/E22237,0)</f>
        <v>166</v>
      </c>
    </row>
    <row r="22275" spans="1:7" x14ac:dyDescent="0.25">
      <c r="A22275" s="69" t="s">
        <v>77</v>
      </c>
      <c r="B22275" s="72" t="str">
        <f>VLOOKUP(A22275,'Componentes APUs'!$A$1:$D$14,2,0)</f>
        <v>Correa plastica y antiflama</v>
      </c>
      <c r="C22275" s="73"/>
      <c r="D22275" s="50" t="str">
        <f>VLOOKUP(A22275,'Componentes APUs'!$A$1:$D$14,3,0)</f>
        <v>U</v>
      </c>
      <c r="E22275" s="50">
        <f>SUM(C22251:C22256)</f>
        <v>2.75</v>
      </c>
      <c r="F22275" s="51">
        <f>VLOOKUP(A22275,'Componentes APUs'!$A$1:$D$14,4,0)</f>
        <v>3787.878787878788</v>
      </c>
      <c r="G22275" s="51">
        <f>ROUNDUP(F22275*(E22275/21)/E22237,0)</f>
        <v>63</v>
      </c>
    </row>
    <row r="22276" spans="1:7" x14ac:dyDescent="0.25">
      <c r="A22276" s="50" t="s">
        <v>79</v>
      </c>
      <c r="B22276" s="72" t="str">
        <f>VLOOKUP(A22276,'Componentes APUs'!$A$1:$D$14,2,0)</f>
        <v>Gafas protectoras filtro UV</v>
      </c>
      <c r="C22276" s="73"/>
      <c r="D22276" s="50" t="str">
        <f>VLOOKUP(A22276,'Componentes APUs'!$A$1:$D$14,3,0)</f>
        <v>U</v>
      </c>
      <c r="E22276" s="50">
        <f>SUM(C22251:C22256)</f>
        <v>2.75</v>
      </c>
      <c r="F22276" s="51">
        <f>VLOOKUP(A22276,'Componentes APUs'!$A$1:$D$14,4,0)</f>
        <v>2777.7777777777778</v>
      </c>
      <c r="G22276" s="51">
        <f>ROUNDUP(F22276*(E22276/21)/E22237,0)</f>
        <v>46</v>
      </c>
    </row>
    <row r="22277" spans="1:7" x14ac:dyDescent="0.25">
      <c r="A22277" s="69" t="s">
        <v>402</v>
      </c>
      <c r="B22277" s="72" t="str">
        <f>VLOOKUP(A22277,'Componentes APUs'!$A$1:$D$14,2,0)</f>
        <v>Bota de seguridad PVC dielectrica</v>
      </c>
      <c r="C22277" s="73"/>
      <c r="D22277" s="50" t="str">
        <f>VLOOKUP(A22277,'Componentes APUs'!$A$1:$D$14,3,0)</f>
        <v>Par</v>
      </c>
      <c r="E22277" s="50">
        <f>SUM(C22251:C22256)</f>
        <v>2.75</v>
      </c>
      <c r="F22277" s="51">
        <f>VLOOKUP(A22277,'Componentes APUs'!$A$1:$D$14,4,0)</f>
        <v>2916.6666666666665</v>
      </c>
      <c r="G22277" s="51">
        <f>ROUNDUP(F22277*(E22277/21)/E22237,0)</f>
        <v>48</v>
      </c>
    </row>
    <row r="22278" spans="1:7" x14ac:dyDescent="0.25">
      <c r="A22278" s="50" t="s">
        <v>403</v>
      </c>
      <c r="B22278" s="72" t="str">
        <f>VLOOKUP(A22278,'Componentes APUs'!$A$1:$D$14,2,0)</f>
        <v>Capuchon</v>
      </c>
      <c r="C22278" s="73"/>
      <c r="D22278" s="50" t="str">
        <f>VLOOKUP(A22278,'Componentes APUs'!$A$1:$D$14,3,0)</f>
        <v>U</v>
      </c>
      <c r="E22278" s="50">
        <f>SUM(C22251:C22256)</f>
        <v>2.75</v>
      </c>
      <c r="F22278" s="51">
        <f>VLOOKUP(A22278,'Componentes APUs'!$A$1:$D$14,4,0)</f>
        <v>2525.2525252525252</v>
      </c>
      <c r="G22278" s="51">
        <f>ROUNDUP(F22278*(E22278/21)/E22237,0)</f>
        <v>42</v>
      </c>
    </row>
    <row r="22279" spans="1:7" x14ac:dyDescent="0.25">
      <c r="A22279" s="69" t="s">
        <v>81</v>
      </c>
      <c r="B22279" s="72" t="str">
        <f>VLOOKUP(A22279,'Componentes APUs'!$A$1:$D$14,2,0)</f>
        <v>Guantes Protectores  - ingeniero reforzados</v>
      </c>
      <c r="C22279" s="73"/>
      <c r="D22279" s="50" t="str">
        <f>VLOOKUP(A22279,'Componentes APUs'!$A$1:$D$14,3,0)</f>
        <v>Par</v>
      </c>
      <c r="E22279" s="50">
        <f>C22253+C22254+C22256</f>
        <v>2</v>
      </c>
      <c r="F22279" s="51">
        <f>VLOOKUP(A22279,'Componentes APUs'!$A$1:$D$14,4,0)</f>
        <v>2525.2525252525252</v>
      </c>
      <c r="G22279" s="51">
        <f>ROUNDUP(F22279*(E22279/21)/E22237,0)</f>
        <v>31</v>
      </c>
    </row>
    <row r="22280" spans="1:7" x14ac:dyDescent="0.25">
      <c r="A22280" s="50" t="s">
        <v>83</v>
      </c>
      <c r="B22280" s="72" t="str">
        <f>VLOOKUP(A22280,'Componentes APUs'!$A$1:$D$14,2,0)</f>
        <v>Impermeable (pantalon camisa)</v>
      </c>
      <c r="C22280" s="73"/>
      <c r="D22280" s="50" t="str">
        <f>VLOOKUP(A22280,'Componentes APUs'!$A$1:$D$14,3,0)</f>
        <v>U</v>
      </c>
      <c r="E22280" s="50">
        <f>SUM(C22251:C22256)</f>
        <v>2.75</v>
      </c>
      <c r="F22280" s="51">
        <f>VLOOKUP(A22280,'Componentes APUs'!$A$1:$D$14,4,0)</f>
        <v>3750</v>
      </c>
      <c r="G22280" s="51">
        <f>ROUNDUP(F22280*(E22280/21)/E22237,0)</f>
        <v>62</v>
      </c>
    </row>
    <row r="22281" spans="1:7" x14ac:dyDescent="0.25">
      <c r="A22281" s="69" t="s">
        <v>85</v>
      </c>
      <c r="B22281" s="72" t="str">
        <f>VLOOKUP(A22281,'Componentes APUs'!$A$1:$D$14,2,0)</f>
        <v>Jean Dielectrico</v>
      </c>
      <c r="C22281" s="73"/>
      <c r="D22281" s="50" t="str">
        <f>VLOOKUP(A22281,'Componentes APUs'!$A$1:$D$14,3,0)</f>
        <v>U</v>
      </c>
      <c r="E22281" s="50">
        <f>SUM(C22251:C22256)</f>
        <v>2.75</v>
      </c>
      <c r="F22281" s="51">
        <f>VLOOKUP(A22281,'Componentes APUs'!$A$1:$D$14,4,0)</f>
        <v>7575.757575757576</v>
      </c>
      <c r="G22281" s="51">
        <f>ROUNDUP(F22281*(E22281/21)/E22237,0)</f>
        <v>125</v>
      </c>
    </row>
    <row r="22282" spans="1:7" x14ac:dyDescent="0.25">
      <c r="A22282" s="50" t="s">
        <v>87</v>
      </c>
      <c r="B22282" s="72" t="str">
        <f>VLOOKUP(A22282,'Componentes APUs'!$A$1:$D$14,2,0)</f>
        <v>Casco dielectrico Tipo 2 Clase E con barboquejo</v>
      </c>
      <c r="C22282" s="73"/>
      <c r="D22282" s="50" t="str">
        <f>VLOOKUP(A22282,'Componentes APUs'!$A$1:$D$14,3,0)</f>
        <v>U</v>
      </c>
      <c r="E22282" s="53">
        <f>IF(A22253="MO-3",C22253,0)</f>
        <v>0</v>
      </c>
      <c r="F22282" s="51">
        <f>VLOOKUP(A22282,'Componentes APUs'!$A$1:$D$14,4,0)</f>
        <v>7500</v>
      </c>
      <c r="G22282" s="51">
        <f>ROUNDUP(F22282*(E22282/21)/E22237,0)</f>
        <v>0</v>
      </c>
    </row>
    <row r="22283" spans="1:7" x14ac:dyDescent="0.25">
      <c r="A22283" s="69" t="s">
        <v>89</v>
      </c>
      <c r="B22283" s="72" t="str">
        <f>VLOOKUP(A22283,'Componentes APUs'!$A$1:$D$14,2,0)</f>
        <v>Kit de rescate para trabajo en alturas</v>
      </c>
      <c r="C22283" s="73"/>
      <c r="D22283" s="50" t="str">
        <f>VLOOKUP(A22283,'Componentes APUs'!$A$1:$D$14,3,0)</f>
        <v>U</v>
      </c>
      <c r="E22283" s="50">
        <f>IF(AND(A22253="MO-3",C22253=2),1,0)</f>
        <v>0</v>
      </c>
      <c r="F22283" s="51">
        <f>VLOOKUP(A22283,'Componentes APUs'!$A$1:$D$14,4,0)</f>
        <v>37500</v>
      </c>
      <c r="G22283" s="51">
        <f>ROUNDUP(F22283*(E22283/21)/E22237,0)</f>
        <v>0</v>
      </c>
    </row>
    <row r="22284" spans="1:7" x14ac:dyDescent="0.25">
      <c r="A22284" s="50" t="s">
        <v>91</v>
      </c>
      <c r="B22284" s="72" t="str">
        <f>VLOOKUP(A22284,'Componentes APUs'!$A$1:$D$14,2,0)</f>
        <v>Equipo completo para trabajo en alturas con pretales (Arnes dielectrico, 1 mosqueton de seguridad, tie off dielectrico, eslinga de posicionamiento, juego de pretales)</v>
      </c>
      <c r="C22284" s="73"/>
      <c r="D22284" s="50" t="str">
        <f>VLOOKUP(A22284,'Componentes APUs'!$A$1:$D$14,3,0)</f>
        <v>U</v>
      </c>
      <c r="E22284" s="50">
        <f>IF(A22253="MO-3",C22253,0)</f>
        <v>0</v>
      </c>
      <c r="F22284" s="51">
        <f>VLOOKUP(A22284,'Componentes APUs'!$A$1:$D$14,4,0)</f>
        <v>26041.666666666668</v>
      </c>
      <c r="G22284" s="51">
        <f>ROUNDUP(F22284*(E22284/21)/E22237,0)</f>
        <v>0</v>
      </c>
    </row>
    <row r="22285" spans="1:7" x14ac:dyDescent="0.25">
      <c r="A22285" s="219" t="s">
        <v>95</v>
      </c>
      <c r="B22285" s="219"/>
      <c r="C22285" s="219"/>
      <c r="D22285" s="219"/>
      <c r="E22285" s="219"/>
      <c r="F22285" s="219"/>
      <c r="G22285" s="52">
        <f>SUM(G22272:G22284)</f>
        <v>847</v>
      </c>
    </row>
    <row r="22286" spans="1:7" x14ac:dyDescent="0.25">
      <c r="A22286" s="56"/>
      <c r="B22286" s="57"/>
      <c r="C22286" s="57"/>
      <c r="D22286" s="57"/>
      <c r="E22286" s="57"/>
      <c r="F22286" s="57"/>
      <c r="G22286" s="58"/>
    </row>
    <row r="22287" spans="1:7" x14ac:dyDescent="0.25">
      <c r="A22287" s="219" t="s">
        <v>96</v>
      </c>
      <c r="B22287" s="219"/>
      <c r="C22287" s="219"/>
      <c r="D22287" s="219"/>
      <c r="E22287" s="219"/>
      <c r="F22287" s="219"/>
      <c r="G22287" s="219"/>
    </row>
    <row r="22288" spans="1:7" x14ac:dyDescent="0.25">
      <c r="A22288" s="49" t="s">
        <v>35</v>
      </c>
      <c r="B22288" s="225" t="s">
        <v>36</v>
      </c>
      <c r="C22288" s="225"/>
      <c r="D22288" s="49" t="s">
        <v>37</v>
      </c>
      <c r="E22288" s="49" t="s">
        <v>38</v>
      </c>
      <c r="F22288" s="49" t="s">
        <v>39</v>
      </c>
      <c r="G22288" s="49" t="s">
        <v>40</v>
      </c>
    </row>
    <row r="22289" spans="1:7" x14ac:dyDescent="0.25">
      <c r="A22289" s="69" t="s">
        <v>97</v>
      </c>
      <c r="B22289" s="72" t="str">
        <f>VLOOKUP(A22289,'Componentes APUs'!$N$1:$Q$30,2,0)</f>
        <v>Camioneta</v>
      </c>
      <c r="C22289" s="73"/>
      <c r="D22289" s="70" t="str">
        <f>VLOOKUP(A22289,'Componentes APUs'!$N$1:$Q$30,3,0)</f>
        <v>U</v>
      </c>
      <c r="E22289" s="50">
        <v>1</v>
      </c>
      <c r="F22289" s="51">
        <f>VLOOKUP(A22289,'Componentes APUs'!$N$1:$Q$30,4,0)</f>
        <v>5500000</v>
      </c>
      <c r="G22289" s="51">
        <f>IFERROR(ROUNDUP(F22289*(E22289/21)/E22237,0),0)</f>
        <v>32739</v>
      </c>
    </row>
    <row r="22290" spans="1:7" x14ac:dyDescent="0.25">
      <c r="A22290" s="50" t="s">
        <v>321</v>
      </c>
      <c r="B22290" s="72" t="str">
        <f>VLOOKUP(A22290,'Componentes APUs'!$N$1:$Q$30,2,0)</f>
        <v>Grúa Hidráulica</v>
      </c>
      <c r="C22290" s="73"/>
      <c r="D22290" s="70" t="str">
        <f>VLOOKUP(A22290,'Componentes APUs'!$N$1:$Q$30,3,0)</f>
        <v>U</v>
      </c>
      <c r="E22290" s="50">
        <v>0</v>
      </c>
      <c r="F22290" s="51">
        <f>VLOOKUP(A22290,'Componentes APUs'!$N$1:$Q$30,4,0)</f>
        <v>21000000</v>
      </c>
      <c r="G22290" s="51">
        <f>IFERROR(ROUNDUP(F22290*(E22290/21)/E22237,0),0)</f>
        <v>0</v>
      </c>
    </row>
    <row r="22291" spans="1:7" x14ac:dyDescent="0.25">
      <c r="A22291" s="69" t="s">
        <v>322</v>
      </c>
      <c r="B22291" s="72" t="str">
        <f>VLOOKUP(A22291,'Componentes APUs'!$N$1:$Q$30,2,0)</f>
        <v>Camabaja</v>
      </c>
      <c r="C22291" s="73"/>
      <c r="D22291" s="70" t="str">
        <f>VLOOKUP(A22291,'Componentes APUs'!$N$1:$Q$30,3,0)</f>
        <v>TON/KM</v>
      </c>
      <c r="E22291" s="50">
        <v>0</v>
      </c>
      <c r="F22291" s="51">
        <f>VLOOKUP(A22291,'Componentes APUs'!$N$1:$Q$30,4,0)</f>
        <v>611</v>
      </c>
      <c r="G22291" s="51">
        <f>IFERROR(ROUNDUP(F22291*(E22291/21)/E22237,0),0)</f>
        <v>0</v>
      </c>
    </row>
    <row r="22292" spans="1:7" x14ac:dyDescent="0.25">
      <c r="A22292" s="50" t="s">
        <v>323</v>
      </c>
      <c r="B22292" s="72" t="str">
        <f>VLOOKUP(A22292,'Componentes APUs'!$N$1:$Q$30,2,0)</f>
        <v>Volqueta</v>
      </c>
      <c r="C22292" s="73"/>
      <c r="D22292" s="70" t="str">
        <f>VLOOKUP(A22292,'Componentes APUs'!$N$1:$Q$30,3,0)</f>
        <v>U</v>
      </c>
      <c r="E22292" s="50">
        <v>0</v>
      </c>
      <c r="F22292" s="51">
        <f>VLOOKUP(A22292,'Componentes APUs'!$N$1:$Q$30,4,0)</f>
        <v>14828184</v>
      </c>
      <c r="G22292" s="51">
        <f>IFERROR(ROUNDUP(F22292*(E22292/21)/E22237,0),0)</f>
        <v>0</v>
      </c>
    </row>
    <row r="22293" spans="1:7" x14ac:dyDescent="0.25">
      <c r="A22293" s="69" t="s">
        <v>324</v>
      </c>
      <c r="B22293" s="72" t="str">
        <f>VLOOKUP(A22293,'Componentes APUs'!$N$1:$Q$30,2,0)</f>
        <v>Retroexcavadora</v>
      </c>
      <c r="C22293" s="73"/>
      <c r="D22293" s="70" t="str">
        <f>VLOOKUP(A22293,'Componentes APUs'!$N$1:$Q$30,3,0)</f>
        <v>U</v>
      </c>
      <c r="E22293" s="50">
        <v>0</v>
      </c>
      <c r="F22293" s="51">
        <f>VLOOKUP(A22293,'Componentes APUs'!$N$1:$Q$30,4,0)</f>
        <v>46030656</v>
      </c>
      <c r="G22293" s="51">
        <f>IFERROR(ROUNDUP(F22293*(E22293/21)/E22237,0),0)</f>
        <v>0</v>
      </c>
    </row>
    <row r="22294" spans="1:7" x14ac:dyDescent="0.25">
      <c r="A22294" s="219" t="s">
        <v>99</v>
      </c>
      <c r="B22294" s="219"/>
      <c r="C22294" s="219"/>
      <c r="D22294" s="219"/>
      <c r="E22294" s="219"/>
      <c r="F22294" s="219"/>
      <c r="G22294" s="52">
        <f>SUM(G22289:G22293)</f>
        <v>32739</v>
      </c>
    </row>
    <row r="22295" spans="1:7" x14ac:dyDescent="0.25">
      <c r="A22295" s="56"/>
      <c r="B22295" s="57"/>
      <c r="C22295" s="57"/>
      <c r="D22295" s="57"/>
      <c r="E22295" s="57"/>
      <c r="F22295" s="57"/>
      <c r="G22295" s="58"/>
    </row>
    <row r="22296" spans="1:7" x14ac:dyDescent="0.25">
      <c r="A22296" s="219" t="s">
        <v>1516</v>
      </c>
      <c r="B22296" s="219"/>
      <c r="C22296" s="219"/>
      <c r="D22296" s="219"/>
      <c r="E22296" s="219"/>
      <c r="F22296" s="219"/>
      <c r="G22296" s="52">
        <f>G22294+G22285+G22268+G22257+G22247</f>
        <v>155456</v>
      </c>
    </row>
    <row r="22297" spans="1:7" x14ac:dyDescent="0.25">
      <c r="A22297" s="59"/>
      <c r="B22297" s="60"/>
      <c r="C22297" s="60"/>
      <c r="D22297" s="60"/>
      <c r="E22297" s="57"/>
      <c r="F22297" s="57"/>
      <c r="G22297" s="58"/>
    </row>
    <row r="22298" spans="1:7" x14ac:dyDescent="0.25">
      <c r="A22298" s="64"/>
      <c r="D22298" s="55"/>
      <c r="E22298" s="49" t="s">
        <v>25</v>
      </c>
      <c r="F22298" s="54">
        <v>0.15</v>
      </c>
      <c r="G22298" s="51">
        <f>G22296*F22298</f>
        <v>23318.399999999998</v>
      </c>
    </row>
    <row r="22299" spans="1:7" x14ac:dyDescent="0.25">
      <c r="A22299" s="64"/>
      <c r="D22299" s="55"/>
      <c r="E22299" s="49" t="s">
        <v>26</v>
      </c>
      <c r="F22299" s="54">
        <v>0.05</v>
      </c>
      <c r="G22299" s="51">
        <f>G22296*F22299</f>
        <v>7772.8</v>
      </c>
    </row>
    <row r="22300" spans="1:7" x14ac:dyDescent="0.25">
      <c r="A22300" s="61"/>
      <c r="B22300" s="65"/>
      <c r="C22300" s="65"/>
      <c r="D22300" s="62"/>
      <c r="E22300" s="49" t="s">
        <v>27</v>
      </c>
      <c r="F22300" s="54">
        <v>0.05</v>
      </c>
      <c r="G22300" s="51">
        <f>G22296*F22300</f>
        <v>7772.8</v>
      </c>
    </row>
    <row r="22301" spans="1:7" x14ac:dyDescent="0.25">
      <c r="A22301" s="61"/>
      <c r="B22301" s="62"/>
      <c r="C22301" s="62"/>
      <c r="D22301" s="62"/>
      <c r="E22301" s="62"/>
      <c r="F22301" s="62"/>
      <c r="G22301" s="63"/>
    </row>
    <row r="22302" spans="1:7" x14ac:dyDescent="0.25">
      <c r="A22302" s="219" t="s">
        <v>1517</v>
      </c>
      <c r="B22302" s="219"/>
      <c r="C22302" s="219"/>
      <c r="D22302" s="219"/>
      <c r="E22302" s="219"/>
      <c r="F22302" s="219"/>
      <c r="G22302" s="52">
        <f>G22296+G22298+G22299+G22300</f>
        <v>194319.99999999997</v>
      </c>
    </row>
    <row r="22303" spans="1:7" x14ac:dyDescent="0.25">
      <c r="A22303" s="59"/>
      <c r="B22303" s="60"/>
      <c r="C22303" s="60"/>
      <c r="D22303" s="60"/>
      <c r="E22303" s="57"/>
      <c r="F22303" s="57"/>
      <c r="G22303" s="58"/>
    </row>
    <row r="22304" spans="1:7" x14ac:dyDescent="0.25">
      <c r="A22304" s="64"/>
      <c r="D22304" s="55"/>
      <c r="E22304" s="49" t="s">
        <v>102</v>
      </c>
      <c r="F22304" s="49" t="s">
        <v>103</v>
      </c>
      <c r="G22304" s="51">
        <f>G22300*19%</f>
        <v>1476.8320000000001</v>
      </c>
    </row>
    <row r="22305" spans="1:7" x14ac:dyDescent="0.25">
      <c r="A22305" s="61"/>
      <c r="B22305" s="62"/>
      <c r="C22305" s="62"/>
      <c r="D22305" s="62"/>
      <c r="E22305" s="57"/>
      <c r="F22305" s="57"/>
      <c r="G22305" s="58"/>
    </row>
    <row r="22306" spans="1:7" x14ac:dyDescent="0.25">
      <c r="A22306" s="219" t="s">
        <v>104</v>
      </c>
      <c r="B22306" s="219"/>
      <c r="C22306" s="219"/>
      <c r="D22306" s="219"/>
      <c r="E22306" s="219"/>
      <c r="F22306" s="219"/>
      <c r="G22306" s="52">
        <f>G22304+G22302</f>
        <v>195796.83199999997</v>
      </c>
    </row>
    <row r="22308" spans="1:7" x14ac:dyDescent="0.25">
      <c r="A22308" s="74" t="s">
        <v>29</v>
      </c>
      <c r="B22308" s="237" t="s">
        <v>30</v>
      </c>
      <c r="C22308" s="238"/>
      <c r="D22308" s="74" t="s">
        <v>31</v>
      </c>
      <c r="E22308" s="74" t="s">
        <v>32</v>
      </c>
      <c r="F22308" s="74" t="s">
        <v>189</v>
      </c>
      <c r="G22308" s="74" t="s">
        <v>33</v>
      </c>
    </row>
    <row r="22309" spans="1:7" ht="33.75" customHeight="1" x14ac:dyDescent="0.25">
      <c r="A22309" s="50" t="str">
        <f>Presupuesto!B427</f>
        <v>086_AUX</v>
      </c>
      <c r="B22309" s="242" t="str">
        <f>Presupuesto!C427</f>
        <v>CONEXIÓN EN T CON SOLDADURA EXOTÉRMICA</v>
      </c>
      <c r="C22309" s="239"/>
      <c r="D22309" s="50" t="s">
        <v>8</v>
      </c>
      <c r="E22309" s="50">
        <v>8</v>
      </c>
      <c r="F22309" s="50"/>
      <c r="G22309" s="51">
        <f>G22378</f>
        <v>189247.43199999997</v>
      </c>
    </row>
    <row r="22310" spans="1:7" x14ac:dyDescent="0.25">
      <c r="A22310" s="219" t="s">
        <v>34</v>
      </c>
      <c r="B22310" s="219"/>
      <c r="C22310" s="219"/>
      <c r="D22310" s="219"/>
      <c r="E22310" s="219"/>
      <c r="F22310" s="219"/>
      <c r="G22310" s="219"/>
    </row>
    <row r="22311" spans="1:7" x14ac:dyDescent="0.25">
      <c r="A22311" s="49" t="s">
        <v>35</v>
      </c>
      <c r="B22311" s="234" t="s">
        <v>36</v>
      </c>
      <c r="C22311" s="235"/>
      <c r="D22311" s="49" t="s">
        <v>37</v>
      </c>
      <c r="E22311" s="49" t="s">
        <v>38</v>
      </c>
      <c r="F22311" s="49" t="s">
        <v>39</v>
      </c>
      <c r="G22311" s="49" t="s">
        <v>40</v>
      </c>
    </row>
    <row r="22312" spans="1:7" x14ac:dyDescent="0.25">
      <c r="A22312" s="17" t="str">
        <f>Material!A164</f>
        <v>MA-163</v>
      </c>
      <c r="B22312" s="72" t="str">
        <f>IFERROR(VLOOKUP(A22312,Material!$A:$H,2,0),"-")</f>
        <v>SOLDADURA EXOTÉRMICA 150 G</v>
      </c>
      <c r="C22312" s="76"/>
      <c r="D22312" s="50" t="str">
        <f>IFERROR(VLOOKUP(A22312,Material!$A:$H,4,0),"-")</f>
        <v>UN</v>
      </c>
      <c r="E22312" s="50">
        <v>1</v>
      </c>
      <c r="F22312" s="51">
        <f>IFERROR(VLOOKUP(A22312,Material!$A:$H,3,0),"-")</f>
        <v>32175</v>
      </c>
      <c r="G22312" s="51">
        <f t="shared" ref="G22312:G22318" si="334">IFERROR(ROUNDUP(F22312*E22312,0),"-")</f>
        <v>32175</v>
      </c>
    </row>
    <row r="22313" spans="1:7" x14ac:dyDescent="0.25">
      <c r="A22313" s="17"/>
      <c r="B22313" s="72" t="str">
        <f>IFERROR(VLOOKUP(A22313,Material!$A:$H,2,0),"-")</f>
        <v>-</v>
      </c>
      <c r="C22313" s="76"/>
      <c r="D22313" s="50" t="str">
        <f>IFERROR(VLOOKUP(A22313,Material!$A:$H,4,0),"-")</f>
        <v>-</v>
      </c>
      <c r="E22313" s="50"/>
      <c r="F22313" s="51" t="str">
        <f>IFERROR(VLOOKUP(A22313,Material!$A:$H,3,0),"-")</f>
        <v>-</v>
      </c>
      <c r="G22313" s="51" t="str">
        <f t="shared" si="334"/>
        <v>-</v>
      </c>
    </row>
    <row r="22314" spans="1:7" x14ac:dyDescent="0.25">
      <c r="A22314" s="17"/>
      <c r="B22314" s="72" t="str">
        <f>IFERROR(VLOOKUP(A22314,Material!$A:$H,2,0),"-")</f>
        <v>-</v>
      </c>
      <c r="C22314" s="76"/>
      <c r="D22314" s="50" t="str">
        <f>IFERROR(VLOOKUP(A22314,Material!$A:$H,4,0),"-")</f>
        <v>-</v>
      </c>
      <c r="E22314" s="50"/>
      <c r="F22314" s="51" t="str">
        <f>IFERROR(VLOOKUP(A22314,Material!$A:$H,3,0),"-")</f>
        <v>-</v>
      </c>
      <c r="G22314" s="51" t="str">
        <f t="shared" si="334"/>
        <v>-</v>
      </c>
    </row>
    <row r="22315" spans="1:7" x14ac:dyDescent="0.25">
      <c r="A22315" s="17"/>
      <c r="B22315" s="72" t="str">
        <f>IFERROR(VLOOKUP(A22315,Material!$A:$H,2,0),"-")</f>
        <v>-</v>
      </c>
      <c r="C22315" s="76"/>
      <c r="D22315" s="50" t="str">
        <f>IFERROR(VLOOKUP(A22315,Material!$A:$H,4,0),"-")</f>
        <v>-</v>
      </c>
      <c r="E22315" s="50"/>
      <c r="F22315" s="51" t="str">
        <f>IFERROR(VLOOKUP(A22315,Material!$A:$H,3,0),"-")</f>
        <v>-</v>
      </c>
      <c r="G22315" s="51" t="str">
        <f t="shared" si="334"/>
        <v>-</v>
      </c>
    </row>
    <row r="22316" spans="1:7" x14ac:dyDescent="0.25">
      <c r="A22316" s="17"/>
      <c r="B22316" s="72" t="str">
        <f>IFERROR(VLOOKUP(A22316,Material!$A:$H,2,0),"-")</f>
        <v>-</v>
      </c>
      <c r="C22316" s="76"/>
      <c r="D22316" s="50" t="str">
        <f>IFERROR(VLOOKUP(A22316,Material!$A:$H,4,0),"-")</f>
        <v>-</v>
      </c>
      <c r="E22316" s="50"/>
      <c r="F22316" s="51" t="str">
        <f>IFERROR(VLOOKUP(A22316,Material!$A:$H,3,0),"-")</f>
        <v>-</v>
      </c>
      <c r="G22316" s="51" t="str">
        <f t="shared" si="334"/>
        <v>-</v>
      </c>
    </row>
    <row r="22317" spans="1:7" x14ac:dyDescent="0.25">
      <c r="A22317" s="17"/>
      <c r="B22317" s="72" t="str">
        <f>IFERROR(VLOOKUP(A22317,Material!$A:$H,2,0),"-")</f>
        <v>-</v>
      </c>
      <c r="C22317" s="76"/>
      <c r="D22317" s="50" t="str">
        <f>IFERROR(VLOOKUP(A22317,Material!$A:$H,4,0),"-")</f>
        <v>-</v>
      </c>
      <c r="E22317" s="50"/>
      <c r="F22317" s="51" t="str">
        <f>IFERROR(VLOOKUP(A22317,Material!$A:$H,3,0),"-")</f>
        <v>-</v>
      </c>
      <c r="G22317" s="51" t="str">
        <f t="shared" si="334"/>
        <v>-</v>
      </c>
    </row>
    <row r="22318" spans="1:7" x14ac:dyDescent="0.25">
      <c r="A22318" s="17"/>
      <c r="B22318" s="72" t="str">
        <f>IFERROR(VLOOKUP(A22318,Material!$A:$H,2,0),"-")</f>
        <v>-</v>
      </c>
      <c r="C22318" s="76"/>
      <c r="D22318" s="50" t="str">
        <f>IFERROR(VLOOKUP(A22318,Material!$A:$H,4,0),"-")</f>
        <v>-</v>
      </c>
      <c r="E22318" s="50"/>
      <c r="F22318" s="51" t="str">
        <f>IFERROR(VLOOKUP(A22318,Material!$A:$H,3,0),"-")</f>
        <v>-</v>
      </c>
      <c r="G22318" s="51" t="str">
        <f t="shared" si="334"/>
        <v>-</v>
      </c>
    </row>
    <row r="22319" spans="1:7" x14ac:dyDescent="0.25">
      <c r="A22319" s="234" t="s">
        <v>41</v>
      </c>
      <c r="B22319" s="236"/>
      <c r="C22319" s="236"/>
      <c r="D22319" s="236"/>
      <c r="E22319" s="236"/>
      <c r="F22319" s="235"/>
      <c r="G22319" s="52">
        <f>SUM(G22312:G22318)</f>
        <v>32175</v>
      </c>
    </row>
    <row r="22320" spans="1:7" x14ac:dyDescent="0.25">
      <c r="A22320" s="56"/>
      <c r="B22320" s="57"/>
      <c r="C22320" s="57"/>
      <c r="D22320" s="57"/>
      <c r="E22320" s="57"/>
      <c r="F22320" s="57"/>
      <c r="G22320" s="58"/>
    </row>
    <row r="22321" spans="1:7" x14ac:dyDescent="0.25">
      <c r="A22321" s="219" t="s">
        <v>42</v>
      </c>
      <c r="B22321" s="219"/>
      <c r="C22321" s="219"/>
      <c r="D22321" s="219"/>
      <c r="E22321" s="219"/>
      <c r="F22321" s="219"/>
      <c r="G22321" s="219"/>
    </row>
    <row r="22322" spans="1:7" x14ac:dyDescent="0.25">
      <c r="A22322" s="49" t="s">
        <v>35</v>
      </c>
      <c r="B22322" s="49" t="s">
        <v>36</v>
      </c>
      <c r="C22322" s="49" t="s">
        <v>38</v>
      </c>
      <c r="D22322" s="49" t="s">
        <v>43</v>
      </c>
      <c r="E22322" s="49" t="s">
        <v>44</v>
      </c>
      <c r="F22322" s="49" t="s">
        <v>45</v>
      </c>
      <c r="G22322" s="49" t="s">
        <v>40</v>
      </c>
    </row>
    <row r="22323" spans="1:7" x14ac:dyDescent="0.25">
      <c r="A22323" s="50" t="s">
        <v>319</v>
      </c>
      <c r="B22323" s="68" t="str">
        <f>VLOOKUP(A22323,'Componentes APUs'!$H$1:$L$25,2,0)</f>
        <v>Ingeniero Residente de Obra</v>
      </c>
      <c r="C22323" s="93">
        <v>0.25</v>
      </c>
      <c r="D22323" s="50">
        <f>VLOOKUP(A22323,'Componentes APUs'!$H$1:$L$25,3,0)</f>
        <v>4</v>
      </c>
      <c r="E22323" s="51">
        <f>VLOOKUP(A22323,'Componentes APUs'!$H$1:$L$25,4,0)</f>
        <v>271142.85714285716</v>
      </c>
      <c r="F22323" s="51">
        <f>VLOOKUP(A22323,'Componentes APUs'!$H$1:$L$25,5,0)</f>
        <v>162685.71428571429</v>
      </c>
      <c r="G22323" s="51">
        <f>ROUNDUP((E22323+F22323)*C22323/E22309,0)</f>
        <v>13558</v>
      </c>
    </row>
    <row r="22324" spans="1:7" x14ac:dyDescent="0.25">
      <c r="A22324" s="50" t="s">
        <v>320</v>
      </c>
      <c r="B22324" s="68" t="str">
        <f>VLOOKUP(A22324,'Componentes APUs'!$H$1:$L$25,2,0)</f>
        <v>Tecnico Supervisor</v>
      </c>
      <c r="C22324" s="93">
        <v>0.25</v>
      </c>
      <c r="D22324" s="50">
        <f>VLOOKUP(A22324,'Componentes APUs'!$H$1:$L$25,3,0)</f>
        <v>2.2999999999999998</v>
      </c>
      <c r="E22324" s="51">
        <f>VLOOKUP(A22324,'Componentes APUs'!$H$1:$L$25,4,0)</f>
        <v>155907.14285714284</v>
      </c>
      <c r="F22324" s="51">
        <f>VLOOKUP(A22324,'Componentes APUs'!$H$1:$L$25,5,0)</f>
        <v>93544.285714285696</v>
      </c>
      <c r="G22324" s="51">
        <f>ROUNDUP((E22324+F22324)*C22324/E22309,0)</f>
        <v>7796</v>
      </c>
    </row>
    <row r="22325" spans="1:7" x14ac:dyDescent="0.25">
      <c r="A22325" s="50" t="s">
        <v>1160</v>
      </c>
      <c r="B22325" s="68" t="str">
        <f>VLOOKUP(A22325,'Componentes APUs'!$H$1:$L$25,2,0)</f>
        <v>Oficial Eléctrico</v>
      </c>
      <c r="C22325" s="93">
        <v>1</v>
      </c>
      <c r="D22325" s="50">
        <f>VLOOKUP(A22325,'Componentes APUs'!$H$1:$L$25,3,0)</f>
        <v>2</v>
      </c>
      <c r="E22325" s="51">
        <f>VLOOKUP(A22325,'Componentes APUs'!$H$1:$L$25,4,0)</f>
        <v>154619.04761904763</v>
      </c>
      <c r="F22325" s="51">
        <f>VLOOKUP(A22325,'Componentes APUs'!$H$1:$L$25,5,0)</f>
        <v>92771.42857142858</v>
      </c>
      <c r="G22325" s="51">
        <f>ROUNDUP((E22325+F22325)*C22325/E22309,0)</f>
        <v>30924</v>
      </c>
    </row>
    <row r="22326" spans="1:7" x14ac:dyDescent="0.25">
      <c r="A22326" s="50" t="s">
        <v>48</v>
      </c>
      <c r="B22326" s="68" t="str">
        <f>VLOOKUP(A22326,'Componentes APUs'!$H$1:$L$25,2,0)</f>
        <v>Ayudante Calificado</v>
      </c>
      <c r="C22326" s="93">
        <v>1</v>
      </c>
      <c r="D22326" s="50">
        <f>VLOOKUP(A22326,'Componentes APUs'!$H$1:$L$25,3,0)</f>
        <v>1.5</v>
      </c>
      <c r="E22326" s="51">
        <f>VLOOKUP(A22326,'Componentes APUs'!$H$1:$L$25,4,0)</f>
        <v>115964.28571428571</v>
      </c>
      <c r="F22326" s="51">
        <f>VLOOKUP(A22326,'Componentes APUs'!$H$1:$L$25,5,0)</f>
        <v>69578.57142857142</v>
      </c>
      <c r="G22326" s="51">
        <f>ROUNDUP((E22326+F22326)*C22326/E22309,0)</f>
        <v>23193</v>
      </c>
    </row>
    <row r="22327" spans="1:7" x14ac:dyDescent="0.25">
      <c r="A22327" s="50" t="s">
        <v>50</v>
      </c>
      <c r="B22327" s="68" t="str">
        <f>VLOOKUP(A22327,'Componentes APUs'!$H$1:$L$25,2,0)</f>
        <v>Profesional en SST</v>
      </c>
      <c r="C22327" s="93">
        <v>0.25</v>
      </c>
      <c r="D22327" s="50">
        <f>VLOOKUP(A22327,'Componentes APUs'!$H$1:$L$25,3,0)</f>
        <v>2.5</v>
      </c>
      <c r="E22327" s="51">
        <f>VLOOKUP(A22327,'Componentes APUs'!$H$1:$L$25,4,0)</f>
        <v>169464.28571428571</v>
      </c>
      <c r="F22327" s="51">
        <f>VLOOKUP(A22327,'Componentes APUs'!$H$1:$L$25,5,0)</f>
        <v>101678.57142857142</v>
      </c>
      <c r="G22327" s="51">
        <f>ROUNDUP((E22327+F22327)*C22327/E22309,0)</f>
        <v>8474</v>
      </c>
    </row>
    <row r="22328" spans="1:7" x14ac:dyDescent="0.25">
      <c r="A22328" s="50" t="s">
        <v>52</v>
      </c>
      <c r="B22328" s="68" t="str">
        <f>VLOOKUP(A22328,'Componentes APUs'!$H$1:$L$25,2,0)</f>
        <v>Ayudante No Calificado</v>
      </c>
      <c r="C22328" s="93">
        <v>0</v>
      </c>
      <c r="D22328" s="50">
        <f>VLOOKUP(A22328,'Componentes APUs'!$H$1:$L$25,3,0)</f>
        <v>1</v>
      </c>
      <c r="E22328" s="51">
        <f>VLOOKUP(A22328,'Componentes APUs'!$H$1:$L$25,4,0)</f>
        <v>77309.523809523816</v>
      </c>
      <c r="F22328" s="51">
        <f>VLOOKUP(A22328,'Componentes APUs'!$H$1:$L$25,5,0)</f>
        <v>46385.71428571429</v>
      </c>
      <c r="G22328" s="51">
        <f>ROUNDUP((E22328+F22328)*C22328/E22309,0)</f>
        <v>0</v>
      </c>
    </row>
    <row r="22329" spans="1:7" x14ac:dyDescent="0.25">
      <c r="A22329" s="219" t="s">
        <v>56</v>
      </c>
      <c r="B22329" s="219"/>
      <c r="C22329" s="219"/>
      <c r="D22329" s="219"/>
      <c r="E22329" s="219"/>
      <c r="F22329" s="219"/>
      <c r="G22329" s="52">
        <f>SUM(G22323:G22328)</f>
        <v>83945</v>
      </c>
    </row>
    <row r="22330" spans="1:7" x14ac:dyDescent="0.25">
      <c r="A22330" s="56"/>
      <c r="B22330" s="57"/>
      <c r="C22330" s="57"/>
      <c r="D22330" s="57"/>
      <c r="E22330" s="57"/>
      <c r="F22330" s="57"/>
      <c r="G22330" s="58"/>
    </row>
    <row r="22331" spans="1:7" x14ac:dyDescent="0.25">
      <c r="A22331" s="219" t="s">
        <v>57</v>
      </c>
      <c r="B22331" s="219"/>
      <c r="C22331" s="219"/>
      <c r="D22331" s="219"/>
      <c r="E22331" s="219"/>
      <c r="F22331" s="219"/>
      <c r="G22331" s="219"/>
    </row>
    <row r="22332" spans="1:7" x14ac:dyDescent="0.25">
      <c r="A22332" s="49" t="s">
        <v>35</v>
      </c>
      <c r="B22332" s="219" t="s">
        <v>36</v>
      </c>
      <c r="C22332" s="219"/>
      <c r="D22332" s="49" t="s">
        <v>37</v>
      </c>
      <c r="E22332" s="49" t="s">
        <v>38</v>
      </c>
      <c r="F22332" s="49" t="s">
        <v>39</v>
      </c>
      <c r="G22332" s="49" t="s">
        <v>40</v>
      </c>
    </row>
    <row r="22333" spans="1:7" x14ac:dyDescent="0.25">
      <c r="A22333" s="50" t="s">
        <v>326</v>
      </c>
      <c r="B22333" s="220" t="str">
        <f>VLOOKUP(A22333,'Componentes APUs'!$S$1:$V$10,2,0)</f>
        <v>Juego Llaves</v>
      </c>
      <c r="C22333" s="220"/>
      <c r="D22333" s="50" t="s">
        <v>18</v>
      </c>
      <c r="E22333" s="50">
        <v>1</v>
      </c>
      <c r="F22333" s="51">
        <f>VLOOKUP(A22333,'Componentes APUs'!$S$1:$V$10,4,0)</f>
        <v>9167</v>
      </c>
      <c r="G22333" s="51">
        <f>ROUNDUP(F22333*((E22333/21)/E22309),0)</f>
        <v>55</v>
      </c>
    </row>
    <row r="22334" spans="1:7" x14ac:dyDescent="0.25">
      <c r="A22334" s="50" t="s">
        <v>58</v>
      </c>
      <c r="B22334" s="220" t="str">
        <f>VLOOKUP(A22334,'Componentes APUs'!$S$1:$V$10,2,0)</f>
        <v>Manila de servicio</v>
      </c>
      <c r="C22334" s="220"/>
      <c r="D22334" s="50" t="s">
        <v>18</v>
      </c>
      <c r="E22334" s="50">
        <v>0</v>
      </c>
      <c r="F22334" s="51">
        <f>VLOOKUP(A22334,'Componentes APUs'!$S$1:$V$10,4,0)</f>
        <v>2333</v>
      </c>
      <c r="G22334" s="51">
        <f>ROUNDUP(F22334*((E22334/21)/E22309),0)</f>
        <v>0</v>
      </c>
    </row>
    <row r="22335" spans="1:7" x14ac:dyDescent="0.25">
      <c r="A22335" s="50" t="s">
        <v>327</v>
      </c>
      <c r="B22335" s="220" t="str">
        <f>VLOOKUP(A22335,'Componentes APUs'!$S$1:$V$10,2,0)</f>
        <v>Tula portaherramientas</v>
      </c>
      <c r="C22335" s="220"/>
      <c r="D22335" s="50" t="s">
        <v>18</v>
      </c>
      <c r="E22335" s="50">
        <v>1</v>
      </c>
      <c r="F22335" s="51">
        <f>VLOOKUP(A22335,'Componentes APUs'!$S$1:$V$10,4,0)</f>
        <v>1250</v>
      </c>
      <c r="G22335" s="51">
        <f>ROUNDUP(F22335*((E22335/21)/E22309),0)</f>
        <v>8</v>
      </c>
    </row>
    <row r="22336" spans="1:7" x14ac:dyDescent="0.25">
      <c r="A22336" s="50" t="s">
        <v>60</v>
      </c>
      <c r="B22336" s="220" t="str">
        <f>VLOOKUP(A22336,'Componentes APUs'!$S$1:$V$10,2,0)</f>
        <v>Agarradoras</v>
      </c>
      <c r="C22336" s="220"/>
      <c r="D22336" s="50" t="s">
        <v>18</v>
      </c>
      <c r="E22336" s="50">
        <v>0</v>
      </c>
      <c r="F22336" s="51">
        <f>VLOOKUP(A22336,'Componentes APUs'!$S$1:$V$10,4,0)</f>
        <v>125000</v>
      </c>
      <c r="G22336" s="51">
        <f>ROUNDUP(F22336*((E22336/21)/E22309),0)</f>
        <v>0</v>
      </c>
    </row>
    <row r="22337" spans="1:7" x14ac:dyDescent="0.25">
      <c r="A22337" s="50" t="s">
        <v>62</v>
      </c>
      <c r="B22337" s="220" t="str">
        <f>VLOOKUP(A22337,'Componentes APUs'!$S$1:$V$10,2,0)</f>
        <v>Templadoras</v>
      </c>
      <c r="C22337" s="220"/>
      <c r="D22337" s="50" t="s">
        <v>18</v>
      </c>
      <c r="E22337" s="50">
        <v>0</v>
      </c>
      <c r="F22337" s="51">
        <f>VLOOKUP(A22337,'Componentes APUs'!$S$1:$V$10,4,0)</f>
        <v>250000</v>
      </c>
      <c r="G22337" s="51">
        <f>ROUNDUP(F22337*((E22337/21)/E22309),0)</f>
        <v>0</v>
      </c>
    </row>
    <row r="22338" spans="1:7" ht="15" customHeight="1" x14ac:dyDescent="0.25">
      <c r="A22338" s="50" t="s">
        <v>328</v>
      </c>
      <c r="B22338" s="220" t="str">
        <f>VLOOKUP(A22338,'Componentes APUs'!$S$1:$V$10,2,0)</f>
        <v>Herramienta Menor</v>
      </c>
      <c r="C22338" s="220"/>
      <c r="D22338" s="50" t="s">
        <v>18</v>
      </c>
      <c r="E22338" s="50">
        <v>1</v>
      </c>
      <c r="F22338" s="51">
        <f>VLOOKUP(A22338,'Componentes APUs'!$S$1:$V$10,4,0)</f>
        <v>75758</v>
      </c>
      <c r="G22338" s="51">
        <f>ROUNDUP(F22338*((E22338/21)/E22309),0)</f>
        <v>451</v>
      </c>
    </row>
    <row r="22339" spans="1:7" ht="15" customHeight="1" x14ac:dyDescent="0.25">
      <c r="A22339" s="50" t="s">
        <v>1046</v>
      </c>
      <c r="B22339" s="220" t="str">
        <f>VLOOKUP(A22339,'Componentes APUs'!$S$1:$V$10,2,0)</f>
        <v>Molde Grafito Soldadura Exotérmica En X</v>
      </c>
      <c r="C22339" s="220"/>
      <c r="D22339" s="50" t="s">
        <v>18</v>
      </c>
      <c r="E22339" s="50">
        <f>1/40</f>
        <v>2.5000000000000001E-2</v>
      </c>
      <c r="F22339" s="51">
        <f>VLOOKUP(A22339,'Componentes APUs'!$S$1:$V$10,4,0)</f>
        <v>239000</v>
      </c>
      <c r="G22339" s="51">
        <f>ROUNDUP(F22339*((E22339/21)/E22309),0)</f>
        <v>36</v>
      </c>
    </row>
    <row r="22340" spans="1:7" x14ac:dyDescent="0.25">
      <c r="A22340" s="219" t="s">
        <v>69</v>
      </c>
      <c r="B22340" s="219"/>
      <c r="C22340" s="219"/>
      <c r="D22340" s="219"/>
      <c r="E22340" s="219"/>
      <c r="F22340" s="219"/>
      <c r="G22340" s="52">
        <f>SUM(G22333:G22339)</f>
        <v>550</v>
      </c>
    </row>
    <row r="22341" spans="1:7" x14ac:dyDescent="0.25">
      <c r="A22341" s="56"/>
      <c r="B22341" s="57"/>
      <c r="C22341" s="57"/>
      <c r="D22341" s="57"/>
      <c r="E22341" s="57"/>
      <c r="F22341" s="57"/>
      <c r="G22341" s="58"/>
    </row>
    <row r="22342" spans="1:7" x14ac:dyDescent="0.25">
      <c r="A22342" s="219" t="s">
        <v>70</v>
      </c>
      <c r="B22342" s="219"/>
      <c r="C22342" s="219"/>
      <c r="D22342" s="219"/>
      <c r="E22342" s="219"/>
      <c r="F22342" s="219"/>
      <c r="G22342" s="219"/>
    </row>
    <row r="22343" spans="1:7" x14ac:dyDescent="0.25">
      <c r="A22343" s="49" t="s">
        <v>35</v>
      </c>
      <c r="B22343" s="219" t="s">
        <v>36</v>
      </c>
      <c r="C22343" s="219"/>
      <c r="D22343" s="49" t="s">
        <v>37</v>
      </c>
      <c r="E22343" s="49" t="s">
        <v>38</v>
      </c>
      <c r="F22343" s="49" t="s">
        <v>39</v>
      </c>
      <c r="G22343" s="49" t="s">
        <v>40</v>
      </c>
    </row>
    <row r="22344" spans="1:7" x14ac:dyDescent="0.25">
      <c r="A22344" s="50" t="s">
        <v>71</v>
      </c>
      <c r="B22344" s="71" t="str">
        <f>VLOOKUP(A22344,'Componentes APUs'!$A$1:$D$14,2,0)</f>
        <v>Camisa indigo sin partes metalicas</v>
      </c>
      <c r="C22344" s="71"/>
      <c r="D22344" s="50" t="str">
        <f>VLOOKUP(A22344,'Componentes APUs'!$A$1:$D$14,3,0)</f>
        <v>U</v>
      </c>
      <c r="E22344" s="50">
        <f>SUM(C22323:C22328)</f>
        <v>2.75</v>
      </c>
      <c r="F22344" s="51">
        <f>VLOOKUP(A22344,'Componentes APUs'!$A$1:$D$14,4,0)</f>
        <v>8585.8585858585866</v>
      </c>
      <c r="G22344" s="51">
        <f>ROUNDUP(F22344*(E22344/21)/E22309,0)</f>
        <v>141</v>
      </c>
    </row>
    <row r="22345" spans="1:7" x14ac:dyDescent="0.25">
      <c r="A22345" s="69" t="s">
        <v>73</v>
      </c>
      <c r="B22345" s="72" t="str">
        <f>VLOOKUP(A22345,'Componentes APUs'!$A$1:$D$14,2,0)</f>
        <v>Bota de seguridad dielectrica</v>
      </c>
      <c r="C22345" s="73"/>
      <c r="D22345" s="70" t="str">
        <f>VLOOKUP(A22345,'Componentes APUs'!$A$1:$D$14,3,0)</f>
        <v>Par</v>
      </c>
      <c r="E22345" s="50">
        <f>SUM(C22323:C22328)</f>
        <v>2.75</v>
      </c>
      <c r="F22345" s="51">
        <f>VLOOKUP(A22345,'Componentes APUs'!$A$1:$D$14,4,0)</f>
        <v>7500</v>
      </c>
      <c r="G22345" s="51">
        <f>ROUNDUP(F22345*(E22345/21)/E22309,0)</f>
        <v>123</v>
      </c>
    </row>
    <row r="22346" spans="1:7" x14ac:dyDescent="0.25">
      <c r="A22346" s="50" t="s">
        <v>76</v>
      </c>
      <c r="B22346" s="72" t="str">
        <f>VLOOKUP(A22346,'Componentes APUs'!$A$1:$D$14,2,0)</f>
        <v>Casco dielectrico Tipo 1 Clase E con barbuquejo</v>
      </c>
      <c r="C22346" s="73"/>
      <c r="D22346" s="50" t="str">
        <f>VLOOKUP(A22346,'Componentes APUs'!$A$1:$D$14,3,0)</f>
        <v>U</v>
      </c>
      <c r="E22346" s="50">
        <f>C22328+C22323+C22326+C22327+C22324+IF(A22325&lt;&gt;"MO-3",C22325,0)</f>
        <v>2.75</v>
      </c>
      <c r="F22346" s="51">
        <f>VLOOKUP(A22346,'Componentes APUs'!$A$1:$D$14,4,0)</f>
        <v>10101.010101010101</v>
      </c>
      <c r="G22346" s="51">
        <f>ROUNDUP(F22346*(E22346/21)/E22309,0)</f>
        <v>166</v>
      </c>
    </row>
    <row r="22347" spans="1:7" x14ac:dyDescent="0.25">
      <c r="A22347" s="69" t="s">
        <v>77</v>
      </c>
      <c r="B22347" s="72" t="str">
        <f>VLOOKUP(A22347,'Componentes APUs'!$A$1:$D$14,2,0)</f>
        <v>Correa plastica y antiflama</v>
      </c>
      <c r="C22347" s="73"/>
      <c r="D22347" s="50" t="str">
        <f>VLOOKUP(A22347,'Componentes APUs'!$A$1:$D$14,3,0)</f>
        <v>U</v>
      </c>
      <c r="E22347" s="50">
        <f>SUM(C22323:C22328)</f>
        <v>2.75</v>
      </c>
      <c r="F22347" s="51">
        <f>VLOOKUP(A22347,'Componentes APUs'!$A$1:$D$14,4,0)</f>
        <v>3787.878787878788</v>
      </c>
      <c r="G22347" s="51">
        <f>ROUNDUP(F22347*(E22347/21)/E22309,0)</f>
        <v>63</v>
      </c>
    </row>
    <row r="22348" spans="1:7" x14ac:dyDescent="0.25">
      <c r="A22348" s="50" t="s">
        <v>79</v>
      </c>
      <c r="B22348" s="72" t="str">
        <f>VLOOKUP(A22348,'Componentes APUs'!$A$1:$D$14,2,0)</f>
        <v>Gafas protectoras filtro UV</v>
      </c>
      <c r="C22348" s="73"/>
      <c r="D22348" s="50" t="str">
        <f>VLOOKUP(A22348,'Componentes APUs'!$A$1:$D$14,3,0)</f>
        <v>U</v>
      </c>
      <c r="E22348" s="50">
        <f>SUM(C22323:C22328)</f>
        <v>2.75</v>
      </c>
      <c r="F22348" s="51">
        <f>VLOOKUP(A22348,'Componentes APUs'!$A$1:$D$14,4,0)</f>
        <v>2777.7777777777778</v>
      </c>
      <c r="G22348" s="51">
        <f>ROUNDUP(F22348*(E22348/21)/E22309,0)</f>
        <v>46</v>
      </c>
    </row>
    <row r="22349" spans="1:7" x14ac:dyDescent="0.25">
      <c r="A22349" s="69" t="s">
        <v>402</v>
      </c>
      <c r="B22349" s="72" t="str">
        <f>VLOOKUP(A22349,'Componentes APUs'!$A$1:$D$14,2,0)</f>
        <v>Bota de seguridad PVC dielectrica</v>
      </c>
      <c r="C22349" s="73"/>
      <c r="D22349" s="50" t="str">
        <f>VLOOKUP(A22349,'Componentes APUs'!$A$1:$D$14,3,0)</f>
        <v>Par</v>
      </c>
      <c r="E22349" s="50">
        <f>SUM(C22323:C22328)</f>
        <v>2.75</v>
      </c>
      <c r="F22349" s="51">
        <f>VLOOKUP(A22349,'Componentes APUs'!$A$1:$D$14,4,0)</f>
        <v>2916.6666666666665</v>
      </c>
      <c r="G22349" s="51">
        <f>ROUNDUP(F22349*(E22349/21)/E22309,0)</f>
        <v>48</v>
      </c>
    </row>
    <row r="22350" spans="1:7" x14ac:dyDescent="0.25">
      <c r="A22350" s="50" t="s">
        <v>403</v>
      </c>
      <c r="B22350" s="72" t="str">
        <f>VLOOKUP(A22350,'Componentes APUs'!$A$1:$D$14,2,0)</f>
        <v>Capuchon</v>
      </c>
      <c r="C22350" s="73"/>
      <c r="D22350" s="50" t="str">
        <f>VLOOKUP(A22350,'Componentes APUs'!$A$1:$D$14,3,0)</f>
        <v>U</v>
      </c>
      <c r="E22350" s="50">
        <f>SUM(C22323:C22328)</f>
        <v>2.75</v>
      </c>
      <c r="F22350" s="51">
        <f>VLOOKUP(A22350,'Componentes APUs'!$A$1:$D$14,4,0)</f>
        <v>2525.2525252525252</v>
      </c>
      <c r="G22350" s="51">
        <f>ROUNDUP(F22350*(E22350/21)/E22309,0)</f>
        <v>42</v>
      </c>
    </row>
    <row r="22351" spans="1:7" x14ac:dyDescent="0.25">
      <c r="A22351" s="69" t="s">
        <v>81</v>
      </c>
      <c r="B22351" s="72" t="str">
        <f>VLOOKUP(A22351,'Componentes APUs'!$A$1:$D$14,2,0)</f>
        <v>Guantes Protectores  - ingeniero reforzados</v>
      </c>
      <c r="C22351" s="73"/>
      <c r="D22351" s="50" t="str">
        <f>VLOOKUP(A22351,'Componentes APUs'!$A$1:$D$14,3,0)</f>
        <v>Par</v>
      </c>
      <c r="E22351" s="50">
        <f>C22325+C22326+C22328</f>
        <v>2</v>
      </c>
      <c r="F22351" s="51">
        <f>VLOOKUP(A22351,'Componentes APUs'!$A$1:$D$14,4,0)</f>
        <v>2525.2525252525252</v>
      </c>
      <c r="G22351" s="51">
        <f>ROUNDUP(F22351*(E22351/21)/E22309,0)</f>
        <v>31</v>
      </c>
    </row>
    <row r="22352" spans="1:7" x14ac:dyDescent="0.25">
      <c r="A22352" s="50" t="s">
        <v>83</v>
      </c>
      <c r="B22352" s="72" t="str">
        <f>VLOOKUP(A22352,'Componentes APUs'!$A$1:$D$14,2,0)</f>
        <v>Impermeable (pantalon camisa)</v>
      </c>
      <c r="C22352" s="73"/>
      <c r="D22352" s="50" t="str">
        <f>VLOOKUP(A22352,'Componentes APUs'!$A$1:$D$14,3,0)</f>
        <v>U</v>
      </c>
      <c r="E22352" s="50">
        <f>SUM(C22323:C22328)</f>
        <v>2.75</v>
      </c>
      <c r="F22352" s="51">
        <f>VLOOKUP(A22352,'Componentes APUs'!$A$1:$D$14,4,0)</f>
        <v>3750</v>
      </c>
      <c r="G22352" s="51">
        <f>ROUNDUP(F22352*(E22352/21)/E22309,0)</f>
        <v>62</v>
      </c>
    </row>
    <row r="22353" spans="1:7" x14ac:dyDescent="0.25">
      <c r="A22353" s="69" t="s">
        <v>85</v>
      </c>
      <c r="B22353" s="72" t="str">
        <f>VLOOKUP(A22353,'Componentes APUs'!$A$1:$D$14,2,0)</f>
        <v>Jean Dielectrico</v>
      </c>
      <c r="C22353" s="73"/>
      <c r="D22353" s="50" t="str">
        <f>VLOOKUP(A22353,'Componentes APUs'!$A$1:$D$14,3,0)</f>
        <v>U</v>
      </c>
      <c r="E22353" s="50">
        <f>SUM(C22323:C22328)</f>
        <v>2.75</v>
      </c>
      <c r="F22353" s="51">
        <f>VLOOKUP(A22353,'Componentes APUs'!$A$1:$D$14,4,0)</f>
        <v>7575.757575757576</v>
      </c>
      <c r="G22353" s="51">
        <f>ROUNDUP(F22353*(E22353/21)/E22309,0)</f>
        <v>125</v>
      </c>
    </row>
    <row r="22354" spans="1:7" x14ac:dyDescent="0.25">
      <c r="A22354" s="50" t="s">
        <v>87</v>
      </c>
      <c r="B22354" s="72" t="str">
        <f>VLOOKUP(A22354,'Componentes APUs'!$A$1:$D$14,2,0)</f>
        <v>Casco dielectrico Tipo 2 Clase E con barboquejo</v>
      </c>
      <c r="C22354" s="73"/>
      <c r="D22354" s="50" t="str">
        <f>VLOOKUP(A22354,'Componentes APUs'!$A$1:$D$14,3,0)</f>
        <v>U</v>
      </c>
      <c r="E22354" s="53">
        <f>IF(A22325="MO-3",C22325,0)</f>
        <v>0</v>
      </c>
      <c r="F22354" s="51">
        <f>VLOOKUP(A22354,'Componentes APUs'!$A$1:$D$14,4,0)</f>
        <v>7500</v>
      </c>
      <c r="G22354" s="51">
        <f>ROUNDUP(F22354*(E22354/21)/E22309,0)</f>
        <v>0</v>
      </c>
    </row>
    <row r="22355" spans="1:7" x14ac:dyDescent="0.25">
      <c r="A22355" s="69" t="s">
        <v>89</v>
      </c>
      <c r="B22355" s="72" t="str">
        <f>VLOOKUP(A22355,'Componentes APUs'!$A$1:$D$14,2,0)</f>
        <v>Kit de rescate para trabajo en alturas</v>
      </c>
      <c r="C22355" s="73"/>
      <c r="D22355" s="50" t="str">
        <f>VLOOKUP(A22355,'Componentes APUs'!$A$1:$D$14,3,0)</f>
        <v>U</v>
      </c>
      <c r="E22355" s="50">
        <f>IF(AND(A22325="MO-3",C22325=2),1,0)</f>
        <v>0</v>
      </c>
      <c r="F22355" s="51">
        <f>VLOOKUP(A22355,'Componentes APUs'!$A$1:$D$14,4,0)</f>
        <v>37500</v>
      </c>
      <c r="G22355" s="51">
        <f>ROUNDUP(F22355*(E22355/21)/E22309,0)</f>
        <v>0</v>
      </c>
    </row>
    <row r="22356" spans="1:7" x14ac:dyDescent="0.25">
      <c r="A22356" s="50" t="s">
        <v>91</v>
      </c>
      <c r="B22356" s="72" t="str">
        <f>VLOOKUP(A22356,'Componentes APUs'!$A$1:$D$14,2,0)</f>
        <v>Equipo completo para trabajo en alturas con pretales (Arnes dielectrico, 1 mosqueton de seguridad, tie off dielectrico, eslinga de posicionamiento, juego de pretales)</v>
      </c>
      <c r="C22356" s="73"/>
      <c r="D22356" s="50" t="str">
        <f>VLOOKUP(A22356,'Componentes APUs'!$A$1:$D$14,3,0)</f>
        <v>U</v>
      </c>
      <c r="E22356" s="50">
        <f>IF(A22325="MO-3",C22325,0)</f>
        <v>0</v>
      </c>
      <c r="F22356" s="51">
        <f>VLOOKUP(A22356,'Componentes APUs'!$A$1:$D$14,4,0)</f>
        <v>26041.666666666668</v>
      </c>
      <c r="G22356" s="51">
        <f>ROUNDUP(F22356*(E22356/21)/E22309,0)</f>
        <v>0</v>
      </c>
    </row>
    <row r="22357" spans="1:7" x14ac:dyDescent="0.25">
      <c r="A22357" s="219" t="s">
        <v>95</v>
      </c>
      <c r="B22357" s="219"/>
      <c r="C22357" s="219"/>
      <c r="D22357" s="219"/>
      <c r="E22357" s="219"/>
      <c r="F22357" s="219"/>
      <c r="G22357" s="52">
        <f>SUM(G22344:G22356)</f>
        <v>847</v>
      </c>
    </row>
    <row r="22358" spans="1:7" x14ac:dyDescent="0.25">
      <c r="A22358" s="56"/>
      <c r="B22358" s="57"/>
      <c r="C22358" s="57"/>
      <c r="D22358" s="57"/>
      <c r="E22358" s="57"/>
      <c r="F22358" s="57"/>
      <c r="G22358" s="58"/>
    </row>
    <row r="22359" spans="1:7" x14ac:dyDescent="0.25">
      <c r="A22359" s="219" t="s">
        <v>96</v>
      </c>
      <c r="B22359" s="219"/>
      <c r="C22359" s="219"/>
      <c r="D22359" s="219"/>
      <c r="E22359" s="219"/>
      <c r="F22359" s="219"/>
      <c r="G22359" s="219"/>
    </row>
    <row r="22360" spans="1:7" x14ac:dyDescent="0.25">
      <c r="A22360" s="49" t="s">
        <v>35</v>
      </c>
      <c r="B22360" s="225" t="s">
        <v>36</v>
      </c>
      <c r="C22360" s="225"/>
      <c r="D22360" s="49" t="s">
        <v>37</v>
      </c>
      <c r="E22360" s="49" t="s">
        <v>38</v>
      </c>
      <c r="F22360" s="49" t="s">
        <v>39</v>
      </c>
      <c r="G22360" s="49" t="s">
        <v>40</v>
      </c>
    </row>
    <row r="22361" spans="1:7" x14ac:dyDescent="0.25">
      <c r="A22361" s="69" t="s">
        <v>97</v>
      </c>
      <c r="B22361" s="72" t="str">
        <f>VLOOKUP(A22361,'Componentes APUs'!$N$1:$Q$30,2,0)</f>
        <v>Camioneta</v>
      </c>
      <c r="C22361" s="73"/>
      <c r="D22361" s="70" t="str">
        <f>VLOOKUP(A22361,'Componentes APUs'!$N$1:$Q$30,3,0)</f>
        <v>U</v>
      </c>
      <c r="E22361" s="50">
        <v>1</v>
      </c>
      <c r="F22361" s="51">
        <f>VLOOKUP(A22361,'Componentes APUs'!$N$1:$Q$30,4,0)</f>
        <v>5500000</v>
      </c>
      <c r="G22361" s="51">
        <f>IFERROR(ROUNDUP(F22361*(E22361/21)/E22309,0),0)</f>
        <v>32739</v>
      </c>
    </row>
    <row r="22362" spans="1:7" x14ac:dyDescent="0.25">
      <c r="A22362" s="50" t="s">
        <v>321</v>
      </c>
      <c r="B22362" s="72" t="str">
        <f>VLOOKUP(A22362,'Componentes APUs'!$N$1:$Q$30,2,0)</f>
        <v>Grúa Hidráulica</v>
      </c>
      <c r="C22362" s="73"/>
      <c r="D22362" s="70" t="str">
        <f>VLOOKUP(A22362,'Componentes APUs'!$N$1:$Q$30,3,0)</f>
        <v>U</v>
      </c>
      <c r="E22362" s="50">
        <v>0</v>
      </c>
      <c r="F22362" s="51">
        <f>VLOOKUP(A22362,'Componentes APUs'!$N$1:$Q$30,4,0)</f>
        <v>21000000</v>
      </c>
      <c r="G22362" s="51">
        <f>IFERROR(ROUNDUP(F22362*(E22362/21)/E22309,0),0)</f>
        <v>0</v>
      </c>
    </row>
    <row r="22363" spans="1:7" x14ac:dyDescent="0.25">
      <c r="A22363" s="69" t="s">
        <v>322</v>
      </c>
      <c r="B22363" s="72" t="str">
        <f>VLOOKUP(A22363,'Componentes APUs'!$N$1:$Q$30,2,0)</f>
        <v>Camabaja</v>
      </c>
      <c r="C22363" s="73"/>
      <c r="D22363" s="70" t="str">
        <f>VLOOKUP(A22363,'Componentes APUs'!$N$1:$Q$30,3,0)</f>
        <v>TON/KM</v>
      </c>
      <c r="E22363" s="50">
        <v>0</v>
      </c>
      <c r="F22363" s="51">
        <f>VLOOKUP(A22363,'Componentes APUs'!$N$1:$Q$30,4,0)</f>
        <v>611</v>
      </c>
      <c r="G22363" s="51">
        <f>IFERROR(ROUNDUP(F22363*(E22363/21)/E22309,0),0)</f>
        <v>0</v>
      </c>
    </row>
    <row r="22364" spans="1:7" x14ac:dyDescent="0.25">
      <c r="A22364" s="50" t="s">
        <v>323</v>
      </c>
      <c r="B22364" s="72" t="str">
        <f>VLOOKUP(A22364,'Componentes APUs'!$N$1:$Q$30,2,0)</f>
        <v>Volqueta</v>
      </c>
      <c r="C22364" s="73"/>
      <c r="D22364" s="70" t="str">
        <f>VLOOKUP(A22364,'Componentes APUs'!$N$1:$Q$30,3,0)</f>
        <v>U</v>
      </c>
      <c r="E22364" s="50">
        <v>0</v>
      </c>
      <c r="F22364" s="51">
        <f>VLOOKUP(A22364,'Componentes APUs'!$N$1:$Q$30,4,0)</f>
        <v>14828184</v>
      </c>
      <c r="G22364" s="51">
        <f>IFERROR(ROUNDUP(F22364*(E22364/21)/E22309,0),0)</f>
        <v>0</v>
      </c>
    </row>
    <row r="22365" spans="1:7" x14ac:dyDescent="0.25">
      <c r="A22365" s="69" t="s">
        <v>324</v>
      </c>
      <c r="B22365" s="72" t="str">
        <f>VLOOKUP(A22365,'Componentes APUs'!$N$1:$Q$30,2,0)</f>
        <v>Retroexcavadora</v>
      </c>
      <c r="C22365" s="73"/>
      <c r="D22365" s="70" t="str">
        <f>VLOOKUP(A22365,'Componentes APUs'!$N$1:$Q$30,3,0)</f>
        <v>U</v>
      </c>
      <c r="E22365" s="50">
        <v>0</v>
      </c>
      <c r="F22365" s="51">
        <f>VLOOKUP(A22365,'Componentes APUs'!$N$1:$Q$30,4,0)</f>
        <v>46030656</v>
      </c>
      <c r="G22365" s="51">
        <f>IFERROR(ROUNDUP(F22365*(E22365/21)/E22309,0),0)</f>
        <v>0</v>
      </c>
    </row>
    <row r="22366" spans="1:7" x14ac:dyDescent="0.25">
      <c r="A22366" s="219" t="s">
        <v>99</v>
      </c>
      <c r="B22366" s="219"/>
      <c r="C22366" s="219"/>
      <c r="D22366" s="219"/>
      <c r="E22366" s="219"/>
      <c r="F22366" s="219"/>
      <c r="G22366" s="52">
        <f>SUM(G22361:G22365)</f>
        <v>32739</v>
      </c>
    </row>
    <row r="22367" spans="1:7" x14ac:dyDescent="0.25">
      <c r="A22367" s="56"/>
      <c r="B22367" s="57"/>
      <c r="C22367" s="57"/>
      <c r="D22367" s="57"/>
      <c r="E22367" s="57"/>
      <c r="F22367" s="57"/>
      <c r="G22367" s="58"/>
    </row>
    <row r="22368" spans="1:7" x14ac:dyDescent="0.25">
      <c r="A22368" s="219" t="s">
        <v>1516</v>
      </c>
      <c r="B22368" s="219"/>
      <c r="C22368" s="219"/>
      <c r="D22368" s="219"/>
      <c r="E22368" s="219"/>
      <c r="F22368" s="219"/>
      <c r="G22368" s="52">
        <f>G22366+G22357+G22340+G22329+G22319</f>
        <v>150256</v>
      </c>
    </row>
    <row r="22369" spans="1:7" x14ac:dyDescent="0.25">
      <c r="A22369" s="59"/>
      <c r="B22369" s="60"/>
      <c r="C22369" s="60"/>
      <c r="D22369" s="60"/>
      <c r="E22369" s="57"/>
      <c r="F22369" s="57"/>
      <c r="G22369" s="58"/>
    </row>
    <row r="22370" spans="1:7" x14ac:dyDescent="0.25">
      <c r="A22370" s="64"/>
      <c r="D22370" s="55"/>
      <c r="E22370" s="49" t="s">
        <v>25</v>
      </c>
      <c r="F22370" s="54">
        <v>0.15</v>
      </c>
      <c r="G22370" s="51">
        <f>G22368*F22370</f>
        <v>22538.399999999998</v>
      </c>
    </row>
    <row r="22371" spans="1:7" x14ac:dyDescent="0.25">
      <c r="A22371" s="64"/>
      <c r="D22371" s="55"/>
      <c r="E22371" s="49" t="s">
        <v>26</v>
      </c>
      <c r="F22371" s="54">
        <v>0.05</v>
      </c>
      <c r="G22371" s="51">
        <f>G22368*F22371</f>
        <v>7512.8</v>
      </c>
    </row>
    <row r="22372" spans="1:7" x14ac:dyDescent="0.25">
      <c r="A22372" s="61"/>
      <c r="B22372" s="65"/>
      <c r="C22372" s="65"/>
      <c r="D22372" s="62"/>
      <c r="E22372" s="49" t="s">
        <v>27</v>
      </c>
      <c r="F22372" s="54">
        <v>0.05</v>
      </c>
      <c r="G22372" s="51">
        <f>G22368*F22372</f>
        <v>7512.8</v>
      </c>
    </row>
    <row r="22373" spans="1:7" x14ac:dyDescent="0.25">
      <c r="A22373" s="61"/>
      <c r="B22373" s="62"/>
      <c r="C22373" s="62"/>
      <c r="D22373" s="62"/>
      <c r="E22373" s="62"/>
      <c r="F22373" s="62"/>
      <c r="G22373" s="63"/>
    </row>
    <row r="22374" spans="1:7" x14ac:dyDescent="0.25">
      <c r="A22374" s="219" t="s">
        <v>1517</v>
      </c>
      <c r="B22374" s="219"/>
      <c r="C22374" s="219"/>
      <c r="D22374" s="219"/>
      <c r="E22374" s="219"/>
      <c r="F22374" s="219"/>
      <c r="G22374" s="52">
        <f>G22368+G22370+G22371+G22372</f>
        <v>187819.99999999997</v>
      </c>
    </row>
    <row r="22375" spans="1:7" x14ac:dyDescent="0.25">
      <c r="A22375" s="59"/>
      <c r="B22375" s="60"/>
      <c r="C22375" s="60"/>
      <c r="D22375" s="60"/>
      <c r="E22375" s="57"/>
      <c r="F22375" s="57"/>
      <c r="G22375" s="58"/>
    </row>
    <row r="22376" spans="1:7" x14ac:dyDescent="0.25">
      <c r="A22376" s="64"/>
      <c r="D22376" s="55"/>
      <c r="E22376" s="49" t="s">
        <v>102</v>
      </c>
      <c r="F22376" s="49" t="s">
        <v>103</v>
      </c>
      <c r="G22376" s="51">
        <f>G22372*19%</f>
        <v>1427.432</v>
      </c>
    </row>
    <row r="22377" spans="1:7" x14ac:dyDescent="0.25">
      <c r="A22377" s="61"/>
      <c r="B22377" s="62"/>
      <c r="C22377" s="62"/>
      <c r="D22377" s="62"/>
      <c r="E22377" s="57"/>
      <c r="F22377" s="57"/>
      <c r="G22377" s="58"/>
    </row>
    <row r="22378" spans="1:7" x14ac:dyDescent="0.25">
      <c r="A22378" s="219" t="s">
        <v>104</v>
      </c>
      <c r="B22378" s="219"/>
      <c r="C22378" s="219"/>
      <c r="D22378" s="219"/>
      <c r="E22378" s="219"/>
      <c r="F22378" s="219"/>
      <c r="G22378" s="52">
        <f>G22376+G22374</f>
        <v>189247.43199999997</v>
      </c>
    </row>
    <row r="22380" spans="1:7" x14ac:dyDescent="0.25">
      <c r="A22380" s="74" t="s">
        <v>29</v>
      </c>
      <c r="B22380" s="237" t="s">
        <v>30</v>
      </c>
      <c r="C22380" s="238"/>
      <c r="D22380" s="74" t="s">
        <v>31</v>
      </c>
      <c r="E22380" s="74" t="s">
        <v>32</v>
      </c>
      <c r="F22380" s="74" t="s">
        <v>189</v>
      </c>
      <c r="G22380" s="74" t="s">
        <v>33</v>
      </c>
    </row>
    <row r="22381" spans="1:7" ht="36" customHeight="1" x14ac:dyDescent="0.25">
      <c r="A22381" s="50" t="str">
        <f>Presupuesto!B428</f>
        <v>087_AUX</v>
      </c>
      <c r="B22381" s="220" t="str">
        <f>Presupuesto!C428</f>
        <v>CONECTOR DE CABLE PASANTE CU 4/0 AWG A ELECTRODO 5/8"</v>
      </c>
      <c r="C22381" s="239"/>
      <c r="D22381" s="50" t="s">
        <v>8</v>
      </c>
      <c r="E22381" s="50">
        <v>8</v>
      </c>
      <c r="F22381" s="50"/>
      <c r="G22381" s="51">
        <f>G22449</f>
        <v>179587.06699999998</v>
      </c>
    </row>
    <row r="22382" spans="1:7" x14ac:dyDescent="0.25">
      <c r="A22382" s="219" t="s">
        <v>34</v>
      </c>
      <c r="B22382" s="219"/>
      <c r="C22382" s="219"/>
      <c r="D22382" s="219"/>
      <c r="E22382" s="219"/>
      <c r="F22382" s="219"/>
      <c r="G22382" s="219"/>
    </row>
    <row r="22383" spans="1:7" x14ac:dyDescent="0.25">
      <c r="A22383" s="49" t="s">
        <v>35</v>
      </c>
      <c r="B22383" s="234" t="s">
        <v>36</v>
      </c>
      <c r="C22383" s="235"/>
      <c r="D22383" s="49" t="s">
        <v>37</v>
      </c>
      <c r="E22383" s="49" t="s">
        <v>38</v>
      </c>
      <c r="F22383" s="49" t="s">
        <v>39</v>
      </c>
      <c r="G22383" s="49" t="s">
        <v>40</v>
      </c>
    </row>
    <row r="22384" spans="1:7" x14ac:dyDescent="0.25">
      <c r="A22384" s="17" t="str">
        <f>Material!A162</f>
        <v>MA-161</v>
      </c>
      <c r="B22384" s="72" t="str">
        <f>IFERROR(VLOOKUP(A22384,Material!$A:$H,2,0),"-")</f>
        <v>SOLDADURA EXOTÉRMICA 115 G</v>
      </c>
      <c r="C22384" s="76"/>
      <c r="D22384" s="50" t="str">
        <f>IFERROR(VLOOKUP(A22384,Material!$A:$H,4,0),"-")</f>
        <v>UN</v>
      </c>
      <c r="E22384" s="50">
        <v>1</v>
      </c>
      <c r="F22384" s="51">
        <f>IFERROR(VLOOKUP(A22384,Material!$A:$H,3,0),"-")</f>
        <v>24505</v>
      </c>
      <c r="G22384" s="51">
        <f>IFERROR(ROUNDUP(F22384*E22384,0),"-")</f>
        <v>24505</v>
      </c>
    </row>
    <row r="22385" spans="1:7" x14ac:dyDescent="0.25">
      <c r="A22385" s="17"/>
      <c r="B22385" s="72"/>
      <c r="C22385" s="76"/>
      <c r="D22385" s="50"/>
      <c r="E22385" s="50"/>
      <c r="F22385" s="51"/>
      <c r="G22385" s="51"/>
    </row>
    <row r="22386" spans="1:7" x14ac:dyDescent="0.25">
      <c r="A22386" s="17"/>
      <c r="B22386" s="72"/>
      <c r="C22386" s="76"/>
      <c r="D22386" s="50"/>
      <c r="E22386" s="50"/>
      <c r="F22386" s="51"/>
      <c r="G22386" s="51"/>
    </row>
    <row r="22387" spans="1:7" x14ac:dyDescent="0.25">
      <c r="A22387" s="17"/>
      <c r="B22387" s="72"/>
      <c r="C22387" s="76"/>
      <c r="D22387" s="50"/>
      <c r="E22387" s="50"/>
      <c r="F22387" s="51"/>
      <c r="G22387" s="51"/>
    </row>
    <row r="22388" spans="1:7" x14ac:dyDescent="0.25">
      <c r="A22388" s="17"/>
      <c r="B22388" s="72"/>
      <c r="C22388" s="76"/>
      <c r="D22388" s="50"/>
      <c r="E22388" s="50"/>
      <c r="F22388" s="51"/>
      <c r="G22388" s="51"/>
    </row>
    <row r="22389" spans="1:7" x14ac:dyDescent="0.25">
      <c r="A22389" s="17"/>
      <c r="B22389" s="72"/>
      <c r="C22389" s="76"/>
      <c r="D22389" s="50"/>
      <c r="E22389" s="50"/>
      <c r="F22389" s="51"/>
      <c r="G22389" s="51"/>
    </row>
    <row r="22390" spans="1:7" x14ac:dyDescent="0.25">
      <c r="A22390" s="234" t="s">
        <v>41</v>
      </c>
      <c r="B22390" s="236"/>
      <c r="C22390" s="236"/>
      <c r="D22390" s="236"/>
      <c r="E22390" s="236"/>
      <c r="F22390" s="235"/>
      <c r="G22390" s="52">
        <f>SUM(G22384:G22389)</f>
        <v>24505</v>
      </c>
    </row>
    <row r="22391" spans="1:7" x14ac:dyDescent="0.25">
      <c r="A22391" s="56"/>
      <c r="B22391" s="57"/>
      <c r="C22391" s="57"/>
      <c r="D22391" s="57"/>
      <c r="E22391" s="57"/>
      <c r="F22391" s="57"/>
      <c r="G22391" s="58"/>
    </row>
    <row r="22392" spans="1:7" x14ac:dyDescent="0.25">
      <c r="A22392" s="219" t="s">
        <v>42</v>
      </c>
      <c r="B22392" s="219"/>
      <c r="C22392" s="219"/>
      <c r="D22392" s="219"/>
      <c r="E22392" s="219"/>
      <c r="F22392" s="219"/>
      <c r="G22392" s="219"/>
    </row>
    <row r="22393" spans="1:7" x14ac:dyDescent="0.25">
      <c r="A22393" s="49" t="s">
        <v>35</v>
      </c>
      <c r="B22393" s="49" t="s">
        <v>36</v>
      </c>
      <c r="C22393" s="49" t="s">
        <v>38</v>
      </c>
      <c r="D22393" s="49" t="s">
        <v>43</v>
      </c>
      <c r="E22393" s="49" t="s">
        <v>44</v>
      </c>
      <c r="F22393" s="49" t="s">
        <v>45</v>
      </c>
      <c r="G22393" s="49" t="s">
        <v>40</v>
      </c>
    </row>
    <row r="22394" spans="1:7" x14ac:dyDescent="0.25">
      <c r="A22394" s="50" t="s">
        <v>319</v>
      </c>
      <c r="B22394" s="68" t="str">
        <f>VLOOKUP(A22394,'Componentes APUs'!$H$1:$L$25,2,0)</f>
        <v>Ingeniero Residente de Obra</v>
      </c>
      <c r="C22394" s="93">
        <v>0.25</v>
      </c>
      <c r="D22394" s="50">
        <f>VLOOKUP(A22394,'Componentes APUs'!$H$1:$L$25,3,0)</f>
        <v>4</v>
      </c>
      <c r="E22394" s="51">
        <f>VLOOKUP(A22394,'Componentes APUs'!$H$1:$L$25,4,0)</f>
        <v>271142.85714285716</v>
      </c>
      <c r="F22394" s="51">
        <f>VLOOKUP(A22394,'Componentes APUs'!$H$1:$L$25,5,0)</f>
        <v>162685.71428571429</v>
      </c>
      <c r="G22394" s="51">
        <f>ROUNDUP((E22394+F22394)*C22394/E22381,0)</f>
        <v>13558</v>
      </c>
    </row>
    <row r="22395" spans="1:7" x14ac:dyDescent="0.25">
      <c r="A22395" s="50" t="s">
        <v>320</v>
      </c>
      <c r="B22395" s="68" t="str">
        <f>VLOOKUP(A22395,'Componentes APUs'!$H$1:$L$25,2,0)</f>
        <v>Tecnico Supervisor</v>
      </c>
      <c r="C22395" s="93">
        <v>0.25</v>
      </c>
      <c r="D22395" s="50">
        <f>VLOOKUP(A22395,'Componentes APUs'!$H$1:$L$25,3,0)</f>
        <v>2.2999999999999998</v>
      </c>
      <c r="E22395" s="51">
        <f>VLOOKUP(A22395,'Componentes APUs'!$H$1:$L$25,4,0)</f>
        <v>155907.14285714284</v>
      </c>
      <c r="F22395" s="51">
        <f>VLOOKUP(A22395,'Componentes APUs'!$H$1:$L$25,5,0)</f>
        <v>93544.285714285696</v>
      </c>
      <c r="G22395" s="51">
        <f>ROUNDUP((E22395+F22395)*C22395/E22381,0)</f>
        <v>7796</v>
      </c>
    </row>
    <row r="22396" spans="1:7" x14ac:dyDescent="0.25">
      <c r="A22396" s="50" t="s">
        <v>1160</v>
      </c>
      <c r="B22396" s="68" t="str">
        <f>VLOOKUP(A22396,'Componentes APUs'!$H$1:$L$25,2,0)</f>
        <v>Oficial Eléctrico</v>
      </c>
      <c r="C22396" s="93">
        <v>1</v>
      </c>
      <c r="D22396" s="50">
        <f>VLOOKUP(A22396,'Componentes APUs'!$H$1:$L$25,3,0)</f>
        <v>2</v>
      </c>
      <c r="E22396" s="51">
        <f>VLOOKUP(A22396,'Componentes APUs'!$H$1:$L$25,4,0)</f>
        <v>154619.04761904763</v>
      </c>
      <c r="F22396" s="51">
        <f>VLOOKUP(A22396,'Componentes APUs'!$H$1:$L$25,5,0)</f>
        <v>92771.42857142858</v>
      </c>
      <c r="G22396" s="51">
        <f>ROUNDUP((E22396+F22396)*C22396/E22381,0)</f>
        <v>30924</v>
      </c>
    </row>
    <row r="22397" spans="1:7" x14ac:dyDescent="0.25">
      <c r="A22397" s="50" t="s">
        <v>48</v>
      </c>
      <c r="B22397" s="68" t="str">
        <f>VLOOKUP(A22397,'Componentes APUs'!$H$1:$L$25,2,0)</f>
        <v>Ayudante Calificado</v>
      </c>
      <c r="C22397" s="93">
        <v>1</v>
      </c>
      <c r="D22397" s="50">
        <f>VLOOKUP(A22397,'Componentes APUs'!$H$1:$L$25,3,0)</f>
        <v>1.5</v>
      </c>
      <c r="E22397" s="51">
        <f>VLOOKUP(A22397,'Componentes APUs'!$H$1:$L$25,4,0)</f>
        <v>115964.28571428571</v>
      </c>
      <c r="F22397" s="51">
        <f>VLOOKUP(A22397,'Componentes APUs'!$H$1:$L$25,5,0)</f>
        <v>69578.57142857142</v>
      </c>
      <c r="G22397" s="51">
        <f>ROUNDUP((E22397+F22397)*C22397/E22381,0)</f>
        <v>23193</v>
      </c>
    </row>
    <row r="22398" spans="1:7" x14ac:dyDescent="0.25">
      <c r="A22398" s="50" t="s">
        <v>50</v>
      </c>
      <c r="B22398" s="68" t="str">
        <f>VLOOKUP(A22398,'Componentes APUs'!$H$1:$L$25,2,0)</f>
        <v>Profesional en SST</v>
      </c>
      <c r="C22398" s="93">
        <v>0.25</v>
      </c>
      <c r="D22398" s="50">
        <f>VLOOKUP(A22398,'Componentes APUs'!$H$1:$L$25,3,0)</f>
        <v>2.5</v>
      </c>
      <c r="E22398" s="51">
        <f>VLOOKUP(A22398,'Componentes APUs'!$H$1:$L$25,4,0)</f>
        <v>169464.28571428571</v>
      </c>
      <c r="F22398" s="51">
        <f>VLOOKUP(A22398,'Componentes APUs'!$H$1:$L$25,5,0)</f>
        <v>101678.57142857142</v>
      </c>
      <c r="G22398" s="51">
        <f>ROUNDUP((E22398+F22398)*C22398/E22381,0)</f>
        <v>8474</v>
      </c>
    </row>
    <row r="22399" spans="1:7" x14ac:dyDescent="0.25">
      <c r="A22399" s="50" t="s">
        <v>52</v>
      </c>
      <c r="B22399" s="68" t="str">
        <f>VLOOKUP(A22399,'Componentes APUs'!$H$1:$L$25,2,0)</f>
        <v>Ayudante No Calificado</v>
      </c>
      <c r="C22399" s="93">
        <v>0</v>
      </c>
      <c r="D22399" s="50">
        <f>VLOOKUP(A22399,'Componentes APUs'!$H$1:$L$25,3,0)</f>
        <v>1</v>
      </c>
      <c r="E22399" s="51">
        <f>VLOOKUP(A22399,'Componentes APUs'!$H$1:$L$25,4,0)</f>
        <v>77309.523809523816</v>
      </c>
      <c r="F22399" s="51">
        <f>VLOOKUP(A22399,'Componentes APUs'!$H$1:$L$25,5,0)</f>
        <v>46385.71428571429</v>
      </c>
      <c r="G22399" s="51">
        <f>ROUNDUP((E22399+F22399)*C22399/E22381,0)</f>
        <v>0</v>
      </c>
    </row>
    <row r="22400" spans="1:7" x14ac:dyDescent="0.25">
      <c r="A22400" s="219" t="s">
        <v>56</v>
      </c>
      <c r="B22400" s="219"/>
      <c r="C22400" s="219"/>
      <c r="D22400" s="219"/>
      <c r="E22400" s="219"/>
      <c r="F22400" s="219"/>
      <c r="G22400" s="52">
        <f>SUM(G22394:G22399)</f>
        <v>83945</v>
      </c>
    </row>
    <row r="22401" spans="1:7" x14ac:dyDescent="0.25">
      <c r="A22401" s="56"/>
      <c r="B22401" s="57"/>
      <c r="C22401" s="57"/>
      <c r="D22401" s="57"/>
      <c r="E22401" s="57"/>
      <c r="F22401" s="57"/>
      <c r="G22401" s="58"/>
    </row>
    <row r="22402" spans="1:7" x14ac:dyDescent="0.25">
      <c r="A22402" s="219" t="s">
        <v>57</v>
      </c>
      <c r="B22402" s="219"/>
      <c r="C22402" s="219"/>
      <c r="D22402" s="219"/>
      <c r="E22402" s="219"/>
      <c r="F22402" s="219"/>
      <c r="G22402" s="219"/>
    </row>
    <row r="22403" spans="1:7" x14ac:dyDescent="0.25">
      <c r="A22403" s="49" t="s">
        <v>35</v>
      </c>
      <c r="B22403" s="219" t="s">
        <v>36</v>
      </c>
      <c r="C22403" s="219"/>
      <c r="D22403" s="49" t="s">
        <v>37</v>
      </c>
      <c r="E22403" s="49" t="s">
        <v>38</v>
      </c>
      <c r="F22403" s="49" t="s">
        <v>39</v>
      </c>
      <c r="G22403" s="49" t="s">
        <v>40</v>
      </c>
    </row>
    <row r="22404" spans="1:7" x14ac:dyDescent="0.25">
      <c r="A22404" s="50" t="s">
        <v>326</v>
      </c>
      <c r="B22404" s="220" t="str">
        <f>VLOOKUP(A22404,'Componentes APUs'!$S$1:$V$10,2,0)</f>
        <v>Juego Llaves</v>
      </c>
      <c r="C22404" s="220"/>
      <c r="D22404" s="50" t="s">
        <v>18</v>
      </c>
      <c r="E22404" s="50">
        <v>1</v>
      </c>
      <c r="F22404" s="51">
        <f>VLOOKUP(A22404,'Componentes APUs'!$S$1:$V$10,4,0)</f>
        <v>9167</v>
      </c>
      <c r="G22404" s="51">
        <f>ROUNDUP(F22404*((E22404/21)/E22381),0)</f>
        <v>55</v>
      </c>
    </row>
    <row r="22405" spans="1:7" x14ac:dyDescent="0.25">
      <c r="A22405" s="50" t="s">
        <v>58</v>
      </c>
      <c r="B22405" s="220" t="str">
        <f>VLOOKUP(A22405,'Componentes APUs'!$S$1:$V$10,2,0)</f>
        <v>Manila de servicio</v>
      </c>
      <c r="C22405" s="220"/>
      <c r="D22405" s="50" t="s">
        <v>18</v>
      </c>
      <c r="E22405" s="50">
        <v>0</v>
      </c>
      <c r="F22405" s="51">
        <f>VLOOKUP(A22405,'Componentes APUs'!$S$1:$V$10,4,0)</f>
        <v>2333</v>
      </c>
      <c r="G22405" s="51">
        <f>ROUNDUP(F22405*((E22405/21)/E22381),0)</f>
        <v>0</v>
      </c>
    </row>
    <row r="22406" spans="1:7" x14ac:dyDescent="0.25">
      <c r="A22406" s="50" t="s">
        <v>327</v>
      </c>
      <c r="B22406" s="220" t="str">
        <f>VLOOKUP(A22406,'Componentes APUs'!$S$1:$V$10,2,0)</f>
        <v>Tula portaherramientas</v>
      </c>
      <c r="C22406" s="220"/>
      <c r="D22406" s="50" t="s">
        <v>18</v>
      </c>
      <c r="E22406" s="50">
        <v>1</v>
      </c>
      <c r="F22406" s="51">
        <f>VLOOKUP(A22406,'Componentes APUs'!$S$1:$V$10,4,0)</f>
        <v>1250</v>
      </c>
      <c r="G22406" s="51">
        <f>ROUNDUP(F22406*((E22406/21)/E22381),0)</f>
        <v>8</v>
      </c>
    </row>
    <row r="22407" spans="1:7" x14ac:dyDescent="0.25">
      <c r="A22407" s="50" t="s">
        <v>60</v>
      </c>
      <c r="B22407" s="220" t="str">
        <f>VLOOKUP(A22407,'Componentes APUs'!$S$1:$V$10,2,0)</f>
        <v>Agarradoras</v>
      </c>
      <c r="C22407" s="220"/>
      <c r="D22407" s="50" t="s">
        <v>18</v>
      </c>
      <c r="E22407" s="50">
        <v>0</v>
      </c>
      <c r="F22407" s="51">
        <f>VLOOKUP(A22407,'Componentes APUs'!$S$1:$V$10,4,0)</f>
        <v>125000</v>
      </c>
      <c r="G22407" s="51">
        <f>ROUNDUP(F22407*((E22407/21)/E22381),0)</f>
        <v>0</v>
      </c>
    </row>
    <row r="22408" spans="1:7" x14ac:dyDescent="0.25">
      <c r="A22408" s="50" t="s">
        <v>62</v>
      </c>
      <c r="B22408" s="220" t="str">
        <f>VLOOKUP(A22408,'Componentes APUs'!$S$1:$V$10,2,0)</f>
        <v>Templadoras</v>
      </c>
      <c r="C22408" s="220"/>
      <c r="D22408" s="50" t="s">
        <v>18</v>
      </c>
      <c r="E22408" s="50">
        <v>0</v>
      </c>
      <c r="F22408" s="51">
        <f>VLOOKUP(A22408,'Componentes APUs'!$S$1:$V$10,4,0)</f>
        <v>250000</v>
      </c>
      <c r="G22408" s="51">
        <f>ROUNDUP(F22408*((E22408/21)/E22381),0)</f>
        <v>0</v>
      </c>
    </row>
    <row r="22409" spans="1:7" ht="15" customHeight="1" x14ac:dyDescent="0.25">
      <c r="A22409" s="50" t="s">
        <v>328</v>
      </c>
      <c r="B22409" s="220" t="str">
        <f>VLOOKUP(A22409,'Componentes APUs'!$S$1:$V$10,2,0)</f>
        <v>Herramienta Menor</v>
      </c>
      <c r="C22409" s="220"/>
      <c r="D22409" s="50" t="s">
        <v>18</v>
      </c>
      <c r="E22409" s="50">
        <v>1</v>
      </c>
      <c r="F22409" s="51">
        <f>VLOOKUP(A22409,'Componentes APUs'!$S$1:$V$10,4,0)</f>
        <v>75758</v>
      </c>
      <c r="G22409" s="51">
        <f>ROUNDUP(F22409*((E22409/21)/E22381),0)</f>
        <v>451</v>
      </c>
    </row>
    <row r="22410" spans="1:7" ht="15" customHeight="1" x14ac:dyDescent="0.25">
      <c r="A22410" s="50" t="s">
        <v>1046</v>
      </c>
      <c r="B22410" s="220" t="str">
        <f>VLOOKUP(A22410,'Componentes APUs'!$S$1:$V$10,2,0)</f>
        <v>Molde Grafito Soldadura Exotérmica En X</v>
      </c>
      <c r="C22410" s="220"/>
      <c r="D22410" s="50" t="s">
        <v>18</v>
      </c>
      <c r="E22410" s="50">
        <f>1/40</f>
        <v>2.5000000000000001E-2</v>
      </c>
      <c r="F22410" s="51">
        <f>VLOOKUP(A22410,'Componentes APUs'!$S$1:$V$10,4,0)</f>
        <v>239000</v>
      </c>
      <c r="G22410" s="51">
        <f>ROUNDUP(F22410*((E22410/21)/E22381),0)</f>
        <v>36</v>
      </c>
    </row>
    <row r="22411" spans="1:7" x14ac:dyDescent="0.25">
      <c r="A22411" s="219" t="s">
        <v>69</v>
      </c>
      <c r="B22411" s="219"/>
      <c r="C22411" s="219"/>
      <c r="D22411" s="219"/>
      <c r="E22411" s="219"/>
      <c r="F22411" s="219"/>
      <c r="G22411" s="52">
        <f>SUM(G22404:G22410)</f>
        <v>550</v>
      </c>
    </row>
    <row r="22412" spans="1:7" x14ac:dyDescent="0.25">
      <c r="A22412" s="56"/>
      <c r="B22412" s="57"/>
      <c r="C22412" s="57"/>
      <c r="D22412" s="57"/>
      <c r="E22412" s="57"/>
      <c r="F22412" s="57"/>
      <c r="G22412" s="58"/>
    </row>
    <row r="22413" spans="1:7" x14ac:dyDescent="0.25">
      <c r="A22413" s="219" t="s">
        <v>70</v>
      </c>
      <c r="B22413" s="219"/>
      <c r="C22413" s="219"/>
      <c r="D22413" s="219"/>
      <c r="E22413" s="219"/>
      <c r="F22413" s="219"/>
      <c r="G22413" s="219"/>
    </row>
    <row r="22414" spans="1:7" x14ac:dyDescent="0.25">
      <c r="A22414" s="49" t="s">
        <v>35</v>
      </c>
      <c r="B22414" s="219" t="s">
        <v>36</v>
      </c>
      <c r="C22414" s="219"/>
      <c r="D22414" s="49" t="s">
        <v>37</v>
      </c>
      <c r="E22414" s="49" t="s">
        <v>38</v>
      </c>
      <c r="F22414" s="49" t="s">
        <v>39</v>
      </c>
      <c r="G22414" s="49" t="s">
        <v>40</v>
      </c>
    </row>
    <row r="22415" spans="1:7" x14ac:dyDescent="0.25">
      <c r="A22415" s="50" t="s">
        <v>71</v>
      </c>
      <c r="B22415" s="71" t="str">
        <f>VLOOKUP(A22415,'Componentes APUs'!$A$1:$D$14,2,0)</f>
        <v>Camisa indigo sin partes metalicas</v>
      </c>
      <c r="C22415" s="71"/>
      <c r="D22415" s="50" t="str">
        <f>VLOOKUP(A22415,'Componentes APUs'!$A$1:$D$14,3,0)</f>
        <v>U</v>
      </c>
      <c r="E22415" s="50">
        <f>SUM(C22394:C22399)</f>
        <v>2.75</v>
      </c>
      <c r="F22415" s="51">
        <f>VLOOKUP(A22415,'Componentes APUs'!$A$1:$D$14,4,0)</f>
        <v>8585.8585858585866</v>
      </c>
      <c r="G22415" s="51">
        <f>ROUNDUP(F22415*(E22415/21)/E22381,0)</f>
        <v>141</v>
      </c>
    </row>
    <row r="22416" spans="1:7" x14ac:dyDescent="0.25">
      <c r="A22416" s="69" t="s">
        <v>73</v>
      </c>
      <c r="B22416" s="72" t="str">
        <f>VLOOKUP(A22416,'Componentes APUs'!$A$1:$D$14,2,0)</f>
        <v>Bota de seguridad dielectrica</v>
      </c>
      <c r="C22416" s="73"/>
      <c r="D22416" s="70" t="str">
        <f>VLOOKUP(A22416,'Componentes APUs'!$A$1:$D$14,3,0)</f>
        <v>Par</v>
      </c>
      <c r="E22416" s="50">
        <f>SUM(C22394:C22399)</f>
        <v>2.75</v>
      </c>
      <c r="F22416" s="51">
        <f>VLOOKUP(A22416,'Componentes APUs'!$A$1:$D$14,4,0)</f>
        <v>7500</v>
      </c>
      <c r="G22416" s="51">
        <f>ROUNDUP(F22416*(E22416/21)/E22381,0)</f>
        <v>123</v>
      </c>
    </row>
    <row r="22417" spans="1:7" x14ac:dyDescent="0.25">
      <c r="A22417" s="50" t="s">
        <v>76</v>
      </c>
      <c r="B22417" s="72" t="str">
        <f>VLOOKUP(A22417,'Componentes APUs'!$A$1:$D$14,2,0)</f>
        <v>Casco dielectrico Tipo 1 Clase E con barbuquejo</v>
      </c>
      <c r="C22417" s="73"/>
      <c r="D22417" s="50" t="str">
        <f>VLOOKUP(A22417,'Componentes APUs'!$A$1:$D$14,3,0)</f>
        <v>U</v>
      </c>
      <c r="E22417" s="50">
        <f>C22399+C22394+C22397+C22398+C22395+IF(A22396&lt;&gt;"MO-3",C22396,0)</f>
        <v>2.75</v>
      </c>
      <c r="F22417" s="51">
        <f>VLOOKUP(A22417,'Componentes APUs'!$A$1:$D$14,4,0)</f>
        <v>10101.010101010101</v>
      </c>
      <c r="G22417" s="51">
        <f>ROUNDUP(F22417*(E22417/21)/E22381,0)</f>
        <v>166</v>
      </c>
    </row>
    <row r="22418" spans="1:7" x14ac:dyDescent="0.25">
      <c r="A22418" s="69" t="s">
        <v>77</v>
      </c>
      <c r="B22418" s="72" t="str">
        <f>VLOOKUP(A22418,'Componentes APUs'!$A$1:$D$14,2,0)</f>
        <v>Correa plastica y antiflama</v>
      </c>
      <c r="C22418" s="73"/>
      <c r="D22418" s="50" t="str">
        <f>VLOOKUP(A22418,'Componentes APUs'!$A$1:$D$14,3,0)</f>
        <v>U</v>
      </c>
      <c r="E22418" s="50">
        <f>SUM(C22394:C22399)</f>
        <v>2.75</v>
      </c>
      <c r="F22418" s="51">
        <f>VLOOKUP(A22418,'Componentes APUs'!$A$1:$D$14,4,0)</f>
        <v>3787.878787878788</v>
      </c>
      <c r="G22418" s="51">
        <f>ROUNDUP(F22418*(E22418/21)/E22381,0)</f>
        <v>63</v>
      </c>
    </row>
    <row r="22419" spans="1:7" x14ac:dyDescent="0.25">
      <c r="A22419" s="50" t="s">
        <v>79</v>
      </c>
      <c r="B22419" s="72" t="str">
        <f>VLOOKUP(A22419,'Componentes APUs'!$A$1:$D$14,2,0)</f>
        <v>Gafas protectoras filtro UV</v>
      </c>
      <c r="C22419" s="73"/>
      <c r="D22419" s="50" t="str">
        <f>VLOOKUP(A22419,'Componentes APUs'!$A$1:$D$14,3,0)</f>
        <v>U</v>
      </c>
      <c r="E22419" s="50">
        <f>SUM(C22394:C22399)</f>
        <v>2.75</v>
      </c>
      <c r="F22419" s="51">
        <f>VLOOKUP(A22419,'Componentes APUs'!$A$1:$D$14,4,0)</f>
        <v>2777.7777777777778</v>
      </c>
      <c r="G22419" s="51">
        <f>ROUNDUP(F22419*(E22419/21)/E22381,0)</f>
        <v>46</v>
      </c>
    </row>
    <row r="22420" spans="1:7" x14ac:dyDescent="0.25">
      <c r="A22420" s="69" t="s">
        <v>402</v>
      </c>
      <c r="B22420" s="72" t="str">
        <f>VLOOKUP(A22420,'Componentes APUs'!$A$1:$D$14,2,0)</f>
        <v>Bota de seguridad PVC dielectrica</v>
      </c>
      <c r="C22420" s="73"/>
      <c r="D22420" s="50" t="str">
        <f>VLOOKUP(A22420,'Componentes APUs'!$A$1:$D$14,3,0)</f>
        <v>Par</v>
      </c>
      <c r="E22420" s="50">
        <f>SUM(C22394:C22399)</f>
        <v>2.75</v>
      </c>
      <c r="F22420" s="51">
        <f>VLOOKUP(A22420,'Componentes APUs'!$A$1:$D$14,4,0)</f>
        <v>2916.6666666666665</v>
      </c>
      <c r="G22420" s="51">
        <f>ROUNDUP(F22420*(E22420/21)/E22381,0)</f>
        <v>48</v>
      </c>
    </row>
    <row r="22421" spans="1:7" x14ac:dyDescent="0.25">
      <c r="A22421" s="50" t="s">
        <v>403</v>
      </c>
      <c r="B22421" s="72" t="str">
        <f>VLOOKUP(A22421,'Componentes APUs'!$A$1:$D$14,2,0)</f>
        <v>Capuchon</v>
      </c>
      <c r="C22421" s="73"/>
      <c r="D22421" s="50" t="str">
        <f>VLOOKUP(A22421,'Componentes APUs'!$A$1:$D$14,3,0)</f>
        <v>U</v>
      </c>
      <c r="E22421" s="50">
        <f>SUM(C22394:C22399)</f>
        <v>2.75</v>
      </c>
      <c r="F22421" s="51">
        <f>VLOOKUP(A22421,'Componentes APUs'!$A$1:$D$14,4,0)</f>
        <v>2525.2525252525252</v>
      </c>
      <c r="G22421" s="51">
        <f>ROUNDUP(F22421*(E22421/21)/E22381,0)</f>
        <v>42</v>
      </c>
    </row>
    <row r="22422" spans="1:7" x14ac:dyDescent="0.25">
      <c r="A22422" s="69" t="s">
        <v>81</v>
      </c>
      <c r="B22422" s="72" t="str">
        <f>VLOOKUP(A22422,'Componentes APUs'!$A$1:$D$14,2,0)</f>
        <v>Guantes Protectores  - ingeniero reforzados</v>
      </c>
      <c r="C22422" s="73"/>
      <c r="D22422" s="50" t="str">
        <f>VLOOKUP(A22422,'Componentes APUs'!$A$1:$D$14,3,0)</f>
        <v>Par</v>
      </c>
      <c r="E22422" s="50">
        <f>C22396+C22397+C22399</f>
        <v>2</v>
      </c>
      <c r="F22422" s="51">
        <f>VLOOKUP(A22422,'Componentes APUs'!$A$1:$D$14,4,0)</f>
        <v>2525.2525252525252</v>
      </c>
      <c r="G22422" s="51">
        <f>ROUNDUP(F22422*(E22422/21)/E22381,0)</f>
        <v>31</v>
      </c>
    </row>
    <row r="22423" spans="1:7" x14ac:dyDescent="0.25">
      <c r="A22423" s="50" t="s">
        <v>83</v>
      </c>
      <c r="B22423" s="72" t="str">
        <f>VLOOKUP(A22423,'Componentes APUs'!$A$1:$D$14,2,0)</f>
        <v>Impermeable (pantalon camisa)</v>
      </c>
      <c r="C22423" s="73"/>
      <c r="D22423" s="50" t="str">
        <f>VLOOKUP(A22423,'Componentes APUs'!$A$1:$D$14,3,0)</f>
        <v>U</v>
      </c>
      <c r="E22423" s="50">
        <f>SUM(C22394:C22399)</f>
        <v>2.75</v>
      </c>
      <c r="F22423" s="51">
        <f>VLOOKUP(A22423,'Componentes APUs'!$A$1:$D$14,4,0)</f>
        <v>3750</v>
      </c>
      <c r="G22423" s="51">
        <f>ROUNDUP(F22423*(E22423/21)/E22381,0)</f>
        <v>62</v>
      </c>
    </row>
    <row r="22424" spans="1:7" x14ac:dyDescent="0.25">
      <c r="A22424" s="69" t="s">
        <v>85</v>
      </c>
      <c r="B22424" s="72" t="str">
        <f>VLOOKUP(A22424,'Componentes APUs'!$A$1:$D$14,2,0)</f>
        <v>Jean Dielectrico</v>
      </c>
      <c r="C22424" s="73"/>
      <c r="D22424" s="50" t="str">
        <f>VLOOKUP(A22424,'Componentes APUs'!$A$1:$D$14,3,0)</f>
        <v>U</v>
      </c>
      <c r="E22424" s="50">
        <f>SUM(C22394:C22399)</f>
        <v>2.75</v>
      </c>
      <c r="F22424" s="51">
        <f>VLOOKUP(A22424,'Componentes APUs'!$A$1:$D$14,4,0)</f>
        <v>7575.757575757576</v>
      </c>
      <c r="G22424" s="51">
        <f>ROUNDUP(F22424*(E22424/21)/E22381,0)</f>
        <v>125</v>
      </c>
    </row>
    <row r="22425" spans="1:7" x14ac:dyDescent="0.25">
      <c r="A22425" s="50" t="s">
        <v>87</v>
      </c>
      <c r="B22425" s="72" t="str">
        <f>VLOOKUP(A22425,'Componentes APUs'!$A$1:$D$14,2,0)</f>
        <v>Casco dielectrico Tipo 2 Clase E con barboquejo</v>
      </c>
      <c r="C22425" s="73"/>
      <c r="D22425" s="50" t="str">
        <f>VLOOKUP(A22425,'Componentes APUs'!$A$1:$D$14,3,0)</f>
        <v>U</v>
      </c>
      <c r="E22425" s="53">
        <f>IF(A22396="MO-3",C22396,0)</f>
        <v>0</v>
      </c>
      <c r="F22425" s="51">
        <f>VLOOKUP(A22425,'Componentes APUs'!$A$1:$D$14,4,0)</f>
        <v>7500</v>
      </c>
      <c r="G22425" s="51">
        <f>ROUNDUP(F22425*(E22425/21)/E22381,0)</f>
        <v>0</v>
      </c>
    </row>
    <row r="22426" spans="1:7" x14ac:dyDescent="0.25">
      <c r="A22426" s="69" t="s">
        <v>89</v>
      </c>
      <c r="B22426" s="72" t="str">
        <f>VLOOKUP(A22426,'Componentes APUs'!$A$1:$D$14,2,0)</f>
        <v>Kit de rescate para trabajo en alturas</v>
      </c>
      <c r="C22426" s="73"/>
      <c r="D22426" s="50" t="str">
        <f>VLOOKUP(A22426,'Componentes APUs'!$A$1:$D$14,3,0)</f>
        <v>U</v>
      </c>
      <c r="E22426" s="50">
        <f>IF(AND(A22396="MO-3",C22396=2),1,0)</f>
        <v>0</v>
      </c>
      <c r="F22426" s="51">
        <f>VLOOKUP(A22426,'Componentes APUs'!$A$1:$D$14,4,0)</f>
        <v>37500</v>
      </c>
      <c r="G22426" s="51">
        <f>ROUNDUP(F22426*(E22426/21)/E22381,0)</f>
        <v>0</v>
      </c>
    </row>
    <row r="22427" spans="1:7" x14ac:dyDescent="0.25">
      <c r="A22427" s="50" t="s">
        <v>91</v>
      </c>
      <c r="B22427" s="72" t="str">
        <f>VLOOKUP(A22427,'Componentes APUs'!$A$1:$D$14,2,0)</f>
        <v>Equipo completo para trabajo en alturas con pretales (Arnes dielectrico, 1 mosqueton de seguridad, tie off dielectrico, eslinga de posicionamiento, juego de pretales)</v>
      </c>
      <c r="C22427" s="73"/>
      <c r="D22427" s="50" t="str">
        <f>VLOOKUP(A22427,'Componentes APUs'!$A$1:$D$14,3,0)</f>
        <v>U</v>
      </c>
      <c r="E22427" s="50">
        <f>IF(A22396="MO-3",C22396,0)</f>
        <v>0</v>
      </c>
      <c r="F22427" s="51">
        <f>VLOOKUP(A22427,'Componentes APUs'!$A$1:$D$14,4,0)</f>
        <v>26041.666666666668</v>
      </c>
      <c r="G22427" s="51">
        <f>ROUNDUP(F22427*(E22427/21)/E22381,0)</f>
        <v>0</v>
      </c>
    </row>
    <row r="22428" spans="1:7" x14ac:dyDescent="0.25">
      <c r="A22428" s="219" t="s">
        <v>95</v>
      </c>
      <c r="B22428" s="219"/>
      <c r="C22428" s="219"/>
      <c r="D22428" s="219"/>
      <c r="E22428" s="219"/>
      <c r="F22428" s="219"/>
      <c r="G22428" s="52">
        <f>SUM(G22415:G22427)</f>
        <v>847</v>
      </c>
    </row>
    <row r="22429" spans="1:7" x14ac:dyDescent="0.25">
      <c r="A22429" s="56"/>
      <c r="B22429" s="57"/>
      <c r="C22429" s="57"/>
      <c r="D22429" s="57"/>
      <c r="E22429" s="57"/>
      <c r="F22429" s="57"/>
      <c r="G22429" s="58"/>
    </row>
    <row r="22430" spans="1:7" x14ac:dyDescent="0.25">
      <c r="A22430" s="219" t="s">
        <v>96</v>
      </c>
      <c r="B22430" s="219"/>
      <c r="C22430" s="219"/>
      <c r="D22430" s="219"/>
      <c r="E22430" s="219"/>
      <c r="F22430" s="219"/>
      <c r="G22430" s="219"/>
    </row>
    <row r="22431" spans="1:7" x14ac:dyDescent="0.25">
      <c r="A22431" s="49" t="s">
        <v>35</v>
      </c>
      <c r="B22431" s="225" t="s">
        <v>36</v>
      </c>
      <c r="C22431" s="225"/>
      <c r="D22431" s="49" t="s">
        <v>37</v>
      </c>
      <c r="E22431" s="49" t="s">
        <v>38</v>
      </c>
      <c r="F22431" s="49" t="s">
        <v>39</v>
      </c>
      <c r="G22431" s="49" t="s">
        <v>40</v>
      </c>
    </row>
    <row r="22432" spans="1:7" x14ac:dyDescent="0.25">
      <c r="A22432" s="69" t="s">
        <v>97</v>
      </c>
      <c r="B22432" s="72" t="str">
        <f>VLOOKUP(A22432,'Componentes APUs'!$N$1:$Q$30,2,0)</f>
        <v>Camioneta</v>
      </c>
      <c r="C22432" s="73"/>
      <c r="D22432" s="70" t="str">
        <f>VLOOKUP(A22432,'Componentes APUs'!$N$1:$Q$30,3,0)</f>
        <v>U</v>
      </c>
      <c r="E22432" s="50">
        <v>1</v>
      </c>
      <c r="F22432" s="51">
        <f>VLOOKUP(A22432,'Componentes APUs'!$N$1:$Q$30,4,0)</f>
        <v>5500000</v>
      </c>
      <c r="G22432" s="51">
        <f>IFERROR(ROUNDUP(F22432*(E22432/21)/E22381,0),0)</f>
        <v>32739</v>
      </c>
    </row>
    <row r="22433" spans="1:7" x14ac:dyDescent="0.25">
      <c r="A22433" s="50" t="s">
        <v>321</v>
      </c>
      <c r="B22433" s="72" t="str">
        <f>VLOOKUP(A22433,'Componentes APUs'!$N$1:$Q$30,2,0)</f>
        <v>Grúa Hidráulica</v>
      </c>
      <c r="C22433" s="73"/>
      <c r="D22433" s="70" t="str">
        <f>VLOOKUP(A22433,'Componentes APUs'!$N$1:$Q$30,3,0)</f>
        <v>U</v>
      </c>
      <c r="E22433" s="50">
        <v>0</v>
      </c>
      <c r="F22433" s="51">
        <f>VLOOKUP(A22433,'Componentes APUs'!$N$1:$Q$30,4,0)</f>
        <v>21000000</v>
      </c>
      <c r="G22433" s="51">
        <f>IFERROR(ROUNDUP(F22433*(E22433/21)/E22381,0),0)</f>
        <v>0</v>
      </c>
    </row>
    <row r="22434" spans="1:7" x14ac:dyDescent="0.25">
      <c r="A22434" s="69" t="s">
        <v>322</v>
      </c>
      <c r="B22434" s="72" t="str">
        <f>VLOOKUP(A22434,'Componentes APUs'!$N$1:$Q$30,2,0)</f>
        <v>Camabaja</v>
      </c>
      <c r="C22434" s="73"/>
      <c r="D22434" s="70" t="str">
        <f>VLOOKUP(A22434,'Componentes APUs'!$N$1:$Q$30,3,0)</f>
        <v>TON/KM</v>
      </c>
      <c r="E22434" s="50">
        <v>0</v>
      </c>
      <c r="F22434" s="51">
        <f>VLOOKUP(A22434,'Componentes APUs'!$N$1:$Q$30,4,0)</f>
        <v>611</v>
      </c>
      <c r="G22434" s="51">
        <f>IFERROR(ROUNDUP(F22434*(E22434/21)/E22381,0),0)</f>
        <v>0</v>
      </c>
    </row>
    <row r="22435" spans="1:7" x14ac:dyDescent="0.25">
      <c r="A22435" s="50" t="s">
        <v>323</v>
      </c>
      <c r="B22435" s="72" t="str">
        <f>VLOOKUP(A22435,'Componentes APUs'!$N$1:$Q$30,2,0)</f>
        <v>Volqueta</v>
      </c>
      <c r="C22435" s="73"/>
      <c r="D22435" s="70" t="str">
        <f>VLOOKUP(A22435,'Componentes APUs'!$N$1:$Q$30,3,0)</f>
        <v>U</v>
      </c>
      <c r="E22435" s="50">
        <v>0</v>
      </c>
      <c r="F22435" s="51">
        <f>VLOOKUP(A22435,'Componentes APUs'!$N$1:$Q$30,4,0)</f>
        <v>14828184</v>
      </c>
      <c r="G22435" s="51">
        <f>IFERROR(ROUNDUP(F22435*(E22435/21)/E22381,0),0)</f>
        <v>0</v>
      </c>
    </row>
    <row r="22436" spans="1:7" x14ac:dyDescent="0.25">
      <c r="A22436" s="69" t="s">
        <v>324</v>
      </c>
      <c r="B22436" s="72" t="str">
        <f>VLOOKUP(A22436,'Componentes APUs'!$N$1:$Q$30,2,0)</f>
        <v>Retroexcavadora</v>
      </c>
      <c r="C22436" s="73"/>
      <c r="D22436" s="70" t="str">
        <f>VLOOKUP(A22436,'Componentes APUs'!$N$1:$Q$30,3,0)</f>
        <v>U</v>
      </c>
      <c r="E22436" s="50">
        <v>0</v>
      </c>
      <c r="F22436" s="51">
        <f>VLOOKUP(A22436,'Componentes APUs'!$N$1:$Q$30,4,0)</f>
        <v>46030656</v>
      </c>
      <c r="G22436" s="51">
        <f>IFERROR(ROUNDUP(F22436*(E22436/21)/E22381,0),0)</f>
        <v>0</v>
      </c>
    </row>
    <row r="22437" spans="1:7" x14ac:dyDescent="0.25">
      <c r="A22437" s="219" t="s">
        <v>99</v>
      </c>
      <c r="B22437" s="219"/>
      <c r="C22437" s="219"/>
      <c r="D22437" s="219"/>
      <c r="E22437" s="219"/>
      <c r="F22437" s="219"/>
      <c r="G22437" s="52">
        <f>SUM(G22432:G22436)</f>
        <v>32739</v>
      </c>
    </row>
    <row r="22438" spans="1:7" x14ac:dyDescent="0.25">
      <c r="A22438" s="56"/>
      <c r="B22438" s="57"/>
      <c r="C22438" s="57"/>
      <c r="D22438" s="57"/>
      <c r="E22438" s="57"/>
      <c r="F22438" s="57"/>
      <c r="G22438" s="58"/>
    </row>
    <row r="22439" spans="1:7" x14ac:dyDescent="0.25">
      <c r="A22439" s="219" t="s">
        <v>1516</v>
      </c>
      <c r="B22439" s="219"/>
      <c r="C22439" s="219"/>
      <c r="D22439" s="219"/>
      <c r="E22439" s="219"/>
      <c r="F22439" s="219"/>
      <c r="G22439" s="52">
        <f>G22437+G22428+G22411+G22400+G22390</f>
        <v>142586</v>
      </c>
    </row>
    <row r="22440" spans="1:7" x14ac:dyDescent="0.25">
      <c r="A22440" s="59"/>
      <c r="B22440" s="60"/>
      <c r="C22440" s="60"/>
      <c r="D22440" s="60"/>
      <c r="E22440" s="57"/>
      <c r="F22440" s="57"/>
      <c r="G22440" s="58"/>
    </row>
    <row r="22441" spans="1:7" x14ac:dyDescent="0.25">
      <c r="A22441" s="64"/>
      <c r="D22441" s="55"/>
      <c r="E22441" s="49" t="s">
        <v>25</v>
      </c>
      <c r="F22441" s="54">
        <v>0.15</v>
      </c>
      <c r="G22441" s="51">
        <f>G22439*F22441</f>
        <v>21387.899999999998</v>
      </c>
    </row>
    <row r="22442" spans="1:7" x14ac:dyDescent="0.25">
      <c r="A22442" s="64"/>
      <c r="D22442" s="55"/>
      <c r="E22442" s="49" t="s">
        <v>26</v>
      </c>
      <c r="F22442" s="54">
        <v>0.05</v>
      </c>
      <c r="G22442" s="51">
        <f>G22439*F22442</f>
        <v>7129.3</v>
      </c>
    </row>
    <row r="22443" spans="1:7" x14ac:dyDescent="0.25">
      <c r="A22443" s="61"/>
      <c r="B22443" s="65"/>
      <c r="C22443" s="65"/>
      <c r="D22443" s="62"/>
      <c r="E22443" s="49" t="s">
        <v>27</v>
      </c>
      <c r="F22443" s="54">
        <v>0.05</v>
      </c>
      <c r="G22443" s="51">
        <f>G22439*F22443</f>
        <v>7129.3</v>
      </c>
    </row>
    <row r="22444" spans="1:7" x14ac:dyDescent="0.25">
      <c r="A22444" s="61"/>
      <c r="B22444" s="62"/>
      <c r="C22444" s="62"/>
      <c r="D22444" s="62"/>
      <c r="E22444" s="62"/>
      <c r="F22444" s="62"/>
      <c r="G22444" s="63"/>
    </row>
    <row r="22445" spans="1:7" x14ac:dyDescent="0.25">
      <c r="A22445" s="219" t="s">
        <v>1517</v>
      </c>
      <c r="B22445" s="219"/>
      <c r="C22445" s="219"/>
      <c r="D22445" s="219"/>
      <c r="E22445" s="219"/>
      <c r="F22445" s="219"/>
      <c r="G22445" s="52">
        <f>G22439+G22441+G22442+G22443</f>
        <v>178232.49999999997</v>
      </c>
    </row>
    <row r="22446" spans="1:7" x14ac:dyDescent="0.25">
      <c r="A22446" s="59"/>
      <c r="B22446" s="60"/>
      <c r="C22446" s="60"/>
      <c r="D22446" s="60"/>
      <c r="E22446" s="57"/>
      <c r="F22446" s="57"/>
      <c r="G22446" s="58"/>
    </row>
    <row r="22447" spans="1:7" x14ac:dyDescent="0.25">
      <c r="A22447" s="64"/>
      <c r="D22447" s="55"/>
      <c r="E22447" s="49" t="s">
        <v>102</v>
      </c>
      <c r="F22447" s="49" t="s">
        <v>103</v>
      </c>
      <c r="G22447" s="51">
        <f>G22443*19%</f>
        <v>1354.567</v>
      </c>
    </row>
    <row r="22448" spans="1:7" x14ac:dyDescent="0.25">
      <c r="A22448" s="61"/>
      <c r="B22448" s="62"/>
      <c r="C22448" s="62"/>
      <c r="D22448" s="62"/>
      <c r="E22448" s="57"/>
      <c r="F22448" s="57"/>
      <c r="G22448" s="58"/>
    </row>
    <row r="22449" spans="1:7" x14ac:dyDescent="0.25">
      <c r="A22449" s="219" t="s">
        <v>104</v>
      </c>
      <c r="B22449" s="219"/>
      <c r="C22449" s="219"/>
      <c r="D22449" s="219"/>
      <c r="E22449" s="219"/>
      <c r="F22449" s="219"/>
      <c r="G22449" s="52">
        <f>G22447+G22445</f>
        <v>179587.06699999998</v>
      </c>
    </row>
    <row r="22451" spans="1:7" x14ac:dyDescent="0.25">
      <c r="A22451" s="74" t="s">
        <v>29</v>
      </c>
      <c r="B22451" s="237" t="s">
        <v>30</v>
      </c>
      <c r="C22451" s="238"/>
      <c r="D22451" s="74" t="s">
        <v>31</v>
      </c>
      <c r="E22451" s="74" t="s">
        <v>32</v>
      </c>
      <c r="F22451" s="74" t="s">
        <v>189</v>
      </c>
      <c r="G22451" s="74" t="s">
        <v>33</v>
      </c>
    </row>
    <row r="22452" spans="1:7" ht="27" customHeight="1" x14ac:dyDescent="0.25">
      <c r="A22452" s="50" t="str">
        <f>Presupuesto!B429</f>
        <v>088_AUX</v>
      </c>
      <c r="B22452" s="220" t="str">
        <f>Presupuesto!C429</f>
        <v>CONECTOR EN T CABLE CU 4/0 AWG A ELECTRODO 5/8"</v>
      </c>
      <c r="C22452" s="239"/>
      <c r="D22452" s="50" t="s">
        <v>8</v>
      </c>
      <c r="E22452" s="50">
        <v>8</v>
      </c>
      <c r="F22452" s="50"/>
      <c r="G22452" s="51">
        <f>G22520</f>
        <v>189247.43199999997</v>
      </c>
    </row>
    <row r="22453" spans="1:7" x14ac:dyDescent="0.25">
      <c r="A22453" s="219" t="s">
        <v>34</v>
      </c>
      <c r="B22453" s="219"/>
      <c r="C22453" s="219"/>
      <c r="D22453" s="219"/>
      <c r="E22453" s="219"/>
      <c r="F22453" s="219"/>
      <c r="G22453" s="219"/>
    </row>
    <row r="22454" spans="1:7" x14ac:dyDescent="0.25">
      <c r="A22454" s="49" t="s">
        <v>35</v>
      </c>
      <c r="B22454" s="234" t="s">
        <v>36</v>
      </c>
      <c r="C22454" s="235"/>
      <c r="D22454" s="49" t="s">
        <v>37</v>
      </c>
      <c r="E22454" s="49" t="s">
        <v>38</v>
      </c>
      <c r="F22454" s="49" t="s">
        <v>39</v>
      </c>
      <c r="G22454" s="49" t="s">
        <v>40</v>
      </c>
    </row>
    <row r="22455" spans="1:7" x14ac:dyDescent="0.25">
      <c r="A22455" s="17" t="str">
        <f>Material!A164</f>
        <v>MA-163</v>
      </c>
      <c r="B22455" s="72" t="str">
        <f>IFERROR(VLOOKUP(A22455,Material!$A:$H,2,0),"-")</f>
        <v>SOLDADURA EXOTÉRMICA 150 G</v>
      </c>
      <c r="C22455" s="76"/>
      <c r="D22455" s="50" t="str">
        <f>IFERROR(VLOOKUP(A22455,Material!$A:$H,4,0),"-")</f>
        <v>UN</v>
      </c>
      <c r="E22455" s="50">
        <v>1</v>
      </c>
      <c r="F22455" s="51">
        <f>IFERROR(VLOOKUP(A22455,Material!$A:$H,3,0),"-")</f>
        <v>32175</v>
      </c>
      <c r="G22455" s="51">
        <f>IFERROR(ROUNDUP(F22455*E22455,0),"-")</f>
        <v>32175</v>
      </c>
    </row>
    <row r="22456" spans="1:7" x14ac:dyDescent="0.25">
      <c r="A22456" s="17"/>
      <c r="B22456" s="72"/>
      <c r="C22456" s="76"/>
      <c r="D22456" s="50"/>
      <c r="E22456" s="50"/>
      <c r="F22456" s="51"/>
      <c r="G22456" s="51"/>
    </row>
    <row r="22457" spans="1:7" x14ac:dyDescent="0.25">
      <c r="A22457" s="17"/>
      <c r="B22457" s="72"/>
      <c r="C22457" s="76"/>
      <c r="D22457" s="50"/>
      <c r="E22457" s="50"/>
      <c r="F22457" s="51"/>
      <c r="G22457" s="51"/>
    </row>
    <row r="22458" spans="1:7" x14ac:dyDescent="0.25">
      <c r="A22458" s="17"/>
      <c r="B22458" s="72"/>
      <c r="C22458" s="76"/>
      <c r="D22458" s="50"/>
      <c r="E22458" s="50"/>
      <c r="F22458" s="51"/>
      <c r="G22458" s="51"/>
    </row>
    <row r="22459" spans="1:7" x14ac:dyDescent="0.25">
      <c r="A22459" s="17"/>
      <c r="B22459" s="72"/>
      <c r="C22459" s="76"/>
      <c r="D22459" s="50"/>
      <c r="E22459" s="50"/>
      <c r="F22459" s="51"/>
      <c r="G22459" s="51"/>
    </row>
    <row r="22460" spans="1:7" x14ac:dyDescent="0.25">
      <c r="A22460" s="17"/>
      <c r="B22460" s="72"/>
      <c r="C22460" s="76"/>
      <c r="D22460" s="50"/>
      <c r="E22460" s="50"/>
      <c r="F22460" s="51"/>
      <c r="G22460" s="51"/>
    </row>
    <row r="22461" spans="1:7" x14ac:dyDescent="0.25">
      <c r="A22461" s="234" t="s">
        <v>41</v>
      </c>
      <c r="B22461" s="236"/>
      <c r="C22461" s="236"/>
      <c r="D22461" s="236"/>
      <c r="E22461" s="236"/>
      <c r="F22461" s="235"/>
      <c r="G22461" s="52">
        <f>SUM(G22455:G22460)</f>
        <v>32175</v>
      </c>
    </row>
    <row r="22462" spans="1:7" x14ac:dyDescent="0.25">
      <c r="A22462" s="56"/>
      <c r="B22462" s="57"/>
      <c r="C22462" s="57"/>
      <c r="D22462" s="57"/>
      <c r="E22462" s="57"/>
      <c r="F22462" s="57"/>
      <c r="G22462" s="58"/>
    </row>
    <row r="22463" spans="1:7" x14ac:dyDescent="0.25">
      <c r="A22463" s="219" t="s">
        <v>42</v>
      </c>
      <c r="B22463" s="219"/>
      <c r="C22463" s="219"/>
      <c r="D22463" s="219"/>
      <c r="E22463" s="219"/>
      <c r="F22463" s="219"/>
      <c r="G22463" s="219"/>
    </row>
    <row r="22464" spans="1:7" x14ac:dyDescent="0.25">
      <c r="A22464" s="49" t="s">
        <v>35</v>
      </c>
      <c r="B22464" s="49" t="s">
        <v>36</v>
      </c>
      <c r="C22464" s="49" t="s">
        <v>38</v>
      </c>
      <c r="D22464" s="49" t="s">
        <v>43</v>
      </c>
      <c r="E22464" s="49" t="s">
        <v>44</v>
      </c>
      <c r="F22464" s="49" t="s">
        <v>45</v>
      </c>
      <c r="G22464" s="49" t="s">
        <v>40</v>
      </c>
    </row>
    <row r="22465" spans="1:7" x14ac:dyDescent="0.25">
      <c r="A22465" s="50" t="s">
        <v>319</v>
      </c>
      <c r="B22465" s="68" t="str">
        <f>VLOOKUP(A22465,'Componentes APUs'!$H$1:$L$25,2,0)</f>
        <v>Ingeniero Residente de Obra</v>
      </c>
      <c r="C22465" s="93">
        <v>0.25</v>
      </c>
      <c r="D22465" s="50">
        <f>VLOOKUP(A22465,'Componentes APUs'!$H$1:$L$25,3,0)</f>
        <v>4</v>
      </c>
      <c r="E22465" s="51">
        <f>VLOOKUP(A22465,'Componentes APUs'!$H$1:$L$25,4,0)</f>
        <v>271142.85714285716</v>
      </c>
      <c r="F22465" s="51">
        <f>VLOOKUP(A22465,'Componentes APUs'!$H$1:$L$25,5,0)</f>
        <v>162685.71428571429</v>
      </c>
      <c r="G22465" s="51">
        <f>ROUNDUP((E22465+F22465)*C22465/E22452,0)</f>
        <v>13558</v>
      </c>
    </row>
    <row r="22466" spans="1:7" x14ac:dyDescent="0.25">
      <c r="A22466" s="50" t="s">
        <v>320</v>
      </c>
      <c r="B22466" s="68" t="str">
        <f>VLOOKUP(A22466,'Componentes APUs'!$H$1:$L$25,2,0)</f>
        <v>Tecnico Supervisor</v>
      </c>
      <c r="C22466" s="93">
        <v>0.25</v>
      </c>
      <c r="D22466" s="50">
        <f>VLOOKUP(A22466,'Componentes APUs'!$H$1:$L$25,3,0)</f>
        <v>2.2999999999999998</v>
      </c>
      <c r="E22466" s="51">
        <f>VLOOKUP(A22466,'Componentes APUs'!$H$1:$L$25,4,0)</f>
        <v>155907.14285714284</v>
      </c>
      <c r="F22466" s="51">
        <f>VLOOKUP(A22466,'Componentes APUs'!$H$1:$L$25,5,0)</f>
        <v>93544.285714285696</v>
      </c>
      <c r="G22466" s="51">
        <f>ROUNDUP((E22466+F22466)*C22466/E22452,0)</f>
        <v>7796</v>
      </c>
    </row>
    <row r="22467" spans="1:7" x14ac:dyDescent="0.25">
      <c r="A22467" s="50" t="s">
        <v>1160</v>
      </c>
      <c r="B22467" s="68" t="str">
        <f>VLOOKUP(A22467,'Componentes APUs'!$H$1:$L$25,2,0)</f>
        <v>Oficial Eléctrico</v>
      </c>
      <c r="C22467" s="93">
        <v>1</v>
      </c>
      <c r="D22467" s="50">
        <f>VLOOKUP(A22467,'Componentes APUs'!$H$1:$L$25,3,0)</f>
        <v>2</v>
      </c>
      <c r="E22467" s="51">
        <f>VLOOKUP(A22467,'Componentes APUs'!$H$1:$L$25,4,0)</f>
        <v>154619.04761904763</v>
      </c>
      <c r="F22467" s="51">
        <f>VLOOKUP(A22467,'Componentes APUs'!$H$1:$L$25,5,0)</f>
        <v>92771.42857142858</v>
      </c>
      <c r="G22467" s="51">
        <f>ROUNDUP((E22467+F22467)*C22467/E22452,0)</f>
        <v>30924</v>
      </c>
    </row>
    <row r="22468" spans="1:7" x14ac:dyDescent="0.25">
      <c r="A22468" s="50" t="s">
        <v>48</v>
      </c>
      <c r="B22468" s="68" t="str">
        <f>VLOOKUP(A22468,'Componentes APUs'!$H$1:$L$25,2,0)</f>
        <v>Ayudante Calificado</v>
      </c>
      <c r="C22468" s="93">
        <v>1</v>
      </c>
      <c r="D22468" s="50">
        <f>VLOOKUP(A22468,'Componentes APUs'!$H$1:$L$25,3,0)</f>
        <v>1.5</v>
      </c>
      <c r="E22468" s="51">
        <f>VLOOKUP(A22468,'Componentes APUs'!$H$1:$L$25,4,0)</f>
        <v>115964.28571428571</v>
      </c>
      <c r="F22468" s="51">
        <f>VLOOKUP(A22468,'Componentes APUs'!$H$1:$L$25,5,0)</f>
        <v>69578.57142857142</v>
      </c>
      <c r="G22468" s="51">
        <f>ROUNDUP((E22468+F22468)*C22468/E22452,0)</f>
        <v>23193</v>
      </c>
    </row>
    <row r="22469" spans="1:7" x14ac:dyDescent="0.25">
      <c r="A22469" s="50" t="s">
        <v>50</v>
      </c>
      <c r="B22469" s="68" t="str">
        <f>VLOOKUP(A22469,'Componentes APUs'!$H$1:$L$25,2,0)</f>
        <v>Profesional en SST</v>
      </c>
      <c r="C22469" s="93">
        <v>0.25</v>
      </c>
      <c r="D22469" s="50">
        <f>VLOOKUP(A22469,'Componentes APUs'!$H$1:$L$25,3,0)</f>
        <v>2.5</v>
      </c>
      <c r="E22469" s="51">
        <f>VLOOKUP(A22469,'Componentes APUs'!$H$1:$L$25,4,0)</f>
        <v>169464.28571428571</v>
      </c>
      <c r="F22469" s="51">
        <f>VLOOKUP(A22469,'Componentes APUs'!$H$1:$L$25,5,0)</f>
        <v>101678.57142857142</v>
      </c>
      <c r="G22469" s="51">
        <f>ROUNDUP((E22469+F22469)*C22469/E22452,0)</f>
        <v>8474</v>
      </c>
    </row>
    <row r="22470" spans="1:7" x14ac:dyDescent="0.25">
      <c r="A22470" s="50" t="s">
        <v>52</v>
      </c>
      <c r="B22470" s="68" t="str">
        <f>VLOOKUP(A22470,'Componentes APUs'!$H$1:$L$25,2,0)</f>
        <v>Ayudante No Calificado</v>
      </c>
      <c r="C22470" s="93">
        <v>0</v>
      </c>
      <c r="D22470" s="50">
        <f>VLOOKUP(A22470,'Componentes APUs'!$H$1:$L$25,3,0)</f>
        <v>1</v>
      </c>
      <c r="E22470" s="51">
        <f>VLOOKUP(A22470,'Componentes APUs'!$H$1:$L$25,4,0)</f>
        <v>77309.523809523816</v>
      </c>
      <c r="F22470" s="51">
        <f>VLOOKUP(A22470,'Componentes APUs'!$H$1:$L$25,5,0)</f>
        <v>46385.71428571429</v>
      </c>
      <c r="G22470" s="51">
        <f>ROUNDUP((E22470+F22470)*C22470/E22452,0)</f>
        <v>0</v>
      </c>
    </row>
    <row r="22471" spans="1:7" x14ac:dyDescent="0.25">
      <c r="A22471" s="219" t="s">
        <v>56</v>
      </c>
      <c r="B22471" s="219"/>
      <c r="C22471" s="219"/>
      <c r="D22471" s="219"/>
      <c r="E22471" s="219"/>
      <c r="F22471" s="219"/>
      <c r="G22471" s="52">
        <f>SUM(G22465:G22470)</f>
        <v>83945</v>
      </c>
    </row>
    <row r="22472" spans="1:7" x14ac:dyDescent="0.25">
      <c r="A22472" s="56"/>
      <c r="B22472" s="57"/>
      <c r="C22472" s="57"/>
      <c r="D22472" s="57"/>
      <c r="E22472" s="57"/>
      <c r="F22472" s="57"/>
      <c r="G22472" s="58"/>
    </row>
    <row r="22473" spans="1:7" x14ac:dyDescent="0.25">
      <c r="A22473" s="219" t="s">
        <v>57</v>
      </c>
      <c r="B22473" s="219"/>
      <c r="C22473" s="219"/>
      <c r="D22473" s="219"/>
      <c r="E22473" s="219"/>
      <c r="F22473" s="219"/>
      <c r="G22473" s="219"/>
    </row>
    <row r="22474" spans="1:7" x14ac:dyDescent="0.25">
      <c r="A22474" s="49" t="s">
        <v>35</v>
      </c>
      <c r="B22474" s="219" t="s">
        <v>36</v>
      </c>
      <c r="C22474" s="219"/>
      <c r="D22474" s="49" t="s">
        <v>37</v>
      </c>
      <c r="E22474" s="49" t="s">
        <v>38</v>
      </c>
      <c r="F22474" s="49" t="s">
        <v>39</v>
      </c>
      <c r="G22474" s="49" t="s">
        <v>40</v>
      </c>
    </row>
    <row r="22475" spans="1:7" x14ac:dyDescent="0.25">
      <c r="A22475" s="50" t="s">
        <v>326</v>
      </c>
      <c r="B22475" s="220" t="str">
        <f>VLOOKUP(A22475,'Componentes APUs'!$S$1:$V$10,2,0)</f>
        <v>Juego Llaves</v>
      </c>
      <c r="C22475" s="220"/>
      <c r="D22475" s="50" t="s">
        <v>18</v>
      </c>
      <c r="E22475" s="50">
        <v>1</v>
      </c>
      <c r="F22475" s="51">
        <f>VLOOKUP(A22475,'Componentes APUs'!$S$1:$V$10,4,0)</f>
        <v>9167</v>
      </c>
      <c r="G22475" s="51">
        <f>ROUNDUP(F22475*((E22475/21)/E22452),0)</f>
        <v>55</v>
      </c>
    </row>
    <row r="22476" spans="1:7" x14ac:dyDescent="0.25">
      <c r="A22476" s="50" t="s">
        <v>58</v>
      </c>
      <c r="B22476" s="220" t="str">
        <f>VLOOKUP(A22476,'Componentes APUs'!$S$1:$V$10,2,0)</f>
        <v>Manila de servicio</v>
      </c>
      <c r="C22476" s="220"/>
      <c r="D22476" s="50" t="s">
        <v>18</v>
      </c>
      <c r="E22476" s="50">
        <v>0</v>
      </c>
      <c r="F22476" s="51">
        <f>VLOOKUP(A22476,'Componentes APUs'!$S$1:$V$10,4,0)</f>
        <v>2333</v>
      </c>
      <c r="G22476" s="51">
        <f>ROUNDUP(F22476*((E22476/21)/E22452),0)</f>
        <v>0</v>
      </c>
    </row>
    <row r="22477" spans="1:7" x14ac:dyDescent="0.25">
      <c r="A22477" s="50" t="s">
        <v>327</v>
      </c>
      <c r="B22477" s="220" t="str">
        <f>VLOOKUP(A22477,'Componentes APUs'!$S$1:$V$10,2,0)</f>
        <v>Tula portaherramientas</v>
      </c>
      <c r="C22477" s="220"/>
      <c r="D22477" s="50" t="s">
        <v>18</v>
      </c>
      <c r="E22477" s="50">
        <v>1</v>
      </c>
      <c r="F22477" s="51">
        <f>VLOOKUP(A22477,'Componentes APUs'!$S$1:$V$10,4,0)</f>
        <v>1250</v>
      </c>
      <c r="G22477" s="51">
        <f>ROUNDUP(F22477*((E22477/21)/E22452),0)</f>
        <v>8</v>
      </c>
    </row>
    <row r="22478" spans="1:7" x14ac:dyDescent="0.25">
      <c r="A22478" s="50" t="s">
        <v>60</v>
      </c>
      <c r="B22478" s="220" t="str">
        <f>VLOOKUP(A22478,'Componentes APUs'!$S$1:$V$10,2,0)</f>
        <v>Agarradoras</v>
      </c>
      <c r="C22478" s="220"/>
      <c r="D22478" s="50" t="s">
        <v>18</v>
      </c>
      <c r="E22478" s="50">
        <v>0</v>
      </c>
      <c r="F22478" s="51">
        <f>VLOOKUP(A22478,'Componentes APUs'!$S$1:$V$10,4,0)</f>
        <v>125000</v>
      </c>
      <c r="G22478" s="51">
        <f>ROUNDUP(F22478*((E22478/21)/E22452),0)</f>
        <v>0</v>
      </c>
    </row>
    <row r="22479" spans="1:7" x14ac:dyDescent="0.25">
      <c r="A22479" s="50" t="s">
        <v>62</v>
      </c>
      <c r="B22479" s="220" t="str">
        <f>VLOOKUP(A22479,'Componentes APUs'!$S$1:$V$10,2,0)</f>
        <v>Templadoras</v>
      </c>
      <c r="C22479" s="220"/>
      <c r="D22479" s="50" t="s">
        <v>18</v>
      </c>
      <c r="E22479" s="50">
        <v>0</v>
      </c>
      <c r="F22479" s="51">
        <f>VLOOKUP(A22479,'Componentes APUs'!$S$1:$V$10,4,0)</f>
        <v>250000</v>
      </c>
      <c r="G22479" s="51">
        <f>ROUNDUP(F22479*((E22479/21)/E22452),0)</f>
        <v>0</v>
      </c>
    </row>
    <row r="22480" spans="1:7" ht="15" customHeight="1" x14ac:dyDescent="0.25">
      <c r="A22480" s="50" t="s">
        <v>328</v>
      </c>
      <c r="B22480" s="220" t="str">
        <f>VLOOKUP(A22480,'Componentes APUs'!$S$1:$V$10,2,0)</f>
        <v>Herramienta Menor</v>
      </c>
      <c r="C22480" s="220"/>
      <c r="D22480" s="50" t="s">
        <v>18</v>
      </c>
      <c r="E22480" s="50">
        <v>1</v>
      </c>
      <c r="F22480" s="51">
        <f>VLOOKUP(A22480,'Componentes APUs'!$S$1:$V$10,4,0)</f>
        <v>75758</v>
      </c>
      <c r="G22480" s="51">
        <f>ROUNDUP(F22480*((E22480/21)/E22452),0)</f>
        <v>451</v>
      </c>
    </row>
    <row r="22481" spans="1:7" ht="15" customHeight="1" x14ac:dyDescent="0.25">
      <c r="A22481" s="50" t="s">
        <v>1046</v>
      </c>
      <c r="B22481" s="220" t="str">
        <f>VLOOKUP(A22481,'Componentes APUs'!$S$1:$V$10,2,0)</f>
        <v>Molde Grafito Soldadura Exotérmica En X</v>
      </c>
      <c r="C22481" s="220"/>
      <c r="D22481" s="50" t="s">
        <v>18</v>
      </c>
      <c r="E22481" s="50">
        <f>1/40</f>
        <v>2.5000000000000001E-2</v>
      </c>
      <c r="F22481" s="51">
        <f>VLOOKUP(A22481,'Componentes APUs'!$S$1:$V$10,4,0)</f>
        <v>239000</v>
      </c>
      <c r="G22481" s="51">
        <f>ROUNDUP(F22481*((E22481/21)/E22452),0)</f>
        <v>36</v>
      </c>
    </row>
    <row r="22482" spans="1:7" x14ac:dyDescent="0.25">
      <c r="A22482" s="219" t="s">
        <v>69</v>
      </c>
      <c r="B22482" s="219"/>
      <c r="C22482" s="219"/>
      <c r="D22482" s="219"/>
      <c r="E22482" s="219"/>
      <c r="F22482" s="219"/>
      <c r="G22482" s="52">
        <f>SUM(G22475:G22481)</f>
        <v>550</v>
      </c>
    </row>
    <row r="22483" spans="1:7" x14ac:dyDescent="0.25">
      <c r="A22483" s="56"/>
      <c r="B22483" s="57"/>
      <c r="C22483" s="57"/>
      <c r="D22483" s="57"/>
      <c r="E22483" s="57"/>
      <c r="F22483" s="57"/>
      <c r="G22483" s="58"/>
    </row>
    <row r="22484" spans="1:7" x14ac:dyDescent="0.25">
      <c r="A22484" s="219" t="s">
        <v>70</v>
      </c>
      <c r="B22484" s="219"/>
      <c r="C22484" s="219"/>
      <c r="D22484" s="219"/>
      <c r="E22484" s="219"/>
      <c r="F22484" s="219"/>
      <c r="G22484" s="219"/>
    </row>
    <row r="22485" spans="1:7" x14ac:dyDescent="0.25">
      <c r="A22485" s="49" t="s">
        <v>35</v>
      </c>
      <c r="B22485" s="219" t="s">
        <v>36</v>
      </c>
      <c r="C22485" s="219"/>
      <c r="D22485" s="49" t="s">
        <v>37</v>
      </c>
      <c r="E22485" s="49" t="s">
        <v>38</v>
      </c>
      <c r="F22485" s="49" t="s">
        <v>39</v>
      </c>
      <c r="G22485" s="49" t="s">
        <v>40</v>
      </c>
    </row>
    <row r="22486" spans="1:7" x14ac:dyDescent="0.25">
      <c r="A22486" s="50" t="s">
        <v>71</v>
      </c>
      <c r="B22486" s="71" t="str">
        <f>VLOOKUP(A22486,'Componentes APUs'!$A$1:$D$14,2,0)</f>
        <v>Camisa indigo sin partes metalicas</v>
      </c>
      <c r="C22486" s="71"/>
      <c r="D22486" s="50" t="str">
        <f>VLOOKUP(A22486,'Componentes APUs'!$A$1:$D$14,3,0)</f>
        <v>U</v>
      </c>
      <c r="E22486" s="50">
        <f>SUM(C22465:C22470)</f>
        <v>2.75</v>
      </c>
      <c r="F22486" s="51">
        <f>VLOOKUP(A22486,'Componentes APUs'!$A$1:$D$14,4,0)</f>
        <v>8585.8585858585866</v>
      </c>
      <c r="G22486" s="51">
        <f>ROUNDUP(F22486*(E22486/21)/E22452,0)</f>
        <v>141</v>
      </c>
    </row>
    <row r="22487" spans="1:7" x14ac:dyDescent="0.25">
      <c r="A22487" s="69" t="s">
        <v>73</v>
      </c>
      <c r="B22487" s="72" t="str">
        <f>VLOOKUP(A22487,'Componentes APUs'!$A$1:$D$14,2,0)</f>
        <v>Bota de seguridad dielectrica</v>
      </c>
      <c r="C22487" s="73"/>
      <c r="D22487" s="70" t="str">
        <f>VLOOKUP(A22487,'Componentes APUs'!$A$1:$D$14,3,0)</f>
        <v>Par</v>
      </c>
      <c r="E22487" s="50">
        <f>SUM(C22465:C22470)</f>
        <v>2.75</v>
      </c>
      <c r="F22487" s="51">
        <f>VLOOKUP(A22487,'Componentes APUs'!$A$1:$D$14,4,0)</f>
        <v>7500</v>
      </c>
      <c r="G22487" s="51">
        <f>ROUNDUP(F22487*(E22487/21)/E22452,0)</f>
        <v>123</v>
      </c>
    </row>
    <row r="22488" spans="1:7" x14ac:dyDescent="0.25">
      <c r="A22488" s="50" t="s">
        <v>76</v>
      </c>
      <c r="B22488" s="72" t="str">
        <f>VLOOKUP(A22488,'Componentes APUs'!$A$1:$D$14,2,0)</f>
        <v>Casco dielectrico Tipo 1 Clase E con barbuquejo</v>
      </c>
      <c r="C22488" s="73"/>
      <c r="D22488" s="50" t="str">
        <f>VLOOKUP(A22488,'Componentes APUs'!$A$1:$D$14,3,0)</f>
        <v>U</v>
      </c>
      <c r="E22488" s="50">
        <f>C22470+C22465+C22468+C22469+C22466+IF(A22467&lt;&gt;"MO-3",C22467,0)</f>
        <v>2.75</v>
      </c>
      <c r="F22488" s="51">
        <f>VLOOKUP(A22488,'Componentes APUs'!$A$1:$D$14,4,0)</f>
        <v>10101.010101010101</v>
      </c>
      <c r="G22488" s="51">
        <f>ROUNDUP(F22488*(E22488/21)/E22452,0)</f>
        <v>166</v>
      </c>
    </row>
    <row r="22489" spans="1:7" x14ac:dyDescent="0.25">
      <c r="A22489" s="69" t="s">
        <v>77</v>
      </c>
      <c r="B22489" s="72" t="str">
        <f>VLOOKUP(A22489,'Componentes APUs'!$A$1:$D$14,2,0)</f>
        <v>Correa plastica y antiflama</v>
      </c>
      <c r="C22489" s="73"/>
      <c r="D22489" s="50" t="str">
        <f>VLOOKUP(A22489,'Componentes APUs'!$A$1:$D$14,3,0)</f>
        <v>U</v>
      </c>
      <c r="E22489" s="50">
        <f>SUM(C22465:C22470)</f>
        <v>2.75</v>
      </c>
      <c r="F22489" s="51">
        <f>VLOOKUP(A22489,'Componentes APUs'!$A$1:$D$14,4,0)</f>
        <v>3787.878787878788</v>
      </c>
      <c r="G22489" s="51">
        <f>ROUNDUP(F22489*(E22489/21)/E22452,0)</f>
        <v>63</v>
      </c>
    </row>
    <row r="22490" spans="1:7" x14ac:dyDescent="0.25">
      <c r="A22490" s="50" t="s">
        <v>79</v>
      </c>
      <c r="B22490" s="72" t="str">
        <f>VLOOKUP(A22490,'Componentes APUs'!$A$1:$D$14,2,0)</f>
        <v>Gafas protectoras filtro UV</v>
      </c>
      <c r="C22490" s="73"/>
      <c r="D22490" s="50" t="str">
        <f>VLOOKUP(A22490,'Componentes APUs'!$A$1:$D$14,3,0)</f>
        <v>U</v>
      </c>
      <c r="E22490" s="50">
        <f>SUM(C22465:C22470)</f>
        <v>2.75</v>
      </c>
      <c r="F22490" s="51">
        <f>VLOOKUP(A22490,'Componentes APUs'!$A$1:$D$14,4,0)</f>
        <v>2777.7777777777778</v>
      </c>
      <c r="G22490" s="51">
        <f>ROUNDUP(F22490*(E22490/21)/E22452,0)</f>
        <v>46</v>
      </c>
    </row>
    <row r="22491" spans="1:7" x14ac:dyDescent="0.25">
      <c r="A22491" s="69" t="s">
        <v>402</v>
      </c>
      <c r="B22491" s="72" t="str">
        <f>VLOOKUP(A22491,'Componentes APUs'!$A$1:$D$14,2,0)</f>
        <v>Bota de seguridad PVC dielectrica</v>
      </c>
      <c r="C22491" s="73"/>
      <c r="D22491" s="50" t="str">
        <f>VLOOKUP(A22491,'Componentes APUs'!$A$1:$D$14,3,0)</f>
        <v>Par</v>
      </c>
      <c r="E22491" s="50">
        <f>SUM(C22465:C22470)</f>
        <v>2.75</v>
      </c>
      <c r="F22491" s="51">
        <f>VLOOKUP(A22491,'Componentes APUs'!$A$1:$D$14,4,0)</f>
        <v>2916.6666666666665</v>
      </c>
      <c r="G22491" s="51">
        <f>ROUNDUP(F22491*(E22491/21)/E22452,0)</f>
        <v>48</v>
      </c>
    </row>
    <row r="22492" spans="1:7" x14ac:dyDescent="0.25">
      <c r="A22492" s="50" t="s">
        <v>403</v>
      </c>
      <c r="B22492" s="72" t="str">
        <f>VLOOKUP(A22492,'Componentes APUs'!$A$1:$D$14,2,0)</f>
        <v>Capuchon</v>
      </c>
      <c r="C22492" s="73"/>
      <c r="D22492" s="50" t="str">
        <f>VLOOKUP(A22492,'Componentes APUs'!$A$1:$D$14,3,0)</f>
        <v>U</v>
      </c>
      <c r="E22492" s="50">
        <f>SUM(C22465:C22470)</f>
        <v>2.75</v>
      </c>
      <c r="F22492" s="51">
        <f>VLOOKUP(A22492,'Componentes APUs'!$A$1:$D$14,4,0)</f>
        <v>2525.2525252525252</v>
      </c>
      <c r="G22492" s="51">
        <f>ROUNDUP(F22492*(E22492/21)/E22452,0)</f>
        <v>42</v>
      </c>
    </row>
    <row r="22493" spans="1:7" x14ac:dyDescent="0.25">
      <c r="A22493" s="69" t="s">
        <v>81</v>
      </c>
      <c r="B22493" s="72" t="str">
        <f>VLOOKUP(A22493,'Componentes APUs'!$A$1:$D$14,2,0)</f>
        <v>Guantes Protectores  - ingeniero reforzados</v>
      </c>
      <c r="C22493" s="73"/>
      <c r="D22493" s="50" t="str">
        <f>VLOOKUP(A22493,'Componentes APUs'!$A$1:$D$14,3,0)</f>
        <v>Par</v>
      </c>
      <c r="E22493" s="50">
        <f>C22467+C22468+C22470</f>
        <v>2</v>
      </c>
      <c r="F22493" s="51">
        <f>VLOOKUP(A22493,'Componentes APUs'!$A$1:$D$14,4,0)</f>
        <v>2525.2525252525252</v>
      </c>
      <c r="G22493" s="51">
        <f>ROUNDUP(F22493*(E22493/21)/E22452,0)</f>
        <v>31</v>
      </c>
    </row>
    <row r="22494" spans="1:7" x14ac:dyDescent="0.25">
      <c r="A22494" s="50" t="s">
        <v>83</v>
      </c>
      <c r="B22494" s="72" t="str">
        <f>VLOOKUP(A22494,'Componentes APUs'!$A$1:$D$14,2,0)</f>
        <v>Impermeable (pantalon camisa)</v>
      </c>
      <c r="C22494" s="73"/>
      <c r="D22494" s="50" t="str">
        <f>VLOOKUP(A22494,'Componentes APUs'!$A$1:$D$14,3,0)</f>
        <v>U</v>
      </c>
      <c r="E22494" s="50">
        <f>SUM(C22465:C22470)</f>
        <v>2.75</v>
      </c>
      <c r="F22494" s="51">
        <f>VLOOKUP(A22494,'Componentes APUs'!$A$1:$D$14,4,0)</f>
        <v>3750</v>
      </c>
      <c r="G22494" s="51">
        <f>ROUNDUP(F22494*(E22494/21)/E22452,0)</f>
        <v>62</v>
      </c>
    </row>
    <row r="22495" spans="1:7" x14ac:dyDescent="0.25">
      <c r="A22495" s="69" t="s">
        <v>85</v>
      </c>
      <c r="B22495" s="72" t="str">
        <f>VLOOKUP(A22495,'Componentes APUs'!$A$1:$D$14,2,0)</f>
        <v>Jean Dielectrico</v>
      </c>
      <c r="C22495" s="73"/>
      <c r="D22495" s="50" t="str">
        <f>VLOOKUP(A22495,'Componentes APUs'!$A$1:$D$14,3,0)</f>
        <v>U</v>
      </c>
      <c r="E22495" s="50">
        <f>SUM(C22465:C22470)</f>
        <v>2.75</v>
      </c>
      <c r="F22495" s="51">
        <f>VLOOKUP(A22495,'Componentes APUs'!$A$1:$D$14,4,0)</f>
        <v>7575.757575757576</v>
      </c>
      <c r="G22495" s="51">
        <f>ROUNDUP(F22495*(E22495/21)/E22452,0)</f>
        <v>125</v>
      </c>
    </row>
    <row r="22496" spans="1:7" x14ac:dyDescent="0.25">
      <c r="A22496" s="50" t="s">
        <v>87</v>
      </c>
      <c r="B22496" s="72" t="str">
        <f>VLOOKUP(A22496,'Componentes APUs'!$A$1:$D$14,2,0)</f>
        <v>Casco dielectrico Tipo 2 Clase E con barboquejo</v>
      </c>
      <c r="C22496" s="73"/>
      <c r="D22496" s="50" t="str">
        <f>VLOOKUP(A22496,'Componentes APUs'!$A$1:$D$14,3,0)</f>
        <v>U</v>
      </c>
      <c r="E22496" s="53">
        <f>IF(A22467="MO-3",C22467,0)</f>
        <v>0</v>
      </c>
      <c r="F22496" s="51">
        <f>VLOOKUP(A22496,'Componentes APUs'!$A$1:$D$14,4,0)</f>
        <v>7500</v>
      </c>
      <c r="G22496" s="51">
        <f>ROUNDUP(F22496*(E22496/21)/E22452,0)</f>
        <v>0</v>
      </c>
    </row>
    <row r="22497" spans="1:7" x14ac:dyDescent="0.25">
      <c r="A22497" s="69" t="s">
        <v>89</v>
      </c>
      <c r="B22497" s="72" t="str">
        <f>VLOOKUP(A22497,'Componentes APUs'!$A$1:$D$14,2,0)</f>
        <v>Kit de rescate para trabajo en alturas</v>
      </c>
      <c r="C22497" s="73"/>
      <c r="D22497" s="50" t="str">
        <f>VLOOKUP(A22497,'Componentes APUs'!$A$1:$D$14,3,0)</f>
        <v>U</v>
      </c>
      <c r="E22497" s="50">
        <f>IF(AND(A22467="MO-3",C22467=2),1,0)</f>
        <v>0</v>
      </c>
      <c r="F22497" s="51">
        <f>VLOOKUP(A22497,'Componentes APUs'!$A$1:$D$14,4,0)</f>
        <v>37500</v>
      </c>
      <c r="G22497" s="51">
        <f>ROUNDUP(F22497*(E22497/21)/E22452,0)</f>
        <v>0</v>
      </c>
    </row>
    <row r="22498" spans="1:7" x14ac:dyDescent="0.25">
      <c r="A22498" s="50" t="s">
        <v>91</v>
      </c>
      <c r="B22498" s="72" t="str">
        <f>VLOOKUP(A22498,'Componentes APUs'!$A$1:$D$14,2,0)</f>
        <v>Equipo completo para trabajo en alturas con pretales (Arnes dielectrico, 1 mosqueton de seguridad, tie off dielectrico, eslinga de posicionamiento, juego de pretales)</v>
      </c>
      <c r="C22498" s="73"/>
      <c r="D22498" s="50" t="str">
        <f>VLOOKUP(A22498,'Componentes APUs'!$A$1:$D$14,3,0)</f>
        <v>U</v>
      </c>
      <c r="E22498" s="50">
        <f>IF(A22467="MO-3",C22467,0)</f>
        <v>0</v>
      </c>
      <c r="F22498" s="51">
        <f>VLOOKUP(A22498,'Componentes APUs'!$A$1:$D$14,4,0)</f>
        <v>26041.666666666668</v>
      </c>
      <c r="G22498" s="51">
        <f>ROUNDUP(F22498*(E22498/21)/E22452,0)</f>
        <v>0</v>
      </c>
    </row>
    <row r="22499" spans="1:7" x14ac:dyDescent="0.25">
      <c r="A22499" s="219" t="s">
        <v>95</v>
      </c>
      <c r="B22499" s="219"/>
      <c r="C22499" s="219"/>
      <c r="D22499" s="219"/>
      <c r="E22499" s="219"/>
      <c r="F22499" s="219"/>
      <c r="G22499" s="52">
        <f>SUM(G22486:G22498)</f>
        <v>847</v>
      </c>
    </row>
    <row r="22500" spans="1:7" x14ac:dyDescent="0.25">
      <c r="A22500" s="56"/>
      <c r="B22500" s="57"/>
      <c r="C22500" s="57"/>
      <c r="D22500" s="57"/>
      <c r="E22500" s="57"/>
      <c r="F22500" s="57"/>
      <c r="G22500" s="58"/>
    </row>
    <row r="22501" spans="1:7" x14ac:dyDescent="0.25">
      <c r="A22501" s="219" t="s">
        <v>96</v>
      </c>
      <c r="B22501" s="219"/>
      <c r="C22501" s="219"/>
      <c r="D22501" s="219"/>
      <c r="E22501" s="219"/>
      <c r="F22501" s="219"/>
      <c r="G22501" s="219"/>
    </row>
    <row r="22502" spans="1:7" x14ac:dyDescent="0.25">
      <c r="A22502" s="49" t="s">
        <v>35</v>
      </c>
      <c r="B22502" s="225" t="s">
        <v>36</v>
      </c>
      <c r="C22502" s="225"/>
      <c r="D22502" s="49" t="s">
        <v>37</v>
      </c>
      <c r="E22502" s="49" t="s">
        <v>38</v>
      </c>
      <c r="F22502" s="49" t="s">
        <v>39</v>
      </c>
      <c r="G22502" s="49" t="s">
        <v>40</v>
      </c>
    </row>
    <row r="22503" spans="1:7" x14ac:dyDescent="0.25">
      <c r="A22503" s="69" t="s">
        <v>97</v>
      </c>
      <c r="B22503" s="72" t="str">
        <f>VLOOKUP(A22503,'Componentes APUs'!$N$1:$Q$30,2,0)</f>
        <v>Camioneta</v>
      </c>
      <c r="C22503" s="73"/>
      <c r="D22503" s="70" t="str">
        <f>VLOOKUP(A22503,'Componentes APUs'!$N$1:$Q$30,3,0)</f>
        <v>U</v>
      </c>
      <c r="E22503" s="50">
        <v>1</v>
      </c>
      <c r="F22503" s="51">
        <f>VLOOKUP(A22503,'Componentes APUs'!$N$1:$Q$30,4,0)</f>
        <v>5500000</v>
      </c>
      <c r="G22503" s="51">
        <f>IFERROR(ROUNDUP(F22503*(E22503/21)/E22452,0),0)</f>
        <v>32739</v>
      </c>
    </row>
    <row r="22504" spans="1:7" x14ac:dyDescent="0.25">
      <c r="A22504" s="50" t="s">
        <v>321</v>
      </c>
      <c r="B22504" s="72" t="str">
        <f>VLOOKUP(A22504,'Componentes APUs'!$N$1:$Q$30,2,0)</f>
        <v>Grúa Hidráulica</v>
      </c>
      <c r="C22504" s="73"/>
      <c r="D22504" s="70" t="str">
        <f>VLOOKUP(A22504,'Componentes APUs'!$N$1:$Q$30,3,0)</f>
        <v>U</v>
      </c>
      <c r="E22504" s="50">
        <v>0</v>
      </c>
      <c r="F22504" s="51">
        <f>VLOOKUP(A22504,'Componentes APUs'!$N$1:$Q$30,4,0)</f>
        <v>21000000</v>
      </c>
      <c r="G22504" s="51">
        <f>IFERROR(ROUNDUP(F22504*(E22504/21)/E22452,0),0)</f>
        <v>0</v>
      </c>
    </row>
    <row r="22505" spans="1:7" x14ac:dyDescent="0.25">
      <c r="A22505" s="69" t="s">
        <v>322</v>
      </c>
      <c r="B22505" s="72" t="str">
        <f>VLOOKUP(A22505,'Componentes APUs'!$N$1:$Q$30,2,0)</f>
        <v>Camabaja</v>
      </c>
      <c r="C22505" s="73"/>
      <c r="D22505" s="70" t="str">
        <f>VLOOKUP(A22505,'Componentes APUs'!$N$1:$Q$30,3,0)</f>
        <v>TON/KM</v>
      </c>
      <c r="E22505" s="50">
        <v>0</v>
      </c>
      <c r="F22505" s="51">
        <f>VLOOKUP(A22505,'Componentes APUs'!$N$1:$Q$30,4,0)</f>
        <v>611</v>
      </c>
      <c r="G22505" s="51">
        <f>IFERROR(ROUNDUP(F22505*(E22505/21)/E22452,0),0)</f>
        <v>0</v>
      </c>
    </row>
    <row r="22506" spans="1:7" x14ac:dyDescent="0.25">
      <c r="A22506" s="50" t="s">
        <v>323</v>
      </c>
      <c r="B22506" s="72" t="str">
        <f>VLOOKUP(A22506,'Componentes APUs'!$N$1:$Q$30,2,0)</f>
        <v>Volqueta</v>
      </c>
      <c r="C22506" s="73"/>
      <c r="D22506" s="70" t="str">
        <f>VLOOKUP(A22506,'Componentes APUs'!$N$1:$Q$30,3,0)</f>
        <v>U</v>
      </c>
      <c r="E22506" s="50">
        <v>0</v>
      </c>
      <c r="F22506" s="51">
        <f>VLOOKUP(A22506,'Componentes APUs'!$N$1:$Q$30,4,0)</f>
        <v>14828184</v>
      </c>
      <c r="G22506" s="51">
        <f>IFERROR(ROUNDUP(F22506*(E22506/21)/E22452,0),0)</f>
        <v>0</v>
      </c>
    </row>
    <row r="22507" spans="1:7" x14ac:dyDescent="0.25">
      <c r="A22507" s="69" t="s">
        <v>324</v>
      </c>
      <c r="B22507" s="72" t="str">
        <f>VLOOKUP(A22507,'Componentes APUs'!$N$1:$Q$30,2,0)</f>
        <v>Retroexcavadora</v>
      </c>
      <c r="C22507" s="73"/>
      <c r="D22507" s="70" t="str">
        <f>VLOOKUP(A22507,'Componentes APUs'!$N$1:$Q$30,3,0)</f>
        <v>U</v>
      </c>
      <c r="E22507" s="50">
        <v>0</v>
      </c>
      <c r="F22507" s="51">
        <f>VLOOKUP(A22507,'Componentes APUs'!$N$1:$Q$30,4,0)</f>
        <v>46030656</v>
      </c>
      <c r="G22507" s="51">
        <f>IFERROR(ROUNDUP(F22507*(E22507/21)/E22452,0),0)</f>
        <v>0</v>
      </c>
    </row>
    <row r="22508" spans="1:7" x14ac:dyDescent="0.25">
      <c r="A22508" s="219" t="s">
        <v>99</v>
      </c>
      <c r="B22508" s="219"/>
      <c r="C22508" s="219"/>
      <c r="D22508" s="219"/>
      <c r="E22508" s="219"/>
      <c r="F22508" s="219"/>
      <c r="G22508" s="52">
        <f>SUM(G22503:G22507)</f>
        <v>32739</v>
      </c>
    </row>
    <row r="22509" spans="1:7" x14ac:dyDescent="0.25">
      <c r="A22509" s="56"/>
      <c r="B22509" s="57"/>
      <c r="C22509" s="57"/>
      <c r="D22509" s="57"/>
      <c r="E22509" s="57"/>
      <c r="F22509" s="57"/>
      <c r="G22509" s="58"/>
    </row>
    <row r="22510" spans="1:7" x14ac:dyDescent="0.25">
      <c r="A22510" s="219" t="s">
        <v>1516</v>
      </c>
      <c r="B22510" s="219"/>
      <c r="C22510" s="219"/>
      <c r="D22510" s="219"/>
      <c r="E22510" s="219"/>
      <c r="F22510" s="219"/>
      <c r="G22510" s="52">
        <f>G22508+G22499+G22482+G22471+G22461</f>
        <v>150256</v>
      </c>
    </row>
    <row r="22511" spans="1:7" x14ac:dyDescent="0.25">
      <c r="A22511" s="59"/>
      <c r="B22511" s="60"/>
      <c r="C22511" s="60"/>
      <c r="D22511" s="60"/>
      <c r="E22511" s="57"/>
      <c r="F22511" s="57"/>
      <c r="G22511" s="58"/>
    </row>
    <row r="22512" spans="1:7" x14ac:dyDescent="0.25">
      <c r="A22512" s="64"/>
      <c r="D22512" s="55"/>
      <c r="E22512" s="49" t="s">
        <v>25</v>
      </c>
      <c r="F22512" s="54">
        <v>0.15</v>
      </c>
      <c r="G22512" s="51">
        <f>G22510*F22512</f>
        <v>22538.399999999998</v>
      </c>
    </row>
    <row r="22513" spans="1:7" x14ac:dyDescent="0.25">
      <c r="A22513" s="64"/>
      <c r="D22513" s="55"/>
      <c r="E22513" s="49" t="s">
        <v>26</v>
      </c>
      <c r="F22513" s="54">
        <v>0.05</v>
      </c>
      <c r="G22513" s="51">
        <f>G22510*F22513</f>
        <v>7512.8</v>
      </c>
    </row>
    <row r="22514" spans="1:7" x14ac:dyDescent="0.25">
      <c r="A22514" s="61"/>
      <c r="B22514" s="65"/>
      <c r="C22514" s="65"/>
      <c r="D22514" s="62"/>
      <c r="E22514" s="49" t="s">
        <v>27</v>
      </c>
      <c r="F22514" s="54">
        <v>0.05</v>
      </c>
      <c r="G22514" s="51">
        <f>G22510*F22514</f>
        <v>7512.8</v>
      </c>
    </row>
    <row r="22515" spans="1:7" x14ac:dyDescent="0.25">
      <c r="A22515" s="61"/>
      <c r="B22515" s="62"/>
      <c r="C22515" s="62"/>
      <c r="D22515" s="62"/>
      <c r="E22515" s="62"/>
      <c r="F22515" s="62"/>
      <c r="G22515" s="63"/>
    </row>
    <row r="22516" spans="1:7" x14ac:dyDescent="0.25">
      <c r="A22516" s="219" t="s">
        <v>1517</v>
      </c>
      <c r="B22516" s="219"/>
      <c r="C22516" s="219"/>
      <c r="D22516" s="219"/>
      <c r="E22516" s="219"/>
      <c r="F22516" s="219"/>
      <c r="G22516" s="52">
        <f>G22510+G22512+G22513+G22514</f>
        <v>187819.99999999997</v>
      </c>
    </row>
    <row r="22517" spans="1:7" x14ac:dyDescent="0.25">
      <c r="A22517" s="59"/>
      <c r="B22517" s="60"/>
      <c r="C22517" s="60"/>
      <c r="D22517" s="60"/>
      <c r="E22517" s="57"/>
      <c r="F22517" s="57"/>
      <c r="G22517" s="58"/>
    </row>
    <row r="22518" spans="1:7" x14ac:dyDescent="0.25">
      <c r="A22518" s="64"/>
      <c r="D22518" s="55"/>
      <c r="E22518" s="49" t="s">
        <v>102</v>
      </c>
      <c r="F22518" s="49" t="s">
        <v>103</v>
      </c>
      <c r="G22518" s="51">
        <f>G22514*19%</f>
        <v>1427.432</v>
      </c>
    </row>
    <row r="22519" spans="1:7" x14ac:dyDescent="0.25">
      <c r="A22519" s="61"/>
      <c r="B22519" s="62"/>
      <c r="C22519" s="62"/>
      <c r="D22519" s="62"/>
      <c r="E22519" s="57"/>
      <c r="F22519" s="57"/>
      <c r="G22519" s="58"/>
    </row>
    <row r="22520" spans="1:7" x14ac:dyDescent="0.25">
      <c r="A22520" s="219" t="s">
        <v>104</v>
      </c>
      <c r="B22520" s="219"/>
      <c r="C22520" s="219"/>
      <c r="D22520" s="219"/>
      <c r="E22520" s="219"/>
      <c r="F22520" s="219"/>
      <c r="G22520" s="52">
        <f>G22518+G22516</f>
        <v>189247.43199999997</v>
      </c>
    </row>
    <row r="22522" spans="1:7" x14ac:dyDescent="0.25">
      <c r="A22522" s="74" t="s">
        <v>29</v>
      </c>
      <c r="B22522" s="237" t="s">
        <v>30</v>
      </c>
      <c r="C22522" s="238"/>
      <c r="D22522" s="74" t="s">
        <v>31</v>
      </c>
      <c r="E22522" s="74" t="s">
        <v>32</v>
      </c>
      <c r="F22522" s="74" t="s">
        <v>189</v>
      </c>
      <c r="G22522" s="74" t="s">
        <v>33</v>
      </c>
    </row>
    <row r="22523" spans="1:7" x14ac:dyDescent="0.25">
      <c r="A22523" s="50" t="str">
        <f>Presupuesto!B430</f>
        <v>089_AUX</v>
      </c>
      <c r="B22523" s="220" t="str">
        <f>Presupuesto!C430</f>
        <v>CONEXIÓN EN X CABLE CU 4/0 AWG A VARILLA 5/8"</v>
      </c>
      <c r="C22523" s="239"/>
      <c r="D22523" s="50" t="s">
        <v>8</v>
      </c>
      <c r="E22523" s="50">
        <v>8</v>
      </c>
      <c r="F22523" s="50"/>
      <c r="G22523" s="51">
        <f>G22591</f>
        <v>189247.43199999997</v>
      </c>
    </row>
    <row r="22524" spans="1:7" x14ac:dyDescent="0.25">
      <c r="A22524" s="219" t="s">
        <v>34</v>
      </c>
      <c r="B22524" s="219"/>
      <c r="C22524" s="219"/>
      <c r="D22524" s="219"/>
      <c r="E22524" s="219"/>
      <c r="F22524" s="219"/>
      <c r="G22524" s="219"/>
    </row>
    <row r="22525" spans="1:7" x14ac:dyDescent="0.25">
      <c r="A22525" s="49" t="s">
        <v>35</v>
      </c>
      <c r="B22525" s="234" t="s">
        <v>36</v>
      </c>
      <c r="C22525" s="235"/>
      <c r="D22525" s="49" t="s">
        <v>37</v>
      </c>
      <c r="E22525" s="49" t="s">
        <v>38</v>
      </c>
      <c r="F22525" s="49" t="s">
        <v>39</v>
      </c>
      <c r="G22525" s="49" t="s">
        <v>40</v>
      </c>
    </row>
    <row r="22526" spans="1:7" x14ac:dyDescent="0.25">
      <c r="A22526" s="17" t="str">
        <f>Material!A164</f>
        <v>MA-163</v>
      </c>
      <c r="B22526" s="72" t="str">
        <f>IFERROR(VLOOKUP(A22526,Material!$A:$H,2,0),"-")</f>
        <v>SOLDADURA EXOTÉRMICA 150 G</v>
      </c>
      <c r="C22526" s="76"/>
      <c r="D22526" s="50" t="str">
        <f>IFERROR(VLOOKUP(A22526,Material!$A:$H,4,0),"-")</f>
        <v>UN</v>
      </c>
      <c r="E22526" s="50">
        <v>1</v>
      </c>
      <c r="F22526" s="51">
        <f>IFERROR(VLOOKUP(A22526,Material!$A:$H,3,0),"-")</f>
        <v>32175</v>
      </c>
      <c r="G22526" s="51">
        <f>IFERROR(ROUNDUP(F22526*E22526,0),"-")</f>
        <v>32175</v>
      </c>
    </row>
    <row r="22527" spans="1:7" x14ac:dyDescent="0.25">
      <c r="A22527" s="17"/>
      <c r="B22527" s="72"/>
      <c r="C22527" s="76"/>
      <c r="D22527" s="50"/>
      <c r="E22527" s="50"/>
      <c r="F22527" s="51"/>
      <c r="G22527" s="51"/>
    </row>
    <row r="22528" spans="1:7" x14ac:dyDescent="0.25">
      <c r="A22528" s="17"/>
      <c r="B22528" s="72"/>
      <c r="C22528" s="76"/>
      <c r="D22528" s="50"/>
      <c r="E22528" s="50"/>
      <c r="F22528" s="51"/>
      <c r="G22528" s="51"/>
    </row>
    <row r="22529" spans="1:7" x14ac:dyDescent="0.25">
      <c r="A22529" s="17"/>
      <c r="B22529" s="72"/>
      <c r="C22529" s="76"/>
      <c r="D22529" s="50"/>
      <c r="E22529" s="50"/>
      <c r="F22529" s="51"/>
      <c r="G22529" s="51"/>
    </row>
    <row r="22530" spans="1:7" x14ac:dyDescent="0.25">
      <c r="A22530" s="17"/>
      <c r="B22530" s="72"/>
      <c r="C22530" s="76"/>
      <c r="D22530" s="50"/>
      <c r="E22530" s="50"/>
      <c r="F22530" s="51"/>
      <c r="G22530" s="51"/>
    </row>
    <row r="22531" spans="1:7" x14ac:dyDescent="0.25">
      <c r="A22531" s="17"/>
      <c r="B22531" s="72"/>
      <c r="C22531" s="76"/>
      <c r="D22531" s="50"/>
      <c r="E22531" s="50"/>
      <c r="F22531" s="51"/>
      <c r="G22531" s="51"/>
    </row>
    <row r="22532" spans="1:7" x14ac:dyDescent="0.25">
      <c r="A22532" s="234" t="s">
        <v>41</v>
      </c>
      <c r="B22532" s="236"/>
      <c r="C22532" s="236"/>
      <c r="D22532" s="236"/>
      <c r="E22532" s="236"/>
      <c r="F22532" s="235"/>
      <c r="G22532" s="52">
        <f>SUM(G22526:G22531)</f>
        <v>32175</v>
      </c>
    </row>
    <row r="22533" spans="1:7" x14ac:dyDescent="0.25">
      <c r="A22533" s="56"/>
      <c r="B22533" s="57"/>
      <c r="C22533" s="57"/>
      <c r="D22533" s="57"/>
      <c r="E22533" s="57"/>
      <c r="F22533" s="57"/>
      <c r="G22533" s="58"/>
    </row>
    <row r="22534" spans="1:7" x14ac:dyDescent="0.25">
      <c r="A22534" s="219" t="s">
        <v>42</v>
      </c>
      <c r="B22534" s="219"/>
      <c r="C22534" s="219"/>
      <c r="D22534" s="219"/>
      <c r="E22534" s="219"/>
      <c r="F22534" s="219"/>
      <c r="G22534" s="219"/>
    </row>
    <row r="22535" spans="1:7" x14ac:dyDescent="0.25">
      <c r="A22535" s="49" t="s">
        <v>35</v>
      </c>
      <c r="B22535" s="49" t="s">
        <v>36</v>
      </c>
      <c r="C22535" s="49" t="s">
        <v>38</v>
      </c>
      <c r="D22535" s="49" t="s">
        <v>43</v>
      </c>
      <c r="E22535" s="49" t="s">
        <v>44</v>
      </c>
      <c r="F22535" s="49" t="s">
        <v>45</v>
      </c>
      <c r="G22535" s="49" t="s">
        <v>40</v>
      </c>
    </row>
    <row r="22536" spans="1:7" x14ac:dyDescent="0.25">
      <c r="A22536" s="50" t="s">
        <v>319</v>
      </c>
      <c r="B22536" s="68" t="str">
        <f>VLOOKUP(A22536,'Componentes APUs'!$H$1:$L$25,2,0)</f>
        <v>Ingeniero Residente de Obra</v>
      </c>
      <c r="C22536" s="93">
        <v>0.25</v>
      </c>
      <c r="D22536" s="50">
        <f>VLOOKUP(A22536,'Componentes APUs'!$H$1:$L$25,3,0)</f>
        <v>4</v>
      </c>
      <c r="E22536" s="51">
        <f>VLOOKUP(A22536,'Componentes APUs'!$H$1:$L$25,4,0)</f>
        <v>271142.85714285716</v>
      </c>
      <c r="F22536" s="51">
        <f>VLOOKUP(A22536,'Componentes APUs'!$H$1:$L$25,5,0)</f>
        <v>162685.71428571429</v>
      </c>
      <c r="G22536" s="51">
        <f>ROUNDUP((E22536+F22536)*C22536/E22523,0)</f>
        <v>13558</v>
      </c>
    </row>
    <row r="22537" spans="1:7" x14ac:dyDescent="0.25">
      <c r="A22537" s="50" t="s">
        <v>320</v>
      </c>
      <c r="B22537" s="68" t="str">
        <f>VLOOKUP(A22537,'Componentes APUs'!$H$1:$L$25,2,0)</f>
        <v>Tecnico Supervisor</v>
      </c>
      <c r="C22537" s="93">
        <v>0.25</v>
      </c>
      <c r="D22537" s="50">
        <f>VLOOKUP(A22537,'Componentes APUs'!$H$1:$L$25,3,0)</f>
        <v>2.2999999999999998</v>
      </c>
      <c r="E22537" s="51">
        <f>VLOOKUP(A22537,'Componentes APUs'!$H$1:$L$25,4,0)</f>
        <v>155907.14285714284</v>
      </c>
      <c r="F22537" s="51">
        <f>VLOOKUP(A22537,'Componentes APUs'!$H$1:$L$25,5,0)</f>
        <v>93544.285714285696</v>
      </c>
      <c r="G22537" s="51">
        <f>ROUNDUP((E22537+F22537)*C22537/E22523,0)</f>
        <v>7796</v>
      </c>
    </row>
    <row r="22538" spans="1:7" x14ac:dyDescent="0.25">
      <c r="A22538" s="50" t="s">
        <v>1160</v>
      </c>
      <c r="B22538" s="68" t="str">
        <f>VLOOKUP(A22538,'Componentes APUs'!$H$1:$L$25,2,0)</f>
        <v>Oficial Eléctrico</v>
      </c>
      <c r="C22538" s="93">
        <v>1</v>
      </c>
      <c r="D22538" s="50">
        <f>VLOOKUP(A22538,'Componentes APUs'!$H$1:$L$25,3,0)</f>
        <v>2</v>
      </c>
      <c r="E22538" s="51">
        <f>VLOOKUP(A22538,'Componentes APUs'!$H$1:$L$25,4,0)</f>
        <v>154619.04761904763</v>
      </c>
      <c r="F22538" s="51">
        <f>VLOOKUP(A22538,'Componentes APUs'!$H$1:$L$25,5,0)</f>
        <v>92771.42857142858</v>
      </c>
      <c r="G22538" s="51">
        <f>ROUNDUP((E22538+F22538)*C22538/E22523,0)</f>
        <v>30924</v>
      </c>
    </row>
    <row r="22539" spans="1:7" x14ac:dyDescent="0.25">
      <c r="A22539" s="50" t="s">
        <v>48</v>
      </c>
      <c r="B22539" s="68" t="str">
        <f>VLOOKUP(A22539,'Componentes APUs'!$H$1:$L$25,2,0)</f>
        <v>Ayudante Calificado</v>
      </c>
      <c r="C22539" s="93">
        <v>1</v>
      </c>
      <c r="D22539" s="50">
        <f>VLOOKUP(A22539,'Componentes APUs'!$H$1:$L$25,3,0)</f>
        <v>1.5</v>
      </c>
      <c r="E22539" s="51">
        <f>VLOOKUP(A22539,'Componentes APUs'!$H$1:$L$25,4,0)</f>
        <v>115964.28571428571</v>
      </c>
      <c r="F22539" s="51">
        <f>VLOOKUP(A22539,'Componentes APUs'!$H$1:$L$25,5,0)</f>
        <v>69578.57142857142</v>
      </c>
      <c r="G22539" s="51">
        <f>ROUNDUP((E22539+F22539)*C22539/E22523,0)</f>
        <v>23193</v>
      </c>
    </row>
    <row r="22540" spans="1:7" x14ac:dyDescent="0.25">
      <c r="A22540" s="50" t="s">
        <v>50</v>
      </c>
      <c r="B22540" s="68" t="str">
        <f>VLOOKUP(A22540,'Componentes APUs'!$H$1:$L$25,2,0)</f>
        <v>Profesional en SST</v>
      </c>
      <c r="C22540" s="93">
        <v>0.25</v>
      </c>
      <c r="D22540" s="50">
        <f>VLOOKUP(A22540,'Componentes APUs'!$H$1:$L$25,3,0)</f>
        <v>2.5</v>
      </c>
      <c r="E22540" s="51">
        <f>VLOOKUP(A22540,'Componentes APUs'!$H$1:$L$25,4,0)</f>
        <v>169464.28571428571</v>
      </c>
      <c r="F22540" s="51">
        <f>VLOOKUP(A22540,'Componentes APUs'!$H$1:$L$25,5,0)</f>
        <v>101678.57142857142</v>
      </c>
      <c r="G22540" s="51">
        <f>ROUNDUP((E22540+F22540)*C22540/E22523,0)</f>
        <v>8474</v>
      </c>
    </row>
    <row r="22541" spans="1:7" x14ac:dyDescent="0.25">
      <c r="A22541" s="50" t="s">
        <v>52</v>
      </c>
      <c r="B22541" s="68" t="str">
        <f>VLOOKUP(A22541,'Componentes APUs'!$H$1:$L$25,2,0)</f>
        <v>Ayudante No Calificado</v>
      </c>
      <c r="C22541" s="93">
        <v>0</v>
      </c>
      <c r="D22541" s="50">
        <f>VLOOKUP(A22541,'Componentes APUs'!$H$1:$L$25,3,0)</f>
        <v>1</v>
      </c>
      <c r="E22541" s="51">
        <f>VLOOKUP(A22541,'Componentes APUs'!$H$1:$L$25,4,0)</f>
        <v>77309.523809523816</v>
      </c>
      <c r="F22541" s="51">
        <f>VLOOKUP(A22541,'Componentes APUs'!$H$1:$L$25,5,0)</f>
        <v>46385.71428571429</v>
      </c>
      <c r="G22541" s="51">
        <f>ROUNDUP((E22541+F22541)*C22541/E22523,0)</f>
        <v>0</v>
      </c>
    </row>
    <row r="22542" spans="1:7" x14ac:dyDescent="0.25">
      <c r="A22542" s="219" t="s">
        <v>56</v>
      </c>
      <c r="B22542" s="219"/>
      <c r="C22542" s="219"/>
      <c r="D22542" s="219"/>
      <c r="E22542" s="219"/>
      <c r="F22542" s="219"/>
      <c r="G22542" s="52">
        <f>SUM(G22536:G22541)</f>
        <v>83945</v>
      </c>
    </row>
    <row r="22543" spans="1:7" x14ac:dyDescent="0.25">
      <c r="A22543" s="56"/>
      <c r="B22543" s="57"/>
      <c r="C22543" s="57"/>
      <c r="D22543" s="57"/>
      <c r="E22543" s="57"/>
      <c r="F22543" s="57"/>
      <c r="G22543" s="58"/>
    </row>
    <row r="22544" spans="1:7" x14ac:dyDescent="0.25">
      <c r="A22544" s="219" t="s">
        <v>57</v>
      </c>
      <c r="B22544" s="219"/>
      <c r="C22544" s="219"/>
      <c r="D22544" s="219"/>
      <c r="E22544" s="219"/>
      <c r="F22544" s="219"/>
      <c r="G22544" s="219"/>
    </row>
    <row r="22545" spans="1:7" x14ac:dyDescent="0.25">
      <c r="A22545" s="49" t="s">
        <v>35</v>
      </c>
      <c r="B22545" s="219" t="s">
        <v>36</v>
      </c>
      <c r="C22545" s="219"/>
      <c r="D22545" s="49" t="s">
        <v>37</v>
      </c>
      <c r="E22545" s="49" t="s">
        <v>38</v>
      </c>
      <c r="F22545" s="49" t="s">
        <v>39</v>
      </c>
      <c r="G22545" s="49" t="s">
        <v>40</v>
      </c>
    </row>
    <row r="22546" spans="1:7" x14ac:dyDescent="0.25">
      <c r="A22546" s="50" t="s">
        <v>326</v>
      </c>
      <c r="B22546" s="220" t="str">
        <f>VLOOKUP(A22546,'Componentes APUs'!$S$1:$V$10,2,0)</f>
        <v>Juego Llaves</v>
      </c>
      <c r="C22546" s="220"/>
      <c r="D22546" s="50" t="s">
        <v>18</v>
      </c>
      <c r="E22546" s="50">
        <v>1</v>
      </c>
      <c r="F22546" s="51">
        <f>VLOOKUP(A22546,'Componentes APUs'!$S$1:$V$10,4,0)</f>
        <v>9167</v>
      </c>
      <c r="G22546" s="51">
        <f>ROUNDUP(F22546*((E22546/21)/E22523),0)</f>
        <v>55</v>
      </c>
    </row>
    <row r="22547" spans="1:7" x14ac:dyDescent="0.25">
      <c r="A22547" s="50" t="s">
        <v>58</v>
      </c>
      <c r="B22547" s="220" t="str">
        <f>VLOOKUP(A22547,'Componentes APUs'!$S$1:$V$10,2,0)</f>
        <v>Manila de servicio</v>
      </c>
      <c r="C22547" s="220"/>
      <c r="D22547" s="50" t="s">
        <v>18</v>
      </c>
      <c r="E22547" s="50">
        <v>0</v>
      </c>
      <c r="F22547" s="51">
        <f>VLOOKUP(A22547,'Componentes APUs'!$S$1:$V$10,4,0)</f>
        <v>2333</v>
      </c>
      <c r="G22547" s="51">
        <f>ROUNDUP(F22547*((E22547/21)/E22523),0)</f>
        <v>0</v>
      </c>
    </row>
    <row r="22548" spans="1:7" x14ac:dyDescent="0.25">
      <c r="A22548" s="50" t="s">
        <v>327</v>
      </c>
      <c r="B22548" s="220" t="str">
        <f>VLOOKUP(A22548,'Componentes APUs'!$S$1:$V$10,2,0)</f>
        <v>Tula portaherramientas</v>
      </c>
      <c r="C22548" s="220"/>
      <c r="D22548" s="50" t="s">
        <v>18</v>
      </c>
      <c r="E22548" s="50">
        <v>1</v>
      </c>
      <c r="F22548" s="51">
        <f>VLOOKUP(A22548,'Componentes APUs'!$S$1:$V$10,4,0)</f>
        <v>1250</v>
      </c>
      <c r="G22548" s="51">
        <f>ROUNDUP(F22548*((E22548/21)/E22523),0)</f>
        <v>8</v>
      </c>
    </row>
    <row r="22549" spans="1:7" x14ac:dyDescent="0.25">
      <c r="A22549" s="50" t="s">
        <v>60</v>
      </c>
      <c r="B22549" s="220" t="str">
        <f>VLOOKUP(A22549,'Componentes APUs'!$S$1:$V$10,2,0)</f>
        <v>Agarradoras</v>
      </c>
      <c r="C22549" s="220"/>
      <c r="D22549" s="50" t="s">
        <v>18</v>
      </c>
      <c r="E22549" s="50">
        <v>0</v>
      </c>
      <c r="F22549" s="51">
        <f>VLOOKUP(A22549,'Componentes APUs'!$S$1:$V$10,4,0)</f>
        <v>125000</v>
      </c>
      <c r="G22549" s="51">
        <f>ROUNDUP(F22549*((E22549/21)/E22523),0)</f>
        <v>0</v>
      </c>
    </row>
    <row r="22550" spans="1:7" x14ac:dyDescent="0.25">
      <c r="A22550" s="50" t="s">
        <v>62</v>
      </c>
      <c r="B22550" s="220" t="str">
        <f>VLOOKUP(A22550,'Componentes APUs'!$S$1:$V$10,2,0)</f>
        <v>Templadoras</v>
      </c>
      <c r="C22550" s="220"/>
      <c r="D22550" s="50" t="s">
        <v>18</v>
      </c>
      <c r="E22550" s="50">
        <v>0</v>
      </c>
      <c r="F22550" s="51">
        <f>VLOOKUP(A22550,'Componentes APUs'!$S$1:$V$10,4,0)</f>
        <v>250000</v>
      </c>
      <c r="G22550" s="51">
        <f>ROUNDUP(F22550*((E22550/21)/E22523),0)</f>
        <v>0</v>
      </c>
    </row>
    <row r="22551" spans="1:7" ht="15" customHeight="1" x14ac:dyDescent="0.25">
      <c r="A22551" s="50" t="s">
        <v>328</v>
      </c>
      <c r="B22551" s="220" t="str">
        <f>VLOOKUP(A22551,'Componentes APUs'!$S$1:$V$10,2,0)</f>
        <v>Herramienta Menor</v>
      </c>
      <c r="C22551" s="220"/>
      <c r="D22551" s="50" t="s">
        <v>18</v>
      </c>
      <c r="E22551" s="50">
        <v>1</v>
      </c>
      <c r="F22551" s="51">
        <f>VLOOKUP(A22551,'Componentes APUs'!$S$1:$V$10,4,0)</f>
        <v>75758</v>
      </c>
      <c r="G22551" s="51">
        <f>ROUNDUP(F22551*((E22551/21)/E22523),0)</f>
        <v>451</v>
      </c>
    </row>
    <row r="22552" spans="1:7" ht="15" customHeight="1" x14ac:dyDescent="0.25">
      <c r="A22552" s="50" t="s">
        <v>1046</v>
      </c>
      <c r="B22552" s="220" t="str">
        <f>VLOOKUP(A22552,'Componentes APUs'!$S$1:$V$10,2,0)</f>
        <v>Molde Grafito Soldadura Exotérmica En X</v>
      </c>
      <c r="C22552" s="220"/>
      <c r="D22552" s="50" t="s">
        <v>18</v>
      </c>
      <c r="E22552" s="50">
        <f>1/40</f>
        <v>2.5000000000000001E-2</v>
      </c>
      <c r="F22552" s="51">
        <f>VLOOKUP(A22552,'Componentes APUs'!$S$1:$V$10,4,0)</f>
        <v>239000</v>
      </c>
      <c r="G22552" s="51">
        <f>ROUNDUP(F22552*((E22552/21)/E22523),0)</f>
        <v>36</v>
      </c>
    </row>
    <row r="22553" spans="1:7" x14ac:dyDescent="0.25">
      <c r="A22553" s="219" t="s">
        <v>69</v>
      </c>
      <c r="B22553" s="219"/>
      <c r="C22553" s="219"/>
      <c r="D22553" s="219"/>
      <c r="E22553" s="219"/>
      <c r="F22553" s="219"/>
      <c r="G22553" s="52">
        <f>SUM(G22546:G22552)</f>
        <v>550</v>
      </c>
    </row>
    <row r="22554" spans="1:7" x14ac:dyDescent="0.25">
      <c r="A22554" s="56"/>
      <c r="B22554" s="57"/>
      <c r="C22554" s="57"/>
      <c r="D22554" s="57"/>
      <c r="E22554" s="57"/>
      <c r="F22554" s="57"/>
      <c r="G22554" s="58"/>
    </row>
    <row r="22555" spans="1:7" x14ac:dyDescent="0.25">
      <c r="A22555" s="219" t="s">
        <v>70</v>
      </c>
      <c r="B22555" s="219"/>
      <c r="C22555" s="219"/>
      <c r="D22555" s="219"/>
      <c r="E22555" s="219"/>
      <c r="F22555" s="219"/>
      <c r="G22555" s="219"/>
    </row>
    <row r="22556" spans="1:7" x14ac:dyDescent="0.25">
      <c r="A22556" s="49" t="s">
        <v>35</v>
      </c>
      <c r="B22556" s="219" t="s">
        <v>36</v>
      </c>
      <c r="C22556" s="219"/>
      <c r="D22556" s="49" t="s">
        <v>37</v>
      </c>
      <c r="E22556" s="49" t="s">
        <v>38</v>
      </c>
      <c r="F22556" s="49" t="s">
        <v>39</v>
      </c>
      <c r="G22556" s="49" t="s">
        <v>40</v>
      </c>
    </row>
    <row r="22557" spans="1:7" x14ac:dyDescent="0.25">
      <c r="A22557" s="50" t="s">
        <v>71</v>
      </c>
      <c r="B22557" s="71" t="str">
        <f>VLOOKUP(A22557,'Componentes APUs'!$A$1:$D$14,2,0)</f>
        <v>Camisa indigo sin partes metalicas</v>
      </c>
      <c r="C22557" s="71"/>
      <c r="D22557" s="50" t="str">
        <f>VLOOKUP(A22557,'Componentes APUs'!$A$1:$D$14,3,0)</f>
        <v>U</v>
      </c>
      <c r="E22557" s="50">
        <f>SUM(C22536:C22541)</f>
        <v>2.75</v>
      </c>
      <c r="F22557" s="51">
        <f>VLOOKUP(A22557,'Componentes APUs'!$A$1:$D$14,4,0)</f>
        <v>8585.8585858585866</v>
      </c>
      <c r="G22557" s="51">
        <f>ROUNDUP(F22557*(E22557/21)/E22523,0)</f>
        <v>141</v>
      </c>
    </row>
    <row r="22558" spans="1:7" x14ac:dyDescent="0.25">
      <c r="A22558" s="69" t="s">
        <v>73</v>
      </c>
      <c r="B22558" s="72" t="str">
        <f>VLOOKUP(A22558,'Componentes APUs'!$A$1:$D$14,2,0)</f>
        <v>Bota de seguridad dielectrica</v>
      </c>
      <c r="C22558" s="73"/>
      <c r="D22558" s="70" t="str">
        <f>VLOOKUP(A22558,'Componentes APUs'!$A$1:$D$14,3,0)</f>
        <v>Par</v>
      </c>
      <c r="E22558" s="50">
        <f>SUM(C22536:C22541)</f>
        <v>2.75</v>
      </c>
      <c r="F22558" s="51">
        <f>VLOOKUP(A22558,'Componentes APUs'!$A$1:$D$14,4,0)</f>
        <v>7500</v>
      </c>
      <c r="G22558" s="51">
        <f>ROUNDUP(F22558*(E22558/21)/E22523,0)</f>
        <v>123</v>
      </c>
    </row>
    <row r="22559" spans="1:7" x14ac:dyDescent="0.25">
      <c r="A22559" s="50" t="s">
        <v>76</v>
      </c>
      <c r="B22559" s="72" t="str">
        <f>VLOOKUP(A22559,'Componentes APUs'!$A$1:$D$14,2,0)</f>
        <v>Casco dielectrico Tipo 1 Clase E con barbuquejo</v>
      </c>
      <c r="C22559" s="73"/>
      <c r="D22559" s="50" t="str">
        <f>VLOOKUP(A22559,'Componentes APUs'!$A$1:$D$14,3,0)</f>
        <v>U</v>
      </c>
      <c r="E22559" s="50">
        <f>C22541+C22536+C22539+C22540+C22537+IF(A22538&lt;&gt;"MO-3",C22538,0)</f>
        <v>2.75</v>
      </c>
      <c r="F22559" s="51">
        <f>VLOOKUP(A22559,'Componentes APUs'!$A$1:$D$14,4,0)</f>
        <v>10101.010101010101</v>
      </c>
      <c r="G22559" s="51">
        <f>ROUNDUP(F22559*(E22559/21)/E22523,0)</f>
        <v>166</v>
      </c>
    </row>
    <row r="22560" spans="1:7" x14ac:dyDescent="0.25">
      <c r="A22560" s="69" t="s">
        <v>77</v>
      </c>
      <c r="B22560" s="72" t="str">
        <f>VLOOKUP(A22560,'Componentes APUs'!$A$1:$D$14,2,0)</f>
        <v>Correa plastica y antiflama</v>
      </c>
      <c r="C22560" s="73"/>
      <c r="D22560" s="50" t="str">
        <f>VLOOKUP(A22560,'Componentes APUs'!$A$1:$D$14,3,0)</f>
        <v>U</v>
      </c>
      <c r="E22560" s="50">
        <f>SUM(C22536:C22541)</f>
        <v>2.75</v>
      </c>
      <c r="F22560" s="51">
        <f>VLOOKUP(A22560,'Componentes APUs'!$A$1:$D$14,4,0)</f>
        <v>3787.878787878788</v>
      </c>
      <c r="G22560" s="51">
        <f>ROUNDUP(F22560*(E22560/21)/E22523,0)</f>
        <v>63</v>
      </c>
    </row>
    <row r="22561" spans="1:7" x14ac:dyDescent="0.25">
      <c r="A22561" s="50" t="s">
        <v>79</v>
      </c>
      <c r="B22561" s="72" t="str">
        <f>VLOOKUP(A22561,'Componentes APUs'!$A$1:$D$14,2,0)</f>
        <v>Gafas protectoras filtro UV</v>
      </c>
      <c r="C22561" s="73"/>
      <c r="D22561" s="50" t="str">
        <f>VLOOKUP(A22561,'Componentes APUs'!$A$1:$D$14,3,0)</f>
        <v>U</v>
      </c>
      <c r="E22561" s="50">
        <f>SUM(C22536:C22541)</f>
        <v>2.75</v>
      </c>
      <c r="F22561" s="51">
        <f>VLOOKUP(A22561,'Componentes APUs'!$A$1:$D$14,4,0)</f>
        <v>2777.7777777777778</v>
      </c>
      <c r="G22561" s="51">
        <f>ROUNDUP(F22561*(E22561/21)/E22523,0)</f>
        <v>46</v>
      </c>
    </row>
    <row r="22562" spans="1:7" x14ac:dyDescent="0.25">
      <c r="A22562" s="69" t="s">
        <v>402</v>
      </c>
      <c r="B22562" s="72" t="str">
        <f>VLOOKUP(A22562,'Componentes APUs'!$A$1:$D$14,2,0)</f>
        <v>Bota de seguridad PVC dielectrica</v>
      </c>
      <c r="C22562" s="73"/>
      <c r="D22562" s="50" t="str">
        <f>VLOOKUP(A22562,'Componentes APUs'!$A$1:$D$14,3,0)</f>
        <v>Par</v>
      </c>
      <c r="E22562" s="50">
        <f>SUM(C22536:C22541)</f>
        <v>2.75</v>
      </c>
      <c r="F22562" s="51">
        <f>VLOOKUP(A22562,'Componentes APUs'!$A$1:$D$14,4,0)</f>
        <v>2916.6666666666665</v>
      </c>
      <c r="G22562" s="51">
        <f>ROUNDUP(F22562*(E22562/21)/E22523,0)</f>
        <v>48</v>
      </c>
    </row>
    <row r="22563" spans="1:7" x14ac:dyDescent="0.25">
      <c r="A22563" s="50" t="s">
        <v>403</v>
      </c>
      <c r="B22563" s="72" t="str">
        <f>VLOOKUP(A22563,'Componentes APUs'!$A$1:$D$14,2,0)</f>
        <v>Capuchon</v>
      </c>
      <c r="C22563" s="73"/>
      <c r="D22563" s="50" t="str">
        <f>VLOOKUP(A22563,'Componentes APUs'!$A$1:$D$14,3,0)</f>
        <v>U</v>
      </c>
      <c r="E22563" s="50">
        <f>SUM(C22536:C22541)</f>
        <v>2.75</v>
      </c>
      <c r="F22563" s="51">
        <f>VLOOKUP(A22563,'Componentes APUs'!$A$1:$D$14,4,0)</f>
        <v>2525.2525252525252</v>
      </c>
      <c r="G22563" s="51">
        <f>ROUNDUP(F22563*(E22563/21)/E22523,0)</f>
        <v>42</v>
      </c>
    </row>
    <row r="22564" spans="1:7" x14ac:dyDescent="0.25">
      <c r="A22564" s="69" t="s">
        <v>81</v>
      </c>
      <c r="B22564" s="72" t="str">
        <f>VLOOKUP(A22564,'Componentes APUs'!$A$1:$D$14,2,0)</f>
        <v>Guantes Protectores  - ingeniero reforzados</v>
      </c>
      <c r="C22564" s="73"/>
      <c r="D22564" s="50" t="str">
        <f>VLOOKUP(A22564,'Componentes APUs'!$A$1:$D$14,3,0)</f>
        <v>Par</v>
      </c>
      <c r="E22564" s="50">
        <f>C22538+C22539+C22541</f>
        <v>2</v>
      </c>
      <c r="F22564" s="51">
        <f>VLOOKUP(A22564,'Componentes APUs'!$A$1:$D$14,4,0)</f>
        <v>2525.2525252525252</v>
      </c>
      <c r="G22564" s="51">
        <f>ROUNDUP(F22564*(E22564/21)/E22523,0)</f>
        <v>31</v>
      </c>
    </row>
    <row r="22565" spans="1:7" x14ac:dyDescent="0.25">
      <c r="A22565" s="50" t="s">
        <v>83</v>
      </c>
      <c r="B22565" s="72" t="str">
        <f>VLOOKUP(A22565,'Componentes APUs'!$A$1:$D$14,2,0)</f>
        <v>Impermeable (pantalon camisa)</v>
      </c>
      <c r="C22565" s="73"/>
      <c r="D22565" s="50" t="str">
        <f>VLOOKUP(A22565,'Componentes APUs'!$A$1:$D$14,3,0)</f>
        <v>U</v>
      </c>
      <c r="E22565" s="50">
        <f>SUM(C22536:C22541)</f>
        <v>2.75</v>
      </c>
      <c r="F22565" s="51">
        <f>VLOOKUP(A22565,'Componentes APUs'!$A$1:$D$14,4,0)</f>
        <v>3750</v>
      </c>
      <c r="G22565" s="51">
        <f>ROUNDUP(F22565*(E22565/21)/E22523,0)</f>
        <v>62</v>
      </c>
    </row>
    <row r="22566" spans="1:7" x14ac:dyDescent="0.25">
      <c r="A22566" s="69" t="s">
        <v>85</v>
      </c>
      <c r="B22566" s="72" t="str">
        <f>VLOOKUP(A22566,'Componentes APUs'!$A$1:$D$14,2,0)</f>
        <v>Jean Dielectrico</v>
      </c>
      <c r="C22566" s="73"/>
      <c r="D22566" s="50" t="str">
        <f>VLOOKUP(A22566,'Componentes APUs'!$A$1:$D$14,3,0)</f>
        <v>U</v>
      </c>
      <c r="E22566" s="50">
        <f>SUM(C22536:C22541)</f>
        <v>2.75</v>
      </c>
      <c r="F22566" s="51">
        <f>VLOOKUP(A22566,'Componentes APUs'!$A$1:$D$14,4,0)</f>
        <v>7575.757575757576</v>
      </c>
      <c r="G22566" s="51">
        <f>ROUNDUP(F22566*(E22566/21)/E22523,0)</f>
        <v>125</v>
      </c>
    </row>
    <row r="22567" spans="1:7" x14ac:dyDescent="0.25">
      <c r="A22567" s="50" t="s">
        <v>87</v>
      </c>
      <c r="B22567" s="72" t="str">
        <f>VLOOKUP(A22567,'Componentes APUs'!$A$1:$D$14,2,0)</f>
        <v>Casco dielectrico Tipo 2 Clase E con barboquejo</v>
      </c>
      <c r="C22567" s="73"/>
      <c r="D22567" s="50" t="str">
        <f>VLOOKUP(A22567,'Componentes APUs'!$A$1:$D$14,3,0)</f>
        <v>U</v>
      </c>
      <c r="E22567" s="53">
        <f>IF(A22538="MO-3",C22538,0)</f>
        <v>0</v>
      </c>
      <c r="F22567" s="51">
        <f>VLOOKUP(A22567,'Componentes APUs'!$A$1:$D$14,4,0)</f>
        <v>7500</v>
      </c>
      <c r="G22567" s="51">
        <f>ROUNDUP(F22567*(E22567/21)/E22523,0)</f>
        <v>0</v>
      </c>
    </row>
    <row r="22568" spans="1:7" x14ac:dyDescent="0.25">
      <c r="A22568" s="69" t="s">
        <v>89</v>
      </c>
      <c r="B22568" s="72" t="str">
        <f>VLOOKUP(A22568,'Componentes APUs'!$A$1:$D$14,2,0)</f>
        <v>Kit de rescate para trabajo en alturas</v>
      </c>
      <c r="C22568" s="73"/>
      <c r="D22568" s="50" t="str">
        <f>VLOOKUP(A22568,'Componentes APUs'!$A$1:$D$14,3,0)</f>
        <v>U</v>
      </c>
      <c r="E22568" s="50">
        <f>IF(AND(A22538="MO-3",C22538=2),1,0)</f>
        <v>0</v>
      </c>
      <c r="F22568" s="51">
        <f>VLOOKUP(A22568,'Componentes APUs'!$A$1:$D$14,4,0)</f>
        <v>37500</v>
      </c>
      <c r="G22568" s="51">
        <f>ROUNDUP(F22568*(E22568/21)/E22523,0)</f>
        <v>0</v>
      </c>
    </row>
    <row r="22569" spans="1:7" x14ac:dyDescent="0.25">
      <c r="A22569" s="50" t="s">
        <v>91</v>
      </c>
      <c r="B22569" s="72" t="str">
        <f>VLOOKUP(A22569,'Componentes APUs'!$A$1:$D$14,2,0)</f>
        <v>Equipo completo para trabajo en alturas con pretales (Arnes dielectrico, 1 mosqueton de seguridad, tie off dielectrico, eslinga de posicionamiento, juego de pretales)</v>
      </c>
      <c r="C22569" s="73"/>
      <c r="D22569" s="50" t="str">
        <f>VLOOKUP(A22569,'Componentes APUs'!$A$1:$D$14,3,0)</f>
        <v>U</v>
      </c>
      <c r="E22569" s="50">
        <f>IF(A22538="MO-3",C22538,0)</f>
        <v>0</v>
      </c>
      <c r="F22569" s="51">
        <f>VLOOKUP(A22569,'Componentes APUs'!$A$1:$D$14,4,0)</f>
        <v>26041.666666666668</v>
      </c>
      <c r="G22569" s="51">
        <f>ROUNDUP(F22569*(E22569/21)/E22523,0)</f>
        <v>0</v>
      </c>
    </row>
    <row r="22570" spans="1:7" x14ac:dyDescent="0.25">
      <c r="A22570" s="219" t="s">
        <v>95</v>
      </c>
      <c r="B22570" s="219"/>
      <c r="C22570" s="219"/>
      <c r="D22570" s="219"/>
      <c r="E22570" s="219"/>
      <c r="F22570" s="219"/>
      <c r="G22570" s="52">
        <f>SUM(G22557:G22569)</f>
        <v>847</v>
      </c>
    </row>
    <row r="22571" spans="1:7" x14ac:dyDescent="0.25">
      <c r="A22571" s="56"/>
      <c r="B22571" s="57"/>
      <c r="C22571" s="57"/>
      <c r="D22571" s="57"/>
      <c r="E22571" s="57"/>
      <c r="F22571" s="57"/>
      <c r="G22571" s="58"/>
    </row>
    <row r="22572" spans="1:7" x14ac:dyDescent="0.25">
      <c r="A22572" s="219" t="s">
        <v>96</v>
      </c>
      <c r="B22572" s="219"/>
      <c r="C22572" s="219"/>
      <c r="D22572" s="219"/>
      <c r="E22572" s="219"/>
      <c r="F22572" s="219"/>
      <c r="G22572" s="219"/>
    </row>
    <row r="22573" spans="1:7" x14ac:dyDescent="0.25">
      <c r="A22573" s="49" t="s">
        <v>35</v>
      </c>
      <c r="B22573" s="225" t="s">
        <v>36</v>
      </c>
      <c r="C22573" s="225"/>
      <c r="D22573" s="49" t="s">
        <v>37</v>
      </c>
      <c r="E22573" s="49" t="s">
        <v>38</v>
      </c>
      <c r="F22573" s="49" t="s">
        <v>39</v>
      </c>
      <c r="G22573" s="49" t="s">
        <v>40</v>
      </c>
    </row>
    <row r="22574" spans="1:7" x14ac:dyDescent="0.25">
      <c r="A22574" s="69" t="s">
        <v>97</v>
      </c>
      <c r="B22574" s="72" t="str">
        <f>VLOOKUP(A22574,'Componentes APUs'!$N$1:$Q$30,2,0)</f>
        <v>Camioneta</v>
      </c>
      <c r="C22574" s="73"/>
      <c r="D22574" s="70" t="str">
        <f>VLOOKUP(A22574,'Componentes APUs'!$N$1:$Q$30,3,0)</f>
        <v>U</v>
      </c>
      <c r="E22574" s="50">
        <v>1</v>
      </c>
      <c r="F22574" s="51">
        <f>VLOOKUP(A22574,'Componentes APUs'!$N$1:$Q$30,4,0)</f>
        <v>5500000</v>
      </c>
      <c r="G22574" s="51">
        <f>IFERROR(ROUNDUP(F22574*(E22574/21)/E22523,0),0)</f>
        <v>32739</v>
      </c>
    </row>
    <row r="22575" spans="1:7" x14ac:dyDescent="0.25">
      <c r="A22575" s="50" t="s">
        <v>321</v>
      </c>
      <c r="B22575" s="72" t="str">
        <f>VLOOKUP(A22575,'Componentes APUs'!$N$1:$Q$30,2,0)</f>
        <v>Grúa Hidráulica</v>
      </c>
      <c r="C22575" s="73"/>
      <c r="D22575" s="70" t="str">
        <f>VLOOKUP(A22575,'Componentes APUs'!$N$1:$Q$30,3,0)</f>
        <v>U</v>
      </c>
      <c r="E22575" s="50">
        <v>0</v>
      </c>
      <c r="F22575" s="51">
        <f>VLOOKUP(A22575,'Componentes APUs'!$N$1:$Q$30,4,0)</f>
        <v>21000000</v>
      </c>
      <c r="G22575" s="51">
        <f>IFERROR(ROUNDUP(F22575*(E22575/21)/E22523,0),0)</f>
        <v>0</v>
      </c>
    </row>
    <row r="22576" spans="1:7" x14ac:dyDescent="0.25">
      <c r="A22576" s="69" t="s">
        <v>322</v>
      </c>
      <c r="B22576" s="72" t="str">
        <f>VLOOKUP(A22576,'Componentes APUs'!$N$1:$Q$30,2,0)</f>
        <v>Camabaja</v>
      </c>
      <c r="C22576" s="73"/>
      <c r="D22576" s="70" t="str">
        <f>VLOOKUP(A22576,'Componentes APUs'!$N$1:$Q$30,3,0)</f>
        <v>TON/KM</v>
      </c>
      <c r="E22576" s="50">
        <v>0</v>
      </c>
      <c r="F22576" s="51">
        <f>VLOOKUP(A22576,'Componentes APUs'!$N$1:$Q$30,4,0)</f>
        <v>611</v>
      </c>
      <c r="G22576" s="51">
        <f>IFERROR(ROUNDUP(F22576*(E22576/21)/E22523,0),0)</f>
        <v>0</v>
      </c>
    </row>
    <row r="22577" spans="1:7" x14ac:dyDescent="0.25">
      <c r="A22577" s="50" t="s">
        <v>323</v>
      </c>
      <c r="B22577" s="72" t="str">
        <f>VLOOKUP(A22577,'Componentes APUs'!$N$1:$Q$30,2,0)</f>
        <v>Volqueta</v>
      </c>
      <c r="C22577" s="73"/>
      <c r="D22577" s="70" t="str">
        <f>VLOOKUP(A22577,'Componentes APUs'!$N$1:$Q$30,3,0)</f>
        <v>U</v>
      </c>
      <c r="E22577" s="50">
        <v>0</v>
      </c>
      <c r="F22577" s="51">
        <f>VLOOKUP(A22577,'Componentes APUs'!$N$1:$Q$30,4,0)</f>
        <v>14828184</v>
      </c>
      <c r="G22577" s="51">
        <f>IFERROR(ROUNDUP(F22577*(E22577/21)/E22523,0),0)</f>
        <v>0</v>
      </c>
    </row>
    <row r="22578" spans="1:7" x14ac:dyDescent="0.25">
      <c r="A22578" s="69" t="s">
        <v>324</v>
      </c>
      <c r="B22578" s="72" t="str">
        <f>VLOOKUP(A22578,'Componentes APUs'!$N$1:$Q$30,2,0)</f>
        <v>Retroexcavadora</v>
      </c>
      <c r="C22578" s="73"/>
      <c r="D22578" s="70" t="str">
        <f>VLOOKUP(A22578,'Componentes APUs'!$N$1:$Q$30,3,0)</f>
        <v>U</v>
      </c>
      <c r="E22578" s="50">
        <v>0</v>
      </c>
      <c r="F22578" s="51">
        <f>VLOOKUP(A22578,'Componentes APUs'!$N$1:$Q$30,4,0)</f>
        <v>46030656</v>
      </c>
      <c r="G22578" s="51">
        <f>IFERROR(ROUNDUP(F22578*(E22578/21)/E22523,0),0)</f>
        <v>0</v>
      </c>
    </row>
    <row r="22579" spans="1:7" x14ac:dyDescent="0.25">
      <c r="A22579" s="219" t="s">
        <v>99</v>
      </c>
      <c r="B22579" s="219"/>
      <c r="C22579" s="219"/>
      <c r="D22579" s="219"/>
      <c r="E22579" s="219"/>
      <c r="F22579" s="219"/>
      <c r="G22579" s="52">
        <f>SUM(G22574:G22578)</f>
        <v>32739</v>
      </c>
    </row>
    <row r="22580" spans="1:7" x14ac:dyDescent="0.25">
      <c r="A22580" s="56"/>
      <c r="B22580" s="57"/>
      <c r="C22580" s="57"/>
      <c r="D22580" s="57"/>
      <c r="E22580" s="57"/>
      <c r="F22580" s="57"/>
      <c r="G22580" s="58"/>
    </row>
    <row r="22581" spans="1:7" x14ac:dyDescent="0.25">
      <c r="A22581" s="219" t="s">
        <v>1516</v>
      </c>
      <c r="B22581" s="219"/>
      <c r="C22581" s="219"/>
      <c r="D22581" s="219"/>
      <c r="E22581" s="219"/>
      <c r="F22581" s="219"/>
      <c r="G22581" s="52">
        <f>G22579+G22570+G22553+G22542+G22532</f>
        <v>150256</v>
      </c>
    </row>
    <row r="22582" spans="1:7" x14ac:dyDescent="0.25">
      <c r="A22582" s="59"/>
      <c r="B22582" s="60"/>
      <c r="C22582" s="60"/>
      <c r="D22582" s="60"/>
      <c r="E22582" s="57"/>
      <c r="F22582" s="57"/>
      <c r="G22582" s="58"/>
    </row>
    <row r="22583" spans="1:7" x14ac:dyDescent="0.25">
      <c r="A22583" s="64"/>
      <c r="D22583" s="55"/>
      <c r="E22583" s="49" t="s">
        <v>25</v>
      </c>
      <c r="F22583" s="54">
        <v>0.15</v>
      </c>
      <c r="G22583" s="51">
        <f>G22581*F22583</f>
        <v>22538.399999999998</v>
      </c>
    </row>
    <row r="22584" spans="1:7" x14ac:dyDescent="0.25">
      <c r="A22584" s="64"/>
      <c r="D22584" s="55"/>
      <c r="E22584" s="49" t="s">
        <v>26</v>
      </c>
      <c r="F22584" s="54">
        <v>0.05</v>
      </c>
      <c r="G22584" s="51">
        <f>G22581*F22584</f>
        <v>7512.8</v>
      </c>
    </row>
    <row r="22585" spans="1:7" x14ac:dyDescent="0.25">
      <c r="A22585" s="61"/>
      <c r="B22585" s="65"/>
      <c r="C22585" s="65"/>
      <c r="D22585" s="62"/>
      <c r="E22585" s="49" t="s">
        <v>27</v>
      </c>
      <c r="F22585" s="54">
        <v>0.05</v>
      </c>
      <c r="G22585" s="51">
        <f>G22581*F22585</f>
        <v>7512.8</v>
      </c>
    </row>
    <row r="22586" spans="1:7" x14ac:dyDescent="0.25">
      <c r="A22586" s="61"/>
      <c r="B22586" s="62"/>
      <c r="C22586" s="62"/>
      <c r="D22586" s="62"/>
      <c r="E22586" s="62"/>
      <c r="F22586" s="62"/>
      <c r="G22586" s="63"/>
    </row>
    <row r="22587" spans="1:7" x14ac:dyDescent="0.25">
      <c r="A22587" s="219" t="s">
        <v>1517</v>
      </c>
      <c r="B22587" s="219"/>
      <c r="C22587" s="219"/>
      <c r="D22587" s="219"/>
      <c r="E22587" s="219"/>
      <c r="F22587" s="219"/>
      <c r="G22587" s="52">
        <f>G22581+G22583+G22584+G22585</f>
        <v>187819.99999999997</v>
      </c>
    </row>
    <row r="22588" spans="1:7" x14ac:dyDescent="0.25">
      <c r="A22588" s="59"/>
      <c r="B22588" s="60"/>
      <c r="C22588" s="60"/>
      <c r="D22588" s="60"/>
      <c r="E22588" s="57"/>
      <c r="F22588" s="57"/>
      <c r="G22588" s="58"/>
    </row>
    <row r="22589" spans="1:7" x14ac:dyDescent="0.25">
      <c r="A22589" s="64"/>
      <c r="D22589" s="55"/>
      <c r="E22589" s="49" t="s">
        <v>102</v>
      </c>
      <c r="F22589" s="49" t="s">
        <v>103</v>
      </c>
      <c r="G22589" s="51">
        <f>G22585*19%</f>
        <v>1427.432</v>
      </c>
    </row>
    <row r="22590" spans="1:7" x14ac:dyDescent="0.25">
      <c r="A22590" s="61"/>
      <c r="B22590" s="62"/>
      <c r="C22590" s="62"/>
      <c r="D22590" s="62"/>
      <c r="E22590" s="57"/>
      <c r="F22590" s="57"/>
      <c r="G22590" s="58"/>
    </row>
    <row r="22591" spans="1:7" x14ac:dyDescent="0.25">
      <c r="A22591" s="219" t="s">
        <v>104</v>
      </c>
      <c r="B22591" s="219"/>
      <c r="C22591" s="219"/>
      <c r="D22591" s="219"/>
      <c r="E22591" s="219"/>
      <c r="F22591" s="219"/>
      <c r="G22591" s="52">
        <f>G22589+G22587</f>
        <v>189247.43199999997</v>
      </c>
    </row>
    <row r="22593" spans="1:7" x14ac:dyDescent="0.25">
      <c r="A22593" s="74" t="s">
        <v>29</v>
      </c>
      <c r="B22593" s="237" t="s">
        <v>30</v>
      </c>
      <c r="C22593" s="238"/>
      <c r="D22593" s="74" t="s">
        <v>31</v>
      </c>
      <c r="E22593" s="74" t="s">
        <v>32</v>
      </c>
      <c r="F22593" s="74" t="s">
        <v>189</v>
      </c>
      <c r="G22593" s="74" t="s">
        <v>33</v>
      </c>
    </row>
    <row r="22594" spans="1:7" x14ac:dyDescent="0.25">
      <c r="A22594" s="50" t="str">
        <f>Presupuesto!B431</f>
        <v>090_AUX</v>
      </c>
      <c r="B22594" s="220" t="str">
        <f>Presupuesto!C431</f>
        <v>CONECTOR TERMINAL CU PARA CABLE 4/0 AWG</v>
      </c>
      <c r="C22594" s="239"/>
      <c r="D22594" s="50" t="s">
        <v>8</v>
      </c>
      <c r="E22594" s="50">
        <v>50</v>
      </c>
      <c r="F22594" s="50"/>
      <c r="G22594" s="51">
        <f>G22662</f>
        <v>28790.910500000002</v>
      </c>
    </row>
    <row r="22595" spans="1:7" x14ac:dyDescent="0.25">
      <c r="A22595" s="219" t="s">
        <v>34</v>
      </c>
      <c r="B22595" s="219"/>
      <c r="C22595" s="219"/>
      <c r="D22595" s="219"/>
      <c r="E22595" s="219"/>
      <c r="F22595" s="219"/>
      <c r="G22595" s="219"/>
    </row>
    <row r="22596" spans="1:7" x14ac:dyDescent="0.25">
      <c r="A22596" s="49" t="s">
        <v>35</v>
      </c>
      <c r="B22596" s="234" t="s">
        <v>36</v>
      </c>
      <c r="C22596" s="235"/>
      <c r="D22596" s="49" t="s">
        <v>37</v>
      </c>
      <c r="E22596" s="49" t="s">
        <v>38</v>
      </c>
      <c r="F22596" s="49" t="s">
        <v>39</v>
      </c>
      <c r="G22596" s="49" t="s">
        <v>40</v>
      </c>
    </row>
    <row r="22597" spans="1:7" x14ac:dyDescent="0.25">
      <c r="A22597" s="17" t="str">
        <f>Material!A447</f>
        <v>MA-446</v>
      </c>
      <c r="B22597" s="72" t="str">
        <f>IFERROR(VLOOKUP(A22597,Material!$A:$H,2,0),"-")</f>
        <v>TERMINAL CONECTOR CU 4/0 SPT</v>
      </c>
      <c r="C22597" s="76"/>
      <c r="D22597" s="50" t="str">
        <f>IFERROR(VLOOKUP(A22597,Material!$A:$H,4,0),"-")</f>
        <v>UN</v>
      </c>
      <c r="E22597" s="50">
        <v>1</v>
      </c>
      <c r="F22597" s="51">
        <f>IFERROR(VLOOKUP(A22597,Material!$A:$H,3,0),"-")</f>
        <v>3965</v>
      </c>
      <c r="G22597" s="51">
        <f>IFERROR(ROUNDUP(F22597*E22597,0),"-")</f>
        <v>3965</v>
      </c>
    </row>
    <row r="22598" spans="1:7" x14ac:dyDescent="0.25">
      <c r="A22598" s="17"/>
      <c r="B22598" s="72"/>
      <c r="C22598" s="76"/>
      <c r="D22598" s="50"/>
      <c r="E22598" s="50"/>
      <c r="F22598" s="51"/>
      <c r="G22598" s="51"/>
    </row>
    <row r="22599" spans="1:7" x14ac:dyDescent="0.25">
      <c r="A22599" s="17"/>
      <c r="B22599" s="72"/>
      <c r="C22599" s="76"/>
      <c r="D22599" s="50"/>
      <c r="E22599" s="50"/>
      <c r="F22599" s="51"/>
      <c r="G22599" s="51"/>
    </row>
    <row r="22600" spans="1:7" x14ac:dyDescent="0.25">
      <c r="A22600" s="17"/>
      <c r="B22600" s="72"/>
      <c r="C22600" s="76"/>
      <c r="D22600" s="50"/>
      <c r="E22600" s="50"/>
      <c r="F22600" s="51"/>
      <c r="G22600" s="51"/>
    </row>
    <row r="22601" spans="1:7" x14ac:dyDescent="0.25">
      <c r="A22601" s="17"/>
      <c r="B22601" s="72"/>
      <c r="C22601" s="76"/>
      <c r="D22601" s="50"/>
      <c r="E22601" s="50"/>
      <c r="F22601" s="51"/>
      <c r="G22601" s="51"/>
    </row>
    <row r="22602" spans="1:7" x14ac:dyDescent="0.25">
      <c r="A22602" s="17"/>
      <c r="B22602" s="72"/>
      <c r="C22602" s="76"/>
      <c r="D22602" s="50"/>
      <c r="E22602" s="50"/>
      <c r="F22602" s="51"/>
      <c r="G22602" s="51"/>
    </row>
    <row r="22603" spans="1:7" x14ac:dyDescent="0.25">
      <c r="A22603" s="234" t="s">
        <v>41</v>
      </c>
      <c r="B22603" s="236"/>
      <c r="C22603" s="236"/>
      <c r="D22603" s="236"/>
      <c r="E22603" s="236"/>
      <c r="F22603" s="235"/>
      <c r="G22603" s="52">
        <f>SUM(G22597:G22602)</f>
        <v>3965</v>
      </c>
    </row>
    <row r="22604" spans="1:7" x14ac:dyDescent="0.25">
      <c r="A22604" s="56"/>
      <c r="B22604" s="57"/>
      <c r="C22604" s="57"/>
      <c r="D22604" s="57"/>
      <c r="E22604" s="57"/>
      <c r="F22604" s="57"/>
      <c r="G22604" s="58"/>
    </row>
    <row r="22605" spans="1:7" x14ac:dyDescent="0.25">
      <c r="A22605" s="219" t="s">
        <v>42</v>
      </c>
      <c r="B22605" s="219"/>
      <c r="C22605" s="219"/>
      <c r="D22605" s="219"/>
      <c r="E22605" s="219"/>
      <c r="F22605" s="219"/>
      <c r="G22605" s="219"/>
    </row>
    <row r="22606" spans="1:7" x14ac:dyDescent="0.25">
      <c r="A22606" s="49" t="s">
        <v>35</v>
      </c>
      <c r="B22606" s="49" t="s">
        <v>36</v>
      </c>
      <c r="C22606" s="49" t="s">
        <v>38</v>
      </c>
      <c r="D22606" s="49" t="s">
        <v>43</v>
      </c>
      <c r="E22606" s="49" t="s">
        <v>44</v>
      </c>
      <c r="F22606" s="49" t="s">
        <v>45</v>
      </c>
      <c r="G22606" s="49" t="s">
        <v>40</v>
      </c>
    </row>
    <row r="22607" spans="1:7" x14ac:dyDescent="0.25">
      <c r="A22607" s="50" t="s">
        <v>319</v>
      </c>
      <c r="B22607" s="68" t="str">
        <f>VLOOKUP(A22607,'Componentes APUs'!$H$1:$L$25,2,0)</f>
        <v>Ingeniero Residente de Obra</v>
      </c>
      <c r="C22607" s="93">
        <v>0.25</v>
      </c>
      <c r="D22607" s="50">
        <f>VLOOKUP(A22607,'Componentes APUs'!$H$1:$L$25,3,0)</f>
        <v>4</v>
      </c>
      <c r="E22607" s="51">
        <f>VLOOKUP(A22607,'Componentes APUs'!$H$1:$L$25,4,0)</f>
        <v>271142.85714285716</v>
      </c>
      <c r="F22607" s="51">
        <f>VLOOKUP(A22607,'Componentes APUs'!$H$1:$L$25,5,0)</f>
        <v>162685.71428571429</v>
      </c>
      <c r="G22607" s="51">
        <f>ROUNDUP((E22607+F22607)*C22607/E22594,0)</f>
        <v>2170</v>
      </c>
    </row>
    <row r="22608" spans="1:7" x14ac:dyDescent="0.25">
      <c r="A22608" s="50" t="s">
        <v>320</v>
      </c>
      <c r="B22608" s="68" t="str">
        <f>VLOOKUP(A22608,'Componentes APUs'!$H$1:$L$25,2,0)</f>
        <v>Tecnico Supervisor</v>
      </c>
      <c r="C22608" s="93">
        <v>0.25</v>
      </c>
      <c r="D22608" s="50">
        <f>VLOOKUP(A22608,'Componentes APUs'!$H$1:$L$25,3,0)</f>
        <v>2.2999999999999998</v>
      </c>
      <c r="E22608" s="51">
        <f>VLOOKUP(A22608,'Componentes APUs'!$H$1:$L$25,4,0)</f>
        <v>155907.14285714284</v>
      </c>
      <c r="F22608" s="51">
        <f>VLOOKUP(A22608,'Componentes APUs'!$H$1:$L$25,5,0)</f>
        <v>93544.285714285696</v>
      </c>
      <c r="G22608" s="51">
        <f>ROUNDUP((E22608+F22608)*C22608/E22594,0)</f>
        <v>1248</v>
      </c>
    </row>
    <row r="22609" spans="1:7" x14ac:dyDescent="0.25">
      <c r="A22609" s="50" t="s">
        <v>1160</v>
      </c>
      <c r="B22609" s="68" t="str">
        <f>VLOOKUP(A22609,'Componentes APUs'!$H$1:$L$25,2,0)</f>
        <v>Oficial Eléctrico</v>
      </c>
      <c r="C22609" s="93">
        <v>1</v>
      </c>
      <c r="D22609" s="50">
        <f>VLOOKUP(A22609,'Componentes APUs'!$H$1:$L$25,3,0)</f>
        <v>2</v>
      </c>
      <c r="E22609" s="51">
        <f>VLOOKUP(A22609,'Componentes APUs'!$H$1:$L$25,4,0)</f>
        <v>154619.04761904763</v>
      </c>
      <c r="F22609" s="51">
        <f>VLOOKUP(A22609,'Componentes APUs'!$H$1:$L$25,5,0)</f>
        <v>92771.42857142858</v>
      </c>
      <c r="G22609" s="51">
        <f>ROUNDUP((E22609+F22609)*C22609/E22594,0)</f>
        <v>4948</v>
      </c>
    </row>
    <row r="22610" spans="1:7" x14ac:dyDescent="0.25">
      <c r="A22610" s="50" t="s">
        <v>48</v>
      </c>
      <c r="B22610" s="68" t="str">
        <f>VLOOKUP(A22610,'Componentes APUs'!$H$1:$L$25,2,0)</f>
        <v>Ayudante Calificado</v>
      </c>
      <c r="C22610" s="93">
        <v>1</v>
      </c>
      <c r="D22610" s="50">
        <f>VLOOKUP(A22610,'Componentes APUs'!$H$1:$L$25,3,0)</f>
        <v>1.5</v>
      </c>
      <c r="E22610" s="51">
        <f>VLOOKUP(A22610,'Componentes APUs'!$H$1:$L$25,4,0)</f>
        <v>115964.28571428571</v>
      </c>
      <c r="F22610" s="51">
        <f>VLOOKUP(A22610,'Componentes APUs'!$H$1:$L$25,5,0)</f>
        <v>69578.57142857142</v>
      </c>
      <c r="G22610" s="51">
        <f>ROUNDUP((E22610+F22610)*C22610/E22594,0)</f>
        <v>3711</v>
      </c>
    </row>
    <row r="22611" spans="1:7" x14ac:dyDescent="0.25">
      <c r="A22611" s="50" t="s">
        <v>50</v>
      </c>
      <c r="B22611" s="68" t="str">
        <f>VLOOKUP(A22611,'Componentes APUs'!$H$1:$L$25,2,0)</f>
        <v>Profesional en SST</v>
      </c>
      <c r="C22611" s="93">
        <v>0.25</v>
      </c>
      <c r="D22611" s="50">
        <f>VLOOKUP(A22611,'Componentes APUs'!$H$1:$L$25,3,0)</f>
        <v>2.5</v>
      </c>
      <c r="E22611" s="51">
        <f>VLOOKUP(A22611,'Componentes APUs'!$H$1:$L$25,4,0)</f>
        <v>169464.28571428571</v>
      </c>
      <c r="F22611" s="51">
        <f>VLOOKUP(A22611,'Componentes APUs'!$H$1:$L$25,5,0)</f>
        <v>101678.57142857142</v>
      </c>
      <c r="G22611" s="51">
        <f>ROUNDUP((E22611+F22611)*C22611/E22594,0)</f>
        <v>1356</v>
      </c>
    </row>
    <row r="22612" spans="1:7" x14ac:dyDescent="0.25">
      <c r="A22612" s="50" t="s">
        <v>52</v>
      </c>
      <c r="B22612" s="68" t="str">
        <f>VLOOKUP(A22612,'Componentes APUs'!$H$1:$L$25,2,0)</f>
        <v>Ayudante No Calificado</v>
      </c>
      <c r="C22612" s="93">
        <v>0</v>
      </c>
      <c r="D22612" s="50">
        <f>VLOOKUP(A22612,'Componentes APUs'!$H$1:$L$25,3,0)</f>
        <v>1</v>
      </c>
      <c r="E22612" s="51">
        <f>VLOOKUP(A22612,'Componentes APUs'!$H$1:$L$25,4,0)</f>
        <v>77309.523809523816</v>
      </c>
      <c r="F22612" s="51">
        <f>VLOOKUP(A22612,'Componentes APUs'!$H$1:$L$25,5,0)</f>
        <v>46385.71428571429</v>
      </c>
      <c r="G22612" s="51">
        <f>ROUNDUP((E22612+F22612)*C22612/E22594,0)</f>
        <v>0</v>
      </c>
    </row>
    <row r="22613" spans="1:7" x14ac:dyDescent="0.25">
      <c r="A22613" s="219" t="s">
        <v>56</v>
      </c>
      <c r="B22613" s="219"/>
      <c r="C22613" s="219"/>
      <c r="D22613" s="219"/>
      <c r="E22613" s="219"/>
      <c r="F22613" s="219"/>
      <c r="G22613" s="52">
        <f>SUM(G22607:G22612)</f>
        <v>13433</v>
      </c>
    </row>
    <row r="22614" spans="1:7" x14ac:dyDescent="0.25">
      <c r="A22614" s="56"/>
      <c r="B22614" s="57"/>
      <c r="C22614" s="57"/>
      <c r="D22614" s="57"/>
      <c r="E22614" s="57"/>
      <c r="F22614" s="57"/>
      <c r="G22614" s="58"/>
    </row>
    <row r="22615" spans="1:7" x14ac:dyDescent="0.25">
      <c r="A22615" s="219" t="s">
        <v>57</v>
      </c>
      <c r="B22615" s="219"/>
      <c r="C22615" s="219"/>
      <c r="D22615" s="219"/>
      <c r="E22615" s="219"/>
      <c r="F22615" s="219"/>
      <c r="G22615" s="219"/>
    </row>
    <row r="22616" spans="1:7" x14ac:dyDescent="0.25">
      <c r="A22616" s="49" t="s">
        <v>35</v>
      </c>
      <c r="B22616" s="219" t="s">
        <v>36</v>
      </c>
      <c r="C22616" s="219"/>
      <c r="D22616" s="49" t="s">
        <v>37</v>
      </c>
      <c r="E22616" s="49" t="s">
        <v>38</v>
      </c>
      <c r="F22616" s="49" t="s">
        <v>39</v>
      </c>
      <c r="G22616" s="49" t="s">
        <v>40</v>
      </c>
    </row>
    <row r="22617" spans="1:7" x14ac:dyDescent="0.25">
      <c r="A22617" s="50" t="s">
        <v>326</v>
      </c>
      <c r="B22617" s="220" t="str">
        <f>VLOOKUP(A22617,'Componentes APUs'!$S$1:$V$10,2,0)</f>
        <v>Juego Llaves</v>
      </c>
      <c r="C22617" s="220"/>
      <c r="D22617" s="50" t="s">
        <v>18</v>
      </c>
      <c r="E22617" s="50">
        <v>1</v>
      </c>
      <c r="F22617" s="51">
        <f>VLOOKUP(A22617,'Componentes APUs'!$S$1:$V$10,4,0)</f>
        <v>9167</v>
      </c>
      <c r="G22617" s="51">
        <f>ROUNDUP(F22617*((E22617/21)/E22594),0)</f>
        <v>9</v>
      </c>
    </row>
    <row r="22618" spans="1:7" x14ac:dyDescent="0.25">
      <c r="A22618" s="50" t="s">
        <v>58</v>
      </c>
      <c r="B22618" s="220" t="str">
        <f>VLOOKUP(A22618,'Componentes APUs'!$S$1:$V$10,2,0)</f>
        <v>Manila de servicio</v>
      </c>
      <c r="C22618" s="220"/>
      <c r="D22618" s="50" t="s">
        <v>18</v>
      </c>
      <c r="E22618" s="50">
        <v>0</v>
      </c>
      <c r="F22618" s="51">
        <f>VLOOKUP(A22618,'Componentes APUs'!$S$1:$V$10,4,0)</f>
        <v>2333</v>
      </c>
      <c r="G22618" s="51">
        <f>ROUNDUP(F22618*((E22618/21)/E22594),0)</f>
        <v>0</v>
      </c>
    </row>
    <row r="22619" spans="1:7" x14ac:dyDescent="0.25">
      <c r="A22619" s="50" t="s">
        <v>327</v>
      </c>
      <c r="B22619" s="220" t="str">
        <f>VLOOKUP(A22619,'Componentes APUs'!$S$1:$V$10,2,0)</f>
        <v>Tula portaherramientas</v>
      </c>
      <c r="C22619" s="220"/>
      <c r="D22619" s="50" t="s">
        <v>18</v>
      </c>
      <c r="E22619" s="50">
        <v>1</v>
      </c>
      <c r="F22619" s="51">
        <f>VLOOKUP(A22619,'Componentes APUs'!$S$1:$V$10,4,0)</f>
        <v>1250</v>
      </c>
      <c r="G22619" s="51">
        <f>ROUNDUP(F22619*((E22619/21)/E22594),0)</f>
        <v>2</v>
      </c>
    </row>
    <row r="22620" spans="1:7" x14ac:dyDescent="0.25">
      <c r="A22620" s="50" t="s">
        <v>60</v>
      </c>
      <c r="B22620" s="220" t="str">
        <f>VLOOKUP(A22620,'Componentes APUs'!$S$1:$V$10,2,0)</f>
        <v>Agarradoras</v>
      </c>
      <c r="C22620" s="220"/>
      <c r="D22620" s="50" t="s">
        <v>18</v>
      </c>
      <c r="E22620" s="50">
        <v>0</v>
      </c>
      <c r="F22620" s="51">
        <f>VLOOKUP(A22620,'Componentes APUs'!$S$1:$V$10,4,0)</f>
        <v>125000</v>
      </c>
      <c r="G22620" s="51">
        <f>ROUNDUP(F22620*((E22620/21)/E22594),0)</f>
        <v>0</v>
      </c>
    </row>
    <row r="22621" spans="1:7" x14ac:dyDescent="0.25">
      <c r="A22621" s="50" t="s">
        <v>62</v>
      </c>
      <c r="B22621" s="220" t="str">
        <f>VLOOKUP(A22621,'Componentes APUs'!$S$1:$V$10,2,0)</f>
        <v>Templadoras</v>
      </c>
      <c r="C22621" s="220"/>
      <c r="D22621" s="50" t="s">
        <v>18</v>
      </c>
      <c r="E22621" s="50">
        <v>0</v>
      </c>
      <c r="F22621" s="51">
        <f>VLOOKUP(A22621,'Componentes APUs'!$S$1:$V$10,4,0)</f>
        <v>250000</v>
      </c>
      <c r="G22621" s="51">
        <f>ROUNDUP(F22621*((E22621/21)/E22594),0)</f>
        <v>0</v>
      </c>
    </row>
    <row r="22622" spans="1:7" ht="15" customHeight="1" x14ac:dyDescent="0.25">
      <c r="A22622" s="50" t="s">
        <v>328</v>
      </c>
      <c r="B22622" s="220" t="str">
        <f>VLOOKUP(A22622,'Componentes APUs'!$S$1:$V$10,2,0)</f>
        <v>Herramienta Menor</v>
      </c>
      <c r="C22622" s="220"/>
      <c r="D22622" s="50" t="s">
        <v>18</v>
      </c>
      <c r="E22622" s="50">
        <v>1</v>
      </c>
      <c r="F22622" s="51">
        <f>VLOOKUP(A22622,'Componentes APUs'!$S$1:$V$10,4,0)</f>
        <v>75758</v>
      </c>
      <c r="G22622" s="51">
        <f>ROUNDUP(F22622*((E22622/21)/E22594),0)</f>
        <v>73</v>
      </c>
    </row>
    <row r="22623" spans="1:7" ht="15" customHeight="1" x14ac:dyDescent="0.25">
      <c r="A22623" s="50" t="s">
        <v>1046</v>
      </c>
      <c r="B22623" s="220" t="str">
        <f>VLOOKUP(A22623,'Componentes APUs'!$S$1:$V$10,2,0)</f>
        <v>Molde Grafito Soldadura Exotérmica En X</v>
      </c>
      <c r="C22623" s="220"/>
      <c r="D22623" s="50" t="s">
        <v>18</v>
      </c>
      <c r="E22623" s="50">
        <v>0</v>
      </c>
      <c r="F22623" s="51">
        <f>VLOOKUP(A22623,'Componentes APUs'!$S$1:$V$10,4,0)</f>
        <v>239000</v>
      </c>
      <c r="G22623" s="51">
        <f>ROUNDUP(F22623*((E22623/21)/E22594),0)</f>
        <v>0</v>
      </c>
    </row>
    <row r="22624" spans="1:7" x14ac:dyDescent="0.25">
      <c r="A22624" s="219" t="s">
        <v>69</v>
      </c>
      <c r="B22624" s="219"/>
      <c r="C22624" s="219"/>
      <c r="D22624" s="219"/>
      <c r="E22624" s="219"/>
      <c r="F22624" s="219"/>
      <c r="G22624" s="52">
        <f>SUM(G22617:G22623)</f>
        <v>84</v>
      </c>
    </row>
    <row r="22625" spans="1:7" x14ac:dyDescent="0.25">
      <c r="A22625" s="56"/>
      <c r="B22625" s="57"/>
      <c r="C22625" s="57"/>
      <c r="D22625" s="57"/>
      <c r="E22625" s="57"/>
      <c r="F22625" s="57"/>
      <c r="G22625" s="58"/>
    </row>
    <row r="22626" spans="1:7" x14ac:dyDescent="0.25">
      <c r="A22626" s="219" t="s">
        <v>70</v>
      </c>
      <c r="B22626" s="219"/>
      <c r="C22626" s="219"/>
      <c r="D22626" s="219"/>
      <c r="E22626" s="219"/>
      <c r="F22626" s="219"/>
      <c r="G22626" s="219"/>
    </row>
    <row r="22627" spans="1:7" x14ac:dyDescent="0.25">
      <c r="A22627" s="49" t="s">
        <v>35</v>
      </c>
      <c r="B22627" s="219" t="s">
        <v>36</v>
      </c>
      <c r="C22627" s="219"/>
      <c r="D22627" s="49" t="s">
        <v>37</v>
      </c>
      <c r="E22627" s="49" t="s">
        <v>38</v>
      </c>
      <c r="F22627" s="49" t="s">
        <v>39</v>
      </c>
      <c r="G22627" s="49" t="s">
        <v>40</v>
      </c>
    </row>
    <row r="22628" spans="1:7" x14ac:dyDescent="0.25">
      <c r="A22628" s="50" t="s">
        <v>71</v>
      </c>
      <c r="B22628" s="71" t="str">
        <f>VLOOKUP(A22628,'Componentes APUs'!$A$1:$D$14,2,0)</f>
        <v>Camisa indigo sin partes metalicas</v>
      </c>
      <c r="C22628" s="71"/>
      <c r="D22628" s="50" t="str">
        <f>VLOOKUP(A22628,'Componentes APUs'!$A$1:$D$14,3,0)</f>
        <v>U</v>
      </c>
      <c r="E22628" s="50">
        <f>SUM(C22607:C22612)</f>
        <v>2.75</v>
      </c>
      <c r="F22628" s="51">
        <f>VLOOKUP(A22628,'Componentes APUs'!$A$1:$D$14,4,0)</f>
        <v>8585.8585858585866</v>
      </c>
      <c r="G22628" s="51">
        <f>ROUNDUP(F22628*(E22628/21)/E22594,0)</f>
        <v>23</v>
      </c>
    </row>
    <row r="22629" spans="1:7" x14ac:dyDescent="0.25">
      <c r="A22629" s="69" t="s">
        <v>73</v>
      </c>
      <c r="B22629" s="72" t="str">
        <f>VLOOKUP(A22629,'Componentes APUs'!$A$1:$D$14,2,0)</f>
        <v>Bota de seguridad dielectrica</v>
      </c>
      <c r="C22629" s="73"/>
      <c r="D22629" s="70" t="str">
        <f>VLOOKUP(A22629,'Componentes APUs'!$A$1:$D$14,3,0)</f>
        <v>Par</v>
      </c>
      <c r="E22629" s="50">
        <f>SUM(C22607:C22612)</f>
        <v>2.75</v>
      </c>
      <c r="F22629" s="51">
        <f>VLOOKUP(A22629,'Componentes APUs'!$A$1:$D$14,4,0)</f>
        <v>7500</v>
      </c>
      <c r="G22629" s="51">
        <f>ROUNDUP(F22629*(E22629/21)/E22594,0)</f>
        <v>20</v>
      </c>
    </row>
    <row r="22630" spans="1:7" x14ac:dyDescent="0.25">
      <c r="A22630" s="50" t="s">
        <v>76</v>
      </c>
      <c r="B22630" s="72" t="str">
        <f>VLOOKUP(A22630,'Componentes APUs'!$A$1:$D$14,2,0)</f>
        <v>Casco dielectrico Tipo 1 Clase E con barbuquejo</v>
      </c>
      <c r="C22630" s="73"/>
      <c r="D22630" s="50" t="str">
        <f>VLOOKUP(A22630,'Componentes APUs'!$A$1:$D$14,3,0)</f>
        <v>U</v>
      </c>
      <c r="E22630" s="50">
        <f>C22612+C22607+C22610+C22611+C22608+IF(A22609&lt;&gt;"MO-3",C22609,0)</f>
        <v>2.75</v>
      </c>
      <c r="F22630" s="51">
        <f>VLOOKUP(A22630,'Componentes APUs'!$A$1:$D$14,4,0)</f>
        <v>10101.010101010101</v>
      </c>
      <c r="G22630" s="51">
        <f>ROUNDUP(F22630*(E22630/21)/E22594,0)</f>
        <v>27</v>
      </c>
    </row>
    <row r="22631" spans="1:7" x14ac:dyDescent="0.25">
      <c r="A22631" s="69" t="s">
        <v>77</v>
      </c>
      <c r="B22631" s="72" t="str">
        <f>VLOOKUP(A22631,'Componentes APUs'!$A$1:$D$14,2,0)</f>
        <v>Correa plastica y antiflama</v>
      </c>
      <c r="C22631" s="73"/>
      <c r="D22631" s="50" t="str">
        <f>VLOOKUP(A22631,'Componentes APUs'!$A$1:$D$14,3,0)</f>
        <v>U</v>
      </c>
      <c r="E22631" s="50">
        <f>SUM(C22607:C22612)</f>
        <v>2.75</v>
      </c>
      <c r="F22631" s="51">
        <f>VLOOKUP(A22631,'Componentes APUs'!$A$1:$D$14,4,0)</f>
        <v>3787.878787878788</v>
      </c>
      <c r="G22631" s="51">
        <f>ROUNDUP(F22631*(E22631/21)/E22594,0)</f>
        <v>10</v>
      </c>
    </row>
    <row r="22632" spans="1:7" x14ac:dyDescent="0.25">
      <c r="A22632" s="50" t="s">
        <v>79</v>
      </c>
      <c r="B22632" s="72" t="str">
        <f>VLOOKUP(A22632,'Componentes APUs'!$A$1:$D$14,2,0)</f>
        <v>Gafas protectoras filtro UV</v>
      </c>
      <c r="C22632" s="73"/>
      <c r="D22632" s="50" t="str">
        <f>VLOOKUP(A22632,'Componentes APUs'!$A$1:$D$14,3,0)</f>
        <v>U</v>
      </c>
      <c r="E22632" s="50">
        <f>SUM(C22607:C22612)</f>
        <v>2.75</v>
      </c>
      <c r="F22632" s="51">
        <f>VLOOKUP(A22632,'Componentes APUs'!$A$1:$D$14,4,0)</f>
        <v>2777.7777777777778</v>
      </c>
      <c r="G22632" s="51">
        <f>ROUNDUP(F22632*(E22632/21)/E22594,0)</f>
        <v>8</v>
      </c>
    </row>
    <row r="22633" spans="1:7" x14ac:dyDescent="0.25">
      <c r="A22633" s="69" t="s">
        <v>402</v>
      </c>
      <c r="B22633" s="72" t="str">
        <f>VLOOKUP(A22633,'Componentes APUs'!$A$1:$D$14,2,0)</f>
        <v>Bota de seguridad PVC dielectrica</v>
      </c>
      <c r="C22633" s="73"/>
      <c r="D22633" s="50" t="str">
        <f>VLOOKUP(A22633,'Componentes APUs'!$A$1:$D$14,3,0)</f>
        <v>Par</v>
      </c>
      <c r="E22633" s="50">
        <f>SUM(C22607:C22612)</f>
        <v>2.75</v>
      </c>
      <c r="F22633" s="51">
        <f>VLOOKUP(A22633,'Componentes APUs'!$A$1:$D$14,4,0)</f>
        <v>2916.6666666666665</v>
      </c>
      <c r="G22633" s="51">
        <f>ROUNDUP(F22633*(E22633/21)/E22594,0)</f>
        <v>8</v>
      </c>
    </row>
    <row r="22634" spans="1:7" x14ac:dyDescent="0.25">
      <c r="A22634" s="50" t="s">
        <v>403</v>
      </c>
      <c r="B22634" s="72" t="str">
        <f>VLOOKUP(A22634,'Componentes APUs'!$A$1:$D$14,2,0)</f>
        <v>Capuchon</v>
      </c>
      <c r="C22634" s="73"/>
      <c r="D22634" s="50" t="str">
        <f>VLOOKUP(A22634,'Componentes APUs'!$A$1:$D$14,3,0)</f>
        <v>U</v>
      </c>
      <c r="E22634" s="50">
        <f>SUM(C22607:C22612)</f>
        <v>2.75</v>
      </c>
      <c r="F22634" s="51">
        <f>VLOOKUP(A22634,'Componentes APUs'!$A$1:$D$14,4,0)</f>
        <v>2525.2525252525252</v>
      </c>
      <c r="G22634" s="51">
        <f>ROUNDUP(F22634*(E22634/21)/E22594,0)</f>
        <v>7</v>
      </c>
    </row>
    <row r="22635" spans="1:7" x14ac:dyDescent="0.25">
      <c r="A22635" s="69" t="s">
        <v>81</v>
      </c>
      <c r="B22635" s="72" t="str">
        <f>VLOOKUP(A22635,'Componentes APUs'!$A$1:$D$14,2,0)</f>
        <v>Guantes Protectores  - ingeniero reforzados</v>
      </c>
      <c r="C22635" s="73"/>
      <c r="D22635" s="50" t="str">
        <f>VLOOKUP(A22635,'Componentes APUs'!$A$1:$D$14,3,0)</f>
        <v>Par</v>
      </c>
      <c r="E22635" s="50">
        <f>C22609+C22610+C22612</f>
        <v>2</v>
      </c>
      <c r="F22635" s="51">
        <f>VLOOKUP(A22635,'Componentes APUs'!$A$1:$D$14,4,0)</f>
        <v>2525.2525252525252</v>
      </c>
      <c r="G22635" s="51">
        <f>ROUNDUP(F22635*(E22635/21)/E22594,0)</f>
        <v>5</v>
      </c>
    </row>
    <row r="22636" spans="1:7" x14ac:dyDescent="0.25">
      <c r="A22636" s="50" t="s">
        <v>83</v>
      </c>
      <c r="B22636" s="72" t="str">
        <f>VLOOKUP(A22636,'Componentes APUs'!$A$1:$D$14,2,0)</f>
        <v>Impermeable (pantalon camisa)</v>
      </c>
      <c r="C22636" s="73"/>
      <c r="D22636" s="50" t="str">
        <f>VLOOKUP(A22636,'Componentes APUs'!$A$1:$D$14,3,0)</f>
        <v>U</v>
      </c>
      <c r="E22636" s="50">
        <f>SUM(C22607:C22612)</f>
        <v>2.75</v>
      </c>
      <c r="F22636" s="51">
        <f>VLOOKUP(A22636,'Componentes APUs'!$A$1:$D$14,4,0)</f>
        <v>3750</v>
      </c>
      <c r="G22636" s="51">
        <f>ROUNDUP(F22636*(E22636/21)/E22594,0)</f>
        <v>10</v>
      </c>
    </row>
    <row r="22637" spans="1:7" x14ac:dyDescent="0.25">
      <c r="A22637" s="69" t="s">
        <v>85</v>
      </c>
      <c r="B22637" s="72" t="str">
        <f>VLOOKUP(A22637,'Componentes APUs'!$A$1:$D$14,2,0)</f>
        <v>Jean Dielectrico</v>
      </c>
      <c r="C22637" s="73"/>
      <c r="D22637" s="50" t="str">
        <f>VLOOKUP(A22637,'Componentes APUs'!$A$1:$D$14,3,0)</f>
        <v>U</v>
      </c>
      <c r="E22637" s="50">
        <f>SUM(C22607:C22612)</f>
        <v>2.75</v>
      </c>
      <c r="F22637" s="51">
        <f>VLOOKUP(A22637,'Componentes APUs'!$A$1:$D$14,4,0)</f>
        <v>7575.757575757576</v>
      </c>
      <c r="G22637" s="51">
        <f>ROUNDUP(F22637*(E22637/21)/E22594,0)</f>
        <v>20</v>
      </c>
    </row>
    <row r="22638" spans="1:7" x14ac:dyDescent="0.25">
      <c r="A22638" s="50" t="s">
        <v>87</v>
      </c>
      <c r="B22638" s="72" t="str">
        <f>VLOOKUP(A22638,'Componentes APUs'!$A$1:$D$14,2,0)</f>
        <v>Casco dielectrico Tipo 2 Clase E con barboquejo</v>
      </c>
      <c r="C22638" s="73"/>
      <c r="D22638" s="50" t="str">
        <f>VLOOKUP(A22638,'Componentes APUs'!$A$1:$D$14,3,0)</f>
        <v>U</v>
      </c>
      <c r="E22638" s="53">
        <f>IF(A22609="MO-3",C22609,0)</f>
        <v>0</v>
      </c>
      <c r="F22638" s="51">
        <f>VLOOKUP(A22638,'Componentes APUs'!$A$1:$D$14,4,0)</f>
        <v>7500</v>
      </c>
      <c r="G22638" s="51">
        <f>ROUNDUP(F22638*(E22638/21)/E22594,0)</f>
        <v>0</v>
      </c>
    </row>
    <row r="22639" spans="1:7" x14ac:dyDescent="0.25">
      <c r="A22639" s="69" t="s">
        <v>89</v>
      </c>
      <c r="B22639" s="72" t="str">
        <f>VLOOKUP(A22639,'Componentes APUs'!$A$1:$D$14,2,0)</f>
        <v>Kit de rescate para trabajo en alturas</v>
      </c>
      <c r="C22639" s="73"/>
      <c r="D22639" s="50" t="str">
        <f>VLOOKUP(A22639,'Componentes APUs'!$A$1:$D$14,3,0)</f>
        <v>U</v>
      </c>
      <c r="E22639" s="50">
        <f>IF(AND(A22609="MO-3",C22609=2),1,0)</f>
        <v>0</v>
      </c>
      <c r="F22639" s="51">
        <f>VLOOKUP(A22639,'Componentes APUs'!$A$1:$D$14,4,0)</f>
        <v>37500</v>
      </c>
      <c r="G22639" s="51">
        <f>ROUNDUP(F22639*(E22639/21)/E22594,0)</f>
        <v>0</v>
      </c>
    </row>
    <row r="22640" spans="1:7" x14ac:dyDescent="0.25">
      <c r="A22640" s="50" t="s">
        <v>91</v>
      </c>
      <c r="B22640" s="72" t="str">
        <f>VLOOKUP(A22640,'Componentes APUs'!$A$1:$D$14,2,0)</f>
        <v>Equipo completo para trabajo en alturas con pretales (Arnes dielectrico, 1 mosqueton de seguridad, tie off dielectrico, eslinga de posicionamiento, juego de pretales)</v>
      </c>
      <c r="C22640" s="73"/>
      <c r="D22640" s="50" t="str">
        <f>VLOOKUP(A22640,'Componentes APUs'!$A$1:$D$14,3,0)</f>
        <v>U</v>
      </c>
      <c r="E22640" s="50">
        <f>IF(A22609="MO-3",C22609,0)</f>
        <v>0</v>
      </c>
      <c r="F22640" s="51">
        <f>VLOOKUP(A22640,'Componentes APUs'!$A$1:$D$14,4,0)</f>
        <v>26041.666666666668</v>
      </c>
      <c r="G22640" s="51">
        <f>ROUNDUP(F22640*(E22640/21)/E22594,0)</f>
        <v>0</v>
      </c>
    </row>
    <row r="22641" spans="1:7" x14ac:dyDescent="0.25">
      <c r="A22641" s="219" t="s">
        <v>95</v>
      </c>
      <c r="B22641" s="219"/>
      <c r="C22641" s="219"/>
      <c r="D22641" s="219"/>
      <c r="E22641" s="219"/>
      <c r="F22641" s="219"/>
      <c r="G22641" s="52">
        <f>SUM(G22628:G22640)</f>
        <v>138</v>
      </c>
    </row>
    <row r="22642" spans="1:7" x14ac:dyDescent="0.25">
      <c r="A22642" s="56"/>
      <c r="B22642" s="57"/>
      <c r="C22642" s="57"/>
      <c r="D22642" s="57"/>
      <c r="E22642" s="57"/>
      <c r="F22642" s="57"/>
      <c r="G22642" s="58"/>
    </row>
    <row r="22643" spans="1:7" x14ac:dyDescent="0.25">
      <c r="A22643" s="219" t="s">
        <v>96</v>
      </c>
      <c r="B22643" s="219"/>
      <c r="C22643" s="219"/>
      <c r="D22643" s="219"/>
      <c r="E22643" s="219"/>
      <c r="F22643" s="219"/>
      <c r="G22643" s="219"/>
    </row>
    <row r="22644" spans="1:7" x14ac:dyDescent="0.25">
      <c r="A22644" s="49" t="s">
        <v>35</v>
      </c>
      <c r="B22644" s="225" t="s">
        <v>36</v>
      </c>
      <c r="C22644" s="225"/>
      <c r="D22644" s="49" t="s">
        <v>37</v>
      </c>
      <c r="E22644" s="49" t="s">
        <v>38</v>
      </c>
      <c r="F22644" s="49" t="s">
        <v>39</v>
      </c>
      <c r="G22644" s="49" t="s">
        <v>40</v>
      </c>
    </row>
    <row r="22645" spans="1:7" x14ac:dyDescent="0.25">
      <c r="A22645" s="69" t="s">
        <v>97</v>
      </c>
      <c r="B22645" s="72" t="str">
        <f>VLOOKUP(A22645,'Componentes APUs'!$N$1:$Q$30,2,0)</f>
        <v>Camioneta</v>
      </c>
      <c r="C22645" s="73"/>
      <c r="D22645" s="70" t="str">
        <f>VLOOKUP(A22645,'Componentes APUs'!$N$1:$Q$30,3,0)</f>
        <v>U</v>
      </c>
      <c r="E22645" s="50">
        <v>1</v>
      </c>
      <c r="F22645" s="51">
        <f>VLOOKUP(A22645,'Componentes APUs'!$N$1:$Q$30,4,0)</f>
        <v>5500000</v>
      </c>
      <c r="G22645" s="51">
        <f>IFERROR(ROUNDUP(F22645*(E22645/21)/E22594,0),0)</f>
        <v>5239</v>
      </c>
    </row>
    <row r="22646" spans="1:7" x14ac:dyDescent="0.25">
      <c r="A22646" s="50" t="s">
        <v>321</v>
      </c>
      <c r="B22646" s="72" t="str">
        <f>VLOOKUP(A22646,'Componentes APUs'!$N$1:$Q$30,2,0)</f>
        <v>Grúa Hidráulica</v>
      </c>
      <c r="C22646" s="73"/>
      <c r="D22646" s="70" t="str">
        <f>VLOOKUP(A22646,'Componentes APUs'!$N$1:$Q$30,3,0)</f>
        <v>U</v>
      </c>
      <c r="E22646" s="50">
        <v>0</v>
      </c>
      <c r="F22646" s="51">
        <f>VLOOKUP(A22646,'Componentes APUs'!$N$1:$Q$30,4,0)</f>
        <v>21000000</v>
      </c>
      <c r="G22646" s="51">
        <f>IFERROR(ROUNDUP(F22646*(E22646/21)/E22594,0),0)</f>
        <v>0</v>
      </c>
    </row>
    <row r="22647" spans="1:7" x14ac:dyDescent="0.25">
      <c r="A22647" s="69" t="s">
        <v>322</v>
      </c>
      <c r="B22647" s="72" t="str">
        <f>VLOOKUP(A22647,'Componentes APUs'!$N$1:$Q$30,2,0)</f>
        <v>Camabaja</v>
      </c>
      <c r="C22647" s="73"/>
      <c r="D22647" s="70" t="str">
        <f>VLOOKUP(A22647,'Componentes APUs'!$N$1:$Q$30,3,0)</f>
        <v>TON/KM</v>
      </c>
      <c r="E22647" s="50">
        <v>0</v>
      </c>
      <c r="F22647" s="51">
        <f>VLOOKUP(A22647,'Componentes APUs'!$N$1:$Q$30,4,0)</f>
        <v>611</v>
      </c>
      <c r="G22647" s="51">
        <f>IFERROR(ROUNDUP(F22647*(E22647/21)/E22594,0),0)</f>
        <v>0</v>
      </c>
    </row>
    <row r="22648" spans="1:7" x14ac:dyDescent="0.25">
      <c r="A22648" s="50" t="s">
        <v>323</v>
      </c>
      <c r="B22648" s="72" t="str">
        <f>VLOOKUP(A22648,'Componentes APUs'!$N$1:$Q$30,2,0)</f>
        <v>Volqueta</v>
      </c>
      <c r="C22648" s="73"/>
      <c r="D22648" s="70" t="str">
        <f>VLOOKUP(A22648,'Componentes APUs'!$N$1:$Q$30,3,0)</f>
        <v>U</v>
      </c>
      <c r="E22648" s="50">
        <v>0</v>
      </c>
      <c r="F22648" s="51">
        <f>VLOOKUP(A22648,'Componentes APUs'!$N$1:$Q$30,4,0)</f>
        <v>14828184</v>
      </c>
      <c r="G22648" s="51">
        <f>IFERROR(ROUNDUP(F22648*(E22648/21)/E22594,0),0)</f>
        <v>0</v>
      </c>
    </row>
    <row r="22649" spans="1:7" x14ac:dyDescent="0.25">
      <c r="A22649" s="69" t="s">
        <v>324</v>
      </c>
      <c r="B22649" s="72" t="str">
        <f>VLOOKUP(A22649,'Componentes APUs'!$N$1:$Q$30,2,0)</f>
        <v>Retroexcavadora</v>
      </c>
      <c r="C22649" s="73"/>
      <c r="D22649" s="70" t="str">
        <f>VLOOKUP(A22649,'Componentes APUs'!$N$1:$Q$30,3,0)</f>
        <v>U</v>
      </c>
      <c r="E22649" s="50">
        <v>0</v>
      </c>
      <c r="F22649" s="51">
        <f>VLOOKUP(A22649,'Componentes APUs'!$N$1:$Q$30,4,0)</f>
        <v>46030656</v>
      </c>
      <c r="G22649" s="51">
        <f>IFERROR(ROUNDUP(F22649*(E22649/21)/E22594,0),0)</f>
        <v>0</v>
      </c>
    </row>
    <row r="22650" spans="1:7" x14ac:dyDescent="0.25">
      <c r="A22650" s="219" t="s">
        <v>99</v>
      </c>
      <c r="B22650" s="219"/>
      <c r="C22650" s="219"/>
      <c r="D22650" s="219"/>
      <c r="E22650" s="219"/>
      <c r="F22650" s="219"/>
      <c r="G22650" s="52">
        <f>SUM(G22645:G22649)</f>
        <v>5239</v>
      </c>
    </row>
    <row r="22651" spans="1:7" x14ac:dyDescent="0.25">
      <c r="A22651" s="56"/>
      <c r="B22651" s="57"/>
      <c r="C22651" s="57"/>
      <c r="D22651" s="57"/>
      <c r="E22651" s="57"/>
      <c r="F22651" s="57"/>
      <c r="G22651" s="58"/>
    </row>
    <row r="22652" spans="1:7" x14ac:dyDescent="0.25">
      <c r="A22652" s="219" t="s">
        <v>1516</v>
      </c>
      <c r="B22652" s="219"/>
      <c r="C22652" s="219"/>
      <c r="D22652" s="219"/>
      <c r="E22652" s="219"/>
      <c r="F22652" s="219"/>
      <c r="G22652" s="52">
        <f>G22650+G22641+G22624+G22613+G22603</f>
        <v>22859</v>
      </c>
    </row>
    <row r="22653" spans="1:7" x14ac:dyDescent="0.25">
      <c r="A22653" s="59"/>
      <c r="B22653" s="60"/>
      <c r="C22653" s="60"/>
      <c r="D22653" s="60"/>
      <c r="E22653" s="57"/>
      <c r="F22653" s="57"/>
      <c r="G22653" s="58"/>
    </row>
    <row r="22654" spans="1:7" x14ac:dyDescent="0.25">
      <c r="A22654" s="64"/>
      <c r="D22654" s="55"/>
      <c r="E22654" s="49" t="s">
        <v>25</v>
      </c>
      <c r="F22654" s="54">
        <v>0.15</v>
      </c>
      <c r="G22654" s="51">
        <f>G22652*F22654</f>
        <v>3428.85</v>
      </c>
    </row>
    <row r="22655" spans="1:7" x14ac:dyDescent="0.25">
      <c r="A22655" s="64"/>
      <c r="D22655" s="55"/>
      <c r="E22655" s="49" t="s">
        <v>26</v>
      </c>
      <c r="F22655" s="54">
        <v>0.05</v>
      </c>
      <c r="G22655" s="51">
        <f>G22652*F22655</f>
        <v>1142.95</v>
      </c>
    </row>
    <row r="22656" spans="1:7" x14ac:dyDescent="0.25">
      <c r="A22656" s="61"/>
      <c r="B22656" s="65"/>
      <c r="C22656" s="65"/>
      <c r="D22656" s="62"/>
      <c r="E22656" s="49" t="s">
        <v>27</v>
      </c>
      <c r="F22656" s="54">
        <v>0.05</v>
      </c>
      <c r="G22656" s="51">
        <f>G22652*F22656</f>
        <v>1142.95</v>
      </c>
    </row>
    <row r="22657" spans="1:7" x14ac:dyDescent="0.25">
      <c r="A22657" s="61"/>
      <c r="B22657" s="62"/>
      <c r="C22657" s="62"/>
      <c r="D22657" s="62"/>
      <c r="E22657" s="62"/>
      <c r="F22657" s="62"/>
      <c r="G22657" s="63"/>
    </row>
    <row r="22658" spans="1:7" x14ac:dyDescent="0.25">
      <c r="A22658" s="219" t="s">
        <v>1517</v>
      </c>
      <c r="B22658" s="219"/>
      <c r="C22658" s="219"/>
      <c r="D22658" s="219"/>
      <c r="E22658" s="219"/>
      <c r="F22658" s="219"/>
      <c r="G22658" s="52">
        <f>G22652+G22654+G22655+G22656</f>
        <v>28573.75</v>
      </c>
    </row>
    <row r="22659" spans="1:7" x14ac:dyDescent="0.25">
      <c r="A22659" s="59"/>
      <c r="B22659" s="60"/>
      <c r="C22659" s="60"/>
      <c r="D22659" s="60"/>
      <c r="E22659" s="57"/>
      <c r="F22659" s="57"/>
      <c r="G22659" s="58"/>
    </row>
    <row r="22660" spans="1:7" x14ac:dyDescent="0.25">
      <c r="A22660" s="64"/>
      <c r="D22660" s="55"/>
      <c r="E22660" s="49" t="s">
        <v>102</v>
      </c>
      <c r="F22660" s="49" t="s">
        <v>103</v>
      </c>
      <c r="G22660" s="51">
        <f>G22656*19%</f>
        <v>217.16050000000001</v>
      </c>
    </row>
    <row r="22661" spans="1:7" x14ac:dyDescent="0.25">
      <c r="A22661" s="61"/>
      <c r="B22661" s="62"/>
      <c r="C22661" s="62"/>
      <c r="D22661" s="62"/>
      <c r="E22661" s="57"/>
      <c r="F22661" s="57"/>
      <c r="G22661" s="58"/>
    </row>
    <row r="22662" spans="1:7" x14ac:dyDescent="0.25">
      <c r="A22662" s="219" t="s">
        <v>104</v>
      </c>
      <c r="B22662" s="219"/>
      <c r="C22662" s="219"/>
      <c r="D22662" s="219"/>
      <c r="E22662" s="219"/>
      <c r="F22662" s="219"/>
      <c r="G22662" s="52">
        <f>G22660+G22658</f>
        <v>28790.910500000002</v>
      </c>
    </row>
    <row r="22664" spans="1:7" x14ac:dyDescent="0.25">
      <c r="A22664" s="74" t="s">
        <v>29</v>
      </c>
      <c r="B22664" s="237" t="s">
        <v>30</v>
      </c>
      <c r="C22664" s="238"/>
      <c r="D22664" s="74" t="s">
        <v>31</v>
      </c>
      <c r="E22664" s="74" t="s">
        <v>32</v>
      </c>
      <c r="F22664" s="74" t="s">
        <v>189</v>
      </c>
      <c r="G22664" s="74" t="s">
        <v>33</v>
      </c>
    </row>
    <row r="22665" spans="1:7" ht="23.25" customHeight="1" x14ac:dyDescent="0.25">
      <c r="A22665" s="50" t="str">
        <f>Presupuesto!B432</f>
        <v>091_AUX</v>
      </c>
      <c r="B22665" s="220" t="str">
        <f>Presupuesto!C432</f>
        <v>BARRAJE EQUIPOTENCIAL CU ELECTROLÍTICO</v>
      </c>
      <c r="C22665" s="239"/>
      <c r="D22665" s="50" t="s">
        <v>8</v>
      </c>
      <c r="E22665" s="50">
        <v>12</v>
      </c>
      <c r="F22665" s="50"/>
      <c r="G22665" s="51">
        <f>G22733</f>
        <v>1036500.4870000001</v>
      </c>
    </row>
    <row r="22666" spans="1:7" x14ac:dyDescent="0.25">
      <c r="A22666" s="219" t="s">
        <v>34</v>
      </c>
      <c r="B22666" s="219"/>
      <c r="C22666" s="219"/>
      <c r="D22666" s="219"/>
      <c r="E22666" s="219"/>
      <c r="F22666" s="219"/>
      <c r="G22666" s="219"/>
    </row>
    <row r="22667" spans="1:7" x14ac:dyDescent="0.25">
      <c r="A22667" s="49" t="s">
        <v>35</v>
      </c>
      <c r="B22667" s="234" t="s">
        <v>36</v>
      </c>
      <c r="C22667" s="235"/>
      <c r="D22667" s="49" t="s">
        <v>37</v>
      </c>
      <c r="E22667" s="49" t="s">
        <v>38</v>
      </c>
      <c r="F22667" s="49" t="s">
        <v>39</v>
      </c>
      <c r="G22667" s="49" t="s">
        <v>40</v>
      </c>
    </row>
    <row r="22668" spans="1:7" ht="27.75" customHeight="1" x14ac:dyDescent="0.25">
      <c r="A22668" s="17" t="str">
        <f>Material!A168</f>
        <v>MA-167</v>
      </c>
      <c r="B22668" s="221" t="str">
        <f>IFERROR(VLOOKUP(A22668,Material!$A:$H,2,0),"-")</f>
        <v>BARRAJE EQUIPOTENCIAL CU ELECTROLÍTICO, INCLUYE AISLADORES Y ELEMENTOS DE SUJECIÓN</v>
      </c>
      <c r="C22668" s="222"/>
      <c r="D22668" s="50" t="str">
        <f>IFERROR(VLOOKUP(A22668,Material!$A:$H,4,0),"-")</f>
        <v>UN</v>
      </c>
      <c r="E22668" s="50">
        <v>1</v>
      </c>
      <c r="F22668" s="51">
        <f>IFERROR(VLOOKUP(A22668,Material!$A:$H,3,0),"-")</f>
        <v>704338.81517999992</v>
      </c>
      <c r="G22668" s="51">
        <f t="shared" ref="G22668:G22674" si="335">IFERROR(ROUNDUP(F22668*E22668,0),"-")</f>
        <v>704339</v>
      </c>
    </row>
    <row r="22669" spans="1:7" ht="24" customHeight="1" x14ac:dyDescent="0.25">
      <c r="A22669" s="17" t="str">
        <f>Material!A8</f>
        <v>MA-07</v>
      </c>
      <c r="B22669" s="221" t="str">
        <f>IFERROR(VLOOKUP(A22669,Material!$A:$H,2,0),"-")</f>
        <v>COLLARIN DE UNA SALIDA EN PLATINA DE HIERRO GALVANIZADO. DIAMETRO (14-16 IN) (35 - 40 CM)</v>
      </c>
      <c r="C22669" s="222"/>
      <c r="D22669" s="50" t="str">
        <f>IFERROR(VLOOKUP(A22669,Material!$A:$H,4,0),"-")</f>
        <v>UN</v>
      </c>
      <c r="E22669" s="50">
        <v>1</v>
      </c>
      <c r="F22669" s="51">
        <f>IFERROR(VLOOKUP(A22669,Material!$A:$H,3,0),"-")</f>
        <v>39000</v>
      </c>
      <c r="G22669" s="51">
        <f t="shared" si="335"/>
        <v>39000</v>
      </c>
    </row>
    <row r="22670" spans="1:7" x14ac:dyDescent="0.25">
      <c r="A22670" s="17" t="str">
        <f>Material!A195</f>
        <v>MA-194</v>
      </c>
      <c r="B22670" s="72" t="str">
        <f>IFERROR(VLOOKUP(A22670,Material!$A:$H,2,0),"-")</f>
        <v>CHAZO EXPANSIVO RL 3/8"</v>
      </c>
      <c r="C22670" s="76"/>
      <c r="D22670" s="50" t="str">
        <f>IFERROR(VLOOKUP(A22670,Material!$A:$H,4,0),"-")</f>
        <v>UN</v>
      </c>
      <c r="E22670" s="50">
        <v>2</v>
      </c>
      <c r="F22670" s="51">
        <f>IFERROR(VLOOKUP(A22670,Material!$A:$H,3,0),"-")</f>
        <v>455</v>
      </c>
      <c r="G22670" s="51">
        <f t="shared" si="335"/>
        <v>910</v>
      </c>
    </row>
    <row r="22671" spans="1:7" x14ac:dyDescent="0.25">
      <c r="A22671" s="17"/>
      <c r="B22671" s="72" t="str">
        <f>IFERROR(VLOOKUP(A22671,Material!$A:$H,2,0),"-")</f>
        <v>-</v>
      </c>
      <c r="C22671" s="76"/>
      <c r="D22671" s="50" t="str">
        <f>IFERROR(VLOOKUP(A22671,Material!$A:$H,4,0),"-")</f>
        <v>-</v>
      </c>
      <c r="E22671" s="50"/>
      <c r="F22671" s="51" t="str">
        <f>IFERROR(VLOOKUP(A22671,Material!$A:$H,3,0),"-")</f>
        <v>-</v>
      </c>
      <c r="G22671" s="51" t="str">
        <f t="shared" si="335"/>
        <v>-</v>
      </c>
    </row>
    <row r="22672" spans="1:7" x14ac:dyDescent="0.25">
      <c r="A22672" s="17"/>
      <c r="B22672" s="72" t="str">
        <f>IFERROR(VLOOKUP(A22672,Material!$A:$H,2,0),"-")</f>
        <v>-</v>
      </c>
      <c r="C22672" s="76"/>
      <c r="D22672" s="50" t="str">
        <f>IFERROR(VLOOKUP(A22672,Material!$A:$H,4,0),"-")</f>
        <v>-</v>
      </c>
      <c r="E22672" s="50"/>
      <c r="F22672" s="51" t="str">
        <f>IFERROR(VLOOKUP(A22672,Material!$A:$H,3,0),"-")</f>
        <v>-</v>
      </c>
      <c r="G22672" s="51" t="str">
        <f t="shared" si="335"/>
        <v>-</v>
      </c>
    </row>
    <row r="22673" spans="1:7" x14ac:dyDescent="0.25">
      <c r="A22673" s="17"/>
      <c r="B22673" s="72" t="str">
        <f>IFERROR(VLOOKUP(A22673,Material!$A:$H,2,0),"-")</f>
        <v>-</v>
      </c>
      <c r="C22673" s="76"/>
      <c r="D22673" s="50" t="str">
        <f>IFERROR(VLOOKUP(A22673,Material!$A:$H,4,0),"-")</f>
        <v>-</v>
      </c>
      <c r="E22673" s="50"/>
      <c r="F22673" s="51" t="str">
        <f>IFERROR(VLOOKUP(A22673,Material!$A:$H,3,0),"-")</f>
        <v>-</v>
      </c>
      <c r="G22673" s="51" t="str">
        <f t="shared" si="335"/>
        <v>-</v>
      </c>
    </row>
    <row r="22674" spans="1:7" x14ac:dyDescent="0.25">
      <c r="A22674" s="17"/>
      <c r="B22674" s="72" t="str">
        <f>IFERROR(VLOOKUP(A22674,Material!$A:$H,2,0),"-")</f>
        <v>-</v>
      </c>
      <c r="C22674" s="76"/>
      <c r="D22674" s="50" t="str">
        <f>IFERROR(VLOOKUP(A22674,Material!$A:$H,4,0),"-")</f>
        <v>-</v>
      </c>
      <c r="E22674" s="50"/>
      <c r="F22674" s="51" t="str">
        <f>IFERROR(VLOOKUP(A22674,Material!$A:$H,3,0),"-")</f>
        <v>-</v>
      </c>
      <c r="G22674" s="51" t="str">
        <f t="shared" si="335"/>
        <v>-</v>
      </c>
    </row>
    <row r="22675" spans="1:7" x14ac:dyDescent="0.25">
      <c r="A22675" s="234" t="s">
        <v>41</v>
      </c>
      <c r="B22675" s="236"/>
      <c r="C22675" s="236"/>
      <c r="D22675" s="236"/>
      <c r="E22675" s="236"/>
      <c r="F22675" s="235"/>
      <c r="G22675" s="52">
        <f>SUM(G22668:G22674)</f>
        <v>744249</v>
      </c>
    </row>
    <row r="22676" spans="1:7" x14ac:dyDescent="0.25">
      <c r="A22676" s="56"/>
      <c r="B22676" s="57"/>
      <c r="C22676" s="57"/>
      <c r="D22676" s="57"/>
      <c r="E22676" s="57"/>
      <c r="F22676" s="57"/>
      <c r="G22676" s="58"/>
    </row>
    <row r="22677" spans="1:7" x14ac:dyDescent="0.25">
      <c r="A22677" s="219" t="s">
        <v>42</v>
      </c>
      <c r="B22677" s="219"/>
      <c r="C22677" s="219"/>
      <c r="D22677" s="219"/>
      <c r="E22677" s="219"/>
      <c r="F22677" s="219"/>
      <c r="G22677" s="219"/>
    </row>
    <row r="22678" spans="1:7" x14ac:dyDescent="0.25">
      <c r="A22678" s="49" t="s">
        <v>35</v>
      </c>
      <c r="B22678" s="49" t="s">
        <v>36</v>
      </c>
      <c r="C22678" s="49" t="s">
        <v>38</v>
      </c>
      <c r="D22678" s="49" t="s">
        <v>43</v>
      </c>
      <c r="E22678" s="49" t="s">
        <v>44</v>
      </c>
      <c r="F22678" s="49" t="s">
        <v>45</v>
      </c>
      <c r="G22678" s="49" t="s">
        <v>40</v>
      </c>
    </row>
    <row r="22679" spans="1:7" x14ac:dyDescent="0.25">
      <c r="A22679" s="50" t="s">
        <v>319</v>
      </c>
      <c r="B22679" s="68" t="str">
        <f>VLOOKUP(A22679,'Componentes APUs'!$H$1:$L$25,2,0)</f>
        <v>Ingeniero Residente de Obra</v>
      </c>
      <c r="C22679" s="93">
        <v>0.25</v>
      </c>
      <c r="D22679" s="50">
        <f>VLOOKUP(A22679,'Componentes APUs'!$H$1:$L$25,3,0)</f>
        <v>4</v>
      </c>
      <c r="E22679" s="51">
        <f>VLOOKUP(A22679,'Componentes APUs'!$H$1:$L$25,4,0)</f>
        <v>271142.85714285716</v>
      </c>
      <c r="F22679" s="51">
        <f>VLOOKUP(A22679,'Componentes APUs'!$H$1:$L$25,5,0)</f>
        <v>162685.71428571429</v>
      </c>
      <c r="G22679" s="51">
        <f>ROUNDUP((E22679+F22679)*C22679/E22665,0)</f>
        <v>9039</v>
      </c>
    </row>
    <row r="22680" spans="1:7" x14ac:dyDescent="0.25">
      <c r="A22680" s="50" t="s">
        <v>320</v>
      </c>
      <c r="B22680" s="68" t="str">
        <f>VLOOKUP(A22680,'Componentes APUs'!$H$1:$L$25,2,0)</f>
        <v>Tecnico Supervisor</v>
      </c>
      <c r="C22680" s="93">
        <v>0.25</v>
      </c>
      <c r="D22680" s="50">
        <f>VLOOKUP(A22680,'Componentes APUs'!$H$1:$L$25,3,0)</f>
        <v>2.2999999999999998</v>
      </c>
      <c r="E22680" s="51">
        <f>VLOOKUP(A22680,'Componentes APUs'!$H$1:$L$25,4,0)</f>
        <v>155907.14285714284</v>
      </c>
      <c r="F22680" s="51">
        <f>VLOOKUP(A22680,'Componentes APUs'!$H$1:$L$25,5,0)</f>
        <v>93544.285714285696</v>
      </c>
      <c r="G22680" s="51">
        <f>ROUNDUP((E22680+F22680)*C22680/E22665,0)</f>
        <v>5197</v>
      </c>
    </row>
    <row r="22681" spans="1:7" x14ac:dyDescent="0.25">
      <c r="A22681" s="50" t="s">
        <v>1160</v>
      </c>
      <c r="B22681" s="68" t="str">
        <f>VLOOKUP(A22681,'Componentes APUs'!$H$1:$L$25,2,0)</f>
        <v>Oficial Eléctrico</v>
      </c>
      <c r="C22681" s="93">
        <v>1</v>
      </c>
      <c r="D22681" s="50">
        <f>VLOOKUP(A22681,'Componentes APUs'!$H$1:$L$25,3,0)</f>
        <v>2</v>
      </c>
      <c r="E22681" s="51">
        <f>VLOOKUP(A22681,'Componentes APUs'!$H$1:$L$25,4,0)</f>
        <v>154619.04761904763</v>
      </c>
      <c r="F22681" s="51">
        <f>VLOOKUP(A22681,'Componentes APUs'!$H$1:$L$25,5,0)</f>
        <v>92771.42857142858</v>
      </c>
      <c r="G22681" s="51">
        <f>ROUNDUP((E22681+F22681)*C22681/E22665,0)</f>
        <v>20616</v>
      </c>
    </row>
    <row r="22682" spans="1:7" x14ac:dyDescent="0.25">
      <c r="A22682" s="50" t="s">
        <v>48</v>
      </c>
      <c r="B22682" s="68" t="str">
        <f>VLOOKUP(A22682,'Componentes APUs'!$H$1:$L$25,2,0)</f>
        <v>Ayudante Calificado</v>
      </c>
      <c r="C22682" s="93">
        <v>1</v>
      </c>
      <c r="D22682" s="50">
        <f>VLOOKUP(A22682,'Componentes APUs'!$H$1:$L$25,3,0)</f>
        <v>1.5</v>
      </c>
      <c r="E22682" s="51">
        <f>VLOOKUP(A22682,'Componentes APUs'!$H$1:$L$25,4,0)</f>
        <v>115964.28571428571</v>
      </c>
      <c r="F22682" s="51">
        <f>VLOOKUP(A22682,'Componentes APUs'!$H$1:$L$25,5,0)</f>
        <v>69578.57142857142</v>
      </c>
      <c r="G22682" s="51">
        <f>ROUNDUP((E22682+F22682)*C22682/E22665,0)</f>
        <v>15462</v>
      </c>
    </row>
    <row r="22683" spans="1:7" x14ac:dyDescent="0.25">
      <c r="A22683" s="50" t="s">
        <v>50</v>
      </c>
      <c r="B22683" s="68" t="str">
        <f>VLOOKUP(A22683,'Componentes APUs'!$H$1:$L$25,2,0)</f>
        <v>Profesional en SST</v>
      </c>
      <c r="C22683" s="93">
        <v>0.25</v>
      </c>
      <c r="D22683" s="50">
        <f>VLOOKUP(A22683,'Componentes APUs'!$H$1:$L$25,3,0)</f>
        <v>2.5</v>
      </c>
      <c r="E22683" s="51">
        <f>VLOOKUP(A22683,'Componentes APUs'!$H$1:$L$25,4,0)</f>
        <v>169464.28571428571</v>
      </c>
      <c r="F22683" s="51">
        <f>VLOOKUP(A22683,'Componentes APUs'!$H$1:$L$25,5,0)</f>
        <v>101678.57142857142</v>
      </c>
      <c r="G22683" s="51">
        <f>ROUNDUP((E22683+F22683)*C22683/E22665,0)</f>
        <v>5649</v>
      </c>
    </row>
    <row r="22684" spans="1:7" x14ac:dyDescent="0.25">
      <c r="A22684" s="50" t="s">
        <v>52</v>
      </c>
      <c r="B22684" s="68" t="str">
        <f>VLOOKUP(A22684,'Componentes APUs'!$H$1:$L$25,2,0)</f>
        <v>Ayudante No Calificado</v>
      </c>
      <c r="C22684" s="93">
        <v>0</v>
      </c>
      <c r="D22684" s="50">
        <f>VLOOKUP(A22684,'Componentes APUs'!$H$1:$L$25,3,0)</f>
        <v>1</v>
      </c>
      <c r="E22684" s="51">
        <f>VLOOKUP(A22684,'Componentes APUs'!$H$1:$L$25,4,0)</f>
        <v>77309.523809523816</v>
      </c>
      <c r="F22684" s="51">
        <f>VLOOKUP(A22684,'Componentes APUs'!$H$1:$L$25,5,0)</f>
        <v>46385.71428571429</v>
      </c>
      <c r="G22684" s="51">
        <f>ROUNDUP((E22684+F22684)*C22684/E22665,0)</f>
        <v>0</v>
      </c>
    </row>
    <row r="22685" spans="1:7" x14ac:dyDescent="0.25">
      <c r="A22685" s="219" t="s">
        <v>56</v>
      </c>
      <c r="B22685" s="219"/>
      <c r="C22685" s="219"/>
      <c r="D22685" s="219"/>
      <c r="E22685" s="219"/>
      <c r="F22685" s="219"/>
      <c r="G22685" s="52">
        <f>SUM(G22679:G22684)</f>
        <v>55963</v>
      </c>
    </row>
    <row r="22686" spans="1:7" x14ac:dyDescent="0.25">
      <c r="A22686" s="56"/>
      <c r="B22686" s="57"/>
      <c r="C22686" s="57"/>
      <c r="D22686" s="57"/>
      <c r="E22686" s="57"/>
      <c r="F22686" s="57"/>
      <c r="G22686" s="58"/>
    </row>
    <row r="22687" spans="1:7" x14ac:dyDescent="0.25">
      <c r="A22687" s="219" t="s">
        <v>57</v>
      </c>
      <c r="B22687" s="219"/>
      <c r="C22687" s="219"/>
      <c r="D22687" s="219"/>
      <c r="E22687" s="219"/>
      <c r="F22687" s="219"/>
      <c r="G22687" s="219"/>
    </row>
    <row r="22688" spans="1:7" x14ac:dyDescent="0.25">
      <c r="A22688" s="49" t="s">
        <v>35</v>
      </c>
      <c r="B22688" s="219" t="s">
        <v>36</v>
      </c>
      <c r="C22688" s="219"/>
      <c r="D22688" s="49" t="s">
        <v>37</v>
      </c>
      <c r="E22688" s="49" t="s">
        <v>38</v>
      </c>
      <c r="F22688" s="49" t="s">
        <v>39</v>
      </c>
      <c r="G22688" s="49" t="s">
        <v>40</v>
      </c>
    </row>
    <row r="22689" spans="1:7" x14ac:dyDescent="0.25">
      <c r="A22689" s="50" t="s">
        <v>326</v>
      </c>
      <c r="B22689" s="220" t="str">
        <f>VLOOKUP(A22689,'Componentes APUs'!$S$1:$V$10,2,0)</f>
        <v>Juego Llaves</v>
      </c>
      <c r="C22689" s="220"/>
      <c r="D22689" s="50" t="s">
        <v>18</v>
      </c>
      <c r="E22689" s="50">
        <v>1</v>
      </c>
      <c r="F22689" s="51">
        <f>VLOOKUP(A22689,'Componentes APUs'!$S$1:$V$10,4,0)</f>
        <v>9167</v>
      </c>
      <c r="G22689" s="51">
        <f>ROUNDUP(F22689*((E22689/21)/E22665),0)</f>
        <v>37</v>
      </c>
    </row>
    <row r="22690" spans="1:7" x14ac:dyDescent="0.25">
      <c r="A22690" s="50" t="s">
        <v>58</v>
      </c>
      <c r="B22690" s="220" t="str">
        <f>VLOOKUP(A22690,'Componentes APUs'!$S$1:$V$10,2,0)</f>
        <v>Manila de servicio</v>
      </c>
      <c r="C22690" s="220"/>
      <c r="D22690" s="50" t="s">
        <v>18</v>
      </c>
      <c r="E22690" s="50">
        <v>0</v>
      </c>
      <c r="F22690" s="51">
        <f>VLOOKUP(A22690,'Componentes APUs'!$S$1:$V$10,4,0)</f>
        <v>2333</v>
      </c>
      <c r="G22690" s="51">
        <f>ROUNDUP(F22690*((E22690/21)/E22665),0)</f>
        <v>0</v>
      </c>
    </row>
    <row r="22691" spans="1:7" x14ac:dyDescent="0.25">
      <c r="A22691" s="50" t="s">
        <v>327</v>
      </c>
      <c r="B22691" s="220" t="str">
        <f>VLOOKUP(A22691,'Componentes APUs'!$S$1:$V$10,2,0)</f>
        <v>Tula portaherramientas</v>
      </c>
      <c r="C22691" s="220"/>
      <c r="D22691" s="50" t="s">
        <v>18</v>
      </c>
      <c r="E22691" s="50">
        <v>1</v>
      </c>
      <c r="F22691" s="51">
        <f>VLOOKUP(A22691,'Componentes APUs'!$S$1:$V$10,4,0)</f>
        <v>1250</v>
      </c>
      <c r="G22691" s="51">
        <f>ROUNDUP(F22691*((E22691/21)/E22665),0)</f>
        <v>5</v>
      </c>
    </row>
    <row r="22692" spans="1:7" x14ac:dyDescent="0.25">
      <c r="A22692" s="50" t="s">
        <v>60</v>
      </c>
      <c r="B22692" s="220" t="str">
        <f>VLOOKUP(A22692,'Componentes APUs'!$S$1:$V$10,2,0)</f>
        <v>Agarradoras</v>
      </c>
      <c r="C22692" s="220"/>
      <c r="D22692" s="50" t="s">
        <v>18</v>
      </c>
      <c r="E22692" s="50">
        <v>0</v>
      </c>
      <c r="F22692" s="51">
        <f>VLOOKUP(A22692,'Componentes APUs'!$S$1:$V$10,4,0)</f>
        <v>125000</v>
      </c>
      <c r="G22692" s="51">
        <f>ROUNDUP(F22692*((E22692/21)/E22665),0)</f>
        <v>0</v>
      </c>
    </row>
    <row r="22693" spans="1:7" x14ac:dyDescent="0.25">
      <c r="A22693" s="50" t="s">
        <v>62</v>
      </c>
      <c r="B22693" s="220" t="str">
        <f>VLOOKUP(A22693,'Componentes APUs'!$S$1:$V$10,2,0)</f>
        <v>Templadoras</v>
      </c>
      <c r="C22693" s="220"/>
      <c r="D22693" s="50" t="s">
        <v>18</v>
      </c>
      <c r="E22693" s="50">
        <v>0</v>
      </c>
      <c r="F22693" s="51">
        <f>VLOOKUP(A22693,'Componentes APUs'!$S$1:$V$10,4,0)</f>
        <v>250000</v>
      </c>
      <c r="G22693" s="51">
        <f>ROUNDUP(F22693*((E22693/21)/E22665),0)</f>
        <v>0</v>
      </c>
    </row>
    <row r="22694" spans="1:7" x14ac:dyDescent="0.25">
      <c r="A22694" s="50" t="s">
        <v>328</v>
      </c>
      <c r="B22694" s="220" t="str">
        <f>VLOOKUP(A22694,'Componentes APUs'!$S$1:$V$10,2,0)</f>
        <v>Herramienta Menor</v>
      </c>
      <c r="C22694" s="220"/>
      <c r="D22694" s="50" t="s">
        <v>18</v>
      </c>
      <c r="E22694" s="50">
        <v>1</v>
      </c>
      <c r="F22694" s="51">
        <f>VLOOKUP(A22694,'Componentes APUs'!$S$1:$V$10,4,0)</f>
        <v>75758</v>
      </c>
      <c r="G22694" s="51">
        <f>ROUNDUP(F22694*((E22694/21)/E22665),0)</f>
        <v>301</v>
      </c>
    </row>
    <row r="22695" spans="1:7" x14ac:dyDescent="0.25">
      <c r="A22695" s="219" t="s">
        <v>69</v>
      </c>
      <c r="B22695" s="219"/>
      <c r="C22695" s="219"/>
      <c r="D22695" s="219"/>
      <c r="E22695" s="219"/>
      <c r="F22695" s="219"/>
      <c r="G22695" s="52">
        <f>SUM(G22689:G22694)</f>
        <v>343</v>
      </c>
    </row>
    <row r="22696" spans="1:7" x14ac:dyDescent="0.25">
      <c r="A22696" s="56"/>
      <c r="B22696" s="57"/>
      <c r="C22696" s="57"/>
      <c r="D22696" s="57"/>
      <c r="E22696" s="57"/>
      <c r="F22696" s="57"/>
      <c r="G22696" s="58"/>
    </row>
    <row r="22697" spans="1:7" x14ac:dyDescent="0.25">
      <c r="A22697" s="219" t="s">
        <v>70</v>
      </c>
      <c r="B22697" s="219"/>
      <c r="C22697" s="219"/>
      <c r="D22697" s="219"/>
      <c r="E22697" s="219"/>
      <c r="F22697" s="219"/>
      <c r="G22697" s="219"/>
    </row>
    <row r="22698" spans="1:7" x14ac:dyDescent="0.25">
      <c r="A22698" s="49" t="s">
        <v>35</v>
      </c>
      <c r="B22698" s="219" t="s">
        <v>36</v>
      </c>
      <c r="C22698" s="219"/>
      <c r="D22698" s="49" t="s">
        <v>37</v>
      </c>
      <c r="E22698" s="49" t="s">
        <v>38</v>
      </c>
      <c r="F22698" s="49" t="s">
        <v>39</v>
      </c>
      <c r="G22698" s="49" t="s">
        <v>40</v>
      </c>
    </row>
    <row r="22699" spans="1:7" x14ac:dyDescent="0.25">
      <c r="A22699" s="50" t="s">
        <v>71</v>
      </c>
      <c r="B22699" s="71" t="str">
        <f>VLOOKUP(A22699,'Componentes APUs'!$A$1:$D$14,2,0)</f>
        <v>Camisa indigo sin partes metalicas</v>
      </c>
      <c r="C22699" s="71"/>
      <c r="D22699" s="50" t="str">
        <f>VLOOKUP(A22699,'Componentes APUs'!$A$1:$D$14,3,0)</f>
        <v>U</v>
      </c>
      <c r="E22699" s="50">
        <f>SUM(C22679:C22684)</f>
        <v>2.75</v>
      </c>
      <c r="F22699" s="51">
        <f>VLOOKUP(A22699,'Componentes APUs'!$A$1:$D$14,4,0)</f>
        <v>8585.8585858585866</v>
      </c>
      <c r="G22699" s="51">
        <f>ROUNDUP(F22699*(E22699/21)/E22665,0)</f>
        <v>94</v>
      </c>
    </row>
    <row r="22700" spans="1:7" x14ac:dyDescent="0.25">
      <c r="A22700" s="69" t="s">
        <v>73</v>
      </c>
      <c r="B22700" s="72" t="str">
        <f>VLOOKUP(A22700,'Componentes APUs'!$A$1:$D$14,2,0)</f>
        <v>Bota de seguridad dielectrica</v>
      </c>
      <c r="C22700" s="73"/>
      <c r="D22700" s="70" t="str">
        <f>VLOOKUP(A22700,'Componentes APUs'!$A$1:$D$14,3,0)</f>
        <v>Par</v>
      </c>
      <c r="E22700" s="50">
        <f>SUM(C22679:C22684)</f>
        <v>2.75</v>
      </c>
      <c r="F22700" s="51">
        <f>VLOOKUP(A22700,'Componentes APUs'!$A$1:$D$14,4,0)</f>
        <v>7500</v>
      </c>
      <c r="G22700" s="51">
        <f>ROUNDUP(F22700*(E22700/21)/E22665,0)</f>
        <v>82</v>
      </c>
    </row>
    <row r="22701" spans="1:7" x14ac:dyDescent="0.25">
      <c r="A22701" s="50" t="s">
        <v>76</v>
      </c>
      <c r="B22701" s="72" t="str">
        <f>VLOOKUP(A22701,'Componentes APUs'!$A$1:$D$14,2,0)</f>
        <v>Casco dielectrico Tipo 1 Clase E con barbuquejo</v>
      </c>
      <c r="C22701" s="73"/>
      <c r="D22701" s="50" t="str">
        <f>VLOOKUP(A22701,'Componentes APUs'!$A$1:$D$14,3,0)</f>
        <v>U</v>
      </c>
      <c r="E22701" s="50">
        <f>C22684+C22679+C22682+C22683+C22680+IF(A22681&lt;&gt;"MO-3",C22681,0)</f>
        <v>2.75</v>
      </c>
      <c r="F22701" s="51">
        <f>VLOOKUP(A22701,'Componentes APUs'!$A$1:$D$14,4,0)</f>
        <v>10101.010101010101</v>
      </c>
      <c r="G22701" s="51">
        <f>ROUNDUP(F22701*(E22701/21)/E22665,0)</f>
        <v>111</v>
      </c>
    </row>
    <row r="22702" spans="1:7" x14ac:dyDescent="0.25">
      <c r="A22702" s="69" t="s">
        <v>77</v>
      </c>
      <c r="B22702" s="72" t="str">
        <f>VLOOKUP(A22702,'Componentes APUs'!$A$1:$D$14,2,0)</f>
        <v>Correa plastica y antiflama</v>
      </c>
      <c r="C22702" s="73"/>
      <c r="D22702" s="50" t="str">
        <f>VLOOKUP(A22702,'Componentes APUs'!$A$1:$D$14,3,0)</f>
        <v>U</v>
      </c>
      <c r="E22702" s="50">
        <f>SUM(C22679:C22684)</f>
        <v>2.75</v>
      </c>
      <c r="F22702" s="51">
        <f>VLOOKUP(A22702,'Componentes APUs'!$A$1:$D$14,4,0)</f>
        <v>3787.878787878788</v>
      </c>
      <c r="G22702" s="51">
        <f>ROUNDUP(F22702*(E22702/21)/E22665,0)</f>
        <v>42</v>
      </c>
    </row>
    <row r="22703" spans="1:7" x14ac:dyDescent="0.25">
      <c r="A22703" s="50" t="s">
        <v>79</v>
      </c>
      <c r="B22703" s="72" t="str">
        <f>VLOOKUP(A22703,'Componentes APUs'!$A$1:$D$14,2,0)</f>
        <v>Gafas protectoras filtro UV</v>
      </c>
      <c r="C22703" s="73"/>
      <c r="D22703" s="50" t="str">
        <f>VLOOKUP(A22703,'Componentes APUs'!$A$1:$D$14,3,0)</f>
        <v>U</v>
      </c>
      <c r="E22703" s="50">
        <f>SUM(C22679:C22684)</f>
        <v>2.75</v>
      </c>
      <c r="F22703" s="51">
        <f>VLOOKUP(A22703,'Componentes APUs'!$A$1:$D$14,4,0)</f>
        <v>2777.7777777777778</v>
      </c>
      <c r="G22703" s="51">
        <f>ROUNDUP(F22703*(E22703/21)/E22665,0)</f>
        <v>31</v>
      </c>
    </row>
    <row r="22704" spans="1:7" x14ac:dyDescent="0.25">
      <c r="A22704" s="69" t="s">
        <v>402</v>
      </c>
      <c r="B22704" s="72" t="str">
        <f>VLOOKUP(A22704,'Componentes APUs'!$A$1:$D$14,2,0)</f>
        <v>Bota de seguridad PVC dielectrica</v>
      </c>
      <c r="C22704" s="73"/>
      <c r="D22704" s="50" t="str">
        <f>VLOOKUP(A22704,'Componentes APUs'!$A$1:$D$14,3,0)</f>
        <v>Par</v>
      </c>
      <c r="E22704" s="50">
        <f>SUM(C22679:C22684)</f>
        <v>2.75</v>
      </c>
      <c r="F22704" s="51">
        <f>VLOOKUP(A22704,'Componentes APUs'!$A$1:$D$14,4,0)</f>
        <v>2916.6666666666665</v>
      </c>
      <c r="G22704" s="51">
        <f>ROUNDUP(F22704*(E22704/21)/E22665,0)</f>
        <v>32</v>
      </c>
    </row>
    <row r="22705" spans="1:7" x14ac:dyDescent="0.25">
      <c r="A22705" s="50" t="s">
        <v>403</v>
      </c>
      <c r="B22705" s="72" t="str">
        <f>VLOOKUP(A22705,'Componentes APUs'!$A$1:$D$14,2,0)</f>
        <v>Capuchon</v>
      </c>
      <c r="C22705" s="73"/>
      <c r="D22705" s="50" t="str">
        <f>VLOOKUP(A22705,'Componentes APUs'!$A$1:$D$14,3,0)</f>
        <v>U</v>
      </c>
      <c r="E22705" s="50">
        <f>SUM(C22679:C22684)</f>
        <v>2.75</v>
      </c>
      <c r="F22705" s="51">
        <f>VLOOKUP(A22705,'Componentes APUs'!$A$1:$D$14,4,0)</f>
        <v>2525.2525252525252</v>
      </c>
      <c r="G22705" s="51">
        <f>ROUNDUP(F22705*(E22705/21)/E22665,0)</f>
        <v>28</v>
      </c>
    </row>
    <row r="22706" spans="1:7" x14ac:dyDescent="0.25">
      <c r="A22706" s="69" t="s">
        <v>81</v>
      </c>
      <c r="B22706" s="72" t="str">
        <f>VLOOKUP(A22706,'Componentes APUs'!$A$1:$D$14,2,0)</f>
        <v>Guantes Protectores  - ingeniero reforzados</v>
      </c>
      <c r="C22706" s="73"/>
      <c r="D22706" s="50" t="str">
        <f>VLOOKUP(A22706,'Componentes APUs'!$A$1:$D$14,3,0)</f>
        <v>Par</v>
      </c>
      <c r="E22706" s="50">
        <f>C22681+C22682+C22684</f>
        <v>2</v>
      </c>
      <c r="F22706" s="51">
        <f>VLOOKUP(A22706,'Componentes APUs'!$A$1:$D$14,4,0)</f>
        <v>2525.2525252525252</v>
      </c>
      <c r="G22706" s="51">
        <f>ROUNDUP(F22706*(E22706/21)/E22665,0)</f>
        <v>21</v>
      </c>
    </row>
    <row r="22707" spans="1:7" x14ac:dyDescent="0.25">
      <c r="A22707" s="50" t="s">
        <v>83</v>
      </c>
      <c r="B22707" s="72" t="str">
        <f>VLOOKUP(A22707,'Componentes APUs'!$A$1:$D$14,2,0)</f>
        <v>Impermeable (pantalon camisa)</v>
      </c>
      <c r="C22707" s="73"/>
      <c r="D22707" s="50" t="str">
        <f>VLOOKUP(A22707,'Componentes APUs'!$A$1:$D$14,3,0)</f>
        <v>U</v>
      </c>
      <c r="E22707" s="50">
        <f>SUM(C22679:C22684)</f>
        <v>2.75</v>
      </c>
      <c r="F22707" s="51">
        <f>VLOOKUP(A22707,'Componentes APUs'!$A$1:$D$14,4,0)</f>
        <v>3750</v>
      </c>
      <c r="G22707" s="51">
        <f>ROUNDUP(F22707*(E22707/21)/E22665,0)</f>
        <v>41</v>
      </c>
    </row>
    <row r="22708" spans="1:7" x14ac:dyDescent="0.25">
      <c r="A22708" s="69" t="s">
        <v>85</v>
      </c>
      <c r="B22708" s="72" t="str">
        <f>VLOOKUP(A22708,'Componentes APUs'!$A$1:$D$14,2,0)</f>
        <v>Jean Dielectrico</v>
      </c>
      <c r="C22708" s="73"/>
      <c r="D22708" s="50" t="str">
        <f>VLOOKUP(A22708,'Componentes APUs'!$A$1:$D$14,3,0)</f>
        <v>U</v>
      </c>
      <c r="E22708" s="50">
        <f>SUM(C22679:C22684)</f>
        <v>2.75</v>
      </c>
      <c r="F22708" s="51">
        <f>VLOOKUP(A22708,'Componentes APUs'!$A$1:$D$14,4,0)</f>
        <v>7575.757575757576</v>
      </c>
      <c r="G22708" s="51">
        <f>ROUNDUP(F22708*(E22708/21)/E22665,0)</f>
        <v>83</v>
      </c>
    </row>
    <row r="22709" spans="1:7" x14ac:dyDescent="0.25">
      <c r="A22709" s="50" t="s">
        <v>87</v>
      </c>
      <c r="B22709" s="72" t="str">
        <f>VLOOKUP(A22709,'Componentes APUs'!$A$1:$D$14,2,0)</f>
        <v>Casco dielectrico Tipo 2 Clase E con barboquejo</v>
      </c>
      <c r="C22709" s="73"/>
      <c r="D22709" s="50" t="str">
        <f>VLOOKUP(A22709,'Componentes APUs'!$A$1:$D$14,3,0)</f>
        <v>U</v>
      </c>
      <c r="E22709" s="53">
        <f>IF(A22681="MO-3",C22681,0)</f>
        <v>0</v>
      </c>
      <c r="F22709" s="51">
        <f>VLOOKUP(A22709,'Componentes APUs'!$A$1:$D$14,4,0)</f>
        <v>7500</v>
      </c>
      <c r="G22709" s="51">
        <f>ROUNDUP(F22709*(E22709/21)/E22665,0)</f>
        <v>0</v>
      </c>
    </row>
    <row r="22710" spans="1:7" x14ac:dyDescent="0.25">
      <c r="A22710" s="69" t="s">
        <v>89</v>
      </c>
      <c r="B22710" s="72" t="str">
        <f>VLOOKUP(A22710,'Componentes APUs'!$A$1:$D$14,2,0)</f>
        <v>Kit de rescate para trabajo en alturas</v>
      </c>
      <c r="C22710" s="73"/>
      <c r="D22710" s="50" t="str">
        <f>VLOOKUP(A22710,'Componentes APUs'!$A$1:$D$14,3,0)</f>
        <v>U</v>
      </c>
      <c r="E22710" s="50">
        <f>IF(AND(A22681="MO-3",C22681=2),1,0)</f>
        <v>0</v>
      </c>
      <c r="F22710" s="51">
        <f>VLOOKUP(A22710,'Componentes APUs'!$A$1:$D$14,4,0)</f>
        <v>37500</v>
      </c>
      <c r="G22710" s="51">
        <f>ROUNDUP(F22710*(E22710/21)/E22665,0)</f>
        <v>0</v>
      </c>
    </row>
    <row r="22711" spans="1:7" x14ac:dyDescent="0.25">
      <c r="A22711" s="50" t="s">
        <v>91</v>
      </c>
      <c r="B22711" s="72" t="str">
        <f>VLOOKUP(A22711,'Componentes APUs'!$A$1:$D$14,2,0)</f>
        <v>Equipo completo para trabajo en alturas con pretales (Arnes dielectrico, 1 mosqueton de seguridad, tie off dielectrico, eslinga de posicionamiento, juego de pretales)</v>
      </c>
      <c r="C22711" s="73"/>
      <c r="D22711" s="50" t="str">
        <f>VLOOKUP(A22711,'Componentes APUs'!$A$1:$D$14,3,0)</f>
        <v>U</v>
      </c>
      <c r="E22711" s="50">
        <f>IF(A22681="MO-3",C22681,0)</f>
        <v>0</v>
      </c>
      <c r="F22711" s="51">
        <f>VLOOKUP(A22711,'Componentes APUs'!$A$1:$D$14,4,0)</f>
        <v>26041.666666666668</v>
      </c>
      <c r="G22711" s="51">
        <f>ROUNDUP(F22711*(E22711/21)/E22665,0)</f>
        <v>0</v>
      </c>
    </row>
    <row r="22712" spans="1:7" x14ac:dyDescent="0.25">
      <c r="A22712" s="219" t="s">
        <v>95</v>
      </c>
      <c r="B22712" s="219"/>
      <c r="C22712" s="219"/>
      <c r="D22712" s="219"/>
      <c r="E22712" s="219"/>
      <c r="F22712" s="219"/>
      <c r="G22712" s="52">
        <f>SUM(G22699:G22711)</f>
        <v>565</v>
      </c>
    </row>
    <row r="22713" spans="1:7" x14ac:dyDescent="0.25">
      <c r="A22713" s="56"/>
      <c r="B22713" s="57"/>
      <c r="C22713" s="57"/>
      <c r="D22713" s="57"/>
      <c r="E22713" s="57"/>
      <c r="F22713" s="57"/>
      <c r="G22713" s="58"/>
    </row>
    <row r="22714" spans="1:7" x14ac:dyDescent="0.25">
      <c r="A22714" s="219" t="s">
        <v>96</v>
      </c>
      <c r="B22714" s="219"/>
      <c r="C22714" s="219"/>
      <c r="D22714" s="219"/>
      <c r="E22714" s="219"/>
      <c r="F22714" s="219"/>
      <c r="G22714" s="219"/>
    </row>
    <row r="22715" spans="1:7" x14ac:dyDescent="0.25">
      <c r="A22715" s="49" t="s">
        <v>35</v>
      </c>
      <c r="B22715" s="225" t="s">
        <v>36</v>
      </c>
      <c r="C22715" s="225"/>
      <c r="D22715" s="49" t="s">
        <v>37</v>
      </c>
      <c r="E22715" s="49" t="s">
        <v>38</v>
      </c>
      <c r="F22715" s="49" t="s">
        <v>39</v>
      </c>
      <c r="G22715" s="49" t="s">
        <v>40</v>
      </c>
    </row>
    <row r="22716" spans="1:7" x14ac:dyDescent="0.25">
      <c r="A22716" s="69" t="s">
        <v>97</v>
      </c>
      <c r="B22716" s="72" t="str">
        <f>VLOOKUP(A22716,'Componentes APUs'!$N$1:$Q$30,2,0)</f>
        <v>Camioneta</v>
      </c>
      <c r="C22716" s="73"/>
      <c r="D22716" s="70" t="str">
        <f>VLOOKUP(A22716,'Componentes APUs'!$N$1:$Q$30,3,0)</f>
        <v>U</v>
      </c>
      <c r="E22716" s="50">
        <v>1</v>
      </c>
      <c r="F22716" s="51">
        <f>VLOOKUP(A22716,'Componentes APUs'!$N$1:$Q$30,4,0)</f>
        <v>5500000</v>
      </c>
      <c r="G22716" s="51">
        <f>IFERROR(ROUNDUP(F22716*(E22716/21)/E22665,0),0)</f>
        <v>21826</v>
      </c>
    </row>
    <row r="22717" spans="1:7" x14ac:dyDescent="0.25">
      <c r="A22717" s="50" t="s">
        <v>321</v>
      </c>
      <c r="B22717" s="72" t="str">
        <f>VLOOKUP(A22717,'Componentes APUs'!$N$1:$Q$30,2,0)</f>
        <v>Grúa Hidráulica</v>
      </c>
      <c r="C22717" s="73"/>
      <c r="D22717" s="70" t="str">
        <f>VLOOKUP(A22717,'Componentes APUs'!$N$1:$Q$30,3,0)</f>
        <v>U</v>
      </c>
      <c r="E22717" s="50">
        <v>0</v>
      </c>
      <c r="F22717" s="51">
        <f>VLOOKUP(A22717,'Componentes APUs'!$N$1:$Q$30,4,0)</f>
        <v>21000000</v>
      </c>
      <c r="G22717" s="51">
        <f>IFERROR(ROUNDUP(F22717*(E22717/21)/E22665,0),0)</f>
        <v>0</v>
      </c>
    </row>
    <row r="22718" spans="1:7" x14ac:dyDescent="0.25">
      <c r="A22718" s="69" t="s">
        <v>322</v>
      </c>
      <c r="B22718" s="72" t="str">
        <f>VLOOKUP(A22718,'Componentes APUs'!$N$1:$Q$30,2,0)</f>
        <v>Camabaja</v>
      </c>
      <c r="C22718" s="73"/>
      <c r="D22718" s="70" t="str">
        <f>VLOOKUP(A22718,'Componentes APUs'!$N$1:$Q$30,3,0)</f>
        <v>TON/KM</v>
      </c>
      <c r="E22718" s="50">
        <v>0</v>
      </c>
      <c r="F22718" s="51">
        <f>VLOOKUP(A22718,'Componentes APUs'!$N$1:$Q$30,4,0)</f>
        <v>611</v>
      </c>
      <c r="G22718" s="51">
        <f>IFERROR(ROUNDUP(F22718*(E22718/21)/E22665,0),0)</f>
        <v>0</v>
      </c>
    </row>
    <row r="22719" spans="1:7" x14ac:dyDescent="0.25">
      <c r="A22719" s="50" t="s">
        <v>323</v>
      </c>
      <c r="B22719" s="72" t="str">
        <f>VLOOKUP(A22719,'Componentes APUs'!$N$1:$Q$30,2,0)</f>
        <v>Volqueta</v>
      </c>
      <c r="C22719" s="73"/>
      <c r="D22719" s="70" t="str">
        <f>VLOOKUP(A22719,'Componentes APUs'!$N$1:$Q$30,3,0)</f>
        <v>U</v>
      </c>
      <c r="E22719" s="50">
        <v>0</v>
      </c>
      <c r="F22719" s="51">
        <f>VLOOKUP(A22719,'Componentes APUs'!$N$1:$Q$30,4,0)</f>
        <v>14828184</v>
      </c>
      <c r="G22719" s="51">
        <f>IFERROR(ROUNDUP(F22719*(E22719/21)/E22665,0),0)</f>
        <v>0</v>
      </c>
    </row>
    <row r="22720" spans="1:7" x14ac:dyDescent="0.25">
      <c r="A22720" s="69" t="s">
        <v>324</v>
      </c>
      <c r="B22720" s="72" t="str">
        <f>VLOOKUP(A22720,'Componentes APUs'!$N$1:$Q$30,2,0)</f>
        <v>Retroexcavadora</v>
      </c>
      <c r="C22720" s="73"/>
      <c r="D22720" s="70" t="str">
        <f>VLOOKUP(A22720,'Componentes APUs'!$N$1:$Q$30,3,0)</f>
        <v>U</v>
      </c>
      <c r="E22720" s="50">
        <v>0</v>
      </c>
      <c r="F22720" s="51">
        <f>VLOOKUP(A22720,'Componentes APUs'!$N$1:$Q$30,4,0)</f>
        <v>46030656</v>
      </c>
      <c r="G22720" s="51">
        <f>IFERROR(ROUNDUP(F22720*(E22720/21)/E22665,0),0)</f>
        <v>0</v>
      </c>
    </row>
    <row r="22721" spans="1:7" x14ac:dyDescent="0.25">
      <c r="A22721" s="219" t="s">
        <v>99</v>
      </c>
      <c r="B22721" s="219"/>
      <c r="C22721" s="219"/>
      <c r="D22721" s="219"/>
      <c r="E22721" s="219"/>
      <c r="F22721" s="219"/>
      <c r="G22721" s="52">
        <f>SUM(G22716:G22720)</f>
        <v>21826</v>
      </c>
    </row>
    <row r="22722" spans="1:7" x14ac:dyDescent="0.25">
      <c r="A22722" s="56"/>
      <c r="B22722" s="57"/>
      <c r="C22722" s="57"/>
      <c r="D22722" s="57"/>
      <c r="E22722" s="57"/>
      <c r="F22722" s="57"/>
      <c r="G22722" s="58"/>
    </row>
    <row r="22723" spans="1:7" x14ac:dyDescent="0.25">
      <c r="A22723" s="219" t="s">
        <v>1516</v>
      </c>
      <c r="B22723" s="219"/>
      <c r="C22723" s="219"/>
      <c r="D22723" s="219"/>
      <c r="E22723" s="219"/>
      <c r="F22723" s="219"/>
      <c r="G22723" s="52">
        <f>G22721+G22712+G22695+G22685+G22675</f>
        <v>822946</v>
      </c>
    </row>
    <row r="22724" spans="1:7" x14ac:dyDescent="0.25">
      <c r="A22724" s="59"/>
      <c r="B22724" s="60"/>
      <c r="C22724" s="60"/>
      <c r="D22724" s="60"/>
      <c r="E22724" s="57"/>
      <c r="F22724" s="57"/>
      <c r="G22724" s="58"/>
    </row>
    <row r="22725" spans="1:7" x14ac:dyDescent="0.25">
      <c r="A22725" s="64"/>
      <c r="D22725" s="55"/>
      <c r="E22725" s="49" t="s">
        <v>25</v>
      </c>
      <c r="F22725" s="54">
        <v>0.15</v>
      </c>
      <c r="G22725" s="51">
        <f>G22723*F22725</f>
        <v>123441.9</v>
      </c>
    </row>
    <row r="22726" spans="1:7" x14ac:dyDescent="0.25">
      <c r="A22726" s="64"/>
      <c r="D22726" s="55"/>
      <c r="E22726" s="49" t="s">
        <v>26</v>
      </c>
      <c r="F22726" s="54">
        <v>0.05</v>
      </c>
      <c r="G22726" s="51">
        <f>G22723*F22726</f>
        <v>41147.300000000003</v>
      </c>
    </row>
    <row r="22727" spans="1:7" x14ac:dyDescent="0.25">
      <c r="A22727" s="61"/>
      <c r="B22727" s="65"/>
      <c r="C22727" s="65"/>
      <c r="D22727" s="62"/>
      <c r="E22727" s="49" t="s">
        <v>27</v>
      </c>
      <c r="F22727" s="54">
        <v>0.05</v>
      </c>
      <c r="G22727" s="51">
        <f>G22723*F22727</f>
        <v>41147.300000000003</v>
      </c>
    </row>
    <row r="22728" spans="1:7" x14ac:dyDescent="0.25">
      <c r="A22728" s="61"/>
      <c r="B22728" s="62"/>
      <c r="C22728" s="62"/>
      <c r="D22728" s="62"/>
      <c r="E22728" s="62"/>
      <c r="F22728" s="62"/>
      <c r="G22728" s="63"/>
    </row>
    <row r="22729" spans="1:7" x14ac:dyDescent="0.25">
      <c r="A22729" s="219" t="s">
        <v>1517</v>
      </c>
      <c r="B22729" s="219"/>
      <c r="C22729" s="219"/>
      <c r="D22729" s="219"/>
      <c r="E22729" s="219"/>
      <c r="F22729" s="219"/>
      <c r="G22729" s="52">
        <f>G22723+G22725+G22726+G22727</f>
        <v>1028682.5000000001</v>
      </c>
    </row>
    <row r="22730" spans="1:7" x14ac:dyDescent="0.25">
      <c r="A22730" s="59"/>
      <c r="B22730" s="60"/>
      <c r="C22730" s="60"/>
      <c r="D22730" s="60"/>
      <c r="E22730" s="57"/>
      <c r="F22730" s="57"/>
      <c r="G22730" s="58"/>
    </row>
    <row r="22731" spans="1:7" x14ac:dyDescent="0.25">
      <c r="A22731" s="64"/>
      <c r="D22731" s="55"/>
      <c r="E22731" s="49" t="s">
        <v>102</v>
      </c>
      <c r="F22731" s="49" t="s">
        <v>103</v>
      </c>
      <c r="G22731" s="51">
        <f>G22727*19%</f>
        <v>7817.987000000001</v>
      </c>
    </row>
    <row r="22732" spans="1:7" x14ac:dyDescent="0.25">
      <c r="A22732" s="61"/>
      <c r="B22732" s="62"/>
      <c r="C22732" s="62"/>
      <c r="D22732" s="62"/>
      <c r="E22732" s="57"/>
      <c r="F22732" s="57"/>
      <c r="G22732" s="58"/>
    </row>
    <row r="22733" spans="1:7" x14ac:dyDescent="0.25">
      <c r="A22733" s="219" t="s">
        <v>104</v>
      </c>
      <c r="B22733" s="219"/>
      <c r="C22733" s="219"/>
      <c r="D22733" s="219"/>
      <c r="E22733" s="219"/>
      <c r="F22733" s="219"/>
      <c r="G22733" s="52">
        <f>G22731+G22729</f>
        <v>1036500.4870000001</v>
      </c>
    </row>
    <row r="22735" spans="1:7" x14ac:dyDescent="0.25">
      <c r="A22735" s="74" t="s">
        <v>29</v>
      </c>
      <c r="B22735" s="237" t="s">
        <v>30</v>
      </c>
      <c r="C22735" s="238"/>
      <c r="D22735" s="74" t="s">
        <v>31</v>
      </c>
      <c r="E22735" s="74" t="s">
        <v>32</v>
      </c>
      <c r="F22735" s="74" t="s">
        <v>189</v>
      </c>
      <c r="G22735" s="74" t="s">
        <v>33</v>
      </c>
    </row>
    <row r="22736" spans="1:7" ht="28.5" customHeight="1" x14ac:dyDescent="0.25">
      <c r="A22736" s="50" t="str">
        <f>Presupuesto!B433</f>
        <v>092_AUX</v>
      </c>
      <c r="B22736" s="220" t="str">
        <f>Presupuesto!C433</f>
        <v>CAJA DE INSPECCIÓN PARA PUESTA A TIERRA 0.30 X 0.30 M</v>
      </c>
      <c r="C22736" s="239"/>
      <c r="D22736" s="50" t="s">
        <v>8</v>
      </c>
      <c r="E22736" s="50">
        <v>6</v>
      </c>
      <c r="F22736" s="50"/>
      <c r="G22736" s="51">
        <f>G22805</f>
        <v>373507.24399999995</v>
      </c>
    </row>
    <row r="22737" spans="1:7" x14ac:dyDescent="0.25">
      <c r="A22737" s="219" t="s">
        <v>34</v>
      </c>
      <c r="B22737" s="219"/>
      <c r="C22737" s="219"/>
      <c r="D22737" s="219"/>
      <c r="E22737" s="219"/>
      <c r="F22737" s="219"/>
      <c r="G22737" s="219"/>
    </row>
    <row r="22738" spans="1:7" x14ac:dyDescent="0.25">
      <c r="A22738" s="49" t="s">
        <v>35</v>
      </c>
      <c r="B22738" s="234" t="s">
        <v>36</v>
      </c>
      <c r="C22738" s="235"/>
      <c r="D22738" s="49" t="s">
        <v>37</v>
      </c>
      <c r="E22738" s="49" t="s">
        <v>38</v>
      </c>
      <c r="F22738" s="49" t="s">
        <v>39</v>
      </c>
      <c r="G22738" s="49" t="s">
        <v>40</v>
      </c>
    </row>
    <row r="22739" spans="1:7" ht="27" customHeight="1" x14ac:dyDescent="0.25">
      <c r="A22739" s="17" t="str">
        <f>Material!A340</f>
        <v>MA-339</v>
      </c>
      <c r="B22739" s="221" t="str">
        <f>IFERROR(VLOOKUP(A22739,Material!$A:$H,2,0),"-")</f>
        <v>CAJA CONCRETO PARA CAMARA DE INSPECCION PUESTA A TIERRA 30 X 30 CON TAPA</v>
      </c>
      <c r="C22739" s="222"/>
      <c r="D22739" s="50" t="str">
        <f>IFERROR(VLOOKUP(A22739,Material!$A:$H,4,0),"-")</f>
        <v>UN</v>
      </c>
      <c r="E22739" s="50">
        <v>1</v>
      </c>
      <c r="F22739" s="51">
        <f>IFERROR(VLOOKUP(A22739,Material!$A:$H,3,0),"-")</f>
        <v>139165</v>
      </c>
      <c r="G22739" s="51">
        <f>IFERROR(ROUNDUP(F22739*E22739,0),"-")</f>
        <v>139165</v>
      </c>
    </row>
    <row r="22740" spans="1:7" x14ac:dyDescent="0.25">
      <c r="A22740" s="17"/>
      <c r="B22740" s="72" t="str">
        <f>IFERROR(VLOOKUP(A22740,Material!$A:$H,2,0),"-")</f>
        <v>-</v>
      </c>
      <c r="C22740" s="76"/>
      <c r="D22740" s="50" t="str">
        <f>IFERROR(VLOOKUP(A22740,Material!$A:$H,4,0),"-")</f>
        <v>-</v>
      </c>
      <c r="E22740" s="50"/>
      <c r="F22740" s="51" t="str">
        <f>IFERROR(VLOOKUP(A22740,Material!$A:$H,3,0),"-")</f>
        <v>-</v>
      </c>
      <c r="G22740" s="51" t="str">
        <f>IFERROR(ROUNDUP(F22740*E22740,0),"-")</f>
        <v>-</v>
      </c>
    </row>
    <row r="22741" spans="1:7" x14ac:dyDescent="0.25">
      <c r="A22741" s="17"/>
      <c r="B22741" s="72" t="str">
        <f>IFERROR(VLOOKUP(A22741,Material!$A:$H,2,0),"-")</f>
        <v>-</v>
      </c>
      <c r="C22741" s="76"/>
      <c r="D22741" s="50" t="str">
        <f>IFERROR(VLOOKUP(A22741,Material!$A:$H,4,0),"-")</f>
        <v>-</v>
      </c>
      <c r="E22741" s="50"/>
      <c r="F22741" s="51" t="str">
        <f>IFERROR(VLOOKUP(A22741,Material!$A:$H,3,0),"-")</f>
        <v>-</v>
      </c>
      <c r="G22741" s="51" t="str">
        <f>IFERROR(ROUNDUP(F22741*E22741,0),"-")</f>
        <v>-</v>
      </c>
    </row>
    <row r="22742" spans="1:7" x14ac:dyDescent="0.25">
      <c r="A22742" s="17"/>
      <c r="B22742" s="72"/>
      <c r="C22742" s="76"/>
      <c r="D22742" s="50"/>
      <c r="E22742" s="50"/>
      <c r="F22742" s="51"/>
      <c r="G22742" s="51"/>
    </row>
    <row r="22743" spans="1:7" x14ac:dyDescent="0.25">
      <c r="A22743" s="17"/>
      <c r="B22743" s="72"/>
      <c r="C22743" s="76"/>
      <c r="D22743" s="50"/>
      <c r="E22743" s="50"/>
      <c r="F22743" s="51"/>
      <c r="G22743" s="51"/>
    </row>
    <row r="22744" spans="1:7" x14ac:dyDescent="0.25">
      <c r="A22744" s="17"/>
      <c r="B22744" s="72"/>
      <c r="C22744" s="76"/>
      <c r="D22744" s="50"/>
      <c r="E22744" s="50"/>
      <c r="F22744" s="51"/>
      <c r="G22744" s="51"/>
    </row>
    <row r="22745" spans="1:7" x14ac:dyDescent="0.25">
      <c r="A22745" s="17"/>
      <c r="B22745" s="72"/>
      <c r="C22745" s="76"/>
      <c r="D22745" s="50"/>
      <c r="E22745" s="50"/>
      <c r="F22745" s="51"/>
      <c r="G22745" s="51"/>
    </row>
    <row r="22746" spans="1:7" x14ac:dyDescent="0.25">
      <c r="A22746" s="234" t="s">
        <v>41</v>
      </c>
      <c r="B22746" s="236"/>
      <c r="C22746" s="236"/>
      <c r="D22746" s="236"/>
      <c r="E22746" s="236"/>
      <c r="F22746" s="235"/>
      <c r="G22746" s="52">
        <f>SUM(G22739:G22745)</f>
        <v>139165</v>
      </c>
    </row>
    <row r="22747" spans="1:7" x14ac:dyDescent="0.25">
      <c r="A22747" s="56"/>
      <c r="B22747" s="57"/>
      <c r="C22747" s="57"/>
      <c r="D22747" s="57"/>
      <c r="E22747" s="57"/>
      <c r="F22747" s="57"/>
      <c r="G22747" s="58"/>
    </row>
    <row r="22748" spans="1:7" x14ac:dyDescent="0.25">
      <c r="A22748" s="219" t="s">
        <v>42</v>
      </c>
      <c r="B22748" s="219"/>
      <c r="C22748" s="219"/>
      <c r="D22748" s="219"/>
      <c r="E22748" s="219"/>
      <c r="F22748" s="219"/>
      <c r="G22748" s="219"/>
    </row>
    <row r="22749" spans="1:7" x14ac:dyDescent="0.25">
      <c r="A22749" s="49" t="s">
        <v>35</v>
      </c>
      <c r="B22749" s="49" t="s">
        <v>36</v>
      </c>
      <c r="C22749" s="49" t="s">
        <v>38</v>
      </c>
      <c r="D22749" s="49" t="s">
        <v>43</v>
      </c>
      <c r="E22749" s="49" t="s">
        <v>44</v>
      </c>
      <c r="F22749" s="49" t="s">
        <v>45</v>
      </c>
      <c r="G22749" s="49" t="s">
        <v>40</v>
      </c>
    </row>
    <row r="22750" spans="1:7" x14ac:dyDescent="0.25">
      <c r="A22750" s="50" t="s">
        <v>319</v>
      </c>
      <c r="B22750" s="68" t="str">
        <f>VLOOKUP(A22750,'Componentes APUs'!$H$1:$L$25,2,0)</f>
        <v>Ingeniero Residente de Obra</v>
      </c>
      <c r="C22750" s="93">
        <v>0.25</v>
      </c>
      <c r="D22750" s="50">
        <f>VLOOKUP(A22750,'Componentes APUs'!$H$1:$L$25,3,0)</f>
        <v>4</v>
      </c>
      <c r="E22750" s="51">
        <f>VLOOKUP(A22750,'Componentes APUs'!$H$1:$L$25,4,0)</f>
        <v>271142.85714285716</v>
      </c>
      <c r="F22750" s="51">
        <f>VLOOKUP(A22750,'Componentes APUs'!$H$1:$L$25,5,0)</f>
        <v>162685.71428571429</v>
      </c>
      <c r="G22750" s="51">
        <f>ROUNDUP((E22750+F22750)*C22750/E22736,0)</f>
        <v>18077</v>
      </c>
    </row>
    <row r="22751" spans="1:7" x14ac:dyDescent="0.25">
      <c r="A22751" s="50" t="s">
        <v>320</v>
      </c>
      <c r="B22751" s="68" t="str">
        <f>VLOOKUP(A22751,'Componentes APUs'!$H$1:$L$25,2,0)</f>
        <v>Tecnico Supervisor</v>
      </c>
      <c r="C22751" s="93">
        <v>0.25</v>
      </c>
      <c r="D22751" s="50">
        <f>VLOOKUP(A22751,'Componentes APUs'!$H$1:$L$25,3,0)</f>
        <v>2.2999999999999998</v>
      </c>
      <c r="E22751" s="51">
        <f>VLOOKUP(A22751,'Componentes APUs'!$H$1:$L$25,4,0)</f>
        <v>155907.14285714284</v>
      </c>
      <c r="F22751" s="51">
        <f>VLOOKUP(A22751,'Componentes APUs'!$H$1:$L$25,5,0)</f>
        <v>93544.285714285696</v>
      </c>
      <c r="G22751" s="51">
        <f>ROUNDUP((E22751+F22751)*C22751/E22736,0)</f>
        <v>10394</v>
      </c>
    </row>
    <row r="22752" spans="1:7" x14ac:dyDescent="0.25">
      <c r="A22752" s="50" t="s">
        <v>1160</v>
      </c>
      <c r="B22752" s="68" t="str">
        <f>VLOOKUP(A22752,'Componentes APUs'!$H$1:$L$25,2,0)</f>
        <v>Oficial Eléctrico</v>
      </c>
      <c r="C22752" s="93">
        <v>1</v>
      </c>
      <c r="D22752" s="50">
        <f>VLOOKUP(A22752,'Componentes APUs'!$H$1:$L$25,3,0)</f>
        <v>2</v>
      </c>
      <c r="E22752" s="51">
        <f>VLOOKUP(A22752,'Componentes APUs'!$H$1:$L$25,4,0)</f>
        <v>154619.04761904763</v>
      </c>
      <c r="F22752" s="51">
        <f>VLOOKUP(A22752,'Componentes APUs'!$H$1:$L$25,5,0)</f>
        <v>92771.42857142858</v>
      </c>
      <c r="G22752" s="51">
        <f>ROUNDUP((E22752+F22752)*C22752/E22736,0)</f>
        <v>41232</v>
      </c>
    </row>
    <row r="22753" spans="1:7" x14ac:dyDescent="0.25">
      <c r="A22753" s="50" t="s">
        <v>48</v>
      </c>
      <c r="B22753" s="68" t="str">
        <f>VLOOKUP(A22753,'Componentes APUs'!$H$1:$L$25,2,0)</f>
        <v>Ayudante Calificado</v>
      </c>
      <c r="C22753" s="93">
        <v>1</v>
      </c>
      <c r="D22753" s="50">
        <f>VLOOKUP(A22753,'Componentes APUs'!$H$1:$L$25,3,0)</f>
        <v>1.5</v>
      </c>
      <c r="E22753" s="51">
        <f>VLOOKUP(A22753,'Componentes APUs'!$H$1:$L$25,4,0)</f>
        <v>115964.28571428571</v>
      </c>
      <c r="F22753" s="51">
        <f>VLOOKUP(A22753,'Componentes APUs'!$H$1:$L$25,5,0)</f>
        <v>69578.57142857142</v>
      </c>
      <c r="G22753" s="51">
        <f>ROUNDUP((E22753+F22753)*C22753/E22736,0)</f>
        <v>30924</v>
      </c>
    </row>
    <row r="22754" spans="1:7" x14ac:dyDescent="0.25">
      <c r="A22754" s="50" t="s">
        <v>50</v>
      </c>
      <c r="B22754" s="68" t="str">
        <f>VLOOKUP(A22754,'Componentes APUs'!$H$1:$L$25,2,0)</f>
        <v>Profesional en SST</v>
      </c>
      <c r="C22754" s="93">
        <v>0.25</v>
      </c>
      <c r="D22754" s="50">
        <f>VLOOKUP(A22754,'Componentes APUs'!$H$1:$L$25,3,0)</f>
        <v>2.5</v>
      </c>
      <c r="E22754" s="51">
        <f>VLOOKUP(A22754,'Componentes APUs'!$H$1:$L$25,4,0)</f>
        <v>169464.28571428571</v>
      </c>
      <c r="F22754" s="51">
        <f>VLOOKUP(A22754,'Componentes APUs'!$H$1:$L$25,5,0)</f>
        <v>101678.57142857142</v>
      </c>
      <c r="G22754" s="51">
        <f>ROUNDUP((E22754+F22754)*C22754/E22736,0)</f>
        <v>11298</v>
      </c>
    </row>
    <row r="22755" spans="1:7" x14ac:dyDescent="0.25">
      <c r="A22755" s="50" t="s">
        <v>52</v>
      </c>
      <c r="B22755" s="68" t="str">
        <f>VLOOKUP(A22755,'Componentes APUs'!$H$1:$L$25,2,0)</f>
        <v>Ayudante No Calificado</v>
      </c>
      <c r="C22755" s="93">
        <v>0</v>
      </c>
      <c r="D22755" s="50">
        <f>VLOOKUP(A22755,'Componentes APUs'!$H$1:$L$25,3,0)</f>
        <v>1</v>
      </c>
      <c r="E22755" s="51">
        <f>VLOOKUP(A22755,'Componentes APUs'!$H$1:$L$25,4,0)</f>
        <v>77309.523809523816</v>
      </c>
      <c r="F22755" s="51">
        <f>VLOOKUP(A22755,'Componentes APUs'!$H$1:$L$25,5,0)</f>
        <v>46385.71428571429</v>
      </c>
      <c r="G22755" s="51">
        <f>ROUNDUP((E22755+F22755)*C22755/E22736,0)</f>
        <v>0</v>
      </c>
    </row>
    <row r="22756" spans="1:7" x14ac:dyDescent="0.25">
      <c r="A22756" s="219" t="s">
        <v>56</v>
      </c>
      <c r="B22756" s="219"/>
      <c r="C22756" s="219"/>
      <c r="D22756" s="219"/>
      <c r="E22756" s="219"/>
      <c r="F22756" s="219"/>
      <c r="G22756" s="52">
        <f>SUM(G22750:G22755)</f>
        <v>111925</v>
      </c>
    </row>
    <row r="22757" spans="1:7" x14ac:dyDescent="0.25">
      <c r="A22757" s="56"/>
      <c r="B22757" s="57"/>
      <c r="C22757" s="57"/>
      <c r="D22757" s="57"/>
      <c r="E22757" s="57"/>
      <c r="F22757" s="57"/>
      <c r="G22757" s="58"/>
    </row>
    <row r="22758" spans="1:7" x14ac:dyDescent="0.25">
      <c r="A22758" s="219" t="s">
        <v>57</v>
      </c>
      <c r="B22758" s="219"/>
      <c r="C22758" s="219"/>
      <c r="D22758" s="219"/>
      <c r="E22758" s="219"/>
      <c r="F22758" s="219"/>
      <c r="G22758" s="219"/>
    </row>
    <row r="22759" spans="1:7" x14ac:dyDescent="0.25">
      <c r="A22759" s="49" t="s">
        <v>35</v>
      </c>
      <c r="B22759" s="219" t="s">
        <v>36</v>
      </c>
      <c r="C22759" s="219"/>
      <c r="D22759" s="49" t="s">
        <v>37</v>
      </c>
      <c r="E22759" s="49" t="s">
        <v>38</v>
      </c>
      <c r="F22759" s="49" t="s">
        <v>39</v>
      </c>
      <c r="G22759" s="49" t="s">
        <v>40</v>
      </c>
    </row>
    <row r="22760" spans="1:7" x14ac:dyDescent="0.25">
      <c r="A22760" s="50" t="s">
        <v>326</v>
      </c>
      <c r="B22760" s="220" t="str">
        <f>VLOOKUP(A22760,'Componentes APUs'!$S$1:$V$10,2,0)</f>
        <v>Juego Llaves</v>
      </c>
      <c r="C22760" s="220"/>
      <c r="D22760" s="50" t="s">
        <v>18</v>
      </c>
      <c r="E22760" s="50">
        <v>1</v>
      </c>
      <c r="F22760" s="51">
        <f>VLOOKUP(A22760,'Componentes APUs'!$S$1:$V$10,4,0)</f>
        <v>9167</v>
      </c>
      <c r="G22760" s="51">
        <f>ROUNDUP(F22760*((E22760/21)/E22736),0)</f>
        <v>73</v>
      </c>
    </row>
    <row r="22761" spans="1:7" x14ac:dyDescent="0.25">
      <c r="A22761" s="50" t="s">
        <v>58</v>
      </c>
      <c r="B22761" s="220" t="str">
        <f>VLOOKUP(A22761,'Componentes APUs'!$S$1:$V$10,2,0)</f>
        <v>Manila de servicio</v>
      </c>
      <c r="C22761" s="220"/>
      <c r="D22761" s="50" t="s">
        <v>18</v>
      </c>
      <c r="E22761" s="50">
        <v>0</v>
      </c>
      <c r="F22761" s="51">
        <f>VLOOKUP(A22761,'Componentes APUs'!$S$1:$V$10,4,0)</f>
        <v>2333</v>
      </c>
      <c r="G22761" s="51">
        <f>ROUNDUP(F22761*((E22761/21)/E22736),0)</f>
        <v>0</v>
      </c>
    </row>
    <row r="22762" spans="1:7" x14ac:dyDescent="0.25">
      <c r="A22762" s="50" t="s">
        <v>327</v>
      </c>
      <c r="B22762" s="220" t="str">
        <f>VLOOKUP(A22762,'Componentes APUs'!$S$1:$V$10,2,0)</f>
        <v>Tula portaherramientas</v>
      </c>
      <c r="C22762" s="220"/>
      <c r="D22762" s="50" t="s">
        <v>18</v>
      </c>
      <c r="E22762" s="50">
        <v>1</v>
      </c>
      <c r="F22762" s="51">
        <f>VLOOKUP(A22762,'Componentes APUs'!$S$1:$V$10,4,0)</f>
        <v>1250</v>
      </c>
      <c r="G22762" s="51">
        <f>ROUNDUP(F22762*((E22762/21)/E22736),0)</f>
        <v>10</v>
      </c>
    </row>
    <row r="22763" spans="1:7" x14ac:dyDescent="0.25">
      <c r="A22763" s="50" t="s">
        <v>60</v>
      </c>
      <c r="B22763" s="220" t="str">
        <f>VLOOKUP(A22763,'Componentes APUs'!$S$1:$V$10,2,0)</f>
        <v>Agarradoras</v>
      </c>
      <c r="C22763" s="220"/>
      <c r="D22763" s="50" t="s">
        <v>18</v>
      </c>
      <c r="E22763" s="50">
        <v>0</v>
      </c>
      <c r="F22763" s="51">
        <f>VLOOKUP(A22763,'Componentes APUs'!$S$1:$V$10,4,0)</f>
        <v>125000</v>
      </c>
      <c r="G22763" s="51">
        <f>ROUNDUP(F22763*((E22763/21)/E22736),0)</f>
        <v>0</v>
      </c>
    </row>
    <row r="22764" spans="1:7" x14ac:dyDescent="0.25">
      <c r="A22764" s="50" t="s">
        <v>62</v>
      </c>
      <c r="B22764" s="220" t="str">
        <f>VLOOKUP(A22764,'Componentes APUs'!$S$1:$V$10,2,0)</f>
        <v>Templadoras</v>
      </c>
      <c r="C22764" s="220"/>
      <c r="D22764" s="50" t="s">
        <v>18</v>
      </c>
      <c r="E22764" s="50">
        <v>0</v>
      </c>
      <c r="F22764" s="51">
        <f>VLOOKUP(A22764,'Componentes APUs'!$S$1:$V$10,4,0)</f>
        <v>250000</v>
      </c>
      <c r="G22764" s="51">
        <f>ROUNDUP(F22764*((E22764/21)/E22736),0)</f>
        <v>0</v>
      </c>
    </row>
    <row r="22765" spans="1:7" x14ac:dyDescent="0.25">
      <c r="A22765" s="50" t="s">
        <v>328</v>
      </c>
      <c r="B22765" s="220" t="str">
        <f>VLOOKUP(A22765,'Componentes APUs'!$S$1:$V$10,2,0)</f>
        <v>Herramienta Menor</v>
      </c>
      <c r="C22765" s="220"/>
      <c r="D22765" s="50" t="s">
        <v>18</v>
      </c>
      <c r="E22765" s="50">
        <v>1</v>
      </c>
      <c r="F22765" s="51">
        <f>VLOOKUP(A22765,'Componentes APUs'!$S$1:$V$10,4,0)</f>
        <v>75758</v>
      </c>
      <c r="G22765" s="51">
        <f>ROUNDUP(F22765*((E22765/21)/E22736),0)</f>
        <v>602</v>
      </c>
    </row>
    <row r="22766" spans="1:7" x14ac:dyDescent="0.25">
      <c r="A22766" s="50" t="s">
        <v>1046</v>
      </c>
      <c r="B22766" s="220" t="str">
        <f>VLOOKUP(A22766,'Componentes APUs'!$S$1:$V$10,2,0)</f>
        <v>Molde Grafito Soldadura Exotérmica En X</v>
      </c>
      <c r="C22766" s="220"/>
      <c r="D22766" s="50" t="s">
        <v>18</v>
      </c>
      <c r="E22766" s="50">
        <v>0</v>
      </c>
      <c r="F22766" s="51">
        <f>VLOOKUP(A22766,'Componentes APUs'!$S$1:$V$10,4,0)</f>
        <v>239000</v>
      </c>
      <c r="G22766" s="51">
        <f>ROUNDUP(F22766*((E22766/21)/E22736),0)</f>
        <v>0</v>
      </c>
    </row>
    <row r="22767" spans="1:7" x14ac:dyDescent="0.25">
      <c r="A22767" s="219" t="s">
        <v>69</v>
      </c>
      <c r="B22767" s="219"/>
      <c r="C22767" s="219"/>
      <c r="D22767" s="219"/>
      <c r="E22767" s="219"/>
      <c r="F22767" s="219"/>
      <c r="G22767" s="52">
        <f>SUM(G22760:G22765)</f>
        <v>685</v>
      </c>
    </row>
    <row r="22768" spans="1:7" x14ac:dyDescent="0.25">
      <c r="A22768" s="56"/>
      <c r="B22768" s="57"/>
      <c r="C22768" s="57"/>
      <c r="D22768" s="57"/>
      <c r="E22768" s="57"/>
      <c r="F22768" s="57"/>
      <c r="G22768" s="58"/>
    </row>
    <row r="22769" spans="1:7" x14ac:dyDescent="0.25">
      <c r="A22769" s="219" t="s">
        <v>70</v>
      </c>
      <c r="B22769" s="219"/>
      <c r="C22769" s="219"/>
      <c r="D22769" s="219"/>
      <c r="E22769" s="219"/>
      <c r="F22769" s="219"/>
      <c r="G22769" s="219"/>
    </row>
    <row r="22770" spans="1:7" x14ac:dyDescent="0.25">
      <c r="A22770" s="49" t="s">
        <v>35</v>
      </c>
      <c r="B22770" s="219" t="s">
        <v>36</v>
      </c>
      <c r="C22770" s="219"/>
      <c r="D22770" s="49" t="s">
        <v>37</v>
      </c>
      <c r="E22770" s="49" t="s">
        <v>38</v>
      </c>
      <c r="F22770" s="49" t="s">
        <v>39</v>
      </c>
      <c r="G22770" s="49" t="s">
        <v>40</v>
      </c>
    </row>
    <row r="22771" spans="1:7" x14ac:dyDescent="0.25">
      <c r="A22771" s="50" t="s">
        <v>71</v>
      </c>
      <c r="B22771" s="71" t="str">
        <f>VLOOKUP(A22771,'Componentes APUs'!$A$1:$D$14,2,0)</f>
        <v>Camisa indigo sin partes metalicas</v>
      </c>
      <c r="C22771" s="71"/>
      <c r="D22771" s="50" t="str">
        <f>VLOOKUP(A22771,'Componentes APUs'!$A$1:$D$14,3,0)</f>
        <v>U</v>
      </c>
      <c r="E22771" s="50">
        <f>SUM(C22750:C22755)</f>
        <v>2.75</v>
      </c>
      <c r="F22771" s="51">
        <f>VLOOKUP(A22771,'Componentes APUs'!$A$1:$D$14,4,0)</f>
        <v>8585.8585858585866</v>
      </c>
      <c r="G22771" s="51">
        <f>ROUNDUP(F22771*(E22771/21)/E22736,0)</f>
        <v>188</v>
      </c>
    </row>
    <row r="22772" spans="1:7" x14ac:dyDescent="0.25">
      <c r="A22772" s="69" t="s">
        <v>73</v>
      </c>
      <c r="B22772" s="72" t="str">
        <f>VLOOKUP(A22772,'Componentes APUs'!$A$1:$D$14,2,0)</f>
        <v>Bota de seguridad dielectrica</v>
      </c>
      <c r="C22772" s="73"/>
      <c r="D22772" s="70" t="str">
        <f>VLOOKUP(A22772,'Componentes APUs'!$A$1:$D$14,3,0)</f>
        <v>Par</v>
      </c>
      <c r="E22772" s="50">
        <f>SUM(C22750:C22755)</f>
        <v>2.75</v>
      </c>
      <c r="F22772" s="51">
        <f>VLOOKUP(A22772,'Componentes APUs'!$A$1:$D$14,4,0)</f>
        <v>7500</v>
      </c>
      <c r="G22772" s="51">
        <f>ROUNDUP(F22772*(E22772/21)/E22736,0)</f>
        <v>164</v>
      </c>
    </row>
    <row r="22773" spans="1:7" x14ac:dyDescent="0.25">
      <c r="A22773" s="50" t="s">
        <v>76</v>
      </c>
      <c r="B22773" s="72" t="str">
        <f>VLOOKUP(A22773,'Componentes APUs'!$A$1:$D$14,2,0)</f>
        <v>Casco dielectrico Tipo 1 Clase E con barbuquejo</v>
      </c>
      <c r="C22773" s="73"/>
      <c r="D22773" s="50" t="str">
        <f>VLOOKUP(A22773,'Componentes APUs'!$A$1:$D$14,3,0)</f>
        <v>U</v>
      </c>
      <c r="E22773" s="50">
        <f>C22755+C22750+C22753+C22754+C22751+IF(A22752&lt;&gt;"MO-3",C22752,0)</f>
        <v>2.75</v>
      </c>
      <c r="F22773" s="51">
        <f>VLOOKUP(A22773,'Componentes APUs'!$A$1:$D$14,4,0)</f>
        <v>10101.010101010101</v>
      </c>
      <c r="G22773" s="51">
        <f>ROUNDUP(F22773*(E22773/21)/E22736,0)</f>
        <v>221</v>
      </c>
    </row>
    <row r="22774" spans="1:7" x14ac:dyDescent="0.25">
      <c r="A22774" s="69" t="s">
        <v>77</v>
      </c>
      <c r="B22774" s="72" t="str">
        <f>VLOOKUP(A22774,'Componentes APUs'!$A$1:$D$14,2,0)</f>
        <v>Correa plastica y antiflama</v>
      </c>
      <c r="C22774" s="73"/>
      <c r="D22774" s="50" t="str">
        <f>VLOOKUP(A22774,'Componentes APUs'!$A$1:$D$14,3,0)</f>
        <v>U</v>
      </c>
      <c r="E22774" s="50">
        <f>SUM(C22750:C22755)</f>
        <v>2.75</v>
      </c>
      <c r="F22774" s="51">
        <f>VLOOKUP(A22774,'Componentes APUs'!$A$1:$D$14,4,0)</f>
        <v>3787.878787878788</v>
      </c>
      <c r="G22774" s="51">
        <f>ROUNDUP(F22774*(E22774/21)/E22736,0)</f>
        <v>83</v>
      </c>
    </row>
    <row r="22775" spans="1:7" x14ac:dyDescent="0.25">
      <c r="A22775" s="50" t="s">
        <v>79</v>
      </c>
      <c r="B22775" s="72" t="str">
        <f>VLOOKUP(A22775,'Componentes APUs'!$A$1:$D$14,2,0)</f>
        <v>Gafas protectoras filtro UV</v>
      </c>
      <c r="C22775" s="73"/>
      <c r="D22775" s="50" t="str">
        <f>VLOOKUP(A22775,'Componentes APUs'!$A$1:$D$14,3,0)</f>
        <v>U</v>
      </c>
      <c r="E22775" s="50">
        <f>SUM(C22750:C22755)</f>
        <v>2.75</v>
      </c>
      <c r="F22775" s="51">
        <f>VLOOKUP(A22775,'Componentes APUs'!$A$1:$D$14,4,0)</f>
        <v>2777.7777777777778</v>
      </c>
      <c r="G22775" s="51">
        <f>ROUNDUP(F22775*(E22775/21)/E22736,0)</f>
        <v>61</v>
      </c>
    </row>
    <row r="22776" spans="1:7" x14ac:dyDescent="0.25">
      <c r="A22776" s="69" t="s">
        <v>402</v>
      </c>
      <c r="B22776" s="72" t="str">
        <f>VLOOKUP(A22776,'Componentes APUs'!$A$1:$D$14,2,0)</f>
        <v>Bota de seguridad PVC dielectrica</v>
      </c>
      <c r="C22776" s="73"/>
      <c r="D22776" s="50" t="str">
        <f>VLOOKUP(A22776,'Componentes APUs'!$A$1:$D$14,3,0)</f>
        <v>Par</v>
      </c>
      <c r="E22776" s="50">
        <f>SUM(C22750:C22755)</f>
        <v>2.75</v>
      </c>
      <c r="F22776" s="51">
        <f>VLOOKUP(A22776,'Componentes APUs'!$A$1:$D$14,4,0)</f>
        <v>2916.6666666666665</v>
      </c>
      <c r="G22776" s="51">
        <f>ROUNDUP(F22776*(E22776/21)/E22736,0)</f>
        <v>64</v>
      </c>
    </row>
    <row r="22777" spans="1:7" x14ac:dyDescent="0.25">
      <c r="A22777" s="50" t="s">
        <v>403</v>
      </c>
      <c r="B22777" s="72" t="str">
        <f>VLOOKUP(A22777,'Componentes APUs'!$A$1:$D$14,2,0)</f>
        <v>Capuchon</v>
      </c>
      <c r="C22777" s="73"/>
      <c r="D22777" s="50" t="str">
        <f>VLOOKUP(A22777,'Componentes APUs'!$A$1:$D$14,3,0)</f>
        <v>U</v>
      </c>
      <c r="E22777" s="50">
        <f>SUM(C22750:C22755)</f>
        <v>2.75</v>
      </c>
      <c r="F22777" s="51">
        <f>VLOOKUP(A22777,'Componentes APUs'!$A$1:$D$14,4,0)</f>
        <v>2525.2525252525252</v>
      </c>
      <c r="G22777" s="51">
        <f>ROUNDUP(F22777*(E22777/21)/E22736,0)</f>
        <v>56</v>
      </c>
    </row>
    <row r="22778" spans="1:7" x14ac:dyDescent="0.25">
      <c r="A22778" s="69" t="s">
        <v>81</v>
      </c>
      <c r="B22778" s="72" t="str">
        <f>VLOOKUP(A22778,'Componentes APUs'!$A$1:$D$14,2,0)</f>
        <v>Guantes Protectores  - ingeniero reforzados</v>
      </c>
      <c r="C22778" s="73"/>
      <c r="D22778" s="50" t="str">
        <f>VLOOKUP(A22778,'Componentes APUs'!$A$1:$D$14,3,0)</f>
        <v>Par</v>
      </c>
      <c r="E22778" s="50">
        <f>C22752+C22753+C22755</f>
        <v>2</v>
      </c>
      <c r="F22778" s="51">
        <f>VLOOKUP(A22778,'Componentes APUs'!$A$1:$D$14,4,0)</f>
        <v>2525.2525252525252</v>
      </c>
      <c r="G22778" s="51">
        <f>ROUNDUP(F22778*(E22778/21)/E22736,0)</f>
        <v>41</v>
      </c>
    </row>
    <row r="22779" spans="1:7" x14ac:dyDescent="0.25">
      <c r="A22779" s="50" t="s">
        <v>83</v>
      </c>
      <c r="B22779" s="72" t="str">
        <f>VLOOKUP(A22779,'Componentes APUs'!$A$1:$D$14,2,0)</f>
        <v>Impermeable (pantalon camisa)</v>
      </c>
      <c r="C22779" s="73"/>
      <c r="D22779" s="50" t="str">
        <f>VLOOKUP(A22779,'Componentes APUs'!$A$1:$D$14,3,0)</f>
        <v>U</v>
      </c>
      <c r="E22779" s="50">
        <f>SUM(C22750:C22755)</f>
        <v>2.75</v>
      </c>
      <c r="F22779" s="51">
        <f>VLOOKUP(A22779,'Componentes APUs'!$A$1:$D$14,4,0)</f>
        <v>3750</v>
      </c>
      <c r="G22779" s="51">
        <f>ROUNDUP(F22779*(E22779/21)/E22736,0)</f>
        <v>82</v>
      </c>
    </row>
    <row r="22780" spans="1:7" x14ac:dyDescent="0.25">
      <c r="A22780" s="69" t="s">
        <v>85</v>
      </c>
      <c r="B22780" s="72" t="str">
        <f>VLOOKUP(A22780,'Componentes APUs'!$A$1:$D$14,2,0)</f>
        <v>Jean Dielectrico</v>
      </c>
      <c r="C22780" s="73"/>
      <c r="D22780" s="50" t="str">
        <f>VLOOKUP(A22780,'Componentes APUs'!$A$1:$D$14,3,0)</f>
        <v>U</v>
      </c>
      <c r="E22780" s="50">
        <f>SUM(C22750:C22755)</f>
        <v>2.75</v>
      </c>
      <c r="F22780" s="51">
        <f>VLOOKUP(A22780,'Componentes APUs'!$A$1:$D$14,4,0)</f>
        <v>7575.757575757576</v>
      </c>
      <c r="G22780" s="51">
        <f>ROUNDUP(F22780*(E22780/21)/E22736,0)</f>
        <v>166</v>
      </c>
    </row>
    <row r="22781" spans="1:7" x14ac:dyDescent="0.25">
      <c r="A22781" s="50" t="s">
        <v>87</v>
      </c>
      <c r="B22781" s="72" t="str">
        <f>VLOOKUP(A22781,'Componentes APUs'!$A$1:$D$14,2,0)</f>
        <v>Casco dielectrico Tipo 2 Clase E con barboquejo</v>
      </c>
      <c r="C22781" s="73"/>
      <c r="D22781" s="50" t="str">
        <f>VLOOKUP(A22781,'Componentes APUs'!$A$1:$D$14,3,0)</f>
        <v>U</v>
      </c>
      <c r="E22781" s="53">
        <f>IF(A22752="MO-3",C22752,0)</f>
        <v>0</v>
      </c>
      <c r="F22781" s="51">
        <f>VLOOKUP(A22781,'Componentes APUs'!$A$1:$D$14,4,0)</f>
        <v>7500</v>
      </c>
      <c r="G22781" s="51">
        <f>ROUNDUP(F22781*(E22781/21)/E22736,0)</f>
        <v>0</v>
      </c>
    </row>
    <row r="22782" spans="1:7" x14ac:dyDescent="0.25">
      <c r="A22782" s="69" t="s">
        <v>89</v>
      </c>
      <c r="B22782" s="72" t="str">
        <f>VLOOKUP(A22782,'Componentes APUs'!$A$1:$D$14,2,0)</f>
        <v>Kit de rescate para trabajo en alturas</v>
      </c>
      <c r="C22782" s="73"/>
      <c r="D22782" s="50" t="str">
        <f>VLOOKUP(A22782,'Componentes APUs'!$A$1:$D$14,3,0)</f>
        <v>U</v>
      </c>
      <c r="E22782" s="50">
        <f>IF(AND(A22752="MO-3",C22752=2),1,0)</f>
        <v>0</v>
      </c>
      <c r="F22782" s="51">
        <f>VLOOKUP(A22782,'Componentes APUs'!$A$1:$D$14,4,0)</f>
        <v>37500</v>
      </c>
      <c r="G22782" s="51">
        <f>ROUNDUP(F22782*(E22782/21)/E22736,0)</f>
        <v>0</v>
      </c>
    </row>
    <row r="22783" spans="1:7" x14ac:dyDescent="0.25">
      <c r="A22783" s="50" t="s">
        <v>91</v>
      </c>
      <c r="B22783" s="72" t="str">
        <f>VLOOKUP(A22783,'Componentes APUs'!$A$1:$D$14,2,0)</f>
        <v>Equipo completo para trabajo en alturas con pretales (Arnes dielectrico, 1 mosqueton de seguridad, tie off dielectrico, eslinga de posicionamiento, juego de pretales)</v>
      </c>
      <c r="C22783" s="73"/>
      <c r="D22783" s="50" t="str">
        <f>VLOOKUP(A22783,'Componentes APUs'!$A$1:$D$14,3,0)</f>
        <v>U</v>
      </c>
      <c r="E22783" s="50">
        <f>IF(A22752="MO-3",C22752,0)</f>
        <v>0</v>
      </c>
      <c r="F22783" s="51">
        <f>VLOOKUP(A22783,'Componentes APUs'!$A$1:$D$14,4,0)</f>
        <v>26041.666666666668</v>
      </c>
      <c r="G22783" s="51">
        <f>ROUNDUP(F22783*(E22783/21)/E22736,0)</f>
        <v>0</v>
      </c>
    </row>
    <row r="22784" spans="1:7" x14ac:dyDescent="0.25">
      <c r="A22784" s="219" t="s">
        <v>95</v>
      </c>
      <c r="B22784" s="219"/>
      <c r="C22784" s="219"/>
      <c r="D22784" s="219"/>
      <c r="E22784" s="219"/>
      <c r="F22784" s="219"/>
      <c r="G22784" s="52">
        <f>SUM(G22771:G22783)</f>
        <v>1126</v>
      </c>
    </row>
    <row r="22785" spans="1:7" x14ac:dyDescent="0.25">
      <c r="A22785" s="56"/>
      <c r="B22785" s="57"/>
      <c r="C22785" s="57"/>
      <c r="D22785" s="57"/>
      <c r="E22785" s="57"/>
      <c r="F22785" s="57"/>
      <c r="G22785" s="58"/>
    </row>
    <row r="22786" spans="1:7" x14ac:dyDescent="0.25">
      <c r="A22786" s="219" t="s">
        <v>96</v>
      </c>
      <c r="B22786" s="219"/>
      <c r="C22786" s="219"/>
      <c r="D22786" s="219"/>
      <c r="E22786" s="219"/>
      <c r="F22786" s="219"/>
      <c r="G22786" s="219"/>
    </row>
    <row r="22787" spans="1:7" x14ac:dyDescent="0.25">
      <c r="A22787" s="49" t="s">
        <v>35</v>
      </c>
      <c r="B22787" s="225" t="s">
        <v>36</v>
      </c>
      <c r="C22787" s="225"/>
      <c r="D22787" s="49" t="s">
        <v>37</v>
      </c>
      <c r="E22787" s="49" t="s">
        <v>38</v>
      </c>
      <c r="F22787" s="49" t="s">
        <v>39</v>
      </c>
      <c r="G22787" s="49" t="s">
        <v>40</v>
      </c>
    </row>
    <row r="22788" spans="1:7" x14ac:dyDescent="0.25">
      <c r="A22788" s="69" t="s">
        <v>97</v>
      </c>
      <c r="B22788" s="72" t="str">
        <f>VLOOKUP(A22788,'Componentes APUs'!$N$1:$Q$30,2,0)</f>
        <v>Camioneta</v>
      </c>
      <c r="C22788" s="73"/>
      <c r="D22788" s="70" t="str">
        <f>VLOOKUP(A22788,'Componentes APUs'!$N$1:$Q$30,3,0)</f>
        <v>U</v>
      </c>
      <c r="E22788" s="50">
        <v>1</v>
      </c>
      <c r="F22788" s="51">
        <f>VLOOKUP(A22788,'Componentes APUs'!$N$1:$Q$30,4,0)</f>
        <v>5500000</v>
      </c>
      <c r="G22788" s="51">
        <f>IFERROR(ROUNDUP(F22788*(E22788/21)/E22736,0),0)</f>
        <v>43651</v>
      </c>
    </row>
    <row r="22789" spans="1:7" x14ac:dyDescent="0.25">
      <c r="A22789" s="50" t="s">
        <v>321</v>
      </c>
      <c r="B22789" s="72" t="str">
        <f>VLOOKUP(A22789,'Componentes APUs'!$N$1:$Q$30,2,0)</f>
        <v>Grúa Hidráulica</v>
      </c>
      <c r="C22789" s="73"/>
      <c r="D22789" s="70" t="str">
        <f>VLOOKUP(A22789,'Componentes APUs'!$N$1:$Q$30,3,0)</f>
        <v>U</v>
      </c>
      <c r="E22789" s="50">
        <v>0</v>
      </c>
      <c r="F22789" s="51">
        <f>VLOOKUP(A22789,'Componentes APUs'!$N$1:$Q$30,4,0)</f>
        <v>21000000</v>
      </c>
      <c r="G22789" s="51">
        <f>IFERROR(ROUNDUP(F22789*(E22789/21)/E22736,0),0)</f>
        <v>0</v>
      </c>
    </row>
    <row r="22790" spans="1:7" x14ac:dyDescent="0.25">
      <c r="A22790" s="69" t="s">
        <v>322</v>
      </c>
      <c r="B22790" s="72" t="str">
        <f>VLOOKUP(A22790,'Componentes APUs'!$N$1:$Q$30,2,0)</f>
        <v>Camabaja</v>
      </c>
      <c r="C22790" s="73"/>
      <c r="D22790" s="70" t="str">
        <f>VLOOKUP(A22790,'Componentes APUs'!$N$1:$Q$30,3,0)</f>
        <v>TON/KM</v>
      </c>
      <c r="E22790" s="50">
        <v>0</v>
      </c>
      <c r="F22790" s="51">
        <f>VLOOKUP(A22790,'Componentes APUs'!$N$1:$Q$30,4,0)</f>
        <v>611</v>
      </c>
      <c r="G22790" s="51">
        <f>IFERROR(ROUNDUP(F22790*(E22790/21)/E22736,0),0)</f>
        <v>0</v>
      </c>
    </row>
    <row r="22791" spans="1:7" x14ac:dyDescent="0.25">
      <c r="A22791" s="50" t="s">
        <v>323</v>
      </c>
      <c r="B22791" s="72" t="str">
        <f>VLOOKUP(A22791,'Componentes APUs'!$N$1:$Q$30,2,0)</f>
        <v>Volqueta</v>
      </c>
      <c r="C22791" s="73"/>
      <c r="D22791" s="70" t="str">
        <f>VLOOKUP(A22791,'Componentes APUs'!$N$1:$Q$30,3,0)</f>
        <v>U</v>
      </c>
      <c r="E22791" s="50">
        <v>0</v>
      </c>
      <c r="F22791" s="51">
        <f>VLOOKUP(A22791,'Componentes APUs'!$N$1:$Q$30,4,0)</f>
        <v>14828184</v>
      </c>
      <c r="G22791" s="51">
        <f>IFERROR(ROUNDUP(F22791*(E22791/21)/E22736,0),0)</f>
        <v>0</v>
      </c>
    </row>
    <row r="22792" spans="1:7" x14ac:dyDescent="0.25">
      <c r="A22792" s="69" t="s">
        <v>324</v>
      </c>
      <c r="B22792" s="72" t="str">
        <f>VLOOKUP(A22792,'Componentes APUs'!$N$1:$Q$30,2,0)</f>
        <v>Retroexcavadora</v>
      </c>
      <c r="C22792" s="73"/>
      <c r="D22792" s="70" t="str">
        <f>VLOOKUP(A22792,'Componentes APUs'!$N$1:$Q$30,3,0)</f>
        <v>U</v>
      </c>
      <c r="E22792" s="50">
        <v>0</v>
      </c>
      <c r="F22792" s="51">
        <f>VLOOKUP(A22792,'Componentes APUs'!$N$1:$Q$30,4,0)</f>
        <v>46030656</v>
      </c>
      <c r="G22792" s="51">
        <f>IFERROR(ROUNDUP(F22792*(E22792/21)/E22736,0),0)</f>
        <v>0</v>
      </c>
    </row>
    <row r="22793" spans="1:7" x14ac:dyDescent="0.25">
      <c r="A22793" s="219" t="s">
        <v>99</v>
      </c>
      <c r="B22793" s="219"/>
      <c r="C22793" s="219"/>
      <c r="D22793" s="219"/>
      <c r="E22793" s="219"/>
      <c r="F22793" s="219"/>
      <c r="G22793" s="52">
        <f>SUM(G22788:G22792)</f>
        <v>43651</v>
      </c>
    </row>
    <row r="22794" spans="1:7" x14ac:dyDescent="0.25">
      <c r="A22794" s="56"/>
      <c r="B22794" s="57"/>
      <c r="C22794" s="57"/>
      <c r="D22794" s="57"/>
      <c r="E22794" s="57"/>
      <c r="F22794" s="57"/>
      <c r="G22794" s="58"/>
    </row>
    <row r="22795" spans="1:7" x14ac:dyDescent="0.25">
      <c r="A22795" s="219" t="s">
        <v>1516</v>
      </c>
      <c r="B22795" s="219"/>
      <c r="C22795" s="219"/>
      <c r="D22795" s="219"/>
      <c r="E22795" s="219"/>
      <c r="F22795" s="219"/>
      <c r="G22795" s="52">
        <f>G22793+G22784+G22767+G22756+G22746</f>
        <v>296552</v>
      </c>
    </row>
    <row r="22796" spans="1:7" x14ac:dyDescent="0.25">
      <c r="A22796" s="59"/>
      <c r="B22796" s="60"/>
      <c r="C22796" s="60"/>
      <c r="D22796" s="60"/>
      <c r="E22796" s="57"/>
      <c r="F22796" s="57"/>
      <c r="G22796" s="58"/>
    </row>
    <row r="22797" spans="1:7" x14ac:dyDescent="0.25">
      <c r="A22797" s="64"/>
      <c r="D22797" s="55"/>
      <c r="E22797" s="49" t="s">
        <v>25</v>
      </c>
      <c r="F22797" s="54">
        <v>0.15</v>
      </c>
      <c r="G22797" s="51">
        <f>G22795*F22797</f>
        <v>44482.799999999996</v>
      </c>
    </row>
    <row r="22798" spans="1:7" x14ac:dyDescent="0.25">
      <c r="A22798" s="64"/>
      <c r="D22798" s="55"/>
      <c r="E22798" s="49" t="s">
        <v>26</v>
      </c>
      <c r="F22798" s="54">
        <v>0.05</v>
      </c>
      <c r="G22798" s="51">
        <f>G22795*F22798</f>
        <v>14827.6</v>
      </c>
    </row>
    <row r="22799" spans="1:7" x14ac:dyDescent="0.25">
      <c r="A22799" s="61"/>
      <c r="B22799" s="65"/>
      <c r="C22799" s="65"/>
      <c r="D22799" s="62"/>
      <c r="E22799" s="49" t="s">
        <v>27</v>
      </c>
      <c r="F22799" s="54">
        <v>0.05</v>
      </c>
      <c r="G22799" s="51">
        <f>G22795*F22799</f>
        <v>14827.6</v>
      </c>
    </row>
    <row r="22800" spans="1:7" x14ac:dyDescent="0.25">
      <c r="A22800" s="61"/>
      <c r="B22800" s="62"/>
      <c r="C22800" s="62"/>
      <c r="D22800" s="62"/>
      <c r="E22800" s="62"/>
      <c r="F22800" s="62"/>
      <c r="G22800" s="63"/>
    </row>
    <row r="22801" spans="1:7" x14ac:dyDescent="0.25">
      <c r="A22801" s="219" t="s">
        <v>1517</v>
      </c>
      <c r="B22801" s="219"/>
      <c r="C22801" s="219"/>
      <c r="D22801" s="219"/>
      <c r="E22801" s="219"/>
      <c r="F22801" s="219"/>
      <c r="G22801" s="52">
        <f>G22795+G22797+G22798+G22799</f>
        <v>370689.99999999994</v>
      </c>
    </row>
    <row r="22802" spans="1:7" x14ac:dyDescent="0.25">
      <c r="A22802" s="59"/>
      <c r="B22802" s="60"/>
      <c r="C22802" s="60"/>
      <c r="D22802" s="60"/>
      <c r="E22802" s="57"/>
      <c r="F22802" s="57"/>
      <c r="G22802" s="58"/>
    </row>
    <row r="22803" spans="1:7" x14ac:dyDescent="0.25">
      <c r="A22803" s="64"/>
      <c r="D22803" s="55"/>
      <c r="E22803" s="49" t="s">
        <v>102</v>
      </c>
      <c r="F22803" s="49" t="s">
        <v>103</v>
      </c>
      <c r="G22803" s="51">
        <f>G22799*19%</f>
        <v>2817.2440000000001</v>
      </c>
    </row>
    <row r="22804" spans="1:7" x14ac:dyDescent="0.25">
      <c r="A22804" s="61"/>
      <c r="B22804" s="62"/>
      <c r="C22804" s="62"/>
      <c r="D22804" s="62"/>
      <c r="E22804" s="57"/>
      <c r="F22804" s="57"/>
      <c r="G22804" s="58"/>
    </row>
    <row r="22805" spans="1:7" x14ac:dyDescent="0.25">
      <c r="A22805" s="219" t="s">
        <v>104</v>
      </c>
      <c r="B22805" s="219"/>
      <c r="C22805" s="219"/>
      <c r="D22805" s="219"/>
      <c r="E22805" s="219"/>
      <c r="F22805" s="219"/>
      <c r="G22805" s="52">
        <f>G22803+G22801</f>
        <v>373507.24399999995</v>
      </c>
    </row>
    <row r="22807" spans="1:7" x14ac:dyDescent="0.25">
      <c r="A22807" s="74" t="s">
        <v>29</v>
      </c>
      <c r="B22807" s="237" t="s">
        <v>30</v>
      </c>
      <c r="C22807" s="238"/>
      <c r="D22807" s="74" t="s">
        <v>31</v>
      </c>
      <c r="E22807" s="74" t="s">
        <v>32</v>
      </c>
      <c r="F22807" s="74" t="s">
        <v>189</v>
      </c>
      <c r="G22807" s="74" t="s">
        <v>33</v>
      </c>
    </row>
    <row r="22808" spans="1:7" x14ac:dyDescent="0.25">
      <c r="A22808" s="50" t="str">
        <f>Presupuesto!B434</f>
        <v>093_AUX</v>
      </c>
      <c r="B22808" s="220" t="str">
        <f>Presupuesto!C434</f>
        <v>CONECTOR TERMINAL CU PARA CABLE 2/0 AWG</v>
      </c>
      <c r="C22808" s="239"/>
      <c r="D22808" s="50" t="s">
        <v>8</v>
      </c>
      <c r="E22808" s="50">
        <v>50</v>
      </c>
      <c r="F22808" s="50"/>
      <c r="G22808" s="51">
        <f>G22876</f>
        <v>26662.355500000001</v>
      </c>
    </row>
    <row r="22809" spans="1:7" x14ac:dyDescent="0.25">
      <c r="A22809" s="219" t="s">
        <v>34</v>
      </c>
      <c r="B22809" s="219"/>
      <c r="C22809" s="219"/>
      <c r="D22809" s="219"/>
      <c r="E22809" s="219"/>
      <c r="F22809" s="219"/>
      <c r="G22809" s="219"/>
    </row>
    <row r="22810" spans="1:7" x14ac:dyDescent="0.25">
      <c r="A22810" s="49" t="s">
        <v>35</v>
      </c>
      <c r="B22810" s="234" t="s">
        <v>36</v>
      </c>
      <c r="C22810" s="235"/>
      <c r="D22810" s="49" t="s">
        <v>37</v>
      </c>
      <c r="E22810" s="49" t="s">
        <v>38</v>
      </c>
      <c r="F22810" s="49" t="s">
        <v>39</v>
      </c>
      <c r="G22810" s="49" t="s">
        <v>40</v>
      </c>
    </row>
    <row r="22811" spans="1:7" x14ac:dyDescent="0.25">
      <c r="A22811" s="17" t="str">
        <f>Material!A448</f>
        <v>MA-447</v>
      </c>
      <c r="B22811" s="72" t="str">
        <f>IFERROR(VLOOKUP(A22811,Material!$A:$H,2,0),"-")</f>
        <v>TERMINAL CONECTOR CU 2/0 SPT</v>
      </c>
      <c r="C22811" s="76"/>
      <c r="D22811" s="50" t="str">
        <f>IFERROR(VLOOKUP(A22811,Material!$A:$H,4,0),"-")</f>
        <v>UN</v>
      </c>
      <c r="E22811" s="50">
        <v>1</v>
      </c>
      <c r="F22811" s="51">
        <f>IFERROR(VLOOKUP(A22811,Material!$A:$H,3,0),"-")</f>
        <v>2275</v>
      </c>
      <c r="G22811" s="51">
        <f>IFERROR(ROUNDUP(F22811*E22811,0),"-")</f>
        <v>2275</v>
      </c>
    </row>
    <row r="22812" spans="1:7" x14ac:dyDescent="0.25">
      <c r="A22812" s="17"/>
      <c r="B22812" s="72"/>
      <c r="C22812" s="76"/>
      <c r="D22812" s="50"/>
      <c r="E22812" s="50"/>
      <c r="F22812" s="51"/>
      <c r="G22812" s="51"/>
    </row>
    <row r="22813" spans="1:7" x14ac:dyDescent="0.25">
      <c r="A22813" s="17"/>
      <c r="B22813" s="72"/>
      <c r="C22813" s="76"/>
      <c r="D22813" s="50"/>
      <c r="E22813" s="50"/>
      <c r="F22813" s="51"/>
      <c r="G22813" s="51"/>
    </row>
    <row r="22814" spans="1:7" x14ac:dyDescent="0.25">
      <c r="A22814" s="17"/>
      <c r="B22814" s="72"/>
      <c r="C22814" s="76"/>
      <c r="D22814" s="50"/>
      <c r="E22814" s="50"/>
      <c r="F22814" s="51"/>
      <c r="G22814" s="51"/>
    </row>
    <row r="22815" spans="1:7" x14ac:dyDescent="0.25">
      <c r="A22815" s="17"/>
      <c r="B22815" s="72"/>
      <c r="C22815" s="76"/>
      <c r="D22815" s="50"/>
      <c r="E22815" s="50"/>
      <c r="F22815" s="51"/>
      <c r="G22815" s="51"/>
    </row>
    <row r="22816" spans="1:7" x14ac:dyDescent="0.25">
      <c r="A22816" s="17"/>
      <c r="B22816" s="72"/>
      <c r="C22816" s="76"/>
      <c r="D22816" s="50"/>
      <c r="E22816" s="50"/>
      <c r="F22816" s="51"/>
      <c r="G22816" s="51"/>
    </row>
    <row r="22817" spans="1:7" x14ac:dyDescent="0.25">
      <c r="A22817" s="234" t="s">
        <v>41</v>
      </c>
      <c r="B22817" s="236"/>
      <c r="C22817" s="236"/>
      <c r="D22817" s="236"/>
      <c r="E22817" s="236"/>
      <c r="F22817" s="235"/>
      <c r="G22817" s="52">
        <f>SUM(G22811:G22816)</f>
        <v>2275</v>
      </c>
    </row>
    <row r="22818" spans="1:7" x14ac:dyDescent="0.25">
      <c r="A22818" s="56"/>
      <c r="B22818" s="57"/>
      <c r="C22818" s="57"/>
      <c r="D22818" s="57"/>
      <c r="E22818" s="57"/>
      <c r="F22818" s="57"/>
      <c r="G22818" s="58"/>
    </row>
    <row r="22819" spans="1:7" x14ac:dyDescent="0.25">
      <c r="A22819" s="219" t="s">
        <v>42</v>
      </c>
      <c r="B22819" s="219"/>
      <c r="C22819" s="219"/>
      <c r="D22819" s="219"/>
      <c r="E22819" s="219"/>
      <c r="F22819" s="219"/>
      <c r="G22819" s="219"/>
    </row>
    <row r="22820" spans="1:7" x14ac:dyDescent="0.25">
      <c r="A22820" s="49" t="s">
        <v>35</v>
      </c>
      <c r="B22820" s="49" t="s">
        <v>36</v>
      </c>
      <c r="C22820" s="49" t="s">
        <v>38</v>
      </c>
      <c r="D22820" s="49" t="s">
        <v>43</v>
      </c>
      <c r="E22820" s="49" t="s">
        <v>44</v>
      </c>
      <c r="F22820" s="49" t="s">
        <v>45</v>
      </c>
      <c r="G22820" s="49" t="s">
        <v>40</v>
      </c>
    </row>
    <row r="22821" spans="1:7" x14ac:dyDescent="0.25">
      <c r="A22821" s="50" t="s">
        <v>319</v>
      </c>
      <c r="B22821" s="68" t="str">
        <f>VLOOKUP(A22821,'Componentes APUs'!$H$1:$L$25,2,0)</f>
        <v>Ingeniero Residente de Obra</v>
      </c>
      <c r="C22821" s="93">
        <v>0.25</v>
      </c>
      <c r="D22821" s="50">
        <f>VLOOKUP(A22821,'Componentes APUs'!$H$1:$L$25,3,0)</f>
        <v>4</v>
      </c>
      <c r="E22821" s="51">
        <f>VLOOKUP(A22821,'Componentes APUs'!$H$1:$L$25,4,0)</f>
        <v>271142.85714285716</v>
      </c>
      <c r="F22821" s="51">
        <f>VLOOKUP(A22821,'Componentes APUs'!$H$1:$L$25,5,0)</f>
        <v>162685.71428571429</v>
      </c>
      <c r="G22821" s="51">
        <f>ROUNDUP((E22821+F22821)*C22821/E22808,0)</f>
        <v>2170</v>
      </c>
    </row>
    <row r="22822" spans="1:7" x14ac:dyDescent="0.25">
      <c r="A22822" s="50" t="s">
        <v>320</v>
      </c>
      <c r="B22822" s="68" t="str">
        <f>VLOOKUP(A22822,'Componentes APUs'!$H$1:$L$25,2,0)</f>
        <v>Tecnico Supervisor</v>
      </c>
      <c r="C22822" s="93">
        <v>0.25</v>
      </c>
      <c r="D22822" s="50">
        <f>VLOOKUP(A22822,'Componentes APUs'!$H$1:$L$25,3,0)</f>
        <v>2.2999999999999998</v>
      </c>
      <c r="E22822" s="51">
        <f>VLOOKUP(A22822,'Componentes APUs'!$H$1:$L$25,4,0)</f>
        <v>155907.14285714284</v>
      </c>
      <c r="F22822" s="51">
        <f>VLOOKUP(A22822,'Componentes APUs'!$H$1:$L$25,5,0)</f>
        <v>93544.285714285696</v>
      </c>
      <c r="G22822" s="51">
        <f>ROUNDUP((E22822+F22822)*C22822/E22808,0)</f>
        <v>1248</v>
      </c>
    </row>
    <row r="22823" spans="1:7" x14ac:dyDescent="0.25">
      <c r="A22823" s="50" t="s">
        <v>1160</v>
      </c>
      <c r="B22823" s="68" t="str">
        <f>VLOOKUP(A22823,'Componentes APUs'!$H$1:$L$25,2,0)</f>
        <v>Oficial Eléctrico</v>
      </c>
      <c r="C22823" s="93">
        <v>1</v>
      </c>
      <c r="D22823" s="50">
        <f>VLOOKUP(A22823,'Componentes APUs'!$H$1:$L$25,3,0)</f>
        <v>2</v>
      </c>
      <c r="E22823" s="51">
        <f>VLOOKUP(A22823,'Componentes APUs'!$H$1:$L$25,4,0)</f>
        <v>154619.04761904763</v>
      </c>
      <c r="F22823" s="51">
        <f>VLOOKUP(A22823,'Componentes APUs'!$H$1:$L$25,5,0)</f>
        <v>92771.42857142858</v>
      </c>
      <c r="G22823" s="51">
        <f>ROUNDUP((E22823+F22823)*C22823/E22808,0)</f>
        <v>4948</v>
      </c>
    </row>
    <row r="22824" spans="1:7" x14ac:dyDescent="0.25">
      <c r="A22824" s="50" t="s">
        <v>48</v>
      </c>
      <c r="B22824" s="68" t="str">
        <f>VLOOKUP(A22824,'Componentes APUs'!$H$1:$L$25,2,0)</f>
        <v>Ayudante Calificado</v>
      </c>
      <c r="C22824" s="93">
        <v>1</v>
      </c>
      <c r="D22824" s="50">
        <f>VLOOKUP(A22824,'Componentes APUs'!$H$1:$L$25,3,0)</f>
        <v>1.5</v>
      </c>
      <c r="E22824" s="51">
        <f>VLOOKUP(A22824,'Componentes APUs'!$H$1:$L$25,4,0)</f>
        <v>115964.28571428571</v>
      </c>
      <c r="F22824" s="51">
        <f>VLOOKUP(A22824,'Componentes APUs'!$H$1:$L$25,5,0)</f>
        <v>69578.57142857142</v>
      </c>
      <c r="G22824" s="51">
        <f>ROUNDUP((E22824+F22824)*C22824/E22808,0)</f>
        <v>3711</v>
      </c>
    </row>
    <row r="22825" spans="1:7" x14ac:dyDescent="0.25">
      <c r="A22825" s="50" t="s">
        <v>50</v>
      </c>
      <c r="B22825" s="68" t="str">
        <f>VLOOKUP(A22825,'Componentes APUs'!$H$1:$L$25,2,0)</f>
        <v>Profesional en SST</v>
      </c>
      <c r="C22825" s="93">
        <v>0.25</v>
      </c>
      <c r="D22825" s="50">
        <f>VLOOKUP(A22825,'Componentes APUs'!$H$1:$L$25,3,0)</f>
        <v>2.5</v>
      </c>
      <c r="E22825" s="51">
        <f>VLOOKUP(A22825,'Componentes APUs'!$H$1:$L$25,4,0)</f>
        <v>169464.28571428571</v>
      </c>
      <c r="F22825" s="51">
        <f>VLOOKUP(A22825,'Componentes APUs'!$H$1:$L$25,5,0)</f>
        <v>101678.57142857142</v>
      </c>
      <c r="G22825" s="51">
        <f>ROUNDUP((E22825+F22825)*C22825/E22808,0)</f>
        <v>1356</v>
      </c>
    </row>
    <row r="22826" spans="1:7" x14ac:dyDescent="0.25">
      <c r="A22826" s="50" t="s">
        <v>52</v>
      </c>
      <c r="B22826" s="68" t="str">
        <f>VLOOKUP(A22826,'Componentes APUs'!$H$1:$L$25,2,0)</f>
        <v>Ayudante No Calificado</v>
      </c>
      <c r="C22826" s="93">
        <v>0</v>
      </c>
      <c r="D22826" s="50">
        <f>VLOOKUP(A22826,'Componentes APUs'!$H$1:$L$25,3,0)</f>
        <v>1</v>
      </c>
      <c r="E22826" s="51">
        <f>VLOOKUP(A22826,'Componentes APUs'!$H$1:$L$25,4,0)</f>
        <v>77309.523809523816</v>
      </c>
      <c r="F22826" s="51">
        <f>VLOOKUP(A22826,'Componentes APUs'!$H$1:$L$25,5,0)</f>
        <v>46385.71428571429</v>
      </c>
      <c r="G22826" s="51">
        <f>ROUNDUP((E22826+F22826)*C22826/E22808,0)</f>
        <v>0</v>
      </c>
    </row>
    <row r="22827" spans="1:7" x14ac:dyDescent="0.25">
      <c r="A22827" s="219" t="s">
        <v>56</v>
      </c>
      <c r="B22827" s="219"/>
      <c r="C22827" s="219"/>
      <c r="D22827" s="219"/>
      <c r="E22827" s="219"/>
      <c r="F22827" s="219"/>
      <c r="G22827" s="52">
        <f>SUM(G22821:G22826)</f>
        <v>13433</v>
      </c>
    </row>
    <row r="22828" spans="1:7" x14ac:dyDescent="0.25">
      <c r="A22828" s="56"/>
      <c r="B22828" s="57"/>
      <c r="C22828" s="57"/>
      <c r="D22828" s="57"/>
      <c r="E22828" s="57"/>
      <c r="F22828" s="57"/>
      <c r="G22828" s="58"/>
    </row>
    <row r="22829" spans="1:7" x14ac:dyDescent="0.25">
      <c r="A22829" s="219" t="s">
        <v>57</v>
      </c>
      <c r="B22829" s="219"/>
      <c r="C22829" s="219"/>
      <c r="D22829" s="219"/>
      <c r="E22829" s="219"/>
      <c r="F22829" s="219"/>
      <c r="G22829" s="219"/>
    </row>
    <row r="22830" spans="1:7" x14ac:dyDescent="0.25">
      <c r="A22830" s="49" t="s">
        <v>35</v>
      </c>
      <c r="B22830" s="219" t="s">
        <v>36</v>
      </c>
      <c r="C22830" s="219"/>
      <c r="D22830" s="49" t="s">
        <v>37</v>
      </c>
      <c r="E22830" s="49" t="s">
        <v>38</v>
      </c>
      <c r="F22830" s="49" t="s">
        <v>39</v>
      </c>
      <c r="G22830" s="49" t="s">
        <v>40</v>
      </c>
    </row>
    <row r="22831" spans="1:7" x14ac:dyDescent="0.25">
      <c r="A22831" s="50" t="s">
        <v>326</v>
      </c>
      <c r="B22831" s="220" t="str">
        <f>VLOOKUP(A22831,'Componentes APUs'!$S$1:$V$10,2,0)</f>
        <v>Juego Llaves</v>
      </c>
      <c r="C22831" s="220"/>
      <c r="D22831" s="50" t="s">
        <v>18</v>
      </c>
      <c r="E22831" s="50">
        <v>1</v>
      </c>
      <c r="F22831" s="51">
        <f>VLOOKUP(A22831,'Componentes APUs'!$S$1:$V$10,4,0)</f>
        <v>9167</v>
      </c>
      <c r="G22831" s="51">
        <f>ROUNDUP(F22831*((E22831/21)/E22808),0)</f>
        <v>9</v>
      </c>
    </row>
    <row r="22832" spans="1:7" x14ac:dyDescent="0.25">
      <c r="A22832" s="50" t="s">
        <v>58</v>
      </c>
      <c r="B22832" s="220" t="str">
        <f>VLOOKUP(A22832,'Componentes APUs'!$S$1:$V$10,2,0)</f>
        <v>Manila de servicio</v>
      </c>
      <c r="C22832" s="220"/>
      <c r="D22832" s="50" t="s">
        <v>18</v>
      </c>
      <c r="E22832" s="50">
        <v>0</v>
      </c>
      <c r="F22832" s="51">
        <f>VLOOKUP(A22832,'Componentes APUs'!$S$1:$V$10,4,0)</f>
        <v>2333</v>
      </c>
      <c r="G22832" s="51">
        <f>ROUNDUP(F22832*((E22832/21)/E22808),0)</f>
        <v>0</v>
      </c>
    </row>
    <row r="22833" spans="1:7" x14ac:dyDescent="0.25">
      <c r="A22833" s="50" t="s">
        <v>327</v>
      </c>
      <c r="B22833" s="220" t="str">
        <f>VLOOKUP(A22833,'Componentes APUs'!$S$1:$V$10,2,0)</f>
        <v>Tula portaherramientas</v>
      </c>
      <c r="C22833" s="220"/>
      <c r="D22833" s="50" t="s">
        <v>18</v>
      </c>
      <c r="E22833" s="50">
        <v>1</v>
      </c>
      <c r="F22833" s="51">
        <f>VLOOKUP(A22833,'Componentes APUs'!$S$1:$V$10,4,0)</f>
        <v>1250</v>
      </c>
      <c r="G22833" s="51">
        <f>ROUNDUP(F22833*((E22833/21)/E22808),0)</f>
        <v>2</v>
      </c>
    </row>
    <row r="22834" spans="1:7" x14ac:dyDescent="0.25">
      <c r="A22834" s="50" t="s">
        <v>60</v>
      </c>
      <c r="B22834" s="220" t="str">
        <f>VLOOKUP(A22834,'Componentes APUs'!$S$1:$V$10,2,0)</f>
        <v>Agarradoras</v>
      </c>
      <c r="C22834" s="220"/>
      <c r="D22834" s="50" t="s">
        <v>18</v>
      </c>
      <c r="E22834" s="50">
        <v>0</v>
      </c>
      <c r="F22834" s="51">
        <f>VLOOKUP(A22834,'Componentes APUs'!$S$1:$V$10,4,0)</f>
        <v>125000</v>
      </c>
      <c r="G22834" s="51">
        <f>ROUNDUP(F22834*((E22834/21)/E22808),0)</f>
        <v>0</v>
      </c>
    </row>
    <row r="22835" spans="1:7" x14ac:dyDescent="0.25">
      <c r="A22835" s="50" t="s">
        <v>62</v>
      </c>
      <c r="B22835" s="220" t="str">
        <f>VLOOKUP(A22835,'Componentes APUs'!$S$1:$V$10,2,0)</f>
        <v>Templadoras</v>
      </c>
      <c r="C22835" s="220"/>
      <c r="D22835" s="50" t="s">
        <v>18</v>
      </c>
      <c r="E22835" s="50">
        <v>0</v>
      </c>
      <c r="F22835" s="51">
        <f>VLOOKUP(A22835,'Componentes APUs'!$S$1:$V$10,4,0)</f>
        <v>250000</v>
      </c>
      <c r="G22835" s="51">
        <f>ROUNDUP(F22835*((E22835/21)/E22808),0)</f>
        <v>0</v>
      </c>
    </row>
    <row r="22836" spans="1:7" ht="15" customHeight="1" x14ac:dyDescent="0.25">
      <c r="A22836" s="50" t="s">
        <v>328</v>
      </c>
      <c r="B22836" s="220" t="str">
        <f>VLOOKUP(A22836,'Componentes APUs'!$S$1:$V$10,2,0)</f>
        <v>Herramienta Menor</v>
      </c>
      <c r="C22836" s="220"/>
      <c r="D22836" s="50" t="s">
        <v>18</v>
      </c>
      <c r="E22836" s="50">
        <v>1</v>
      </c>
      <c r="F22836" s="51">
        <f>VLOOKUP(A22836,'Componentes APUs'!$S$1:$V$10,4,0)</f>
        <v>75758</v>
      </c>
      <c r="G22836" s="51">
        <f>ROUNDUP(F22836*((E22836/21)/E22808),0)</f>
        <v>73</v>
      </c>
    </row>
    <row r="22837" spans="1:7" ht="15" customHeight="1" x14ac:dyDescent="0.25">
      <c r="A22837" s="50" t="s">
        <v>1046</v>
      </c>
      <c r="B22837" s="220" t="str">
        <f>VLOOKUP(A22837,'Componentes APUs'!$S$1:$V$10,2,0)</f>
        <v>Molde Grafito Soldadura Exotérmica En X</v>
      </c>
      <c r="C22837" s="220"/>
      <c r="D22837" s="50" t="s">
        <v>18</v>
      </c>
      <c r="E22837" s="50">
        <v>0</v>
      </c>
      <c r="F22837" s="51">
        <f>VLOOKUP(A22837,'Componentes APUs'!$S$1:$V$10,4,0)</f>
        <v>239000</v>
      </c>
      <c r="G22837" s="51">
        <f>ROUNDUP(F22837*((E22837/21)/E22808),0)</f>
        <v>0</v>
      </c>
    </row>
    <row r="22838" spans="1:7" x14ac:dyDescent="0.25">
      <c r="A22838" s="219" t="s">
        <v>69</v>
      </c>
      <c r="B22838" s="219"/>
      <c r="C22838" s="219"/>
      <c r="D22838" s="219"/>
      <c r="E22838" s="219"/>
      <c r="F22838" s="219"/>
      <c r="G22838" s="52">
        <f>SUM(G22831:G22837)</f>
        <v>84</v>
      </c>
    </row>
    <row r="22839" spans="1:7" x14ac:dyDescent="0.25">
      <c r="A22839" s="56"/>
      <c r="B22839" s="57"/>
      <c r="C22839" s="57"/>
      <c r="D22839" s="57"/>
      <c r="E22839" s="57"/>
      <c r="F22839" s="57"/>
      <c r="G22839" s="58"/>
    </row>
    <row r="22840" spans="1:7" x14ac:dyDescent="0.25">
      <c r="A22840" s="219" t="s">
        <v>70</v>
      </c>
      <c r="B22840" s="219"/>
      <c r="C22840" s="219"/>
      <c r="D22840" s="219"/>
      <c r="E22840" s="219"/>
      <c r="F22840" s="219"/>
      <c r="G22840" s="219"/>
    </row>
    <row r="22841" spans="1:7" x14ac:dyDescent="0.25">
      <c r="A22841" s="49" t="s">
        <v>35</v>
      </c>
      <c r="B22841" s="219" t="s">
        <v>36</v>
      </c>
      <c r="C22841" s="219"/>
      <c r="D22841" s="49" t="s">
        <v>37</v>
      </c>
      <c r="E22841" s="49" t="s">
        <v>38</v>
      </c>
      <c r="F22841" s="49" t="s">
        <v>39</v>
      </c>
      <c r="G22841" s="49" t="s">
        <v>40</v>
      </c>
    </row>
    <row r="22842" spans="1:7" x14ac:dyDescent="0.25">
      <c r="A22842" s="50" t="s">
        <v>71</v>
      </c>
      <c r="B22842" s="71" t="str">
        <f>VLOOKUP(A22842,'Componentes APUs'!$A$1:$D$14,2,0)</f>
        <v>Camisa indigo sin partes metalicas</v>
      </c>
      <c r="C22842" s="71"/>
      <c r="D22842" s="50" t="str">
        <f>VLOOKUP(A22842,'Componentes APUs'!$A$1:$D$14,3,0)</f>
        <v>U</v>
      </c>
      <c r="E22842" s="50">
        <f>SUM(C22821:C22826)</f>
        <v>2.75</v>
      </c>
      <c r="F22842" s="51">
        <f>VLOOKUP(A22842,'Componentes APUs'!$A$1:$D$14,4,0)</f>
        <v>8585.8585858585866</v>
      </c>
      <c r="G22842" s="51">
        <f>ROUNDUP(F22842*(E22842/21)/E22808,0)</f>
        <v>23</v>
      </c>
    </row>
    <row r="22843" spans="1:7" x14ac:dyDescent="0.25">
      <c r="A22843" s="69" t="s">
        <v>73</v>
      </c>
      <c r="B22843" s="72" t="str">
        <f>VLOOKUP(A22843,'Componentes APUs'!$A$1:$D$14,2,0)</f>
        <v>Bota de seguridad dielectrica</v>
      </c>
      <c r="C22843" s="73"/>
      <c r="D22843" s="70" t="str">
        <f>VLOOKUP(A22843,'Componentes APUs'!$A$1:$D$14,3,0)</f>
        <v>Par</v>
      </c>
      <c r="E22843" s="50">
        <f>SUM(C22821:C22826)</f>
        <v>2.75</v>
      </c>
      <c r="F22843" s="51">
        <f>VLOOKUP(A22843,'Componentes APUs'!$A$1:$D$14,4,0)</f>
        <v>7500</v>
      </c>
      <c r="G22843" s="51">
        <f>ROUNDUP(F22843*(E22843/21)/E22808,0)</f>
        <v>20</v>
      </c>
    </row>
    <row r="22844" spans="1:7" x14ac:dyDescent="0.25">
      <c r="A22844" s="50" t="s">
        <v>76</v>
      </c>
      <c r="B22844" s="72" t="str">
        <f>VLOOKUP(A22844,'Componentes APUs'!$A$1:$D$14,2,0)</f>
        <v>Casco dielectrico Tipo 1 Clase E con barbuquejo</v>
      </c>
      <c r="C22844" s="73"/>
      <c r="D22844" s="50" t="str">
        <f>VLOOKUP(A22844,'Componentes APUs'!$A$1:$D$14,3,0)</f>
        <v>U</v>
      </c>
      <c r="E22844" s="50">
        <f>C22826+C22821+C22824+C22825+C22822+IF(A22823&lt;&gt;"MO-3",C22823,0)</f>
        <v>2.75</v>
      </c>
      <c r="F22844" s="51">
        <f>VLOOKUP(A22844,'Componentes APUs'!$A$1:$D$14,4,0)</f>
        <v>10101.010101010101</v>
      </c>
      <c r="G22844" s="51">
        <f>ROUNDUP(F22844*(E22844/21)/E22808,0)</f>
        <v>27</v>
      </c>
    </row>
    <row r="22845" spans="1:7" x14ac:dyDescent="0.25">
      <c r="A22845" s="69" t="s">
        <v>77</v>
      </c>
      <c r="B22845" s="72" t="str">
        <f>VLOOKUP(A22845,'Componentes APUs'!$A$1:$D$14,2,0)</f>
        <v>Correa plastica y antiflama</v>
      </c>
      <c r="C22845" s="73"/>
      <c r="D22845" s="50" t="str">
        <f>VLOOKUP(A22845,'Componentes APUs'!$A$1:$D$14,3,0)</f>
        <v>U</v>
      </c>
      <c r="E22845" s="50">
        <f>SUM(C22821:C22826)</f>
        <v>2.75</v>
      </c>
      <c r="F22845" s="51">
        <f>VLOOKUP(A22845,'Componentes APUs'!$A$1:$D$14,4,0)</f>
        <v>3787.878787878788</v>
      </c>
      <c r="G22845" s="51">
        <f>ROUNDUP(F22845*(E22845/21)/E22808,0)</f>
        <v>10</v>
      </c>
    </row>
    <row r="22846" spans="1:7" x14ac:dyDescent="0.25">
      <c r="A22846" s="50" t="s">
        <v>79</v>
      </c>
      <c r="B22846" s="72" t="str">
        <f>VLOOKUP(A22846,'Componentes APUs'!$A$1:$D$14,2,0)</f>
        <v>Gafas protectoras filtro UV</v>
      </c>
      <c r="C22846" s="73"/>
      <c r="D22846" s="50" t="str">
        <f>VLOOKUP(A22846,'Componentes APUs'!$A$1:$D$14,3,0)</f>
        <v>U</v>
      </c>
      <c r="E22846" s="50">
        <f>SUM(C22821:C22826)</f>
        <v>2.75</v>
      </c>
      <c r="F22846" s="51">
        <f>VLOOKUP(A22846,'Componentes APUs'!$A$1:$D$14,4,0)</f>
        <v>2777.7777777777778</v>
      </c>
      <c r="G22846" s="51">
        <f>ROUNDUP(F22846*(E22846/21)/E22808,0)</f>
        <v>8</v>
      </c>
    </row>
    <row r="22847" spans="1:7" x14ac:dyDescent="0.25">
      <c r="A22847" s="69" t="s">
        <v>402</v>
      </c>
      <c r="B22847" s="72" t="str">
        <f>VLOOKUP(A22847,'Componentes APUs'!$A$1:$D$14,2,0)</f>
        <v>Bota de seguridad PVC dielectrica</v>
      </c>
      <c r="C22847" s="73"/>
      <c r="D22847" s="50" t="str">
        <f>VLOOKUP(A22847,'Componentes APUs'!$A$1:$D$14,3,0)</f>
        <v>Par</v>
      </c>
      <c r="E22847" s="50">
        <f>SUM(C22821:C22826)</f>
        <v>2.75</v>
      </c>
      <c r="F22847" s="51">
        <f>VLOOKUP(A22847,'Componentes APUs'!$A$1:$D$14,4,0)</f>
        <v>2916.6666666666665</v>
      </c>
      <c r="G22847" s="51">
        <f>ROUNDUP(F22847*(E22847/21)/E22808,0)</f>
        <v>8</v>
      </c>
    </row>
    <row r="22848" spans="1:7" x14ac:dyDescent="0.25">
      <c r="A22848" s="50" t="s">
        <v>403</v>
      </c>
      <c r="B22848" s="72" t="str">
        <f>VLOOKUP(A22848,'Componentes APUs'!$A$1:$D$14,2,0)</f>
        <v>Capuchon</v>
      </c>
      <c r="C22848" s="73"/>
      <c r="D22848" s="50" t="str">
        <f>VLOOKUP(A22848,'Componentes APUs'!$A$1:$D$14,3,0)</f>
        <v>U</v>
      </c>
      <c r="E22848" s="50">
        <f>SUM(C22821:C22826)</f>
        <v>2.75</v>
      </c>
      <c r="F22848" s="51">
        <f>VLOOKUP(A22848,'Componentes APUs'!$A$1:$D$14,4,0)</f>
        <v>2525.2525252525252</v>
      </c>
      <c r="G22848" s="51">
        <f>ROUNDUP(F22848*(E22848/21)/E22808,0)</f>
        <v>7</v>
      </c>
    </row>
    <row r="22849" spans="1:7" x14ac:dyDescent="0.25">
      <c r="A22849" s="69" t="s">
        <v>81</v>
      </c>
      <c r="B22849" s="72" t="str">
        <f>VLOOKUP(A22849,'Componentes APUs'!$A$1:$D$14,2,0)</f>
        <v>Guantes Protectores  - ingeniero reforzados</v>
      </c>
      <c r="C22849" s="73"/>
      <c r="D22849" s="50" t="str">
        <f>VLOOKUP(A22849,'Componentes APUs'!$A$1:$D$14,3,0)</f>
        <v>Par</v>
      </c>
      <c r="E22849" s="50">
        <f>C22823+C22824+C22826</f>
        <v>2</v>
      </c>
      <c r="F22849" s="51">
        <f>VLOOKUP(A22849,'Componentes APUs'!$A$1:$D$14,4,0)</f>
        <v>2525.2525252525252</v>
      </c>
      <c r="G22849" s="51">
        <f>ROUNDUP(F22849*(E22849/21)/E22808,0)</f>
        <v>5</v>
      </c>
    </row>
    <row r="22850" spans="1:7" x14ac:dyDescent="0.25">
      <c r="A22850" s="50" t="s">
        <v>83</v>
      </c>
      <c r="B22850" s="72" t="str">
        <f>VLOOKUP(A22850,'Componentes APUs'!$A$1:$D$14,2,0)</f>
        <v>Impermeable (pantalon camisa)</v>
      </c>
      <c r="C22850" s="73"/>
      <c r="D22850" s="50" t="str">
        <f>VLOOKUP(A22850,'Componentes APUs'!$A$1:$D$14,3,0)</f>
        <v>U</v>
      </c>
      <c r="E22850" s="50">
        <f>SUM(C22821:C22826)</f>
        <v>2.75</v>
      </c>
      <c r="F22850" s="51">
        <f>VLOOKUP(A22850,'Componentes APUs'!$A$1:$D$14,4,0)</f>
        <v>3750</v>
      </c>
      <c r="G22850" s="51">
        <f>ROUNDUP(F22850*(E22850/21)/E22808,0)</f>
        <v>10</v>
      </c>
    </row>
    <row r="22851" spans="1:7" x14ac:dyDescent="0.25">
      <c r="A22851" s="69" t="s">
        <v>85</v>
      </c>
      <c r="B22851" s="72" t="str">
        <f>VLOOKUP(A22851,'Componentes APUs'!$A$1:$D$14,2,0)</f>
        <v>Jean Dielectrico</v>
      </c>
      <c r="C22851" s="73"/>
      <c r="D22851" s="50" t="str">
        <f>VLOOKUP(A22851,'Componentes APUs'!$A$1:$D$14,3,0)</f>
        <v>U</v>
      </c>
      <c r="E22851" s="50">
        <f>SUM(C22821:C22826)</f>
        <v>2.75</v>
      </c>
      <c r="F22851" s="51">
        <f>VLOOKUP(A22851,'Componentes APUs'!$A$1:$D$14,4,0)</f>
        <v>7575.757575757576</v>
      </c>
      <c r="G22851" s="51">
        <f>ROUNDUP(F22851*(E22851/21)/E22808,0)</f>
        <v>20</v>
      </c>
    </row>
    <row r="22852" spans="1:7" x14ac:dyDescent="0.25">
      <c r="A22852" s="50" t="s">
        <v>87</v>
      </c>
      <c r="B22852" s="72" t="str">
        <f>VLOOKUP(A22852,'Componentes APUs'!$A$1:$D$14,2,0)</f>
        <v>Casco dielectrico Tipo 2 Clase E con barboquejo</v>
      </c>
      <c r="C22852" s="73"/>
      <c r="D22852" s="50" t="str">
        <f>VLOOKUP(A22852,'Componentes APUs'!$A$1:$D$14,3,0)</f>
        <v>U</v>
      </c>
      <c r="E22852" s="53">
        <f>IF(A22823="MO-3",C22823,0)</f>
        <v>0</v>
      </c>
      <c r="F22852" s="51">
        <f>VLOOKUP(A22852,'Componentes APUs'!$A$1:$D$14,4,0)</f>
        <v>7500</v>
      </c>
      <c r="G22852" s="51">
        <f>ROUNDUP(F22852*(E22852/21)/E22808,0)</f>
        <v>0</v>
      </c>
    </row>
    <row r="22853" spans="1:7" x14ac:dyDescent="0.25">
      <c r="A22853" s="69" t="s">
        <v>89</v>
      </c>
      <c r="B22853" s="72" t="str">
        <f>VLOOKUP(A22853,'Componentes APUs'!$A$1:$D$14,2,0)</f>
        <v>Kit de rescate para trabajo en alturas</v>
      </c>
      <c r="C22853" s="73"/>
      <c r="D22853" s="50" t="str">
        <f>VLOOKUP(A22853,'Componentes APUs'!$A$1:$D$14,3,0)</f>
        <v>U</v>
      </c>
      <c r="E22853" s="50">
        <f>IF(AND(A22823="MO-3",C22823=2),1,0)</f>
        <v>0</v>
      </c>
      <c r="F22853" s="51">
        <f>VLOOKUP(A22853,'Componentes APUs'!$A$1:$D$14,4,0)</f>
        <v>37500</v>
      </c>
      <c r="G22853" s="51">
        <f>ROUNDUP(F22853*(E22853/21)/E22808,0)</f>
        <v>0</v>
      </c>
    </row>
    <row r="22854" spans="1:7" x14ac:dyDescent="0.25">
      <c r="A22854" s="50" t="s">
        <v>91</v>
      </c>
      <c r="B22854" s="72" t="str">
        <f>VLOOKUP(A22854,'Componentes APUs'!$A$1:$D$14,2,0)</f>
        <v>Equipo completo para trabajo en alturas con pretales (Arnes dielectrico, 1 mosqueton de seguridad, tie off dielectrico, eslinga de posicionamiento, juego de pretales)</v>
      </c>
      <c r="C22854" s="73"/>
      <c r="D22854" s="50" t="str">
        <f>VLOOKUP(A22854,'Componentes APUs'!$A$1:$D$14,3,0)</f>
        <v>U</v>
      </c>
      <c r="E22854" s="50">
        <f>IF(A22823="MO-3",C22823,0)</f>
        <v>0</v>
      </c>
      <c r="F22854" s="51">
        <f>VLOOKUP(A22854,'Componentes APUs'!$A$1:$D$14,4,0)</f>
        <v>26041.666666666668</v>
      </c>
      <c r="G22854" s="51">
        <f>ROUNDUP(F22854*(E22854/21)/E22808,0)</f>
        <v>0</v>
      </c>
    </row>
    <row r="22855" spans="1:7" x14ac:dyDescent="0.25">
      <c r="A22855" s="219" t="s">
        <v>95</v>
      </c>
      <c r="B22855" s="219"/>
      <c r="C22855" s="219"/>
      <c r="D22855" s="219"/>
      <c r="E22855" s="219"/>
      <c r="F22855" s="219"/>
      <c r="G22855" s="52">
        <f>SUM(G22842:G22854)</f>
        <v>138</v>
      </c>
    </row>
    <row r="22856" spans="1:7" x14ac:dyDescent="0.25">
      <c r="A22856" s="56"/>
      <c r="B22856" s="57"/>
      <c r="C22856" s="57"/>
      <c r="D22856" s="57"/>
      <c r="E22856" s="57"/>
      <c r="F22856" s="57"/>
      <c r="G22856" s="58"/>
    </row>
    <row r="22857" spans="1:7" x14ac:dyDescent="0.25">
      <c r="A22857" s="219" t="s">
        <v>96</v>
      </c>
      <c r="B22857" s="219"/>
      <c r="C22857" s="219"/>
      <c r="D22857" s="219"/>
      <c r="E22857" s="219"/>
      <c r="F22857" s="219"/>
      <c r="G22857" s="219"/>
    </row>
    <row r="22858" spans="1:7" x14ac:dyDescent="0.25">
      <c r="A22858" s="49" t="s">
        <v>35</v>
      </c>
      <c r="B22858" s="225" t="s">
        <v>36</v>
      </c>
      <c r="C22858" s="225"/>
      <c r="D22858" s="49" t="s">
        <v>37</v>
      </c>
      <c r="E22858" s="49" t="s">
        <v>38</v>
      </c>
      <c r="F22858" s="49" t="s">
        <v>39</v>
      </c>
      <c r="G22858" s="49" t="s">
        <v>40</v>
      </c>
    </row>
    <row r="22859" spans="1:7" x14ac:dyDescent="0.25">
      <c r="A22859" s="69" t="s">
        <v>97</v>
      </c>
      <c r="B22859" s="72" t="str">
        <f>VLOOKUP(A22859,'Componentes APUs'!$N$1:$Q$30,2,0)</f>
        <v>Camioneta</v>
      </c>
      <c r="C22859" s="73"/>
      <c r="D22859" s="70" t="str">
        <f>VLOOKUP(A22859,'Componentes APUs'!$N$1:$Q$30,3,0)</f>
        <v>U</v>
      </c>
      <c r="E22859" s="50">
        <v>1</v>
      </c>
      <c r="F22859" s="51">
        <f>VLOOKUP(A22859,'Componentes APUs'!$N$1:$Q$30,4,0)</f>
        <v>5500000</v>
      </c>
      <c r="G22859" s="51">
        <f>IFERROR(ROUNDUP(F22859*(E22859/21)/E22808,0),0)</f>
        <v>5239</v>
      </c>
    </row>
    <row r="22860" spans="1:7" x14ac:dyDescent="0.25">
      <c r="A22860" s="50" t="s">
        <v>321</v>
      </c>
      <c r="B22860" s="72" t="str">
        <f>VLOOKUP(A22860,'Componentes APUs'!$N$1:$Q$30,2,0)</f>
        <v>Grúa Hidráulica</v>
      </c>
      <c r="C22860" s="73"/>
      <c r="D22860" s="70" t="str">
        <f>VLOOKUP(A22860,'Componentes APUs'!$N$1:$Q$30,3,0)</f>
        <v>U</v>
      </c>
      <c r="E22860" s="50">
        <v>0</v>
      </c>
      <c r="F22860" s="51">
        <f>VLOOKUP(A22860,'Componentes APUs'!$N$1:$Q$30,4,0)</f>
        <v>21000000</v>
      </c>
      <c r="G22860" s="51">
        <f>IFERROR(ROUNDUP(F22860*(E22860/21)/E22808,0),0)</f>
        <v>0</v>
      </c>
    </row>
    <row r="22861" spans="1:7" x14ac:dyDescent="0.25">
      <c r="A22861" s="69" t="s">
        <v>322</v>
      </c>
      <c r="B22861" s="72" t="str">
        <f>VLOOKUP(A22861,'Componentes APUs'!$N$1:$Q$30,2,0)</f>
        <v>Camabaja</v>
      </c>
      <c r="C22861" s="73"/>
      <c r="D22861" s="70" t="str">
        <f>VLOOKUP(A22861,'Componentes APUs'!$N$1:$Q$30,3,0)</f>
        <v>TON/KM</v>
      </c>
      <c r="E22861" s="50">
        <v>0</v>
      </c>
      <c r="F22861" s="51">
        <f>VLOOKUP(A22861,'Componentes APUs'!$N$1:$Q$30,4,0)</f>
        <v>611</v>
      </c>
      <c r="G22861" s="51">
        <f>IFERROR(ROUNDUP(F22861*(E22861/21)/E22808,0),0)</f>
        <v>0</v>
      </c>
    </row>
    <row r="22862" spans="1:7" x14ac:dyDescent="0.25">
      <c r="A22862" s="50" t="s">
        <v>323</v>
      </c>
      <c r="B22862" s="72" t="str">
        <f>VLOOKUP(A22862,'Componentes APUs'!$N$1:$Q$30,2,0)</f>
        <v>Volqueta</v>
      </c>
      <c r="C22862" s="73"/>
      <c r="D22862" s="70" t="str">
        <f>VLOOKUP(A22862,'Componentes APUs'!$N$1:$Q$30,3,0)</f>
        <v>U</v>
      </c>
      <c r="E22862" s="50">
        <v>0</v>
      </c>
      <c r="F22862" s="51">
        <f>VLOOKUP(A22862,'Componentes APUs'!$N$1:$Q$30,4,0)</f>
        <v>14828184</v>
      </c>
      <c r="G22862" s="51">
        <f>IFERROR(ROUNDUP(F22862*(E22862/21)/E22808,0),0)</f>
        <v>0</v>
      </c>
    </row>
    <row r="22863" spans="1:7" x14ac:dyDescent="0.25">
      <c r="A22863" s="69" t="s">
        <v>324</v>
      </c>
      <c r="B22863" s="72" t="str">
        <f>VLOOKUP(A22863,'Componentes APUs'!$N$1:$Q$30,2,0)</f>
        <v>Retroexcavadora</v>
      </c>
      <c r="C22863" s="73"/>
      <c r="D22863" s="70" t="str">
        <f>VLOOKUP(A22863,'Componentes APUs'!$N$1:$Q$30,3,0)</f>
        <v>U</v>
      </c>
      <c r="E22863" s="50">
        <v>0</v>
      </c>
      <c r="F22863" s="51">
        <f>VLOOKUP(A22863,'Componentes APUs'!$N$1:$Q$30,4,0)</f>
        <v>46030656</v>
      </c>
      <c r="G22863" s="51">
        <f>IFERROR(ROUNDUP(F22863*(E22863/21)/E22808,0),0)</f>
        <v>0</v>
      </c>
    </row>
    <row r="22864" spans="1:7" x14ac:dyDescent="0.25">
      <c r="A22864" s="219" t="s">
        <v>99</v>
      </c>
      <c r="B22864" s="219"/>
      <c r="C22864" s="219"/>
      <c r="D22864" s="219"/>
      <c r="E22864" s="219"/>
      <c r="F22864" s="219"/>
      <c r="G22864" s="52">
        <f>SUM(G22859:G22863)</f>
        <v>5239</v>
      </c>
    </row>
    <row r="22865" spans="1:7" x14ac:dyDescent="0.25">
      <c r="A22865" s="56"/>
      <c r="B22865" s="57"/>
      <c r="C22865" s="57"/>
      <c r="D22865" s="57"/>
      <c r="E22865" s="57"/>
      <c r="F22865" s="57"/>
      <c r="G22865" s="58"/>
    </row>
    <row r="22866" spans="1:7" x14ac:dyDescent="0.25">
      <c r="A22866" s="219" t="s">
        <v>1516</v>
      </c>
      <c r="B22866" s="219"/>
      <c r="C22866" s="219"/>
      <c r="D22866" s="219"/>
      <c r="E22866" s="219"/>
      <c r="F22866" s="219"/>
      <c r="G22866" s="52">
        <f>G22864+G22855+G22838+G22827+G22817</f>
        <v>21169</v>
      </c>
    </row>
    <row r="22867" spans="1:7" x14ac:dyDescent="0.25">
      <c r="A22867" s="59"/>
      <c r="B22867" s="60"/>
      <c r="C22867" s="60"/>
      <c r="D22867" s="60"/>
      <c r="E22867" s="57"/>
      <c r="F22867" s="57"/>
      <c r="G22867" s="58"/>
    </row>
    <row r="22868" spans="1:7" x14ac:dyDescent="0.25">
      <c r="A22868" s="64"/>
      <c r="D22868" s="55"/>
      <c r="E22868" s="49" t="s">
        <v>25</v>
      </c>
      <c r="F22868" s="54">
        <v>0.15</v>
      </c>
      <c r="G22868" s="51">
        <f>G22866*F22868</f>
        <v>3175.35</v>
      </c>
    </row>
    <row r="22869" spans="1:7" x14ac:dyDescent="0.25">
      <c r="A22869" s="64"/>
      <c r="D22869" s="55"/>
      <c r="E22869" s="49" t="s">
        <v>26</v>
      </c>
      <c r="F22869" s="54">
        <v>0.05</v>
      </c>
      <c r="G22869" s="51">
        <f>G22866*F22869</f>
        <v>1058.45</v>
      </c>
    </row>
    <row r="22870" spans="1:7" x14ac:dyDescent="0.25">
      <c r="A22870" s="61"/>
      <c r="B22870" s="65"/>
      <c r="C22870" s="65"/>
      <c r="D22870" s="62"/>
      <c r="E22870" s="49" t="s">
        <v>27</v>
      </c>
      <c r="F22870" s="54">
        <v>0.05</v>
      </c>
      <c r="G22870" s="51">
        <f>G22866*F22870</f>
        <v>1058.45</v>
      </c>
    </row>
    <row r="22871" spans="1:7" x14ac:dyDescent="0.25">
      <c r="A22871" s="61"/>
      <c r="B22871" s="62"/>
      <c r="C22871" s="62"/>
      <c r="D22871" s="62"/>
      <c r="E22871" s="62"/>
      <c r="F22871" s="62"/>
      <c r="G22871" s="63"/>
    </row>
    <row r="22872" spans="1:7" x14ac:dyDescent="0.25">
      <c r="A22872" s="219" t="s">
        <v>1517</v>
      </c>
      <c r="B22872" s="219"/>
      <c r="C22872" s="219"/>
      <c r="D22872" s="219"/>
      <c r="E22872" s="219"/>
      <c r="F22872" s="219"/>
      <c r="G22872" s="52">
        <f>G22866+G22868+G22869+G22870</f>
        <v>26461.25</v>
      </c>
    </row>
    <row r="22873" spans="1:7" x14ac:dyDescent="0.25">
      <c r="A22873" s="59"/>
      <c r="B22873" s="60"/>
      <c r="C22873" s="60"/>
      <c r="D22873" s="60"/>
      <c r="E22873" s="57"/>
      <c r="F22873" s="57"/>
      <c r="G22873" s="58"/>
    </row>
    <row r="22874" spans="1:7" x14ac:dyDescent="0.25">
      <c r="A22874" s="64"/>
      <c r="D22874" s="55"/>
      <c r="E22874" s="49" t="s">
        <v>102</v>
      </c>
      <c r="F22874" s="49" t="s">
        <v>103</v>
      </c>
      <c r="G22874" s="51">
        <f>G22870*19%</f>
        <v>201.10550000000001</v>
      </c>
    </row>
    <row r="22875" spans="1:7" x14ac:dyDescent="0.25">
      <c r="A22875" s="61"/>
      <c r="B22875" s="62"/>
      <c r="C22875" s="62"/>
      <c r="D22875" s="62"/>
      <c r="E22875" s="57"/>
      <c r="F22875" s="57"/>
      <c r="G22875" s="58"/>
    </row>
    <row r="22876" spans="1:7" x14ac:dyDescent="0.25">
      <c r="A22876" s="219" t="s">
        <v>104</v>
      </c>
      <c r="B22876" s="219"/>
      <c r="C22876" s="219"/>
      <c r="D22876" s="219"/>
      <c r="E22876" s="219"/>
      <c r="F22876" s="219"/>
      <c r="G22876" s="52">
        <f>G22874+G22872</f>
        <v>26662.355500000001</v>
      </c>
    </row>
    <row r="22878" spans="1:7" x14ac:dyDescent="0.25">
      <c r="A22878" s="74" t="s">
        <v>29</v>
      </c>
      <c r="B22878" s="237" t="s">
        <v>30</v>
      </c>
      <c r="C22878" s="238"/>
      <c r="D22878" s="74" t="s">
        <v>31</v>
      </c>
      <c r="E22878" s="74" t="s">
        <v>32</v>
      </c>
      <c r="F22878" s="74" t="s">
        <v>189</v>
      </c>
      <c r="G22878" s="74" t="s">
        <v>33</v>
      </c>
    </row>
    <row r="22879" spans="1:7" x14ac:dyDescent="0.25">
      <c r="A22879" s="50" t="str">
        <f>Presupuesto!B435</f>
        <v>094_AUX</v>
      </c>
      <c r="B22879" s="220" t="str">
        <f>Presupuesto!C435</f>
        <v>CONECTOR GB29 CU PARA CABLE 2/0 A 4/0 AWG BURNDY</v>
      </c>
      <c r="C22879" s="239"/>
      <c r="D22879" s="50" t="s">
        <v>8</v>
      </c>
      <c r="E22879" s="50">
        <v>8</v>
      </c>
      <c r="F22879" s="50"/>
      <c r="G22879" s="51">
        <f>G22947</f>
        <v>365024.51149999996</v>
      </c>
    </row>
    <row r="22880" spans="1:7" x14ac:dyDescent="0.25">
      <c r="A22880" s="219" t="s">
        <v>34</v>
      </c>
      <c r="B22880" s="219"/>
      <c r="C22880" s="219"/>
      <c r="D22880" s="219"/>
      <c r="E22880" s="219"/>
      <c r="F22880" s="219"/>
      <c r="G22880" s="219"/>
    </row>
    <row r="22881" spans="1:7" x14ac:dyDescent="0.25">
      <c r="A22881" s="49" t="s">
        <v>35</v>
      </c>
      <c r="B22881" s="234" t="s">
        <v>36</v>
      </c>
      <c r="C22881" s="235"/>
      <c r="D22881" s="49" t="s">
        <v>37</v>
      </c>
      <c r="E22881" s="49" t="s">
        <v>38</v>
      </c>
      <c r="F22881" s="49" t="s">
        <v>39</v>
      </c>
      <c r="G22881" s="49" t="s">
        <v>40</v>
      </c>
    </row>
    <row r="22882" spans="1:7" x14ac:dyDescent="0.25">
      <c r="A22882" s="17" t="str">
        <f>Material!A449</f>
        <v>MA-448</v>
      </c>
      <c r="B22882" s="72" t="str">
        <f>IFERROR(VLOOKUP(A22882,Material!$A:$H,2,0),"-")</f>
        <v>CONECTOR GB29 CU PARA CABLE 2/0 A 4/0 AWG BURNDY</v>
      </c>
      <c r="C22882" s="76"/>
      <c r="D22882" s="50" t="str">
        <f>IFERROR(VLOOKUP(A22882,Material!$A:$H,4,0),"-")</f>
        <v>UN</v>
      </c>
      <c r="E22882" s="50">
        <v>1</v>
      </c>
      <c r="F22882" s="51">
        <f>IFERROR(VLOOKUP(A22882,Material!$A:$H,3,0),"-")</f>
        <v>171771.6</v>
      </c>
      <c r="G22882" s="51">
        <f>IFERROR(ROUNDUP(F22882*E22882,0),"-")</f>
        <v>171772</v>
      </c>
    </row>
    <row r="22883" spans="1:7" x14ac:dyDescent="0.25">
      <c r="A22883" s="17"/>
      <c r="B22883" s="72"/>
      <c r="C22883" s="76"/>
      <c r="D22883" s="50"/>
      <c r="E22883" s="50"/>
      <c r="F22883" s="51"/>
      <c r="G22883" s="51"/>
    </row>
    <row r="22884" spans="1:7" x14ac:dyDescent="0.25">
      <c r="A22884" s="17"/>
      <c r="B22884" s="72"/>
      <c r="C22884" s="76"/>
      <c r="D22884" s="50"/>
      <c r="E22884" s="50"/>
      <c r="F22884" s="51"/>
      <c r="G22884" s="51"/>
    </row>
    <row r="22885" spans="1:7" x14ac:dyDescent="0.25">
      <c r="A22885" s="17"/>
      <c r="B22885" s="72"/>
      <c r="C22885" s="76"/>
      <c r="D22885" s="50"/>
      <c r="E22885" s="50"/>
      <c r="F22885" s="51"/>
      <c r="G22885" s="51"/>
    </row>
    <row r="22886" spans="1:7" x14ac:dyDescent="0.25">
      <c r="A22886" s="17"/>
      <c r="B22886" s="72"/>
      <c r="C22886" s="76"/>
      <c r="D22886" s="50"/>
      <c r="E22886" s="50"/>
      <c r="F22886" s="51"/>
      <c r="G22886" s="51"/>
    </row>
    <row r="22887" spans="1:7" x14ac:dyDescent="0.25">
      <c r="A22887" s="17"/>
      <c r="B22887" s="72"/>
      <c r="C22887" s="76"/>
      <c r="D22887" s="50"/>
      <c r="E22887" s="50"/>
      <c r="F22887" s="51"/>
      <c r="G22887" s="51"/>
    </row>
    <row r="22888" spans="1:7" x14ac:dyDescent="0.25">
      <c r="A22888" s="234" t="s">
        <v>41</v>
      </c>
      <c r="B22888" s="236"/>
      <c r="C22888" s="236"/>
      <c r="D22888" s="236"/>
      <c r="E22888" s="236"/>
      <c r="F22888" s="235"/>
      <c r="G22888" s="52">
        <f>SUM(G22882:G22887)</f>
        <v>171772</v>
      </c>
    </row>
    <row r="22889" spans="1:7" x14ac:dyDescent="0.25">
      <c r="A22889" s="56"/>
      <c r="B22889" s="57"/>
      <c r="C22889" s="57"/>
      <c r="D22889" s="57"/>
      <c r="E22889" s="57"/>
      <c r="F22889" s="57"/>
      <c r="G22889" s="58"/>
    </row>
    <row r="22890" spans="1:7" x14ac:dyDescent="0.25">
      <c r="A22890" s="219" t="s">
        <v>42</v>
      </c>
      <c r="B22890" s="219"/>
      <c r="C22890" s="219"/>
      <c r="D22890" s="219"/>
      <c r="E22890" s="219"/>
      <c r="F22890" s="219"/>
      <c r="G22890" s="219"/>
    </row>
    <row r="22891" spans="1:7" x14ac:dyDescent="0.25">
      <c r="A22891" s="49" t="s">
        <v>35</v>
      </c>
      <c r="B22891" s="49" t="s">
        <v>36</v>
      </c>
      <c r="C22891" s="49" t="s">
        <v>38</v>
      </c>
      <c r="D22891" s="49" t="s">
        <v>43</v>
      </c>
      <c r="E22891" s="49" t="s">
        <v>44</v>
      </c>
      <c r="F22891" s="49" t="s">
        <v>45</v>
      </c>
      <c r="G22891" s="49" t="s">
        <v>40</v>
      </c>
    </row>
    <row r="22892" spans="1:7" x14ac:dyDescent="0.25">
      <c r="A22892" s="50" t="s">
        <v>319</v>
      </c>
      <c r="B22892" s="68" t="str">
        <f>VLOOKUP(A22892,'Componentes APUs'!$H$1:$L$25,2,0)</f>
        <v>Ingeniero Residente de Obra</v>
      </c>
      <c r="C22892" s="93">
        <v>0.25</v>
      </c>
      <c r="D22892" s="50">
        <f>VLOOKUP(A22892,'Componentes APUs'!$H$1:$L$25,3,0)</f>
        <v>4</v>
      </c>
      <c r="E22892" s="51">
        <f>VLOOKUP(A22892,'Componentes APUs'!$H$1:$L$25,4,0)</f>
        <v>271142.85714285716</v>
      </c>
      <c r="F22892" s="51">
        <f>VLOOKUP(A22892,'Componentes APUs'!$H$1:$L$25,5,0)</f>
        <v>162685.71428571429</v>
      </c>
      <c r="G22892" s="51">
        <f>ROUNDUP((E22892+F22892)*C22892/E22879,0)</f>
        <v>13558</v>
      </c>
    </row>
    <row r="22893" spans="1:7" x14ac:dyDescent="0.25">
      <c r="A22893" s="50" t="s">
        <v>320</v>
      </c>
      <c r="B22893" s="68" t="str">
        <f>VLOOKUP(A22893,'Componentes APUs'!$H$1:$L$25,2,0)</f>
        <v>Tecnico Supervisor</v>
      </c>
      <c r="C22893" s="93">
        <v>0.25</v>
      </c>
      <c r="D22893" s="50">
        <f>VLOOKUP(A22893,'Componentes APUs'!$H$1:$L$25,3,0)</f>
        <v>2.2999999999999998</v>
      </c>
      <c r="E22893" s="51">
        <f>VLOOKUP(A22893,'Componentes APUs'!$H$1:$L$25,4,0)</f>
        <v>155907.14285714284</v>
      </c>
      <c r="F22893" s="51">
        <f>VLOOKUP(A22893,'Componentes APUs'!$H$1:$L$25,5,0)</f>
        <v>93544.285714285696</v>
      </c>
      <c r="G22893" s="51">
        <f>ROUNDUP((E22893+F22893)*C22893/E22879,0)</f>
        <v>7796</v>
      </c>
    </row>
    <row r="22894" spans="1:7" x14ac:dyDescent="0.25">
      <c r="A22894" s="50" t="s">
        <v>1160</v>
      </c>
      <c r="B22894" s="68" t="str">
        <f>VLOOKUP(A22894,'Componentes APUs'!$H$1:$L$25,2,0)</f>
        <v>Oficial Eléctrico</v>
      </c>
      <c r="C22894" s="93">
        <v>1</v>
      </c>
      <c r="D22894" s="50">
        <f>VLOOKUP(A22894,'Componentes APUs'!$H$1:$L$25,3,0)</f>
        <v>2</v>
      </c>
      <c r="E22894" s="51">
        <f>VLOOKUP(A22894,'Componentes APUs'!$H$1:$L$25,4,0)</f>
        <v>154619.04761904763</v>
      </c>
      <c r="F22894" s="51">
        <f>VLOOKUP(A22894,'Componentes APUs'!$H$1:$L$25,5,0)</f>
        <v>92771.42857142858</v>
      </c>
      <c r="G22894" s="51">
        <f>ROUNDUP((E22894+F22894)*C22894/E22879,0)</f>
        <v>30924</v>
      </c>
    </row>
    <row r="22895" spans="1:7" x14ac:dyDescent="0.25">
      <c r="A22895" s="50" t="s">
        <v>48</v>
      </c>
      <c r="B22895" s="68" t="str">
        <f>VLOOKUP(A22895,'Componentes APUs'!$H$1:$L$25,2,0)</f>
        <v>Ayudante Calificado</v>
      </c>
      <c r="C22895" s="93">
        <v>1</v>
      </c>
      <c r="D22895" s="50">
        <f>VLOOKUP(A22895,'Componentes APUs'!$H$1:$L$25,3,0)</f>
        <v>1.5</v>
      </c>
      <c r="E22895" s="51">
        <f>VLOOKUP(A22895,'Componentes APUs'!$H$1:$L$25,4,0)</f>
        <v>115964.28571428571</v>
      </c>
      <c r="F22895" s="51">
        <f>VLOOKUP(A22895,'Componentes APUs'!$H$1:$L$25,5,0)</f>
        <v>69578.57142857142</v>
      </c>
      <c r="G22895" s="51">
        <f>ROUNDUP((E22895+F22895)*C22895/E22879,0)</f>
        <v>23193</v>
      </c>
    </row>
    <row r="22896" spans="1:7" x14ac:dyDescent="0.25">
      <c r="A22896" s="50" t="s">
        <v>50</v>
      </c>
      <c r="B22896" s="68" t="str">
        <f>VLOOKUP(A22896,'Componentes APUs'!$H$1:$L$25,2,0)</f>
        <v>Profesional en SST</v>
      </c>
      <c r="C22896" s="93">
        <v>0.25</v>
      </c>
      <c r="D22896" s="50">
        <f>VLOOKUP(A22896,'Componentes APUs'!$H$1:$L$25,3,0)</f>
        <v>2.5</v>
      </c>
      <c r="E22896" s="51">
        <f>VLOOKUP(A22896,'Componentes APUs'!$H$1:$L$25,4,0)</f>
        <v>169464.28571428571</v>
      </c>
      <c r="F22896" s="51">
        <f>VLOOKUP(A22896,'Componentes APUs'!$H$1:$L$25,5,0)</f>
        <v>101678.57142857142</v>
      </c>
      <c r="G22896" s="51">
        <f>ROUNDUP((E22896+F22896)*C22896/E22879,0)</f>
        <v>8474</v>
      </c>
    </row>
    <row r="22897" spans="1:7" x14ac:dyDescent="0.25">
      <c r="A22897" s="50" t="s">
        <v>52</v>
      </c>
      <c r="B22897" s="68" t="str">
        <f>VLOOKUP(A22897,'Componentes APUs'!$H$1:$L$25,2,0)</f>
        <v>Ayudante No Calificado</v>
      </c>
      <c r="C22897" s="93">
        <v>0</v>
      </c>
      <c r="D22897" s="50">
        <f>VLOOKUP(A22897,'Componentes APUs'!$H$1:$L$25,3,0)</f>
        <v>1</v>
      </c>
      <c r="E22897" s="51">
        <f>VLOOKUP(A22897,'Componentes APUs'!$H$1:$L$25,4,0)</f>
        <v>77309.523809523816</v>
      </c>
      <c r="F22897" s="51">
        <f>VLOOKUP(A22897,'Componentes APUs'!$H$1:$L$25,5,0)</f>
        <v>46385.71428571429</v>
      </c>
      <c r="G22897" s="51">
        <f>ROUNDUP((E22897+F22897)*C22897/E22879,0)</f>
        <v>0</v>
      </c>
    </row>
    <row r="22898" spans="1:7" x14ac:dyDescent="0.25">
      <c r="A22898" s="219" t="s">
        <v>56</v>
      </c>
      <c r="B22898" s="219"/>
      <c r="C22898" s="219"/>
      <c r="D22898" s="219"/>
      <c r="E22898" s="219"/>
      <c r="F22898" s="219"/>
      <c r="G22898" s="52">
        <f>SUM(G22892:G22897)</f>
        <v>83945</v>
      </c>
    </row>
    <row r="22899" spans="1:7" x14ac:dyDescent="0.25">
      <c r="A22899" s="56"/>
      <c r="B22899" s="57"/>
      <c r="C22899" s="57"/>
      <c r="D22899" s="57"/>
      <c r="E22899" s="57"/>
      <c r="F22899" s="57"/>
      <c r="G22899" s="58"/>
    </row>
    <row r="22900" spans="1:7" x14ac:dyDescent="0.25">
      <c r="A22900" s="219" t="s">
        <v>57</v>
      </c>
      <c r="B22900" s="219"/>
      <c r="C22900" s="219"/>
      <c r="D22900" s="219"/>
      <c r="E22900" s="219"/>
      <c r="F22900" s="219"/>
      <c r="G22900" s="219"/>
    </row>
    <row r="22901" spans="1:7" x14ac:dyDescent="0.25">
      <c r="A22901" s="49" t="s">
        <v>35</v>
      </c>
      <c r="B22901" s="219" t="s">
        <v>36</v>
      </c>
      <c r="C22901" s="219"/>
      <c r="D22901" s="49" t="s">
        <v>37</v>
      </c>
      <c r="E22901" s="49" t="s">
        <v>38</v>
      </c>
      <c r="F22901" s="49" t="s">
        <v>39</v>
      </c>
      <c r="G22901" s="49" t="s">
        <v>40</v>
      </c>
    </row>
    <row r="22902" spans="1:7" x14ac:dyDescent="0.25">
      <c r="A22902" s="50" t="s">
        <v>326</v>
      </c>
      <c r="B22902" s="220" t="str">
        <f>VLOOKUP(A22902,'Componentes APUs'!$S$1:$V$10,2,0)</f>
        <v>Juego Llaves</v>
      </c>
      <c r="C22902" s="220"/>
      <c r="D22902" s="50" t="s">
        <v>18</v>
      </c>
      <c r="E22902" s="50">
        <v>1</v>
      </c>
      <c r="F22902" s="51">
        <f>VLOOKUP(A22902,'Componentes APUs'!$S$1:$V$10,4,0)</f>
        <v>9167</v>
      </c>
      <c r="G22902" s="51">
        <f>ROUNDUP(F22902*((E22902/21)/E22879),0)</f>
        <v>55</v>
      </c>
    </row>
    <row r="22903" spans="1:7" x14ac:dyDescent="0.25">
      <c r="A22903" s="50" t="s">
        <v>58</v>
      </c>
      <c r="B22903" s="220" t="str">
        <f>VLOOKUP(A22903,'Componentes APUs'!$S$1:$V$10,2,0)</f>
        <v>Manila de servicio</v>
      </c>
      <c r="C22903" s="220"/>
      <c r="D22903" s="50" t="s">
        <v>18</v>
      </c>
      <c r="E22903" s="50">
        <v>0</v>
      </c>
      <c r="F22903" s="51">
        <f>VLOOKUP(A22903,'Componentes APUs'!$S$1:$V$10,4,0)</f>
        <v>2333</v>
      </c>
      <c r="G22903" s="51">
        <f>ROUNDUP(F22903*((E22903/21)/E22879),0)</f>
        <v>0</v>
      </c>
    </row>
    <row r="22904" spans="1:7" x14ac:dyDescent="0.25">
      <c r="A22904" s="50" t="s">
        <v>327</v>
      </c>
      <c r="B22904" s="220" t="str">
        <f>VLOOKUP(A22904,'Componentes APUs'!$S$1:$V$10,2,0)</f>
        <v>Tula portaherramientas</v>
      </c>
      <c r="C22904" s="220"/>
      <c r="D22904" s="50" t="s">
        <v>18</v>
      </c>
      <c r="E22904" s="50">
        <v>1</v>
      </c>
      <c r="F22904" s="51">
        <f>VLOOKUP(A22904,'Componentes APUs'!$S$1:$V$10,4,0)</f>
        <v>1250</v>
      </c>
      <c r="G22904" s="51">
        <f>ROUNDUP(F22904*((E22904/21)/E22879),0)</f>
        <v>8</v>
      </c>
    </row>
    <row r="22905" spans="1:7" x14ac:dyDescent="0.25">
      <c r="A22905" s="50" t="s">
        <v>60</v>
      </c>
      <c r="B22905" s="220" t="str">
        <f>VLOOKUP(A22905,'Componentes APUs'!$S$1:$V$10,2,0)</f>
        <v>Agarradoras</v>
      </c>
      <c r="C22905" s="220"/>
      <c r="D22905" s="50" t="s">
        <v>18</v>
      </c>
      <c r="E22905" s="50">
        <v>0</v>
      </c>
      <c r="F22905" s="51">
        <f>VLOOKUP(A22905,'Componentes APUs'!$S$1:$V$10,4,0)</f>
        <v>125000</v>
      </c>
      <c r="G22905" s="51">
        <f>ROUNDUP(F22905*((E22905/21)/E22879),0)</f>
        <v>0</v>
      </c>
    </row>
    <row r="22906" spans="1:7" x14ac:dyDescent="0.25">
      <c r="A22906" s="50" t="s">
        <v>62</v>
      </c>
      <c r="B22906" s="220" t="str">
        <f>VLOOKUP(A22906,'Componentes APUs'!$S$1:$V$10,2,0)</f>
        <v>Templadoras</v>
      </c>
      <c r="C22906" s="220"/>
      <c r="D22906" s="50" t="s">
        <v>18</v>
      </c>
      <c r="E22906" s="50">
        <v>0</v>
      </c>
      <c r="F22906" s="51">
        <f>VLOOKUP(A22906,'Componentes APUs'!$S$1:$V$10,4,0)</f>
        <v>250000</v>
      </c>
      <c r="G22906" s="51">
        <f>ROUNDUP(F22906*((E22906/21)/E22879),0)</f>
        <v>0</v>
      </c>
    </row>
    <row r="22907" spans="1:7" ht="15" customHeight="1" x14ac:dyDescent="0.25">
      <c r="A22907" s="50" t="s">
        <v>328</v>
      </c>
      <c r="B22907" s="220" t="str">
        <f>VLOOKUP(A22907,'Componentes APUs'!$S$1:$V$10,2,0)</f>
        <v>Herramienta Menor</v>
      </c>
      <c r="C22907" s="220"/>
      <c r="D22907" s="50" t="s">
        <v>18</v>
      </c>
      <c r="E22907" s="50">
        <v>1</v>
      </c>
      <c r="F22907" s="51">
        <f>VLOOKUP(A22907,'Componentes APUs'!$S$1:$V$10,4,0)</f>
        <v>75758</v>
      </c>
      <c r="G22907" s="51">
        <f>ROUNDUP(F22907*((E22907/21)/E22879),0)</f>
        <v>451</v>
      </c>
    </row>
    <row r="22908" spans="1:7" ht="15" customHeight="1" x14ac:dyDescent="0.25">
      <c r="A22908" s="50" t="s">
        <v>1046</v>
      </c>
      <c r="B22908" s="220" t="str">
        <f>VLOOKUP(A22908,'Componentes APUs'!$S$1:$V$10,2,0)</f>
        <v>Molde Grafito Soldadura Exotérmica En X</v>
      </c>
      <c r="C22908" s="220"/>
      <c r="D22908" s="50" t="s">
        <v>18</v>
      </c>
      <c r="E22908" s="50">
        <v>0</v>
      </c>
      <c r="F22908" s="51">
        <f>VLOOKUP(A22908,'Componentes APUs'!$S$1:$V$10,4,0)</f>
        <v>239000</v>
      </c>
      <c r="G22908" s="51">
        <f>ROUNDUP(F22908*((E22908/21)/E22879),0)</f>
        <v>0</v>
      </c>
    </row>
    <row r="22909" spans="1:7" x14ac:dyDescent="0.25">
      <c r="A22909" s="219" t="s">
        <v>69</v>
      </c>
      <c r="B22909" s="219"/>
      <c r="C22909" s="219"/>
      <c r="D22909" s="219"/>
      <c r="E22909" s="219"/>
      <c r="F22909" s="219"/>
      <c r="G22909" s="52">
        <f>SUM(G22902:G22908)</f>
        <v>514</v>
      </c>
    </row>
    <row r="22910" spans="1:7" x14ac:dyDescent="0.25">
      <c r="A22910" s="56"/>
      <c r="B22910" s="57"/>
      <c r="C22910" s="57"/>
      <c r="D22910" s="57"/>
      <c r="E22910" s="57"/>
      <c r="F22910" s="57"/>
      <c r="G22910" s="58"/>
    </row>
    <row r="22911" spans="1:7" x14ac:dyDescent="0.25">
      <c r="A22911" s="219" t="s">
        <v>70</v>
      </c>
      <c r="B22911" s="219"/>
      <c r="C22911" s="219"/>
      <c r="D22911" s="219"/>
      <c r="E22911" s="219"/>
      <c r="F22911" s="219"/>
      <c r="G22911" s="219"/>
    </row>
    <row r="22912" spans="1:7" x14ac:dyDescent="0.25">
      <c r="A22912" s="49" t="s">
        <v>35</v>
      </c>
      <c r="B22912" s="219" t="s">
        <v>36</v>
      </c>
      <c r="C22912" s="219"/>
      <c r="D22912" s="49" t="s">
        <v>37</v>
      </c>
      <c r="E22912" s="49" t="s">
        <v>38</v>
      </c>
      <c r="F22912" s="49" t="s">
        <v>39</v>
      </c>
      <c r="G22912" s="49" t="s">
        <v>40</v>
      </c>
    </row>
    <row r="22913" spans="1:7" x14ac:dyDescent="0.25">
      <c r="A22913" s="50" t="s">
        <v>71</v>
      </c>
      <c r="B22913" s="71" t="str">
        <f>VLOOKUP(A22913,'Componentes APUs'!$A$1:$D$14,2,0)</f>
        <v>Camisa indigo sin partes metalicas</v>
      </c>
      <c r="C22913" s="71"/>
      <c r="D22913" s="50" t="str">
        <f>VLOOKUP(A22913,'Componentes APUs'!$A$1:$D$14,3,0)</f>
        <v>U</v>
      </c>
      <c r="E22913" s="50">
        <f>SUM(C22892:C22897)</f>
        <v>2.75</v>
      </c>
      <c r="F22913" s="51">
        <f>VLOOKUP(A22913,'Componentes APUs'!$A$1:$D$14,4,0)</f>
        <v>8585.8585858585866</v>
      </c>
      <c r="G22913" s="51">
        <f>ROUNDUP(F22913*(E22913/21)/E22879,0)</f>
        <v>141</v>
      </c>
    </row>
    <row r="22914" spans="1:7" x14ac:dyDescent="0.25">
      <c r="A22914" s="69" t="s">
        <v>73</v>
      </c>
      <c r="B22914" s="72" t="str">
        <f>VLOOKUP(A22914,'Componentes APUs'!$A$1:$D$14,2,0)</f>
        <v>Bota de seguridad dielectrica</v>
      </c>
      <c r="C22914" s="73"/>
      <c r="D22914" s="70" t="str">
        <f>VLOOKUP(A22914,'Componentes APUs'!$A$1:$D$14,3,0)</f>
        <v>Par</v>
      </c>
      <c r="E22914" s="50">
        <f>SUM(C22892:C22897)</f>
        <v>2.75</v>
      </c>
      <c r="F22914" s="51">
        <f>VLOOKUP(A22914,'Componentes APUs'!$A$1:$D$14,4,0)</f>
        <v>7500</v>
      </c>
      <c r="G22914" s="51">
        <f>ROUNDUP(F22914*(E22914/21)/E22879,0)</f>
        <v>123</v>
      </c>
    </row>
    <row r="22915" spans="1:7" x14ac:dyDescent="0.25">
      <c r="A22915" s="50" t="s">
        <v>76</v>
      </c>
      <c r="B22915" s="72" t="str">
        <f>VLOOKUP(A22915,'Componentes APUs'!$A$1:$D$14,2,0)</f>
        <v>Casco dielectrico Tipo 1 Clase E con barbuquejo</v>
      </c>
      <c r="C22915" s="73"/>
      <c r="D22915" s="50" t="str">
        <f>VLOOKUP(A22915,'Componentes APUs'!$A$1:$D$14,3,0)</f>
        <v>U</v>
      </c>
      <c r="E22915" s="50">
        <f>C22897+C22892+C22895+C22896+C22893+IF(A22894&lt;&gt;"MO-3",C22894,0)</f>
        <v>2.75</v>
      </c>
      <c r="F22915" s="51">
        <f>VLOOKUP(A22915,'Componentes APUs'!$A$1:$D$14,4,0)</f>
        <v>10101.010101010101</v>
      </c>
      <c r="G22915" s="51">
        <f>ROUNDUP(F22915*(E22915/21)/E22879,0)</f>
        <v>166</v>
      </c>
    </row>
    <row r="22916" spans="1:7" x14ac:dyDescent="0.25">
      <c r="A22916" s="69" t="s">
        <v>77</v>
      </c>
      <c r="B22916" s="72" t="str">
        <f>VLOOKUP(A22916,'Componentes APUs'!$A$1:$D$14,2,0)</f>
        <v>Correa plastica y antiflama</v>
      </c>
      <c r="C22916" s="73"/>
      <c r="D22916" s="50" t="str">
        <f>VLOOKUP(A22916,'Componentes APUs'!$A$1:$D$14,3,0)</f>
        <v>U</v>
      </c>
      <c r="E22916" s="50">
        <f>SUM(C22892:C22897)</f>
        <v>2.75</v>
      </c>
      <c r="F22916" s="51">
        <f>VLOOKUP(A22916,'Componentes APUs'!$A$1:$D$14,4,0)</f>
        <v>3787.878787878788</v>
      </c>
      <c r="G22916" s="51">
        <f>ROUNDUP(F22916*(E22916/21)/E22879,0)</f>
        <v>63</v>
      </c>
    </row>
    <row r="22917" spans="1:7" x14ac:dyDescent="0.25">
      <c r="A22917" s="50" t="s">
        <v>79</v>
      </c>
      <c r="B22917" s="72" t="str">
        <f>VLOOKUP(A22917,'Componentes APUs'!$A$1:$D$14,2,0)</f>
        <v>Gafas protectoras filtro UV</v>
      </c>
      <c r="C22917" s="73"/>
      <c r="D22917" s="50" t="str">
        <f>VLOOKUP(A22917,'Componentes APUs'!$A$1:$D$14,3,0)</f>
        <v>U</v>
      </c>
      <c r="E22917" s="50">
        <f>SUM(C22892:C22897)</f>
        <v>2.75</v>
      </c>
      <c r="F22917" s="51">
        <f>VLOOKUP(A22917,'Componentes APUs'!$A$1:$D$14,4,0)</f>
        <v>2777.7777777777778</v>
      </c>
      <c r="G22917" s="51">
        <f>ROUNDUP(F22917*(E22917/21)/E22879,0)</f>
        <v>46</v>
      </c>
    </row>
    <row r="22918" spans="1:7" x14ac:dyDescent="0.25">
      <c r="A22918" s="69" t="s">
        <v>402</v>
      </c>
      <c r="B22918" s="72" t="str">
        <f>VLOOKUP(A22918,'Componentes APUs'!$A$1:$D$14,2,0)</f>
        <v>Bota de seguridad PVC dielectrica</v>
      </c>
      <c r="C22918" s="73"/>
      <c r="D22918" s="50" t="str">
        <f>VLOOKUP(A22918,'Componentes APUs'!$A$1:$D$14,3,0)</f>
        <v>Par</v>
      </c>
      <c r="E22918" s="50">
        <f>SUM(C22892:C22897)</f>
        <v>2.75</v>
      </c>
      <c r="F22918" s="51">
        <f>VLOOKUP(A22918,'Componentes APUs'!$A$1:$D$14,4,0)</f>
        <v>2916.6666666666665</v>
      </c>
      <c r="G22918" s="51">
        <f>ROUNDUP(F22918*(E22918/21)/E22879,0)</f>
        <v>48</v>
      </c>
    </row>
    <row r="22919" spans="1:7" x14ac:dyDescent="0.25">
      <c r="A22919" s="50" t="s">
        <v>403</v>
      </c>
      <c r="B22919" s="72" t="str">
        <f>VLOOKUP(A22919,'Componentes APUs'!$A$1:$D$14,2,0)</f>
        <v>Capuchon</v>
      </c>
      <c r="C22919" s="73"/>
      <c r="D22919" s="50" t="str">
        <f>VLOOKUP(A22919,'Componentes APUs'!$A$1:$D$14,3,0)</f>
        <v>U</v>
      </c>
      <c r="E22919" s="50">
        <f>SUM(C22892:C22897)</f>
        <v>2.75</v>
      </c>
      <c r="F22919" s="51">
        <f>VLOOKUP(A22919,'Componentes APUs'!$A$1:$D$14,4,0)</f>
        <v>2525.2525252525252</v>
      </c>
      <c r="G22919" s="51">
        <f>ROUNDUP(F22919*(E22919/21)/E22879,0)</f>
        <v>42</v>
      </c>
    </row>
    <row r="22920" spans="1:7" x14ac:dyDescent="0.25">
      <c r="A22920" s="69" t="s">
        <v>81</v>
      </c>
      <c r="B22920" s="72" t="str">
        <f>VLOOKUP(A22920,'Componentes APUs'!$A$1:$D$14,2,0)</f>
        <v>Guantes Protectores  - ingeniero reforzados</v>
      </c>
      <c r="C22920" s="73"/>
      <c r="D22920" s="50" t="str">
        <f>VLOOKUP(A22920,'Componentes APUs'!$A$1:$D$14,3,0)</f>
        <v>Par</v>
      </c>
      <c r="E22920" s="50">
        <f>C22894+C22895+C22897</f>
        <v>2</v>
      </c>
      <c r="F22920" s="51">
        <f>VLOOKUP(A22920,'Componentes APUs'!$A$1:$D$14,4,0)</f>
        <v>2525.2525252525252</v>
      </c>
      <c r="G22920" s="51">
        <f>ROUNDUP(F22920*(E22920/21)/E22879,0)</f>
        <v>31</v>
      </c>
    </row>
    <row r="22921" spans="1:7" x14ac:dyDescent="0.25">
      <c r="A22921" s="50" t="s">
        <v>83</v>
      </c>
      <c r="B22921" s="72" t="str">
        <f>VLOOKUP(A22921,'Componentes APUs'!$A$1:$D$14,2,0)</f>
        <v>Impermeable (pantalon camisa)</v>
      </c>
      <c r="C22921" s="73"/>
      <c r="D22921" s="50" t="str">
        <f>VLOOKUP(A22921,'Componentes APUs'!$A$1:$D$14,3,0)</f>
        <v>U</v>
      </c>
      <c r="E22921" s="50">
        <f>SUM(C22892:C22897)</f>
        <v>2.75</v>
      </c>
      <c r="F22921" s="51">
        <f>VLOOKUP(A22921,'Componentes APUs'!$A$1:$D$14,4,0)</f>
        <v>3750</v>
      </c>
      <c r="G22921" s="51">
        <f>ROUNDUP(F22921*(E22921/21)/E22879,0)</f>
        <v>62</v>
      </c>
    </row>
    <row r="22922" spans="1:7" x14ac:dyDescent="0.25">
      <c r="A22922" s="69" t="s">
        <v>85</v>
      </c>
      <c r="B22922" s="72" t="str">
        <f>VLOOKUP(A22922,'Componentes APUs'!$A$1:$D$14,2,0)</f>
        <v>Jean Dielectrico</v>
      </c>
      <c r="C22922" s="73"/>
      <c r="D22922" s="50" t="str">
        <f>VLOOKUP(A22922,'Componentes APUs'!$A$1:$D$14,3,0)</f>
        <v>U</v>
      </c>
      <c r="E22922" s="50">
        <f>SUM(C22892:C22897)</f>
        <v>2.75</v>
      </c>
      <c r="F22922" s="51">
        <f>VLOOKUP(A22922,'Componentes APUs'!$A$1:$D$14,4,0)</f>
        <v>7575.757575757576</v>
      </c>
      <c r="G22922" s="51">
        <f>ROUNDUP(F22922*(E22922/21)/E22879,0)</f>
        <v>125</v>
      </c>
    </row>
    <row r="22923" spans="1:7" x14ac:dyDescent="0.25">
      <c r="A22923" s="50" t="s">
        <v>87</v>
      </c>
      <c r="B22923" s="72" t="str">
        <f>VLOOKUP(A22923,'Componentes APUs'!$A$1:$D$14,2,0)</f>
        <v>Casco dielectrico Tipo 2 Clase E con barboquejo</v>
      </c>
      <c r="C22923" s="73"/>
      <c r="D22923" s="50" t="str">
        <f>VLOOKUP(A22923,'Componentes APUs'!$A$1:$D$14,3,0)</f>
        <v>U</v>
      </c>
      <c r="E22923" s="53">
        <f>IF(A22894="MO-3",C22894,0)</f>
        <v>0</v>
      </c>
      <c r="F22923" s="51">
        <f>VLOOKUP(A22923,'Componentes APUs'!$A$1:$D$14,4,0)</f>
        <v>7500</v>
      </c>
      <c r="G22923" s="51">
        <f>ROUNDUP(F22923*(E22923/21)/E22879,0)</f>
        <v>0</v>
      </c>
    </row>
    <row r="22924" spans="1:7" x14ac:dyDescent="0.25">
      <c r="A22924" s="69" t="s">
        <v>89</v>
      </c>
      <c r="B22924" s="72" t="str">
        <f>VLOOKUP(A22924,'Componentes APUs'!$A$1:$D$14,2,0)</f>
        <v>Kit de rescate para trabajo en alturas</v>
      </c>
      <c r="C22924" s="73"/>
      <c r="D22924" s="50" t="str">
        <f>VLOOKUP(A22924,'Componentes APUs'!$A$1:$D$14,3,0)</f>
        <v>U</v>
      </c>
      <c r="E22924" s="50">
        <f>IF(AND(A22894="MO-3",C22894=2),1,0)</f>
        <v>0</v>
      </c>
      <c r="F22924" s="51">
        <f>VLOOKUP(A22924,'Componentes APUs'!$A$1:$D$14,4,0)</f>
        <v>37500</v>
      </c>
      <c r="G22924" s="51">
        <f>ROUNDUP(F22924*(E22924/21)/E22879,0)</f>
        <v>0</v>
      </c>
    </row>
    <row r="22925" spans="1:7" x14ac:dyDescent="0.25">
      <c r="A22925" s="50" t="s">
        <v>91</v>
      </c>
      <c r="B22925" s="72" t="str">
        <f>VLOOKUP(A22925,'Componentes APUs'!$A$1:$D$14,2,0)</f>
        <v>Equipo completo para trabajo en alturas con pretales (Arnes dielectrico, 1 mosqueton de seguridad, tie off dielectrico, eslinga de posicionamiento, juego de pretales)</v>
      </c>
      <c r="C22925" s="73"/>
      <c r="D22925" s="50" t="str">
        <f>VLOOKUP(A22925,'Componentes APUs'!$A$1:$D$14,3,0)</f>
        <v>U</v>
      </c>
      <c r="E22925" s="50">
        <f>IF(A22894="MO-3",C22894,0)</f>
        <v>0</v>
      </c>
      <c r="F22925" s="51">
        <f>VLOOKUP(A22925,'Componentes APUs'!$A$1:$D$14,4,0)</f>
        <v>26041.666666666668</v>
      </c>
      <c r="G22925" s="51">
        <f>ROUNDUP(F22925*(E22925/21)/E22879,0)</f>
        <v>0</v>
      </c>
    </row>
    <row r="22926" spans="1:7" x14ac:dyDescent="0.25">
      <c r="A22926" s="219" t="s">
        <v>95</v>
      </c>
      <c r="B22926" s="219"/>
      <c r="C22926" s="219"/>
      <c r="D22926" s="219"/>
      <c r="E22926" s="219"/>
      <c r="F22926" s="219"/>
      <c r="G22926" s="52">
        <f>SUM(G22913:G22925)</f>
        <v>847</v>
      </c>
    </row>
    <row r="22927" spans="1:7" x14ac:dyDescent="0.25">
      <c r="A22927" s="56"/>
      <c r="B22927" s="57"/>
      <c r="C22927" s="57"/>
      <c r="D22927" s="57"/>
      <c r="E22927" s="57"/>
      <c r="F22927" s="57"/>
      <c r="G22927" s="58"/>
    </row>
    <row r="22928" spans="1:7" x14ac:dyDescent="0.25">
      <c r="A22928" s="219" t="s">
        <v>96</v>
      </c>
      <c r="B22928" s="219"/>
      <c r="C22928" s="219"/>
      <c r="D22928" s="219"/>
      <c r="E22928" s="219"/>
      <c r="F22928" s="219"/>
      <c r="G22928" s="219"/>
    </row>
    <row r="22929" spans="1:7" x14ac:dyDescent="0.25">
      <c r="A22929" s="49" t="s">
        <v>35</v>
      </c>
      <c r="B22929" s="225" t="s">
        <v>36</v>
      </c>
      <c r="C22929" s="225"/>
      <c r="D22929" s="49" t="s">
        <v>37</v>
      </c>
      <c r="E22929" s="49" t="s">
        <v>38</v>
      </c>
      <c r="F22929" s="49" t="s">
        <v>39</v>
      </c>
      <c r="G22929" s="49" t="s">
        <v>40</v>
      </c>
    </row>
    <row r="22930" spans="1:7" x14ac:dyDescent="0.25">
      <c r="A22930" s="69" t="s">
        <v>97</v>
      </c>
      <c r="B22930" s="72" t="str">
        <f>VLOOKUP(A22930,'Componentes APUs'!$N$1:$Q$30,2,0)</f>
        <v>Camioneta</v>
      </c>
      <c r="C22930" s="73"/>
      <c r="D22930" s="70" t="str">
        <f>VLOOKUP(A22930,'Componentes APUs'!$N$1:$Q$30,3,0)</f>
        <v>U</v>
      </c>
      <c r="E22930" s="50">
        <v>1</v>
      </c>
      <c r="F22930" s="51">
        <f>VLOOKUP(A22930,'Componentes APUs'!$N$1:$Q$30,4,0)</f>
        <v>5500000</v>
      </c>
      <c r="G22930" s="51">
        <f>IFERROR(ROUNDUP(F22930*(E22930/21)/E22879,0),0)</f>
        <v>32739</v>
      </c>
    </row>
    <row r="22931" spans="1:7" x14ac:dyDescent="0.25">
      <c r="A22931" s="50" t="s">
        <v>321</v>
      </c>
      <c r="B22931" s="72" t="str">
        <f>VLOOKUP(A22931,'Componentes APUs'!$N$1:$Q$30,2,0)</f>
        <v>Grúa Hidráulica</v>
      </c>
      <c r="C22931" s="73"/>
      <c r="D22931" s="70" t="str">
        <f>VLOOKUP(A22931,'Componentes APUs'!$N$1:$Q$30,3,0)</f>
        <v>U</v>
      </c>
      <c r="E22931" s="50">
        <v>0</v>
      </c>
      <c r="F22931" s="51">
        <f>VLOOKUP(A22931,'Componentes APUs'!$N$1:$Q$30,4,0)</f>
        <v>21000000</v>
      </c>
      <c r="G22931" s="51">
        <f>IFERROR(ROUNDUP(F22931*(E22931/21)/E22879,0),0)</f>
        <v>0</v>
      </c>
    </row>
    <row r="22932" spans="1:7" x14ac:dyDescent="0.25">
      <c r="A22932" s="69" t="s">
        <v>322</v>
      </c>
      <c r="B22932" s="72" t="str">
        <f>VLOOKUP(A22932,'Componentes APUs'!$N$1:$Q$30,2,0)</f>
        <v>Camabaja</v>
      </c>
      <c r="C22932" s="73"/>
      <c r="D22932" s="70" t="str">
        <f>VLOOKUP(A22932,'Componentes APUs'!$N$1:$Q$30,3,0)</f>
        <v>TON/KM</v>
      </c>
      <c r="E22932" s="50">
        <v>0</v>
      </c>
      <c r="F22932" s="51">
        <f>VLOOKUP(A22932,'Componentes APUs'!$N$1:$Q$30,4,0)</f>
        <v>611</v>
      </c>
      <c r="G22932" s="51">
        <f>IFERROR(ROUNDUP(F22932*(E22932/21)/E22879,0),0)</f>
        <v>0</v>
      </c>
    </row>
    <row r="22933" spans="1:7" x14ac:dyDescent="0.25">
      <c r="A22933" s="50" t="s">
        <v>323</v>
      </c>
      <c r="B22933" s="72" t="str">
        <f>VLOOKUP(A22933,'Componentes APUs'!$N$1:$Q$30,2,0)</f>
        <v>Volqueta</v>
      </c>
      <c r="C22933" s="73"/>
      <c r="D22933" s="70" t="str">
        <f>VLOOKUP(A22933,'Componentes APUs'!$N$1:$Q$30,3,0)</f>
        <v>U</v>
      </c>
      <c r="E22933" s="50">
        <v>0</v>
      </c>
      <c r="F22933" s="51">
        <f>VLOOKUP(A22933,'Componentes APUs'!$N$1:$Q$30,4,0)</f>
        <v>14828184</v>
      </c>
      <c r="G22933" s="51">
        <f>IFERROR(ROUNDUP(F22933*(E22933/21)/E22879,0),0)</f>
        <v>0</v>
      </c>
    </row>
    <row r="22934" spans="1:7" x14ac:dyDescent="0.25">
      <c r="A22934" s="69" t="s">
        <v>324</v>
      </c>
      <c r="B22934" s="72" t="str">
        <f>VLOOKUP(A22934,'Componentes APUs'!$N$1:$Q$30,2,0)</f>
        <v>Retroexcavadora</v>
      </c>
      <c r="C22934" s="73"/>
      <c r="D22934" s="70" t="str">
        <f>VLOOKUP(A22934,'Componentes APUs'!$N$1:$Q$30,3,0)</f>
        <v>U</v>
      </c>
      <c r="E22934" s="50">
        <v>0</v>
      </c>
      <c r="F22934" s="51">
        <f>VLOOKUP(A22934,'Componentes APUs'!$N$1:$Q$30,4,0)</f>
        <v>46030656</v>
      </c>
      <c r="G22934" s="51">
        <f>IFERROR(ROUNDUP(F22934*(E22934/21)/E22879,0),0)</f>
        <v>0</v>
      </c>
    </row>
    <row r="22935" spans="1:7" x14ac:dyDescent="0.25">
      <c r="A22935" s="219" t="s">
        <v>99</v>
      </c>
      <c r="B22935" s="219"/>
      <c r="C22935" s="219"/>
      <c r="D22935" s="219"/>
      <c r="E22935" s="219"/>
      <c r="F22935" s="219"/>
      <c r="G22935" s="52">
        <f>SUM(G22930:G22934)</f>
        <v>32739</v>
      </c>
    </row>
    <row r="22936" spans="1:7" x14ac:dyDescent="0.25">
      <c r="A22936" s="56"/>
      <c r="B22936" s="57"/>
      <c r="C22936" s="57"/>
      <c r="D22936" s="57"/>
      <c r="E22936" s="57"/>
      <c r="F22936" s="57"/>
      <c r="G22936" s="58"/>
    </row>
    <row r="22937" spans="1:7" x14ac:dyDescent="0.25">
      <c r="A22937" s="219" t="s">
        <v>1516</v>
      </c>
      <c r="B22937" s="219"/>
      <c r="C22937" s="219"/>
      <c r="D22937" s="219"/>
      <c r="E22937" s="219"/>
      <c r="F22937" s="219"/>
      <c r="G22937" s="52">
        <f>G22935+G22926+G22909+G22898+G22888</f>
        <v>289817</v>
      </c>
    </row>
    <row r="22938" spans="1:7" x14ac:dyDescent="0.25">
      <c r="A22938" s="59"/>
      <c r="B22938" s="60"/>
      <c r="C22938" s="60"/>
      <c r="D22938" s="60"/>
      <c r="E22938" s="57"/>
      <c r="F22938" s="57"/>
      <c r="G22938" s="58"/>
    </row>
    <row r="22939" spans="1:7" x14ac:dyDescent="0.25">
      <c r="A22939" s="64"/>
      <c r="D22939" s="55"/>
      <c r="E22939" s="49" t="s">
        <v>25</v>
      </c>
      <c r="F22939" s="54">
        <v>0.15</v>
      </c>
      <c r="G22939" s="51">
        <f>G22937*F22939</f>
        <v>43472.549999999996</v>
      </c>
    </row>
    <row r="22940" spans="1:7" x14ac:dyDescent="0.25">
      <c r="A22940" s="64"/>
      <c r="D22940" s="55"/>
      <c r="E22940" s="49" t="s">
        <v>26</v>
      </c>
      <c r="F22940" s="54">
        <v>0.05</v>
      </c>
      <c r="G22940" s="51">
        <f>G22937*F22940</f>
        <v>14490.85</v>
      </c>
    </row>
    <row r="22941" spans="1:7" x14ac:dyDescent="0.25">
      <c r="A22941" s="61"/>
      <c r="B22941" s="65"/>
      <c r="C22941" s="65"/>
      <c r="D22941" s="62"/>
      <c r="E22941" s="49" t="s">
        <v>27</v>
      </c>
      <c r="F22941" s="54">
        <v>0.05</v>
      </c>
      <c r="G22941" s="51">
        <f>G22937*F22941</f>
        <v>14490.85</v>
      </c>
    </row>
    <row r="22942" spans="1:7" x14ac:dyDescent="0.25">
      <c r="A22942" s="61"/>
      <c r="B22942" s="62"/>
      <c r="C22942" s="62"/>
      <c r="D22942" s="62"/>
      <c r="E22942" s="62"/>
      <c r="F22942" s="62"/>
      <c r="G22942" s="63"/>
    </row>
    <row r="22943" spans="1:7" x14ac:dyDescent="0.25">
      <c r="A22943" s="219" t="s">
        <v>1517</v>
      </c>
      <c r="B22943" s="219"/>
      <c r="C22943" s="219"/>
      <c r="D22943" s="219"/>
      <c r="E22943" s="219"/>
      <c r="F22943" s="219"/>
      <c r="G22943" s="52">
        <f>G22937+G22939+G22940+G22941</f>
        <v>362271.24999999994</v>
      </c>
    </row>
    <row r="22944" spans="1:7" x14ac:dyDescent="0.25">
      <c r="A22944" s="59"/>
      <c r="B22944" s="60"/>
      <c r="C22944" s="60"/>
      <c r="D22944" s="60"/>
      <c r="E22944" s="57"/>
      <c r="F22944" s="57"/>
      <c r="G22944" s="58"/>
    </row>
    <row r="22945" spans="1:7" x14ac:dyDescent="0.25">
      <c r="A22945" s="64"/>
      <c r="D22945" s="55"/>
      <c r="E22945" s="49" t="s">
        <v>102</v>
      </c>
      <c r="F22945" s="49" t="s">
        <v>103</v>
      </c>
      <c r="G22945" s="51">
        <f>G22941*19%</f>
        <v>2753.2615000000001</v>
      </c>
    </row>
    <row r="22946" spans="1:7" x14ac:dyDescent="0.25">
      <c r="A22946" s="61"/>
      <c r="B22946" s="62"/>
      <c r="C22946" s="62"/>
      <c r="D22946" s="62"/>
      <c r="E22946" s="57"/>
      <c r="F22946" s="57"/>
      <c r="G22946" s="58"/>
    </row>
    <row r="22947" spans="1:7" x14ac:dyDescent="0.25">
      <c r="A22947" s="219" t="s">
        <v>104</v>
      </c>
      <c r="B22947" s="219"/>
      <c r="C22947" s="219"/>
      <c r="D22947" s="219"/>
      <c r="E22947" s="219"/>
      <c r="F22947" s="219"/>
      <c r="G22947" s="52">
        <f>G22945+G22943</f>
        <v>365024.51149999996</v>
      </c>
    </row>
    <row r="22949" spans="1:7" x14ac:dyDescent="0.25">
      <c r="A22949" s="74" t="s">
        <v>29</v>
      </c>
      <c r="B22949" s="237" t="s">
        <v>30</v>
      </c>
      <c r="C22949" s="238"/>
      <c r="D22949" s="74" t="s">
        <v>31</v>
      </c>
      <c r="E22949" s="74" t="s">
        <v>32</v>
      </c>
      <c r="F22949" s="74" t="s">
        <v>189</v>
      </c>
      <c r="G22949" s="74" t="s">
        <v>33</v>
      </c>
    </row>
    <row r="22950" spans="1:7" x14ac:dyDescent="0.25">
      <c r="A22950" s="50" t="str">
        <f>Presupuesto!B436</f>
        <v>095_AUX</v>
      </c>
      <c r="B22950" s="220" t="str">
        <f>Presupuesto!C436</f>
        <v>ELECTRODO DE PUESTA A TIERRA CU–CU Ø16 MM (5/8") X 2400 MM</v>
      </c>
      <c r="C22950" s="239"/>
      <c r="D22950" s="50" t="s">
        <v>8</v>
      </c>
      <c r="E22950" s="50">
        <v>8</v>
      </c>
      <c r="F22950" s="50"/>
      <c r="G22950" s="51">
        <f>G23018</f>
        <v>508076.0025</v>
      </c>
    </row>
    <row r="22951" spans="1:7" x14ac:dyDescent="0.25">
      <c r="A22951" s="219" t="s">
        <v>34</v>
      </c>
      <c r="B22951" s="219"/>
      <c r="C22951" s="219"/>
      <c r="D22951" s="219"/>
      <c r="E22951" s="219"/>
      <c r="F22951" s="219"/>
      <c r="G22951" s="219"/>
    </row>
    <row r="22952" spans="1:7" x14ac:dyDescent="0.25">
      <c r="A22952" s="49" t="s">
        <v>35</v>
      </c>
      <c r="B22952" s="234" t="s">
        <v>36</v>
      </c>
      <c r="C22952" s="235"/>
      <c r="D22952" s="49" t="s">
        <v>37</v>
      </c>
      <c r="E22952" s="49" t="s">
        <v>38</v>
      </c>
      <c r="F22952" s="49" t="s">
        <v>39</v>
      </c>
      <c r="G22952" s="49" t="s">
        <v>40</v>
      </c>
    </row>
    <row r="22953" spans="1:7" x14ac:dyDescent="0.25">
      <c r="A22953" s="17" t="str">
        <f>Material!A166</f>
        <v>MA-165</v>
      </c>
      <c r="B22953" s="72" t="str">
        <f>IFERROR(VLOOKUP(A22953,Material!$A:$H,2,0),"-")</f>
        <v>ELECTRODO EN COBRE Ø16 MM (5/8”) X 2.4 METROS</v>
      </c>
      <c r="C22953" s="76"/>
      <c r="D22953" s="50" t="str">
        <f>IFERROR(VLOOKUP(A22953,Material!$A:$H,4,0),"-")</f>
        <v>UN</v>
      </c>
      <c r="E22953" s="50">
        <v>1</v>
      </c>
      <c r="F22953" s="51">
        <f>IFERROR(VLOOKUP(A22953,Material!$A:$H,3,0),"-")</f>
        <v>285350</v>
      </c>
      <c r="G22953" s="51">
        <f>IFERROR(ROUNDUP(F22953*E22953,0),"-")</f>
        <v>285350</v>
      </c>
    </row>
    <row r="22954" spans="1:7" x14ac:dyDescent="0.25">
      <c r="A22954" s="17"/>
      <c r="B22954" s="72"/>
      <c r="C22954" s="76"/>
      <c r="D22954" s="50"/>
      <c r="E22954" s="50"/>
      <c r="F22954" s="51"/>
      <c r="G22954" s="51"/>
    </row>
    <row r="22955" spans="1:7" x14ac:dyDescent="0.25">
      <c r="A22955" s="17"/>
      <c r="B22955" s="72"/>
      <c r="C22955" s="76"/>
      <c r="D22955" s="50"/>
      <c r="E22955" s="50"/>
      <c r="F22955" s="51"/>
      <c r="G22955" s="51"/>
    </row>
    <row r="22956" spans="1:7" x14ac:dyDescent="0.25">
      <c r="A22956" s="17"/>
      <c r="B22956" s="72"/>
      <c r="C22956" s="76"/>
      <c r="D22956" s="50"/>
      <c r="E22956" s="50"/>
      <c r="F22956" s="51"/>
      <c r="G22956" s="51"/>
    </row>
    <row r="22957" spans="1:7" x14ac:dyDescent="0.25">
      <c r="A22957" s="17"/>
      <c r="B22957" s="72"/>
      <c r="C22957" s="76"/>
      <c r="D22957" s="50"/>
      <c r="E22957" s="50"/>
      <c r="F22957" s="51"/>
      <c r="G22957" s="51"/>
    </row>
    <row r="22958" spans="1:7" x14ac:dyDescent="0.25">
      <c r="A22958" s="17"/>
      <c r="B22958" s="72"/>
      <c r="C22958" s="76"/>
      <c r="D22958" s="50"/>
      <c r="E22958" s="50"/>
      <c r="F22958" s="51"/>
      <c r="G22958" s="51"/>
    </row>
    <row r="22959" spans="1:7" x14ac:dyDescent="0.25">
      <c r="A22959" s="234" t="s">
        <v>41</v>
      </c>
      <c r="B22959" s="236"/>
      <c r="C22959" s="236"/>
      <c r="D22959" s="236"/>
      <c r="E22959" s="236"/>
      <c r="F22959" s="235"/>
      <c r="G22959" s="52">
        <f>SUM(G22953:G22958)</f>
        <v>285350</v>
      </c>
    </row>
    <row r="22960" spans="1:7" x14ac:dyDescent="0.25">
      <c r="A22960" s="56"/>
      <c r="B22960" s="57"/>
      <c r="C22960" s="57"/>
      <c r="D22960" s="57"/>
      <c r="E22960" s="57"/>
      <c r="F22960" s="57"/>
      <c r="G22960" s="58"/>
    </row>
    <row r="22961" spans="1:7" x14ac:dyDescent="0.25">
      <c r="A22961" s="219" t="s">
        <v>42</v>
      </c>
      <c r="B22961" s="219"/>
      <c r="C22961" s="219"/>
      <c r="D22961" s="219"/>
      <c r="E22961" s="219"/>
      <c r="F22961" s="219"/>
      <c r="G22961" s="219"/>
    </row>
    <row r="22962" spans="1:7" x14ac:dyDescent="0.25">
      <c r="A22962" s="49" t="s">
        <v>35</v>
      </c>
      <c r="B22962" s="49" t="s">
        <v>36</v>
      </c>
      <c r="C22962" s="49" t="s">
        <v>38</v>
      </c>
      <c r="D22962" s="49" t="s">
        <v>43</v>
      </c>
      <c r="E22962" s="49" t="s">
        <v>44</v>
      </c>
      <c r="F22962" s="49" t="s">
        <v>45</v>
      </c>
      <c r="G22962" s="49" t="s">
        <v>40</v>
      </c>
    </row>
    <row r="22963" spans="1:7" x14ac:dyDescent="0.25">
      <c r="A22963" s="50" t="s">
        <v>319</v>
      </c>
      <c r="B22963" s="68" t="str">
        <f>VLOOKUP(A22963,'Componentes APUs'!$H$1:$L$25,2,0)</f>
        <v>Ingeniero Residente de Obra</v>
      </c>
      <c r="C22963" s="93">
        <v>0.25</v>
      </c>
      <c r="D22963" s="50">
        <f>VLOOKUP(A22963,'Componentes APUs'!$H$1:$L$25,3,0)</f>
        <v>4</v>
      </c>
      <c r="E22963" s="51">
        <f>VLOOKUP(A22963,'Componentes APUs'!$H$1:$L$25,4,0)</f>
        <v>271142.85714285716</v>
      </c>
      <c r="F22963" s="51">
        <f>VLOOKUP(A22963,'Componentes APUs'!$H$1:$L$25,5,0)</f>
        <v>162685.71428571429</v>
      </c>
      <c r="G22963" s="51">
        <f>ROUNDUP((E22963+F22963)*C22963/E22950,0)</f>
        <v>13558</v>
      </c>
    </row>
    <row r="22964" spans="1:7" x14ac:dyDescent="0.25">
      <c r="A22964" s="50" t="s">
        <v>320</v>
      </c>
      <c r="B22964" s="68" t="str">
        <f>VLOOKUP(A22964,'Componentes APUs'!$H$1:$L$25,2,0)</f>
        <v>Tecnico Supervisor</v>
      </c>
      <c r="C22964" s="93">
        <v>0.25</v>
      </c>
      <c r="D22964" s="50">
        <f>VLOOKUP(A22964,'Componentes APUs'!$H$1:$L$25,3,0)</f>
        <v>2.2999999999999998</v>
      </c>
      <c r="E22964" s="51">
        <f>VLOOKUP(A22964,'Componentes APUs'!$H$1:$L$25,4,0)</f>
        <v>155907.14285714284</v>
      </c>
      <c r="F22964" s="51">
        <f>VLOOKUP(A22964,'Componentes APUs'!$H$1:$L$25,5,0)</f>
        <v>93544.285714285696</v>
      </c>
      <c r="G22964" s="51">
        <f>ROUNDUP((E22964+F22964)*C22964/E22950,0)</f>
        <v>7796</v>
      </c>
    </row>
    <row r="22965" spans="1:7" x14ac:dyDescent="0.25">
      <c r="A22965" s="50" t="s">
        <v>1160</v>
      </c>
      <c r="B22965" s="68" t="str">
        <f>VLOOKUP(A22965,'Componentes APUs'!$H$1:$L$25,2,0)</f>
        <v>Oficial Eléctrico</v>
      </c>
      <c r="C22965" s="93">
        <v>1</v>
      </c>
      <c r="D22965" s="50">
        <f>VLOOKUP(A22965,'Componentes APUs'!$H$1:$L$25,3,0)</f>
        <v>2</v>
      </c>
      <c r="E22965" s="51">
        <f>VLOOKUP(A22965,'Componentes APUs'!$H$1:$L$25,4,0)</f>
        <v>154619.04761904763</v>
      </c>
      <c r="F22965" s="51">
        <f>VLOOKUP(A22965,'Componentes APUs'!$H$1:$L$25,5,0)</f>
        <v>92771.42857142858</v>
      </c>
      <c r="G22965" s="51">
        <f>ROUNDUP((E22965+F22965)*C22965/E22950,0)</f>
        <v>30924</v>
      </c>
    </row>
    <row r="22966" spans="1:7" x14ac:dyDescent="0.25">
      <c r="A22966" s="50" t="s">
        <v>48</v>
      </c>
      <c r="B22966" s="68" t="str">
        <f>VLOOKUP(A22966,'Componentes APUs'!$H$1:$L$25,2,0)</f>
        <v>Ayudante Calificado</v>
      </c>
      <c r="C22966" s="93">
        <v>1</v>
      </c>
      <c r="D22966" s="50">
        <f>VLOOKUP(A22966,'Componentes APUs'!$H$1:$L$25,3,0)</f>
        <v>1.5</v>
      </c>
      <c r="E22966" s="51">
        <f>VLOOKUP(A22966,'Componentes APUs'!$H$1:$L$25,4,0)</f>
        <v>115964.28571428571</v>
      </c>
      <c r="F22966" s="51">
        <f>VLOOKUP(A22966,'Componentes APUs'!$H$1:$L$25,5,0)</f>
        <v>69578.57142857142</v>
      </c>
      <c r="G22966" s="51">
        <f>ROUNDUP((E22966+F22966)*C22966/E22950,0)</f>
        <v>23193</v>
      </c>
    </row>
    <row r="22967" spans="1:7" x14ac:dyDescent="0.25">
      <c r="A22967" s="50" t="s">
        <v>50</v>
      </c>
      <c r="B22967" s="68" t="str">
        <f>VLOOKUP(A22967,'Componentes APUs'!$H$1:$L$25,2,0)</f>
        <v>Profesional en SST</v>
      </c>
      <c r="C22967" s="93">
        <v>0.25</v>
      </c>
      <c r="D22967" s="50">
        <f>VLOOKUP(A22967,'Componentes APUs'!$H$1:$L$25,3,0)</f>
        <v>2.5</v>
      </c>
      <c r="E22967" s="51">
        <f>VLOOKUP(A22967,'Componentes APUs'!$H$1:$L$25,4,0)</f>
        <v>169464.28571428571</v>
      </c>
      <c r="F22967" s="51">
        <f>VLOOKUP(A22967,'Componentes APUs'!$H$1:$L$25,5,0)</f>
        <v>101678.57142857142</v>
      </c>
      <c r="G22967" s="51">
        <f>ROUNDUP((E22967+F22967)*C22967/E22950,0)</f>
        <v>8474</v>
      </c>
    </row>
    <row r="22968" spans="1:7" x14ac:dyDescent="0.25">
      <c r="A22968" s="50" t="s">
        <v>52</v>
      </c>
      <c r="B22968" s="68" t="str">
        <f>VLOOKUP(A22968,'Componentes APUs'!$H$1:$L$25,2,0)</f>
        <v>Ayudante No Calificado</v>
      </c>
      <c r="C22968" s="93">
        <v>0</v>
      </c>
      <c r="D22968" s="50">
        <f>VLOOKUP(A22968,'Componentes APUs'!$H$1:$L$25,3,0)</f>
        <v>1</v>
      </c>
      <c r="E22968" s="51">
        <f>VLOOKUP(A22968,'Componentes APUs'!$H$1:$L$25,4,0)</f>
        <v>77309.523809523816</v>
      </c>
      <c r="F22968" s="51">
        <f>VLOOKUP(A22968,'Componentes APUs'!$H$1:$L$25,5,0)</f>
        <v>46385.71428571429</v>
      </c>
      <c r="G22968" s="51">
        <f>ROUNDUP((E22968+F22968)*C22968/E22950,0)</f>
        <v>0</v>
      </c>
    </row>
    <row r="22969" spans="1:7" x14ac:dyDescent="0.25">
      <c r="A22969" s="219" t="s">
        <v>56</v>
      </c>
      <c r="B22969" s="219"/>
      <c r="C22969" s="219"/>
      <c r="D22969" s="219"/>
      <c r="E22969" s="219"/>
      <c r="F22969" s="219"/>
      <c r="G22969" s="52">
        <f>SUM(G22963:G22968)</f>
        <v>83945</v>
      </c>
    </row>
    <row r="22970" spans="1:7" x14ac:dyDescent="0.25">
      <c r="A22970" s="56"/>
      <c r="B22970" s="57"/>
      <c r="C22970" s="57"/>
      <c r="D22970" s="57"/>
      <c r="E22970" s="57"/>
      <c r="F22970" s="57"/>
      <c r="G22970" s="58"/>
    </row>
    <row r="22971" spans="1:7" x14ac:dyDescent="0.25">
      <c r="A22971" s="219" t="s">
        <v>57</v>
      </c>
      <c r="B22971" s="219"/>
      <c r="C22971" s="219"/>
      <c r="D22971" s="219"/>
      <c r="E22971" s="219"/>
      <c r="F22971" s="219"/>
      <c r="G22971" s="219"/>
    </row>
    <row r="22972" spans="1:7" x14ac:dyDescent="0.25">
      <c r="A22972" s="49" t="s">
        <v>35</v>
      </c>
      <c r="B22972" s="219" t="s">
        <v>36</v>
      </c>
      <c r="C22972" s="219"/>
      <c r="D22972" s="49" t="s">
        <v>37</v>
      </c>
      <c r="E22972" s="49" t="s">
        <v>38</v>
      </c>
      <c r="F22972" s="49" t="s">
        <v>39</v>
      </c>
      <c r="G22972" s="49" t="s">
        <v>40</v>
      </c>
    </row>
    <row r="22973" spans="1:7" x14ac:dyDescent="0.25">
      <c r="A22973" s="50" t="s">
        <v>326</v>
      </c>
      <c r="B22973" s="220" t="str">
        <f>VLOOKUP(A22973,'Componentes APUs'!$S$1:$V$10,2,0)</f>
        <v>Juego Llaves</v>
      </c>
      <c r="C22973" s="220"/>
      <c r="D22973" s="50" t="s">
        <v>18</v>
      </c>
      <c r="E22973" s="50">
        <v>1</v>
      </c>
      <c r="F22973" s="51">
        <f>VLOOKUP(A22973,'Componentes APUs'!$S$1:$V$10,4,0)</f>
        <v>9167</v>
      </c>
      <c r="G22973" s="51">
        <f>ROUNDUP(F22973*((E22973/21)/E22950),0)</f>
        <v>55</v>
      </c>
    </row>
    <row r="22974" spans="1:7" x14ac:dyDescent="0.25">
      <c r="A22974" s="50" t="s">
        <v>58</v>
      </c>
      <c r="B22974" s="220" t="str">
        <f>VLOOKUP(A22974,'Componentes APUs'!$S$1:$V$10,2,0)</f>
        <v>Manila de servicio</v>
      </c>
      <c r="C22974" s="220"/>
      <c r="D22974" s="50" t="s">
        <v>18</v>
      </c>
      <c r="E22974" s="50">
        <v>0</v>
      </c>
      <c r="F22974" s="51">
        <f>VLOOKUP(A22974,'Componentes APUs'!$S$1:$V$10,4,0)</f>
        <v>2333</v>
      </c>
      <c r="G22974" s="51">
        <f>ROUNDUP(F22974*((E22974/21)/E22950),0)</f>
        <v>0</v>
      </c>
    </row>
    <row r="22975" spans="1:7" x14ac:dyDescent="0.25">
      <c r="A22975" s="50" t="s">
        <v>327</v>
      </c>
      <c r="B22975" s="220" t="str">
        <f>VLOOKUP(A22975,'Componentes APUs'!$S$1:$V$10,2,0)</f>
        <v>Tula portaherramientas</v>
      </c>
      <c r="C22975" s="220"/>
      <c r="D22975" s="50" t="s">
        <v>18</v>
      </c>
      <c r="E22975" s="50">
        <v>1</v>
      </c>
      <c r="F22975" s="51">
        <f>VLOOKUP(A22975,'Componentes APUs'!$S$1:$V$10,4,0)</f>
        <v>1250</v>
      </c>
      <c r="G22975" s="51">
        <f>ROUNDUP(F22975*((E22975/21)/E22950),0)</f>
        <v>8</v>
      </c>
    </row>
    <row r="22976" spans="1:7" x14ac:dyDescent="0.25">
      <c r="A22976" s="50" t="s">
        <v>60</v>
      </c>
      <c r="B22976" s="220" t="str">
        <f>VLOOKUP(A22976,'Componentes APUs'!$S$1:$V$10,2,0)</f>
        <v>Agarradoras</v>
      </c>
      <c r="C22976" s="220"/>
      <c r="D22976" s="50" t="s">
        <v>18</v>
      </c>
      <c r="E22976" s="50">
        <v>0</v>
      </c>
      <c r="F22976" s="51">
        <f>VLOOKUP(A22976,'Componentes APUs'!$S$1:$V$10,4,0)</f>
        <v>125000</v>
      </c>
      <c r="G22976" s="51">
        <f>ROUNDUP(F22976*((E22976/21)/E22950),0)</f>
        <v>0</v>
      </c>
    </row>
    <row r="22977" spans="1:7" x14ac:dyDescent="0.25">
      <c r="A22977" s="50" t="s">
        <v>62</v>
      </c>
      <c r="B22977" s="220" t="str">
        <f>VLOOKUP(A22977,'Componentes APUs'!$S$1:$V$10,2,0)</f>
        <v>Templadoras</v>
      </c>
      <c r="C22977" s="220"/>
      <c r="D22977" s="50" t="s">
        <v>18</v>
      </c>
      <c r="E22977" s="50">
        <v>0</v>
      </c>
      <c r="F22977" s="51">
        <f>VLOOKUP(A22977,'Componentes APUs'!$S$1:$V$10,4,0)</f>
        <v>250000</v>
      </c>
      <c r="G22977" s="51">
        <f>ROUNDUP(F22977*((E22977/21)/E22950),0)</f>
        <v>0</v>
      </c>
    </row>
    <row r="22978" spans="1:7" ht="15" customHeight="1" x14ac:dyDescent="0.25">
      <c r="A22978" s="50" t="s">
        <v>328</v>
      </c>
      <c r="B22978" s="220" t="str">
        <f>VLOOKUP(A22978,'Componentes APUs'!$S$1:$V$10,2,0)</f>
        <v>Herramienta Menor</v>
      </c>
      <c r="C22978" s="220"/>
      <c r="D22978" s="50" t="s">
        <v>18</v>
      </c>
      <c r="E22978" s="50">
        <v>1</v>
      </c>
      <c r="F22978" s="51">
        <f>VLOOKUP(A22978,'Componentes APUs'!$S$1:$V$10,4,0)</f>
        <v>75758</v>
      </c>
      <c r="G22978" s="51">
        <f>ROUNDUP(F22978*((E22978/21)/E22950),0)</f>
        <v>451</v>
      </c>
    </row>
    <row r="22979" spans="1:7" ht="15" customHeight="1" x14ac:dyDescent="0.25">
      <c r="A22979" s="50" t="s">
        <v>1046</v>
      </c>
      <c r="B22979" s="220" t="str">
        <f>VLOOKUP(A22979,'Componentes APUs'!$S$1:$V$10,2,0)</f>
        <v>Molde Grafito Soldadura Exotérmica En X</v>
      </c>
      <c r="C22979" s="220"/>
      <c r="D22979" s="50" t="s">
        <v>18</v>
      </c>
      <c r="E22979" s="50">
        <v>0</v>
      </c>
      <c r="F22979" s="51">
        <f>VLOOKUP(A22979,'Componentes APUs'!$S$1:$V$10,4,0)</f>
        <v>239000</v>
      </c>
      <c r="G22979" s="51">
        <f>ROUNDUP(F22979*((E22979/21)/E22950),0)</f>
        <v>0</v>
      </c>
    </row>
    <row r="22980" spans="1:7" x14ac:dyDescent="0.25">
      <c r="A22980" s="219" t="s">
        <v>69</v>
      </c>
      <c r="B22980" s="219"/>
      <c r="C22980" s="219"/>
      <c r="D22980" s="219"/>
      <c r="E22980" s="219"/>
      <c r="F22980" s="219"/>
      <c r="G22980" s="52">
        <f>SUM(G22973:G22979)</f>
        <v>514</v>
      </c>
    </row>
    <row r="22981" spans="1:7" x14ac:dyDescent="0.25">
      <c r="A22981" s="56"/>
      <c r="B22981" s="57"/>
      <c r="C22981" s="57"/>
      <c r="D22981" s="57"/>
      <c r="E22981" s="57"/>
      <c r="F22981" s="57"/>
      <c r="G22981" s="58"/>
    </row>
    <row r="22982" spans="1:7" x14ac:dyDescent="0.25">
      <c r="A22982" s="219" t="s">
        <v>70</v>
      </c>
      <c r="B22982" s="219"/>
      <c r="C22982" s="219"/>
      <c r="D22982" s="219"/>
      <c r="E22982" s="219"/>
      <c r="F22982" s="219"/>
      <c r="G22982" s="219"/>
    </row>
    <row r="22983" spans="1:7" x14ac:dyDescent="0.25">
      <c r="A22983" s="49" t="s">
        <v>35</v>
      </c>
      <c r="B22983" s="219" t="s">
        <v>36</v>
      </c>
      <c r="C22983" s="219"/>
      <c r="D22983" s="49" t="s">
        <v>37</v>
      </c>
      <c r="E22983" s="49" t="s">
        <v>38</v>
      </c>
      <c r="F22983" s="49" t="s">
        <v>39</v>
      </c>
      <c r="G22983" s="49" t="s">
        <v>40</v>
      </c>
    </row>
    <row r="22984" spans="1:7" x14ac:dyDescent="0.25">
      <c r="A22984" s="50" t="s">
        <v>71</v>
      </c>
      <c r="B22984" s="71" t="str">
        <f>VLOOKUP(A22984,'Componentes APUs'!$A$1:$D$14,2,0)</f>
        <v>Camisa indigo sin partes metalicas</v>
      </c>
      <c r="C22984" s="71"/>
      <c r="D22984" s="50" t="str">
        <f>VLOOKUP(A22984,'Componentes APUs'!$A$1:$D$14,3,0)</f>
        <v>U</v>
      </c>
      <c r="E22984" s="50">
        <f>SUM(C22963:C22968)</f>
        <v>2.75</v>
      </c>
      <c r="F22984" s="51">
        <f>VLOOKUP(A22984,'Componentes APUs'!$A$1:$D$14,4,0)</f>
        <v>8585.8585858585866</v>
      </c>
      <c r="G22984" s="51">
        <f>ROUNDUP(F22984*(E22984/21)/E22950,0)</f>
        <v>141</v>
      </c>
    </row>
    <row r="22985" spans="1:7" x14ac:dyDescent="0.25">
      <c r="A22985" s="69" t="s">
        <v>73</v>
      </c>
      <c r="B22985" s="72" t="str">
        <f>VLOOKUP(A22985,'Componentes APUs'!$A$1:$D$14,2,0)</f>
        <v>Bota de seguridad dielectrica</v>
      </c>
      <c r="C22985" s="73"/>
      <c r="D22985" s="70" t="str">
        <f>VLOOKUP(A22985,'Componentes APUs'!$A$1:$D$14,3,0)</f>
        <v>Par</v>
      </c>
      <c r="E22985" s="50">
        <f>SUM(C22963:C22968)</f>
        <v>2.75</v>
      </c>
      <c r="F22985" s="51">
        <f>VLOOKUP(A22985,'Componentes APUs'!$A$1:$D$14,4,0)</f>
        <v>7500</v>
      </c>
      <c r="G22985" s="51">
        <f>ROUNDUP(F22985*(E22985/21)/E22950,0)</f>
        <v>123</v>
      </c>
    </row>
    <row r="22986" spans="1:7" x14ac:dyDescent="0.25">
      <c r="A22986" s="50" t="s">
        <v>76</v>
      </c>
      <c r="B22986" s="72" t="str">
        <f>VLOOKUP(A22986,'Componentes APUs'!$A$1:$D$14,2,0)</f>
        <v>Casco dielectrico Tipo 1 Clase E con barbuquejo</v>
      </c>
      <c r="C22986" s="73"/>
      <c r="D22986" s="50" t="str">
        <f>VLOOKUP(A22986,'Componentes APUs'!$A$1:$D$14,3,0)</f>
        <v>U</v>
      </c>
      <c r="E22986" s="50">
        <f>C22968+C22963+C22966+C22967+C22964+IF(A22965&lt;&gt;"MO-3",C22965,0)</f>
        <v>2.75</v>
      </c>
      <c r="F22986" s="51">
        <f>VLOOKUP(A22986,'Componentes APUs'!$A$1:$D$14,4,0)</f>
        <v>10101.010101010101</v>
      </c>
      <c r="G22986" s="51">
        <f>ROUNDUP(F22986*(E22986/21)/E22950,0)</f>
        <v>166</v>
      </c>
    </row>
    <row r="22987" spans="1:7" x14ac:dyDescent="0.25">
      <c r="A22987" s="69" t="s">
        <v>77</v>
      </c>
      <c r="B22987" s="72" t="str">
        <f>VLOOKUP(A22987,'Componentes APUs'!$A$1:$D$14,2,0)</f>
        <v>Correa plastica y antiflama</v>
      </c>
      <c r="C22987" s="73"/>
      <c r="D22987" s="50" t="str">
        <f>VLOOKUP(A22987,'Componentes APUs'!$A$1:$D$14,3,0)</f>
        <v>U</v>
      </c>
      <c r="E22987" s="50">
        <f>SUM(C22963:C22968)</f>
        <v>2.75</v>
      </c>
      <c r="F22987" s="51">
        <f>VLOOKUP(A22987,'Componentes APUs'!$A$1:$D$14,4,0)</f>
        <v>3787.878787878788</v>
      </c>
      <c r="G22987" s="51">
        <f>ROUNDUP(F22987*(E22987/21)/E22950,0)</f>
        <v>63</v>
      </c>
    </row>
    <row r="22988" spans="1:7" x14ac:dyDescent="0.25">
      <c r="A22988" s="50" t="s">
        <v>79</v>
      </c>
      <c r="B22988" s="72" t="str">
        <f>VLOOKUP(A22988,'Componentes APUs'!$A$1:$D$14,2,0)</f>
        <v>Gafas protectoras filtro UV</v>
      </c>
      <c r="C22988" s="73"/>
      <c r="D22988" s="50" t="str">
        <f>VLOOKUP(A22988,'Componentes APUs'!$A$1:$D$14,3,0)</f>
        <v>U</v>
      </c>
      <c r="E22988" s="50">
        <f>SUM(C22963:C22968)</f>
        <v>2.75</v>
      </c>
      <c r="F22988" s="51">
        <f>VLOOKUP(A22988,'Componentes APUs'!$A$1:$D$14,4,0)</f>
        <v>2777.7777777777778</v>
      </c>
      <c r="G22988" s="51">
        <f>ROUNDUP(F22988*(E22988/21)/E22950,0)</f>
        <v>46</v>
      </c>
    </row>
    <row r="22989" spans="1:7" x14ac:dyDescent="0.25">
      <c r="A22989" s="69" t="s">
        <v>402</v>
      </c>
      <c r="B22989" s="72" t="str">
        <f>VLOOKUP(A22989,'Componentes APUs'!$A$1:$D$14,2,0)</f>
        <v>Bota de seguridad PVC dielectrica</v>
      </c>
      <c r="C22989" s="73"/>
      <c r="D22989" s="50" t="str">
        <f>VLOOKUP(A22989,'Componentes APUs'!$A$1:$D$14,3,0)</f>
        <v>Par</v>
      </c>
      <c r="E22989" s="50">
        <f>SUM(C22963:C22968)</f>
        <v>2.75</v>
      </c>
      <c r="F22989" s="51">
        <f>VLOOKUP(A22989,'Componentes APUs'!$A$1:$D$14,4,0)</f>
        <v>2916.6666666666665</v>
      </c>
      <c r="G22989" s="51">
        <f>ROUNDUP(F22989*(E22989/21)/E22950,0)</f>
        <v>48</v>
      </c>
    </row>
    <row r="22990" spans="1:7" x14ac:dyDescent="0.25">
      <c r="A22990" s="50" t="s">
        <v>403</v>
      </c>
      <c r="B22990" s="72" t="str">
        <f>VLOOKUP(A22990,'Componentes APUs'!$A$1:$D$14,2,0)</f>
        <v>Capuchon</v>
      </c>
      <c r="C22990" s="73"/>
      <c r="D22990" s="50" t="str">
        <f>VLOOKUP(A22990,'Componentes APUs'!$A$1:$D$14,3,0)</f>
        <v>U</v>
      </c>
      <c r="E22990" s="50">
        <f>SUM(C22963:C22968)</f>
        <v>2.75</v>
      </c>
      <c r="F22990" s="51">
        <f>VLOOKUP(A22990,'Componentes APUs'!$A$1:$D$14,4,0)</f>
        <v>2525.2525252525252</v>
      </c>
      <c r="G22990" s="51">
        <f>ROUNDUP(F22990*(E22990/21)/E22950,0)</f>
        <v>42</v>
      </c>
    </row>
    <row r="22991" spans="1:7" x14ac:dyDescent="0.25">
      <c r="A22991" s="69" t="s">
        <v>81</v>
      </c>
      <c r="B22991" s="72" t="str">
        <f>VLOOKUP(A22991,'Componentes APUs'!$A$1:$D$14,2,0)</f>
        <v>Guantes Protectores  - ingeniero reforzados</v>
      </c>
      <c r="C22991" s="73"/>
      <c r="D22991" s="50" t="str">
        <f>VLOOKUP(A22991,'Componentes APUs'!$A$1:$D$14,3,0)</f>
        <v>Par</v>
      </c>
      <c r="E22991" s="50">
        <f>C22965+C22966+C22968</f>
        <v>2</v>
      </c>
      <c r="F22991" s="51">
        <f>VLOOKUP(A22991,'Componentes APUs'!$A$1:$D$14,4,0)</f>
        <v>2525.2525252525252</v>
      </c>
      <c r="G22991" s="51">
        <f>ROUNDUP(F22991*(E22991/21)/E22950,0)</f>
        <v>31</v>
      </c>
    </row>
    <row r="22992" spans="1:7" x14ac:dyDescent="0.25">
      <c r="A22992" s="50" t="s">
        <v>83</v>
      </c>
      <c r="B22992" s="72" t="str">
        <f>VLOOKUP(A22992,'Componentes APUs'!$A$1:$D$14,2,0)</f>
        <v>Impermeable (pantalon camisa)</v>
      </c>
      <c r="C22992" s="73"/>
      <c r="D22992" s="50" t="str">
        <f>VLOOKUP(A22992,'Componentes APUs'!$A$1:$D$14,3,0)</f>
        <v>U</v>
      </c>
      <c r="E22992" s="50">
        <f>SUM(C22963:C22968)</f>
        <v>2.75</v>
      </c>
      <c r="F22992" s="51">
        <f>VLOOKUP(A22992,'Componentes APUs'!$A$1:$D$14,4,0)</f>
        <v>3750</v>
      </c>
      <c r="G22992" s="51">
        <f>ROUNDUP(F22992*(E22992/21)/E22950,0)</f>
        <v>62</v>
      </c>
    </row>
    <row r="22993" spans="1:7" x14ac:dyDescent="0.25">
      <c r="A22993" s="69" t="s">
        <v>85</v>
      </c>
      <c r="B22993" s="72" t="str">
        <f>VLOOKUP(A22993,'Componentes APUs'!$A$1:$D$14,2,0)</f>
        <v>Jean Dielectrico</v>
      </c>
      <c r="C22993" s="73"/>
      <c r="D22993" s="50" t="str">
        <f>VLOOKUP(A22993,'Componentes APUs'!$A$1:$D$14,3,0)</f>
        <v>U</v>
      </c>
      <c r="E22993" s="50">
        <f>SUM(C22963:C22968)</f>
        <v>2.75</v>
      </c>
      <c r="F22993" s="51">
        <f>VLOOKUP(A22993,'Componentes APUs'!$A$1:$D$14,4,0)</f>
        <v>7575.757575757576</v>
      </c>
      <c r="G22993" s="51">
        <f>ROUNDUP(F22993*(E22993/21)/E22950,0)</f>
        <v>125</v>
      </c>
    </row>
    <row r="22994" spans="1:7" x14ac:dyDescent="0.25">
      <c r="A22994" s="50" t="s">
        <v>87</v>
      </c>
      <c r="B22994" s="72" t="str">
        <f>VLOOKUP(A22994,'Componentes APUs'!$A$1:$D$14,2,0)</f>
        <v>Casco dielectrico Tipo 2 Clase E con barboquejo</v>
      </c>
      <c r="C22994" s="73"/>
      <c r="D22994" s="50" t="str">
        <f>VLOOKUP(A22994,'Componentes APUs'!$A$1:$D$14,3,0)</f>
        <v>U</v>
      </c>
      <c r="E22994" s="53">
        <f>IF(A22965="MO-3",C22965,0)</f>
        <v>0</v>
      </c>
      <c r="F22994" s="51">
        <f>VLOOKUP(A22994,'Componentes APUs'!$A$1:$D$14,4,0)</f>
        <v>7500</v>
      </c>
      <c r="G22994" s="51">
        <f>ROUNDUP(F22994*(E22994/21)/E22950,0)</f>
        <v>0</v>
      </c>
    </row>
    <row r="22995" spans="1:7" x14ac:dyDescent="0.25">
      <c r="A22995" s="69" t="s">
        <v>89</v>
      </c>
      <c r="B22995" s="72" t="str">
        <f>VLOOKUP(A22995,'Componentes APUs'!$A$1:$D$14,2,0)</f>
        <v>Kit de rescate para trabajo en alturas</v>
      </c>
      <c r="C22995" s="73"/>
      <c r="D22995" s="50" t="str">
        <f>VLOOKUP(A22995,'Componentes APUs'!$A$1:$D$14,3,0)</f>
        <v>U</v>
      </c>
      <c r="E22995" s="50">
        <f>IF(AND(A22965="MO-3",C22965=2),1,0)</f>
        <v>0</v>
      </c>
      <c r="F22995" s="51">
        <f>VLOOKUP(A22995,'Componentes APUs'!$A$1:$D$14,4,0)</f>
        <v>37500</v>
      </c>
      <c r="G22995" s="51">
        <f>ROUNDUP(F22995*(E22995/21)/E22950,0)</f>
        <v>0</v>
      </c>
    </row>
    <row r="22996" spans="1:7" x14ac:dyDescent="0.25">
      <c r="A22996" s="50" t="s">
        <v>91</v>
      </c>
      <c r="B22996" s="72" t="str">
        <f>VLOOKUP(A22996,'Componentes APUs'!$A$1:$D$14,2,0)</f>
        <v>Equipo completo para trabajo en alturas con pretales (Arnes dielectrico, 1 mosqueton de seguridad, tie off dielectrico, eslinga de posicionamiento, juego de pretales)</v>
      </c>
      <c r="C22996" s="73"/>
      <c r="D22996" s="50" t="str">
        <f>VLOOKUP(A22996,'Componentes APUs'!$A$1:$D$14,3,0)</f>
        <v>U</v>
      </c>
      <c r="E22996" s="50">
        <f>IF(A22965="MO-3",C22965,0)</f>
        <v>0</v>
      </c>
      <c r="F22996" s="51">
        <f>VLOOKUP(A22996,'Componentes APUs'!$A$1:$D$14,4,0)</f>
        <v>26041.666666666668</v>
      </c>
      <c r="G22996" s="51">
        <f>ROUNDUP(F22996*(E22996/21)/E22950,0)</f>
        <v>0</v>
      </c>
    </row>
    <row r="22997" spans="1:7" x14ac:dyDescent="0.25">
      <c r="A22997" s="219" t="s">
        <v>95</v>
      </c>
      <c r="B22997" s="219"/>
      <c r="C22997" s="219"/>
      <c r="D22997" s="219"/>
      <c r="E22997" s="219"/>
      <c r="F22997" s="219"/>
      <c r="G22997" s="52">
        <f>SUM(G22984:G22996)</f>
        <v>847</v>
      </c>
    </row>
    <row r="22998" spans="1:7" x14ac:dyDescent="0.25">
      <c r="A22998" s="56"/>
      <c r="B22998" s="57"/>
      <c r="C22998" s="57"/>
      <c r="D22998" s="57"/>
      <c r="E22998" s="57"/>
      <c r="F22998" s="57"/>
      <c r="G22998" s="58"/>
    </row>
    <row r="22999" spans="1:7" x14ac:dyDescent="0.25">
      <c r="A22999" s="219" t="s">
        <v>96</v>
      </c>
      <c r="B22999" s="219"/>
      <c r="C22999" s="219"/>
      <c r="D22999" s="219"/>
      <c r="E22999" s="219"/>
      <c r="F22999" s="219"/>
      <c r="G22999" s="219"/>
    </row>
    <row r="23000" spans="1:7" x14ac:dyDescent="0.25">
      <c r="A23000" s="49" t="s">
        <v>35</v>
      </c>
      <c r="B23000" s="225" t="s">
        <v>36</v>
      </c>
      <c r="C23000" s="225"/>
      <c r="D23000" s="49" t="s">
        <v>37</v>
      </c>
      <c r="E23000" s="49" t="s">
        <v>38</v>
      </c>
      <c r="F23000" s="49" t="s">
        <v>39</v>
      </c>
      <c r="G23000" s="49" t="s">
        <v>40</v>
      </c>
    </row>
    <row r="23001" spans="1:7" x14ac:dyDescent="0.25">
      <c r="A23001" s="69" t="s">
        <v>97</v>
      </c>
      <c r="B23001" s="72" t="str">
        <f>VLOOKUP(A23001,'Componentes APUs'!$N$1:$Q$30,2,0)</f>
        <v>Camioneta</v>
      </c>
      <c r="C23001" s="73"/>
      <c r="D23001" s="70" t="str">
        <f>VLOOKUP(A23001,'Componentes APUs'!$N$1:$Q$30,3,0)</f>
        <v>U</v>
      </c>
      <c r="E23001" s="50">
        <v>1</v>
      </c>
      <c r="F23001" s="51">
        <f>VLOOKUP(A23001,'Componentes APUs'!$N$1:$Q$30,4,0)</f>
        <v>5500000</v>
      </c>
      <c r="G23001" s="51">
        <f>IFERROR(ROUNDUP(F23001*(E23001/21)/E22950,0),0)</f>
        <v>32739</v>
      </c>
    </row>
    <row r="23002" spans="1:7" x14ac:dyDescent="0.25">
      <c r="A23002" s="50" t="s">
        <v>321</v>
      </c>
      <c r="B23002" s="72" t="str">
        <f>VLOOKUP(A23002,'Componentes APUs'!$N$1:$Q$30,2,0)</f>
        <v>Grúa Hidráulica</v>
      </c>
      <c r="C23002" s="73"/>
      <c r="D23002" s="70" t="str">
        <f>VLOOKUP(A23002,'Componentes APUs'!$N$1:$Q$30,3,0)</f>
        <v>U</v>
      </c>
      <c r="E23002" s="50">
        <v>0</v>
      </c>
      <c r="F23002" s="51">
        <f>VLOOKUP(A23002,'Componentes APUs'!$N$1:$Q$30,4,0)</f>
        <v>21000000</v>
      </c>
      <c r="G23002" s="51">
        <f>IFERROR(ROUNDUP(F23002*(E23002/21)/E22950,0),0)</f>
        <v>0</v>
      </c>
    </row>
    <row r="23003" spans="1:7" x14ac:dyDescent="0.25">
      <c r="A23003" s="69" t="s">
        <v>322</v>
      </c>
      <c r="B23003" s="72" t="str">
        <f>VLOOKUP(A23003,'Componentes APUs'!$N$1:$Q$30,2,0)</f>
        <v>Camabaja</v>
      </c>
      <c r="C23003" s="73"/>
      <c r="D23003" s="70" t="str">
        <f>VLOOKUP(A23003,'Componentes APUs'!$N$1:$Q$30,3,0)</f>
        <v>TON/KM</v>
      </c>
      <c r="E23003" s="50">
        <v>0</v>
      </c>
      <c r="F23003" s="51">
        <f>VLOOKUP(A23003,'Componentes APUs'!$N$1:$Q$30,4,0)</f>
        <v>611</v>
      </c>
      <c r="G23003" s="51">
        <f>IFERROR(ROUNDUP(F23003*(E23003/21)/E22950,0),0)</f>
        <v>0</v>
      </c>
    </row>
    <row r="23004" spans="1:7" x14ac:dyDescent="0.25">
      <c r="A23004" s="50" t="s">
        <v>323</v>
      </c>
      <c r="B23004" s="72" t="str">
        <f>VLOOKUP(A23004,'Componentes APUs'!$N$1:$Q$30,2,0)</f>
        <v>Volqueta</v>
      </c>
      <c r="C23004" s="73"/>
      <c r="D23004" s="70" t="str">
        <f>VLOOKUP(A23004,'Componentes APUs'!$N$1:$Q$30,3,0)</f>
        <v>U</v>
      </c>
      <c r="E23004" s="50">
        <v>0</v>
      </c>
      <c r="F23004" s="51">
        <f>VLOOKUP(A23004,'Componentes APUs'!$N$1:$Q$30,4,0)</f>
        <v>14828184</v>
      </c>
      <c r="G23004" s="51">
        <f>IFERROR(ROUNDUP(F23004*(E23004/21)/E22950,0),0)</f>
        <v>0</v>
      </c>
    </row>
    <row r="23005" spans="1:7" x14ac:dyDescent="0.25">
      <c r="A23005" s="69" t="s">
        <v>324</v>
      </c>
      <c r="B23005" s="72" t="str">
        <f>VLOOKUP(A23005,'Componentes APUs'!$N$1:$Q$30,2,0)</f>
        <v>Retroexcavadora</v>
      </c>
      <c r="C23005" s="73"/>
      <c r="D23005" s="70" t="str">
        <f>VLOOKUP(A23005,'Componentes APUs'!$N$1:$Q$30,3,0)</f>
        <v>U</v>
      </c>
      <c r="E23005" s="50">
        <v>0</v>
      </c>
      <c r="F23005" s="51">
        <f>VLOOKUP(A23005,'Componentes APUs'!$N$1:$Q$30,4,0)</f>
        <v>46030656</v>
      </c>
      <c r="G23005" s="51">
        <f>IFERROR(ROUNDUP(F23005*(E23005/21)/E22950,0),0)</f>
        <v>0</v>
      </c>
    </row>
    <row r="23006" spans="1:7" x14ac:dyDescent="0.25">
      <c r="A23006" s="219" t="s">
        <v>99</v>
      </c>
      <c r="B23006" s="219"/>
      <c r="C23006" s="219"/>
      <c r="D23006" s="219"/>
      <c r="E23006" s="219"/>
      <c r="F23006" s="219"/>
      <c r="G23006" s="52">
        <f>SUM(G23001:G23005)</f>
        <v>32739</v>
      </c>
    </row>
    <row r="23007" spans="1:7" x14ac:dyDescent="0.25">
      <c r="A23007" s="56"/>
      <c r="B23007" s="57"/>
      <c r="C23007" s="57"/>
      <c r="D23007" s="57"/>
      <c r="E23007" s="57"/>
      <c r="F23007" s="57"/>
      <c r="G23007" s="58"/>
    </row>
    <row r="23008" spans="1:7" x14ac:dyDescent="0.25">
      <c r="A23008" s="219" t="s">
        <v>1516</v>
      </c>
      <c r="B23008" s="219"/>
      <c r="C23008" s="219"/>
      <c r="D23008" s="219"/>
      <c r="E23008" s="219"/>
      <c r="F23008" s="219"/>
      <c r="G23008" s="52">
        <f>G23006+G22997+G22980+G22969+G22959</f>
        <v>403395</v>
      </c>
    </row>
    <row r="23009" spans="1:7" x14ac:dyDescent="0.25">
      <c r="A23009" s="59"/>
      <c r="B23009" s="60"/>
      <c r="C23009" s="60"/>
      <c r="D23009" s="60"/>
      <c r="E23009" s="57"/>
      <c r="F23009" s="57"/>
      <c r="G23009" s="58"/>
    </row>
    <row r="23010" spans="1:7" x14ac:dyDescent="0.25">
      <c r="A23010" s="64"/>
      <c r="D23010" s="55"/>
      <c r="E23010" s="49" t="s">
        <v>25</v>
      </c>
      <c r="F23010" s="54">
        <v>0.15</v>
      </c>
      <c r="G23010" s="51">
        <f>G23008*F23010</f>
        <v>60509.25</v>
      </c>
    </row>
    <row r="23011" spans="1:7" x14ac:dyDescent="0.25">
      <c r="A23011" s="64"/>
      <c r="D23011" s="55"/>
      <c r="E23011" s="49" t="s">
        <v>26</v>
      </c>
      <c r="F23011" s="54">
        <v>0.05</v>
      </c>
      <c r="G23011" s="51">
        <f>G23008*F23011</f>
        <v>20169.75</v>
      </c>
    </row>
    <row r="23012" spans="1:7" x14ac:dyDescent="0.25">
      <c r="A23012" s="61"/>
      <c r="B23012" s="65"/>
      <c r="C23012" s="65"/>
      <c r="D23012" s="62"/>
      <c r="E23012" s="49" t="s">
        <v>27</v>
      </c>
      <c r="F23012" s="54">
        <v>0.05</v>
      </c>
      <c r="G23012" s="51">
        <f>G23008*F23012</f>
        <v>20169.75</v>
      </c>
    </row>
    <row r="23013" spans="1:7" x14ac:dyDescent="0.25">
      <c r="A23013" s="61"/>
      <c r="B23013" s="62"/>
      <c r="C23013" s="62"/>
      <c r="D23013" s="62"/>
      <c r="E23013" s="62"/>
      <c r="F23013" s="62"/>
      <c r="G23013" s="63"/>
    </row>
    <row r="23014" spans="1:7" x14ac:dyDescent="0.25">
      <c r="A23014" s="219" t="s">
        <v>1517</v>
      </c>
      <c r="B23014" s="219"/>
      <c r="C23014" s="219"/>
      <c r="D23014" s="219"/>
      <c r="E23014" s="219"/>
      <c r="F23014" s="219"/>
      <c r="G23014" s="52">
        <f>G23008+G23010+G23011+G23012</f>
        <v>504243.75</v>
      </c>
    </row>
    <row r="23015" spans="1:7" x14ac:dyDescent="0.25">
      <c r="A23015" s="59"/>
      <c r="B23015" s="60"/>
      <c r="C23015" s="60"/>
      <c r="D23015" s="60"/>
      <c r="E23015" s="57"/>
      <c r="F23015" s="57"/>
      <c r="G23015" s="58"/>
    </row>
    <row r="23016" spans="1:7" x14ac:dyDescent="0.25">
      <c r="A23016" s="64"/>
      <c r="D23016" s="55"/>
      <c r="E23016" s="49" t="s">
        <v>102</v>
      </c>
      <c r="F23016" s="49" t="s">
        <v>103</v>
      </c>
      <c r="G23016" s="51">
        <f>G23012*19%</f>
        <v>3832.2525000000001</v>
      </c>
    </row>
    <row r="23017" spans="1:7" x14ac:dyDescent="0.25">
      <c r="A23017" s="61"/>
      <c r="B23017" s="62"/>
      <c r="C23017" s="62"/>
      <c r="D23017" s="62"/>
      <c r="E23017" s="57"/>
      <c r="F23017" s="57"/>
      <c r="G23017" s="58"/>
    </row>
    <row r="23018" spans="1:7" x14ac:dyDescent="0.25">
      <c r="A23018" s="219" t="s">
        <v>104</v>
      </c>
      <c r="B23018" s="219"/>
      <c r="C23018" s="219"/>
      <c r="D23018" s="219"/>
      <c r="E23018" s="219"/>
      <c r="F23018" s="219"/>
      <c r="G23018" s="52">
        <f>G23016+G23014</f>
        <v>508076.0025</v>
      </c>
    </row>
    <row r="23020" spans="1:7" x14ac:dyDescent="0.25">
      <c r="A23020" s="74" t="s">
        <v>29</v>
      </c>
      <c r="B23020" s="237" t="s">
        <v>30</v>
      </c>
      <c r="C23020" s="238"/>
      <c r="D23020" s="74" t="s">
        <v>31</v>
      </c>
      <c r="E23020" s="74" t="s">
        <v>32</v>
      </c>
      <c r="F23020" s="74" t="s">
        <v>189</v>
      </c>
      <c r="G23020" s="74" t="s">
        <v>33</v>
      </c>
    </row>
    <row r="23021" spans="1:7" x14ac:dyDescent="0.25">
      <c r="A23021" s="50" t="str">
        <f>Presupuesto!B437</f>
        <v>096_AUX</v>
      </c>
      <c r="B23021" s="220" t="str">
        <f>Presupuesto!C437</f>
        <v>CONDUCTOR DEL ELECTRODO DE TIERRA DE EQUIPOS EN CABLE CU 4/0 AWG</v>
      </c>
      <c r="C23021" s="239"/>
      <c r="D23021" s="50" t="s">
        <v>108</v>
      </c>
      <c r="E23021" s="50">
        <v>120</v>
      </c>
      <c r="F23021" s="50"/>
      <c r="G23021" s="51">
        <f>G23090</f>
        <v>124340.35900000001</v>
      </c>
    </row>
    <row r="23022" spans="1:7" x14ac:dyDescent="0.25">
      <c r="A23022" s="219" t="s">
        <v>34</v>
      </c>
      <c r="B23022" s="219"/>
      <c r="C23022" s="219"/>
      <c r="D23022" s="219"/>
      <c r="E23022" s="219"/>
      <c r="F23022" s="219"/>
      <c r="G23022" s="219"/>
    </row>
    <row r="23023" spans="1:7" x14ac:dyDescent="0.25">
      <c r="A23023" s="49" t="s">
        <v>35</v>
      </c>
      <c r="B23023" s="234" t="s">
        <v>36</v>
      </c>
      <c r="C23023" s="235"/>
      <c r="D23023" s="49" t="s">
        <v>37</v>
      </c>
      <c r="E23023" s="49" t="s">
        <v>38</v>
      </c>
      <c r="F23023" s="49" t="s">
        <v>39</v>
      </c>
      <c r="G23023" s="49" t="s">
        <v>40</v>
      </c>
    </row>
    <row r="23024" spans="1:7" x14ac:dyDescent="0.25">
      <c r="A23024" s="17" t="str">
        <f>Material!A170</f>
        <v>MA-169</v>
      </c>
      <c r="B23024" s="72" t="str">
        <f>IFERROR(VLOOKUP(A23024,Material!$A:$H,2,0),"-")</f>
        <v>CABLE CU 4/0 AWG DESNUDO</v>
      </c>
      <c r="C23024" s="76"/>
      <c r="D23024" s="50" t="str">
        <f>IFERROR(VLOOKUP(A23024,Material!$A:$H,4,0),"-")</f>
        <v>ML</v>
      </c>
      <c r="E23024" s="50">
        <v>1</v>
      </c>
      <c r="F23024" s="51">
        <f>IFERROR(VLOOKUP(A23024,Material!$A:$H,3,0),"-")</f>
        <v>90805</v>
      </c>
      <c r="G23024" s="51">
        <f>IFERROR(ROUNDUP(F23024*E23024,0),"-")</f>
        <v>90805</v>
      </c>
    </row>
    <row r="23025" spans="1:7" x14ac:dyDescent="0.25">
      <c r="A23025" s="17"/>
      <c r="B23025" s="72" t="str">
        <f>IFERROR(VLOOKUP(A23025,Material!$A:$H,2,0),"-")</f>
        <v>-</v>
      </c>
      <c r="C23025" s="76"/>
      <c r="D23025" s="50" t="str">
        <f>IFERROR(VLOOKUP(A23025,Material!$A:$H,4,0),"-")</f>
        <v>-</v>
      </c>
      <c r="E23025" s="50"/>
      <c r="F23025" s="51" t="str">
        <f>IFERROR(VLOOKUP(A23025,Material!$A:$H,3,0),"-")</f>
        <v>-</v>
      </c>
      <c r="G23025" s="51" t="str">
        <f>IFERROR(ROUNDUP(F23025*E23025,0),"-")</f>
        <v>-</v>
      </c>
    </row>
    <row r="23026" spans="1:7" x14ac:dyDescent="0.25">
      <c r="A23026" s="17"/>
      <c r="B23026" s="72" t="str">
        <f>IFERROR(VLOOKUP(A23026,Material!$A:$H,2,0),"-")</f>
        <v>-</v>
      </c>
      <c r="C23026" s="76"/>
      <c r="D23026" s="50" t="str">
        <f>IFERROR(VLOOKUP(A23026,Material!$A:$H,4,0),"-")</f>
        <v>-</v>
      </c>
      <c r="E23026" s="50"/>
      <c r="F23026" s="51" t="str">
        <f>IFERROR(VLOOKUP(A23026,Material!$A:$H,3,0),"-")</f>
        <v>-</v>
      </c>
      <c r="G23026" s="51" t="str">
        <f>IFERROR(ROUNDUP(F23026*E23026,0),"-")</f>
        <v>-</v>
      </c>
    </row>
    <row r="23027" spans="1:7" x14ac:dyDescent="0.25">
      <c r="A23027" s="17"/>
      <c r="B23027" s="72"/>
      <c r="C23027" s="76"/>
      <c r="D23027" s="50"/>
      <c r="E23027" s="50"/>
      <c r="F23027" s="51"/>
      <c r="G23027" s="51"/>
    </row>
    <row r="23028" spans="1:7" x14ac:dyDescent="0.25">
      <c r="A23028" s="17"/>
      <c r="B23028" s="72"/>
      <c r="C23028" s="76"/>
      <c r="D23028" s="50"/>
      <c r="E23028" s="50"/>
      <c r="F23028" s="51"/>
      <c r="G23028" s="51"/>
    </row>
    <row r="23029" spans="1:7" x14ac:dyDescent="0.25">
      <c r="A23029" s="17"/>
      <c r="B23029" s="72"/>
      <c r="C23029" s="76"/>
      <c r="D23029" s="50"/>
      <c r="E23029" s="50"/>
      <c r="F23029" s="51"/>
      <c r="G23029" s="51"/>
    </row>
    <row r="23030" spans="1:7" x14ac:dyDescent="0.25">
      <c r="A23030" s="17"/>
      <c r="B23030" s="72"/>
      <c r="C23030" s="76"/>
      <c r="D23030" s="50"/>
      <c r="E23030" s="50"/>
      <c r="F23030" s="51"/>
      <c r="G23030" s="51"/>
    </row>
    <row r="23031" spans="1:7" x14ac:dyDescent="0.25">
      <c r="A23031" s="234" t="s">
        <v>41</v>
      </c>
      <c r="B23031" s="236"/>
      <c r="C23031" s="236"/>
      <c r="D23031" s="236"/>
      <c r="E23031" s="236"/>
      <c r="F23031" s="235"/>
      <c r="G23031" s="52">
        <f>SUM(G23024:G23030)</f>
        <v>90805</v>
      </c>
    </row>
    <row r="23032" spans="1:7" x14ac:dyDescent="0.25">
      <c r="A23032" s="56"/>
      <c r="B23032" s="57"/>
      <c r="C23032" s="57"/>
      <c r="D23032" s="57"/>
      <c r="E23032" s="57"/>
      <c r="F23032" s="57"/>
      <c r="G23032" s="58"/>
    </row>
    <row r="23033" spans="1:7" x14ac:dyDescent="0.25">
      <c r="A23033" s="219" t="s">
        <v>42</v>
      </c>
      <c r="B23033" s="219"/>
      <c r="C23033" s="219"/>
      <c r="D23033" s="219"/>
      <c r="E23033" s="219"/>
      <c r="F23033" s="219"/>
      <c r="G23033" s="219"/>
    </row>
    <row r="23034" spans="1:7" x14ac:dyDescent="0.25">
      <c r="A23034" s="49" t="s">
        <v>35</v>
      </c>
      <c r="B23034" s="49" t="s">
        <v>36</v>
      </c>
      <c r="C23034" s="49" t="s">
        <v>38</v>
      </c>
      <c r="D23034" s="49" t="s">
        <v>43</v>
      </c>
      <c r="E23034" s="49" t="s">
        <v>44</v>
      </c>
      <c r="F23034" s="49" t="s">
        <v>45</v>
      </c>
      <c r="G23034" s="49" t="s">
        <v>40</v>
      </c>
    </row>
    <row r="23035" spans="1:7" x14ac:dyDescent="0.25">
      <c r="A23035" s="50" t="s">
        <v>319</v>
      </c>
      <c r="B23035" s="68" t="str">
        <f>VLOOKUP(A23035,'Componentes APUs'!$H$1:$L$25,2,0)</f>
        <v>Ingeniero Residente de Obra</v>
      </c>
      <c r="C23035" s="93">
        <v>0.25</v>
      </c>
      <c r="D23035" s="50">
        <f>VLOOKUP(A23035,'Componentes APUs'!$H$1:$L$25,3,0)</f>
        <v>4</v>
      </c>
      <c r="E23035" s="51">
        <f>VLOOKUP(A23035,'Componentes APUs'!$H$1:$L$25,4,0)</f>
        <v>271142.85714285716</v>
      </c>
      <c r="F23035" s="51">
        <f>VLOOKUP(A23035,'Componentes APUs'!$H$1:$L$25,5,0)</f>
        <v>162685.71428571429</v>
      </c>
      <c r="G23035" s="51">
        <f>ROUNDUP((E23035+F23035)*C23035/E23021,0)</f>
        <v>904</v>
      </c>
    </row>
    <row r="23036" spans="1:7" x14ac:dyDescent="0.25">
      <c r="A23036" s="50" t="s">
        <v>320</v>
      </c>
      <c r="B23036" s="68" t="str">
        <f>VLOOKUP(A23036,'Componentes APUs'!$H$1:$L$25,2,0)</f>
        <v>Tecnico Supervisor</v>
      </c>
      <c r="C23036" s="93">
        <v>0.25</v>
      </c>
      <c r="D23036" s="50">
        <f>VLOOKUP(A23036,'Componentes APUs'!$H$1:$L$25,3,0)</f>
        <v>2.2999999999999998</v>
      </c>
      <c r="E23036" s="51">
        <f>VLOOKUP(A23036,'Componentes APUs'!$H$1:$L$25,4,0)</f>
        <v>155907.14285714284</v>
      </c>
      <c r="F23036" s="51">
        <f>VLOOKUP(A23036,'Componentes APUs'!$H$1:$L$25,5,0)</f>
        <v>93544.285714285696</v>
      </c>
      <c r="G23036" s="51">
        <f>ROUNDUP((E23036+F23036)*C23036/E23021,0)</f>
        <v>520</v>
      </c>
    </row>
    <row r="23037" spans="1:7" x14ac:dyDescent="0.25">
      <c r="A23037" s="50" t="s">
        <v>1160</v>
      </c>
      <c r="B23037" s="68" t="str">
        <f>VLOOKUP(A23037,'Componentes APUs'!$H$1:$L$25,2,0)</f>
        <v>Oficial Eléctrico</v>
      </c>
      <c r="C23037" s="93">
        <v>1</v>
      </c>
      <c r="D23037" s="50">
        <f>VLOOKUP(A23037,'Componentes APUs'!$H$1:$L$25,3,0)</f>
        <v>2</v>
      </c>
      <c r="E23037" s="51">
        <f>VLOOKUP(A23037,'Componentes APUs'!$H$1:$L$25,4,0)</f>
        <v>154619.04761904763</v>
      </c>
      <c r="F23037" s="51">
        <f>VLOOKUP(A23037,'Componentes APUs'!$H$1:$L$25,5,0)</f>
        <v>92771.42857142858</v>
      </c>
      <c r="G23037" s="51">
        <f>ROUNDUP((E23037+F23037)*C23037/E23021,0)</f>
        <v>2062</v>
      </c>
    </row>
    <row r="23038" spans="1:7" x14ac:dyDescent="0.25">
      <c r="A23038" s="50" t="s">
        <v>48</v>
      </c>
      <c r="B23038" s="68" t="str">
        <f>VLOOKUP(A23038,'Componentes APUs'!$H$1:$L$25,2,0)</f>
        <v>Ayudante Calificado</v>
      </c>
      <c r="C23038" s="93">
        <v>1</v>
      </c>
      <c r="D23038" s="50">
        <f>VLOOKUP(A23038,'Componentes APUs'!$H$1:$L$25,3,0)</f>
        <v>1.5</v>
      </c>
      <c r="E23038" s="51">
        <f>VLOOKUP(A23038,'Componentes APUs'!$H$1:$L$25,4,0)</f>
        <v>115964.28571428571</v>
      </c>
      <c r="F23038" s="51">
        <f>VLOOKUP(A23038,'Componentes APUs'!$H$1:$L$25,5,0)</f>
        <v>69578.57142857142</v>
      </c>
      <c r="G23038" s="51">
        <f>ROUNDUP((E23038+F23038)*C23038/E23021,0)</f>
        <v>1547</v>
      </c>
    </row>
    <row r="23039" spans="1:7" x14ac:dyDescent="0.25">
      <c r="A23039" s="50" t="s">
        <v>50</v>
      </c>
      <c r="B23039" s="68" t="str">
        <f>VLOOKUP(A23039,'Componentes APUs'!$H$1:$L$25,2,0)</f>
        <v>Profesional en SST</v>
      </c>
      <c r="C23039" s="93">
        <v>0.25</v>
      </c>
      <c r="D23039" s="50">
        <f>VLOOKUP(A23039,'Componentes APUs'!$H$1:$L$25,3,0)</f>
        <v>2.5</v>
      </c>
      <c r="E23039" s="51">
        <f>VLOOKUP(A23039,'Componentes APUs'!$H$1:$L$25,4,0)</f>
        <v>169464.28571428571</v>
      </c>
      <c r="F23039" s="51">
        <f>VLOOKUP(A23039,'Componentes APUs'!$H$1:$L$25,5,0)</f>
        <v>101678.57142857142</v>
      </c>
      <c r="G23039" s="51">
        <f>ROUNDUP((E23039+F23039)*C23039/E23021,0)</f>
        <v>565</v>
      </c>
    </row>
    <row r="23040" spans="1:7" x14ac:dyDescent="0.25">
      <c r="A23040" s="50" t="s">
        <v>52</v>
      </c>
      <c r="B23040" s="68" t="str">
        <f>VLOOKUP(A23040,'Componentes APUs'!$H$1:$L$25,2,0)</f>
        <v>Ayudante No Calificado</v>
      </c>
      <c r="C23040" s="93">
        <v>0</v>
      </c>
      <c r="D23040" s="50">
        <f>VLOOKUP(A23040,'Componentes APUs'!$H$1:$L$25,3,0)</f>
        <v>1</v>
      </c>
      <c r="E23040" s="51">
        <f>VLOOKUP(A23040,'Componentes APUs'!$H$1:$L$25,4,0)</f>
        <v>77309.523809523816</v>
      </c>
      <c r="F23040" s="51">
        <f>VLOOKUP(A23040,'Componentes APUs'!$H$1:$L$25,5,0)</f>
        <v>46385.71428571429</v>
      </c>
      <c r="G23040" s="51">
        <f>ROUNDUP((E23040+F23040)*C23040/E23021,0)</f>
        <v>0</v>
      </c>
    </row>
    <row r="23041" spans="1:7" x14ac:dyDescent="0.25">
      <c r="A23041" s="219" t="s">
        <v>56</v>
      </c>
      <c r="B23041" s="219"/>
      <c r="C23041" s="219"/>
      <c r="D23041" s="219"/>
      <c r="E23041" s="219"/>
      <c r="F23041" s="219"/>
      <c r="G23041" s="52">
        <f>SUM(G23035:G23040)</f>
        <v>5598</v>
      </c>
    </row>
    <row r="23042" spans="1:7" x14ac:dyDescent="0.25">
      <c r="A23042" s="56"/>
      <c r="B23042" s="57"/>
      <c r="C23042" s="57"/>
      <c r="D23042" s="57"/>
      <c r="E23042" s="57"/>
      <c r="F23042" s="57"/>
      <c r="G23042" s="58"/>
    </row>
    <row r="23043" spans="1:7" x14ac:dyDescent="0.25">
      <c r="A23043" s="219" t="s">
        <v>57</v>
      </c>
      <c r="B23043" s="219"/>
      <c r="C23043" s="219"/>
      <c r="D23043" s="219"/>
      <c r="E23043" s="219"/>
      <c r="F23043" s="219"/>
      <c r="G23043" s="219"/>
    </row>
    <row r="23044" spans="1:7" x14ac:dyDescent="0.25">
      <c r="A23044" s="49" t="s">
        <v>35</v>
      </c>
      <c r="B23044" s="219" t="s">
        <v>36</v>
      </c>
      <c r="C23044" s="219"/>
      <c r="D23044" s="49" t="s">
        <v>37</v>
      </c>
      <c r="E23044" s="49" t="s">
        <v>38</v>
      </c>
      <c r="F23044" s="49" t="s">
        <v>39</v>
      </c>
      <c r="G23044" s="49" t="s">
        <v>40</v>
      </c>
    </row>
    <row r="23045" spans="1:7" x14ac:dyDescent="0.25">
      <c r="A23045" s="50" t="s">
        <v>326</v>
      </c>
      <c r="B23045" s="220" t="str">
        <f>VLOOKUP(A23045,'Componentes APUs'!$S$1:$V$10,2,0)</f>
        <v>Juego Llaves</v>
      </c>
      <c r="C23045" s="220"/>
      <c r="D23045" s="50" t="s">
        <v>18</v>
      </c>
      <c r="E23045" s="50">
        <v>2</v>
      </c>
      <c r="F23045" s="51">
        <f>VLOOKUP(A23045,'Componentes APUs'!$S$1:$V$10,4,0)</f>
        <v>9167</v>
      </c>
      <c r="G23045" s="51">
        <f>ROUNDUP(F23045*((E23045/21)/E23021),0)</f>
        <v>8</v>
      </c>
    </row>
    <row r="23046" spans="1:7" x14ac:dyDescent="0.25">
      <c r="A23046" s="50" t="s">
        <v>58</v>
      </c>
      <c r="B23046" s="220" t="str">
        <f>VLOOKUP(A23046,'Componentes APUs'!$S$1:$V$10,2,0)</f>
        <v>Manila de servicio</v>
      </c>
      <c r="C23046" s="220"/>
      <c r="D23046" s="50" t="s">
        <v>18</v>
      </c>
      <c r="E23046" s="50">
        <v>2</v>
      </c>
      <c r="F23046" s="51">
        <f>VLOOKUP(A23046,'Componentes APUs'!$S$1:$V$10,4,0)</f>
        <v>2333</v>
      </c>
      <c r="G23046" s="51">
        <f>ROUNDUP(F23046*((E23046/21)/E23021),0)</f>
        <v>2</v>
      </c>
    </row>
    <row r="23047" spans="1:7" x14ac:dyDescent="0.25">
      <c r="A23047" s="50" t="s">
        <v>327</v>
      </c>
      <c r="B23047" s="220" t="str">
        <f>VLOOKUP(A23047,'Componentes APUs'!$S$1:$V$10,2,0)</f>
        <v>Tula portaherramientas</v>
      </c>
      <c r="C23047" s="220"/>
      <c r="D23047" s="50" t="s">
        <v>18</v>
      </c>
      <c r="E23047" s="50">
        <v>2</v>
      </c>
      <c r="F23047" s="51">
        <f>VLOOKUP(A23047,'Componentes APUs'!$S$1:$V$10,4,0)</f>
        <v>1250</v>
      </c>
      <c r="G23047" s="51">
        <f>ROUNDUP(F23047*((E23047/21)/E23021),0)</f>
        <v>1</v>
      </c>
    </row>
    <row r="23048" spans="1:7" x14ac:dyDescent="0.25">
      <c r="A23048" s="50" t="s">
        <v>60</v>
      </c>
      <c r="B23048" s="220" t="str">
        <f>VLOOKUP(A23048,'Componentes APUs'!$S$1:$V$10,2,0)</f>
        <v>Agarradoras</v>
      </c>
      <c r="C23048" s="220"/>
      <c r="D23048" s="50" t="s">
        <v>18</v>
      </c>
      <c r="E23048" s="50">
        <v>0</v>
      </c>
      <c r="F23048" s="51">
        <f>VLOOKUP(A23048,'Componentes APUs'!$S$1:$V$10,4,0)</f>
        <v>125000</v>
      </c>
      <c r="G23048" s="51">
        <f>ROUNDUP(F23048*((E23048/21)/E23021),0)</f>
        <v>0</v>
      </c>
    </row>
    <row r="23049" spans="1:7" x14ac:dyDescent="0.25">
      <c r="A23049" s="50" t="s">
        <v>62</v>
      </c>
      <c r="B23049" s="220" t="str">
        <f>VLOOKUP(A23049,'Componentes APUs'!$S$1:$V$10,2,0)</f>
        <v>Templadoras</v>
      </c>
      <c r="C23049" s="220"/>
      <c r="D23049" s="50" t="s">
        <v>18</v>
      </c>
      <c r="E23049" s="50">
        <v>0</v>
      </c>
      <c r="F23049" s="51">
        <f>VLOOKUP(A23049,'Componentes APUs'!$S$1:$V$10,4,0)</f>
        <v>250000</v>
      </c>
      <c r="G23049" s="51">
        <f>ROUNDUP(F23049*((E23049/21)/E23021),0)</f>
        <v>0</v>
      </c>
    </row>
    <row r="23050" spans="1:7" x14ac:dyDescent="0.25">
      <c r="A23050" s="50" t="s">
        <v>328</v>
      </c>
      <c r="B23050" s="220" t="str">
        <f>VLOOKUP(A23050,'Componentes APUs'!$S$1:$V$10,2,0)</f>
        <v>Herramienta Menor</v>
      </c>
      <c r="C23050" s="220"/>
      <c r="D23050" s="50" t="s">
        <v>18</v>
      </c>
      <c r="E23050" s="50">
        <v>2</v>
      </c>
      <c r="F23050" s="51">
        <f>VLOOKUP(A23050,'Componentes APUs'!$S$1:$V$10,4,0)</f>
        <v>75758</v>
      </c>
      <c r="G23050" s="51">
        <f>ROUNDUP(F23050*((E23050/21)/E23021),0)</f>
        <v>61</v>
      </c>
    </row>
    <row r="23051" spans="1:7" x14ac:dyDescent="0.25">
      <c r="A23051" s="50" t="s">
        <v>1046</v>
      </c>
      <c r="B23051" s="220" t="str">
        <f>VLOOKUP(A23051,'Componentes APUs'!$S$1:$V$10,2,0)</f>
        <v>Molde Grafito Soldadura Exotérmica En X</v>
      </c>
      <c r="C23051" s="220"/>
      <c r="D23051" s="50" t="s">
        <v>18</v>
      </c>
      <c r="E23051" s="50">
        <f>1/40</f>
        <v>2.5000000000000001E-2</v>
      </c>
      <c r="F23051" s="51">
        <f>VLOOKUP(A23051,'Componentes APUs'!$S$1:$V$10,4,0)</f>
        <v>239000</v>
      </c>
      <c r="G23051" s="51">
        <f>ROUNDUP(F23051*((E23051/21)/E23021),0)</f>
        <v>3</v>
      </c>
    </row>
    <row r="23052" spans="1:7" x14ac:dyDescent="0.25">
      <c r="A23052" s="219" t="s">
        <v>69</v>
      </c>
      <c r="B23052" s="219"/>
      <c r="C23052" s="219"/>
      <c r="D23052" s="219"/>
      <c r="E23052" s="219"/>
      <c r="F23052" s="219"/>
      <c r="G23052" s="52">
        <f>SUM(G23045:G23050)</f>
        <v>72</v>
      </c>
    </row>
    <row r="23053" spans="1:7" x14ac:dyDescent="0.25">
      <c r="A23053" s="56"/>
      <c r="B23053" s="57"/>
      <c r="C23053" s="57"/>
      <c r="D23053" s="57"/>
      <c r="E23053" s="57"/>
      <c r="F23053" s="57"/>
      <c r="G23053" s="58"/>
    </row>
    <row r="23054" spans="1:7" x14ac:dyDescent="0.25">
      <c r="A23054" s="219" t="s">
        <v>70</v>
      </c>
      <c r="B23054" s="219"/>
      <c r="C23054" s="219"/>
      <c r="D23054" s="219"/>
      <c r="E23054" s="219"/>
      <c r="F23054" s="219"/>
      <c r="G23054" s="219"/>
    </row>
    <row r="23055" spans="1:7" x14ac:dyDescent="0.25">
      <c r="A23055" s="49" t="s">
        <v>35</v>
      </c>
      <c r="B23055" s="219" t="s">
        <v>36</v>
      </c>
      <c r="C23055" s="219"/>
      <c r="D23055" s="49" t="s">
        <v>37</v>
      </c>
      <c r="E23055" s="49" t="s">
        <v>38</v>
      </c>
      <c r="F23055" s="49" t="s">
        <v>39</v>
      </c>
      <c r="G23055" s="49" t="s">
        <v>40</v>
      </c>
    </row>
    <row r="23056" spans="1:7" x14ac:dyDescent="0.25">
      <c r="A23056" s="50" t="s">
        <v>71</v>
      </c>
      <c r="B23056" s="71" t="str">
        <f>VLOOKUP(A23056,'Componentes APUs'!$A$1:$D$14,2,0)</f>
        <v>Camisa indigo sin partes metalicas</v>
      </c>
      <c r="C23056" s="71"/>
      <c r="D23056" s="50" t="str">
        <f>VLOOKUP(A23056,'Componentes APUs'!$A$1:$D$14,3,0)</f>
        <v>U</v>
      </c>
      <c r="E23056" s="50">
        <f>SUM(C23035:C23040)</f>
        <v>2.75</v>
      </c>
      <c r="F23056" s="51">
        <f>VLOOKUP(A23056,'Componentes APUs'!$A$1:$D$14,4,0)</f>
        <v>8585.8585858585866</v>
      </c>
      <c r="G23056" s="51">
        <f>ROUNDUP(F23056*(E23056/21)/E23021,0)</f>
        <v>10</v>
      </c>
    </row>
    <row r="23057" spans="1:7" x14ac:dyDescent="0.25">
      <c r="A23057" s="69" t="s">
        <v>73</v>
      </c>
      <c r="B23057" s="72" t="str">
        <f>VLOOKUP(A23057,'Componentes APUs'!$A$1:$D$14,2,0)</f>
        <v>Bota de seguridad dielectrica</v>
      </c>
      <c r="C23057" s="73"/>
      <c r="D23057" s="70" t="str">
        <f>VLOOKUP(A23057,'Componentes APUs'!$A$1:$D$14,3,0)</f>
        <v>Par</v>
      </c>
      <c r="E23057" s="50">
        <f>SUM(C23035:C23040)</f>
        <v>2.75</v>
      </c>
      <c r="F23057" s="51">
        <f>VLOOKUP(A23057,'Componentes APUs'!$A$1:$D$14,4,0)</f>
        <v>7500</v>
      </c>
      <c r="G23057" s="51">
        <f>ROUNDUP(F23057*(E23057/21)/E23021,0)</f>
        <v>9</v>
      </c>
    </row>
    <row r="23058" spans="1:7" x14ac:dyDescent="0.25">
      <c r="A23058" s="50" t="s">
        <v>76</v>
      </c>
      <c r="B23058" s="72" t="str">
        <f>VLOOKUP(A23058,'Componentes APUs'!$A$1:$D$14,2,0)</f>
        <v>Casco dielectrico Tipo 1 Clase E con barbuquejo</v>
      </c>
      <c r="C23058" s="73"/>
      <c r="D23058" s="50" t="str">
        <f>VLOOKUP(A23058,'Componentes APUs'!$A$1:$D$14,3,0)</f>
        <v>U</v>
      </c>
      <c r="E23058" s="50">
        <f>C23040+C23035+C23038+C23039+C23036+IF(A23037&lt;&gt;"MO-3",C23037,0)</f>
        <v>2.75</v>
      </c>
      <c r="F23058" s="51">
        <f>VLOOKUP(A23058,'Componentes APUs'!$A$1:$D$14,4,0)</f>
        <v>10101.010101010101</v>
      </c>
      <c r="G23058" s="51">
        <f>ROUNDUP(F23058*(E23058/21)/E23021,0)</f>
        <v>12</v>
      </c>
    </row>
    <row r="23059" spans="1:7" x14ac:dyDescent="0.25">
      <c r="A23059" s="69" t="s">
        <v>77</v>
      </c>
      <c r="B23059" s="72" t="str">
        <f>VLOOKUP(A23059,'Componentes APUs'!$A$1:$D$14,2,0)</f>
        <v>Correa plastica y antiflama</v>
      </c>
      <c r="C23059" s="73"/>
      <c r="D23059" s="50" t="str">
        <f>VLOOKUP(A23059,'Componentes APUs'!$A$1:$D$14,3,0)</f>
        <v>U</v>
      </c>
      <c r="E23059" s="50">
        <f>SUM(C23035:C23040)</f>
        <v>2.75</v>
      </c>
      <c r="F23059" s="51">
        <f>VLOOKUP(A23059,'Componentes APUs'!$A$1:$D$14,4,0)</f>
        <v>3787.878787878788</v>
      </c>
      <c r="G23059" s="51">
        <f>ROUNDUP(F23059*(E23059/21)/E23021,0)</f>
        <v>5</v>
      </c>
    </row>
    <row r="23060" spans="1:7" x14ac:dyDescent="0.25">
      <c r="A23060" s="50" t="s">
        <v>79</v>
      </c>
      <c r="B23060" s="72" t="str">
        <f>VLOOKUP(A23060,'Componentes APUs'!$A$1:$D$14,2,0)</f>
        <v>Gafas protectoras filtro UV</v>
      </c>
      <c r="C23060" s="73"/>
      <c r="D23060" s="50" t="str">
        <f>VLOOKUP(A23060,'Componentes APUs'!$A$1:$D$14,3,0)</f>
        <v>U</v>
      </c>
      <c r="E23060" s="50">
        <f>SUM(C23035:C23040)</f>
        <v>2.75</v>
      </c>
      <c r="F23060" s="51">
        <f>VLOOKUP(A23060,'Componentes APUs'!$A$1:$D$14,4,0)</f>
        <v>2777.7777777777778</v>
      </c>
      <c r="G23060" s="51">
        <f>ROUNDUP(F23060*(E23060/21)/E23021,0)</f>
        <v>4</v>
      </c>
    </row>
    <row r="23061" spans="1:7" x14ac:dyDescent="0.25">
      <c r="A23061" s="69" t="s">
        <v>402</v>
      </c>
      <c r="B23061" s="72" t="str">
        <f>VLOOKUP(A23061,'Componentes APUs'!$A$1:$D$14,2,0)</f>
        <v>Bota de seguridad PVC dielectrica</v>
      </c>
      <c r="C23061" s="73"/>
      <c r="D23061" s="50" t="str">
        <f>VLOOKUP(A23061,'Componentes APUs'!$A$1:$D$14,3,0)</f>
        <v>Par</v>
      </c>
      <c r="E23061" s="50">
        <f>SUM(C23035:C23040)</f>
        <v>2.75</v>
      </c>
      <c r="F23061" s="51">
        <f>VLOOKUP(A23061,'Componentes APUs'!$A$1:$D$14,4,0)</f>
        <v>2916.6666666666665</v>
      </c>
      <c r="G23061" s="51">
        <f>ROUNDUP(F23061*(E23061/21)/E23021,0)</f>
        <v>4</v>
      </c>
    </row>
    <row r="23062" spans="1:7" x14ac:dyDescent="0.25">
      <c r="A23062" s="50" t="s">
        <v>403</v>
      </c>
      <c r="B23062" s="72" t="str">
        <f>VLOOKUP(A23062,'Componentes APUs'!$A$1:$D$14,2,0)</f>
        <v>Capuchon</v>
      </c>
      <c r="C23062" s="73"/>
      <c r="D23062" s="50" t="str">
        <f>VLOOKUP(A23062,'Componentes APUs'!$A$1:$D$14,3,0)</f>
        <v>U</v>
      </c>
      <c r="E23062" s="50">
        <f>SUM(C23035:C23040)</f>
        <v>2.75</v>
      </c>
      <c r="F23062" s="51">
        <f>VLOOKUP(A23062,'Componentes APUs'!$A$1:$D$14,4,0)</f>
        <v>2525.2525252525252</v>
      </c>
      <c r="G23062" s="51">
        <f>ROUNDUP(F23062*(E23062/21)/E23021,0)</f>
        <v>3</v>
      </c>
    </row>
    <row r="23063" spans="1:7" x14ac:dyDescent="0.25">
      <c r="A23063" s="69" t="s">
        <v>81</v>
      </c>
      <c r="B23063" s="72" t="str">
        <f>VLOOKUP(A23063,'Componentes APUs'!$A$1:$D$14,2,0)</f>
        <v>Guantes Protectores  - ingeniero reforzados</v>
      </c>
      <c r="C23063" s="73"/>
      <c r="D23063" s="50" t="str">
        <f>VLOOKUP(A23063,'Componentes APUs'!$A$1:$D$14,3,0)</f>
        <v>Par</v>
      </c>
      <c r="E23063" s="50">
        <f>C23037+C23038+C23040</f>
        <v>2</v>
      </c>
      <c r="F23063" s="51">
        <f>VLOOKUP(A23063,'Componentes APUs'!$A$1:$D$14,4,0)</f>
        <v>2525.2525252525252</v>
      </c>
      <c r="G23063" s="51">
        <f>ROUNDUP(F23063*(E23063/21)/E23021,0)</f>
        <v>3</v>
      </c>
    </row>
    <row r="23064" spans="1:7" x14ac:dyDescent="0.25">
      <c r="A23064" s="50" t="s">
        <v>83</v>
      </c>
      <c r="B23064" s="72" t="str">
        <f>VLOOKUP(A23064,'Componentes APUs'!$A$1:$D$14,2,0)</f>
        <v>Impermeable (pantalon camisa)</v>
      </c>
      <c r="C23064" s="73"/>
      <c r="D23064" s="50" t="str">
        <f>VLOOKUP(A23064,'Componentes APUs'!$A$1:$D$14,3,0)</f>
        <v>U</v>
      </c>
      <c r="E23064" s="50">
        <f>SUM(C23035:C23040)</f>
        <v>2.75</v>
      </c>
      <c r="F23064" s="51">
        <f>VLOOKUP(A23064,'Componentes APUs'!$A$1:$D$14,4,0)</f>
        <v>3750</v>
      </c>
      <c r="G23064" s="51">
        <f>ROUNDUP(F23064*(E23064/21)/E23021,0)</f>
        <v>5</v>
      </c>
    </row>
    <row r="23065" spans="1:7" x14ac:dyDescent="0.25">
      <c r="A23065" s="69" t="s">
        <v>85</v>
      </c>
      <c r="B23065" s="72" t="str">
        <f>VLOOKUP(A23065,'Componentes APUs'!$A$1:$D$14,2,0)</f>
        <v>Jean Dielectrico</v>
      </c>
      <c r="C23065" s="73"/>
      <c r="D23065" s="50" t="str">
        <f>VLOOKUP(A23065,'Componentes APUs'!$A$1:$D$14,3,0)</f>
        <v>U</v>
      </c>
      <c r="E23065" s="50">
        <f>SUM(C23035:C23040)</f>
        <v>2.75</v>
      </c>
      <c r="F23065" s="51">
        <f>VLOOKUP(A23065,'Componentes APUs'!$A$1:$D$14,4,0)</f>
        <v>7575.757575757576</v>
      </c>
      <c r="G23065" s="51">
        <f>ROUNDUP(F23065*(E23065/21)/E23021,0)</f>
        <v>9</v>
      </c>
    </row>
    <row r="23066" spans="1:7" x14ac:dyDescent="0.25">
      <c r="A23066" s="50" t="s">
        <v>87</v>
      </c>
      <c r="B23066" s="72" t="str">
        <f>VLOOKUP(A23066,'Componentes APUs'!$A$1:$D$14,2,0)</f>
        <v>Casco dielectrico Tipo 2 Clase E con barboquejo</v>
      </c>
      <c r="C23066" s="73"/>
      <c r="D23066" s="50" t="str">
        <f>VLOOKUP(A23066,'Componentes APUs'!$A$1:$D$14,3,0)</f>
        <v>U</v>
      </c>
      <c r="E23066" s="53">
        <f>IF(A23037="MO-3",C23037,0)</f>
        <v>0</v>
      </c>
      <c r="F23066" s="51">
        <f>VLOOKUP(A23066,'Componentes APUs'!$A$1:$D$14,4,0)</f>
        <v>7500</v>
      </c>
      <c r="G23066" s="51">
        <f>ROUNDUP(F23066*(E23066/21)/E23021,0)</f>
        <v>0</v>
      </c>
    </row>
    <row r="23067" spans="1:7" x14ac:dyDescent="0.25">
      <c r="A23067" s="69" t="s">
        <v>89</v>
      </c>
      <c r="B23067" s="72" t="str">
        <f>VLOOKUP(A23067,'Componentes APUs'!$A$1:$D$14,2,0)</f>
        <v>Kit de rescate para trabajo en alturas</v>
      </c>
      <c r="C23067" s="73"/>
      <c r="D23067" s="50" t="str">
        <f>VLOOKUP(A23067,'Componentes APUs'!$A$1:$D$14,3,0)</f>
        <v>U</v>
      </c>
      <c r="E23067" s="50">
        <f>IF(AND(A23037="MO-3",C23037=2),1,0)</f>
        <v>0</v>
      </c>
      <c r="F23067" s="51">
        <f>VLOOKUP(A23067,'Componentes APUs'!$A$1:$D$14,4,0)</f>
        <v>37500</v>
      </c>
      <c r="G23067" s="51">
        <f>ROUNDUP(F23067*(E23067/21)/E23021,0)</f>
        <v>0</v>
      </c>
    </row>
    <row r="23068" spans="1:7" x14ac:dyDescent="0.25">
      <c r="A23068" s="50" t="s">
        <v>91</v>
      </c>
      <c r="B23068" s="72" t="str">
        <f>VLOOKUP(A23068,'Componentes APUs'!$A$1:$D$14,2,0)</f>
        <v>Equipo completo para trabajo en alturas con pretales (Arnes dielectrico, 1 mosqueton de seguridad, tie off dielectrico, eslinga de posicionamiento, juego de pretales)</v>
      </c>
      <c r="C23068" s="73"/>
      <c r="D23068" s="50" t="str">
        <f>VLOOKUP(A23068,'Componentes APUs'!$A$1:$D$14,3,0)</f>
        <v>U</v>
      </c>
      <c r="E23068" s="50">
        <f>IF(A23037="MO-3",C23037,0)</f>
        <v>0</v>
      </c>
      <c r="F23068" s="51">
        <f>VLOOKUP(A23068,'Componentes APUs'!$A$1:$D$14,4,0)</f>
        <v>26041.666666666668</v>
      </c>
      <c r="G23068" s="51">
        <f>ROUNDUP(F23068*(E23068/21)/E23021,0)</f>
        <v>0</v>
      </c>
    </row>
    <row r="23069" spans="1:7" x14ac:dyDescent="0.25">
      <c r="A23069" s="219" t="s">
        <v>95</v>
      </c>
      <c r="B23069" s="219"/>
      <c r="C23069" s="219"/>
      <c r="D23069" s="219"/>
      <c r="E23069" s="219"/>
      <c r="F23069" s="219"/>
      <c r="G23069" s="52">
        <f>SUM(G23056:G23068)</f>
        <v>64</v>
      </c>
    </row>
    <row r="23070" spans="1:7" x14ac:dyDescent="0.25">
      <c r="A23070" s="56"/>
      <c r="B23070" s="57"/>
      <c r="C23070" s="57"/>
      <c r="D23070" s="57"/>
      <c r="E23070" s="57"/>
      <c r="F23070" s="57"/>
      <c r="G23070" s="58"/>
    </row>
    <row r="23071" spans="1:7" x14ac:dyDescent="0.25">
      <c r="A23071" s="219" t="s">
        <v>96</v>
      </c>
      <c r="B23071" s="219"/>
      <c r="C23071" s="219"/>
      <c r="D23071" s="219"/>
      <c r="E23071" s="219"/>
      <c r="F23071" s="219"/>
      <c r="G23071" s="219"/>
    </row>
    <row r="23072" spans="1:7" x14ac:dyDescent="0.25">
      <c r="A23072" s="49" t="s">
        <v>35</v>
      </c>
      <c r="B23072" s="225" t="s">
        <v>36</v>
      </c>
      <c r="C23072" s="225"/>
      <c r="D23072" s="49" t="s">
        <v>37</v>
      </c>
      <c r="E23072" s="49" t="s">
        <v>38</v>
      </c>
      <c r="F23072" s="49" t="s">
        <v>39</v>
      </c>
      <c r="G23072" s="49" t="s">
        <v>40</v>
      </c>
    </row>
    <row r="23073" spans="1:7" x14ac:dyDescent="0.25">
      <c r="A23073" s="69" t="s">
        <v>97</v>
      </c>
      <c r="B23073" s="72" t="str">
        <f>VLOOKUP(A23073,'Componentes APUs'!$N$1:$Q$30,2,0)</f>
        <v>Camioneta</v>
      </c>
      <c r="C23073" s="73"/>
      <c r="D23073" s="70" t="str">
        <f>VLOOKUP(A23073,'Componentes APUs'!$N$1:$Q$30,3,0)</f>
        <v>U</v>
      </c>
      <c r="E23073" s="50">
        <v>1</v>
      </c>
      <c r="F23073" s="51">
        <f>VLOOKUP(A23073,'Componentes APUs'!$N$1:$Q$30,4,0)</f>
        <v>5500000</v>
      </c>
      <c r="G23073" s="51">
        <f>IFERROR(ROUNDUP(F23073*(E23073/21)/E23021,0),0)</f>
        <v>2183</v>
      </c>
    </row>
    <row r="23074" spans="1:7" x14ac:dyDescent="0.25">
      <c r="A23074" s="50" t="s">
        <v>321</v>
      </c>
      <c r="B23074" s="72" t="str">
        <f>VLOOKUP(A23074,'Componentes APUs'!$N$1:$Q$30,2,0)</f>
        <v>Grúa Hidráulica</v>
      </c>
      <c r="C23074" s="73"/>
      <c r="D23074" s="70" t="str">
        <f>VLOOKUP(A23074,'Componentes APUs'!$N$1:$Q$30,3,0)</f>
        <v>U</v>
      </c>
      <c r="E23074" s="50">
        <v>0</v>
      </c>
      <c r="F23074" s="51">
        <f>VLOOKUP(A23074,'Componentes APUs'!$N$1:$Q$30,4,0)</f>
        <v>21000000</v>
      </c>
      <c r="G23074" s="51">
        <f>IFERROR(ROUNDUP(F23074*(E23074/21)/E23021,0),0)</f>
        <v>0</v>
      </c>
    </row>
    <row r="23075" spans="1:7" x14ac:dyDescent="0.25">
      <c r="A23075" s="69" t="s">
        <v>322</v>
      </c>
      <c r="B23075" s="72" t="str">
        <f>VLOOKUP(A23075,'Componentes APUs'!$N$1:$Q$30,2,0)</f>
        <v>Camabaja</v>
      </c>
      <c r="C23075" s="73"/>
      <c r="D23075" s="70" t="str">
        <f>VLOOKUP(A23075,'Componentes APUs'!$N$1:$Q$30,3,0)</f>
        <v>TON/KM</v>
      </c>
      <c r="E23075" s="50">
        <v>0</v>
      </c>
      <c r="F23075" s="51">
        <f>VLOOKUP(A23075,'Componentes APUs'!$N$1:$Q$30,4,0)</f>
        <v>611</v>
      </c>
      <c r="G23075" s="51">
        <f>IFERROR(ROUNDUP(F23075*(E23075/21)/E23021,0),0)</f>
        <v>0</v>
      </c>
    </row>
    <row r="23076" spans="1:7" x14ac:dyDescent="0.25">
      <c r="A23076" s="50" t="s">
        <v>323</v>
      </c>
      <c r="B23076" s="72" t="str">
        <f>VLOOKUP(A23076,'Componentes APUs'!$N$1:$Q$30,2,0)</f>
        <v>Volqueta</v>
      </c>
      <c r="C23076" s="73"/>
      <c r="D23076" s="70" t="str">
        <f>VLOOKUP(A23076,'Componentes APUs'!$N$1:$Q$30,3,0)</f>
        <v>U</v>
      </c>
      <c r="E23076" s="50">
        <v>0</v>
      </c>
      <c r="F23076" s="51">
        <f>VLOOKUP(A23076,'Componentes APUs'!$N$1:$Q$30,4,0)</f>
        <v>14828184</v>
      </c>
      <c r="G23076" s="51">
        <f>IFERROR(ROUNDUP(F23076*(E23076/21)/E23021,0),0)</f>
        <v>0</v>
      </c>
    </row>
    <row r="23077" spans="1:7" x14ac:dyDescent="0.25">
      <c r="A23077" s="69" t="s">
        <v>324</v>
      </c>
      <c r="B23077" s="72" t="str">
        <f>VLOOKUP(A23077,'Componentes APUs'!$N$1:$Q$30,2,0)</f>
        <v>Retroexcavadora</v>
      </c>
      <c r="C23077" s="73"/>
      <c r="D23077" s="70" t="str">
        <f>VLOOKUP(A23077,'Componentes APUs'!$N$1:$Q$30,3,0)</f>
        <v>U</v>
      </c>
      <c r="E23077" s="50">
        <v>0</v>
      </c>
      <c r="F23077" s="51">
        <f>VLOOKUP(A23077,'Componentes APUs'!$N$1:$Q$30,4,0)</f>
        <v>46030656</v>
      </c>
      <c r="G23077" s="51">
        <f>IFERROR(ROUNDUP(F23077*(E23077/21)/E23021,0),0)</f>
        <v>0</v>
      </c>
    </row>
    <row r="23078" spans="1:7" x14ac:dyDescent="0.25">
      <c r="A23078" s="219" t="s">
        <v>99</v>
      </c>
      <c r="B23078" s="219"/>
      <c r="C23078" s="219"/>
      <c r="D23078" s="219"/>
      <c r="E23078" s="219"/>
      <c r="F23078" s="219"/>
      <c r="G23078" s="52">
        <f>SUM(G23073:G23077)</f>
        <v>2183</v>
      </c>
    </row>
    <row r="23079" spans="1:7" x14ac:dyDescent="0.25">
      <c r="A23079" s="56"/>
      <c r="B23079" s="57"/>
      <c r="C23079" s="57"/>
      <c r="D23079" s="57"/>
      <c r="E23079" s="57"/>
      <c r="F23079" s="57"/>
      <c r="G23079" s="58"/>
    </row>
    <row r="23080" spans="1:7" x14ac:dyDescent="0.25">
      <c r="A23080" s="219" t="s">
        <v>1516</v>
      </c>
      <c r="B23080" s="219"/>
      <c r="C23080" s="219"/>
      <c r="D23080" s="219"/>
      <c r="E23080" s="219"/>
      <c r="F23080" s="219"/>
      <c r="G23080" s="52">
        <f>G23078+G23069+G23052+G23041+G23031</f>
        <v>98722</v>
      </c>
    </row>
    <row r="23081" spans="1:7" x14ac:dyDescent="0.25">
      <c r="A23081" s="59"/>
      <c r="B23081" s="60"/>
      <c r="C23081" s="60"/>
      <c r="D23081" s="60"/>
      <c r="E23081" s="57"/>
      <c r="F23081" s="57"/>
      <c r="G23081" s="58"/>
    </row>
    <row r="23082" spans="1:7" x14ac:dyDescent="0.25">
      <c r="A23082" s="64"/>
      <c r="D23082" s="55"/>
      <c r="E23082" s="49" t="s">
        <v>25</v>
      </c>
      <c r="F23082" s="54">
        <v>0.15</v>
      </c>
      <c r="G23082" s="51">
        <f>G23080*F23082</f>
        <v>14808.3</v>
      </c>
    </row>
    <row r="23083" spans="1:7" x14ac:dyDescent="0.25">
      <c r="A23083" s="64"/>
      <c r="D23083" s="55"/>
      <c r="E23083" s="49" t="s">
        <v>26</v>
      </c>
      <c r="F23083" s="54">
        <v>0.05</v>
      </c>
      <c r="G23083" s="51">
        <f>G23080*F23083</f>
        <v>4936.1000000000004</v>
      </c>
    </row>
    <row r="23084" spans="1:7" x14ac:dyDescent="0.25">
      <c r="A23084" s="61"/>
      <c r="B23084" s="65"/>
      <c r="C23084" s="65"/>
      <c r="D23084" s="62"/>
      <c r="E23084" s="49" t="s">
        <v>27</v>
      </c>
      <c r="F23084" s="54">
        <v>0.05</v>
      </c>
      <c r="G23084" s="51">
        <f>G23080*F23084</f>
        <v>4936.1000000000004</v>
      </c>
    </row>
    <row r="23085" spans="1:7" x14ac:dyDescent="0.25">
      <c r="A23085" s="61"/>
      <c r="B23085" s="62"/>
      <c r="C23085" s="62"/>
      <c r="D23085" s="62"/>
      <c r="E23085" s="62"/>
      <c r="F23085" s="62"/>
      <c r="G23085" s="63"/>
    </row>
    <row r="23086" spans="1:7" x14ac:dyDescent="0.25">
      <c r="A23086" s="219" t="s">
        <v>1517</v>
      </c>
      <c r="B23086" s="219"/>
      <c r="C23086" s="219"/>
      <c r="D23086" s="219"/>
      <c r="E23086" s="219"/>
      <c r="F23086" s="219"/>
      <c r="G23086" s="52">
        <f>G23080+G23082+G23083+G23084</f>
        <v>123402.50000000001</v>
      </c>
    </row>
    <row r="23087" spans="1:7" x14ac:dyDescent="0.25">
      <c r="A23087" s="59"/>
      <c r="B23087" s="60"/>
      <c r="C23087" s="60"/>
      <c r="D23087" s="60"/>
      <c r="E23087" s="57"/>
      <c r="F23087" s="57"/>
      <c r="G23087" s="58"/>
    </row>
    <row r="23088" spans="1:7" x14ac:dyDescent="0.25">
      <c r="A23088" s="64"/>
      <c r="D23088" s="55"/>
      <c r="E23088" s="49" t="s">
        <v>102</v>
      </c>
      <c r="F23088" s="49" t="s">
        <v>103</v>
      </c>
      <c r="G23088" s="51">
        <f>G23084*19%</f>
        <v>937.85900000000004</v>
      </c>
    </row>
    <row r="23089" spans="1:7" x14ac:dyDescent="0.25">
      <c r="A23089" s="61"/>
      <c r="B23089" s="62"/>
      <c r="C23089" s="62"/>
      <c r="D23089" s="62"/>
      <c r="E23089" s="57"/>
      <c r="F23089" s="57"/>
      <c r="G23089" s="58"/>
    </row>
    <row r="23090" spans="1:7" x14ac:dyDescent="0.25">
      <c r="A23090" s="219" t="s">
        <v>104</v>
      </c>
      <c r="B23090" s="219"/>
      <c r="C23090" s="219"/>
      <c r="D23090" s="219"/>
      <c r="E23090" s="219"/>
      <c r="F23090" s="219"/>
      <c r="G23090" s="52">
        <f>G23088+G23086</f>
        <v>124340.35900000001</v>
      </c>
    </row>
    <row r="23092" spans="1:7" x14ac:dyDescent="0.25">
      <c r="A23092" s="74" t="s">
        <v>29</v>
      </c>
      <c r="B23092" s="237" t="s">
        <v>30</v>
      </c>
      <c r="C23092" s="238"/>
      <c r="D23092" s="74" t="s">
        <v>31</v>
      </c>
      <c r="E23092" s="74" t="s">
        <v>32</v>
      </c>
      <c r="F23092" s="74" t="s">
        <v>189</v>
      </c>
      <c r="G23092" s="74" t="s">
        <v>33</v>
      </c>
    </row>
    <row r="23093" spans="1:7" ht="28.5" customHeight="1" x14ac:dyDescent="0.25">
      <c r="A23093" s="50" t="str">
        <f>Presupuesto!B438</f>
        <v>097_AUX</v>
      </c>
      <c r="B23093" s="220" t="str">
        <f>Presupuesto!C438</f>
        <v>CABLE COBRE DESNUDO CU 2/0 AWG</v>
      </c>
      <c r="C23093" s="239"/>
      <c r="D23093" s="50" t="s">
        <v>8</v>
      </c>
      <c r="E23093" s="50">
        <v>120</v>
      </c>
      <c r="F23093" s="50"/>
      <c r="G23093" s="51">
        <f>G23161</f>
        <v>82706.327000000005</v>
      </c>
    </row>
    <row r="23094" spans="1:7" x14ac:dyDescent="0.25">
      <c r="A23094" s="219" t="s">
        <v>34</v>
      </c>
      <c r="B23094" s="219"/>
      <c r="C23094" s="219"/>
      <c r="D23094" s="219"/>
      <c r="E23094" s="219"/>
      <c r="F23094" s="219"/>
      <c r="G23094" s="219"/>
    </row>
    <row r="23095" spans="1:7" x14ac:dyDescent="0.25">
      <c r="A23095" s="49" t="s">
        <v>35</v>
      </c>
      <c r="B23095" s="234" t="s">
        <v>36</v>
      </c>
      <c r="C23095" s="235"/>
      <c r="D23095" s="49" t="s">
        <v>37</v>
      </c>
      <c r="E23095" s="49" t="s">
        <v>38</v>
      </c>
      <c r="F23095" s="49" t="s">
        <v>39</v>
      </c>
      <c r="G23095" s="49" t="s">
        <v>40</v>
      </c>
    </row>
    <row r="23096" spans="1:7" x14ac:dyDescent="0.25">
      <c r="A23096" s="17" t="str">
        <f>Material!A171</f>
        <v>MA-170</v>
      </c>
      <c r="B23096" s="72" t="str">
        <f>IFERROR(VLOOKUP(A23096,Material!$A:$H,2,0),"-")</f>
        <v>CABLE COBRE DESNUDO CU 2/0 AWG</v>
      </c>
      <c r="C23096" s="76"/>
      <c r="D23096" s="50" t="str">
        <f>IFERROR(VLOOKUP(A23096,Material!$A:$H,4,0),"-")</f>
        <v>ML</v>
      </c>
      <c r="E23096" s="50">
        <v>1</v>
      </c>
      <c r="F23096" s="51">
        <f>IFERROR(VLOOKUP(A23096,Material!$A:$H,3,0),"-")</f>
        <v>57785</v>
      </c>
      <c r="G23096" s="51">
        <f>IFERROR(ROUNDUP(F23096*E23096,0),"-")</f>
        <v>57785</v>
      </c>
    </row>
    <row r="23097" spans="1:7" x14ac:dyDescent="0.25">
      <c r="A23097" s="17"/>
      <c r="B23097" s="72" t="str">
        <f>IFERROR(VLOOKUP(A23097,Material!$A:$H,2,0),"-")</f>
        <v>-</v>
      </c>
      <c r="C23097" s="76"/>
      <c r="D23097" s="50" t="str">
        <f>IFERROR(VLOOKUP(A23097,Material!$A:$H,4,0),"-")</f>
        <v>-</v>
      </c>
      <c r="E23097" s="50">
        <v>0</v>
      </c>
      <c r="F23097" s="51" t="str">
        <f>IFERROR(VLOOKUP(A23097,Material!$A:$H,3,0),"-")</f>
        <v>-</v>
      </c>
      <c r="G23097" s="51" t="str">
        <f>IFERROR(ROUNDUP(F23097*E23097,0),"-")</f>
        <v>-</v>
      </c>
    </row>
    <row r="23098" spans="1:7" x14ac:dyDescent="0.25">
      <c r="A23098" s="17"/>
      <c r="B23098" s="72"/>
      <c r="C23098" s="76"/>
      <c r="D23098" s="50"/>
      <c r="E23098" s="50"/>
      <c r="F23098" s="51"/>
      <c r="G23098" s="51"/>
    </row>
    <row r="23099" spans="1:7" x14ac:dyDescent="0.25">
      <c r="A23099" s="17"/>
      <c r="B23099" s="72"/>
      <c r="C23099" s="76"/>
      <c r="D23099" s="50"/>
      <c r="E23099" s="50"/>
      <c r="F23099" s="51"/>
      <c r="G23099" s="51"/>
    </row>
    <row r="23100" spans="1:7" x14ac:dyDescent="0.25">
      <c r="A23100" s="17"/>
      <c r="B23100" s="72"/>
      <c r="C23100" s="76"/>
      <c r="D23100" s="50"/>
      <c r="E23100" s="50"/>
      <c r="F23100" s="51"/>
      <c r="G23100" s="51"/>
    </row>
    <row r="23101" spans="1:7" x14ac:dyDescent="0.25">
      <c r="A23101" s="17"/>
      <c r="B23101" s="72"/>
      <c r="C23101" s="76"/>
      <c r="D23101" s="50"/>
      <c r="E23101" s="50"/>
      <c r="F23101" s="51"/>
      <c r="G23101" s="51"/>
    </row>
    <row r="23102" spans="1:7" x14ac:dyDescent="0.25">
      <c r="A23102" s="234" t="s">
        <v>41</v>
      </c>
      <c r="B23102" s="236"/>
      <c r="C23102" s="236"/>
      <c r="D23102" s="236"/>
      <c r="E23102" s="236"/>
      <c r="F23102" s="235"/>
      <c r="G23102" s="52">
        <f>SUM(G23096:G23101)</f>
        <v>57785</v>
      </c>
    </row>
    <row r="23103" spans="1:7" x14ac:dyDescent="0.25">
      <c r="A23103" s="56"/>
      <c r="B23103" s="57"/>
      <c r="C23103" s="57"/>
      <c r="D23103" s="57"/>
      <c r="E23103" s="57"/>
      <c r="F23103" s="57"/>
      <c r="G23103" s="58"/>
    </row>
    <row r="23104" spans="1:7" x14ac:dyDescent="0.25">
      <c r="A23104" s="219" t="s">
        <v>42</v>
      </c>
      <c r="B23104" s="219"/>
      <c r="C23104" s="219"/>
      <c r="D23104" s="219"/>
      <c r="E23104" s="219"/>
      <c r="F23104" s="219"/>
      <c r="G23104" s="219"/>
    </row>
    <row r="23105" spans="1:7" x14ac:dyDescent="0.25">
      <c r="A23105" s="49" t="s">
        <v>35</v>
      </c>
      <c r="B23105" s="49" t="s">
        <v>36</v>
      </c>
      <c r="C23105" s="49" t="s">
        <v>38</v>
      </c>
      <c r="D23105" s="49" t="s">
        <v>43</v>
      </c>
      <c r="E23105" s="49" t="s">
        <v>44</v>
      </c>
      <c r="F23105" s="49" t="s">
        <v>45</v>
      </c>
      <c r="G23105" s="49" t="s">
        <v>40</v>
      </c>
    </row>
    <row r="23106" spans="1:7" x14ac:dyDescent="0.25">
      <c r="A23106" s="50" t="s">
        <v>319</v>
      </c>
      <c r="B23106" s="68" t="str">
        <f>VLOOKUP(A23106,'Componentes APUs'!$H$1:$L$25,2,0)</f>
        <v>Ingeniero Residente de Obra</v>
      </c>
      <c r="C23106" s="93">
        <v>0.25</v>
      </c>
      <c r="D23106" s="50">
        <f>VLOOKUP(A23106,'Componentes APUs'!$H$1:$L$25,3,0)</f>
        <v>4</v>
      </c>
      <c r="E23106" s="51">
        <f>VLOOKUP(A23106,'Componentes APUs'!$H$1:$L$25,4,0)</f>
        <v>271142.85714285716</v>
      </c>
      <c r="F23106" s="51">
        <f>VLOOKUP(A23106,'Componentes APUs'!$H$1:$L$25,5,0)</f>
        <v>162685.71428571429</v>
      </c>
      <c r="G23106" s="51">
        <f>ROUNDUP((E23106+F23106)*C23106/E23093,0)</f>
        <v>904</v>
      </c>
    </row>
    <row r="23107" spans="1:7" x14ac:dyDescent="0.25">
      <c r="A23107" s="50" t="s">
        <v>320</v>
      </c>
      <c r="B23107" s="68" t="str">
        <f>VLOOKUP(A23107,'Componentes APUs'!$H$1:$L$25,2,0)</f>
        <v>Tecnico Supervisor</v>
      </c>
      <c r="C23107" s="93">
        <v>0.25</v>
      </c>
      <c r="D23107" s="50">
        <f>VLOOKUP(A23107,'Componentes APUs'!$H$1:$L$25,3,0)</f>
        <v>2.2999999999999998</v>
      </c>
      <c r="E23107" s="51">
        <f>VLOOKUP(A23107,'Componentes APUs'!$H$1:$L$25,4,0)</f>
        <v>155907.14285714284</v>
      </c>
      <c r="F23107" s="51">
        <f>VLOOKUP(A23107,'Componentes APUs'!$H$1:$L$25,5,0)</f>
        <v>93544.285714285696</v>
      </c>
      <c r="G23107" s="51">
        <f>ROUNDUP((E23107+F23107)*C23107/E23093,0)</f>
        <v>520</v>
      </c>
    </row>
    <row r="23108" spans="1:7" x14ac:dyDescent="0.25">
      <c r="A23108" s="50" t="s">
        <v>1160</v>
      </c>
      <c r="B23108" s="68" t="str">
        <f>VLOOKUP(A23108,'Componentes APUs'!$H$1:$L$25,2,0)</f>
        <v>Oficial Eléctrico</v>
      </c>
      <c r="C23108" s="93">
        <v>1</v>
      </c>
      <c r="D23108" s="50">
        <f>VLOOKUP(A23108,'Componentes APUs'!$H$1:$L$25,3,0)</f>
        <v>2</v>
      </c>
      <c r="E23108" s="51">
        <f>VLOOKUP(A23108,'Componentes APUs'!$H$1:$L$25,4,0)</f>
        <v>154619.04761904763</v>
      </c>
      <c r="F23108" s="51">
        <f>VLOOKUP(A23108,'Componentes APUs'!$H$1:$L$25,5,0)</f>
        <v>92771.42857142858</v>
      </c>
      <c r="G23108" s="51">
        <f>ROUNDUP((E23108+F23108)*C23108/E23093,0)</f>
        <v>2062</v>
      </c>
    </row>
    <row r="23109" spans="1:7" x14ac:dyDescent="0.25">
      <c r="A23109" s="50" t="s">
        <v>48</v>
      </c>
      <c r="B23109" s="68" t="str">
        <f>VLOOKUP(A23109,'Componentes APUs'!$H$1:$L$25,2,0)</f>
        <v>Ayudante Calificado</v>
      </c>
      <c r="C23109" s="93">
        <v>1</v>
      </c>
      <c r="D23109" s="50">
        <f>VLOOKUP(A23109,'Componentes APUs'!$H$1:$L$25,3,0)</f>
        <v>1.5</v>
      </c>
      <c r="E23109" s="51">
        <f>VLOOKUP(A23109,'Componentes APUs'!$H$1:$L$25,4,0)</f>
        <v>115964.28571428571</v>
      </c>
      <c r="F23109" s="51">
        <f>VLOOKUP(A23109,'Componentes APUs'!$H$1:$L$25,5,0)</f>
        <v>69578.57142857142</v>
      </c>
      <c r="G23109" s="51">
        <f>ROUNDUP((E23109+F23109)*C23109/E23093,0)</f>
        <v>1547</v>
      </c>
    </row>
    <row r="23110" spans="1:7" x14ac:dyDescent="0.25">
      <c r="A23110" s="50" t="s">
        <v>50</v>
      </c>
      <c r="B23110" s="68" t="str">
        <f>VLOOKUP(A23110,'Componentes APUs'!$H$1:$L$25,2,0)</f>
        <v>Profesional en SST</v>
      </c>
      <c r="C23110" s="93">
        <v>0.25</v>
      </c>
      <c r="D23110" s="50">
        <f>VLOOKUP(A23110,'Componentes APUs'!$H$1:$L$25,3,0)</f>
        <v>2.5</v>
      </c>
      <c r="E23110" s="51">
        <f>VLOOKUP(A23110,'Componentes APUs'!$H$1:$L$25,4,0)</f>
        <v>169464.28571428571</v>
      </c>
      <c r="F23110" s="51">
        <f>VLOOKUP(A23110,'Componentes APUs'!$H$1:$L$25,5,0)</f>
        <v>101678.57142857142</v>
      </c>
      <c r="G23110" s="51">
        <f>ROUNDUP((E23110+F23110)*C23110/E23093,0)</f>
        <v>565</v>
      </c>
    </row>
    <row r="23111" spans="1:7" x14ac:dyDescent="0.25">
      <c r="A23111" s="50" t="s">
        <v>52</v>
      </c>
      <c r="B23111" s="68" t="str">
        <f>VLOOKUP(A23111,'Componentes APUs'!$H$1:$L$25,2,0)</f>
        <v>Ayudante No Calificado</v>
      </c>
      <c r="C23111" s="93">
        <v>0</v>
      </c>
      <c r="D23111" s="50">
        <f>VLOOKUP(A23111,'Componentes APUs'!$H$1:$L$25,3,0)</f>
        <v>1</v>
      </c>
      <c r="E23111" s="51">
        <f>VLOOKUP(A23111,'Componentes APUs'!$H$1:$L$25,4,0)</f>
        <v>77309.523809523816</v>
      </c>
      <c r="F23111" s="51">
        <f>VLOOKUP(A23111,'Componentes APUs'!$H$1:$L$25,5,0)</f>
        <v>46385.71428571429</v>
      </c>
      <c r="G23111" s="51">
        <f>ROUNDUP((E23111+F23111)*C23111/E23093,0)</f>
        <v>0</v>
      </c>
    </row>
    <row r="23112" spans="1:7" x14ac:dyDescent="0.25">
      <c r="A23112" s="219" t="s">
        <v>56</v>
      </c>
      <c r="B23112" s="219"/>
      <c r="C23112" s="219"/>
      <c r="D23112" s="219"/>
      <c r="E23112" s="219"/>
      <c r="F23112" s="219"/>
      <c r="G23112" s="52">
        <f>SUM(G23106:G23111)</f>
        <v>5598</v>
      </c>
    </row>
    <row r="23113" spans="1:7" x14ac:dyDescent="0.25">
      <c r="A23113" s="56"/>
      <c r="B23113" s="57"/>
      <c r="C23113" s="57"/>
      <c r="D23113" s="57"/>
      <c r="E23113" s="57"/>
      <c r="F23113" s="57"/>
      <c r="G23113" s="58"/>
    </row>
    <row r="23114" spans="1:7" x14ac:dyDescent="0.25">
      <c r="A23114" s="219" t="s">
        <v>57</v>
      </c>
      <c r="B23114" s="219"/>
      <c r="C23114" s="219"/>
      <c r="D23114" s="219"/>
      <c r="E23114" s="219"/>
      <c r="F23114" s="219"/>
      <c r="G23114" s="219"/>
    </row>
    <row r="23115" spans="1:7" x14ac:dyDescent="0.25">
      <c r="A23115" s="49" t="s">
        <v>35</v>
      </c>
      <c r="B23115" s="219" t="s">
        <v>36</v>
      </c>
      <c r="C23115" s="219"/>
      <c r="D23115" s="49" t="s">
        <v>37</v>
      </c>
      <c r="E23115" s="49" t="s">
        <v>38</v>
      </c>
      <c r="F23115" s="49" t="s">
        <v>39</v>
      </c>
      <c r="G23115" s="49" t="s">
        <v>40</v>
      </c>
    </row>
    <row r="23116" spans="1:7" x14ac:dyDescent="0.25">
      <c r="A23116" s="50" t="s">
        <v>326</v>
      </c>
      <c r="B23116" s="220" t="str">
        <f>VLOOKUP(A23116,'Componentes APUs'!$S$1:$V$10,2,0)</f>
        <v>Juego Llaves</v>
      </c>
      <c r="C23116" s="220"/>
      <c r="D23116" s="50" t="s">
        <v>18</v>
      </c>
      <c r="E23116" s="50">
        <v>1</v>
      </c>
      <c r="F23116" s="51">
        <f>VLOOKUP(A23116,'Componentes APUs'!$S$1:$V$10,4,0)</f>
        <v>9167</v>
      </c>
      <c r="G23116" s="51">
        <f>ROUNDUP(F23116*((E23116/21)/E23093),0)</f>
        <v>4</v>
      </c>
    </row>
    <row r="23117" spans="1:7" x14ac:dyDescent="0.25">
      <c r="A23117" s="50" t="s">
        <v>58</v>
      </c>
      <c r="B23117" s="220" t="str">
        <f>VLOOKUP(A23117,'Componentes APUs'!$S$1:$V$10,2,0)</f>
        <v>Manila de servicio</v>
      </c>
      <c r="C23117" s="220"/>
      <c r="D23117" s="50" t="s">
        <v>18</v>
      </c>
      <c r="E23117" s="50">
        <v>0</v>
      </c>
      <c r="F23117" s="51">
        <f>VLOOKUP(A23117,'Componentes APUs'!$S$1:$V$10,4,0)</f>
        <v>2333</v>
      </c>
      <c r="G23117" s="51">
        <f>ROUNDUP(F23117*((E23117/21)/E23093),0)</f>
        <v>0</v>
      </c>
    </row>
    <row r="23118" spans="1:7" x14ac:dyDescent="0.25">
      <c r="A23118" s="50" t="s">
        <v>327</v>
      </c>
      <c r="B23118" s="220" t="str">
        <f>VLOOKUP(A23118,'Componentes APUs'!$S$1:$V$10,2,0)</f>
        <v>Tula portaherramientas</v>
      </c>
      <c r="C23118" s="220"/>
      <c r="D23118" s="50" t="s">
        <v>18</v>
      </c>
      <c r="E23118" s="50">
        <v>1</v>
      </c>
      <c r="F23118" s="51">
        <f>VLOOKUP(A23118,'Componentes APUs'!$S$1:$V$10,4,0)</f>
        <v>1250</v>
      </c>
      <c r="G23118" s="51">
        <f>ROUNDUP(F23118*((E23118/21)/E23093),0)</f>
        <v>1</v>
      </c>
    </row>
    <row r="23119" spans="1:7" x14ac:dyDescent="0.25">
      <c r="A23119" s="50" t="s">
        <v>60</v>
      </c>
      <c r="B23119" s="220" t="str">
        <f>VLOOKUP(A23119,'Componentes APUs'!$S$1:$V$10,2,0)</f>
        <v>Agarradoras</v>
      </c>
      <c r="C23119" s="220"/>
      <c r="D23119" s="50" t="s">
        <v>18</v>
      </c>
      <c r="E23119" s="50">
        <v>0</v>
      </c>
      <c r="F23119" s="51">
        <f>VLOOKUP(A23119,'Componentes APUs'!$S$1:$V$10,4,0)</f>
        <v>125000</v>
      </c>
      <c r="G23119" s="51">
        <f>ROUNDUP(F23119*((E23119/21)/E23093),0)</f>
        <v>0</v>
      </c>
    </row>
    <row r="23120" spans="1:7" x14ac:dyDescent="0.25">
      <c r="A23120" s="50" t="s">
        <v>62</v>
      </c>
      <c r="B23120" s="220" t="str">
        <f>VLOOKUP(A23120,'Componentes APUs'!$S$1:$V$10,2,0)</f>
        <v>Templadoras</v>
      </c>
      <c r="C23120" s="220"/>
      <c r="D23120" s="50" t="s">
        <v>18</v>
      </c>
      <c r="E23120" s="50">
        <v>0</v>
      </c>
      <c r="F23120" s="51">
        <f>VLOOKUP(A23120,'Componentes APUs'!$S$1:$V$10,4,0)</f>
        <v>250000</v>
      </c>
      <c r="G23120" s="51">
        <f>ROUNDUP(F23120*((E23120/21)/E23093),0)</f>
        <v>0</v>
      </c>
    </row>
    <row r="23121" spans="1:7" x14ac:dyDescent="0.25">
      <c r="A23121" s="50" t="s">
        <v>328</v>
      </c>
      <c r="B23121" s="220" t="str">
        <f>VLOOKUP(A23121,'Componentes APUs'!$S$1:$V$10,2,0)</f>
        <v>Herramienta Menor</v>
      </c>
      <c r="C23121" s="220"/>
      <c r="D23121" s="50" t="s">
        <v>18</v>
      </c>
      <c r="E23121" s="50">
        <v>1</v>
      </c>
      <c r="F23121" s="51">
        <f>VLOOKUP(A23121,'Componentes APUs'!$S$1:$V$10,4,0)</f>
        <v>75758</v>
      </c>
      <c r="G23121" s="51">
        <f>ROUNDUP(F23121*((E23121/21)/E23093),0)</f>
        <v>31</v>
      </c>
    </row>
    <row r="23122" spans="1:7" x14ac:dyDescent="0.25">
      <c r="A23122" s="50" t="s">
        <v>1046</v>
      </c>
      <c r="B23122" s="220" t="str">
        <f>VLOOKUP(A23122,'Componentes APUs'!$S$1:$V$10,2,0)</f>
        <v>Molde Grafito Soldadura Exotérmica En X</v>
      </c>
      <c r="C23122" s="220"/>
      <c r="D23122" s="50" t="s">
        <v>18</v>
      </c>
      <c r="E23122" s="50">
        <f>1/40</f>
        <v>2.5000000000000001E-2</v>
      </c>
      <c r="F23122" s="51">
        <f>VLOOKUP(A23122,'Componentes APUs'!$S$1:$V$10,4,0)</f>
        <v>239000</v>
      </c>
      <c r="G23122" s="51">
        <f>ROUNDUP(F23122*((E23122/21)/E23093),0)</f>
        <v>3</v>
      </c>
    </row>
    <row r="23123" spans="1:7" x14ac:dyDescent="0.25">
      <c r="A23123" s="219" t="s">
        <v>69</v>
      </c>
      <c r="B23123" s="219"/>
      <c r="C23123" s="219"/>
      <c r="D23123" s="219"/>
      <c r="E23123" s="219"/>
      <c r="F23123" s="219"/>
      <c r="G23123" s="52">
        <f>SUM(G23116:G23121)</f>
        <v>36</v>
      </c>
    </row>
    <row r="23124" spans="1:7" x14ac:dyDescent="0.25">
      <c r="A23124" s="56"/>
      <c r="B23124" s="57"/>
      <c r="C23124" s="57"/>
      <c r="D23124" s="57"/>
      <c r="E23124" s="57"/>
      <c r="F23124" s="57"/>
      <c r="G23124" s="58"/>
    </row>
    <row r="23125" spans="1:7" x14ac:dyDescent="0.25">
      <c r="A23125" s="219" t="s">
        <v>70</v>
      </c>
      <c r="B23125" s="219"/>
      <c r="C23125" s="219"/>
      <c r="D23125" s="219"/>
      <c r="E23125" s="219"/>
      <c r="F23125" s="219"/>
      <c r="G23125" s="219"/>
    </row>
    <row r="23126" spans="1:7" x14ac:dyDescent="0.25">
      <c r="A23126" s="49" t="s">
        <v>35</v>
      </c>
      <c r="B23126" s="219" t="s">
        <v>36</v>
      </c>
      <c r="C23126" s="219"/>
      <c r="D23126" s="49" t="s">
        <v>37</v>
      </c>
      <c r="E23126" s="49" t="s">
        <v>38</v>
      </c>
      <c r="F23126" s="49" t="s">
        <v>39</v>
      </c>
      <c r="G23126" s="49" t="s">
        <v>40</v>
      </c>
    </row>
    <row r="23127" spans="1:7" x14ac:dyDescent="0.25">
      <c r="A23127" s="50" t="s">
        <v>71</v>
      </c>
      <c r="B23127" s="71" t="str">
        <f>VLOOKUP(A23127,'Componentes APUs'!$A$1:$D$14,2,0)</f>
        <v>Camisa indigo sin partes metalicas</v>
      </c>
      <c r="C23127" s="71"/>
      <c r="D23127" s="50" t="str">
        <f>VLOOKUP(A23127,'Componentes APUs'!$A$1:$D$14,3,0)</f>
        <v>U</v>
      </c>
      <c r="E23127" s="50">
        <f>SUM(C23106:C23111)</f>
        <v>2.75</v>
      </c>
      <c r="F23127" s="51">
        <f>VLOOKUP(A23127,'Componentes APUs'!$A$1:$D$14,4,0)</f>
        <v>8585.8585858585866</v>
      </c>
      <c r="G23127" s="51">
        <f>ROUNDUP(F23127*(E23127/21)/E23093,0)</f>
        <v>10</v>
      </c>
    </row>
    <row r="23128" spans="1:7" x14ac:dyDescent="0.25">
      <c r="A23128" s="69" t="s">
        <v>73</v>
      </c>
      <c r="B23128" s="72" t="str">
        <f>VLOOKUP(A23128,'Componentes APUs'!$A$1:$D$14,2,0)</f>
        <v>Bota de seguridad dielectrica</v>
      </c>
      <c r="C23128" s="73"/>
      <c r="D23128" s="70" t="str">
        <f>VLOOKUP(A23128,'Componentes APUs'!$A$1:$D$14,3,0)</f>
        <v>Par</v>
      </c>
      <c r="E23128" s="50">
        <f>SUM(C23106:C23111)</f>
        <v>2.75</v>
      </c>
      <c r="F23128" s="51">
        <f>VLOOKUP(A23128,'Componentes APUs'!$A$1:$D$14,4,0)</f>
        <v>7500</v>
      </c>
      <c r="G23128" s="51">
        <f>ROUNDUP(F23128*(E23128/21)/E23093,0)</f>
        <v>9</v>
      </c>
    </row>
    <row r="23129" spans="1:7" x14ac:dyDescent="0.25">
      <c r="A23129" s="50" t="s">
        <v>76</v>
      </c>
      <c r="B23129" s="72" t="str">
        <f>VLOOKUP(A23129,'Componentes APUs'!$A$1:$D$14,2,0)</f>
        <v>Casco dielectrico Tipo 1 Clase E con barbuquejo</v>
      </c>
      <c r="C23129" s="73"/>
      <c r="D23129" s="50" t="str">
        <f>VLOOKUP(A23129,'Componentes APUs'!$A$1:$D$14,3,0)</f>
        <v>U</v>
      </c>
      <c r="E23129" s="50">
        <f>C23111+C23106+C23109+C23110+C23107+IF(A23108&lt;&gt;"MO-3",C23108,0)</f>
        <v>2.75</v>
      </c>
      <c r="F23129" s="51">
        <f>VLOOKUP(A23129,'Componentes APUs'!$A$1:$D$14,4,0)</f>
        <v>10101.010101010101</v>
      </c>
      <c r="G23129" s="51">
        <f>ROUNDUP(F23129*(E23129/21)/E23093,0)</f>
        <v>12</v>
      </c>
    </row>
    <row r="23130" spans="1:7" x14ac:dyDescent="0.25">
      <c r="A23130" s="69" t="s">
        <v>77</v>
      </c>
      <c r="B23130" s="72" t="str">
        <f>VLOOKUP(A23130,'Componentes APUs'!$A$1:$D$14,2,0)</f>
        <v>Correa plastica y antiflama</v>
      </c>
      <c r="C23130" s="73"/>
      <c r="D23130" s="50" t="str">
        <f>VLOOKUP(A23130,'Componentes APUs'!$A$1:$D$14,3,0)</f>
        <v>U</v>
      </c>
      <c r="E23130" s="50">
        <f>SUM(C23106:C23111)</f>
        <v>2.75</v>
      </c>
      <c r="F23130" s="51">
        <f>VLOOKUP(A23130,'Componentes APUs'!$A$1:$D$14,4,0)</f>
        <v>3787.878787878788</v>
      </c>
      <c r="G23130" s="51">
        <f>ROUNDUP(F23130*(E23130/21)/E23093,0)</f>
        <v>5</v>
      </c>
    </row>
    <row r="23131" spans="1:7" x14ac:dyDescent="0.25">
      <c r="A23131" s="50" t="s">
        <v>79</v>
      </c>
      <c r="B23131" s="72" t="str">
        <f>VLOOKUP(A23131,'Componentes APUs'!$A$1:$D$14,2,0)</f>
        <v>Gafas protectoras filtro UV</v>
      </c>
      <c r="C23131" s="73"/>
      <c r="D23131" s="50" t="str">
        <f>VLOOKUP(A23131,'Componentes APUs'!$A$1:$D$14,3,0)</f>
        <v>U</v>
      </c>
      <c r="E23131" s="50">
        <f>SUM(C23106:C23111)</f>
        <v>2.75</v>
      </c>
      <c r="F23131" s="51">
        <f>VLOOKUP(A23131,'Componentes APUs'!$A$1:$D$14,4,0)</f>
        <v>2777.7777777777778</v>
      </c>
      <c r="G23131" s="51">
        <f>ROUNDUP(F23131*(E23131/21)/E23093,0)</f>
        <v>4</v>
      </c>
    </row>
    <row r="23132" spans="1:7" x14ac:dyDescent="0.25">
      <c r="A23132" s="69" t="s">
        <v>402</v>
      </c>
      <c r="B23132" s="72" t="str">
        <f>VLOOKUP(A23132,'Componentes APUs'!$A$1:$D$14,2,0)</f>
        <v>Bota de seguridad PVC dielectrica</v>
      </c>
      <c r="C23132" s="73"/>
      <c r="D23132" s="50" t="str">
        <f>VLOOKUP(A23132,'Componentes APUs'!$A$1:$D$14,3,0)</f>
        <v>Par</v>
      </c>
      <c r="E23132" s="50">
        <f>SUM(C23106:C23111)</f>
        <v>2.75</v>
      </c>
      <c r="F23132" s="51">
        <f>VLOOKUP(A23132,'Componentes APUs'!$A$1:$D$14,4,0)</f>
        <v>2916.6666666666665</v>
      </c>
      <c r="G23132" s="51">
        <f>ROUNDUP(F23132*(E23132/21)/E23093,0)</f>
        <v>4</v>
      </c>
    </row>
    <row r="23133" spans="1:7" x14ac:dyDescent="0.25">
      <c r="A23133" s="50" t="s">
        <v>403</v>
      </c>
      <c r="B23133" s="72" t="str">
        <f>VLOOKUP(A23133,'Componentes APUs'!$A$1:$D$14,2,0)</f>
        <v>Capuchon</v>
      </c>
      <c r="C23133" s="73"/>
      <c r="D23133" s="50" t="str">
        <f>VLOOKUP(A23133,'Componentes APUs'!$A$1:$D$14,3,0)</f>
        <v>U</v>
      </c>
      <c r="E23133" s="50">
        <f>SUM(C23106:C23111)</f>
        <v>2.75</v>
      </c>
      <c r="F23133" s="51">
        <f>VLOOKUP(A23133,'Componentes APUs'!$A$1:$D$14,4,0)</f>
        <v>2525.2525252525252</v>
      </c>
      <c r="G23133" s="51">
        <f>ROUNDUP(F23133*(E23133/21)/E23093,0)</f>
        <v>3</v>
      </c>
    </row>
    <row r="23134" spans="1:7" x14ac:dyDescent="0.25">
      <c r="A23134" s="69" t="s">
        <v>81</v>
      </c>
      <c r="B23134" s="72" t="str">
        <f>VLOOKUP(A23134,'Componentes APUs'!$A$1:$D$14,2,0)</f>
        <v>Guantes Protectores  - ingeniero reforzados</v>
      </c>
      <c r="C23134" s="73"/>
      <c r="D23134" s="50" t="str">
        <f>VLOOKUP(A23134,'Componentes APUs'!$A$1:$D$14,3,0)</f>
        <v>Par</v>
      </c>
      <c r="E23134" s="50">
        <f>C23108+C23109+C23111</f>
        <v>2</v>
      </c>
      <c r="F23134" s="51">
        <f>VLOOKUP(A23134,'Componentes APUs'!$A$1:$D$14,4,0)</f>
        <v>2525.2525252525252</v>
      </c>
      <c r="G23134" s="51">
        <f>ROUNDUP(F23134*(E23134/21)/E23093,0)</f>
        <v>3</v>
      </c>
    </row>
    <row r="23135" spans="1:7" x14ac:dyDescent="0.25">
      <c r="A23135" s="50" t="s">
        <v>83</v>
      </c>
      <c r="B23135" s="72" t="str">
        <f>VLOOKUP(A23135,'Componentes APUs'!$A$1:$D$14,2,0)</f>
        <v>Impermeable (pantalon camisa)</v>
      </c>
      <c r="C23135" s="73"/>
      <c r="D23135" s="50" t="str">
        <f>VLOOKUP(A23135,'Componentes APUs'!$A$1:$D$14,3,0)</f>
        <v>U</v>
      </c>
      <c r="E23135" s="50">
        <f>SUM(C23106:C23111)</f>
        <v>2.75</v>
      </c>
      <c r="F23135" s="51">
        <f>VLOOKUP(A23135,'Componentes APUs'!$A$1:$D$14,4,0)</f>
        <v>3750</v>
      </c>
      <c r="G23135" s="51">
        <f>ROUNDUP(F23135*(E23135/21)/E23093,0)</f>
        <v>5</v>
      </c>
    </row>
    <row r="23136" spans="1:7" x14ac:dyDescent="0.25">
      <c r="A23136" s="69" t="s">
        <v>85</v>
      </c>
      <c r="B23136" s="72" t="str">
        <f>VLOOKUP(A23136,'Componentes APUs'!$A$1:$D$14,2,0)</f>
        <v>Jean Dielectrico</v>
      </c>
      <c r="C23136" s="73"/>
      <c r="D23136" s="50" t="str">
        <f>VLOOKUP(A23136,'Componentes APUs'!$A$1:$D$14,3,0)</f>
        <v>U</v>
      </c>
      <c r="E23136" s="50">
        <f>SUM(C23106:C23111)</f>
        <v>2.75</v>
      </c>
      <c r="F23136" s="51">
        <f>VLOOKUP(A23136,'Componentes APUs'!$A$1:$D$14,4,0)</f>
        <v>7575.757575757576</v>
      </c>
      <c r="G23136" s="51">
        <f>ROUNDUP(F23136*(E23136/21)/E23093,0)</f>
        <v>9</v>
      </c>
    </row>
    <row r="23137" spans="1:7" x14ac:dyDescent="0.25">
      <c r="A23137" s="50" t="s">
        <v>87</v>
      </c>
      <c r="B23137" s="72" t="str">
        <f>VLOOKUP(A23137,'Componentes APUs'!$A$1:$D$14,2,0)</f>
        <v>Casco dielectrico Tipo 2 Clase E con barboquejo</v>
      </c>
      <c r="C23137" s="73"/>
      <c r="D23137" s="50" t="str">
        <f>VLOOKUP(A23137,'Componentes APUs'!$A$1:$D$14,3,0)</f>
        <v>U</v>
      </c>
      <c r="E23137" s="53">
        <f>IF(A23108="MO-3",C23108,0)</f>
        <v>0</v>
      </c>
      <c r="F23137" s="51">
        <f>VLOOKUP(A23137,'Componentes APUs'!$A$1:$D$14,4,0)</f>
        <v>7500</v>
      </c>
      <c r="G23137" s="51">
        <f>ROUNDUP(F23137*(E23137/21)/E23093,0)</f>
        <v>0</v>
      </c>
    </row>
    <row r="23138" spans="1:7" x14ac:dyDescent="0.25">
      <c r="A23138" s="69" t="s">
        <v>89</v>
      </c>
      <c r="B23138" s="72" t="str">
        <f>VLOOKUP(A23138,'Componentes APUs'!$A$1:$D$14,2,0)</f>
        <v>Kit de rescate para trabajo en alturas</v>
      </c>
      <c r="C23138" s="73"/>
      <c r="D23138" s="50" t="str">
        <f>VLOOKUP(A23138,'Componentes APUs'!$A$1:$D$14,3,0)</f>
        <v>U</v>
      </c>
      <c r="E23138" s="50">
        <f>IF(AND(A23108="MO-3",C23108=2),1,0)</f>
        <v>0</v>
      </c>
      <c r="F23138" s="51">
        <f>VLOOKUP(A23138,'Componentes APUs'!$A$1:$D$14,4,0)</f>
        <v>37500</v>
      </c>
      <c r="G23138" s="51">
        <f>ROUNDUP(F23138*(E23138/21)/E23093,0)</f>
        <v>0</v>
      </c>
    </row>
    <row r="23139" spans="1:7" x14ac:dyDescent="0.25">
      <c r="A23139" s="50" t="s">
        <v>91</v>
      </c>
      <c r="B23139" s="72" t="str">
        <f>VLOOKUP(A23139,'Componentes APUs'!$A$1:$D$14,2,0)</f>
        <v>Equipo completo para trabajo en alturas con pretales (Arnes dielectrico, 1 mosqueton de seguridad, tie off dielectrico, eslinga de posicionamiento, juego de pretales)</v>
      </c>
      <c r="C23139" s="73"/>
      <c r="D23139" s="50" t="str">
        <f>VLOOKUP(A23139,'Componentes APUs'!$A$1:$D$14,3,0)</f>
        <v>U</v>
      </c>
      <c r="E23139" s="50">
        <f>IF(A23108="MO-3",C23108,0)</f>
        <v>0</v>
      </c>
      <c r="F23139" s="51">
        <f>VLOOKUP(A23139,'Componentes APUs'!$A$1:$D$14,4,0)</f>
        <v>26041.666666666668</v>
      </c>
      <c r="G23139" s="51">
        <f>ROUNDUP(F23139*(E23139/21)/E23093,0)</f>
        <v>0</v>
      </c>
    </row>
    <row r="23140" spans="1:7" x14ac:dyDescent="0.25">
      <c r="A23140" s="219" t="s">
        <v>95</v>
      </c>
      <c r="B23140" s="219"/>
      <c r="C23140" s="219"/>
      <c r="D23140" s="219"/>
      <c r="E23140" s="219"/>
      <c r="F23140" s="219"/>
      <c r="G23140" s="52">
        <f>SUM(G23127:G23139)</f>
        <v>64</v>
      </c>
    </row>
    <row r="23141" spans="1:7" x14ac:dyDescent="0.25">
      <c r="A23141" s="56"/>
      <c r="B23141" s="57"/>
      <c r="C23141" s="57"/>
      <c r="D23141" s="57"/>
      <c r="E23141" s="57"/>
      <c r="F23141" s="57"/>
      <c r="G23141" s="58"/>
    </row>
    <row r="23142" spans="1:7" x14ac:dyDescent="0.25">
      <c r="A23142" s="219" t="s">
        <v>96</v>
      </c>
      <c r="B23142" s="219"/>
      <c r="C23142" s="219"/>
      <c r="D23142" s="219"/>
      <c r="E23142" s="219"/>
      <c r="F23142" s="219"/>
      <c r="G23142" s="219"/>
    </row>
    <row r="23143" spans="1:7" x14ac:dyDescent="0.25">
      <c r="A23143" s="49" t="s">
        <v>35</v>
      </c>
      <c r="B23143" s="225" t="s">
        <v>36</v>
      </c>
      <c r="C23143" s="225"/>
      <c r="D23143" s="49" t="s">
        <v>37</v>
      </c>
      <c r="E23143" s="49" t="s">
        <v>38</v>
      </c>
      <c r="F23143" s="49" t="s">
        <v>39</v>
      </c>
      <c r="G23143" s="49" t="s">
        <v>40</v>
      </c>
    </row>
    <row r="23144" spans="1:7" x14ac:dyDescent="0.25">
      <c r="A23144" s="69" t="s">
        <v>97</v>
      </c>
      <c r="B23144" s="72" t="str">
        <f>VLOOKUP(A23144,'Componentes APUs'!$N$1:$Q$30,2,0)</f>
        <v>Camioneta</v>
      </c>
      <c r="C23144" s="73"/>
      <c r="D23144" s="70" t="str">
        <f>VLOOKUP(A23144,'Componentes APUs'!$N$1:$Q$30,3,0)</f>
        <v>U</v>
      </c>
      <c r="E23144" s="50">
        <v>1</v>
      </c>
      <c r="F23144" s="51">
        <f>VLOOKUP(A23144,'Componentes APUs'!$N$1:$Q$30,4,0)</f>
        <v>5500000</v>
      </c>
      <c r="G23144" s="51">
        <f>IFERROR(ROUNDUP(F23144*(E23144/21)/E23093,0),0)</f>
        <v>2183</v>
      </c>
    </row>
    <row r="23145" spans="1:7" x14ac:dyDescent="0.25">
      <c r="A23145" s="50" t="s">
        <v>321</v>
      </c>
      <c r="B23145" s="72" t="str">
        <f>VLOOKUP(A23145,'Componentes APUs'!$N$1:$Q$30,2,0)</f>
        <v>Grúa Hidráulica</v>
      </c>
      <c r="C23145" s="73"/>
      <c r="D23145" s="70" t="str">
        <f>VLOOKUP(A23145,'Componentes APUs'!$N$1:$Q$30,3,0)</f>
        <v>U</v>
      </c>
      <c r="E23145" s="50">
        <v>0</v>
      </c>
      <c r="F23145" s="51">
        <f>VLOOKUP(A23145,'Componentes APUs'!$N$1:$Q$30,4,0)</f>
        <v>21000000</v>
      </c>
      <c r="G23145" s="51">
        <f>IFERROR(ROUNDUP(F23145*(E23145/21)/E23093,0),0)</f>
        <v>0</v>
      </c>
    </row>
    <row r="23146" spans="1:7" x14ac:dyDescent="0.25">
      <c r="A23146" s="69" t="s">
        <v>322</v>
      </c>
      <c r="B23146" s="72" t="str">
        <f>VLOOKUP(A23146,'Componentes APUs'!$N$1:$Q$30,2,0)</f>
        <v>Camabaja</v>
      </c>
      <c r="C23146" s="73"/>
      <c r="D23146" s="70" t="str">
        <f>VLOOKUP(A23146,'Componentes APUs'!$N$1:$Q$30,3,0)</f>
        <v>TON/KM</v>
      </c>
      <c r="E23146" s="50">
        <v>0</v>
      </c>
      <c r="F23146" s="51">
        <f>VLOOKUP(A23146,'Componentes APUs'!$N$1:$Q$30,4,0)</f>
        <v>611</v>
      </c>
      <c r="G23146" s="51">
        <f>IFERROR(ROUNDUP(F23146*(E23146/21)/E23093,0),0)</f>
        <v>0</v>
      </c>
    </row>
    <row r="23147" spans="1:7" x14ac:dyDescent="0.25">
      <c r="A23147" s="50" t="s">
        <v>323</v>
      </c>
      <c r="B23147" s="72" t="str">
        <f>VLOOKUP(A23147,'Componentes APUs'!$N$1:$Q$30,2,0)</f>
        <v>Volqueta</v>
      </c>
      <c r="C23147" s="73"/>
      <c r="D23147" s="70" t="str">
        <f>VLOOKUP(A23147,'Componentes APUs'!$N$1:$Q$30,3,0)</f>
        <v>U</v>
      </c>
      <c r="E23147" s="50">
        <v>0</v>
      </c>
      <c r="F23147" s="51">
        <f>VLOOKUP(A23147,'Componentes APUs'!$N$1:$Q$30,4,0)</f>
        <v>14828184</v>
      </c>
      <c r="G23147" s="51">
        <f>IFERROR(ROUNDUP(F23147*(E23147/21)/E23093,0),0)</f>
        <v>0</v>
      </c>
    </row>
    <row r="23148" spans="1:7" x14ac:dyDescent="0.25">
      <c r="A23148" s="69" t="s">
        <v>324</v>
      </c>
      <c r="B23148" s="72" t="str">
        <f>VLOOKUP(A23148,'Componentes APUs'!$N$1:$Q$30,2,0)</f>
        <v>Retroexcavadora</v>
      </c>
      <c r="C23148" s="73"/>
      <c r="D23148" s="70" t="str">
        <f>VLOOKUP(A23148,'Componentes APUs'!$N$1:$Q$30,3,0)</f>
        <v>U</v>
      </c>
      <c r="E23148" s="50">
        <v>0</v>
      </c>
      <c r="F23148" s="51">
        <f>VLOOKUP(A23148,'Componentes APUs'!$N$1:$Q$30,4,0)</f>
        <v>46030656</v>
      </c>
      <c r="G23148" s="51">
        <f>IFERROR(ROUNDUP(F23148*(E23148/21)/E23093,0),0)</f>
        <v>0</v>
      </c>
    </row>
    <row r="23149" spans="1:7" x14ac:dyDescent="0.25">
      <c r="A23149" s="219" t="s">
        <v>99</v>
      </c>
      <c r="B23149" s="219"/>
      <c r="C23149" s="219"/>
      <c r="D23149" s="219"/>
      <c r="E23149" s="219"/>
      <c r="F23149" s="219"/>
      <c r="G23149" s="52">
        <f>SUM(G23144:G23148)</f>
        <v>2183</v>
      </c>
    </row>
    <row r="23150" spans="1:7" x14ac:dyDescent="0.25">
      <c r="A23150" s="56"/>
      <c r="B23150" s="57"/>
      <c r="C23150" s="57"/>
      <c r="D23150" s="57"/>
      <c r="E23150" s="57"/>
      <c r="F23150" s="57"/>
      <c r="G23150" s="58"/>
    </row>
    <row r="23151" spans="1:7" x14ac:dyDescent="0.25">
      <c r="A23151" s="219" t="s">
        <v>1516</v>
      </c>
      <c r="B23151" s="219"/>
      <c r="C23151" s="219"/>
      <c r="D23151" s="219"/>
      <c r="E23151" s="219"/>
      <c r="F23151" s="219"/>
      <c r="G23151" s="52">
        <f>G23149+G23140+G23123+G23112+G23102</f>
        <v>65666</v>
      </c>
    </row>
    <row r="23152" spans="1:7" x14ac:dyDescent="0.25">
      <c r="A23152" s="59"/>
      <c r="B23152" s="60"/>
      <c r="C23152" s="60"/>
      <c r="D23152" s="60"/>
      <c r="E23152" s="57"/>
      <c r="F23152" s="57"/>
      <c r="G23152" s="58"/>
    </row>
    <row r="23153" spans="1:8" x14ac:dyDescent="0.25">
      <c r="A23153" s="64"/>
      <c r="D23153" s="55"/>
      <c r="E23153" s="49" t="s">
        <v>25</v>
      </c>
      <c r="F23153" s="54">
        <v>0.15</v>
      </c>
      <c r="G23153" s="51">
        <f>G23151*F23153</f>
        <v>9849.9</v>
      </c>
    </row>
    <row r="23154" spans="1:8" x14ac:dyDescent="0.25">
      <c r="A23154" s="64"/>
      <c r="D23154" s="55"/>
      <c r="E23154" s="49" t="s">
        <v>26</v>
      </c>
      <c r="F23154" s="54">
        <v>0.05</v>
      </c>
      <c r="G23154" s="51">
        <f>G23151*F23154</f>
        <v>3283.3</v>
      </c>
    </row>
    <row r="23155" spans="1:8" x14ac:dyDescent="0.25">
      <c r="A23155" s="61"/>
      <c r="B23155" s="65"/>
      <c r="C23155" s="65"/>
      <c r="D23155" s="62"/>
      <c r="E23155" s="49" t="s">
        <v>27</v>
      </c>
      <c r="F23155" s="54">
        <v>0.05</v>
      </c>
      <c r="G23155" s="51">
        <f>G23151*F23155</f>
        <v>3283.3</v>
      </c>
    </row>
    <row r="23156" spans="1:8" x14ac:dyDescent="0.25">
      <c r="A23156" s="61"/>
      <c r="B23156" s="62"/>
      <c r="C23156" s="62"/>
      <c r="D23156" s="62"/>
      <c r="E23156" s="62"/>
      <c r="F23156" s="62"/>
      <c r="G23156" s="63"/>
    </row>
    <row r="23157" spans="1:8" x14ac:dyDescent="0.25">
      <c r="A23157" s="219" t="s">
        <v>1517</v>
      </c>
      <c r="B23157" s="219"/>
      <c r="C23157" s="219"/>
      <c r="D23157" s="219"/>
      <c r="E23157" s="219"/>
      <c r="F23157" s="219"/>
      <c r="G23157" s="52">
        <f>G23151+G23153+G23154+G23155</f>
        <v>82082.5</v>
      </c>
    </row>
    <row r="23158" spans="1:8" x14ac:dyDescent="0.25">
      <c r="A23158" s="59"/>
      <c r="B23158" s="60"/>
      <c r="C23158" s="60"/>
      <c r="D23158" s="60"/>
      <c r="E23158" s="57"/>
      <c r="F23158" s="57"/>
      <c r="G23158" s="58"/>
    </row>
    <row r="23159" spans="1:8" x14ac:dyDescent="0.25">
      <c r="A23159" s="64"/>
      <c r="D23159" s="55"/>
      <c r="E23159" s="49" t="s">
        <v>102</v>
      </c>
      <c r="F23159" s="49" t="s">
        <v>103</v>
      </c>
      <c r="G23159" s="51">
        <f>G23155*19%</f>
        <v>623.827</v>
      </c>
    </row>
    <row r="23160" spans="1:8" x14ac:dyDescent="0.25">
      <c r="A23160" s="61"/>
      <c r="B23160" s="62"/>
      <c r="C23160" s="62"/>
      <c r="D23160" s="62"/>
      <c r="E23160" s="57"/>
      <c r="F23160" s="57"/>
      <c r="G23160" s="58"/>
    </row>
    <row r="23161" spans="1:8" x14ac:dyDescent="0.25">
      <c r="A23161" s="219" t="s">
        <v>104</v>
      </c>
      <c r="B23161" s="219"/>
      <c r="C23161" s="219"/>
      <c r="D23161" s="219"/>
      <c r="E23161" s="219"/>
      <c r="F23161" s="219"/>
      <c r="G23161" s="52">
        <f>G23159+G23157</f>
        <v>82706.327000000005</v>
      </c>
    </row>
    <row r="23163" spans="1:8" x14ac:dyDescent="0.25">
      <c r="A23163" s="74" t="s">
        <v>29</v>
      </c>
      <c r="B23163" s="237" t="s">
        <v>30</v>
      </c>
      <c r="C23163" s="238"/>
      <c r="D23163" s="74" t="s">
        <v>31</v>
      </c>
      <c r="E23163" s="74" t="s">
        <v>32</v>
      </c>
      <c r="F23163" s="74" t="s">
        <v>189</v>
      </c>
      <c r="G23163" s="74" t="s">
        <v>33</v>
      </c>
    </row>
    <row r="23164" spans="1:8" x14ac:dyDescent="0.25">
      <c r="A23164" s="50" t="str">
        <f>Presupuesto!B439</f>
        <v>098_AUX</v>
      </c>
      <c r="B23164" s="220" t="str">
        <f>Presupuesto!C439</f>
        <v>CABLE COBRE DESNUDO CU 1/0 AWG</v>
      </c>
      <c r="C23164" s="239"/>
      <c r="D23164" s="50" t="s">
        <v>108</v>
      </c>
      <c r="E23164" s="50">
        <v>80</v>
      </c>
      <c r="F23164" s="50"/>
      <c r="G23164" s="51">
        <f>G23227</f>
        <v>70024.421500000011</v>
      </c>
      <c r="H23164" s="101"/>
    </row>
    <row r="23165" spans="1:8" x14ac:dyDescent="0.25">
      <c r="A23165" s="219" t="s">
        <v>34</v>
      </c>
      <c r="B23165" s="219"/>
      <c r="C23165" s="219"/>
      <c r="D23165" s="219"/>
      <c r="E23165" s="219"/>
      <c r="F23165" s="219"/>
      <c r="G23165" s="219"/>
    </row>
    <row r="23166" spans="1:8" x14ac:dyDescent="0.25">
      <c r="A23166" s="49" t="s">
        <v>35</v>
      </c>
      <c r="B23166" s="234" t="s">
        <v>36</v>
      </c>
      <c r="C23166" s="235"/>
      <c r="D23166" s="49" t="s">
        <v>37</v>
      </c>
      <c r="E23166" s="49" t="s">
        <v>38</v>
      </c>
      <c r="F23166" s="49" t="s">
        <v>39</v>
      </c>
      <c r="G23166" s="49" t="s">
        <v>40</v>
      </c>
    </row>
    <row r="23167" spans="1:8" x14ac:dyDescent="0.25">
      <c r="A23167" s="17" t="str">
        <f>Material!A172</f>
        <v>MA-171</v>
      </c>
      <c r="B23167" s="72" t="str">
        <f>IFERROR(VLOOKUP(A23167,Material!$A:$H,2,0),"-")</f>
        <v>CABLE COBRE DESNUDO CU 1/0 AWG</v>
      </c>
      <c r="C23167" s="76"/>
      <c r="D23167" s="50" t="str">
        <f>IFERROR(VLOOKUP(A23167,Material!$A:$H,4,0),"-")</f>
        <v>ML</v>
      </c>
      <c r="E23167" s="50">
        <v>1</v>
      </c>
      <c r="F23167" s="51">
        <f>IFERROR(VLOOKUP(A23167,Material!$A:$H,3,0),"-")</f>
        <v>47645</v>
      </c>
      <c r="G23167" s="51">
        <f>IFERROR(ROUNDUP(F23167*E23167,0),"-")</f>
        <v>47645</v>
      </c>
    </row>
    <row r="23168" spans="1:8" x14ac:dyDescent="0.25">
      <c r="A23168" s="234" t="s">
        <v>41</v>
      </c>
      <c r="B23168" s="236"/>
      <c r="C23168" s="236"/>
      <c r="D23168" s="236"/>
      <c r="E23168" s="236"/>
      <c r="F23168" s="235"/>
      <c r="G23168" s="52">
        <f>SUM(G23167:G23167)</f>
        <v>47645</v>
      </c>
    </row>
    <row r="23169" spans="1:7" x14ac:dyDescent="0.25">
      <c r="A23169" s="56"/>
      <c r="B23169" s="57"/>
      <c r="C23169" s="57"/>
      <c r="D23169" s="57"/>
      <c r="E23169" s="57"/>
      <c r="F23169" s="57"/>
      <c r="G23169" s="58"/>
    </row>
    <row r="23170" spans="1:7" x14ac:dyDescent="0.25">
      <c r="A23170" s="219" t="s">
        <v>42</v>
      </c>
      <c r="B23170" s="219"/>
      <c r="C23170" s="219"/>
      <c r="D23170" s="219"/>
      <c r="E23170" s="219"/>
      <c r="F23170" s="219"/>
      <c r="G23170" s="219"/>
    </row>
    <row r="23171" spans="1:7" x14ac:dyDescent="0.25">
      <c r="A23171" s="49" t="s">
        <v>35</v>
      </c>
      <c r="B23171" s="49" t="s">
        <v>36</v>
      </c>
      <c r="C23171" s="49" t="s">
        <v>38</v>
      </c>
      <c r="D23171" s="49" t="s">
        <v>43</v>
      </c>
      <c r="E23171" s="49" t="s">
        <v>44</v>
      </c>
      <c r="F23171" s="49" t="s">
        <v>45</v>
      </c>
      <c r="G23171" s="49" t="s">
        <v>40</v>
      </c>
    </row>
    <row r="23172" spans="1:7" x14ac:dyDescent="0.25">
      <c r="A23172" s="50" t="s">
        <v>319</v>
      </c>
      <c r="B23172" s="68" t="str">
        <f>VLOOKUP(A23172,'Componentes APUs'!$H$1:$L$25,2,0)</f>
        <v>Ingeniero Residente de Obra</v>
      </c>
      <c r="C23172" s="93">
        <v>0.25</v>
      </c>
      <c r="D23172" s="50">
        <f>VLOOKUP(A23172,'Componentes APUs'!$H$1:$L$25,3,0)</f>
        <v>4</v>
      </c>
      <c r="E23172" s="51">
        <f>VLOOKUP(A23172,'Componentes APUs'!$H$1:$L$25,4,0)</f>
        <v>271142.85714285716</v>
      </c>
      <c r="F23172" s="51">
        <f>VLOOKUP(A23172,'Componentes APUs'!$H$1:$L$25,5,0)</f>
        <v>162685.71428571429</v>
      </c>
      <c r="G23172" s="51">
        <f>ROUNDUP((E23172+F23172)*C23172/E23164,0)</f>
        <v>1356</v>
      </c>
    </row>
    <row r="23173" spans="1:7" x14ac:dyDescent="0.25">
      <c r="A23173" s="50" t="s">
        <v>320</v>
      </c>
      <c r="B23173" s="68" t="str">
        <f>VLOOKUP(A23173,'Componentes APUs'!$H$1:$L$25,2,0)</f>
        <v>Tecnico Supervisor</v>
      </c>
      <c r="C23173" s="93">
        <v>0.25</v>
      </c>
      <c r="D23173" s="50">
        <f>VLOOKUP(A23173,'Componentes APUs'!$H$1:$L$25,3,0)</f>
        <v>2.2999999999999998</v>
      </c>
      <c r="E23173" s="51">
        <f>VLOOKUP(A23173,'Componentes APUs'!$H$1:$L$25,4,0)</f>
        <v>155907.14285714284</v>
      </c>
      <c r="F23173" s="51">
        <f>VLOOKUP(A23173,'Componentes APUs'!$H$1:$L$25,5,0)</f>
        <v>93544.285714285696</v>
      </c>
      <c r="G23173" s="51">
        <f>ROUNDUP((E23173+F23173)*C23173/E23164,0)</f>
        <v>780</v>
      </c>
    </row>
    <row r="23174" spans="1:7" x14ac:dyDescent="0.25">
      <c r="A23174" s="50" t="s">
        <v>1110</v>
      </c>
      <c r="B23174" s="68" t="str">
        <f>VLOOKUP(A23174,'Componentes APUs'!$H$1:$L$25,2,0)</f>
        <v>Oficial de Obra Civil</v>
      </c>
      <c r="C23174" s="93">
        <v>0</v>
      </c>
      <c r="D23174" s="50">
        <f>VLOOKUP(A23174,'Componentes APUs'!$H$1:$L$25,3,0)</f>
        <v>1.5</v>
      </c>
      <c r="E23174" s="51">
        <f>VLOOKUP(A23174,'Componentes APUs'!$H$1:$L$25,4,0)</f>
        <v>115964.28571428571</v>
      </c>
      <c r="F23174" s="51">
        <f>VLOOKUP(A23174,'Componentes APUs'!$H$1:$L$25,5,0)</f>
        <v>69578.57142857142</v>
      </c>
      <c r="G23174" s="51">
        <f>ROUNDUP((E23174+F23174)*C23174/E23164,0)</f>
        <v>0</v>
      </c>
    </row>
    <row r="23175" spans="1:7" x14ac:dyDescent="0.25">
      <c r="A23175" s="50" t="s">
        <v>48</v>
      </c>
      <c r="B23175" s="68" t="str">
        <f>VLOOKUP(A23175,'Componentes APUs'!$H$1:$L$25,2,0)</f>
        <v>Ayudante Calificado</v>
      </c>
      <c r="C23175" s="93">
        <v>0</v>
      </c>
      <c r="D23175" s="50">
        <f>VLOOKUP(A23175,'Componentes APUs'!$H$1:$L$25,3,0)</f>
        <v>1.5</v>
      </c>
      <c r="E23175" s="51">
        <f>VLOOKUP(A23175,'Componentes APUs'!$H$1:$L$25,4,0)</f>
        <v>115964.28571428571</v>
      </c>
      <c r="F23175" s="51">
        <f>VLOOKUP(A23175,'Componentes APUs'!$H$1:$L$25,5,0)</f>
        <v>69578.57142857142</v>
      </c>
      <c r="G23175" s="51">
        <f>ROUNDUP((E23175+F23175)*C23175/E23164,0)</f>
        <v>0</v>
      </c>
    </row>
    <row r="23176" spans="1:7" x14ac:dyDescent="0.25">
      <c r="A23176" s="50" t="s">
        <v>50</v>
      </c>
      <c r="B23176" s="68" t="str">
        <f>VLOOKUP(A23176,'Componentes APUs'!$H$1:$L$25,2,0)</f>
        <v>Profesional en SST</v>
      </c>
      <c r="C23176" s="93">
        <v>0.25</v>
      </c>
      <c r="D23176" s="50">
        <f>VLOOKUP(A23176,'Componentes APUs'!$H$1:$L$25,3,0)</f>
        <v>2.5</v>
      </c>
      <c r="E23176" s="51">
        <f>VLOOKUP(A23176,'Componentes APUs'!$H$1:$L$25,4,0)</f>
        <v>169464.28571428571</v>
      </c>
      <c r="F23176" s="51">
        <f>VLOOKUP(A23176,'Componentes APUs'!$H$1:$L$25,5,0)</f>
        <v>101678.57142857142</v>
      </c>
      <c r="G23176" s="51">
        <f>ROUNDUP((E23176+F23176)*C23176/E23164,0)</f>
        <v>848</v>
      </c>
    </row>
    <row r="23177" spans="1:7" x14ac:dyDescent="0.25">
      <c r="A23177" s="50" t="s">
        <v>52</v>
      </c>
      <c r="B23177" s="68" t="str">
        <f>VLOOKUP(A23177,'Componentes APUs'!$H$1:$L$25,2,0)</f>
        <v>Ayudante No Calificado</v>
      </c>
      <c r="C23177" s="93">
        <v>1</v>
      </c>
      <c r="D23177" s="50">
        <f>VLOOKUP(A23177,'Componentes APUs'!$H$1:$L$25,3,0)</f>
        <v>1</v>
      </c>
      <c r="E23177" s="51">
        <f>VLOOKUP(A23177,'Componentes APUs'!$H$1:$L$25,4,0)</f>
        <v>77309.523809523816</v>
      </c>
      <c r="F23177" s="51">
        <f>VLOOKUP(A23177,'Componentes APUs'!$H$1:$L$25,5,0)</f>
        <v>46385.71428571429</v>
      </c>
      <c r="G23177" s="51">
        <f>ROUNDUP((E23177+F23177)*C23177/E23164,0)</f>
        <v>1547</v>
      </c>
    </row>
    <row r="23178" spans="1:7" x14ac:dyDescent="0.25">
      <c r="A23178" s="219" t="s">
        <v>56</v>
      </c>
      <c r="B23178" s="219"/>
      <c r="C23178" s="219"/>
      <c r="D23178" s="219"/>
      <c r="E23178" s="219"/>
      <c r="F23178" s="219"/>
      <c r="G23178" s="52">
        <f>SUM(G23172:G23177)</f>
        <v>4531</v>
      </c>
    </row>
    <row r="23179" spans="1:7" x14ac:dyDescent="0.25">
      <c r="A23179" s="56"/>
      <c r="B23179" s="57"/>
      <c r="C23179" s="57"/>
      <c r="D23179" s="57"/>
      <c r="E23179" s="57"/>
      <c r="F23179" s="57"/>
      <c r="G23179" s="58"/>
    </row>
    <row r="23180" spans="1:7" x14ac:dyDescent="0.25">
      <c r="A23180" s="219" t="s">
        <v>57</v>
      </c>
      <c r="B23180" s="219"/>
      <c r="C23180" s="219"/>
      <c r="D23180" s="219"/>
      <c r="E23180" s="219"/>
      <c r="F23180" s="219"/>
      <c r="G23180" s="219"/>
    </row>
    <row r="23181" spans="1:7" x14ac:dyDescent="0.25">
      <c r="A23181" s="49" t="s">
        <v>35</v>
      </c>
      <c r="B23181" s="219" t="s">
        <v>36</v>
      </c>
      <c r="C23181" s="219"/>
      <c r="D23181" s="49" t="s">
        <v>37</v>
      </c>
      <c r="E23181" s="49" t="s">
        <v>38</v>
      </c>
      <c r="F23181" s="49" t="s">
        <v>39</v>
      </c>
      <c r="G23181" s="49" t="s">
        <v>40</v>
      </c>
    </row>
    <row r="23182" spans="1:7" x14ac:dyDescent="0.25">
      <c r="A23182" s="50" t="s">
        <v>326</v>
      </c>
      <c r="B23182" s="220" t="str">
        <f>VLOOKUP(A23182,'Componentes APUs'!$S$1:$V$10,2,0)</f>
        <v>Juego Llaves</v>
      </c>
      <c r="C23182" s="220"/>
      <c r="D23182" s="50" t="s">
        <v>18</v>
      </c>
      <c r="E23182" s="50">
        <v>0</v>
      </c>
      <c r="F23182" s="51">
        <f>VLOOKUP(A23182,'Componentes APUs'!$S$1:$V$10,4,0)</f>
        <v>9167</v>
      </c>
      <c r="G23182" s="51">
        <f>ROUNDUP(F23182*((E23182/21)/E23164),0)</f>
        <v>0</v>
      </c>
    </row>
    <row r="23183" spans="1:7" x14ac:dyDescent="0.25">
      <c r="A23183" s="50" t="s">
        <v>58</v>
      </c>
      <c r="B23183" s="220" t="str">
        <f>VLOOKUP(A23183,'Componentes APUs'!$S$1:$V$10,2,0)</f>
        <v>Manila de servicio</v>
      </c>
      <c r="C23183" s="220"/>
      <c r="D23183" s="50" t="s">
        <v>18</v>
      </c>
      <c r="E23183" s="50">
        <v>0</v>
      </c>
      <c r="F23183" s="51">
        <f>VLOOKUP(A23183,'Componentes APUs'!$S$1:$V$10,4,0)</f>
        <v>2333</v>
      </c>
      <c r="G23183" s="51">
        <f>ROUNDUP(F23183*((E23183/21)/E23164),0)</f>
        <v>0</v>
      </c>
    </row>
    <row r="23184" spans="1:7" x14ac:dyDescent="0.25">
      <c r="A23184" s="50" t="s">
        <v>327</v>
      </c>
      <c r="B23184" s="220" t="str">
        <f>VLOOKUP(A23184,'Componentes APUs'!$S$1:$V$10,2,0)</f>
        <v>Tula portaherramientas</v>
      </c>
      <c r="C23184" s="220"/>
      <c r="D23184" s="50" t="s">
        <v>18</v>
      </c>
      <c r="E23184" s="50">
        <v>0</v>
      </c>
      <c r="F23184" s="51">
        <f>VLOOKUP(A23184,'Componentes APUs'!$S$1:$V$10,4,0)</f>
        <v>1250</v>
      </c>
      <c r="G23184" s="51">
        <f>ROUNDUP(F23184*((E23184/21)/E23164),0)</f>
        <v>0</v>
      </c>
    </row>
    <row r="23185" spans="1:7" x14ac:dyDescent="0.25">
      <c r="A23185" s="50" t="s">
        <v>60</v>
      </c>
      <c r="B23185" s="220" t="str">
        <f>VLOOKUP(A23185,'Componentes APUs'!$S$1:$V$10,2,0)</f>
        <v>Agarradoras</v>
      </c>
      <c r="C23185" s="220"/>
      <c r="D23185" s="50" t="s">
        <v>18</v>
      </c>
      <c r="E23185" s="50">
        <v>0</v>
      </c>
      <c r="F23185" s="51">
        <f>VLOOKUP(A23185,'Componentes APUs'!$S$1:$V$10,4,0)</f>
        <v>125000</v>
      </c>
      <c r="G23185" s="51">
        <f>ROUNDUP(F23185*((E23185/21)/E23164),0)</f>
        <v>0</v>
      </c>
    </row>
    <row r="23186" spans="1:7" x14ac:dyDescent="0.25">
      <c r="A23186" s="50" t="s">
        <v>62</v>
      </c>
      <c r="B23186" s="220" t="str">
        <f>VLOOKUP(A23186,'Componentes APUs'!$S$1:$V$10,2,0)</f>
        <v>Templadoras</v>
      </c>
      <c r="C23186" s="220"/>
      <c r="D23186" s="50" t="s">
        <v>18</v>
      </c>
      <c r="E23186" s="50">
        <v>0</v>
      </c>
      <c r="F23186" s="51">
        <f>VLOOKUP(A23186,'Componentes APUs'!$S$1:$V$10,4,0)</f>
        <v>250000</v>
      </c>
      <c r="G23186" s="51">
        <f>ROUNDUP(F23186*((E23186/21)/E23164),0)</f>
        <v>0</v>
      </c>
    </row>
    <row r="23187" spans="1:7" x14ac:dyDescent="0.25">
      <c r="A23187" s="50" t="s">
        <v>328</v>
      </c>
      <c r="B23187" s="220" t="str">
        <f>VLOOKUP(A23187,'Componentes APUs'!$S$1:$V$10,2,0)</f>
        <v>Herramienta Menor</v>
      </c>
      <c r="C23187" s="220"/>
      <c r="D23187" s="50" t="s">
        <v>18</v>
      </c>
      <c r="E23187" s="50">
        <v>2</v>
      </c>
      <c r="F23187" s="51">
        <f>VLOOKUP(A23187,'Componentes APUs'!$S$1:$V$10,4,0)</f>
        <v>75758</v>
      </c>
      <c r="G23187" s="51">
        <f>ROUNDUP(F23187*((E23187/21)/E23164),0)</f>
        <v>91</v>
      </c>
    </row>
    <row r="23188" spans="1:7" x14ac:dyDescent="0.25">
      <c r="A23188" s="219" t="s">
        <v>69</v>
      </c>
      <c r="B23188" s="219"/>
      <c r="C23188" s="219"/>
      <c r="D23188" s="219"/>
      <c r="E23188" s="219"/>
      <c r="F23188" s="219"/>
      <c r="G23188" s="52">
        <f>SUM(G23182:G23187)</f>
        <v>91</v>
      </c>
    </row>
    <row r="23189" spans="1:7" x14ac:dyDescent="0.25">
      <c r="A23189" s="56"/>
      <c r="B23189" s="57"/>
      <c r="C23189" s="57"/>
      <c r="D23189" s="57"/>
      <c r="E23189" s="57"/>
      <c r="F23189" s="57"/>
      <c r="G23189" s="58"/>
    </row>
    <row r="23190" spans="1:7" x14ac:dyDescent="0.25">
      <c r="A23190" s="219" t="s">
        <v>70</v>
      </c>
      <c r="B23190" s="219"/>
      <c r="C23190" s="219"/>
      <c r="D23190" s="219"/>
      <c r="E23190" s="219"/>
      <c r="F23190" s="219"/>
      <c r="G23190" s="219"/>
    </row>
    <row r="23191" spans="1:7" x14ac:dyDescent="0.25">
      <c r="A23191" s="49" t="s">
        <v>35</v>
      </c>
      <c r="B23191" s="219" t="s">
        <v>36</v>
      </c>
      <c r="C23191" s="219"/>
      <c r="D23191" s="49" t="s">
        <v>37</v>
      </c>
      <c r="E23191" s="49" t="s">
        <v>38</v>
      </c>
      <c r="F23191" s="49" t="s">
        <v>39</v>
      </c>
      <c r="G23191" s="49" t="s">
        <v>40</v>
      </c>
    </row>
    <row r="23192" spans="1:7" x14ac:dyDescent="0.25">
      <c r="A23192" s="50" t="s">
        <v>71</v>
      </c>
      <c r="B23192" s="71" t="str">
        <f>VLOOKUP(A23192,'Componentes APUs'!$A$1:$D$14,2,0)</f>
        <v>Camisa indigo sin partes metalicas</v>
      </c>
      <c r="C23192" s="71"/>
      <c r="D23192" s="50" t="str">
        <f>VLOOKUP(A23192,'Componentes APUs'!$A$1:$D$14,3,0)</f>
        <v>U</v>
      </c>
      <c r="E23192" s="50">
        <f>SUM(C23172:C23177)</f>
        <v>1.75</v>
      </c>
      <c r="F23192" s="51">
        <f>VLOOKUP(A23192,'Componentes APUs'!$A$1:$D$14,4,0)</f>
        <v>8585.8585858585866</v>
      </c>
      <c r="G23192" s="51">
        <f>ROUNDUP(F23192*(E23192/21)/E23164,0)</f>
        <v>9</v>
      </c>
    </row>
    <row r="23193" spans="1:7" x14ac:dyDescent="0.25">
      <c r="A23193" s="69" t="s">
        <v>73</v>
      </c>
      <c r="B23193" s="72" t="str">
        <f>VLOOKUP(A23193,'Componentes APUs'!$A$1:$D$14,2,0)</f>
        <v>Bota de seguridad dielectrica</v>
      </c>
      <c r="C23193" s="73"/>
      <c r="D23193" s="70" t="str">
        <f>VLOOKUP(A23193,'Componentes APUs'!$A$1:$D$14,3,0)</f>
        <v>Par</v>
      </c>
      <c r="E23193" s="50">
        <f>SUM(C23172:C23177)</f>
        <v>1.75</v>
      </c>
      <c r="F23193" s="51">
        <f>VLOOKUP(A23193,'Componentes APUs'!$A$1:$D$14,4,0)</f>
        <v>7500</v>
      </c>
      <c r="G23193" s="51">
        <f>ROUNDUP(F23193*(E23193/21)/E23164,0)</f>
        <v>8</v>
      </c>
    </row>
    <row r="23194" spans="1:7" x14ac:dyDescent="0.25">
      <c r="A23194" s="50" t="s">
        <v>76</v>
      </c>
      <c r="B23194" s="72" t="str">
        <f>VLOOKUP(A23194,'Componentes APUs'!$A$1:$D$14,2,0)</f>
        <v>Casco dielectrico Tipo 1 Clase E con barbuquejo</v>
      </c>
      <c r="C23194" s="73"/>
      <c r="D23194" s="50" t="str">
        <f>VLOOKUP(A23194,'Componentes APUs'!$A$1:$D$14,3,0)</f>
        <v>U</v>
      </c>
      <c r="E23194" s="50">
        <f>C23177+C23172+C23175+C23176+C23173+IF(A23174&lt;&gt;"MO-3",C23174,0)</f>
        <v>1.75</v>
      </c>
      <c r="F23194" s="51">
        <f>VLOOKUP(A23194,'Componentes APUs'!$A$1:$D$14,4,0)</f>
        <v>10101.010101010101</v>
      </c>
      <c r="G23194" s="51">
        <f>ROUNDUP(F23194*(E23194/21)/E23164,0)</f>
        <v>11</v>
      </c>
    </row>
    <row r="23195" spans="1:7" x14ac:dyDescent="0.25">
      <c r="A23195" s="69" t="s">
        <v>77</v>
      </c>
      <c r="B23195" s="72" t="str">
        <f>VLOOKUP(A23195,'Componentes APUs'!$A$1:$D$14,2,0)</f>
        <v>Correa plastica y antiflama</v>
      </c>
      <c r="C23195" s="73"/>
      <c r="D23195" s="50" t="str">
        <f>VLOOKUP(A23195,'Componentes APUs'!$A$1:$D$14,3,0)</f>
        <v>U</v>
      </c>
      <c r="E23195" s="50">
        <f>SUM(C23172:C23177)</f>
        <v>1.75</v>
      </c>
      <c r="F23195" s="51">
        <f>VLOOKUP(A23195,'Componentes APUs'!$A$1:$D$14,4,0)</f>
        <v>3787.878787878788</v>
      </c>
      <c r="G23195" s="51">
        <f>ROUNDUP(F23195*(E23195/21)/E23164,0)</f>
        <v>4</v>
      </c>
    </row>
    <row r="23196" spans="1:7" x14ac:dyDescent="0.25">
      <c r="A23196" s="50" t="s">
        <v>79</v>
      </c>
      <c r="B23196" s="72" t="str">
        <f>VLOOKUP(A23196,'Componentes APUs'!$A$1:$D$14,2,0)</f>
        <v>Gafas protectoras filtro UV</v>
      </c>
      <c r="C23196" s="73"/>
      <c r="D23196" s="50" t="str">
        <f>VLOOKUP(A23196,'Componentes APUs'!$A$1:$D$14,3,0)</f>
        <v>U</v>
      </c>
      <c r="E23196" s="50">
        <f>SUM(C23172:C23177)</f>
        <v>1.75</v>
      </c>
      <c r="F23196" s="51">
        <f>VLOOKUP(A23196,'Componentes APUs'!$A$1:$D$14,4,0)</f>
        <v>2777.7777777777778</v>
      </c>
      <c r="G23196" s="51">
        <f>ROUNDUP(F23196*(E23196/21)/E23164,0)</f>
        <v>3</v>
      </c>
    </row>
    <row r="23197" spans="1:7" x14ac:dyDescent="0.25">
      <c r="A23197" s="69" t="s">
        <v>402</v>
      </c>
      <c r="B23197" s="72" t="str">
        <f>VLOOKUP(A23197,'Componentes APUs'!$A$1:$D$14,2,0)</f>
        <v>Bota de seguridad PVC dielectrica</v>
      </c>
      <c r="C23197" s="73"/>
      <c r="D23197" s="50" t="str">
        <f>VLOOKUP(A23197,'Componentes APUs'!$A$1:$D$14,3,0)</f>
        <v>Par</v>
      </c>
      <c r="E23197" s="50">
        <f>SUM(C23172:C23177)</f>
        <v>1.75</v>
      </c>
      <c r="F23197" s="51">
        <f>VLOOKUP(A23197,'Componentes APUs'!$A$1:$D$14,4,0)</f>
        <v>2916.6666666666665</v>
      </c>
      <c r="G23197" s="51">
        <f>ROUNDUP(F23197*(E23197/21)/E23164,0)</f>
        <v>4</v>
      </c>
    </row>
    <row r="23198" spans="1:7" x14ac:dyDescent="0.25">
      <c r="A23198" s="50" t="s">
        <v>403</v>
      </c>
      <c r="B23198" s="72" t="str">
        <f>VLOOKUP(A23198,'Componentes APUs'!$A$1:$D$14,2,0)</f>
        <v>Capuchon</v>
      </c>
      <c r="C23198" s="73"/>
      <c r="D23198" s="50" t="str">
        <f>VLOOKUP(A23198,'Componentes APUs'!$A$1:$D$14,3,0)</f>
        <v>U</v>
      </c>
      <c r="E23198" s="50">
        <f>SUM(C23172:C23177)</f>
        <v>1.75</v>
      </c>
      <c r="F23198" s="51">
        <f>VLOOKUP(A23198,'Componentes APUs'!$A$1:$D$14,4,0)</f>
        <v>2525.2525252525252</v>
      </c>
      <c r="G23198" s="51">
        <f>ROUNDUP(F23198*(E23198/21)/E23164,0)</f>
        <v>3</v>
      </c>
    </row>
    <row r="23199" spans="1:7" x14ac:dyDescent="0.25">
      <c r="A23199" s="69" t="s">
        <v>81</v>
      </c>
      <c r="B23199" s="72" t="str">
        <f>VLOOKUP(A23199,'Componentes APUs'!$A$1:$D$14,2,0)</f>
        <v>Guantes Protectores  - ingeniero reforzados</v>
      </c>
      <c r="C23199" s="73"/>
      <c r="D23199" s="50" t="str">
        <f>VLOOKUP(A23199,'Componentes APUs'!$A$1:$D$14,3,0)</f>
        <v>Par</v>
      </c>
      <c r="E23199" s="50">
        <f>C23174+C23175+C23177</f>
        <v>1</v>
      </c>
      <c r="F23199" s="51">
        <f>VLOOKUP(A23199,'Componentes APUs'!$A$1:$D$14,4,0)</f>
        <v>2525.2525252525252</v>
      </c>
      <c r="G23199" s="51">
        <f>ROUNDUP(F23199*(E23199/21)/E23164,0)</f>
        <v>2</v>
      </c>
    </row>
    <row r="23200" spans="1:7" x14ac:dyDescent="0.25">
      <c r="A23200" s="50" t="s">
        <v>83</v>
      </c>
      <c r="B23200" s="72" t="str">
        <f>VLOOKUP(A23200,'Componentes APUs'!$A$1:$D$14,2,0)</f>
        <v>Impermeable (pantalon camisa)</v>
      </c>
      <c r="C23200" s="73"/>
      <c r="D23200" s="50" t="str">
        <f>VLOOKUP(A23200,'Componentes APUs'!$A$1:$D$14,3,0)</f>
        <v>U</v>
      </c>
      <c r="E23200" s="50">
        <f>SUM(C23172:C23177)</f>
        <v>1.75</v>
      </c>
      <c r="F23200" s="51">
        <f>VLOOKUP(A23200,'Componentes APUs'!$A$1:$D$14,4,0)</f>
        <v>3750</v>
      </c>
      <c r="G23200" s="51">
        <f>ROUNDUP(F23200*(E23200/21)/E23164,0)</f>
        <v>4</v>
      </c>
    </row>
    <row r="23201" spans="1:7" x14ac:dyDescent="0.25">
      <c r="A23201" s="69" t="s">
        <v>85</v>
      </c>
      <c r="B23201" s="72" t="str">
        <f>VLOOKUP(A23201,'Componentes APUs'!$A$1:$D$14,2,0)</f>
        <v>Jean Dielectrico</v>
      </c>
      <c r="C23201" s="73"/>
      <c r="D23201" s="50" t="str">
        <f>VLOOKUP(A23201,'Componentes APUs'!$A$1:$D$14,3,0)</f>
        <v>U</v>
      </c>
      <c r="E23201" s="50">
        <f>SUM(C23172:C23177)</f>
        <v>1.75</v>
      </c>
      <c r="F23201" s="51">
        <f>VLOOKUP(A23201,'Componentes APUs'!$A$1:$D$14,4,0)</f>
        <v>7575.757575757576</v>
      </c>
      <c r="G23201" s="51">
        <f>ROUNDUP(F23201*(E23201/21)/E23164,0)</f>
        <v>8</v>
      </c>
    </row>
    <row r="23202" spans="1:7" x14ac:dyDescent="0.25">
      <c r="A23202" s="50" t="s">
        <v>87</v>
      </c>
      <c r="B23202" s="72" t="str">
        <f>VLOOKUP(A23202,'Componentes APUs'!$A$1:$D$14,2,0)</f>
        <v>Casco dielectrico Tipo 2 Clase E con barboquejo</v>
      </c>
      <c r="C23202" s="73"/>
      <c r="D23202" s="50" t="str">
        <f>VLOOKUP(A23202,'Componentes APUs'!$A$1:$D$14,3,0)</f>
        <v>U</v>
      </c>
      <c r="E23202" s="53">
        <f>IF(A23174="MO-3",C23174,0)</f>
        <v>0</v>
      </c>
      <c r="F23202" s="51">
        <f>VLOOKUP(A23202,'Componentes APUs'!$A$1:$D$14,4,0)</f>
        <v>7500</v>
      </c>
      <c r="G23202" s="51">
        <f>ROUNDUP(F23202*(E23202/21)/E23164,0)</f>
        <v>0</v>
      </c>
    </row>
    <row r="23203" spans="1:7" x14ac:dyDescent="0.25">
      <c r="A23203" s="69" t="s">
        <v>89</v>
      </c>
      <c r="B23203" s="72" t="str">
        <f>VLOOKUP(A23203,'Componentes APUs'!$A$1:$D$14,2,0)</f>
        <v>Kit de rescate para trabajo en alturas</v>
      </c>
      <c r="C23203" s="73"/>
      <c r="D23203" s="50" t="str">
        <f>VLOOKUP(A23203,'Componentes APUs'!$A$1:$D$14,3,0)</f>
        <v>U</v>
      </c>
      <c r="E23203" s="50">
        <f>IF(AND(A23174="MO-3",C23174=2),1,0)</f>
        <v>0</v>
      </c>
      <c r="F23203" s="51">
        <f>VLOOKUP(A23203,'Componentes APUs'!$A$1:$D$14,4,0)</f>
        <v>37500</v>
      </c>
      <c r="G23203" s="51">
        <f>ROUNDUP(F23203*(E23203/21)/E23164,0)</f>
        <v>0</v>
      </c>
    </row>
    <row r="23204" spans="1:7" x14ac:dyDescent="0.25">
      <c r="A23204" s="50" t="s">
        <v>91</v>
      </c>
      <c r="B23204" s="72" t="str">
        <f>VLOOKUP(A23204,'Componentes APUs'!$A$1:$D$14,2,0)</f>
        <v>Equipo completo para trabajo en alturas con pretales (Arnes dielectrico, 1 mosqueton de seguridad, tie off dielectrico, eslinga de posicionamiento, juego de pretales)</v>
      </c>
      <c r="C23204" s="73"/>
      <c r="D23204" s="50" t="str">
        <f>VLOOKUP(A23204,'Componentes APUs'!$A$1:$D$14,3,0)</f>
        <v>U</v>
      </c>
      <c r="E23204" s="50">
        <f>IF(A23174="MO-3",C23174,0)</f>
        <v>0</v>
      </c>
      <c r="F23204" s="51">
        <f>VLOOKUP(A23204,'Componentes APUs'!$A$1:$D$14,4,0)</f>
        <v>26041.666666666668</v>
      </c>
      <c r="G23204" s="51">
        <f>ROUNDUP(F23204*(E23204/21)/E23164,0)</f>
        <v>0</v>
      </c>
    </row>
    <row r="23205" spans="1:7" x14ac:dyDescent="0.25">
      <c r="A23205" s="219" t="s">
        <v>95</v>
      </c>
      <c r="B23205" s="219"/>
      <c r="C23205" s="219"/>
      <c r="D23205" s="219"/>
      <c r="E23205" s="219"/>
      <c r="F23205" s="219"/>
      <c r="G23205" s="52">
        <f>SUM(G23192:G23204)</f>
        <v>56</v>
      </c>
    </row>
    <row r="23206" spans="1:7" x14ac:dyDescent="0.25">
      <c r="A23206" s="56"/>
      <c r="B23206" s="57"/>
      <c r="C23206" s="57"/>
      <c r="D23206" s="57"/>
      <c r="E23206" s="57"/>
      <c r="F23206" s="57"/>
      <c r="G23206" s="58"/>
    </row>
    <row r="23207" spans="1:7" x14ac:dyDescent="0.25">
      <c r="A23207" s="219" t="s">
        <v>96</v>
      </c>
      <c r="B23207" s="219"/>
      <c r="C23207" s="219"/>
      <c r="D23207" s="219"/>
      <c r="E23207" s="219"/>
      <c r="F23207" s="219"/>
      <c r="G23207" s="219"/>
    </row>
    <row r="23208" spans="1:7" x14ac:dyDescent="0.25">
      <c r="A23208" s="49" t="s">
        <v>35</v>
      </c>
      <c r="B23208" s="225" t="s">
        <v>36</v>
      </c>
      <c r="C23208" s="225"/>
      <c r="D23208" s="49" t="s">
        <v>37</v>
      </c>
      <c r="E23208" s="49" t="s">
        <v>38</v>
      </c>
      <c r="F23208" s="49" t="s">
        <v>39</v>
      </c>
      <c r="G23208" s="49" t="s">
        <v>40</v>
      </c>
    </row>
    <row r="23209" spans="1:7" x14ac:dyDescent="0.25">
      <c r="A23209" s="69" t="s">
        <v>97</v>
      </c>
      <c r="B23209" s="72" t="str">
        <f>VLOOKUP(A23209,'Componentes APUs'!$N$1:$Q$30,2,0)</f>
        <v>Camioneta</v>
      </c>
      <c r="C23209" s="73"/>
      <c r="D23209" s="70" t="str">
        <f>VLOOKUP(A23209,'Componentes APUs'!$N$1:$Q$30,3,0)</f>
        <v>U</v>
      </c>
      <c r="E23209" s="50">
        <v>1</v>
      </c>
      <c r="F23209" s="51">
        <f>VLOOKUP(A23209,'Componentes APUs'!$N$1:$Q$30,4,0)</f>
        <v>5500000</v>
      </c>
      <c r="G23209" s="51">
        <f>IFERROR(ROUNDUP(F23209*(E23209/21)/E23164,0),0)</f>
        <v>3274</v>
      </c>
    </row>
    <row r="23210" spans="1:7" x14ac:dyDescent="0.25">
      <c r="A23210" s="50" t="s">
        <v>321</v>
      </c>
      <c r="B23210" s="72" t="str">
        <f>VLOOKUP(A23210,'Componentes APUs'!$N$1:$Q$30,2,0)</f>
        <v>Grúa Hidráulica</v>
      </c>
      <c r="C23210" s="73"/>
      <c r="D23210" s="70" t="str">
        <f>VLOOKUP(A23210,'Componentes APUs'!$N$1:$Q$30,3,0)</f>
        <v>U</v>
      </c>
      <c r="E23210" s="50">
        <v>0</v>
      </c>
      <c r="F23210" s="51">
        <f>VLOOKUP(A23210,'Componentes APUs'!$N$1:$Q$30,4,0)</f>
        <v>21000000</v>
      </c>
      <c r="G23210" s="51">
        <f>IFERROR(ROUNDUP(F23210*(E23210/21)/E23164,0),0)</f>
        <v>0</v>
      </c>
    </row>
    <row r="23211" spans="1:7" x14ac:dyDescent="0.25">
      <c r="A23211" s="69" t="s">
        <v>322</v>
      </c>
      <c r="B23211" s="72" t="str">
        <f>VLOOKUP(A23211,'Componentes APUs'!$N$1:$Q$30,2,0)</f>
        <v>Camabaja</v>
      </c>
      <c r="C23211" s="73"/>
      <c r="D23211" s="70" t="str">
        <f>VLOOKUP(A23211,'Componentes APUs'!$N$1:$Q$30,3,0)</f>
        <v>TON/KM</v>
      </c>
      <c r="E23211" s="50">
        <v>0</v>
      </c>
      <c r="F23211" s="51">
        <f>VLOOKUP(A23211,'Componentes APUs'!$N$1:$Q$30,4,0)</f>
        <v>611</v>
      </c>
      <c r="G23211" s="51">
        <f>IFERROR(ROUNDUP(F23211*(E23211/21)/E23164,0),0)</f>
        <v>0</v>
      </c>
    </row>
    <row r="23212" spans="1:7" x14ac:dyDescent="0.25">
      <c r="A23212" s="50" t="s">
        <v>323</v>
      </c>
      <c r="B23212" s="72" t="str">
        <f>VLOOKUP(A23212,'Componentes APUs'!$N$1:$Q$30,2,0)</f>
        <v>Volqueta</v>
      </c>
      <c r="C23212" s="73"/>
      <c r="D23212" s="70" t="str">
        <f>VLOOKUP(A23212,'Componentes APUs'!$N$1:$Q$30,3,0)</f>
        <v>U</v>
      </c>
      <c r="E23212" s="50">
        <v>0</v>
      </c>
      <c r="F23212" s="51">
        <f>VLOOKUP(A23212,'Componentes APUs'!$N$1:$Q$30,4,0)</f>
        <v>14828184</v>
      </c>
      <c r="G23212" s="51">
        <f>IFERROR(ROUNDUP(F23212*(E23212/21)/E23164,0),0)</f>
        <v>0</v>
      </c>
    </row>
    <row r="23213" spans="1:7" x14ac:dyDescent="0.25">
      <c r="A23213" s="69" t="s">
        <v>324</v>
      </c>
      <c r="B23213" s="72" t="str">
        <f>VLOOKUP(A23213,'Componentes APUs'!$N$1:$Q$30,2,0)</f>
        <v>Retroexcavadora</v>
      </c>
      <c r="C23213" s="73"/>
      <c r="D23213" s="70" t="str">
        <f>VLOOKUP(A23213,'Componentes APUs'!$N$1:$Q$30,3,0)</f>
        <v>U</v>
      </c>
      <c r="E23213" s="50">
        <v>0</v>
      </c>
      <c r="F23213" s="51">
        <f>VLOOKUP(A23213,'Componentes APUs'!$N$1:$Q$30,4,0)</f>
        <v>46030656</v>
      </c>
      <c r="G23213" s="51">
        <f>IFERROR(ROUNDUP(F23213*(E23213/21)/E23164,0),0)</f>
        <v>0</v>
      </c>
    </row>
    <row r="23214" spans="1:7" x14ac:dyDescent="0.25">
      <c r="A23214" s="69" t="s">
        <v>1343</v>
      </c>
      <c r="B23214" s="72" t="str">
        <f>VLOOKUP(A23214,'Componentes APUs'!$N$1:$Q$30,2,0)</f>
        <v>Miniretroexcavadora</v>
      </c>
      <c r="C23214" s="73"/>
      <c r="D23214" s="70" t="str">
        <f>VLOOKUP(A23214,'Componentes APUs'!$N$1:$Q$30,3,0)</f>
        <v>M3</v>
      </c>
      <c r="E23214" s="50">
        <v>1</v>
      </c>
      <c r="F23214" s="51">
        <f>VLOOKUP(A23214,'Componentes APUs'!$N$1:$Q$30,4,0)</f>
        <v>70000</v>
      </c>
      <c r="G23214" s="51">
        <f>IFERROR(ROUNDUP(F23214*(E23214/21)/E23164,0),0)</f>
        <v>42</v>
      </c>
    </row>
    <row r="23215" spans="1:7" x14ac:dyDescent="0.25">
      <c r="A23215" s="219" t="s">
        <v>99</v>
      </c>
      <c r="B23215" s="219"/>
      <c r="C23215" s="219"/>
      <c r="D23215" s="219"/>
      <c r="E23215" s="219"/>
      <c r="F23215" s="219"/>
      <c r="G23215" s="52">
        <f>SUM(G23209:G23213)</f>
        <v>3274</v>
      </c>
    </row>
    <row r="23216" spans="1:7" x14ac:dyDescent="0.25">
      <c r="A23216" s="56"/>
      <c r="B23216" s="57"/>
      <c r="C23216" s="57"/>
      <c r="D23216" s="57"/>
      <c r="E23216" s="57"/>
      <c r="F23216" s="57"/>
      <c r="G23216" s="58"/>
    </row>
    <row r="23217" spans="1:7" x14ac:dyDescent="0.25">
      <c r="A23217" s="219" t="s">
        <v>1516</v>
      </c>
      <c r="B23217" s="219"/>
      <c r="C23217" s="219"/>
      <c r="D23217" s="219"/>
      <c r="E23217" s="219"/>
      <c r="F23217" s="219"/>
      <c r="G23217" s="52">
        <f>G23215+G23205+G23188+G23178+G23168</f>
        <v>55597</v>
      </c>
    </row>
    <row r="23218" spans="1:7" x14ac:dyDescent="0.25">
      <c r="A23218" s="59"/>
      <c r="B23218" s="60"/>
      <c r="C23218" s="60"/>
      <c r="D23218" s="60"/>
      <c r="E23218" s="57"/>
      <c r="F23218" s="57"/>
      <c r="G23218" s="58"/>
    </row>
    <row r="23219" spans="1:7" x14ac:dyDescent="0.25">
      <c r="A23219" s="64"/>
      <c r="D23219" s="55"/>
      <c r="E23219" s="49" t="s">
        <v>25</v>
      </c>
      <c r="F23219" s="54">
        <v>0.15</v>
      </c>
      <c r="G23219" s="51">
        <f>G23217*F23219</f>
        <v>8339.5499999999993</v>
      </c>
    </row>
    <row r="23220" spans="1:7" x14ac:dyDescent="0.25">
      <c r="A23220" s="64"/>
      <c r="D23220" s="55"/>
      <c r="E23220" s="49" t="s">
        <v>26</v>
      </c>
      <c r="F23220" s="54">
        <v>0.05</v>
      </c>
      <c r="G23220" s="51">
        <f>G23217*F23220</f>
        <v>2779.8500000000004</v>
      </c>
    </row>
    <row r="23221" spans="1:7" x14ac:dyDescent="0.25">
      <c r="A23221" s="61"/>
      <c r="B23221" s="65"/>
      <c r="C23221" s="65"/>
      <c r="D23221" s="62"/>
      <c r="E23221" s="49" t="s">
        <v>27</v>
      </c>
      <c r="F23221" s="54">
        <v>0.05</v>
      </c>
      <c r="G23221" s="51">
        <f>G23217*F23221</f>
        <v>2779.8500000000004</v>
      </c>
    </row>
    <row r="23222" spans="1:7" x14ac:dyDescent="0.25">
      <c r="A23222" s="61"/>
      <c r="B23222" s="62"/>
      <c r="C23222" s="62"/>
      <c r="D23222" s="62"/>
      <c r="E23222" s="62"/>
      <c r="F23222" s="62"/>
      <c r="G23222" s="63"/>
    </row>
    <row r="23223" spans="1:7" x14ac:dyDescent="0.25">
      <c r="A23223" s="219" t="s">
        <v>1517</v>
      </c>
      <c r="B23223" s="219"/>
      <c r="C23223" s="219"/>
      <c r="D23223" s="219"/>
      <c r="E23223" s="219"/>
      <c r="F23223" s="219"/>
      <c r="G23223" s="52">
        <f>G23217+G23219+G23220+G23221</f>
        <v>69496.250000000015</v>
      </c>
    </row>
    <row r="23224" spans="1:7" x14ac:dyDescent="0.25">
      <c r="A23224" s="59"/>
      <c r="B23224" s="60"/>
      <c r="C23224" s="60"/>
      <c r="D23224" s="60"/>
      <c r="E23224" s="57"/>
      <c r="F23224" s="57"/>
      <c r="G23224" s="58"/>
    </row>
    <row r="23225" spans="1:7" x14ac:dyDescent="0.25">
      <c r="A23225" s="64"/>
      <c r="D23225" s="55"/>
      <c r="E23225" s="49" t="s">
        <v>102</v>
      </c>
      <c r="F23225" s="49" t="s">
        <v>103</v>
      </c>
      <c r="G23225" s="51">
        <f>G23221*19%</f>
        <v>528.17150000000004</v>
      </c>
    </row>
    <row r="23226" spans="1:7" x14ac:dyDescent="0.25">
      <c r="A23226" s="61"/>
      <c r="B23226" s="62"/>
      <c r="C23226" s="62"/>
      <c r="D23226" s="62"/>
      <c r="E23226" s="57"/>
      <c r="F23226" s="57"/>
      <c r="G23226" s="58"/>
    </row>
    <row r="23227" spans="1:7" x14ac:dyDescent="0.25">
      <c r="A23227" s="219" t="s">
        <v>104</v>
      </c>
      <c r="B23227" s="219"/>
      <c r="C23227" s="219"/>
      <c r="D23227" s="219"/>
      <c r="E23227" s="219"/>
      <c r="F23227" s="219"/>
      <c r="G23227" s="52">
        <f>G23225+G23223</f>
        <v>70024.421500000011</v>
      </c>
    </row>
    <row r="23229" spans="1:7" x14ac:dyDescent="0.25">
      <c r="A23229" s="74" t="s">
        <v>29</v>
      </c>
      <c r="B23229" s="237" t="s">
        <v>30</v>
      </c>
      <c r="C23229" s="238"/>
      <c r="D23229" s="74" t="s">
        <v>31</v>
      </c>
      <c r="E23229" s="74" t="s">
        <v>32</v>
      </c>
      <c r="F23229" s="74" t="s">
        <v>189</v>
      </c>
      <c r="G23229" s="74" t="s">
        <v>33</v>
      </c>
    </row>
    <row r="23230" spans="1:7" ht="42.75" customHeight="1" x14ac:dyDescent="0.25">
      <c r="A23230" s="50" t="str">
        <f>Presupuesto!B440</f>
        <v>099_AUX</v>
      </c>
      <c r="B23230" s="220" t="str">
        <f>Presupuesto!C440</f>
        <v>SUMINISTRO  E INSTALACIÓN DE CONDUCTOR DEL ELECTRODO DE PUESTA A TIERRA DE EQUIPOS Cu 8 AWG. LONGITUD PROMEDIO 5 METROS, SOLDADURA Y TERMINALES (CERRAMIENTO)</v>
      </c>
      <c r="C23230" s="239"/>
      <c r="D23230" s="50" t="s">
        <v>8</v>
      </c>
      <c r="E23230" s="50">
        <v>40</v>
      </c>
      <c r="F23230" s="50"/>
      <c r="G23230" s="51">
        <f>G23299</f>
        <v>76329.478499999983</v>
      </c>
    </row>
    <row r="23231" spans="1:7" x14ac:dyDescent="0.25">
      <c r="A23231" s="234"/>
      <c r="B23231" s="236"/>
      <c r="C23231" s="236"/>
      <c r="D23231" s="236"/>
      <c r="E23231" s="236"/>
      <c r="F23231" s="236"/>
      <c r="G23231" s="235"/>
    </row>
    <row r="23232" spans="1:7" x14ac:dyDescent="0.25">
      <c r="A23232" s="49" t="s">
        <v>35</v>
      </c>
      <c r="B23232" s="234" t="s">
        <v>36</v>
      </c>
      <c r="C23232" s="235"/>
      <c r="D23232" s="49" t="s">
        <v>37</v>
      </c>
      <c r="E23232" s="49" t="s">
        <v>38</v>
      </c>
      <c r="F23232" s="49" t="s">
        <v>39</v>
      </c>
      <c r="G23232" s="49" t="s">
        <v>40</v>
      </c>
    </row>
    <row r="23233" spans="1:7" x14ac:dyDescent="0.25">
      <c r="A23233" s="17" t="str">
        <f>Material!A263</f>
        <v>MA-262</v>
      </c>
      <c r="B23233" s="72" t="str">
        <f>IFERROR(VLOOKUP(A23233,Material!$A:$J,2,0),"-")</f>
        <v>CONECTOR TERMINAL CU PARA CABLE 8 AWG</v>
      </c>
      <c r="C23233" s="76"/>
      <c r="D23233" s="50" t="str">
        <f>IFERROR(VLOOKUP(A23233,Material!$A:$J,4,0),"-")</f>
        <v>UN</v>
      </c>
      <c r="E23233" s="50">
        <v>1</v>
      </c>
      <c r="F23233" s="51">
        <f>IFERROR(VLOOKUP(A23233,Material!$A:$J,3,0),"-")</f>
        <v>1235</v>
      </c>
      <c r="G23233" s="51">
        <f>IFERROR(ROUNDUP(F23233*E23233,0),"-")</f>
        <v>1235</v>
      </c>
    </row>
    <row r="23234" spans="1:7" x14ac:dyDescent="0.25">
      <c r="A23234" s="17" t="str">
        <f>Material!A198</f>
        <v>MA-197</v>
      </c>
      <c r="B23234" s="72" t="str">
        <f>IFERROR(VLOOKUP(A23234,Material!$A:$J,2,0),"-")</f>
        <v>CABLE DE COBRE DESNUDO NO 8 AWG</v>
      </c>
      <c r="C23234" s="76"/>
      <c r="D23234" s="50" t="str">
        <f>IFERROR(VLOOKUP(A23234,Material!$A:$J,4,0),"-")</f>
        <v>ML</v>
      </c>
      <c r="E23234" s="50">
        <v>5</v>
      </c>
      <c r="F23234" s="51">
        <f>IFERROR(VLOOKUP(A23234,Material!$A:$J,3,0),"-")</f>
        <v>7150</v>
      </c>
      <c r="G23234" s="51">
        <f>IFERROR(ROUNDUP(F23234*E23234,0),"-")</f>
        <v>35750</v>
      </c>
    </row>
    <row r="23235" spans="1:7" x14ac:dyDescent="0.25">
      <c r="A23235" s="17"/>
      <c r="B23235" s="72" t="str">
        <f>IFERROR(VLOOKUP(A23235,Material!$A:$J,2,0),"-")</f>
        <v>-</v>
      </c>
      <c r="C23235" s="76"/>
      <c r="D23235" s="50" t="str">
        <f>IFERROR(VLOOKUP(A23235,Material!$A:$J,4,0),"-")</f>
        <v>-</v>
      </c>
      <c r="E23235" s="50"/>
      <c r="F23235" s="51" t="str">
        <f>IFERROR(VLOOKUP(A23235,Material!$A:$J,3,0),"-")</f>
        <v>-</v>
      </c>
      <c r="G23235" s="51" t="str">
        <f>IFERROR(ROUNDUP(F23235*E23235,0),"-")</f>
        <v>-</v>
      </c>
    </row>
    <row r="23236" spans="1:7" x14ac:dyDescent="0.25">
      <c r="A23236" s="17"/>
      <c r="B23236" s="72"/>
      <c r="C23236" s="76"/>
      <c r="D23236" s="50"/>
      <c r="E23236" s="50"/>
      <c r="F23236" s="51"/>
      <c r="G23236" s="51"/>
    </row>
    <row r="23237" spans="1:7" x14ac:dyDescent="0.25">
      <c r="A23237" s="17"/>
      <c r="B23237" s="72"/>
      <c r="C23237" s="76"/>
      <c r="D23237" s="50"/>
      <c r="E23237" s="50"/>
      <c r="F23237" s="51"/>
      <c r="G23237" s="51"/>
    </row>
    <row r="23238" spans="1:7" x14ac:dyDescent="0.25">
      <c r="A23238" s="17"/>
      <c r="B23238" s="72"/>
      <c r="C23238" s="76"/>
      <c r="D23238" s="50"/>
      <c r="E23238" s="50"/>
      <c r="F23238" s="51"/>
      <c r="G23238" s="51"/>
    </row>
    <row r="23239" spans="1:7" x14ac:dyDescent="0.25">
      <c r="A23239" s="17"/>
      <c r="B23239" s="72"/>
      <c r="C23239" s="76"/>
      <c r="D23239" s="50"/>
      <c r="E23239" s="50"/>
      <c r="F23239" s="51"/>
      <c r="G23239" s="51"/>
    </row>
    <row r="23240" spans="1:7" x14ac:dyDescent="0.25">
      <c r="A23240" s="234" t="s">
        <v>41</v>
      </c>
      <c r="B23240" s="236"/>
      <c r="C23240" s="236"/>
      <c r="D23240" s="236"/>
      <c r="E23240" s="236"/>
      <c r="F23240" s="235"/>
      <c r="G23240" s="52">
        <f>SUM(G23233:G23239)</f>
        <v>36985</v>
      </c>
    </row>
    <row r="23241" spans="1:7" x14ac:dyDescent="0.25">
      <c r="A23241" s="56"/>
      <c r="B23241" s="57"/>
      <c r="C23241" s="57"/>
      <c r="D23241" s="57"/>
      <c r="E23241" s="57"/>
      <c r="F23241" s="57"/>
      <c r="G23241" s="58"/>
    </row>
    <row r="23242" spans="1:7" x14ac:dyDescent="0.25">
      <c r="A23242" s="219" t="s">
        <v>42</v>
      </c>
      <c r="B23242" s="219"/>
      <c r="C23242" s="219"/>
      <c r="D23242" s="219"/>
      <c r="E23242" s="219"/>
      <c r="F23242" s="219"/>
      <c r="G23242" s="219"/>
    </row>
    <row r="23243" spans="1:7" x14ac:dyDescent="0.25">
      <c r="A23243" s="49" t="s">
        <v>35</v>
      </c>
      <c r="B23243" s="49" t="s">
        <v>36</v>
      </c>
      <c r="C23243" s="49" t="s">
        <v>38</v>
      </c>
      <c r="D23243" s="49" t="s">
        <v>43</v>
      </c>
      <c r="E23243" s="49" t="s">
        <v>44</v>
      </c>
      <c r="F23243" s="49" t="s">
        <v>45</v>
      </c>
      <c r="G23243" s="49" t="s">
        <v>40</v>
      </c>
    </row>
    <row r="23244" spans="1:7" x14ac:dyDescent="0.25">
      <c r="A23244" s="50" t="s">
        <v>319</v>
      </c>
      <c r="B23244" s="68" t="str">
        <f>VLOOKUP(A23244,'[1]Componentes APUs'!$H$1:$L$25,2,0)</f>
        <v>Ingeniero Residente de Obra</v>
      </c>
      <c r="C23244" s="93">
        <v>0.25</v>
      </c>
      <c r="D23244" s="50">
        <f>VLOOKUP(A23244,'[1]Componentes APUs'!$H$1:$L$25,3,0)</f>
        <v>4</v>
      </c>
      <c r="E23244" s="51">
        <f>VLOOKUP(A23244,'[1]Componentes APUs'!$H$1:$L$25,4,0)</f>
        <v>271142.85714285716</v>
      </c>
      <c r="F23244" s="51">
        <f>VLOOKUP(A23244,'[1]Componentes APUs'!$H$1:$L$25,5,0)</f>
        <v>162685.71428571429</v>
      </c>
      <c r="G23244" s="51">
        <f>ROUNDUP((E23244+F23244)*C23244/E23230,0)</f>
        <v>2712</v>
      </c>
    </row>
    <row r="23245" spans="1:7" x14ac:dyDescent="0.25">
      <c r="A23245" s="50" t="s">
        <v>320</v>
      </c>
      <c r="B23245" s="68" t="str">
        <f>VLOOKUP(A23245,'[1]Componentes APUs'!$H$1:$L$25,2,0)</f>
        <v>Tecnico Supervisor</v>
      </c>
      <c r="C23245" s="93">
        <v>0.25</v>
      </c>
      <c r="D23245" s="50">
        <f>VLOOKUP(A23245,'[1]Componentes APUs'!$H$1:$L$25,3,0)</f>
        <v>2.2999999999999998</v>
      </c>
      <c r="E23245" s="51">
        <f>VLOOKUP(A23245,'[1]Componentes APUs'!$H$1:$L$25,4,0)</f>
        <v>155907.14285714284</v>
      </c>
      <c r="F23245" s="51">
        <f>VLOOKUP(A23245,'[1]Componentes APUs'!$H$1:$L$25,5,0)</f>
        <v>93544.285714285696</v>
      </c>
      <c r="G23245" s="51">
        <f>ROUNDUP((E23245+F23245)*C23245/E23230,0)</f>
        <v>1560</v>
      </c>
    </row>
    <row r="23246" spans="1:7" x14ac:dyDescent="0.25">
      <c r="A23246" s="50" t="s">
        <v>1160</v>
      </c>
      <c r="B23246" s="68" t="str">
        <f>VLOOKUP(A23246,'[1]Componentes APUs'!$H$1:$L$25,2,0)</f>
        <v>Oficial Eléctrico</v>
      </c>
      <c r="C23246" s="93">
        <v>1</v>
      </c>
      <c r="D23246" s="50">
        <f>VLOOKUP(A23246,'[1]Componentes APUs'!$H$1:$L$25,3,0)</f>
        <v>2</v>
      </c>
      <c r="E23246" s="51">
        <f>VLOOKUP(A23246,'[1]Componentes APUs'!$H$1:$L$25,4,0)</f>
        <v>154619.04761904763</v>
      </c>
      <c r="F23246" s="51">
        <f>VLOOKUP(A23246,'[1]Componentes APUs'!$H$1:$L$25,5,0)</f>
        <v>92771.42857142858</v>
      </c>
      <c r="G23246" s="51">
        <f>ROUNDUP((E23246+F23246)*C23246/E23230,0)</f>
        <v>6185</v>
      </c>
    </row>
    <row r="23247" spans="1:7" x14ac:dyDescent="0.25">
      <c r="A23247" s="50" t="s">
        <v>48</v>
      </c>
      <c r="B23247" s="68" t="str">
        <f>VLOOKUP(A23247,'[1]Componentes APUs'!$H$1:$L$25,2,0)</f>
        <v>Ayudante Calificado</v>
      </c>
      <c r="C23247" s="93">
        <v>1</v>
      </c>
      <c r="D23247" s="50">
        <f>VLOOKUP(A23247,'[1]Componentes APUs'!$H$1:$L$25,3,0)</f>
        <v>1.5</v>
      </c>
      <c r="E23247" s="51">
        <f>VLOOKUP(A23247,'[1]Componentes APUs'!$H$1:$L$25,4,0)</f>
        <v>115964.28571428571</v>
      </c>
      <c r="F23247" s="51">
        <f>VLOOKUP(A23247,'[1]Componentes APUs'!$H$1:$L$25,5,0)</f>
        <v>69578.57142857142</v>
      </c>
      <c r="G23247" s="51">
        <f>ROUNDUP((E23247+F23247)*C23247/E23230,0)</f>
        <v>4639</v>
      </c>
    </row>
    <row r="23248" spans="1:7" x14ac:dyDescent="0.25">
      <c r="A23248" s="50" t="s">
        <v>50</v>
      </c>
      <c r="B23248" s="68" t="str">
        <f>VLOOKUP(A23248,'[1]Componentes APUs'!$H$1:$L$25,2,0)</f>
        <v>Profesional en SST</v>
      </c>
      <c r="C23248" s="93">
        <v>0.25</v>
      </c>
      <c r="D23248" s="50">
        <f>VLOOKUP(A23248,'[1]Componentes APUs'!$H$1:$L$25,3,0)</f>
        <v>2.5</v>
      </c>
      <c r="E23248" s="51">
        <f>VLOOKUP(A23248,'[1]Componentes APUs'!$H$1:$L$25,4,0)</f>
        <v>169464.28571428571</v>
      </c>
      <c r="F23248" s="51">
        <f>VLOOKUP(A23248,'[1]Componentes APUs'!$H$1:$L$25,5,0)</f>
        <v>101678.57142857142</v>
      </c>
      <c r="G23248" s="51">
        <f>ROUNDUP((E23248+F23248)*C23248/E23230,0)</f>
        <v>1695</v>
      </c>
    </row>
    <row r="23249" spans="1:7" x14ac:dyDescent="0.25">
      <c r="A23249" s="50" t="s">
        <v>52</v>
      </c>
      <c r="B23249" s="68" t="str">
        <f>VLOOKUP(A23249,'[1]Componentes APUs'!$H$1:$L$25,2,0)</f>
        <v>Ayudante No Calificado</v>
      </c>
      <c r="C23249" s="93">
        <v>0</v>
      </c>
      <c r="D23249" s="50">
        <f>VLOOKUP(A23249,'[1]Componentes APUs'!$H$1:$L$25,3,0)</f>
        <v>1</v>
      </c>
      <c r="E23249" s="51">
        <f>VLOOKUP(A23249,'[1]Componentes APUs'!$H$1:$L$25,4,0)</f>
        <v>77309.523809523816</v>
      </c>
      <c r="F23249" s="51">
        <f>VLOOKUP(A23249,'[1]Componentes APUs'!$H$1:$L$25,5,0)</f>
        <v>46385.71428571429</v>
      </c>
      <c r="G23249" s="51">
        <f>ROUNDUP((E23249+F23249)*C23249/E23230,0)</f>
        <v>0</v>
      </c>
    </row>
    <row r="23250" spans="1:7" x14ac:dyDescent="0.25">
      <c r="A23250" s="219" t="s">
        <v>56</v>
      </c>
      <c r="B23250" s="219"/>
      <c r="C23250" s="219"/>
      <c r="D23250" s="219"/>
      <c r="E23250" s="219"/>
      <c r="F23250" s="219"/>
      <c r="G23250" s="52">
        <f>SUM(G23244:G23249)</f>
        <v>16791</v>
      </c>
    </row>
    <row r="23251" spans="1:7" x14ac:dyDescent="0.25">
      <c r="A23251" s="56"/>
      <c r="B23251" s="57"/>
      <c r="C23251" s="57"/>
      <c r="D23251" s="57"/>
      <c r="E23251" s="57"/>
      <c r="F23251" s="57"/>
      <c r="G23251" s="58"/>
    </row>
    <row r="23252" spans="1:7" x14ac:dyDescent="0.25">
      <c r="A23252" s="219" t="s">
        <v>57</v>
      </c>
      <c r="B23252" s="219"/>
      <c r="C23252" s="219"/>
      <c r="D23252" s="219"/>
      <c r="E23252" s="219"/>
      <c r="F23252" s="219"/>
      <c r="G23252" s="219"/>
    </row>
    <row r="23253" spans="1:7" x14ac:dyDescent="0.25">
      <c r="A23253" s="49" t="s">
        <v>35</v>
      </c>
      <c r="B23253" s="219" t="s">
        <v>36</v>
      </c>
      <c r="C23253" s="219"/>
      <c r="D23253" s="49" t="s">
        <v>37</v>
      </c>
      <c r="E23253" s="49" t="s">
        <v>38</v>
      </c>
      <c r="F23253" s="49" t="s">
        <v>39</v>
      </c>
      <c r="G23253" s="49" t="s">
        <v>40</v>
      </c>
    </row>
    <row r="23254" spans="1:7" x14ac:dyDescent="0.25">
      <c r="A23254" s="50" t="s">
        <v>326</v>
      </c>
      <c r="B23254" s="220" t="str">
        <f>VLOOKUP(A23254,'[1]Componentes APUs'!$S$1:$V$10,2,0)</f>
        <v>Juego Llaves</v>
      </c>
      <c r="C23254" s="220"/>
      <c r="D23254" s="50" t="s">
        <v>18</v>
      </c>
      <c r="E23254" s="50">
        <v>1</v>
      </c>
      <c r="F23254" s="51">
        <f>VLOOKUP(A23254,'[1]Componentes APUs'!$S$1:$V$10,4,0)</f>
        <v>9167</v>
      </c>
      <c r="G23254" s="51">
        <f>ROUNDUP(F23254*((E23254/21)/E23230),0)</f>
        <v>11</v>
      </c>
    </row>
    <row r="23255" spans="1:7" x14ac:dyDescent="0.25">
      <c r="A23255" s="50" t="s">
        <v>58</v>
      </c>
      <c r="B23255" s="220" t="str">
        <f>VLOOKUP(A23255,'[1]Componentes APUs'!$S$1:$V$10,2,0)</f>
        <v>Manila de servicio</v>
      </c>
      <c r="C23255" s="220"/>
      <c r="D23255" s="50" t="s">
        <v>18</v>
      </c>
      <c r="E23255" s="50">
        <v>0</v>
      </c>
      <c r="F23255" s="51">
        <f>VLOOKUP(A23255,'[1]Componentes APUs'!$S$1:$V$10,4,0)</f>
        <v>2333</v>
      </c>
      <c r="G23255" s="51">
        <f>ROUNDUP(F23255*((E23255/21)/E23230),0)</f>
        <v>0</v>
      </c>
    </row>
    <row r="23256" spans="1:7" x14ac:dyDescent="0.25">
      <c r="A23256" s="50" t="s">
        <v>327</v>
      </c>
      <c r="B23256" s="220" t="str">
        <f>VLOOKUP(A23256,'[1]Componentes APUs'!$S$1:$V$10,2,0)</f>
        <v>Tula portaherramientas</v>
      </c>
      <c r="C23256" s="220"/>
      <c r="D23256" s="50" t="s">
        <v>18</v>
      </c>
      <c r="E23256" s="50">
        <v>1</v>
      </c>
      <c r="F23256" s="51">
        <f>VLOOKUP(A23256,'[1]Componentes APUs'!$S$1:$V$10,4,0)</f>
        <v>1250</v>
      </c>
      <c r="G23256" s="51">
        <f>ROUNDUP(F23256*((E23256/21)/E23230),0)</f>
        <v>2</v>
      </c>
    </row>
    <row r="23257" spans="1:7" x14ac:dyDescent="0.25">
      <c r="A23257" s="50" t="s">
        <v>60</v>
      </c>
      <c r="B23257" s="220" t="str">
        <f>VLOOKUP(A23257,'[1]Componentes APUs'!$S$1:$V$10,2,0)</f>
        <v>Agarradoras</v>
      </c>
      <c r="C23257" s="220"/>
      <c r="D23257" s="50" t="s">
        <v>18</v>
      </c>
      <c r="E23257" s="50">
        <v>0</v>
      </c>
      <c r="F23257" s="51">
        <f>VLOOKUP(A23257,'[1]Componentes APUs'!$S$1:$V$10,4,0)</f>
        <v>125000</v>
      </c>
      <c r="G23257" s="51">
        <f>ROUNDUP(F23257*((E23257/21)/E23230),0)</f>
        <v>0</v>
      </c>
    </row>
    <row r="23258" spans="1:7" x14ac:dyDescent="0.25">
      <c r="A23258" s="50" t="s">
        <v>62</v>
      </c>
      <c r="B23258" s="220" t="str">
        <f>VLOOKUP(A23258,'[1]Componentes APUs'!$S$1:$V$10,2,0)</f>
        <v>Templadoras</v>
      </c>
      <c r="C23258" s="220"/>
      <c r="D23258" s="50" t="s">
        <v>18</v>
      </c>
      <c r="E23258" s="50">
        <v>0</v>
      </c>
      <c r="F23258" s="51">
        <f>VLOOKUP(A23258,'[1]Componentes APUs'!$S$1:$V$10,4,0)</f>
        <v>250000</v>
      </c>
      <c r="G23258" s="51">
        <f>ROUNDUP(F23258*((E23258/21)/E23230),0)</f>
        <v>0</v>
      </c>
    </row>
    <row r="23259" spans="1:7" x14ac:dyDescent="0.25">
      <c r="A23259" s="50" t="s">
        <v>328</v>
      </c>
      <c r="B23259" s="220" t="str">
        <f>VLOOKUP(A23259,'[1]Componentes APUs'!$S$1:$V$10,2,0)</f>
        <v>Herramienta Menor</v>
      </c>
      <c r="C23259" s="220"/>
      <c r="D23259" s="50" t="s">
        <v>18</v>
      </c>
      <c r="E23259" s="50">
        <v>1</v>
      </c>
      <c r="F23259" s="51">
        <f>VLOOKUP(A23259,'[1]Componentes APUs'!$S$1:$V$10,4,0)</f>
        <v>75758</v>
      </c>
      <c r="G23259" s="51">
        <f>ROUNDUP(F23259*((E23259/21)/E23230),0)</f>
        <v>91</v>
      </c>
    </row>
    <row r="23260" spans="1:7" x14ac:dyDescent="0.25">
      <c r="A23260" s="50" t="s">
        <v>1046</v>
      </c>
      <c r="B23260" s="220" t="str">
        <f>VLOOKUP(A23260,'[1]Componentes APUs'!$S$1:$V$10,2,0)</f>
        <v>Molde Grafito Soldadura Exotérmica En X</v>
      </c>
      <c r="C23260" s="220"/>
      <c r="D23260" s="50" t="s">
        <v>18</v>
      </c>
      <c r="E23260" s="50">
        <f>1/40</f>
        <v>2.5000000000000001E-2</v>
      </c>
      <c r="F23260" s="51">
        <f>VLOOKUP(A23260,'[1]Componentes APUs'!$S$1:$V$10,4,0)</f>
        <v>239000</v>
      </c>
      <c r="G23260" s="51">
        <f>ROUNDUP(F23260*((E23260/21)/E23230),0)</f>
        <v>8</v>
      </c>
    </row>
    <row r="23261" spans="1:7" x14ac:dyDescent="0.25">
      <c r="A23261" s="219" t="s">
        <v>69</v>
      </c>
      <c r="B23261" s="219"/>
      <c r="C23261" s="219"/>
      <c r="D23261" s="219"/>
      <c r="E23261" s="219"/>
      <c r="F23261" s="219"/>
      <c r="G23261" s="52">
        <f>SUM(G23254:G23259)</f>
        <v>104</v>
      </c>
    </row>
    <row r="23262" spans="1:7" x14ac:dyDescent="0.25">
      <c r="A23262" s="56"/>
      <c r="B23262" s="57"/>
      <c r="C23262" s="57"/>
      <c r="D23262" s="57"/>
      <c r="E23262" s="57"/>
      <c r="F23262" s="57"/>
      <c r="G23262" s="58"/>
    </row>
    <row r="23263" spans="1:7" x14ac:dyDescent="0.25">
      <c r="A23263" s="219" t="s">
        <v>70</v>
      </c>
      <c r="B23263" s="219"/>
      <c r="C23263" s="219"/>
      <c r="D23263" s="219"/>
      <c r="E23263" s="219"/>
      <c r="F23263" s="219"/>
      <c r="G23263" s="219"/>
    </row>
    <row r="23264" spans="1:7" x14ac:dyDescent="0.25">
      <c r="A23264" s="49" t="s">
        <v>35</v>
      </c>
      <c r="B23264" s="219" t="s">
        <v>36</v>
      </c>
      <c r="C23264" s="219"/>
      <c r="D23264" s="49" t="s">
        <v>37</v>
      </c>
      <c r="E23264" s="49" t="s">
        <v>38</v>
      </c>
      <c r="F23264" s="49" t="s">
        <v>39</v>
      </c>
      <c r="G23264" s="49" t="s">
        <v>40</v>
      </c>
    </row>
    <row r="23265" spans="1:7" x14ac:dyDescent="0.25">
      <c r="A23265" s="50" t="s">
        <v>71</v>
      </c>
      <c r="B23265" s="71" t="str">
        <f>VLOOKUP(A23265,'[1]Componentes APUs'!$A$1:$D$14,2,0)</f>
        <v>Camisa indigo sin partes metalicas</v>
      </c>
      <c r="C23265" s="71"/>
      <c r="D23265" s="50" t="str">
        <f>VLOOKUP(A23265,'[1]Componentes APUs'!$A$1:$D$14,3,0)</f>
        <v>U</v>
      </c>
      <c r="E23265" s="50">
        <f>SUM(C23244:C23249)</f>
        <v>2.75</v>
      </c>
      <c r="F23265" s="51">
        <f>VLOOKUP(A23265,'[1]Componentes APUs'!$A$1:$D$14,4,0)</f>
        <v>8585.8585858585866</v>
      </c>
      <c r="G23265" s="51">
        <f>ROUNDUP(F23265*(E23265/21)/E23230,0)</f>
        <v>29</v>
      </c>
    </row>
    <row r="23266" spans="1:7" x14ac:dyDescent="0.25">
      <c r="A23266" s="69" t="s">
        <v>73</v>
      </c>
      <c r="B23266" s="72" t="str">
        <f>VLOOKUP(A23266,'[1]Componentes APUs'!$A$1:$D$14,2,0)</f>
        <v>Bota de seguridad dielectrica</v>
      </c>
      <c r="C23266" s="73"/>
      <c r="D23266" s="70" t="str">
        <f>VLOOKUP(A23266,'[1]Componentes APUs'!$A$1:$D$14,3,0)</f>
        <v>Par</v>
      </c>
      <c r="E23266" s="50">
        <f>SUM(C23244:C23249)</f>
        <v>2.75</v>
      </c>
      <c r="F23266" s="51">
        <f>VLOOKUP(A23266,'[1]Componentes APUs'!$A$1:$D$14,4,0)</f>
        <v>7500</v>
      </c>
      <c r="G23266" s="51">
        <f>ROUNDUP(F23266*(E23266/21)/E23230,0)</f>
        <v>25</v>
      </c>
    </row>
    <row r="23267" spans="1:7" x14ac:dyDescent="0.25">
      <c r="A23267" s="50" t="s">
        <v>76</v>
      </c>
      <c r="B23267" s="72" t="str">
        <f>VLOOKUP(A23267,'[1]Componentes APUs'!$A$1:$D$14,2,0)</f>
        <v>Casco dielectrico Tipo 1 Clase E con barbuquejo</v>
      </c>
      <c r="C23267" s="73"/>
      <c r="D23267" s="50" t="str">
        <f>VLOOKUP(A23267,'[1]Componentes APUs'!$A$1:$D$14,3,0)</f>
        <v>U</v>
      </c>
      <c r="E23267" s="50">
        <f>C23249+C23244+C23247+C23248+C23245+IF(A23246&lt;&gt;"MO-3",C23246,0)</f>
        <v>2.75</v>
      </c>
      <c r="F23267" s="51">
        <f>VLOOKUP(A23267,'[1]Componentes APUs'!$A$1:$D$14,4,0)</f>
        <v>10101.010101010101</v>
      </c>
      <c r="G23267" s="51">
        <f>ROUNDUP(F23267*(E23267/21)/E23230,0)</f>
        <v>34</v>
      </c>
    </row>
    <row r="23268" spans="1:7" x14ac:dyDescent="0.25">
      <c r="A23268" s="69" t="s">
        <v>77</v>
      </c>
      <c r="B23268" s="72" t="str">
        <f>VLOOKUP(A23268,'[1]Componentes APUs'!$A$1:$D$14,2,0)</f>
        <v>Correa plastica y antiflama</v>
      </c>
      <c r="C23268" s="73"/>
      <c r="D23268" s="50" t="str">
        <f>VLOOKUP(A23268,'[1]Componentes APUs'!$A$1:$D$14,3,0)</f>
        <v>U</v>
      </c>
      <c r="E23268" s="50">
        <f>SUM(C23244:C23249)</f>
        <v>2.75</v>
      </c>
      <c r="F23268" s="51">
        <f>VLOOKUP(A23268,'[1]Componentes APUs'!$A$1:$D$14,4,0)</f>
        <v>3787.878787878788</v>
      </c>
      <c r="G23268" s="51">
        <f>ROUNDUP(F23268*(E23268/21)/E23230,0)</f>
        <v>13</v>
      </c>
    </row>
    <row r="23269" spans="1:7" x14ac:dyDescent="0.25">
      <c r="A23269" s="50" t="s">
        <v>79</v>
      </c>
      <c r="B23269" s="72" t="str">
        <f>VLOOKUP(A23269,'[1]Componentes APUs'!$A$1:$D$14,2,0)</f>
        <v>Gafas protectoras filtro UV</v>
      </c>
      <c r="C23269" s="73"/>
      <c r="D23269" s="50" t="str">
        <f>VLOOKUP(A23269,'[1]Componentes APUs'!$A$1:$D$14,3,0)</f>
        <v>U</v>
      </c>
      <c r="E23269" s="50">
        <f>SUM(C23244:C23249)</f>
        <v>2.75</v>
      </c>
      <c r="F23269" s="51">
        <f>VLOOKUP(A23269,'[1]Componentes APUs'!$A$1:$D$14,4,0)</f>
        <v>2777.7777777777778</v>
      </c>
      <c r="G23269" s="51">
        <f>ROUNDUP(F23269*(E23269/21)/E23230,0)</f>
        <v>10</v>
      </c>
    </row>
    <row r="23270" spans="1:7" x14ac:dyDescent="0.25">
      <c r="A23270" s="69" t="s">
        <v>402</v>
      </c>
      <c r="B23270" s="72" t="str">
        <f>VLOOKUP(A23270,'[1]Componentes APUs'!$A$1:$D$14,2,0)</f>
        <v>Bota de seguridad PVC dielectrica</v>
      </c>
      <c r="C23270" s="73"/>
      <c r="D23270" s="50" t="str">
        <f>VLOOKUP(A23270,'[1]Componentes APUs'!$A$1:$D$14,3,0)</f>
        <v>Par</v>
      </c>
      <c r="E23270" s="50">
        <f>SUM(C23244:C23249)</f>
        <v>2.75</v>
      </c>
      <c r="F23270" s="51">
        <f>VLOOKUP(A23270,'[1]Componentes APUs'!$A$1:$D$14,4,0)</f>
        <v>2916.6666666666665</v>
      </c>
      <c r="G23270" s="51">
        <f>ROUNDUP(F23270*(E23270/21)/E23230,0)</f>
        <v>10</v>
      </c>
    </row>
    <row r="23271" spans="1:7" x14ac:dyDescent="0.25">
      <c r="A23271" s="50" t="s">
        <v>403</v>
      </c>
      <c r="B23271" s="72" t="str">
        <f>VLOOKUP(A23271,'[1]Componentes APUs'!$A$1:$D$14,2,0)</f>
        <v>Capuchon</v>
      </c>
      <c r="C23271" s="73"/>
      <c r="D23271" s="50" t="str">
        <f>VLOOKUP(A23271,'[1]Componentes APUs'!$A$1:$D$14,3,0)</f>
        <v>U</v>
      </c>
      <c r="E23271" s="50">
        <f>SUM(C23244:C23249)</f>
        <v>2.75</v>
      </c>
      <c r="F23271" s="51">
        <f>VLOOKUP(A23271,'[1]Componentes APUs'!$A$1:$D$14,4,0)</f>
        <v>2525.2525252525252</v>
      </c>
      <c r="G23271" s="51">
        <f>ROUNDUP(F23271*(E23271/21)/E23230,0)</f>
        <v>9</v>
      </c>
    </row>
    <row r="23272" spans="1:7" x14ac:dyDescent="0.25">
      <c r="A23272" s="69" t="s">
        <v>81</v>
      </c>
      <c r="B23272" s="72" t="str">
        <f>VLOOKUP(A23272,'[1]Componentes APUs'!$A$1:$D$14,2,0)</f>
        <v>Guantes Protectores  - ingeniero reforzados</v>
      </c>
      <c r="C23272" s="73"/>
      <c r="D23272" s="50" t="str">
        <f>VLOOKUP(A23272,'[1]Componentes APUs'!$A$1:$D$14,3,0)</f>
        <v>Par</v>
      </c>
      <c r="E23272" s="50">
        <f>C23246+C23247+C23249</f>
        <v>2</v>
      </c>
      <c r="F23272" s="51">
        <f>VLOOKUP(A23272,'[1]Componentes APUs'!$A$1:$D$14,4,0)</f>
        <v>2525.2525252525252</v>
      </c>
      <c r="G23272" s="51">
        <f>ROUNDUP(F23272*(E23272/21)/E23230,0)</f>
        <v>7</v>
      </c>
    </row>
    <row r="23273" spans="1:7" x14ac:dyDescent="0.25">
      <c r="A23273" s="50" t="s">
        <v>83</v>
      </c>
      <c r="B23273" s="72" t="str">
        <f>VLOOKUP(A23273,'[1]Componentes APUs'!$A$1:$D$14,2,0)</f>
        <v>Impermeable (pantalon camisa)</v>
      </c>
      <c r="C23273" s="73"/>
      <c r="D23273" s="50" t="str">
        <f>VLOOKUP(A23273,'[1]Componentes APUs'!$A$1:$D$14,3,0)</f>
        <v>U</v>
      </c>
      <c r="E23273" s="50">
        <f>SUM(C23244:C23249)</f>
        <v>2.75</v>
      </c>
      <c r="F23273" s="51">
        <f>VLOOKUP(A23273,'[1]Componentes APUs'!$A$1:$D$14,4,0)</f>
        <v>3750</v>
      </c>
      <c r="G23273" s="51">
        <f>ROUNDUP(F23273*(E23273/21)/E23230,0)</f>
        <v>13</v>
      </c>
    </row>
    <row r="23274" spans="1:7" x14ac:dyDescent="0.25">
      <c r="A23274" s="69" t="s">
        <v>85</v>
      </c>
      <c r="B23274" s="72" t="str">
        <f>VLOOKUP(A23274,'[1]Componentes APUs'!$A$1:$D$14,2,0)</f>
        <v>Jean Dielectrico</v>
      </c>
      <c r="C23274" s="73"/>
      <c r="D23274" s="50" t="str">
        <f>VLOOKUP(A23274,'[1]Componentes APUs'!$A$1:$D$14,3,0)</f>
        <v>U</v>
      </c>
      <c r="E23274" s="50">
        <f>SUM(C23244:C23249)</f>
        <v>2.75</v>
      </c>
      <c r="F23274" s="51">
        <f>VLOOKUP(A23274,'[1]Componentes APUs'!$A$1:$D$14,4,0)</f>
        <v>7575.757575757576</v>
      </c>
      <c r="G23274" s="51">
        <f>ROUNDUP(F23274*(E23274/21)/E23230,0)</f>
        <v>25</v>
      </c>
    </row>
    <row r="23275" spans="1:7" x14ac:dyDescent="0.25">
      <c r="A23275" s="50" t="s">
        <v>87</v>
      </c>
      <c r="B23275" s="72" t="str">
        <f>VLOOKUP(A23275,'[1]Componentes APUs'!$A$1:$D$14,2,0)</f>
        <v>Casco dielectrico Tipo 2 Clase E con barboquejo</v>
      </c>
      <c r="C23275" s="73"/>
      <c r="D23275" s="50" t="str">
        <f>VLOOKUP(A23275,'[1]Componentes APUs'!$A$1:$D$14,3,0)</f>
        <v>U</v>
      </c>
      <c r="E23275" s="53">
        <f>IF(A23246="MO-3",C23246,0)</f>
        <v>0</v>
      </c>
      <c r="F23275" s="51">
        <f>VLOOKUP(A23275,'[1]Componentes APUs'!$A$1:$D$14,4,0)</f>
        <v>7500</v>
      </c>
      <c r="G23275" s="51">
        <f>ROUNDUP(F23275*(E23275/21)/E23230,0)</f>
        <v>0</v>
      </c>
    </row>
    <row r="23276" spans="1:7" x14ac:dyDescent="0.25">
      <c r="A23276" s="69" t="s">
        <v>89</v>
      </c>
      <c r="B23276" s="72" t="str">
        <f>VLOOKUP(A23276,'[1]Componentes APUs'!$A$1:$D$14,2,0)</f>
        <v>Kit de rescate para trabajo en alturas</v>
      </c>
      <c r="C23276" s="73"/>
      <c r="D23276" s="50" t="str">
        <f>VLOOKUP(A23276,'[1]Componentes APUs'!$A$1:$D$14,3,0)</f>
        <v>U</v>
      </c>
      <c r="E23276" s="50">
        <f>IF(AND(A23246="MO-3",C23246=2),1,0)</f>
        <v>0</v>
      </c>
      <c r="F23276" s="51">
        <f>VLOOKUP(A23276,'[1]Componentes APUs'!$A$1:$D$14,4,0)</f>
        <v>37500</v>
      </c>
      <c r="G23276" s="51">
        <f>ROUNDUP(F23276*(E23276/21)/E23230,0)</f>
        <v>0</v>
      </c>
    </row>
    <row r="23277" spans="1:7" x14ac:dyDescent="0.25">
      <c r="A23277" s="50" t="s">
        <v>91</v>
      </c>
      <c r="B23277" s="72" t="str">
        <f>VLOOKUP(A23277,'[1]Componentes APUs'!$A$1:$D$14,2,0)</f>
        <v>Equipo completo para trabajo en alturas con pretales (Arnes dielectrico, 1 mosqueton de seguridad, tie off dielectrico, eslinga de posicionamiento, juego de pretales)</v>
      </c>
      <c r="C23277" s="73"/>
      <c r="D23277" s="50" t="str">
        <f>VLOOKUP(A23277,'[1]Componentes APUs'!$A$1:$D$14,3,0)</f>
        <v>U</v>
      </c>
      <c r="E23277" s="50">
        <f>IF(A23246="MO-3",C23246,0)</f>
        <v>0</v>
      </c>
      <c r="F23277" s="51">
        <f>VLOOKUP(A23277,'[1]Componentes APUs'!$A$1:$D$14,4,0)</f>
        <v>26041.666666666668</v>
      </c>
      <c r="G23277" s="51">
        <f>ROUNDUP(F23277*(E23277/21)/E23230,0)</f>
        <v>0</v>
      </c>
    </row>
    <row r="23278" spans="1:7" x14ac:dyDescent="0.25">
      <c r="A23278" s="219" t="s">
        <v>95</v>
      </c>
      <c r="B23278" s="219"/>
      <c r="C23278" s="219"/>
      <c r="D23278" s="219"/>
      <c r="E23278" s="219"/>
      <c r="F23278" s="219"/>
      <c r="G23278" s="52">
        <f>SUM(G23265:G23277)</f>
        <v>175</v>
      </c>
    </row>
    <row r="23279" spans="1:7" x14ac:dyDescent="0.25">
      <c r="A23279" s="56"/>
      <c r="B23279" s="57"/>
      <c r="C23279" s="57"/>
      <c r="D23279" s="57"/>
      <c r="E23279" s="57"/>
      <c r="F23279" s="57"/>
      <c r="G23279" s="58"/>
    </row>
    <row r="23280" spans="1:7" x14ac:dyDescent="0.25">
      <c r="A23280" s="219" t="s">
        <v>96</v>
      </c>
      <c r="B23280" s="219"/>
      <c r="C23280" s="219"/>
      <c r="D23280" s="219"/>
      <c r="E23280" s="219"/>
      <c r="F23280" s="219"/>
      <c r="G23280" s="219"/>
    </row>
    <row r="23281" spans="1:7" x14ac:dyDescent="0.25">
      <c r="A23281" s="49" t="s">
        <v>35</v>
      </c>
      <c r="B23281" s="225" t="s">
        <v>36</v>
      </c>
      <c r="C23281" s="225"/>
      <c r="D23281" s="49" t="s">
        <v>37</v>
      </c>
      <c r="E23281" s="49" t="s">
        <v>38</v>
      </c>
      <c r="F23281" s="49" t="s">
        <v>39</v>
      </c>
      <c r="G23281" s="49" t="s">
        <v>40</v>
      </c>
    </row>
    <row r="23282" spans="1:7" x14ac:dyDescent="0.25">
      <c r="A23282" s="69" t="s">
        <v>97</v>
      </c>
      <c r="B23282" s="72" t="str">
        <f>VLOOKUP(A23282,'[1]Componentes APUs'!$N$1:$Q$30,2,0)</f>
        <v>Camioneta</v>
      </c>
      <c r="C23282" s="73"/>
      <c r="D23282" s="70" t="str">
        <f>VLOOKUP(A23282,'[1]Componentes APUs'!$N$1:$Q$30,3,0)</f>
        <v>U</v>
      </c>
      <c r="E23282" s="50">
        <v>1</v>
      </c>
      <c r="F23282" s="51">
        <f>VLOOKUP(A23282,'[1]Componentes APUs'!$N$1:$Q$30,4,0)</f>
        <v>5500000</v>
      </c>
      <c r="G23282" s="51">
        <f>IFERROR(ROUNDUP(F23282*(E23282/21)/E23230,0),0)</f>
        <v>6548</v>
      </c>
    </row>
    <row r="23283" spans="1:7" x14ac:dyDescent="0.25">
      <c r="A23283" s="50" t="s">
        <v>321</v>
      </c>
      <c r="B23283" s="72" t="str">
        <f>VLOOKUP(A23283,'[1]Componentes APUs'!$N$1:$Q$30,2,0)</f>
        <v>Grúa Hidráulica</v>
      </c>
      <c r="C23283" s="73"/>
      <c r="D23283" s="70" t="str">
        <f>VLOOKUP(A23283,'[1]Componentes APUs'!$N$1:$Q$30,3,0)</f>
        <v>U</v>
      </c>
      <c r="E23283" s="50">
        <v>0</v>
      </c>
      <c r="F23283" s="51">
        <f>VLOOKUP(A23283,'[1]Componentes APUs'!$N$1:$Q$30,4,0)</f>
        <v>21000000</v>
      </c>
      <c r="G23283" s="51">
        <f>IFERROR(ROUNDUP(F23283*(E23283/21)/E23230,0),0)</f>
        <v>0</v>
      </c>
    </row>
    <row r="23284" spans="1:7" x14ac:dyDescent="0.25">
      <c r="A23284" s="69" t="s">
        <v>322</v>
      </c>
      <c r="B23284" s="72" t="str">
        <f>VLOOKUP(A23284,'[1]Componentes APUs'!$N$1:$Q$30,2,0)</f>
        <v>Camabaja</v>
      </c>
      <c r="C23284" s="73"/>
      <c r="D23284" s="70" t="str">
        <f>VLOOKUP(A23284,'[1]Componentes APUs'!$N$1:$Q$30,3,0)</f>
        <v>TON/KM</v>
      </c>
      <c r="E23284" s="50">
        <v>0</v>
      </c>
      <c r="F23284" s="51">
        <f>VLOOKUP(A23284,'[1]Componentes APUs'!$N$1:$Q$30,4,0)</f>
        <v>611</v>
      </c>
      <c r="G23284" s="51">
        <f>IFERROR(ROUNDUP(F23284*(E23284/21)/E23230,0),0)</f>
        <v>0</v>
      </c>
    </row>
    <row r="23285" spans="1:7" x14ac:dyDescent="0.25">
      <c r="A23285" s="50" t="s">
        <v>323</v>
      </c>
      <c r="B23285" s="72" t="str">
        <f>VLOOKUP(A23285,'[1]Componentes APUs'!$N$1:$Q$30,2,0)</f>
        <v>Volqueta</v>
      </c>
      <c r="C23285" s="73"/>
      <c r="D23285" s="70" t="str">
        <f>VLOOKUP(A23285,'[1]Componentes APUs'!$N$1:$Q$30,3,0)</f>
        <v>U</v>
      </c>
      <c r="E23285" s="50">
        <v>0</v>
      </c>
      <c r="F23285" s="51">
        <f>VLOOKUP(A23285,'[1]Componentes APUs'!$N$1:$Q$30,4,0)</f>
        <v>18900000</v>
      </c>
      <c r="G23285" s="51">
        <f>IFERROR(ROUNDUP(F23285*(E23285/21)/E23230,0),0)</f>
        <v>0</v>
      </c>
    </row>
    <row r="23286" spans="1:7" x14ac:dyDescent="0.25">
      <c r="A23286" s="69" t="s">
        <v>324</v>
      </c>
      <c r="B23286" s="72" t="str">
        <f>VLOOKUP(A23286,'[1]Componentes APUs'!$N$1:$Q$30,2,0)</f>
        <v>Retroexcavadora</v>
      </c>
      <c r="C23286" s="73"/>
      <c r="D23286" s="70" t="str">
        <f>VLOOKUP(A23286,'[1]Componentes APUs'!$N$1:$Q$30,3,0)</f>
        <v>U</v>
      </c>
      <c r="E23286" s="50">
        <v>0</v>
      </c>
      <c r="F23286" s="51">
        <f>VLOOKUP(A23286,'[1]Componentes APUs'!$N$1:$Q$30,4,0)</f>
        <v>1494459.54</v>
      </c>
      <c r="G23286" s="51">
        <f>IFERROR(ROUNDUP(F23286*(E23286/21)/E23230,0),0)</f>
        <v>0</v>
      </c>
    </row>
    <row r="23287" spans="1:7" x14ac:dyDescent="0.25">
      <c r="A23287" s="219" t="s">
        <v>99</v>
      </c>
      <c r="B23287" s="219"/>
      <c r="C23287" s="219"/>
      <c r="D23287" s="219"/>
      <c r="E23287" s="219"/>
      <c r="F23287" s="219"/>
      <c r="G23287" s="52">
        <f>SUM(G23282:G23286)</f>
        <v>6548</v>
      </c>
    </row>
    <row r="23288" spans="1:7" x14ac:dyDescent="0.25">
      <c r="A23288" s="56"/>
      <c r="B23288" s="57"/>
      <c r="C23288" s="57"/>
      <c r="D23288" s="57"/>
      <c r="E23288" s="57"/>
      <c r="F23288" s="57"/>
      <c r="G23288" s="58"/>
    </row>
    <row r="23289" spans="1:7" x14ac:dyDescent="0.25">
      <c r="A23289" s="219" t="s">
        <v>1516</v>
      </c>
      <c r="B23289" s="219"/>
      <c r="C23289" s="219"/>
      <c r="D23289" s="219"/>
      <c r="E23289" s="219"/>
      <c r="F23289" s="219"/>
      <c r="G23289" s="52">
        <f>G23287+G23278+G23261+G23250+G23240</f>
        <v>60603</v>
      </c>
    </row>
    <row r="23290" spans="1:7" x14ac:dyDescent="0.25">
      <c r="A23290" s="59"/>
      <c r="B23290" s="60"/>
      <c r="C23290" s="60"/>
      <c r="D23290" s="60"/>
      <c r="E23290" s="57"/>
      <c r="F23290" s="57"/>
      <c r="G23290" s="58"/>
    </row>
    <row r="23291" spans="1:7" x14ac:dyDescent="0.25">
      <c r="A23291" s="64"/>
      <c r="D23291" s="55"/>
      <c r="E23291" s="49" t="s">
        <v>25</v>
      </c>
      <c r="F23291" s="54">
        <v>0.15</v>
      </c>
      <c r="G23291" s="51">
        <f>G23289*F23291</f>
        <v>9090.4499999999989</v>
      </c>
    </row>
    <row r="23292" spans="1:7" x14ac:dyDescent="0.25">
      <c r="A23292" s="64"/>
      <c r="D23292" s="55"/>
      <c r="E23292" s="49" t="s">
        <v>26</v>
      </c>
      <c r="F23292" s="54">
        <v>0.05</v>
      </c>
      <c r="G23292" s="51">
        <f>G23289*F23292</f>
        <v>3030.15</v>
      </c>
    </row>
    <row r="23293" spans="1:7" x14ac:dyDescent="0.25">
      <c r="A23293" s="61"/>
      <c r="B23293" s="65"/>
      <c r="C23293" s="65"/>
      <c r="D23293" s="62"/>
      <c r="E23293" s="49" t="s">
        <v>27</v>
      </c>
      <c r="F23293" s="54">
        <v>0.05</v>
      </c>
      <c r="G23293" s="51">
        <f>G23289*F23293</f>
        <v>3030.15</v>
      </c>
    </row>
    <row r="23294" spans="1:7" x14ac:dyDescent="0.25">
      <c r="A23294" s="61"/>
      <c r="B23294" s="62"/>
      <c r="C23294" s="62"/>
      <c r="D23294" s="62"/>
      <c r="E23294" s="62"/>
      <c r="F23294" s="62"/>
      <c r="G23294" s="63"/>
    </row>
    <row r="23295" spans="1:7" x14ac:dyDescent="0.25">
      <c r="A23295" s="219" t="s">
        <v>1517</v>
      </c>
      <c r="B23295" s="219"/>
      <c r="C23295" s="219"/>
      <c r="D23295" s="219"/>
      <c r="E23295" s="219"/>
      <c r="F23295" s="219"/>
      <c r="G23295" s="52">
        <f>G23289+G23291+G23292+G23293</f>
        <v>75753.749999999985</v>
      </c>
    </row>
    <row r="23296" spans="1:7" x14ac:dyDescent="0.25">
      <c r="A23296" s="59"/>
      <c r="B23296" s="60"/>
      <c r="C23296" s="60"/>
      <c r="D23296" s="60"/>
      <c r="E23296" s="57"/>
      <c r="F23296" s="57"/>
      <c r="G23296" s="58"/>
    </row>
    <row r="23297" spans="1:8" x14ac:dyDescent="0.25">
      <c r="A23297" s="64"/>
      <c r="D23297" s="55"/>
      <c r="E23297" s="49" t="s">
        <v>102</v>
      </c>
      <c r="F23297" s="49" t="s">
        <v>103</v>
      </c>
      <c r="G23297" s="51">
        <f>G23293*19%</f>
        <v>575.72850000000005</v>
      </c>
    </row>
    <row r="23298" spans="1:8" x14ac:dyDescent="0.25">
      <c r="A23298" s="61"/>
      <c r="B23298" s="62"/>
      <c r="C23298" s="62"/>
      <c r="D23298" s="62"/>
      <c r="E23298" s="57"/>
      <c r="F23298" s="57"/>
      <c r="G23298" s="58"/>
    </row>
    <row r="23299" spans="1:8" x14ac:dyDescent="0.25">
      <c r="A23299" s="219" t="s">
        <v>104</v>
      </c>
      <c r="B23299" s="219"/>
      <c r="C23299" s="219"/>
      <c r="D23299" s="219"/>
      <c r="E23299" s="219"/>
      <c r="F23299" s="219"/>
      <c r="G23299" s="52">
        <f>G23297+G23295</f>
        <v>76329.478499999983</v>
      </c>
    </row>
    <row r="23301" spans="1:8" x14ac:dyDescent="0.25">
      <c r="A23301" s="74" t="s">
        <v>29</v>
      </c>
      <c r="B23301" s="237" t="s">
        <v>30</v>
      </c>
      <c r="C23301" s="238"/>
      <c r="D23301" s="74" t="s">
        <v>31</v>
      </c>
      <c r="E23301" s="74" t="s">
        <v>32</v>
      </c>
      <c r="F23301" s="74" t="s">
        <v>189</v>
      </c>
      <c r="G23301" s="74" t="s">
        <v>33</v>
      </c>
    </row>
    <row r="23302" spans="1:8" x14ac:dyDescent="0.25">
      <c r="A23302" s="50" t="str">
        <f>Presupuesto!B441</f>
        <v>100_AUX</v>
      </c>
      <c r="B23302" s="220" t="str">
        <f>Presupuesto!C441</f>
        <v>EXCAVACION MANUAL EN MATERIAL COMUN (MALLA SPT)</v>
      </c>
      <c r="C23302" s="239"/>
      <c r="D23302" s="50" t="s">
        <v>114</v>
      </c>
      <c r="E23302" s="50">
        <v>8</v>
      </c>
      <c r="F23302" s="50"/>
      <c r="G23302" s="51">
        <f>G23365</f>
        <v>79473.190499999997</v>
      </c>
      <c r="H23302" s="101"/>
    </row>
    <row r="23303" spans="1:8" x14ac:dyDescent="0.25">
      <c r="A23303" s="234"/>
      <c r="B23303" s="236"/>
      <c r="C23303" s="236"/>
      <c r="D23303" s="236"/>
      <c r="E23303" s="236"/>
      <c r="F23303" s="236"/>
      <c r="G23303" s="235"/>
    </row>
    <row r="23304" spans="1:8" x14ac:dyDescent="0.25">
      <c r="A23304" s="49" t="s">
        <v>35</v>
      </c>
      <c r="B23304" s="234" t="s">
        <v>36</v>
      </c>
      <c r="C23304" s="235"/>
      <c r="D23304" s="49" t="s">
        <v>37</v>
      </c>
      <c r="E23304" s="49" t="s">
        <v>38</v>
      </c>
      <c r="F23304" s="49" t="s">
        <v>39</v>
      </c>
      <c r="G23304" s="49" t="s">
        <v>40</v>
      </c>
    </row>
    <row r="23305" spans="1:8" x14ac:dyDescent="0.25">
      <c r="A23305" s="17"/>
      <c r="B23305" s="72" t="str">
        <f>IFERROR(VLOOKUP(A23305,Material!$A:$J,2,0),"-")</f>
        <v>-</v>
      </c>
      <c r="C23305" s="76"/>
      <c r="D23305" s="50" t="str">
        <f>IFERROR(VLOOKUP(A23305,Material!$A:$J,4,0),"-")</f>
        <v>-</v>
      </c>
      <c r="E23305" s="50">
        <v>1</v>
      </c>
      <c r="F23305" s="51" t="str">
        <f>IFERROR(VLOOKUP(A23305,Material!$A:$J,3,0),"-")</f>
        <v>-</v>
      </c>
      <c r="G23305" s="51" t="str">
        <f>IFERROR(ROUNDUP(F23305*E23305,0),"-")</f>
        <v>-</v>
      </c>
    </row>
    <row r="23306" spans="1:8" x14ac:dyDescent="0.25">
      <c r="A23306" s="234" t="s">
        <v>41</v>
      </c>
      <c r="B23306" s="236"/>
      <c r="C23306" s="236"/>
      <c r="D23306" s="236"/>
      <c r="E23306" s="236"/>
      <c r="F23306" s="235"/>
      <c r="G23306" s="52">
        <f>SUM(G23305:G23305)</f>
        <v>0</v>
      </c>
    </row>
    <row r="23307" spans="1:8" x14ac:dyDescent="0.25">
      <c r="A23307" s="56"/>
      <c r="B23307" s="57"/>
      <c r="C23307" s="57"/>
      <c r="D23307" s="57"/>
      <c r="E23307" s="57"/>
      <c r="F23307" s="57"/>
      <c r="G23307" s="58"/>
    </row>
    <row r="23308" spans="1:8" x14ac:dyDescent="0.25">
      <c r="A23308" s="219" t="s">
        <v>42</v>
      </c>
      <c r="B23308" s="219"/>
      <c r="C23308" s="219"/>
      <c r="D23308" s="219"/>
      <c r="E23308" s="219"/>
      <c r="F23308" s="219"/>
      <c r="G23308" s="219"/>
    </row>
    <row r="23309" spans="1:8" x14ac:dyDescent="0.25">
      <c r="A23309" s="49" t="s">
        <v>35</v>
      </c>
      <c r="B23309" s="49" t="s">
        <v>36</v>
      </c>
      <c r="C23309" s="49" t="s">
        <v>38</v>
      </c>
      <c r="D23309" s="49" t="s">
        <v>43</v>
      </c>
      <c r="E23309" s="49" t="s">
        <v>44</v>
      </c>
      <c r="F23309" s="49" t="s">
        <v>45</v>
      </c>
      <c r="G23309" s="49" t="s">
        <v>40</v>
      </c>
    </row>
    <row r="23310" spans="1:8" x14ac:dyDescent="0.25">
      <c r="A23310" s="50" t="s">
        <v>319</v>
      </c>
      <c r="B23310" s="68" t="str">
        <f>VLOOKUP(A23310,'[1]Componentes APUs'!$H$1:$L$25,2,0)</f>
        <v>Ingeniero Residente de Obra</v>
      </c>
      <c r="C23310" s="93">
        <v>0.25</v>
      </c>
      <c r="D23310" s="50">
        <f>VLOOKUP(A23310,'[1]Componentes APUs'!$H$1:$L$25,3,0)</f>
        <v>4</v>
      </c>
      <c r="E23310" s="51">
        <f>VLOOKUP(A23310,'[1]Componentes APUs'!$H$1:$L$25,4,0)</f>
        <v>271142.85714285716</v>
      </c>
      <c r="F23310" s="51">
        <f>VLOOKUP(A23310,'[1]Componentes APUs'!$H$1:$L$25,5,0)</f>
        <v>162685.71428571429</v>
      </c>
      <c r="G23310" s="51">
        <f>ROUNDUP((E23310+F23310)*C23310/E23302,0)</f>
        <v>13558</v>
      </c>
    </row>
    <row r="23311" spans="1:8" x14ac:dyDescent="0.25">
      <c r="A23311" s="50" t="s">
        <v>320</v>
      </c>
      <c r="B23311" s="68" t="str">
        <f>VLOOKUP(A23311,'[1]Componentes APUs'!$H$1:$L$25,2,0)</f>
        <v>Tecnico Supervisor</v>
      </c>
      <c r="C23311" s="93">
        <v>0.25</v>
      </c>
      <c r="D23311" s="50">
        <f>VLOOKUP(A23311,'[1]Componentes APUs'!$H$1:$L$25,3,0)</f>
        <v>2.2999999999999998</v>
      </c>
      <c r="E23311" s="51">
        <f>VLOOKUP(A23311,'[1]Componentes APUs'!$H$1:$L$25,4,0)</f>
        <v>155907.14285714284</v>
      </c>
      <c r="F23311" s="51">
        <f>VLOOKUP(A23311,'[1]Componentes APUs'!$H$1:$L$25,5,0)</f>
        <v>93544.285714285696</v>
      </c>
      <c r="G23311" s="51">
        <f>ROUNDUP((E23311+F23311)*C23311/E23302,0)</f>
        <v>7796</v>
      </c>
    </row>
    <row r="23312" spans="1:8" x14ac:dyDescent="0.25">
      <c r="A23312" s="50" t="s">
        <v>1110</v>
      </c>
      <c r="B23312" s="68" t="str">
        <f>VLOOKUP(A23312,'[1]Componentes APUs'!$H$1:$L$25,2,0)</f>
        <v>Oficial de Obra Civil</v>
      </c>
      <c r="C23312" s="93">
        <v>0</v>
      </c>
      <c r="D23312" s="50">
        <f>VLOOKUP(A23312,'[1]Componentes APUs'!$H$1:$L$25,3,0)</f>
        <v>1.5</v>
      </c>
      <c r="E23312" s="51">
        <f>VLOOKUP(A23312,'[1]Componentes APUs'!$H$1:$L$25,4,0)</f>
        <v>115964.28571428571</v>
      </c>
      <c r="F23312" s="51">
        <f>VLOOKUP(A23312,'[1]Componentes APUs'!$H$1:$L$25,5,0)</f>
        <v>69578.57142857142</v>
      </c>
      <c r="G23312" s="51">
        <f>ROUNDUP((E23312+F23312)*C23312/E23302,0)</f>
        <v>0</v>
      </c>
    </row>
    <row r="23313" spans="1:7" x14ac:dyDescent="0.25">
      <c r="A23313" s="50" t="s">
        <v>48</v>
      </c>
      <c r="B23313" s="68" t="str">
        <f>VLOOKUP(A23313,'[1]Componentes APUs'!$H$1:$L$25,2,0)</f>
        <v>Ayudante Calificado</v>
      </c>
      <c r="C23313" s="93">
        <v>0</v>
      </c>
      <c r="D23313" s="50">
        <f>VLOOKUP(A23313,'[1]Componentes APUs'!$H$1:$L$25,3,0)</f>
        <v>1.5</v>
      </c>
      <c r="E23313" s="51">
        <f>VLOOKUP(A23313,'[1]Componentes APUs'!$H$1:$L$25,4,0)</f>
        <v>115964.28571428571</v>
      </c>
      <c r="F23313" s="51">
        <f>VLOOKUP(A23313,'[1]Componentes APUs'!$H$1:$L$25,5,0)</f>
        <v>69578.57142857142</v>
      </c>
      <c r="G23313" s="51">
        <f>ROUNDUP((E23313+F23313)*C23313/E23302,0)</f>
        <v>0</v>
      </c>
    </row>
    <row r="23314" spans="1:7" x14ac:dyDescent="0.25">
      <c r="A23314" s="50" t="s">
        <v>50</v>
      </c>
      <c r="B23314" s="68" t="str">
        <f>VLOOKUP(A23314,'[1]Componentes APUs'!$H$1:$L$25,2,0)</f>
        <v>Profesional en SST</v>
      </c>
      <c r="C23314" s="93">
        <v>0.25</v>
      </c>
      <c r="D23314" s="50">
        <f>VLOOKUP(A23314,'[1]Componentes APUs'!$H$1:$L$25,3,0)</f>
        <v>2.5</v>
      </c>
      <c r="E23314" s="51">
        <f>VLOOKUP(A23314,'[1]Componentes APUs'!$H$1:$L$25,4,0)</f>
        <v>169464.28571428571</v>
      </c>
      <c r="F23314" s="51">
        <f>VLOOKUP(A23314,'[1]Componentes APUs'!$H$1:$L$25,5,0)</f>
        <v>101678.57142857142</v>
      </c>
      <c r="G23314" s="51">
        <f>ROUNDUP((E23314+F23314)*C23314/E23302,0)</f>
        <v>8474</v>
      </c>
    </row>
    <row r="23315" spans="1:7" x14ac:dyDescent="0.25">
      <c r="A23315" s="50" t="s">
        <v>52</v>
      </c>
      <c r="B23315" s="68" t="str">
        <f>VLOOKUP(A23315,'[1]Componentes APUs'!$H$1:$L$25,2,0)</f>
        <v>Ayudante No Calificado</v>
      </c>
      <c r="C23315" s="93">
        <v>1</v>
      </c>
      <c r="D23315" s="50">
        <f>VLOOKUP(A23315,'[1]Componentes APUs'!$H$1:$L$25,3,0)</f>
        <v>1</v>
      </c>
      <c r="E23315" s="51">
        <f>VLOOKUP(A23315,'[1]Componentes APUs'!$H$1:$L$25,4,0)</f>
        <v>77309.523809523816</v>
      </c>
      <c r="F23315" s="51">
        <f>VLOOKUP(A23315,'[1]Componentes APUs'!$H$1:$L$25,5,0)</f>
        <v>46385.71428571429</v>
      </c>
      <c r="G23315" s="51">
        <f>ROUNDUP((E23315+F23315)*C23315/E23302,0)</f>
        <v>15462</v>
      </c>
    </row>
    <row r="23316" spans="1:7" x14ac:dyDescent="0.25">
      <c r="A23316" s="219" t="s">
        <v>56</v>
      </c>
      <c r="B23316" s="219"/>
      <c r="C23316" s="219"/>
      <c r="D23316" s="219"/>
      <c r="E23316" s="219"/>
      <c r="F23316" s="219"/>
      <c r="G23316" s="52">
        <f>SUM(G23310:G23315)</f>
        <v>45290</v>
      </c>
    </row>
    <row r="23317" spans="1:7" x14ac:dyDescent="0.25">
      <c r="A23317" s="56"/>
      <c r="B23317" s="57"/>
      <c r="C23317" s="57"/>
      <c r="D23317" s="57"/>
      <c r="E23317" s="57"/>
      <c r="F23317" s="57"/>
      <c r="G23317" s="58"/>
    </row>
    <row r="23318" spans="1:7" x14ac:dyDescent="0.25">
      <c r="A23318" s="219" t="s">
        <v>57</v>
      </c>
      <c r="B23318" s="219"/>
      <c r="C23318" s="219"/>
      <c r="D23318" s="219"/>
      <c r="E23318" s="219"/>
      <c r="F23318" s="219"/>
      <c r="G23318" s="219"/>
    </row>
    <row r="23319" spans="1:7" x14ac:dyDescent="0.25">
      <c r="A23319" s="49" t="s">
        <v>35</v>
      </c>
      <c r="B23319" s="219" t="s">
        <v>36</v>
      </c>
      <c r="C23319" s="219"/>
      <c r="D23319" s="49" t="s">
        <v>37</v>
      </c>
      <c r="E23319" s="49" t="s">
        <v>38</v>
      </c>
      <c r="F23319" s="49" t="s">
        <v>39</v>
      </c>
      <c r="G23319" s="49" t="s">
        <v>40</v>
      </c>
    </row>
    <row r="23320" spans="1:7" x14ac:dyDescent="0.25">
      <c r="A23320" s="50" t="s">
        <v>326</v>
      </c>
      <c r="B23320" s="220" t="str">
        <f>VLOOKUP(A23320,'[1]Componentes APUs'!$S$1:$V$10,2,0)</f>
        <v>Juego Llaves</v>
      </c>
      <c r="C23320" s="220"/>
      <c r="D23320" s="50" t="s">
        <v>18</v>
      </c>
      <c r="E23320" s="50">
        <v>0</v>
      </c>
      <c r="F23320" s="51">
        <f>VLOOKUP(A23320,'[1]Componentes APUs'!$S$1:$V$10,4,0)</f>
        <v>9167</v>
      </c>
      <c r="G23320" s="51">
        <f>ROUNDUP(F23320*((E23320/21)/E23302),0)</f>
        <v>0</v>
      </c>
    </row>
    <row r="23321" spans="1:7" x14ac:dyDescent="0.25">
      <c r="A23321" s="50" t="s">
        <v>58</v>
      </c>
      <c r="B23321" s="220" t="str">
        <f>VLOOKUP(A23321,'[1]Componentes APUs'!$S$1:$V$10,2,0)</f>
        <v>Manila de servicio</v>
      </c>
      <c r="C23321" s="220"/>
      <c r="D23321" s="50" t="s">
        <v>18</v>
      </c>
      <c r="E23321" s="50">
        <v>0</v>
      </c>
      <c r="F23321" s="51">
        <f>VLOOKUP(A23321,'[1]Componentes APUs'!$S$1:$V$10,4,0)</f>
        <v>2333</v>
      </c>
      <c r="G23321" s="51">
        <f>ROUNDUP(F23321*((E23321/21)/E23302),0)</f>
        <v>0</v>
      </c>
    </row>
    <row r="23322" spans="1:7" x14ac:dyDescent="0.25">
      <c r="A23322" s="50" t="s">
        <v>327</v>
      </c>
      <c r="B23322" s="220" t="str">
        <f>VLOOKUP(A23322,'[1]Componentes APUs'!$S$1:$V$10,2,0)</f>
        <v>Tula portaherramientas</v>
      </c>
      <c r="C23322" s="220"/>
      <c r="D23322" s="50" t="s">
        <v>18</v>
      </c>
      <c r="E23322" s="50">
        <v>0</v>
      </c>
      <c r="F23322" s="51">
        <f>VLOOKUP(A23322,'[1]Componentes APUs'!$S$1:$V$10,4,0)</f>
        <v>1250</v>
      </c>
      <c r="G23322" s="51">
        <f>ROUNDUP(F23322*((E23322/21)/E23302),0)</f>
        <v>0</v>
      </c>
    </row>
    <row r="23323" spans="1:7" x14ac:dyDescent="0.25">
      <c r="A23323" s="50" t="s">
        <v>60</v>
      </c>
      <c r="B23323" s="220" t="str">
        <f>VLOOKUP(A23323,'[1]Componentes APUs'!$S$1:$V$10,2,0)</f>
        <v>Agarradoras</v>
      </c>
      <c r="C23323" s="220"/>
      <c r="D23323" s="50" t="s">
        <v>18</v>
      </c>
      <c r="E23323" s="50">
        <v>0</v>
      </c>
      <c r="F23323" s="51">
        <f>VLOOKUP(A23323,'[1]Componentes APUs'!$S$1:$V$10,4,0)</f>
        <v>125000</v>
      </c>
      <c r="G23323" s="51">
        <f>ROUNDUP(F23323*((E23323/21)/E23302),0)</f>
        <v>0</v>
      </c>
    </row>
    <row r="23324" spans="1:7" x14ac:dyDescent="0.25">
      <c r="A23324" s="50" t="s">
        <v>62</v>
      </c>
      <c r="B23324" s="220" t="str">
        <f>VLOOKUP(A23324,'[1]Componentes APUs'!$S$1:$V$10,2,0)</f>
        <v>Templadoras</v>
      </c>
      <c r="C23324" s="220"/>
      <c r="D23324" s="50" t="s">
        <v>18</v>
      </c>
      <c r="E23324" s="50">
        <v>0</v>
      </c>
      <c r="F23324" s="51">
        <f>VLOOKUP(A23324,'[1]Componentes APUs'!$S$1:$V$10,4,0)</f>
        <v>250000</v>
      </c>
      <c r="G23324" s="51">
        <f>ROUNDUP(F23324*((E23324/21)/E23302),0)</f>
        <v>0</v>
      </c>
    </row>
    <row r="23325" spans="1:7" x14ac:dyDescent="0.25">
      <c r="A23325" s="50" t="s">
        <v>328</v>
      </c>
      <c r="B23325" s="220" t="str">
        <f>VLOOKUP(A23325,'[1]Componentes APUs'!$S$1:$V$10,2,0)</f>
        <v>Herramienta Menor</v>
      </c>
      <c r="C23325" s="220"/>
      <c r="D23325" s="50" t="s">
        <v>18</v>
      </c>
      <c r="E23325" s="50">
        <v>2</v>
      </c>
      <c r="F23325" s="51">
        <f>VLOOKUP(A23325,'[1]Componentes APUs'!$S$1:$V$10,4,0)</f>
        <v>75758</v>
      </c>
      <c r="G23325" s="51">
        <f>ROUNDUP(F23325*((E23325/21)/E23302),0)</f>
        <v>902</v>
      </c>
    </row>
    <row r="23326" spans="1:7" x14ac:dyDescent="0.25">
      <c r="A23326" s="219" t="s">
        <v>69</v>
      </c>
      <c r="B23326" s="219"/>
      <c r="C23326" s="219"/>
      <c r="D23326" s="219"/>
      <c r="E23326" s="219"/>
      <c r="F23326" s="219"/>
      <c r="G23326" s="52">
        <f>SUM(G23320:G23325)</f>
        <v>902</v>
      </c>
    </row>
    <row r="23327" spans="1:7" x14ac:dyDescent="0.25">
      <c r="A23327" s="56"/>
      <c r="B23327" s="57"/>
      <c r="C23327" s="57"/>
      <c r="D23327" s="57"/>
      <c r="E23327" s="57"/>
      <c r="F23327" s="57"/>
      <c r="G23327" s="58"/>
    </row>
    <row r="23328" spans="1:7" x14ac:dyDescent="0.25">
      <c r="A23328" s="219" t="s">
        <v>70</v>
      </c>
      <c r="B23328" s="219"/>
      <c r="C23328" s="219"/>
      <c r="D23328" s="219"/>
      <c r="E23328" s="219"/>
      <c r="F23328" s="219"/>
      <c r="G23328" s="219"/>
    </row>
    <row r="23329" spans="1:7" x14ac:dyDescent="0.25">
      <c r="A23329" s="49" t="s">
        <v>35</v>
      </c>
      <c r="B23329" s="219" t="s">
        <v>36</v>
      </c>
      <c r="C23329" s="219"/>
      <c r="D23329" s="49" t="s">
        <v>37</v>
      </c>
      <c r="E23329" s="49" t="s">
        <v>38</v>
      </c>
      <c r="F23329" s="49" t="s">
        <v>39</v>
      </c>
      <c r="G23329" s="49" t="s">
        <v>40</v>
      </c>
    </row>
    <row r="23330" spans="1:7" x14ac:dyDescent="0.25">
      <c r="A23330" s="50" t="s">
        <v>71</v>
      </c>
      <c r="B23330" s="71" t="str">
        <f>VLOOKUP(A23330,'[1]Componentes APUs'!$A$1:$D$14,2,0)</f>
        <v>Camisa indigo sin partes metalicas</v>
      </c>
      <c r="C23330" s="71"/>
      <c r="D23330" s="50" t="str">
        <f>VLOOKUP(A23330,'[1]Componentes APUs'!$A$1:$D$14,3,0)</f>
        <v>U</v>
      </c>
      <c r="E23330" s="50">
        <f>SUM(C23310:C23315)</f>
        <v>1.75</v>
      </c>
      <c r="F23330" s="51">
        <f>VLOOKUP(A23330,'[1]Componentes APUs'!$A$1:$D$14,4,0)</f>
        <v>8585.8585858585866</v>
      </c>
      <c r="G23330" s="51">
        <f>ROUNDUP(F23330*(E23330/21)/E23302,0)</f>
        <v>90</v>
      </c>
    </row>
    <row r="23331" spans="1:7" x14ac:dyDescent="0.25">
      <c r="A23331" s="69" t="s">
        <v>73</v>
      </c>
      <c r="B23331" s="72" t="str">
        <f>VLOOKUP(A23331,'[1]Componentes APUs'!$A$1:$D$14,2,0)</f>
        <v>Bota de seguridad dielectrica</v>
      </c>
      <c r="C23331" s="73"/>
      <c r="D23331" s="70" t="str">
        <f>VLOOKUP(A23331,'[1]Componentes APUs'!$A$1:$D$14,3,0)</f>
        <v>Par</v>
      </c>
      <c r="E23331" s="50">
        <f>SUM(C23310:C23315)</f>
        <v>1.75</v>
      </c>
      <c r="F23331" s="51">
        <f>VLOOKUP(A23331,'[1]Componentes APUs'!$A$1:$D$14,4,0)</f>
        <v>7500</v>
      </c>
      <c r="G23331" s="51">
        <f>ROUNDUP(F23331*(E23331/21)/E23302,0)</f>
        <v>79</v>
      </c>
    </row>
    <row r="23332" spans="1:7" x14ac:dyDescent="0.25">
      <c r="A23332" s="50" t="s">
        <v>76</v>
      </c>
      <c r="B23332" s="72" t="str">
        <f>VLOOKUP(A23332,'[1]Componentes APUs'!$A$1:$D$14,2,0)</f>
        <v>Casco dielectrico Tipo 1 Clase E con barbuquejo</v>
      </c>
      <c r="C23332" s="73"/>
      <c r="D23332" s="50" t="str">
        <f>VLOOKUP(A23332,'[1]Componentes APUs'!$A$1:$D$14,3,0)</f>
        <v>U</v>
      </c>
      <c r="E23332" s="50">
        <f>C23315+C23310+C23313+C23314+C23311+IF(A23312&lt;&gt;"MO-3",C23312,0)</f>
        <v>1.75</v>
      </c>
      <c r="F23332" s="51">
        <f>VLOOKUP(A23332,'[1]Componentes APUs'!$A$1:$D$14,4,0)</f>
        <v>10101.010101010101</v>
      </c>
      <c r="G23332" s="51">
        <f>ROUNDUP(F23332*(E23332/21)/E23302,0)</f>
        <v>106</v>
      </c>
    </row>
    <row r="23333" spans="1:7" x14ac:dyDescent="0.25">
      <c r="A23333" s="69" t="s">
        <v>77</v>
      </c>
      <c r="B23333" s="72" t="str">
        <f>VLOOKUP(A23333,'[1]Componentes APUs'!$A$1:$D$14,2,0)</f>
        <v>Correa plastica y antiflama</v>
      </c>
      <c r="C23333" s="73"/>
      <c r="D23333" s="50" t="str">
        <f>VLOOKUP(A23333,'[1]Componentes APUs'!$A$1:$D$14,3,0)</f>
        <v>U</v>
      </c>
      <c r="E23333" s="50">
        <f>SUM(C23310:C23315)</f>
        <v>1.75</v>
      </c>
      <c r="F23333" s="51">
        <f>VLOOKUP(A23333,'[1]Componentes APUs'!$A$1:$D$14,4,0)</f>
        <v>3787.878787878788</v>
      </c>
      <c r="G23333" s="51">
        <f>ROUNDUP(F23333*(E23333/21)/E23302,0)</f>
        <v>40</v>
      </c>
    </row>
    <row r="23334" spans="1:7" x14ac:dyDescent="0.25">
      <c r="A23334" s="50" t="s">
        <v>79</v>
      </c>
      <c r="B23334" s="72" t="str">
        <f>VLOOKUP(A23334,'[1]Componentes APUs'!$A$1:$D$14,2,0)</f>
        <v>Gafas protectoras filtro UV</v>
      </c>
      <c r="C23334" s="73"/>
      <c r="D23334" s="50" t="str">
        <f>VLOOKUP(A23334,'[1]Componentes APUs'!$A$1:$D$14,3,0)</f>
        <v>U</v>
      </c>
      <c r="E23334" s="50">
        <f>SUM(C23310:C23315)</f>
        <v>1.75</v>
      </c>
      <c r="F23334" s="51">
        <f>VLOOKUP(A23334,'[1]Componentes APUs'!$A$1:$D$14,4,0)</f>
        <v>2777.7777777777778</v>
      </c>
      <c r="G23334" s="51">
        <f>ROUNDUP(F23334*(E23334/21)/E23302,0)</f>
        <v>29</v>
      </c>
    </row>
    <row r="23335" spans="1:7" x14ac:dyDescent="0.25">
      <c r="A23335" s="69" t="s">
        <v>402</v>
      </c>
      <c r="B23335" s="72" t="str">
        <f>VLOOKUP(A23335,'[1]Componentes APUs'!$A$1:$D$14,2,0)</f>
        <v>Bota de seguridad PVC dielectrica</v>
      </c>
      <c r="C23335" s="73"/>
      <c r="D23335" s="50" t="str">
        <f>VLOOKUP(A23335,'[1]Componentes APUs'!$A$1:$D$14,3,0)</f>
        <v>Par</v>
      </c>
      <c r="E23335" s="50">
        <f>SUM(C23310:C23315)</f>
        <v>1.75</v>
      </c>
      <c r="F23335" s="51">
        <f>VLOOKUP(A23335,'[1]Componentes APUs'!$A$1:$D$14,4,0)</f>
        <v>2916.6666666666665</v>
      </c>
      <c r="G23335" s="51">
        <f>ROUNDUP(F23335*(E23335/21)/E23302,0)</f>
        <v>31</v>
      </c>
    </row>
    <row r="23336" spans="1:7" x14ac:dyDescent="0.25">
      <c r="A23336" s="50" t="s">
        <v>403</v>
      </c>
      <c r="B23336" s="72" t="str">
        <f>VLOOKUP(A23336,'[1]Componentes APUs'!$A$1:$D$14,2,0)</f>
        <v>Capuchon</v>
      </c>
      <c r="C23336" s="73"/>
      <c r="D23336" s="50" t="str">
        <f>VLOOKUP(A23336,'[1]Componentes APUs'!$A$1:$D$14,3,0)</f>
        <v>U</v>
      </c>
      <c r="E23336" s="50">
        <f>SUM(C23310:C23315)</f>
        <v>1.75</v>
      </c>
      <c r="F23336" s="51">
        <f>VLOOKUP(A23336,'[1]Componentes APUs'!$A$1:$D$14,4,0)</f>
        <v>2525.2525252525252</v>
      </c>
      <c r="G23336" s="51">
        <f>ROUNDUP(F23336*(E23336/21)/E23302,0)</f>
        <v>27</v>
      </c>
    </row>
    <row r="23337" spans="1:7" x14ac:dyDescent="0.25">
      <c r="A23337" s="69" t="s">
        <v>81</v>
      </c>
      <c r="B23337" s="72" t="str">
        <f>VLOOKUP(A23337,'[1]Componentes APUs'!$A$1:$D$14,2,0)</f>
        <v>Guantes Protectores  - ingeniero reforzados</v>
      </c>
      <c r="C23337" s="73"/>
      <c r="D23337" s="50" t="str">
        <f>VLOOKUP(A23337,'[1]Componentes APUs'!$A$1:$D$14,3,0)</f>
        <v>Par</v>
      </c>
      <c r="E23337" s="50">
        <f>C23312+C23313+C23315</f>
        <v>1</v>
      </c>
      <c r="F23337" s="51">
        <f>VLOOKUP(A23337,'[1]Componentes APUs'!$A$1:$D$14,4,0)</f>
        <v>2525.2525252525252</v>
      </c>
      <c r="G23337" s="51">
        <f>ROUNDUP(F23337*(E23337/21)/E23302,0)</f>
        <v>16</v>
      </c>
    </row>
    <row r="23338" spans="1:7" x14ac:dyDescent="0.25">
      <c r="A23338" s="50" t="s">
        <v>83</v>
      </c>
      <c r="B23338" s="72" t="str">
        <f>VLOOKUP(A23338,'[1]Componentes APUs'!$A$1:$D$14,2,0)</f>
        <v>Impermeable (pantalon camisa)</v>
      </c>
      <c r="C23338" s="73"/>
      <c r="D23338" s="50" t="str">
        <f>VLOOKUP(A23338,'[1]Componentes APUs'!$A$1:$D$14,3,0)</f>
        <v>U</v>
      </c>
      <c r="E23338" s="50">
        <f>SUM(C23310:C23315)</f>
        <v>1.75</v>
      </c>
      <c r="F23338" s="51">
        <f>VLOOKUP(A23338,'[1]Componentes APUs'!$A$1:$D$14,4,0)</f>
        <v>3750</v>
      </c>
      <c r="G23338" s="51">
        <f>ROUNDUP(F23338*(E23338/21)/E23302,0)</f>
        <v>40</v>
      </c>
    </row>
    <row r="23339" spans="1:7" x14ac:dyDescent="0.25">
      <c r="A23339" s="69" t="s">
        <v>85</v>
      </c>
      <c r="B23339" s="72" t="str">
        <f>VLOOKUP(A23339,'[1]Componentes APUs'!$A$1:$D$14,2,0)</f>
        <v>Jean Dielectrico</v>
      </c>
      <c r="C23339" s="73"/>
      <c r="D23339" s="50" t="str">
        <f>VLOOKUP(A23339,'[1]Componentes APUs'!$A$1:$D$14,3,0)</f>
        <v>U</v>
      </c>
      <c r="E23339" s="50">
        <f>SUM(C23310:C23315)</f>
        <v>1.75</v>
      </c>
      <c r="F23339" s="51">
        <f>VLOOKUP(A23339,'[1]Componentes APUs'!$A$1:$D$14,4,0)</f>
        <v>7575.757575757576</v>
      </c>
      <c r="G23339" s="51">
        <f>ROUNDUP(F23339*(E23339/21)/E23302,0)</f>
        <v>79</v>
      </c>
    </row>
    <row r="23340" spans="1:7" x14ac:dyDescent="0.25">
      <c r="A23340" s="50" t="s">
        <v>87</v>
      </c>
      <c r="B23340" s="72" t="str">
        <f>VLOOKUP(A23340,'[1]Componentes APUs'!$A$1:$D$14,2,0)</f>
        <v>Casco dielectrico Tipo 2 Clase E con barboquejo</v>
      </c>
      <c r="C23340" s="73"/>
      <c r="D23340" s="50" t="str">
        <f>VLOOKUP(A23340,'[1]Componentes APUs'!$A$1:$D$14,3,0)</f>
        <v>U</v>
      </c>
      <c r="E23340" s="53">
        <f>IF(A23312="MO-3",C23312,0)</f>
        <v>0</v>
      </c>
      <c r="F23340" s="51">
        <f>VLOOKUP(A23340,'[1]Componentes APUs'!$A$1:$D$14,4,0)</f>
        <v>7500</v>
      </c>
      <c r="G23340" s="51">
        <f>ROUNDUP(F23340*(E23340/21)/E23302,0)</f>
        <v>0</v>
      </c>
    </row>
    <row r="23341" spans="1:7" x14ac:dyDescent="0.25">
      <c r="A23341" s="69" t="s">
        <v>89</v>
      </c>
      <c r="B23341" s="72" t="str">
        <f>VLOOKUP(A23341,'[1]Componentes APUs'!$A$1:$D$14,2,0)</f>
        <v>Kit de rescate para trabajo en alturas</v>
      </c>
      <c r="C23341" s="73"/>
      <c r="D23341" s="50" t="str">
        <f>VLOOKUP(A23341,'[1]Componentes APUs'!$A$1:$D$14,3,0)</f>
        <v>U</v>
      </c>
      <c r="E23341" s="50">
        <f>IF(AND(A23312="MO-3",C23312=2),1,0)</f>
        <v>0</v>
      </c>
      <c r="F23341" s="51">
        <f>VLOOKUP(A23341,'[1]Componentes APUs'!$A$1:$D$14,4,0)</f>
        <v>37500</v>
      </c>
      <c r="G23341" s="51">
        <f>ROUNDUP(F23341*(E23341/21)/E23302,0)</f>
        <v>0</v>
      </c>
    </row>
    <row r="23342" spans="1:7" x14ac:dyDescent="0.25">
      <c r="A23342" s="50" t="s">
        <v>91</v>
      </c>
      <c r="B23342" s="72" t="str">
        <f>VLOOKUP(A23342,'[1]Componentes APUs'!$A$1:$D$14,2,0)</f>
        <v>Equipo completo para trabajo en alturas con pretales (Arnes dielectrico, 1 mosqueton de seguridad, tie off dielectrico, eslinga de posicionamiento, juego de pretales)</v>
      </c>
      <c r="C23342" s="73"/>
      <c r="D23342" s="50" t="str">
        <f>VLOOKUP(A23342,'[1]Componentes APUs'!$A$1:$D$14,3,0)</f>
        <v>U</v>
      </c>
      <c r="E23342" s="50">
        <f>IF(A23312="MO-3",C23312,0)</f>
        <v>0</v>
      </c>
      <c r="F23342" s="51">
        <f>VLOOKUP(A23342,'[1]Componentes APUs'!$A$1:$D$14,4,0)</f>
        <v>26041.666666666668</v>
      </c>
      <c r="G23342" s="51">
        <f>ROUNDUP(F23342*(E23342/21)/E23302,0)</f>
        <v>0</v>
      </c>
    </row>
    <row r="23343" spans="1:7" x14ac:dyDescent="0.25">
      <c r="A23343" s="219" t="s">
        <v>95</v>
      </c>
      <c r="B23343" s="219"/>
      <c r="C23343" s="219"/>
      <c r="D23343" s="219"/>
      <c r="E23343" s="219"/>
      <c r="F23343" s="219"/>
      <c r="G23343" s="52">
        <f>SUM(G23330:G23342)</f>
        <v>537</v>
      </c>
    </row>
    <row r="23344" spans="1:7" x14ac:dyDescent="0.25">
      <c r="A23344" s="56"/>
      <c r="B23344" s="57"/>
      <c r="C23344" s="57"/>
      <c r="D23344" s="57"/>
      <c r="E23344" s="57"/>
      <c r="F23344" s="57"/>
      <c r="G23344" s="58"/>
    </row>
    <row r="23345" spans="1:7" x14ac:dyDescent="0.25">
      <c r="A23345" s="219" t="s">
        <v>96</v>
      </c>
      <c r="B23345" s="219"/>
      <c r="C23345" s="219"/>
      <c r="D23345" s="219"/>
      <c r="E23345" s="219"/>
      <c r="F23345" s="219"/>
      <c r="G23345" s="219"/>
    </row>
    <row r="23346" spans="1:7" x14ac:dyDescent="0.25">
      <c r="A23346" s="49" t="s">
        <v>35</v>
      </c>
      <c r="B23346" s="225" t="s">
        <v>36</v>
      </c>
      <c r="C23346" s="225"/>
      <c r="D23346" s="49" t="s">
        <v>37</v>
      </c>
      <c r="E23346" s="49" t="s">
        <v>38</v>
      </c>
      <c r="F23346" s="49" t="s">
        <v>39</v>
      </c>
      <c r="G23346" s="49" t="s">
        <v>40</v>
      </c>
    </row>
    <row r="23347" spans="1:7" x14ac:dyDescent="0.25">
      <c r="A23347" s="69" t="s">
        <v>97</v>
      </c>
      <c r="B23347" s="72" t="str">
        <f>VLOOKUP(A23347,'[1]Componentes APUs'!$N$1:$Q$30,2,0)</f>
        <v>Camioneta</v>
      </c>
      <c r="C23347" s="73"/>
      <c r="D23347" s="70" t="str">
        <f>VLOOKUP(A23347,'[1]Componentes APUs'!$N$1:$Q$30,3,0)</f>
        <v>U</v>
      </c>
      <c r="E23347" s="50">
        <v>0.5</v>
      </c>
      <c r="F23347" s="51">
        <f>VLOOKUP(A23347,'[1]Componentes APUs'!$N$1:$Q$30,4,0)</f>
        <v>5500000</v>
      </c>
      <c r="G23347" s="51">
        <f>IFERROR(ROUNDUP(F23347*(E23347/21)/E23302,0),0)</f>
        <v>16370</v>
      </c>
    </row>
    <row r="23348" spans="1:7" x14ac:dyDescent="0.25">
      <c r="A23348" s="50" t="s">
        <v>321</v>
      </c>
      <c r="B23348" s="72" t="str">
        <f>VLOOKUP(A23348,'[1]Componentes APUs'!$N$1:$Q$30,2,0)</f>
        <v>Grúa Hidráulica</v>
      </c>
      <c r="C23348" s="73"/>
      <c r="D23348" s="70" t="str">
        <f>VLOOKUP(A23348,'[1]Componentes APUs'!$N$1:$Q$30,3,0)</f>
        <v>U</v>
      </c>
      <c r="E23348" s="50">
        <v>0</v>
      </c>
      <c r="F23348" s="51">
        <f>VLOOKUP(A23348,'[1]Componentes APUs'!$N$1:$Q$30,4,0)</f>
        <v>21000000</v>
      </c>
      <c r="G23348" s="51">
        <f>IFERROR(ROUNDUP(F23348*(E23348/21)/E23302,0),0)</f>
        <v>0</v>
      </c>
    </row>
    <row r="23349" spans="1:7" x14ac:dyDescent="0.25">
      <c r="A23349" s="69" t="s">
        <v>322</v>
      </c>
      <c r="B23349" s="72" t="str">
        <f>VLOOKUP(A23349,'[1]Componentes APUs'!$N$1:$Q$30,2,0)</f>
        <v>Camabaja</v>
      </c>
      <c r="C23349" s="73"/>
      <c r="D23349" s="70" t="str">
        <f>VLOOKUP(A23349,'[1]Componentes APUs'!$N$1:$Q$30,3,0)</f>
        <v>TON/KM</v>
      </c>
      <c r="E23349" s="50">
        <v>0</v>
      </c>
      <c r="F23349" s="51">
        <f>VLOOKUP(A23349,'[1]Componentes APUs'!$N$1:$Q$30,4,0)</f>
        <v>611</v>
      </c>
      <c r="G23349" s="51">
        <f>IFERROR(ROUNDUP(F23349*(E23349/21)/E23302,0),0)</f>
        <v>0</v>
      </c>
    </row>
    <row r="23350" spans="1:7" x14ac:dyDescent="0.25">
      <c r="A23350" s="50" t="s">
        <v>323</v>
      </c>
      <c r="B23350" s="72" t="str">
        <f>VLOOKUP(A23350,'[1]Componentes APUs'!$N$1:$Q$30,2,0)</f>
        <v>Volqueta</v>
      </c>
      <c r="C23350" s="73"/>
      <c r="D23350" s="70" t="str">
        <f>VLOOKUP(A23350,'[1]Componentes APUs'!$N$1:$Q$30,3,0)</f>
        <v>U</v>
      </c>
      <c r="E23350" s="50">
        <v>0</v>
      </c>
      <c r="F23350" s="51">
        <f>VLOOKUP(A23350,'[1]Componentes APUs'!$N$1:$Q$30,4,0)</f>
        <v>18900000</v>
      </c>
      <c r="G23350" s="51">
        <f>IFERROR(ROUNDUP(F23350*(E23350/21)/E23302,0),0)</f>
        <v>0</v>
      </c>
    </row>
    <row r="23351" spans="1:7" x14ac:dyDescent="0.25">
      <c r="A23351" s="69" t="s">
        <v>324</v>
      </c>
      <c r="B23351" s="72" t="str">
        <f>VLOOKUP(A23351,'[1]Componentes APUs'!$N$1:$Q$30,2,0)</f>
        <v>Retroexcavadora</v>
      </c>
      <c r="C23351" s="73"/>
      <c r="D23351" s="70" t="str">
        <f>VLOOKUP(A23351,'[1]Componentes APUs'!$N$1:$Q$30,3,0)</f>
        <v>U</v>
      </c>
      <c r="E23351" s="50">
        <v>0</v>
      </c>
      <c r="F23351" s="51">
        <f>VLOOKUP(A23351,'[1]Componentes APUs'!$N$1:$Q$30,4,0)</f>
        <v>1494459.54</v>
      </c>
      <c r="G23351" s="51">
        <f>IFERROR(ROUNDUP(F23351*(E23351/21)/E23302,0),0)</f>
        <v>0</v>
      </c>
    </row>
    <row r="23352" spans="1:7" x14ac:dyDescent="0.25">
      <c r="A23352" s="69" t="s">
        <v>1343</v>
      </c>
      <c r="B23352" s="72" t="str">
        <f>VLOOKUP(A23352,'[1]Componentes APUs'!$N$1:$Q$30,2,0)</f>
        <v>Miniretroexcavadora</v>
      </c>
      <c r="C23352" s="73"/>
      <c r="D23352" s="70" t="str">
        <f>VLOOKUP(A23352,'[1]Componentes APUs'!$N$1:$Q$30,3,0)</f>
        <v>M3</v>
      </c>
      <c r="E23352" s="50">
        <v>0</v>
      </c>
      <c r="F23352" s="51">
        <f>VLOOKUP(A23352,'[1]Componentes APUs'!$N$1:$Q$30,4,0)</f>
        <v>70000</v>
      </c>
      <c r="G23352" s="51">
        <f>IFERROR(ROUNDUP(F23352*(E23352/21)/E23302,0),0)</f>
        <v>0</v>
      </c>
    </row>
    <row r="23353" spans="1:7" x14ac:dyDescent="0.25">
      <c r="A23353" s="219" t="s">
        <v>99</v>
      </c>
      <c r="B23353" s="219"/>
      <c r="C23353" s="219"/>
      <c r="D23353" s="219"/>
      <c r="E23353" s="219"/>
      <c r="F23353" s="219"/>
      <c r="G23353" s="52">
        <f>SUM(G23347:G23351)</f>
        <v>16370</v>
      </c>
    </row>
    <row r="23354" spans="1:7" x14ac:dyDescent="0.25">
      <c r="A23354" s="56"/>
      <c r="B23354" s="57"/>
      <c r="C23354" s="57"/>
      <c r="D23354" s="57"/>
      <c r="E23354" s="57"/>
      <c r="F23354" s="57"/>
      <c r="G23354" s="58"/>
    </row>
    <row r="23355" spans="1:7" x14ac:dyDescent="0.25">
      <c r="A23355" s="219" t="s">
        <v>1516</v>
      </c>
      <c r="B23355" s="219"/>
      <c r="C23355" s="219"/>
      <c r="D23355" s="219"/>
      <c r="E23355" s="219"/>
      <c r="F23355" s="219"/>
      <c r="G23355" s="52">
        <f>G23353+G23343+G23326+G23316+G23306</f>
        <v>63099</v>
      </c>
    </row>
    <row r="23356" spans="1:7" x14ac:dyDescent="0.25">
      <c r="A23356" s="59"/>
      <c r="B23356" s="60"/>
      <c r="C23356" s="60"/>
      <c r="D23356" s="60"/>
      <c r="E23356" s="57"/>
      <c r="F23356" s="57"/>
      <c r="G23356" s="58"/>
    </row>
    <row r="23357" spans="1:7" x14ac:dyDescent="0.25">
      <c r="A23357" s="64"/>
      <c r="D23357" s="55"/>
      <c r="E23357" s="49" t="s">
        <v>25</v>
      </c>
      <c r="F23357" s="54">
        <v>0.15</v>
      </c>
      <c r="G23357" s="51">
        <f>G23355*F23357</f>
        <v>9464.85</v>
      </c>
    </row>
    <row r="23358" spans="1:7" x14ac:dyDescent="0.25">
      <c r="A23358" s="64"/>
      <c r="D23358" s="55"/>
      <c r="E23358" s="49" t="s">
        <v>26</v>
      </c>
      <c r="F23358" s="54">
        <v>0.05</v>
      </c>
      <c r="G23358" s="51">
        <f>G23355*F23358</f>
        <v>3154.9500000000003</v>
      </c>
    </row>
    <row r="23359" spans="1:7" x14ac:dyDescent="0.25">
      <c r="A23359" s="61"/>
      <c r="B23359" s="65"/>
      <c r="C23359" s="65"/>
      <c r="D23359" s="62"/>
      <c r="E23359" s="49" t="s">
        <v>27</v>
      </c>
      <c r="F23359" s="54">
        <v>0.05</v>
      </c>
      <c r="G23359" s="51">
        <f>G23355*F23359</f>
        <v>3154.9500000000003</v>
      </c>
    </row>
    <row r="23360" spans="1:7" x14ac:dyDescent="0.25">
      <c r="A23360" s="61"/>
      <c r="B23360" s="62"/>
      <c r="C23360" s="62"/>
      <c r="D23360" s="62"/>
      <c r="E23360" s="62"/>
      <c r="F23360" s="62"/>
      <c r="G23360" s="63"/>
    </row>
    <row r="23361" spans="1:7" x14ac:dyDescent="0.25">
      <c r="A23361" s="219" t="s">
        <v>1517</v>
      </c>
      <c r="B23361" s="219"/>
      <c r="C23361" s="219"/>
      <c r="D23361" s="219"/>
      <c r="E23361" s="219"/>
      <c r="F23361" s="219"/>
      <c r="G23361" s="52">
        <f>G23355+G23357+G23358+G23359</f>
        <v>78873.75</v>
      </c>
    </row>
    <row r="23362" spans="1:7" x14ac:dyDescent="0.25">
      <c r="A23362" s="59"/>
      <c r="B23362" s="60"/>
      <c r="C23362" s="60"/>
      <c r="D23362" s="60"/>
      <c r="E23362" s="57"/>
      <c r="F23362" s="57"/>
      <c r="G23362" s="58"/>
    </row>
    <row r="23363" spans="1:7" x14ac:dyDescent="0.25">
      <c r="A23363" s="64"/>
      <c r="D23363" s="55"/>
      <c r="E23363" s="49" t="s">
        <v>102</v>
      </c>
      <c r="F23363" s="49" t="s">
        <v>103</v>
      </c>
      <c r="G23363" s="51">
        <f>G23359*19%</f>
        <v>599.44050000000004</v>
      </c>
    </row>
    <row r="23364" spans="1:7" x14ac:dyDescent="0.25">
      <c r="A23364" s="61"/>
      <c r="B23364" s="62"/>
      <c r="C23364" s="62"/>
      <c r="D23364" s="62"/>
      <c r="E23364" s="57"/>
      <c r="F23364" s="57"/>
      <c r="G23364" s="58"/>
    </row>
    <row r="23365" spans="1:7" x14ac:dyDescent="0.25">
      <c r="A23365" s="219" t="s">
        <v>104</v>
      </c>
      <c r="B23365" s="219"/>
      <c r="C23365" s="219"/>
      <c r="D23365" s="219"/>
      <c r="E23365" s="219"/>
      <c r="F23365" s="219"/>
      <c r="G23365" s="52">
        <f>G23363+G23361</f>
        <v>79473.190499999997</v>
      </c>
    </row>
    <row r="23367" spans="1:7" x14ac:dyDescent="0.25">
      <c r="A23367" s="74" t="s">
        <v>29</v>
      </c>
      <c r="B23367" s="237" t="s">
        <v>30</v>
      </c>
      <c r="C23367" s="238"/>
      <c r="D23367" s="74" t="s">
        <v>31</v>
      </c>
      <c r="E23367" s="74" t="s">
        <v>32</v>
      </c>
      <c r="F23367" s="74" t="s">
        <v>189</v>
      </c>
      <c r="G23367" s="74" t="s">
        <v>33</v>
      </c>
    </row>
    <row r="23368" spans="1:7" ht="25.5" customHeight="1" x14ac:dyDescent="0.25">
      <c r="A23368" s="50" t="str">
        <f>Presupuesto!B443</f>
        <v>101_AUX</v>
      </c>
      <c r="B23368" s="220" t="str">
        <f>Presupuesto!C443</f>
        <v>SUMINISTRO E INSTALACIÓN DE PUNTAS FRANKLIN DE 1 METRO. INCLUYE LA BASE (CASETA)</v>
      </c>
      <c r="C23368" s="239"/>
      <c r="D23368" s="50" t="s">
        <v>8</v>
      </c>
      <c r="E23368" s="50">
        <v>8</v>
      </c>
      <c r="F23368" s="50"/>
      <c r="G23368" s="51">
        <f>G23436</f>
        <v>382040.35649999994</v>
      </c>
    </row>
    <row r="23369" spans="1:7" x14ac:dyDescent="0.25">
      <c r="A23369" s="234"/>
      <c r="B23369" s="236"/>
      <c r="C23369" s="236"/>
      <c r="D23369" s="236"/>
      <c r="E23369" s="236"/>
      <c r="F23369" s="236"/>
      <c r="G23369" s="235"/>
    </row>
    <row r="23370" spans="1:7" x14ac:dyDescent="0.25">
      <c r="A23370" s="49" t="s">
        <v>35</v>
      </c>
      <c r="B23370" s="234" t="s">
        <v>36</v>
      </c>
      <c r="C23370" s="235"/>
      <c r="D23370" s="49" t="s">
        <v>37</v>
      </c>
      <c r="E23370" s="49" t="s">
        <v>38</v>
      </c>
      <c r="F23370" s="49" t="s">
        <v>39</v>
      </c>
      <c r="G23370" s="49" t="s">
        <v>40</v>
      </c>
    </row>
    <row r="23371" spans="1:7" x14ac:dyDescent="0.25">
      <c r="A23371" s="17" t="str">
        <f>Material!A175</f>
        <v>MA-174</v>
      </c>
      <c r="B23371" s="72" t="str">
        <f>IFERROR(VLOOKUP(A23371,Material!$A:$J,2,0),"-")</f>
        <v>PUNTA FRANKLIN 1 METRO LIBRE</v>
      </c>
      <c r="C23371" s="76"/>
      <c r="D23371" s="50" t="str">
        <f>IFERROR(VLOOKUP(A23371,Material!$A:$J,4,0),"-")</f>
        <v>UN</v>
      </c>
      <c r="E23371" s="50">
        <v>1</v>
      </c>
      <c r="F23371" s="51">
        <f>IFERROR(VLOOKUP(A23371,Material!$A:$J,3,0),"-")</f>
        <v>138385</v>
      </c>
      <c r="G23371" s="51">
        <f t="shared" ref="G23371:G23377" si="336">IFERROR(ROUNDUP(F23371*E23371,0),"-")</f>
        <v>138385</v>
      </c>
    </row>
    <row r="23372" spans="1:7" x14ac:dyDescent="0.25">
      <c r="A23372" s="17" t="str">
        <f>Material!A179</f>
        <v>MA-178</v>
      </c>
      <c r="B23372" s="72" t="str">
        <f>IFERROR(VLOOKUP(A23372,Material!$A:$J,2,0),"-")</f>
        <v>BASE METALICA PARA PUNTA CAPTADORA ALUMINIO REDONDA</v>
      </c>
      <c r="C23372" s="76"/>
      <c r="D23372" s="50" t="str">
        <f>IFERROR(VLOOKUP(A23372,Material!$A:$J,4,0),"-")</f>
        <v>UN</v>
      </c>
      <c r="E23372" s="50">
        <v>1</v>
      </c>
      <c r="F23372" s="51">
        <f>IFERROR(VLOOKUP(A23372,Material!$A:$J,3,0),"-")</f>
        <v>46215</v>
      </c>
      <c r="G23372" s="51">
        <f t="shared" si="336"/>
        <v>46215</v>
      </c>
    </row>
    <row r="23373" spans="1:7" x14ac:dyDescent="0.25">
      <c r="A23373" s="17"/>
      <c r="B23373" s="72" t="str">
        <f>IFERROR(VLOOKUP(A23373,Material!$A:$J,2,0),"-")</f>
        <v>-</v>
      </c>
      <c r="C23373" s="76"/>
      <c r="D23373" s="50" t="str">
        <f>IFERROR(VLOOKUP(A23373,Material!$A:$J,4,0),"-")</f>
        <v>-</v>
      </c>
      <c r="E23373" s="50"/>
      <c r="F23373" s="51" t="str">
        <f>IFERROR(VLOOKUP(A23373,Material!$A:$J,3,0),"-")</f>
        <v>-</v>
      </c>
      <c r="G23373" s="51" t="str">
        <f t="shared" si="336"/>
        <v>-</v>
      </c>
    </row>
    <row r="23374" spans="1:7" x14ac:dyDescent="0.25">
      <c r="A23374" s="17"/>
      <c r="B23374" s="72" t="str">
        <f>IFERROR(VLOOKUP(A23374,Material!$A:$J,2,0),"-")</f>
        <v>-</v>
      </c>
      <c r="C23374" s="76"/>
      <c r="D23374" s="50" t="str">
        <f>IFERROR(VLOOKUP(A23374,Material!$A:$J,4,0),"-")</f>
        <v>-</v>
      </c>
      <c r="E23374" s="50"/>
      <c r="F23374" s="51" t="str">
        <f>IFERROR(VLOOKUP(A23374,Material!$A:$J,3,0),"-")</f>
        <v>-</v>
      </c>
      <c r="G23374" s="51" t="str">
        <f t="shared" si="336"/>
        <v>-</v>
      </c>
    </row>
    <row r="23375" spans="1:7" x14ac:dyDescent="0.25">
      <c r="A23375" s="17"/>
      <c r="B23375" s="72" t="str">
        <f>IFERROR(VLOOKUP(A23375,Material!$A:$J,2,0),"-")</f>
        <v>-</v>
      </c>
      <c r="C23375" s="76"/>
      <c r="D23375" s="50" t="str">
        <f>IFERROR(VLOOKUP(A23375,Material!$A:$J,4,0),"-")</f>
        <v>-</v>
      </c>
      <c r="E23375" s="50"/>
      <c r="F23375" s="51" t="str">
        <f>IFERROR(VLOOKUP(A23375,Material!$A:$J,3,0),"-")</f>
        <v>-</v>
      </c>
      <c r="G23375" s="51" t="str">
        <f t="shared" si="336"/>
        <v>-</v>
      </c>
    </row>
    <row r="23376" spans="1:7" x14ac:dyDescent="0.25">
      <c r="A23376" s="17"/>
      <c r="B23376" s="72" t="str">
        <f>IFERROR(VLOOKUP(A23376,Material!$A:$J,2,0),"-")</f>
        <v>-</v>
      </c>
      <c r="C23376" s="76"/>
      <c r="D23376" s="50" t="str">
        <f>IFERROR(VLOOKUP(A23376,Material!$A:$J,4,0),"-")</f>
        <v>-</v>
      </c>
      <c r="E23376" s="50"/>
      <c r="F23376" s="51" t="str">
        <f>IFERROR(VLOOKUP(A23376,Material!$A:$J,3,0),"-")</f>
        <v>-</v>
      </c>
      <c r="G23376" s="51" t="str">
        <f t="shared" si="336"/>
        <v>-</v>
      </c>
    </row>
    <row r="23377" spans="1:7" x14ac:dyDescent="0.25">
      <c r="A23377" s="17"/>
      <c r="B23377" s="72" t="str">
        <f>IFERROR(VLOOKUP(A23377,Material!$A:$J,2,0),"-")</f>
        <v>-</v>
      </c>
      <c r="C23377" s="76"/>
      <c r="D23377" s="50" t="str">
        <f>IFERROR(VLOOKUP(A23377,Material!$A:$J,4,0),"-")</f>
        <v>-</v>
      </c>
      <c r="E23377" s="50"/>
      <c r="F23377" s="51" t="str">
        <f>IFERROR(VLOOKUP(A23377,Material!$A:$J,3,0),"-")</f>
        <v>-</v>
      </c>
      <c r="G23377" s="51" t="str">
        <f t="shared" si="336"/>
        <v>-</v>
      </c>
    </row>
    <row r="23378" spans="1:7" x14ac:dyDescent="0.25">
      <c r="A23378" s="234" t="s">
        <v>41</v>
      </c>
      <c r="B23378" s="236"/>
      <c r="C23378" s="236"/>
      <c r="D23378" s="236"/>
      <c r="E23378" s="236"/>
      <c r="F23378" s="235"/>
      <c r="G23378" s="52">
        <f>SUM(G23371:G23377)</f>
        <v>184600</v>
      </c>
    </row>
    <row r="23379" spans="1:7" x14ac:dyDescent="0.25">
      <c r="A23379" s="56"/>
      <c r="B23379" s="57"/>
      <c r="C23379" s="57"/>
      <c r="D23379" s="57"/>
      <c r="E23379" s="57"/>
      <c r="F23379" s="57"/>
      <c r="G23379" s="58"/>
    </row>
    <row r="23380" spans="1:7" x14ac:dyDescent="0.25">
      <c r="A23380" s="219" t="s">
        <v>42</v>
      </c>
      <c r="B23380" s="219"/>
      <c r="C23380" s="219"/>
      <c r="D23380" s="219"/>
      <c r="E23380" s="219"/>
      <c r="F23380" s="219"/>
      <c r="G23380" s="219"/>
    </row>
    <row r="23381" spans="1:7" x14ac:dyDescent="0.25">
      <c r="A23381" s="49" t="s">
        <v>35</v>
      </c>
      <c r="B23381" s="49" t="s">
        <v>36</v>
      </c>
      <c r="C23381" s="49" t="s">
        <v>38</v>
      </c>
      <c r="D23381" s="49" t="s">
        <v>43</v>
      </c>
      <c r="E23381" s="49" t="s">
        <v>44</v>
      </c>
      <c r="F23381" s="49" t="s">
        <v>45</v>
      </c>
      <c r="G23381" s="49" t="s">
        <v>40</v>
      </c>
    </row>
    <row r="23382" spans="1:7" x14ac:dyDescent="0.25">
      <c r="A23382" s="50" t="s">
        <v>319</v>
      </c>
      <c r="B23382" s="68" t="str">
        <f>VLOOKUP(A23382,'[1]Componentes APUs'!$H$1:$L$25,2,0)</f>
        <v>Ingeniero Residente de Obra</v>
      </c>
      <c r="C23382" s="93">
        <v>0.25</v>
      </c>
      <c r="D23382" s="50">
        <f>VLOOKUP(A23382,'[1]Componentes APUs'!$H$1:$L$25,3,0)</f>
        <v>4</v>
      </c>
      <c r="E23382" s="51">
        <f>VLOOKUP(A23382,'[1]Componentes APUs'!$H$1:$L$25,4,0)</f>
        <v>271142.85714285716</v>
      </c>
      <c r="F23382" s="51">
        <f>VLOOKUP(A23382,'[1]Componentes APUs'!$H$1:$L$25,5,0)</f>
        <v>162685.71428571429</v>
      </c>
      <c r="G23382" s="51">
        <f>ROUNDUP((E23382+F23382)*C23382/E23368,0)</f>
        <v>13558</v>
      </c>
    </row>
    <row r="23383" spans="1:7" x14ac:dyDescent="0.25">
      <c r="A23383" s="50" t="s">
        <v>320</v>
      </c>
      <c r="B23383" s="68" t="str">
        <f>VLOOKUP(A23383,'[1]Componentes APUs'!$H$1:$L$25,2,0)</f>
        <v>Tecnico Supervisor</v>
      </c>
      <c r="C23383" s="93">
        <v>0.25</v>
      </c>
      <c r="D23383" s="50">
        <f>VLOOKUP(A23383,'[1]Componentes APUs'!$H$1:$L$25,3,0)</f>
        <v>2.2999999999999998</v>
      </c>
      <c r="E23383" s="51">
        <f>VLOOKUP(A23383,'[1]Componentes APUs'!$H$1:$L$25,4,0)</f>
        <v>155907.14285714284</v>
      </c>
      <c r="F23383" s="51">
        <f>VLOOKUP(A23383,'[1]Componentes APUs'!$H$1:$L$25,5,0)</f>
        <v>93544.285714285696</v>
      </c>
      <c r="G23383" s="51">
        <f>ROUNDUP((E23383+F23383)*C23383/E23368,0)</f>
        <v>7796</v>
      </c>
    </row>
    <row r="23384" spans="1:7" x14ac:dyDescent="0.25">
      <c r="A23384" s="50" t="s">
        <v>46</v>
      </c>
      <c r="B23384" s="68" t="str">
        <f>VLOOKUP(A23384,'[1]Componentes APUs'!$H$1:$L$25,2,0)</f>
        <v>Tecnico Liniero</v>
      </c>
      <c r="C23384" s="93">
        <v>1</v>
      </c>
      <c r="D23384" s="50">
        <f>VLOOKUP(A23384,'[1]Componentes APUs'!$H$1:$L$25,3,0)</f>
        <v>2</v>
      </c>
      <c r="E23384" s="51">
        <f>VLOOKUP(A23384,'[1]Componentes APUs'!$H$1:$L$25,4,0)</f>
        <v>154619.04761904763</v>
      </c>
      <c r="F23384" s="51">
        <f>VLOOKUP(A23384,'[1]Componentes APUs'!$H$1:$L$25,5,0)</f>
        <v>92771.42857142858</v>
      </c>
      <c r="G23384" s="51">
        <f>ROUNDUP((E23384+F23384)*C23384/E23368,0)</f>
        <v>30924</v>
      </c>
    </row>
    <row r="23385" spans="1:7" x14ac:dyDescent="0.25">
      <c r="A23385" s="50" t="s">
        <v>48</v>
      </c>
      <c r="B23385" s="68" t="str">
        <f>VLOOKUP(A23385,'[1]Componentes APUs'!$H$1:$L$25,2,0)</f>
        <v>Ayudante Calificado</v>
      </c>
      <c r="C23385" s="93">
        <v>1</v>
      </c>
      <c r="D23385" s="50">
        <f>VLOOKUP(A23385,'[1]Componentes APUs'!$H$1:$L$25,3,0)</f>
        <v>1.5</v>
      </c>
      <c r="E23385" s="51">
        <f>VLOOKUP(A23385,'[1]Componentes APUs'!$H$1:$L$25,4,0)</f>
        <v>115964.28571428571</v>
      </c>
      <c r="F23385" s="51">
        <f>VLOOKUP(A23385,'[1]Componentes APUs'!$H$1:$L$25,5,0)</f>
        <v>69578.57142857142</v>
      </c>
      <c r="G23385" s="51">
        <f>ROUNDUP((E23385+F23385)*C23385/E23368,0)</f>
        <v>23193</v>
      </c>
    </row>
    <row r="23386" spans="1:7" x14ac:dyDescent="0.25">
      <c r="A23386" s="50" t="s">
        <v>50</v>
      </c>
      <c r="B23386" s="68" t="str">
        <f>VLOOKUP(A23386,'[1]Componentes APUs'!$H$1:$L$25,2,0)</f>
        <v>Profesional en SST</v>
      </c>
      <c r="C23386" s="93">
        <v>0.25</v>
      </c>
      <c r="D23386" s="50">
        <f>VLOOKUP(A23386,'[1]Componentes APUs'!$H$1:$L$25,3,0)</f>
        <v>2.5</v>
      </c>
      <c r="E23386" s="51">
        <f>VLOOKUP(A23386,'[1]Componentes APUs'!$H$1:$L$25,4,0)</f>
        <v>169464.28571428571</v>
      </c>
      <c r="F23386" s="51">
        <f>VLOOKUP(A23386,'[1]Componentes APUs'!$H$1:$L$25,5,0)</f>
        <v>101678.57142857142</v>
      </c>
      <c r="G23386" s="51">
        <f>ROUNDUP((E23386+F23386)*C23386/E23368,0)</f>
        <v>8474</v>
      </c>
    </row>
    <row r="23387" spans="1:7" x14ac:dyDescent="0.25">
      <c r="A23387" s="50" t="s">
        <v>52</v>
      </c>
      <c r="B23387" s="68" t="str">
        <f>VLOOKUP(A23387,'[1]Componentes APUs'!$H$1:$L$25,2,0)</f>
        <v>Ayudante No Calificado</v>
      </c>
      <c r="C23387" s="93">
        <v>0</v>
      </c>
      <c r="D23387" s="50">
        <f>VLOOKUP(A23387,'[1]Componentes APUs'!$H$1:$L$25,3,0)</f>
        <v>1</v>
      </c>
      <c r="E23387" s="51">
        <f>VLOOKUP(A23387,'[1]Componentes APUs'!$H$1:$L$25,4,0)</f>
        <v>77309.523809523816</v>
      </c>
      <c r="F23387" s="51">
        <f>VLOOKUP(A23387,'[1]Componentes APUs'!$H$1:$L$25,5,0)</f>
        <v>46385.71428571429</v>
      </c>
      <c r="G23387" s="51">
        <f>ROUNDUP((E23387+F23387)*C23387/E23368,0)</f>
        <v>0</v>
      </c>
    </row>
    <row r="23388" spans="1:7" x14ac:dyDescent="0.25">
      <c r="A23388" s="219" t="s">
        <v>56</v>
      </c>
      <c r="B23388" s="219"/>
      <c r="C23388" s="219"/>
      <c r="D23388" s="219"/>
      <c r="E23388" s="219"/>
      <c r="F23388" s="219"/>
      <c r="G23388" s="52">
        <f>SUM(G23382:G23387)</f>
        <v>83945</v>
      </c>
    </row>
    <row r="23389" spans="1:7" x14ac:dyDescent="0.25">
      <c r="A23389" s="56"/>
      <c r="B23389" s="57"/>
      <c r="C23389" s="57"/>
      <c r="D23389" s="57"/>
      <c r="E23389" s="57"/>
      <c r="F23389" s="57"/>
      <c r="G23389" s="58"/>
    </row>
    <row r="23390" spans="1:7" x14ac:dyDescent="0.25">
      <c r="A23390" s="219" t="s">
        <v>57</v>
      </c>
      <c r="B23390" s="219"/>
      <c r="C23390" s="219"/>
      <c r="D23390" s="219"/>
      <c r="E23390" s="219"/>
      <c r="F23390" s="219"/>
      <c r="G23390" s="219"/>
    </row>
    <row r="23391" spans="1:7" x14ac:dyDescent="0.25">
      <c r="A23391" s="49" t="s">
        <v>35</v>
      </c>
      <c r="B23391" s="219" t="s">
        <v>36</v>
      </c>
      <c r="C23391" s="219"/>
      <c r="D23391" s="49" t="s">
        <v>37</v>
      </c>
      <c r="E23391" s="49" t="s">
        <v>38</v>
      </c>
      <c r="F23391" s="49" t="s">
        <v>39</v>
      </c>
      <c r="G23391" s="49" t="s">
        <v>40</v>
      </c>
    </row>
    <row r="23392" spans="1:7" x14ac:dyDescent="0.25">
      <c r="A23392" s="50" t="s">
        <v>326</v>
      </c>
      <c r="B23392" s="220" t="str">
        <f>VLOOKUP(A23392,'[1]Componentes APUs'!$S$1:$V$10,2,0)</f>
        <v>Juego Llaves</v>
      </c>
      <c r="C23392" s="220"/>
      <c r="D23392" s="50" t="s">
        <v>18</v>
      </c>
      <c r="E23392" s="50">
        <v>2</v>
      </c>
      <c r="F23392" s="51">
        <f>VLOOKUP(A23392,'[1]Componentes APUs'!$S$1:$V$10,4,0)</f>
        <v>9167</v>
      </c>
      <c r="G23392" s="51">
        <f>ROUNDUP(F23392*((E23392/21)/E23368),0)</f>
        <v>110</v>
      </c>
    </row>
    <row r="23393" spans="1:7" x14ac:dyDescent="0.25">
      <c r="A23393" s="50" t="s">
        <v>58</v>
      </c>
      <c r="B23393" s="220" t="str">
        <f>VLOOKUP(A23393,'[1]Componentes APUs'!$S$1:$V$10,2,0)</f>
        <v>Manila de servicio</v>
      </c>
      <c r="C23393" s="220"/>
      <c r="D23393" s="50" t="s">
        <v>18</v>
      </c>
      <c r="E23393" s="50">
        <v>2</v>
      </c>
      <c r="F23393" s="51">
        <f>VLOOKUP(A23393,'[1]Componentes APUs'!$S$1:$V$10,4,0)</f>
        <v>2333</v>
      </c>
      <c r="G23393" s="51">
        <f>ROUNDUP(F23393*((E23393/21)/E23368),0)</f>
        <v>28</v>
      </c>
    </row>
    <row r="23394" spans="1:7" x14ac:dyDescent="0.25">
      <c r="A23394" s="50" t="s">
        <v>327</v>
      </c>
      <c r="B23394" s="220" t="str">
        <f>VLOOKUP(A23394,'[1]Componentes APUs'!$S$1:$V$10,2,0)</f>
        <v>Tula portaherramientas</v>
      </c>
      <c r="C23394" s="220"/>
      <c r="D23394" s="50" t="s">
        <v>18</v>
      </c>
      <c r="E23394" s="50">
        <v>2</v>
      </c>
      <c r="F23394" s="51">
        <f>VLOOKUP(A23394,'[1]Componentes APUs'!$S$1:$V$10,4,0)</f>
        <v>1250</v>
      </c>
      <c r="G23394" s="51">
        <f>ROUNDUP(F23394*((E23394/21)/E23368),0)</f>
        <v>15</v>
      </c>
    </row>
    <row r="23395" spans="1:7" x14ac:dyDescent="0.25">
      <c r="A23395" s="50" t="s">
        <v>60</v>
      </c>
      <c r="B23395" s="220" t="str">
        <f>VLOOKUP(A23395,'[1]Componentes APUs'!$S$1:$V$10,2,0)</f>
        <v>Agarradoras</v>
      </c>
      <c r="C23395" s="220"/>
      <c r="D23395" s="50" t="s">
        <v>18</v>
      </c>
      <c r="E23395" s="50">
        <v>0</v>
      </c>
      <c r="F23395" s="51">
        <f>VLOOKUP(A23395,'[1]Componentes APUs'!$S$1:$V$10,4,0)</f>
        <v>125000</v>
      </c>
      <c r="G23395" s="51">
        <f>ROUNDUP(F23395*((E23395/21)/E23368),0)</f>
        <v>0</v>
      </c>
    </row>
    <row r="23396" spans="1:7" x14ac:dyDescent="0.25">
      <c r="A23396" s="50" t="s">
        <v>62</v>
      </c>
      <c r="B23396" s="220" t="str">
        <f>VLOOKUP(A23396,'[1]Componentes APUs'!$S$1:$V$10,2,0)</f>
        <v>Templadoras</v>
      </c>
      <c r="C23396" s="220"/>
      <c r="D23396" s="50" t="s">
        <v>18</v>
      </c>
      <c r="E23396" s="50">
        <v>0</v>
      </c>
      <c r="F23396" s="51">
        <f>VLOOKUP(A23396,'[1]Componentes APUs'!$S$1:$V$10,4,0)</f>
        <v>250000</v>
      </c>
      <c r="G23396" s="51">
        <f>ROUNDUP(F23396*((E23396/21)/E23368),0)</f>
        <v>0</v>
      </c>
    </row>
    <row r="23397" spans="1:7" x14ac:dyDescent="0.25">
      <c r="A23397" s="50" t="s">
        <v>328</v>
      </c>
      <c r="B23397" s="220" t="str">
        <f>VLOOKUP(A23397,'[1]Componentes APUs'!$S$1:$V$10,2,0)</f>
        <v>Herramienta Menor</v>
      </c>
      <c r="C23397" s="220"/>
      <c r="D23397" s="50" t="s">
        <v>18</v>
      </c>
      <c r="E23397" s="50">
        <v>2</v>
      </c>
      <c r="F23397" s="51">
        <f>VLOOKUP(A23397,'[1]Componentes APUs'!$S$1:$V$10,4,0)</f>
        <v>75758</v>
      </c>
      <c r="G23397" s="51">
        <f>ROUNDUP(F23397*((E23397/21)/E23368),0)</f>
        <v>902</v>
      </c>
    </row>
    <row r="23398" spans="1:7" x14ac:dyDescent="0.25">
      <c r="A23398" s="219" t="s">
        <v>69</v>
      </c>
      <c r="B23398" s="219"/>
      <c r="C23398" s="219"/>
      <c r="D23398" s="219"/>
      <c r="E23398" s="219"/>
      <c r="F23398" s="219"/>
      <c r="G23398" s="52">
        <f>SUM(G23392:G23397)</f>
        <v>1055</v>
      </c>
    </row>
    <row r="23399" spans="1:7" x14ac:dyDescent="0.25">
      <c r="A23399" s="56"/>
      <c r="B23399" s="57"/>
      <c r="C23399" s="57"/>
      <c r="D23399" s="57"/>
      <c r="E23399" s="57"/>
      <c r="F23399" s="57"/>
      <c r="G23399" s="58"/>
    </row>
    <row r="23400" spans="1:7" x14ac:dyDescent="0.25">
      <c r="A23400" s="219" t="s">
        <v>70</v>
      </c>
      <c r="B23400" s="219"/>
      <c r="C23400" s="219"/>
      <c r="D23400" s="219"/>
      <c r="E23400" s="219"/>
      <c r="F23400" s="219"/>
      <c r="G23400" s="219"/>
    </row>
    <row r="23401" spans="1:7" x14ac:dyDescent="0.25">
      <c r="A23401" s="49" t="s">
        <v>35</v>
      </c>
      <c r="B23401" s="219" t="s">
        <v>36</v>
      </c>
      <c r="C23401" s="219"/>
      <c r="D23401" s="49" t="s">
        <v>37</v>
      </c>
      <c r="E23401" s="49" t="s">
        <v>38</v>
      </c>
      <c r="F23401" s="49" t="s">
        <v>39</v>
      </c>
      <c r="G23401" s="49" t="s">
        <v>40</v>
      </c>
    </row>
    <row r="23402" spans="1:7" x14ac:dyDescent="0.25">
      <c r="A23402" s="50" t="s">
        <v>71</v>
      </c>
      <c r="B23402" s="71" t="str">
        <f>VLOOKUP(A23402,'[1]Componentes APUs'!$A$1:$D$14,2,0)</f>
        <v>Camisa indigo sin partes metalicas</v>
      </c>
      <c r="C23402" s="71"/>
      <c r="D23402" s="50" t="str">
        <f>VLOOKUP(A23402,'[1]Componentes APUs'!$A$1:$D$14,3,0)</f>
        <v>U</v>
      </c>
      <c r="E23402" s="50">
        <f>SUM(C23382:C23387)</f>
        <v>2.75</v>
      </c>
      <c r="F23402" s="51">
        <f>VLOOKUP(A23402,'[1]Componentes APUs'!$A$1:$D$14,4,0)</f>
        <v>8585.8585858585866</v>
      </c>
      <c r="G23402" s="51">
        <f>ROUNDUP(F23402*(E23402/21)/E23368,0)</f>
        <v>141</v>
      </c>
    </row>
    <row r="23403" spans="1:7" x14ac:dyDescent="0.25">
      <c r="A23403" s="69" t="s">
        <v>73</v>
      </c>
      <c r="B23403" s="72" t="str">
        <f>VLOOKUP(A23403,'[1]Componentes APUs'!$A$1:$D$14,2,0)</f>
        <v>Bota de seguridad dielectrica</v>
      </c>
      <c r="C23403" s="73"/>
      <c r="D23403" s="70" t="str">
        <f>VLOOKUP(A23403,'[1]Componentes APUs'!$A$1:$D$14,3,0)</f>
        <v>Par</v>
      </c>
      <c r="E23403" s="50">
        <f>SUM(C23382:C23387)</f>
        <v>2.75</v>
      </c>
      <c r="F23403" s="51">
        <f>VLOOKUP(A23403,'[1]Componentes APUs'!$A$1:$D$14,4,0)</f>
        <v>7500</v>
      </c>
      <c r="G23403" s="51">
        <f>ROUNDUP(F23403*(E23403/21)/E23368,0)</f>
        <v>123</v>
      </c>
    </row>
    <row r="23404" spans="1:7" x14ac:dyDescent="0.25">
      <c r="A23404" s="50" t="s">
        <v>76</v>
      </c>
      <c r="B23404" s="72" t="str">
        <f>VLOOKUP(A23404,'[1]Componentes APUs'!$A$1:$D$14,2,0)</f>
        <v>Casco dielectrico Tipo 1 Clase E con barbuquejo</v>
      </c>
      <c r="C23404" s="73"/>
      <c r="D23404" s="50" t="str">
        <f>VLOOKUP(A23404,'[1]Componentes APUs'!$A$1:$D$14,3,0)</f>
        <v>U</v>
      </c>
      <c r="E23404" s="50">
        <f>C23387+C23382+C23385+C23386+C23383+IF(A23384&lt;&gt;"MO-3",C23384,0)</f>
        <v>1.75</v>
      </c>
      <c r="F23404" s="51">
        <f>VLOOKUP(A23404,'[1]Componentes APUs'!$A$1:$D$14,4,0)</f>
        <v>10101.010101010101</v>
      </c>
      <c r="G23404" s="51">
        <f>ROUNDUP(F23404*(E23404/21)/E23368,0)</f>
        <v>106</v>
      </c>
    </row>
    <row r="23405" spans="1:7" x14ac:dyDescent="0.25">
      <c r="A23405" s="69" t="s">
        <v>77</v>
      </c>
      <c r="B23405" s="72" t="str">
        <f>VLOOKUP(A23405,'[1]Componentes APUs'!$A$1:$D$14,2,0)</f>
        <v>Correa plastica y antiflama</v>
      </c>
      <c r="C23405" s="73"/>
      <c r="D23405" s="50" t="str">
        <f>VLOOKUP(A23405,'[1]Componentes APUs'!$A$1:$D$14,3,0)</f>
        <v>U</v>
      </c>
      <c r="E23405" s="50">
        <f>SUM(C23382:C23387)</f>
        <v>2.75</v>
      </c>
      <c r="F23405" s="51">
        <f>VLOOKUP(A23405,'[1]Componentes APUs'!$A$1:$D$14,4,0)</f>
        <v>3787.878787878788</v>
      </c>
      <c r="G23405" s="51">
        <f>ROUNDUP(F23405*(E23405/21)/E23368,0)</f>
        <v>63</v>
      </c>
    </row>
    <row r="23406" spans="1:7" x14ac:dyDescent="0.25">
      <c r="A23406" s="50" t="s">
        <v>79</v>
      </c>
      <c r="B23406" s="72" t="str">
        <f>VLOOKUP(A23406,'[1]Componentes APUs'!$A$1:$D$14,2,0)</f>
        <v>Gafas protectoras filtro UV</v>
      </c>
      <c r="C23406" s="73"/>
      <c r="D23406" s="50" t="str">
        <f>VLOOKUP(A23406,'[1]Componentes APUs'!$A$1:$D$14,3,0)</f>
        <v>U</v>
      </c>
      <c r="E23406" s="50">
        <f>SUM(C23382:C23387)</f>
        <v>2.75</v>
      </c>
      <c r="F23406" s="51">
        <f>VLOOKUP(A23406,'[1]Componentes APUs'!$A$1:$D$14,4,0)</f>
        <v>2777.7777777777778</v>
      </c>
      <c r="G23406" s="51">
        <f>ROUNDUP(F23406*(E23406/21)/E23368,0)</f>
        <v>46</v>
      </c>
    </row>
    <row r="23407" spans="1:7" x14ac:dyDescent="0.25">
      <c r="A23407" s="69" t="s">
        <v>402</v>
      </c>
      <c r="B23407" s="72" t="str">
        <f>VLOOKUP(A23407,'[1]Componentes APUs'!$A$1:$D$14,2,0)</f>
        <v>Bota de seguridad PVC dielectrica</v>
      </c>
      <c r="C23407" s="73"/>
      <c r="D23407" s="50" t="str">
        <f>VLOOKUP(A23407,'[1]Componentes APUs'!$A$1:$D$14,3,0)</f>
        <v>Par</v>
      </c>
      <c r="E23407" s="50">
        <f>SUM(C23382:C23387)</f>
        <v>2.75</v>
      </c>
      <c r="F23407" s="51">
        <f>VLOOKUP(A23407,'[1]Componentes APUs'!$A$1:$D$14,4,0)</f>
        <v>2916.6666666666665</v>
      </c>
      <c r="G23407" s="51">
        <f>ROUNDUP(F23407*(E23407/21)/E23368,0)</f>
        <v>48</v>
      </c>
    </row>
    <row r="23408" spans="1:7" x14ac:dyDescent="0.25">
      <c r="A23408" s="50" t="s">
        <v>403</v>
      </c>
      <c r="B23408" s="72" t="str">
        <f>VLOOKUP(A23408,'[1]Componentes APUs'!$A$1:$D$14,2,0)</f>
        <v>Capuchon</v>
      </c>
      <c r="C23408" s="73"/>
      <c r="D23408" s="50" t="str">
        <f>VLOOKUP(A23408,'[1]Componentes APUs'!$A$1:$D$14,3,0)</f>
        <v>U</v>
      </c>
      <c r="E23408" s="50">
        <f>SUM(C23382:C23387)</f>
        <v>2.75</v>
      </c>
      <c r="F23408" s="51">
        <f>VLOOKUP(A23408,'[1]Componentes APUs'!$A$1:$D$14,4,0)</f>
        <v>2525.2525252525252</v>
      </c>
      <c r="G23408" s="51">
        <f>ROUNDUP(F23408*(E23408/21)/E23368,0)</f>
        <v>42</v>
      </c>
    </row>
    <row r="23409" spans="1:7" x14ac:dyDescent="0.25">
      <c r="A23409" s="69" t="s">
        <v>81</v>
      </c>
      <c r="B23409" s="72" t="str">
        <f>VLOOKUP(A23409,'[1]Componentes APUs'!$A$1:$D$14,2,0)</f>
        <v>Guantes Protectores  - ingeniero reforzados</v>
      </c>
      <c r="C23409" s="73"/>
      <c r="D23409" s="50" t="str">
        <f>VLOOKUP(A23409,'[1]Componentes APUs'!$A$1:$D$14,3,0)</f>
        <v>Par</v>
      </c>
      <c r="E23409" s="50">
        <f>C23384+C23385+C23387</f>
        <v>2</v>
      </c>
      <c r="F23409" s="51">
        <f>VLOOKUP(A23409,'[1]Componentes APUs'!$A$1:$D$14,4,0)</f>
        <v>2525.2525252525252</v>
      </c>
      <c r="G23409" s="51">
        <f>ROUNDUP(F23409*(E23409/21)/E23368,0)</f>
        <v>31</v>
      </c>
    </row>
    <row r="23410" spans="1:7" x14ac:dyDescent="0.25">
      <c r="A23410" s="50" t="s">
        <v>83</v>
      </c>
      <c r="B23410" s="72" t="str">
        <f>VLOOKUP(A23410,'[1]Componentes APUs'!$A$1:$D$14,2,0)</f>
        <v>Impermeable (pantalon camisa)</v>
      </c>
      <c r="C23410" s="73"/>
      <c r="D23410" s="50" t="str">
        <f>VLOOKUP(A23410,'[1]Componentes APUs'!$A$1:$D$14,3,0)</f>
        <v>U</v>
      </c>
      <c r="E23410" s="50">
        <f>SUM(C23382:C23387)</f>
        <v>2.75</v>
      </c>
      <c r="F23410" s="51">
        <f>VLOOKUP(A23410,'[1]Componentes APUs'!$A$1:$D$14,4,0)</f>
        <v>3750</v>
      </c>
      <c r="G23410" s="51">
        <f>ROUNDUP(F23410*(E23410/21)/E23368,0)</f>
        <v>62</v>
      </c>
    </row>
    <row r="23411" spans="1:7" x14ac:dyDescent="0.25">
      <c r="A23411" s="69" t="s">
        <v>85</v>
      </c>
      <c r="B23411" s="72" t="str">
        <f>VLOOKUP(A23411,'[1]Componentes APUs'!$A$1:$D$14,2,0)</f>
        <v>Jean Dielectrico</v>
      </c>
      <c r="C23411" s="73"/>
      <c r="D23411" s="50" t="str">
        <f>VLOOKUP(A23411,'[1]Componentes APUs'!$A$1:$D$14,3,0)</f>
        <v>U</v>
      </c>
      <c r="E23411" s="50">
        <f>SUM(C23382:C23387)</f>
        <v>2.75</v>
      </c>
      <c r="F23411" s="51">
        <f>VLOOKUP(A23411,'[1]Componentes APUs'!$A$1:$D$14,4,0)</f>
        <v>7575.757575757576</v>
      </c>
      <c r="G23411" s="51">
        <f>ROUNDUP(F23411*(E23411/21)/E23368,0)</f>
        <v>125</v>
      </c>
    </row>
    <row r="23412" spans="1:7" x14ac:dyDescent="0.25">
      <c r="A23412" s="50" t="s">
        <v>87</v>
      </c>
      <c r="B23412" s="72" t="str">
        <f>VLOOKUP(A23412,'[1]Componentes APUs'!$A$1:$D$14,2,0)</f>
        <v>Casco dielectrico Tipo 2 Clase E con barboquejo</v>
      </c>
      <c r="C23412" s="73"/>
      <c r="D23412" s="50" t="str">
        <f>VLOOKUP(A23412,'[1]Componentes APUs'!$A$1:$D$14,3,0)</f>
        <v>U</v>
      </c>
      <c r="E23412" s="53">
        <f>IF(A23384="MO-3",C23384,0)</f>
        <v>1</v>
      </c>
      <c r="F23412" s="51">
        <f>VLOOKUP(A23412,'[1]Componentes APUs'!$A$1:$D$14,4,0)</f>
        <v>7500</v>
      </c>
      <c r="G23412" s="51">
        <f>ROUNDUP(F23412*(E23412/21)/E23368,0)</f>
        <v>45</v>
      </c>
    </row>
    <row r="23413" spans="1:7" x14ac:dyDescent="0.25">
      <c r="A23413" s="69" t="s">
        <v>89</v>
      </c>
      <c r="B23413" s="72" t="str">
        <f>VLOOKUP(A23413,'[1]Componentes APUs'!$A$1:$D$14,2,0)</f>
        <v>Kit de rescate para trabajo en alturas</v>
      </c>
      <c r="C23413" s="73"/>
      <c r="D23413" s="50" t="str">
        <f>VLOOKUP(A23413,'[1]Componentes APUs'!$A$1:$D$14,3,0)</f>
        <v>U</v>
      </c>
      <c r="E23413" s="50">
        <f>IF(AND(A23384="MO-3",C23384=2),1,0)</f>
        <v>0</v>
      </c>
      <c r="F23413" s="51">
        <f>VLOOKUP(A23413,'[1]Componentes APUs'!$A$1:$D$14,4,0)</f>
        <v>37500</v>
      </c>
      <c r="G23413" s="51">
        <f>ROUNDUP(F23413*(E23413/21)/E23368,0)</f>
        <v>0</v>
      </c>
    </row>
    <row r="23414" spans="1:7" x14ac:dyDescent="0.25">
      <c r="A23414" s="50" t="s">
        <v>91</v>
      </c>
      <c r="B23414" s="72" t="str">
        <f>VLOOKUP(A23414,'[1]Componentes APUs'!$A$1:$D$14,2,0)</f>
        <v>Equipo completo para trabajo en alturas con pretales (Arnes dielectrico, 1 mosqueton de seguridad, tie off dielectrico, eslinga de posicionamiento, juego de pretales)</v>
      </c>
      <c r="C23414" s="73"/>
      <c r="D23414" s="50" t="str">
        <f>VLOOKUP(A23414,'[1]Componentes APUs'!$A$1:$D$14,3,0)</f>
        <v>U</v>
      </c>
      <c r="E23414" s="50">
        <f>IF(A23384="MO-3",C23384,0)</f>
        <v>1</v>
      </c>
      <c r="F23414" s="51">
        <f>VLOOKUP(A23414,'[1]Componentes APUs'!$A$1:$D$14,4,0)</f>
        <v>26041.666666666668</v>
      </c>
      <c r="G23414" s="51">
        <f>ROUNDUP(F23414*(E23414/21)/E23368,0)</f>
        <v>156</v>
      </c>
    </row>
    <row r="23415" spans="1:7" x14ac:dyDescent="0.25">
      <c r="A23415" s="219" t="s">
        <v>95</v>
      </c>
      <c r="B23415" s="219"/>
      <c r="C23415" s="219"/>
      <c r="D23415" s="219"/>
      <c r="E23415" s="219"/>
      <c r="F23415" s="219"/>
      <c r="G23415" s="52">
        <f>SUM(G23402:G23414)</f>
        <v>988</v>
      </c>
    </row>
    <row r="23416" spans="1:7" x14ac:dyDescent="0.25">
      <c r="A23416" s="56"/>
      <c r="B23416" s="57"/>
      <c r="C23416" s="57"/>
      <c r="D23416" s="57"/>
      <c r="E23416" s="57"/>
      <c r="F23416" s="57"/>
      <c r="G23416" s="58"/>
    </row>
    <row r="23417" spans="1:7" x14ac:dyDescent="0.25">
      <c r="A23417" s="219" t="s">
        <v>96</v>
      </c>
      <c r="B23417" s="219"/>
      <c r="C23417" s="219"/>
      <c r="D23417" s="219"/>
      <c r="E23417" s="219"/>
      <c r="F23417" s="219"/>
      <c r="G23417" s="219"/>
    </row>
    <row r="23418" spans="1:7" x14ac:dyDescent="0.25">
      <c r="A23418" s="49" t="s">
        <v>35</v>
      </c>
      <c r="B23418" s="225" t="s">
        <v>36</v>
      </c>
      <c r="C23418" s="225"/>
      <c r="D23418" s="49" t="s">
        <v>37</v>
      </c>
      <c r="E23418" s="49" t="s">
        <v>38</v>
      </c>
      <c r="F23418" s="49" t="s">
        <v>39</v>
      </c>
      <c r="G23418" s="49" t="s">
        <v>40</v>
      </c>
    </row>
    <row r="23419" spans="1:7" x14ac:dyDescent="0.25">
      <c r="A23419" s="69" t="s">
        <v>97</v>
      </c>
      <c r="B23419" s="72" t="str">
        <f>VLOOKUP(A23419,'[1]Componentes APUs'!$N$1:$Q$30,2,0)</f>
        <v>Camioneta</v>
      </c>
      <c r="C23419" s="73"/>
      <c r="D23419" s="70" t="str">
        <f>VLOOKUP(A23419,'[1]Componentes APUs'!$N$1:$Q$30,3,0)</f>
        <v>U</v>
      </c>
      <c r="E23419" s="50">
        <v>1</v>
      </c>
      <c r="F23419" s="51">
        <f>VLOOKUP(A23419,'[1]Componentes APUs'!$N$1:$Q$30,4,0)</f>
        <v>5500000</v>
      </c>
      <c r="G23419" s="51">
        <f>IFERROR(ROUNDUP(F23419*(E23419/21)/E23368,0),0)</f>
        <v>32739</v>
      </c>
    </row>
    <row r="23420" spans="1:7" x14ac:dyDescent="0.25">
      <c r="A23420" s="50" t="s">
        <v>321</v>
      </c>
      <c r="B23420" s="72" t="str">
        <f>VLOOKUP(A23420,'[1]Componentes APUs'!$N$1:$Q$30,2,0)</f>
        <v>Grúa Hidráulica</v>
      </c>
      <c r="C23420" s="73"/>
      <c r="D23420" s="70" t="str">
        <f>VLOOKUP(A23420,'[1]Componentes APUs'!$N$1:$Q$30,3,0)</f>
        <v>U</v>
      </c>
      <c r="E23420" s="50">
        <v>0</v>
      </c>
      <c r="F23420" s="51">
        <f>VLOOKUP(A23420,'[1]Componentes APUs'!$N$1:$Q$30,4,0)</f>
        <v>21000000</v>
      </c>
      <c r="G23420" s="51">
        <f>IFERROR(ROUNDUP(F23420*(E23420/21)/E23368,0),0)</f>
        <v>0</v>
      </c>
    </row>
    <row r="23421" spans="1:7" x14ac:dyDescent="0.25">
      <c r="A23421" s="69" t="s">
        <v>322</v>
      </c>
      <c r="B23421" s="72" t="str">
        <f>VLOOKUP(A23421,'[1]Componentes APUs'!$N$1:$Q$30,2,0)</f>
        <v>Camabaja</v>
      </c>
      <c r="C23421" s="73"/>
      <c r="D23421" s="70" t="str">
        <f>VLOOKUP(A23421,'[1]Componentes APUs'!$N$1:$Q$30,3,0)</f>
        <v>TON/KM</v>
      </c>
      <c r="E23421" s="50">
        <v>0</v>
      </c>
      <c r="F23421" s="51">
        <f>VLOOKUP(A23421,'[1]Componentes APUs'!$N$1:$Q$30,4,0)</f>
        <v>611</v>
      </c>
      <c r="G23421" s="51">
        <f>IFERROR(ROUNDUP(F23421*(E23421/21)/E23368,0),0)</f>
        <v>0</v>
      </c>
    </row>
    <row r="23422" spans="1:7" x14ac:dyDescent="0.25">
      <c r="A23422" s="50" t="s">
        <v>323</v>
      </c>
      <c r="B23422" s="72" t="str">
        <f>VLOOKUP(A23422,'[1]Componentes APUs'!$N$1:$Q$30,2,0)</f>
        <v>Volqueta</v>
      </c>
      <c r="C23422" s="73"/>
      <c r="D23422" s="70" t="str">
        <f>VLOOKUP(A23422,'[1]Componentes APUs'!$N$1:$Q$30,3,0)</f>
        <v>U</v>
      </c>
      <c r="E23422" s="50">
        <v>0</v>
      </c>
      <c r="F23422" s="51">
        <f>VLOOKUP(A23422,'[1]Componentes APUs'!$N$1:$Q$30,4,0)</f>
        <v>18900000</v>
      </c>
      <c r="G23422" s="51">
        <f>IFERROR(ROUNDUP(F23422*(E23422/21)/E23368,0),0)</f>
        <v>0</v>
      </c>
    </row>
    <row r="23423" spans="1:7" x14ac:dyDescent="0.25">
      <c r="A23423" s="69" t="s">
        <v>324</v>
      </c>
      <c r="B23423" s="72" t="str">
        <f>VLOOKUP(A23423,'[1]Componentes APUs'!$N$1:$Q$30,2,0)</f>
        <v>Retroexcavadora</v>
      </c>
      <c r="C23423" s="73"/>
      <c r="D23423" s="70" t="str">
        <f>VLOOKUP(A23423,'[1]Componentes APUs'!$N$1:$Q$30,3,0)</f>
        <v>U</v>
      </c>
      <c r="E23423" s="50">
        <v>0</v>
      </c>
      <c r="F23423" s="51">
        <f>VLOOKUP(A23423,'[1]Componentes APUs'!$N$1:$Q$30,4,0)</f>
        <v>1494459.54</v>
      </c>
      <c r="G23423" s="51">
        <f>IFERROR(ROUNDUP(F23423*(E23423/21)/E23368,0),0)</f>
        <v>0</v>
      </c>
    </row>
    <row r="23424" spans="1:7" x14ac:dyDescent="0.25">
      <c r="A23424" s="219" t="s">
        <v>99</v>
      </c>
      <c r="B23424" s="219"/>
      <c r="C23424" s="219"/>
      <c r="D23424" s="219"/>
      <c r="E23424" s="219"/>
      <c r="F23424" s="219"/>
      <c r="G23424" s="52">
        <f>SUM(G23419:G23423)</f>
        <v>32739</v>
      </c>
    </row>
    <row r="23425" spans="1:7" x14ac:dyDescent="0.25">
      <c r="A23425" s="56"/>
      <c r="B23425" s="57"/>
      <c r="C23425" s="57"/>
      <c r="D23425" s="57"/>
      <c r="E23425" s="57"/>
      <c r="F23425" s="57"/>
      <c r="G23425" s="58"/>
    </row>
    <row r="23426" spans="1:7" x14ac:dyDescent="0.25">
      <c r="A23426" s="219" t="s">
        <v>1516</v>
      </c>
      <c r="B23426" s="219"/>
      <c r="C23426" s="219"/>
      <c r="D23426" s="219"/>
      <c r="E23426" s="219"/>
      <c r="F23426" s="219"/>
      <c r="G23426" s="52">
        <f>G23424+G23415+G23398+G23388+G23378</f>
        <v>303327</v>
      </c>
    </row>
    <row r="23427" spans="1:7" x14ac:dyDescent="0.25">
      <c r="A23427" s="59"/>
      <c r="B23427" s="60"/>
      <c r="C23427" s="60"/>
      <c r="D23427" s="60"/>
      <c r="E23427" s="57"/>
      <c r="F23427" s="57"/>
      <c r="G23427" s="58"/>
    </row>
    <row r="23428" spans="1:7" x14ac:dyDescent="0.25">
      <c r="A23428" s="64"/>
      <c r="D23428" s="55"/>
      <c r="E23428" s="49" t="s">
        <v>25</v>
      </c>
      <c r="F23428" s="54">
        <v>0.15</v>
      </c>
      <c r="G23428" s="51">
        <f>G23426*F23428</f>
        <v>45499.049999999996</v>
      </c>
    </row>
    <row r="23429" spans="1:7" x14ac:dyDescent="0.25">
      <c r="A23429" s="64"/>
      <c r="D23429" s="55"/>
      <c r="E23429" s="49" t="s">
        <v>26</v>
      </c>
      <c r="F23429" s="54">
        <v>0.05</v>
      </c>
      <c r="G23429" s="51">
        <f>G23426*F23429</f>
        <v>15166.35</v>
      </c>
    </row>
    <row r="23430" spans="1:7" x14ac:dyDescent="0.25">
      <c r="A23430" s="61"/>
      <c r="B23430" s="65"/>
      <c r="C23430" s="65"/>
      <c r="D23430" s="62"/>
      <c r="E23430" s="49" t="s">
        <v>27</v>
      </c>
      <c r="F23430" s="54">
        <v>0.05</v>
      </c>
      <c r="G23430" s="51">
        <f>G23426*F23430</f>
        <v>15166.35</v>
      </c>
    </row>
    <row r="23431" spans="1:7" x14ac:dyDescent="0.25">
      <c r="A23431" s="61"/>
      <c r="B23431" s="62"/>
      <c r="C23431" s="62"/>
      <c r="D23431" s="62"/>
      <c r="E23431" s="62"/>
      <c r="F23431" s="62"/>
      <c r="G23431" s="63"/>
    </row>
    <row r="23432" spans="1:7" x14ac:dyDescent="0.25">
      <c r="A23432" s="219" t="s">
        <v>1517</v>
      </c>
      <c r="B23432" s="219"/>
      <c r="C23432" s="219"/>
      <c r="D23432" s="219"/>
      <c r="E23432" s="219"/>
      <c r="F23432" s="219"/>
      <c r="G23432" s="52">
        <f>G23426+G23428+G23429+G23430</f>
        <v>379158.74999999994</v>
      </c>
    </row>
    <row r="23433" spans="1:7" x14ac:dyDescent="0.25">
      <c r="A23433" s="59"/>
      <c r="B23433" s="60"/>
      <c r="C23433" s="60"/>
      <c r="D23433" s="60"/>
      <c r="E23433" s="57"/>
      <c r="F23433" s="57"/>
      <c r="G23433" s="58"/>
    </row>
    <row r="23434" spans="1:7" x14ac:dyDescent="0.25">
      <c r="A23434" s="64"/>
      <c r="D23434" s="55"/>
      <c r="E23434" s="49" t="s">
        <v>102</v>
      </c>
      <c r="F23434" s="49" t="s">
        <v>103</v>
      </c>
      <c r="G23434" s="51">
        <f>G23430*19%</f>
        <v>2881.6065000000003</v>
      </c>
    </row>
    <row r="23435" spans="1:7" x14ac:dyDescent="0.25">
      <c r="A23435" s="61"/>
      <c r="B23435" s="62"/>
      <c r="C23435" s="62"/>
      <c r="D23435" s="62"/>
      <c r="E23435" s="57"/>
      <c r="F23435" s="57"/>
      <c r="G23435" s="58"/>
    </row>
    <row r="23436" spans="1:7" x14ac:dyDescent="0.25">
      <c r="A23436" s="219" t="s">
        <v>104</v>
      </c>
      <c r="B23436" s="219"/>
      <c r="C23436" s="219"/>
      <c r="D23436" s="219"/>
      <c r="E23436" s="219"/>
      <c r="F23436" s="219"/>
      <c r="G23436" s="52">
        <f>G23434+G23432</f>
        <v>382040.35649999994</v>
      </c>
    </row>
    <row r="23438" spans="1:7" x14ac:dyDescent="0.25">
      <c r="A23438" s="74" t="s">
        <v>29</v>
      </c>
      <c r="B23438" s="237" t="s">
        <v>30</v>
      </c>
      <c r="C23438" s="238"/>
      <c r="D23438" s="74" t="s">
        <v>31</v>
      </c>
      <c r="E23438" s="74" t="s">
        <v>32</v>
      </c>
      <c r="F23438" s="74" t="s">
        <v>189</v>
      </c>
      <c r="G23438" s="74" t="s">
        <v>33</v>
      </c>
    </row>
    <row r="23439" spans="1:7" ht="40.5" customHeight="1" x14ac:dyDescent="0.25">
      <c r="A23439" s="50" t="str">
        <f>Presupuesto!B444</f>
        <v>102_AUX</v>
      </c>
      <c r="B23439" s="220" t="str">
        <f>Presupuesto!C444</f>
        <v>SUMINISTRO E INSTALACIÓN DE CONDUCTOR ALAMBRÓN DE ALUMINIO DESNUDO DE Ø8 MM Ó 1/0 AWG PARA ANILLO DE APANTALLAMIENTO Y BAJANTE</v>
      </c>
      <c r="C23439" s="239"/>
      <c r="D23439" s="50" t="s">
        <v>108</v>
      </c>
      <c r="E23439" s="50">
        <v>100</v>
      </c>
      <c r="F23439" s="50"/>
      <c r="G23439" s="51">
        <f>G23507</f>
        <v>19669.611499999995</v>
      </c>
    </row>
    <row r="23440" spans="1:7" x14ac:dyDescent="0.25">
      <c r="A23440" s="234"/>
      <c r="B23440" s="236"/>
      <c r="C23440" s="236"/>
      <c r="D23440" s="236"/>
      <c r="E23440" s="236"/>
      <c r="F23440" s="236"/>
      <c r="G23440" s="235"/>
    </row>
    <row r="23441" spans="1:7" x14ac:dyDescent="0.25">
      <c r="A23441" s="49" t="s">
        <v>35</v>
      </c>
      <c r="B23441" s="234" t="s">
        <v>36</v>
      </c>
      <c r="C23441" s="235"/>
      <c r="D23441" s="49" t="s">
        <v>37</v>
      </c>
      <c r="E23441" s="49" t="s">
        <v>38</v>
      </c>
      <c r="F23441" s="49" t="s">
        <v>39</v>
      </c>
      <c r="G23441" s="49" t="s">
        <v>40</v>
      </c>
    </row>
    <row r="23442" spans="1:7" x14ac:dyDescent="0.25">
      <c r="A23442" s="17" t="str">
        <f>Material!A176</f>
        <v>MA-175</v>
      </c>
      <c r="B23442" s="72" t="str">
        <f>IFERROR(VLOOKUP(A23442,Material!$A:$J,2,0),"-")</f>
        <v>ALAMBRÓN DE ALUMINIO DESNUDO DE Ø8 MM Ó 1/0 AWG</v>
      </c>
      <c r="C23442" s="76"/>
      <c r="D23442" s="50" t="str">
        <f>IFERROR(VLOOKUP(A23442,Material!$A:$J,4,0),"-")</f>
        <v>ML</v>
      </c>
      <c r="E23442" s="50">
        <v>1</v>
      </c>
      <c r="F23442" s="51">
        <f>IFERROR(VLOOKUP(A23442,Material!$A:$J,3,0),"-")</f>
        <v>6110</v>
      </c>
      <c r="G23442" s="51">
        <f t="shared" ref="G23442:G23448" si="337">IFERROR(ROUNDUP(F23442*E23442,0),"-")</f>
        <v>6110</v>
      </c>
    </row>
    <row r="23443" spans="1:7" x14ac:dyDescent="0.25">
      <c r="A23443" s="17"/>
      <c r="B23443" s="72" t="str">
        <f>IFERROR(VLOOKUP(A23443,Material!$A:$J,2,0),"-")</f>
        <v>-</v>
      </c>
      <c r="C23443" s="76"/>
      <c r="D23443" s="50" t="str">
        <f>IFERROR(VLOOKUP(A23443,Material!$A:$J,4,0),"-")</f>
        <v>-</v>
      </c>
      <c r="E23443" s="50"/>
      <c r="F23443" s="51" t="str">
        <f>IFERROR(VLOOKUP(A23443,Material!$A:$J,3,0),"-")</f>
        <v>-</v>
      </c>
      <c r="G23443" s="51" t="str">
        <f t="shared" si="337"/>
        <v>-</v>
      </c>
    </row>
    <row r="23444" spans="1:7" x14ac:dyDescent="0.25">
      <c r="A23444" s="17"/>
      <c r="B23444" s="72" t="str">
        <f>IFERROR(VLOOKUP(A23444,Material!$A:$J,2,0),"-")</f>
        <v>-</v>
      </c>
      <c r="C23444" s="76"/>
      <c r="D23444" s="50" t="str">
        <f>IFERROR(VLOOKUP(A23444,Material!$A:$J,4,0),"-")</f>
        <v>-</v>
      </c>
      <c r="E23444" s="50"/>
      <c r="F23444" s="51" t="str">
        <f>IFERROR(VLOOKUP(A23444,Material!$A:$J,3,0),"-")</f>
        <v>-</v>
      </c>
      <c r="G23444" s="51" t="str">
        <f t="shared" si="337"/>
        <v>-</v>
      </c>
    </row>
    <row r="23445" spans="1:7" x14ac:dyDescent="0.25">
      <c r="A23445" s="17"/>
      <c r="B23445" s="72" t="str">
        <f>IFERROR(VLOOKUP(A23445,Material!$A:$J,2,0),"-")</f>
        <v>-</v>
      </c>
      <c r="C23445" s="76"/>
      <c r="D23445" s="50" t="str">
        <f>IFERROR(VLOOKUP(A23445,Material!$A:$J,4,0),"-")</f>
        <v>-</v>
      </c>
      <c r="E23445" s="50"/>
      <c r="F23445" s="51" t="str">
        <f>IFERROR(VLOOKUP(A23445,Material!$A:$J,3,0),"-")</f>
        <v>-</v>
      </c>
      <c r="G23445" s="51" t="str">
        <f t="shared" si="337"/>
        <v>-</v>
      </c>
    </row>
    <row r="23446" spans="1:7" x14ac:dyDescent="0.25">
      <c r="A23446" s="17"/>
      <c r="B23446" s="72" t="str">
        <f>IFERROR(VLOOKUP(A23446,Material!$A:$J,2,0),"-")</f>
        <v>-</v>
      </c>
      <c r="C23446" s="76"/>
      <c r="D23446" s="50" t="str">
        <f>IFERROR(VLOOKUP(A23446,Material!$A:$J,4,0),"-")</f>
        <v>-</v>
      </c>
      <c r="E23446" s="50"/>
      <c r="F23446" s="51" t="str">
        <f>IFERROR(VLOOKUP(A23446,Material!$A:$J,3,0),"-")</f>
        <v>-</v>
      </c>
      <c r="G23446" s="51" t="str">
        <f t="shared" si="337"/>
        <v>-</v>
      </c>
    </row>
    <row r="23447" spans="1:7" x14ac:dyDescent="0.25">
      <c r="A23447" s="17"/>
      <c r="B23447" s="72" t="str">
        <f>IFERROR(VLOOKUP(A23447,Material!$A:$J,2,0),"-")</f>
        <v>-</v>
      </c>
      <c r="C23447" s="76"/>
      <c r="D23447" s="50" t="str">
        <f>IFERROR(VLOOKUP(A23447,Material!$A:$J,4,0),"-")</f>
        <v>-</v>
      </c>
      <c r="E23447" s="50"/>
      <c r="F23447" s="51" t="str">
        <f>IFERROR(VLOOKUP(A23447,Material!$A:$J,3,0),"-")</f>
        <v>-</v>
      </c>
      <c r="G23447" s="51" t="str">
        <f t="shared" si="337"/>
        <v>-</v>
      </c>
    </row>
    <row r="23448" spans="1:7" x14ac:dyDescent="0.25">
      <c r="A23448" s="17"/>
      <c r="B23448" s="72" t="str">
        <f>IFERROR(VLOOKUP(A23448,Material!$A:$J,2,0),"-")</f>
        <v>-</v>
      </c>
      <c r="C23448" s="76"/>
      <c r="D23448" s="50" t="str">
        <f>IFERROR(VLOOKUP(A23448,Material!$A:$J,4,0),"-")</f>
        <v>-</v>
      </c>
      <c r="E23448" s="50"/>
      <c r="F23448" s="51" t="str">
        <f>IFERROR(VLOOKUP(A23448,Material!$A:$J,3,0),"-")</f>
        <v>-</v>
      </c>
      <c r="G23448" s="51" t="str">
        <f t="shared" si="337"/>
        <v>-</v>
      </c>
    </row>
    <row r="23449" spans="1:7" x14ac:dyDescent="0.25">
      <c r="A23449" s="234" t="s">
        <v>41</v>
      </c>
      <c r="B23449" s="236"/>
      <c r="C23449" s="236"/>
      <c r="D23449" s="236"/>
      <c r="E23449" s="236"/>
      <c r="F23449" s="235"/>
      <c r="G23449" s="52">
        <f>SUM(G23442:G23448)</f>
        <v>6110</v>
      </c>
    </row>
    <row r="23450" spans="1:7" x14ac:dyDescent="0.25">
      <c r="A23450" s="56"/>
      <c r="B23450" s="57"/>
      <c r="C23450" s="57"/>
      <c r="D23450" s="57"/>
      <c r="E23450" s="57"/>
      <c r="F23450" s="57"/>
      <c r="G23450" s="58"/>
    </row>
    <row r="23451" spans="1:7" x14ac:dyDescent="0.25">
      <c r="A23451" s="219" t="s">
        <v>42</v>
      </c>
      <c r="B23451" s="219"/>
      <c r="C23451" s="219"/>
      <c r="D23451" s="219"/>
      <c r="E23451" s="219"/>
      <c r="F23451" s="219"/>
      <c r="G23451" s="219"/>
    </row>
    <row r="23452" spans="1:7" x14ac:dyDescent="0.25">
      <c r="A23452" s="49" t="s">
        <v>35</v>
      </c>
      <c r="B23452" s="49" t="s">
        <v>36</v>
      </c>
      <c r="C23452" s="49" t="s">
        <v>38</v>
      </c>
      <c r="D23452" s="49" t="s">
        <v>43</v>
      </c>
      <c r="E23452" s="49" t="s">
        <v>44</v>
      </c>
      <c r="F23452" s="49" t="s">
        <v>45</v>
      </c>
      <c r="G23452" s="49" t="s">
        <v>40</v>
      </c>
    </row>
    <row r="23453" spans="1:7" x14ac:dyDescent="0.25">
      <c r="A23453" s="50" t="s">
        <v>319</v>
      </c>
      <c r="B23453" s="68" t="str">
        <f>VLOOKUP(A23453,'[1]Componentes APUs'!$H$1:$L$25,2,0)</f>
        <v>Ingeniero Residente de Obra</v>
      </c>
      <c r="C23453" s="93">
        <v>0.25</v>
      </c>
      <c r="D23453" s="50">
        <f>VLOOKUP(A23453,'[1]Componentes APUs'!$H$1:$L$25,3,0)</f>
        <v>4</v>
      </c>
      <c r="E23453" s="51">
        <f>VLOOKUP(A23453,'[1]Componentes APUs'!$H$1:$L$25,4,0)</f>
        <v>271142.85714285716</v>
      </c>
      <c r="F23453" s="51">
        <f>VLOOKUP(A23453,'[1]Componentes APUs'!$H$1:$L$25,5,0)</f>
        <v>162685.71428571429</v>
      </c>
      <c r="G23453" s="51">
        <f>ROUNDUP((E23453+F23453)*C23453/E23439,0)</f>
        <v>1085</v>
      </c>
    </row>
    <row r="23454" spans="1:7" x14ac:dyDescent="0.25">
      <c r="A23454" s="50" t="s">
        <v>320</v>
      </c>
      <c r="B23454" s="68" t="str">
        <f>VLOOKUP(A23454,'[1]Componentes APUs'!$H$1:$L$25,2,0)</f>
        <v>Tecnico Supervisor</v>
      </c>
      <c r="C23454" s="93">
        <v>0.25</v>
      </c>
      <c r="D23454" s="50">
        <f>VLOOKUP(A23454,'[1]Componentes APUs'!$H$1:$L$25,3,0)</f>
        <v>2.2999999999999998</v>
      </c>
      <c r="E23454" s="51">
        <f>VLOOKUP(A23454,'[1]Componentes APUs'!$H$1:$L$25,4,0)</f>
        <v>155907.14285714284</v>
      </c>
      <c r="F23454" s="51">
        <f>VLOOKUP(A23454,'[1]Componentes APUs'!$H$1:$L$25,5,0)</f>
        <v>93544.285714285696</v>
      </c>
      <c r="G23454" s="51">
        <f>ROUNDUP((E23454+F23454)*C23454/E23439,0)</f>
        <v>624</v>
      </c>
    </row>
    <row r="23455" spans="1:7" x14ac:dyDescent="0.25">
      <c r="A23455" s="50" t="s">
        <v>46</v>
      </c>
      <c r="B23455" s="68" t="str">
        <f>VLOOKUP(A23455,'[1]Componentes APUs'!$H$1:$L$25,2,0)</f>
        <v>Tecnico Liniero</v>
      </c>
      <c r="C23455" s="93">
        <v>1</v>
      </c>
      <c r="D23455" s="50">
        <f>VLOOKUP(A23455,'[1]Componentes APUs'!$H$1:$L$25,3,0)</f>
        <v>2</v>
      </c>
      <c r="E23455" s="51">
        <f>VLOOKUP(A23455,'[1]Componentes APUs'!$H$1:$L$25,4,0)</f>
        <v>154619.04761904763</v>
      </c>
      <c r="F23455" s="51">
        <f>VLOOKUP(A23455,'[1]Componentes APUs'!$H$1:$L$25,5,0)</f>
        <v>92771.42857142858</v>
      </c>
      <c r="G23455" s="51">
        <f>ROUNDUP((E23455+F23455)*C23455/E23439,0)</f>
        <v>2474</v>
      </c>
    </row>
    <row r="23456" spans="1:7" x14ac:dyDescent="0.25">
      <c r="A23456" s="50" t="s">
        <v>48</v>
      </c>
      <c r="B23456" s="68" t="str">
        <f>VLOOKUP(A23456,'[1]Componentes APUs'!$H$1:$L$25,2,0)</f>
        <v>Ayudante Calificado</v>
      </c>
      <c r="C23456" s="93">
        <v>1</v>
      </c>
      <c r="D23456" s="50">
        <f>VLOOKUP(A23456,'[1]Componentes APUs'!$H$1:$L$25,3,0)</f>
        <v>1.5</v>
      </c>
      <c r="E23456" s="51">
        <f>VLOOKUP(A23456,'[1]Componentes APUs'!$H$1:$L$25,4,0)</f>
        <v>115964.28571428571</v>
      </c>
      <c r="F23456" s="51">
        <f>VLOOKUP(A23456,'[1]Componentes APUs'!$H$1:$L$25,5,0)</f>
        <v>69578.57142857142</v>
      </c>
      <c r="G23456" s="51">
        <f>ROUNDUP((E23456+F23456)*C23456/E23439,0)</f>
        <v>1856</v>
      </c>
    </row>
    <row r="23457" spans="1:7" x14ac:dyDescent="0.25">
      <c r="A23457" s="50" t="s">
        <v>50</v>
      </c>
      <c r="B23457" s="68" t="str">
        <f>VLOOKUP(A23457,'[1]Componentes APUs'!$H$1:$L$25,2,0)</f>
        <v>Profesional en SST</v>
      </c>
      <c r="C23457" s="93">
        <v>0.25</v>
      </c>
      <c r="D23457" s="50">
        <f>VLOOKUP(A23457,'[1]Componentes APUs'!$H$1:$L$25,3,0)</f>
        <v>2.5</v>
      </c>
      <c r="E23457" s="51">
        <f>VLOOKUP(A23457,'[1]Componentes APUs'!$H$1:$L$25,4,0)</f>
        <v>169464.28571428571</v>
      </c>
      <c r="F23457" s="51">
        <f>VLOOKUP(A23457,'[1]Componentes APUs'!$H$1:$L$25,5,0)</f>
        <v>101678.57142857142</v>
      </c>
      <c r="G23457" s="51">
        <f>ROUNDUP((E23457+F23457)*C23457/E23439,0)</f>
        <v>678</v>
      </c>
    </row>
    <row r="23458" spans="1:7" x14ac:dyDescent="0.25">
      <c r="A23458" s="50" t="s">
        <v>52</v>
      </c>
      <c r="B23458" s="68" t="str">
        <f>VLOOKUP(A23458,'[1]Componentes APUs'!$H$1:$L$25,2,0)</f>
        <v>Ayudante No Calificado</v>
      </c>
      <c r="C23458" s="93">
        <v>0</v>
      </c>
      <c r="D23458" s="50">
        <f>VLOOKUP(A23458,'[1]Componentes APUs'!$H$1:$L$25,3,0)</f>
        <v>1</v>
      </c>
      <c r="E23458" s="51">
        <f>VLOOKUP(A23458,'[1]Componentes APUs'!$H$1:$L$25,4,0)</f>
        <v>77309.523809523816</v>
      </c>
      <c r="F23458" s="51">
        <f>VLOOKUP(A23458,'[1]Componentes APUs'!$H$1:$L$25,5,0)</f>
        <v>46385.71428571429</v>
      </c>
      <c r="G23458" s="51">
        <f>ROUNDUP((E23458+F23458)*C23458/E23439,0)</f>
        <v>0</v>
      </c>
    </row>
    <row r="23459" spans="1:7" x14ac:dyDescent="0.25">
      <c r="A23459" s="219" t="s">
        <v>56</v>
      </c>
      <c r="B23459" s="219"/>
      <c r="C23459" s="219"/>
      <c r="D23459" s="219"/>
      <c r="E23459" s="219"/>
      <c r="F23459" s="219"/>
      <c r="G23459" s="52">
        <f>SUM(G23453:G23458)</f>
        <v>6717</v>
      </c>
    </row>
    <row r="23460" spans="1:7" x14ac:dyDescent="0.25">
      <c r="A23460" s="56"/>
      <c r="B23460" s="57"/>
      <c r="C23460" s="57"/>
      <c r="D23460" s="57"/>
      <c r="E23460" s="57"/>
      <c r="F23460" s="57"/>
      <c r="G23460" s="58"/>
    </row>
    <row r="23461" spans="1:7" x14ac:dyDescent="0.25">
      <c r="A23461" s="219" t="s">
        <v>57</v>
      </c>
      <c r="B23461" s="219"/>
      <c r="C23461" s="219"/>
      <c r="D23461" s="219"/>
      <c r="E23461" s="219"/>
      <c r="F23461" s="219"/>
      <c r="G23461" s="219"/>
    </row>
    <row r="23462" spans="1:7" x14ac:dyDescent="0.25">
      <c r="A23462" s="49" t="s">
        <v>35</v>
      </c>
      <c r="B23462" s="219" t="s">
        <v>36</v>
      </c>
      <c r="C23462" s="219"/>
      <c r="D23462" s="49" t="s">
        <v>37</v>
      </c>
      <c r="E23462" s="49" t="s">
        <v>38</v>
      </c>
      <c r="F23462" s="49" t="s">
        <v>39</v>
      </c>
      <c r="G23462" s="49" t="s">
        <v>40</v>
      </c>
    </row>
    <row r="23463" spans="1:7" x14ac:dyDescent="0.25">
      <c r="A23463" s="50" t="s">
        <v>326</v>
      </c>
      <c r="B23463" s="220" t="str">
        <f>VLOOKUP(A23463,'[1]Componentes APUs'!$S$1:$V$10,2,0)</f>
        <v>Juego Llaves</v>
      </c>
      <c r="C23463" s="220"/>
      <c r="D23463" s="50" t="s">
        <v>18</v>
      </c>
      <c r="E23463" s="50">
        <v>2</v>
      </c>
      <c r="F23463" s="51">
        <f>VLOOKUP(A23463,'[1]Componentes APUs'!$S$1:$V$10,4,0)</f>
        <v>9167</v>
      </c>
      <c r="G23463" s="51">
        <f>ROUNDUP(F23463*((E23463/21)/E23439),0)</f>
        <v>9</v>
      </c>
    </row>
    <row r="23464" spans="1:7" x14ac:dyDescent="0.25">
      <c r="A23464" s="50" t="s">
        <v>58</v>
      </c>
      <c r="B23464" s="220" t="str">
        <f>VLOOKUP(A23464,'[1]Componentes APUs'!$S$1:$V$10,2,0)</f>
        <v>Manila de servicio</v>
      </c>
      <c r="C23464" s="220"/>
      <c r="D23464" s="50" t="s">
        <v>18</v>
      </c>
      <c r="E23464" s="50">
        <v>2</v>
      </c>
      <c r="F23464" s="51">
        <f>VLOOKUP(A23464,'[1]Componentes APUs'!$S$1:$V$10,4,0)</f>
        <v>2333</v>
      </c>
      <c r="G23464" s="51">
        <f>ROUNDUP(F23464*((E23464/21)/E23439),0)</f>
        <v>3</v>
      </c>
    </row>
    <row r="23465" spans="1:7" x14ac:dyDescent="0.25">
      <c r="A23465" s="50" t="s">
        <v>327</v>
      </c>
      <c r="B23465" s="220" t="str">
        <f>VLOOKUP(A23465,'[1]Componentes APUs'!$S$1:$V$10,2,0)</f>
        <v>Tula portaherramientas</v>
      </c>
      <c r="C23465" s="220"/>
      <c r="D23465" s="50" t="s">
        <v>18</v>
      </c>
      <c r="E23465" s="50">
        <v>2</v>
      </c>
      <c r="F23465" s="51">
        <f>VLOOKUP(A23465,'[1]Componentes APUs'!$S$1:$V$10,4,0)</f>
        <v>1250</v>
      </c>
      <c r="G23465" s="51">
        <f>ROUNDUP(F23465*((E23465/21)/E23439),0)</f>
        <v>2</v>
      </c>
    </row>
    <row r="23466" spans="1:7" x14ac:dyDescent="0.25">
      <c r="A23466" s="50" t="s">
        <v>60</v>
      </c>
      <c r="B23466" s="220" t="str">
        <f>VLOOKUP(A23466,'[1]Componentes APUs'!$S$1:$V$10,2,0)</f>
        <v>Agarradoras</v>
      </c>
      <c r="C23466" s="220"/>
      <c r="D23466" s="50" t="s">
        <v>18</v>
      </c>
      <c r="E23466" s="50">
        <v>0</v>
      </c>
      <c r="F23466" s="51">
        <f>VLOOKUP(A23466,'[1]Componentes APUs'!$S$1:$V$10,4,0)</f>
        <v>125000</v>
      </c>
      <c r="G23466" s="51">
        <f>ROUNDUP(F23466*((E23466/21)/E23439),0)</f>
        <v>0</v>
      </c>
    </row>
    <row r="23467" spans="1:7" x14ac:dyDescent="0.25">
      <c r="A23467" s="50" t="s">
        <v>62</v>
      </c>
      <c r="B23467" s="220" t="str">
        <f>VLOOKUP(A23467,'[1]Componentes APUs'!$S$1:$V$10,2,0)</f>
        <v>Templadoras</v>
      </c>
      <c r="C23467" s="220"/>
      <c r="D23467" s="50" t="s">
        <v>18</v>
      </c>
      <c r="E23467" s="50">
        <v>0</v>
      </c>
      <c r="F23467" s="51">
        <f>VLOOKUP(A23467,'[1]Componentes APUs'!$S$1:$V$10,4,0)</f>
        <v>250000</v>
      </c>
      <c r="G23467" s="51">
        <f>ROUNDUP(F23467*((E23467/21)/E23439),0)</f>
        <v>0</v>
      </c>
    </row>
    <row r="23468" spans="1:7" x14ac:dyDescent="0.25">
      <c r="A23468" s="50" t="s">
        <v>328</v>
      </c>
      <c r="B23468" s="220" t="str">
        <f>VLOOKUP(A23468,'[1]Componentes APUs'!$S$1:$V$10,2,0)</f>
        <v>Herramienta Menor</v>
      </c>
      <c r="C23468" s="220"/>
      <c r="D23468" s="50" t="s">
        <v>18</v>
      </c>
      <c r="E23468" s="50">
        <v>2</v>
      </c>
      <c r="F23468" s="51">
        <f>VLOOKUP(A23468,'[1]Componentes APUs'!$S$1:$V$10,4,0)</f>
        <v>75758</v>
      </c>
      <c r="G23468" s="51">
        <f>ROUNDUP(F23468*((E23468/21)/E23439),0)</f>
        <v>73</v>
      </c>
    </row>
    <row r="23469" spans="1:7" x14ac:dyDescent="0.25">
      <c r="A23469" s="219" t="s">
        <v>69</v>
      </c>
      <c r="B23469" s="219"/>
      <c r="C23469" s="219"/>
      <c r="D23469" s="219"/>
      <c r="E23469" s="219"/>
      <c r="F23469" s="219"/>
      <c r="G23469" s="52">
        <f>SUM(G23463:G23468)</f>
        <v>87</v>
      </c>
    </row>
    <row r="23470" spans="1:7" x14ac:dyDescent="0.25">
      <c r="A23470" s="56"/>
      <c r="B23470" s="57"/>
      <c r="C23470" s="57"/>
      <c r="D23470" s="57"/>
      <c r="E23470" s="57"/>
      <c r="F23470" s="57"/>
      <c r="G23470" s="58"/>
    </row>
    <row r="23471" spans="1:7" x14ac:dyDescent="0.25">
      <c r="A23471" s="219" t="s">
        <v>70</v>
      </c>
      <c r="B23471" s="219"/>
      <c r="C23471" s="219"/>
      <c r="D23471" s="219"/>
      <c r="E23471" s="219"/>
      <c r="F23471" s="219"/>
      <c r="G23471" s="219"/>
    </row>
    <row r="23472" spans="1:7" x14ac:dyDescent="0.25">
      <c r="A23472" s="49" t="s">
        <v>35</v>
      </c>
      <c r="B23472" s="219" t="s">
        <v>36</v>
      </c>
      <c r="C23472" s="219"/>
      <c r="D23472" s="49" t="s">
        <v>37</v>
      </c>
      <c r="E23472" s="49" t="s">
        <v>38</v>
      </c>
      <c r="F23472" s="49" t="s">
        <v>39</v>
      </c>
      <c r="G23472" s="49" t="s">
        <v>40</v>
      </c>
    </row>
    <row r="23473" spans="1:7" x14ac:dyDescent="0.25">
      <c r="A23473" s="50" t="s">
        <v>71</v>
      </c>
      <c r="B23473" s="71" t="str">
        <f>VLOOKUP(A23473,'[1]Componentes APUs'!$A$1:$D$14,2,0)</f>
        <v>Camisa indigo sin partes metalicas</v>
      </c>
      <c r="C23473" s="71"/>
      <c r="D23473" s="50" t="str">
        <f>VLOOKUP(A23473,'[1]Componentes APUs'!$A$1:$D$14,3,0)</f>
        <v>U</v>
      </c>
      <c r="E23473" s="50">
        <f>SUM(C23453:C23458)</f>
        <v>2.75</v>
      </c>
      <c r="F23473" s="51">
        <f>VLOOKUP(A23473,'[1]Componentes APUs'!$A$1:$D$14,4,0)</f>
        <v>8585.8585858585866</v>
      </c>
      <c r="G23473" s="51">
        <f>ROUNDUP(F23473*(E23473/21)/E23439,0)</f>
        <v>12</v>
      </c>
    </row>
    <row r="23474" spans="1:7" x14ac:dyDescent="0.25">
      <c r="A23474" s="69" t="s">
        <v>73</v>
      </c>
      <c r="B23474" s="72" t="str">
        <f>VLOOKUP(A23474,'[1]Componentes APUs'!$A$1:$D$14,2,0)</f>
        <v>Bota de seguridad dielectrica</v>
      </c>
      <c r="C23474" s="73"/>
      <c r="D23474" s="70" t="str">
        <f>VLOOKUP(A23474,'[1]Componentes APUs'!$A$1:$D$14,3,0)</f>
        <v>Par</v>
      </c>
      <c r="E23474" s="50">
        <f>SUM(C23453:C23458)</f>
        <v>2.75</v>
      </c>
      <c r="F23474" s="51">
        <f>VLOOKUP(A23474,'[1]Componentes APUs'!$A$1:$D$14,4,0)</f>
        <v>7500</v>
      </c>
      <c r="G23474" s="51">
        <f>ROUNDUP(F23474*(E23474/21)/E23439,0)</f>
        <v>10</v>
      </c>
    </row>
    <row r="23475" spans="1:7" x14ac:dyDescent="0.25">
      <c r="A23475" s="50" t="s">
        <v>76</v>
      </c>
      <c r="B23475" s="72" t="str">
        <f>VLOOKUP(A23475,'[1]Componentes APUs'!$A$1:$D$14,2,0)</f>
        <v>Casco dielectrico Tipo 1 Clase E con barbuquejo</v>
      </c>
      <c r="C23475" s="73"/>
      <c r="D23475" s="50" t="str">
        <f>VLOOKUP(A23475,'[1]Componentes APUs'!$A$1:$D$14,3,0)</f>
        <v>U</v>
      </c>
      <c r="E23475" s="50">
        <f>C23458+C23453+C23456+C23457+C23454+IF(A23455&lt;&gt;"MO-3",C23455,0)</f>
        <v>1.75</v>
      </c>
      <c r="F23475" s="51">
        <f>VLOOKUP(A23475,'[1]Componentes APUs'!$A$1:$D$14,4,0)</f>
        <v>10101.010101010101</v>
      </c>
      <c r="G23475" s="51">
        <f>ROUNDUP(F23475*(E23475/21)/E23439,0)</f>
        <v>9</v>
      </c>
    </row>
    <row r="23476" spans="1:7" x14ac:dyDescent="0.25">
      <c r="A23476" s="69" t="s">
        <v>77</v>
      </c>
      <c r="B23476" s="72" t="str">
        <f>VLOOKUP(A23476,'[1]Componentes APUs'!$A$1:$D$14,2,0)</f>
        <v>Correa plastica y antiflama</v>
      </c>
      <c r="C23476" s="73"/>
      <c r="D23476" s="50" t="str">
        <f>VLOOKUP(A23476,'[1]Componentes APUs'!$A$1:$D$14,3,0)</f>
        <v>U</v>
      </c>
      <c r="E23476" s="50">
        <f>SUM(C23453:C23458)</f>
        <v>2.75</v>
      </c>
      <c r="F23476" s="51">
        <f>VLOOKUP(A23476,'[1]Componentes APUs'!$A$1:$D$14,4,0)</f>
        <v>3787.878787878788</v>
      </c>
      <c r="G23476" s="51">
        <f>ROUNDUP(F23476*(E23476/21)/E23439,0)</f>
        <v>5</v>
      </c>
    </row>
    <row r="23477" spans="1:7" x14ac:dyDescent="0.25">
      <c r="A23477" s="50" t="s">
        <v>79</v>
      </c>
      <c r="B23477" s="72" t="str">
        <f>VLOOKUP(A23477,'[1]Componentes APUs'!$A$1:$D$14,2,0)</f>
        <v>Gafas protectoras filtro UV</v>
      </c>
      <c r="C23477" s="73"/>
      <c r="D23477" s="50" t="str">
        <f>VLOOKUP(A23477,'[1]Componentes APUs'!$A$1:$D$14,3,0)</f>
        <v>U</v>
      </c>
      <c r="E23477" s="50">
        <f>SUM(C23453:C23458)</f>
        <v>2.75</v>
      </c>
      <c r="F23477" s="51">
        <f>VLOOKUP(A23477,'[1]Componentes APUs'!$A$1:$D$14,4,0)</f>
        <v>2777.7777777777778</v>
      </c>
      <c r="G23477" s="51">
        <f>ROUNDUP(F23477*(E23477/21)/E23439,0)</f>
        <v>4</v>
      </c>
    </row>
    <row r="23478" spans="1:7" x14ac:dyDescent="0.25">
      <c r="A23478" s="69" t="s">
        <v>402</v>
      </c>
      <c r="B23478" s="72" t="str">
        <f>VLOOKUP(A23478,'[1]Componentes APUs'!$A$1:$D$14,2,0)</f>
        <v>Bota de seguridad PVC dielectrica</v>
      </c>
      <c r="C23478" s="73"/>
      <c r="D23478" s="50" t="str">
        <f>VLOOKUP(A23478,'[1]Componentes APUs'!$A$1:$D$14,3,0)</f>
        <v>Par</v>
      </c>
      <c r="E23478" s="50">
        <f>SUM(C23453:C23458)</f>
        <v>2.75</v>
      </c>
      <c r="F23478" s="51">
        <f>VLOOKUP(A23478,'[1]Componentes APUs'!$A$1:$D$14,4,0)</f>
        <v>2916.6666666666665</v>
      </c>
      <c r="G23478" s="51">
        <f>ROUNDUP(F23478*(E23478/21)/E23439,0)</f>
        <v>4</v>
      </c>
    </row>
    <row r="23479" spans="1:7" x14ac:dyDescent="0.25">
      <c r="A23479" s="50" t="s">
        <v>403</v>
      </c>
      <c r="B23479" s="72" t="str">
        <f>VLOOKUP(A23479,'[1]Componentes APUs'!$A$1:$D$14,2,0)</f>
        <v>Capuchon</v>
      </c>
      <c r="C23479" s="73"/>
      <c r="D23479" s="50" t="str">
        <f>VLOOKUP(A23479,'[1]Componentes APUs'!$A$1:$D$14,3,0)</f>
        <v>U</v>
      </c>
      <c r="E23479" s="50">
        <f>SUM(C23453:C23458)</f>
        <v>2.75</v>
      </c>
      <c r="F23479" s="51">
        <f>VLOOKUP(A23479,'[1]Componentes APUs'!$A$1:$D$14,4,0)</f>
        <v>2525.2525252525252</v>
      </c>
      <c r="G23479" s="51">
        <f>ROUNDUP(F23479*(E23479/21)/E23439,0)</f>
        <v>4</v>
      </c>
    </row>
    <row r="23480" spans="1:7" x14ac:dyDescent="0.25">
      <c r="A23480" s="69" t="s">
        <v>81</v>
      </c>
      <c r="B23480" s="72" t="str">
        <f>VLOOKUP(A23480,'[1]Componentes APUs'!$A$1:$D$14,2,0)</f>
        <v>Guantes Protectores  - ingeniero reforzados</v>
      </c>
      <c r="C23480" s="73"/>
      <c r="D23480" s="50" t="str">
        <f>VLOOKUP(A23480,'[1]Componentes APUs'!$A$1:$D$14,3,0)</f>
        <v>Par</v>
      </c>
      <c r="E23480" s="50">
        <f>C23455+C23456+C23458</f>
        <v>2</v>
      </c>
      <c r="F23480" s="51">
        <f>VLOOKUP(A23480,'[1]Componentes APUs'!$A$1:$D$14,4,0)</f>
        <v>2525.2525252525252</v>
      </c>
      <c r="G23480" s="51">
        <f>ROUNDUP(F23480*(E23480/21)/E23439,0)</f>
        <v>3</v>
      </c>
    </row>
    <row r="23481" spans="1:7" x14ac:dyDescent="0.25">
      <c r="A23481" s="50" t="s">
        <v>83</v>
      </c>
      <c r="B23481" s="72" t="str">
        <f>VLOOKUP(A23481,'[1]Componentes APUs'!$A$1:$D$14,2,0)</f>
        <v>Impermeable (pantalon camisa)</v>
      </c>
      <c r="C23481" s="73"/>
      <c r="D23481" s="50" t="str">
        <f>VLOOKUP(A23481,'[1]Componentes APUs'!$A$1:$D$14,3,0)</f>
        <v>U</v>
      </c>
      <c r="E23481" s="50">
        <f>SUM(C23453:C23458)</f>
        <v>2.75</v>
      </c>
      <c r="F23481" s="51">
        <f>VLOOKUP(A23481,'[1]Componentes APUs'!$A$1:$D$14,4,0)</f>
        <v>3750</v>
      </c>
      <c r="G23481" s="51">
        <f>ROUNDUP(F23481*(E23481/21)/E23439,0)</f>
        <v>5</v>
      </c>
    </row>
    <row r="23482" spans="1:7" x14ac:dyDescent="0.25">
      <c r="A23482" s="69" t="s">
        <v>85</v>
      </c>
      <c r="B23482" s="72" t="str">
        <f>VLOOKUP(A23482,'[1]Componentes APUs'!$A$1:$D$14,2,0)</f>
        <v>Jean Dielectrico</v>
      </c>
      <c r="C23482" s="73"/>
      <c r="D23482" s="50" t="str">
        <f>VLOOKUP(A23482,'[1]Componentes APUs'!$A$1:$D$14,3,0)</f>
        <v>U</v>
      </c>
      <c r="E23482" s="50">
        <f>SUM(C23453:C23458)</f>
        <v>2.75</v>
      </c>
      <c r="F23482" s="51">
        <f>VLOOKUP(A23482,'[1]Componentes APUs'!$A$1:$D$14,4,0)</f>
        <v>7575.757575757576</v>
      </c>
      <c r="G23482" s="51">
        <f>ROUNDUP(F23482*(E23482/21)/E23439,0)</f>
        <v>10</v>
      </c>
    </row>
    <row r="23483" spans="1:7" x14ac:dyDescent="0.25">
      <c r="A23483" s="50" t="s">
        <v>87</v>
      </c>
      <c r="B23483" s="72" t="str">
        <f>VLOOKUP(A23483,'[1]Componentes APUs'!$A$1:$D$14,2,0)</f>
        <v>Casco dielectrico Tipo 2 Clase E con barboquejo</v>
      </c>
      <c r="C23483" s="73"/>
      <c r="D23483" s="50" t="str">
        <f>VLOOKUP(A23483,'[1]Componentes APUs'!$A$1:$D$14,3,0)</f>
        <v>U</v>
      </c>
      <c r="E23483" s="53">
        <f>IF(A23455="MO-3",C23455,0)</f>
        <v>1</v>
      </c>
      <c r="F23483" s="51">
        <f>VLOOKUP(A23483,'[1]Componentes APUs'!$A$1:$D$14,4,0)</f>
        <v>7500</v>
      </c>
      <c r="G23483" s="51">
        <f>ROUNDUP(F23483*(E23483/21)/E23439,0)</f>
        <v>4</v>
      </c>
    </row>
    <row r="23484" spans="1:7" x14ac:dyDescent="0.25">
      <c r="A23484" s="69" t="s">
        <v>89</v>
      </c>
      <c r="B23484" s="72" t="str">
        <f>VLOOKUP(A23484,'[1]Componentes APUs'!$A$1:$D$14,2,0)</f>
        <v>Kit de rescate para trabajo en alturas</v>
      </c>
      <c r="C23484" s="73"/>
      <c r="D23484" s="50" t="str">
        <f>VLOOKUP(A23484,'[1]Componentes APUs'!$A$1:$D$14,3,0)</f>
        <v>U</v>
      </c>
      <c r="E23484" s="50">
        <f>IF(AND(A23455="MO-3",C23455=2),1,0)</f>
        <v>0</v>
      </c>
      <c r="F23484" s="51">
        <f>VLOOKUP(A23484,'[1]Componentes APUs'!$A$1:$D$14,4,0)</f>
        <v>37500</v>
      </c>
      <c r="G23484" s="51">
        <f>ROUNDUP(F23484*(E23484/21)/E23439,0)</f>
        <v>0</v>
      </c>
    </row>
    <row r="23485" spans="1:7" x14ac:dyDescent="0.25">
      <c r="A23485" s="50" t="s">
        <v>91</v>
      </c>
      <c r="B23485" s="72" t="str">
        <f>VLOOKUP(A23485,'[1]Componentes APUs'!$A$1:$D$14,2,0)</f>
        <v>Equipo completo para trabajo en alturas con pretales (Arnes dielectrico, 1 mosqueton de seguridad, tie off dielectrico, eslinga de posicionamiento, juego de pretales)</v>
      </c>
      <c r="C23485" s="73"/>
      <c r="D23485" s="50" t="str">
        <f>VLOOKUP(A23485,'[1]Componentes APUs'!$A$1:$D$14,3,0)</f>
        <v>U</v>
      </c>
      <c r="E23485" s="50">
        <f>IF(A23455="MO-3",C23455,0)</f>
        <v>1</v>
      </c>
      <c r="F23485" s="51">
        <f>VLOOKUP(A23485,'[1]Componentes APUs'!$A$1:$D$14,4,0)</f>
        <v>26041.666666666668</v>
      </c>
      <c r="G23485" s="51">
        <f>ROUNDUP(F23485*(E23485/21)/E23439,0)</f>
        <v>13</v>
      </c>
    </row>
    <row r="23486" spans="1:7" x14ac:dyDescent="0.25">
      <c r="A23486" s="219" t="s">
        <v>95</v>
      </c>
      <c r="B23486" s="219"/>
      <c r="C23486" s="219"/>
      <c r="D23486" s="219"/>
      <c r="E23486" s="219"/>
      <c r="F23486" s="219"/>
      <c r="G23486" s="52">
        <f>SUM(G23473:G23485)</f>
        <v>83</v>
      </c>
    </row>
    <row r="23487" spans="1:7" x14ac:dyDescent="0.25">
      <c r="A23487" s="56"/>
      <c r="B23487" s="57"/>
      <c r="C23487" s="57"/>
      <c r="D23487" s="57"/>
      <c r="E23487" s="57"/>
      <c r="F23487" s="57"/>
      <c r="G23487" s="58"/>
    </row>
    <row r="23488" spans="1:7" x14ac:dyDescent="0.25">
      <c r="A23488" s="219" t="s">
        <v>96</v>
      </c>
      <c r="B23488" s="219"/>
      <c r="C23488" s="219"/>
      <c r="D23488" s="219"/>
      <c r="E23488" s="219"/>
      <c r="F23488" s="219"/>
      <c r="G23488" s="219"/>
    </row>
    <row r="23489" spans="1:7" x14ac:dyDescent="0.25">
      <c r="A23489" s="49" t="s">
        <v>35</v>
      </c>
      <c r="B23489" s="225" t="s">
        <v>36</v>
      </c>
      <c r="C23489" s="225"/>
      <c r="D23489" s="49" t="s">
        <v>37</v>
      </c>
      <c r="E23489" s="49" t="s">
        <v>38</v>
      </c>
      <c r="F23489" s="49" t="s">
        <v>39</v>
      </c>
      <c r="G23489" s="49" t="s">
        <v>40</v>
      </c>
    </row>
    <row r="23490" spans="1:7" x14ac:dyDescent="0.25">
      <c r="A23490" s="69" t="s">
        <v>97</v>
      </c>
      <c r="B23490" s="72" t="str">
        <f>VLOOKUP(A23490,'[1]Componentes APUs'!$N$1:$Q$30,2,0)</f>
        <v>Camioneta</v>
      </c>
      <c r="C23490" s="73"/>
      <c r="D23490" s="70" t="str">
        <f>VLOOKUP(A23490,'[1]Componentes APUs'!$N$1:$Q$30,3,0)</f>
        <v>U</v>
      </c>
      <c r="E23490" s="50">
        <v>1</v>
      </c>
      <c r="F23490" s="51">
        <f>VLOOKUP(A23490,'[1]Componentes APUs'!$N$1:$Q$30,4,0)</f>
        <v>5500000</v>
      </c>
      <c r="G23490" s="51">
        <f>IFERROR(ROUNDUP(F23490*(E23490/21)/E23439,0),0)</f>
        <v>2620</v>
      </c>
    </row>
    <row r="23491" spans="1:7" x14ac:dyDescent="0.25">
      <c r="A23491" s="50" t="s">
        <v>321</v>
      </c>
      <c r="B23491" s="72" t="str">
        <f>VLOOKUP(A23491,'[1]Componentes APUs'!$N$1:$Q$30,2,0)</f>
        <v>Grúa Hidráulica</v>
      </c>
      <c r="C23491" s="73"/>
      <c r="D23491" s="70" t="str">
        <f>VLOOKUP(A23491,'[1]Componentes APUs'!$N$1:$Q$30,3,0)</f>
        <v>U</v>
      </c>
      <c r="E23491" s="50">
        <v>0</v>
      </c>
      <c r="F23491" s="51">
        <f>VLOOKUP(A23491,'[1]Componentes APUs'!$N$1:$Q$30,4,0)</f>
        <v>21000000</v>
      </c>
      <c r="G23491" s="51">
        <f>IFERROR(ROUNDUP(F23491*(E23491/21)/E23439,0),0)</f>
        <v>0</v>
      </c>
    </row>
    <row r="23492" spans="1:7" x14ac:dyDescent="0.25">
      <c r="A23492" s="69" t="s">
        <v>322</v>
      </c>
      <c r="B23492" s="72" t="str">
        <f>VLOOKUP(A23492,'[1]Componentes APUs'!$N$1:$Q$30,2,0)</f>
        <v>Camabaja</v>
      </c>
      <c r="C23492" s="73"/>
      <c r="D23492" s="70" t="str">
        <f>VLOOKUP(A23492,'[1]Componentes APUs'!$N$1:$Q$30,3,0)</f>
        <v>TON/KM</v>
      </c>
      <c r="E23492" s="50">
        <v>0</v>
      </c>
      <c r="F23492" s="51">
        <f>VLOOKUP(A23492,'[1]Componentes APUs'!$N$1:$Q$30,4,0)</f>
        <v>611</v>
      </c>
      <c r="G23492" s="51">
        <f>IFERROR(ROUNDUP(F23492*(E23492/21)/E23439,0),0)</f>
        <v>0</v>
      </c>
    </row>
    <row r="23493" spans="1:7" x14ac:dyDescent="0.25">
      <c r="A23493" s="50" t="s">
        <v>323</v>
      </c>
      <c r="B23493" s="72" t="str">
        <f>VLOOKUP(A23493,'[1]Componentes APUs'!$N$1:$Q$30,2,0)</f>
        <v>Volqueta</v>
      </c>
      <c r="C23493" s="73"/>
      <c r="D23493" s="70" t="str">
        <f>VLOOKUP(A23493,'[1]Componentes APUs'!$N$1:$Q$30,3,0)</f>
        <v>U</v>
      </c>
      <c r="E23493" s="50">
        <v>0</v>
      </c>
      <c r="F23493" s="51">
        <f>VLOOKUP(A23493,'[1]Componentes APUs'!$N$1:$Q$30,4,0)</f>
        <v>18900000</v>
      </c>
      <c r="G23493" s="51">
        <f>IFERROR(ROUNDUP(F23493*(E23493/21)/E23439,0),0)</f>
        <v>0</v>
      </c>
    </row>
    <row r="23494" spans="1:7" x14ac:dyDescent="0.25">
      <c r="A23494" s="69" t="s">
        <v>324</v>
      </c>
      <c r="B23494" s="72" t="str">
        <f>VLOOKUP(A23494,'[1]Componentes APUs'!$N$1:$Q$30,2,0)</f>
        <v>Retroexcavadora</v>
      </c>
      <c r="C23494" s="73"/>
      <c r="D23494" s="70" t="str">
        <f>VLOOKUP(A23494,'[1]Componentes APUs'!$N$1:$Q$30,3,0)</f>
        <v>U</v>
      </c>
      <c r="E23494" s="50">
        <v>0</v>
      </c>
      <c r="F23494" s="51">
        <f>VLOOKUP(A23494,'[1]Componentes APUs'!$N$1:$Q$30,4,0)</f>
        <v>1494459.54</v>
      </c>
      <c r="G23494" s="51">
        <f>IFERROR(ROUNDUP(F23494*(E23494/21)/E23439,0),0)</f>
        <v>0</v>
      </c>
    </row>
    <row r="23495" spans="1:7" x14ac:dyDescent="0.25">
      <c r="A23495" s="219" t="s">
        <v>99</v>
      </c>
      <c r="B23495" s="219"/>
      <c r="C23495" s="219"/>
      <c r="D23495" s="219"/>
      <c r="E23495" s="219"/>
      <c r="F23495" s="219"/>
      <c r="G23495" s="52">
        <f>SUM(G23490:G23494)</f>
        <v>2620</v>
      </c>
    </row>
    <row r="23496" spans="1:7" x14ac:dyDescent="0.25">
      <c r="A23496" s="56"/>
      <c r="B23496" s="57"/>
      <c r="C23496" s="57"/>
      <c r="D23496" s="57"/>
      <c r="E23496" s="57"/>
      <c r="F23496" s="57"/>
      <c r="G23496" s="58"/>
    </row>
    <row r="23497" spans="1:7" x14ac:dyDescent="0.25">
      <c r="A23497" s="219" t="s">
        <v>1516</v>
      </c>
      <c r="B23497" s="219"/>
      <c r="C23497" s="219"/>
      <c r="D23497" s="219"/>
      <c r="E23497" s="219"/>
      <c r="F23497" s="219"/>
      <c r="G23497" s="52">
        <f>G23495+G23486+G23469+G23459+G23449</f>
        <v>15617</v>
      </c>
    </row>
    <row r="23498" spans="1:7" x14ac:dyDescent="0.25">
      <c r="A23498" s="59"/>
      <c r="B23498" s="60"/>
      <c r="C23498" s="60"/>
      <c r="D23498" s="60"/>
      <c r="E23498" s="57"/>
      <c r="F23498" s="57"/>
      <c r="G23498" s="58"/>
    </row>
    <row r="23499" spans="1:7" x14ac:dyDescent="0.25">
      <c r="A23499" s="64"/>
      <c r="D23499" s="55"/>
      <c r="E23499" s="49" t="s">
        <v>25</v>
      </c>
      <c r="F23499" s="54">
        <v>0.15</v>
      </c>
      <c r="G23499" s="51">
        <f>G23497*F23499</f>
        <v>2342.5499999999997</v>
      </c>
    </row>
    <row r="23500" spans="1:7" x14ac:dyDescent="0.25">
      <c r="A23500" s="64"/>
      <c r="D23500" s="55"/>
      <c r="E23500" s="49" t="s">
        <v>26</v>
      </c>
      <c r="F23500" s="54">
        <v>0.05</v>
      </c>
      <c r="G23500" s="51">
        <f>G23497*F23500</f>
        <v>780.85</v>
      </c>
    </row>
    <row r="23501" spans="1:7" x14ac:dyDescent="0.25">
      <c r="A23501" s="61"/>
      <c r="B23501" s="65"/>
      <c r="C23501" s="65"/>
      <c r="D23501" s="62"/>
      <c r="E23501" s="49" t="s">
        <v>27</v>
      </c>
      <c r="F23501" s="54">
        <v>0.05</v>
      </c>
      <c r="G23501" s="51">
        <f>G23497*F23501</f>
        <v>780.85</v>
      </c>
    </row>
    <row r="23502" spans="1:7" x14ac:dyDescent="0.25">
      <c r="A23502" s="61"/>
      <c r="B23502" s="62"/>
      <c r="C23502" s="62"/>
      <c r="D23502" s="62"/>
      <c r="E23502" s="62"/>
      <c r="F23502" s="62"/>
      <c r="G23502" s="63"/>
    </row>
    <row r="23503" spans="1:7" x14ac:dyDescent="0.25">
      <c r="A23503" s="219" t="s">
        <v>1517</v>
      </c>
      <c r="B23503" s="219"/>
      <c r="C23503" s="219"/>
      <c r="D23503" s="219"/>
      <c r="E23503" s="219"/>
      <c r="F23503" s="219"/>
      <c r="G23503" s="52">
        <f>G23497+G23499+G23500+G23501</f>
        <v>19521.249999999996</v>
      </c>
    </row>
    <row r="23504" spans="1:7" x14ac:dyDescent="0.25">
      <c r="A23504" s="59"/>
      <c r="B23504" s="60"/>
      <c r="C23504" s="60"/>
      <c r="D23504" s="60"/>
      <c r="E23504" s="57"/>
      <c r="F23504" s="57"/>
      <c r="G23504" s="58"/>
    </row>
    <row r="23505" spans="1:7" x14ac:dyDescent="0.25">
      <c r="A23505" s="64"/>
      <c r="D23505" s="55"/>
      <c r="E23505" s="49" t="s">
        <v>102</v>
      </c>
      <c r="F23505" s="49" t="s">
        <v>103</v>
      </c>
      <c r="G23505" s="51">
        <f>G23501*19%</f>
        <v>148.36150000000001</v>
      </c>
    </row>
    <row r="23506" spans="1:7" x14ac:dyDescent="0.25">
      <c r="A23506" s="61"/>
      <c r="B23506" s="62"/>
      <c r="C23506" s="62"/>
      <c r="D23506" s="62"/>
      <c r="E23506" s="57"/>
      <c r="F23506" s="57"/>
      <c r="G23506" s="58"/>
    </row>
    <row r="23507" spans="1:7" x14ac:dyDescent="0.25">
      <c r="A23507" s="219" t="s">
        <v>104</v>
      </c>
      <c r="B23507" s="219"/>
      <c r="C23507" s="219"/>
      <c r="D23507" s="219"/>
      <c r="E23507" s="219"/>
      <c r="F23507" s="219"/>
      <c r="G23507" s="52">
        <f>G23505+G23503</f>
        <v>19669.611499999995</v>
      </c>
    </row>
    <row r="23509" spans="1:7" x14ac:dyDescent="0.25">
      <c r="A23509" s="74" t="s">
        <v>29</v>
      </c>
      <c r="B23509" s="237" t="s">
        <v>30</v>
      </c>
      <c r="C23509" s="238"/>
      <c r="D23509" s="74" t="s">
        <v>31</v>
      </c>
      <c r="E23509" s="74" t="s">
        <v>32</v>
      </c>
      <c r="F23509" s="74" t="s">
        <v>189</v>
      </c>
      <c r="G23509" s="74" t="s">
        <v>33</v>
      </c>
    </row>
    <row r="23510" spans="1:7" ht="45" customHeight="1" x14ac:dyDescent="0.25">
      <c r="A23510" s="50" t="str">
        <f>Presupuesto!B445</f>
        <v>103_AUX</v>
      </c>
      <c r="B23510" s="220" t="str">
        <f>Presupuesto!C445</f>
        <v>SUMINISTRO E INSTALACIÓN DE BAJANTE A ELECTRODO DE PUESTA TIERRA EN CABLE DE ALUMINIO 1/0 Y CABLE DE COBRE 1/0, EN TUBERÍA IMC 1/2" CON FUNDA AISLANTE DE 115 KV. INCLUYE SOLDADURA EXOTÉRMICA, DUCTO PVC Y FUNDA RAYCHEM (CASETA)</v>
      </c>
      <c r="C23510" s="239"/>
      <c r="D23510" s="50" t="s">
        <v>8</v>
      </c>
      <c r="E23510" s="50">
        <v>8</v>
      </c>
      <c r="F23510" s="50"/>
      <c r="G23510" s="51">
        <f>G23581</f>
        <v>1281099.1654999999</v>
      </c>
    </row>
    <row r="23511" spans="1:7" x14ac:dyDescent="0.25">
      <c r="A23511" s="234"/>
      <c r="B23511" s="236"/>
      <c r="C23511" s="236"/>
      <c r="D23511" s="236"/>
      <c r="E23511" s="236"/>
      <c r="F23511" s="236"/>
      <c r="G23511" s="235"/>
    </row>
    <row r="23512" spans="1:7" x14ac:dyDescent="0.25">
      <c r="A23512" s="49" t="s">
        <v>35</v>
      </c>
      <c r="B23512" s="234" t="s">
        <v>36</v>
      </c>
      <c r="C23512" s="235"/>
      <c r="D23512" s="49" t="s">
        <v>37</v>
      </c>
      <c r="E23512" s="49" t="s">
        <v>38</v>
      </c>
      <c r="F23512" s="49" t="s">
        <v>39</v>
      </c>
      <c r="G23512" s="49" t="s">
        <v>40</v>
      </c>
    </row>
    <row r="23513" spans="1:7" x14ac:dyDescent="0.25">
      <c r="A23513" s="17" t="str">
        <f>Material!A547</f>
        <v>MA-546</v>
      </c>
      <c r="B23513" s="72" t="str">
        <f>IFERROR(VLOOKUP(A23513,Material!$A:$J,2,0),"-")</f>
        <v>TUBO IMC 1/2"</v>
      </c>
      <c r="C23513" s="76"/>
      <c r="D23513" s="50" t="str">
        <f>IFERROR(VLOOKUP(A23513,Material!$A:$J,4,0),"-")</f>
        <v>ML</v>
      </c>
      <c r="E23513" s="50">
        <v>3</v>
      </c>
      <c r="F23513" s="51">
        <f>IFERROR(VLOOKUP(A23513,Material!$A:$J,3,0),"-")</f>
        <v>57460</v>
      </c>
      <c r="G23513" s="51">
        <f t="shared" ref="G23513:G23522" si="338">IFERROR(ROUNDUP(F23513*E23513,0),"-")</f>
        <v>172380</v>
      </c>
    </row>
    <row r="23514" spans="1:7" ht="26.25" customHeight="1" x14ac:dyDescent="0.25">
      <c r="A23514" s="17" t="str">
        <f>Material!A107</f>
        <v>MA-106</v>
      </c>
      <c r="B23514" s="221" t="str">
        <f>IFERROR(VLOOKUP(A23514,Material!$A:$J,2,0),"-")</f>
        <v>GRAPA OPERAR EN CALIENTE CONDUCTOR AWG-MCM 6 - 400. DIAMETRO 4 - 13.5 MM. (REF. EH = 795)</v>
      </c>
      <c r="C23514" s="222"/>
      <c r="D23514" s="50" t="str">
        <f>IFERROR(VLOOKUP(A23514,Material!$A:$J,4,0),"-")</f>
        <v>UN</v>
      </c>
      <c r="E23514" s="50">
        <v>1</v>
      </c>
      <c r="F23514" s="51">
        <f>IFERROR(VLOOKUP(A23514,Material!$A:$J,3,0),"-")</f>
        <v>52942.5</v>
      </c>
      <c r="G23514" s="51">
        <f t="shared" si="338"/>
        <v>52943</v>
      </c>
    </row>
    <row r="23515" spans="1:7" ht="23.25" customHeight="1" x14ac:dyDescent="0.25">
      <c r="A23515" s="17" t="str">
        <f>Material!A173</f>
        <v>MA-172</v>
      </c>
      <c r="B23515" s="221" t="str">
        <f>IFERROR(VLOOKUP(A23515,Material!$A:$J,2,0),"-")</f>
        <v>CUBIERTA O FUNDA PARA LINEA DESNUDA RAYCHEM 35KV CABLE NO 2 A 397KCMIL</v>
      </c>
      <c r="C23515" s="222"/>
      <c r="D23515" s="50" t="str">
        <f>IFERROR(VLOOKUP(A23515,Material!$A:$J,4,0),"-")</f>
        <v>ML</v>
      </c>
      <c r="E23515" s="50">
        <v>3</v>
      </c>
      <c r="F23515" s="51">
        <f>IFERROR(VLOOKUP(A23515,Material!$A:$J,3,0),"-")</f>
        <v>126685</v>
      </c>
      <c r="G23515" s="51">
        <f t="shared" si="338"/>
        <v>380055</v>
      </c>
    </row>
    <row r="23516" spans="1:7" x14ac:dyDescent="0.25">
      <c r="A23516" s="17" t="str">
        <f>Material!A162</f>
        <v>MA-161</v>
      </c>
      <c r="B23516" s="72" t="str">
        <f>IFERROR(VLOOKUP(A23516,Material!$A:$J,2,0),"-")</f>
        <v>SOLDADURA EXOTÉRMICA 115 G</v>
      </c>
      <c r="C23516" s="76"/>
      <c r="D23516" s="50" t="str">
        <f>IFERROR(VLOOKUP(A23516,Material!$A:$J,4,0),"-")</f>
        <v>UN</v>
      </c>
      <c r="E23516" s="50">
        <v>1</v>
      </c>
      <c r="F23516" s="51">
        <f>IFERROR(VLOOKUP(A23516,Material!$A:$J,3,0),"-")</f>
        <v>24505</v>
      </c>
      <c r="G23516" s="51">
        <f t="shared" si="338"/>
        <v>24505</v>
      </c>
    </row>
    <row r="23517" spans="1:7" x14ac:dyDescent="0.25">
      <c r="A23517" s="17" t="str">
        <f>Material!A131</f>
        <v>MA-130</v>
      </c>
      <c r="B23517" s="72" t="str">
        <f>IFERROR(VLOOKUP(A23517,Material!$A:$J,2,0),"-")</f>
        <v>TUBO PVC 1/2"</v>
      </c>
      <c r="C23517" s="76"/>
      <c r="D23517" s="50" t="str">
        <f>IFERROR(VLOOKUP(A23517,Material!$A:$J,4,0),"-")</f>
        <v>ML</v>
      </c>
      <c r="E23517" s="50">
        <v>3</v>
      </c>
      <c r="F23517" s="51">
        <f>IFERROR(VLOOKUP(A23517,Material!$A:$J,3,0),"-")</f>
        <v>1668.3333333333333</v>
      </c>
      <c r="G23517" s="51">
        <f t="shared" si="338"/>
        <v>5005</v>
      </c>
    </row>
    <row r="23518" spans="1:7" x14ac:dyDescent="0.25">
      <c r="A23518" s="17" t="str">
        <f>Material!A546</f>
        <v>MA-545</v>
      </c>
      <c r="B23518" s="72" t="str">
        <f>IFERROR(VLOOKUP(A23518,Material!$A:$J,2,0),"-")</f>
        <v>CURVA PVC 1/2"</v>
      </c>
      <c r="C23518" s="76"/>
      <c r="D23518" s="50" t="str">
        <f>IFERROR(VLOOKUP(A23518,Material!$A:$J,4,0),"-")</f>
        <v>UN</v>
      </c>
      <c r="E23518" s="50">
        <v>1</v>
      </c>
      <c r="F23518" s="51">
        <f>IFERROR(VLOOKUP(A23518,Material!$A:$J,3,0),"-")</f>
        <v>455</v>
      </c>
      <c r="G23518" s="51">
        <f t="shared" si="338"/>
        <v>455</v>
      </c>
    </row>
    <row r="23519" spans="1:7" x14ac:dyDescent="0.25">
      <c r="A23519" s="17" t="str">
        <f>Material!A172</f>
        <v>MA-171</v>
      </c>
      <c r="B23519" s="72" t="str">
        <f>IFERROR(VLOOKUP(A23519,Material!$A:$J,2,0),"-")</f>
        <v>CABLE COBRE DESNUDO CU 1/0 AWG</v>
      </c>
      <c r="C23519" s="76"/>
      <c r="D23519" s="50" t="str">
        <f>IFERROR(VLOOKUP(A23519,Material!$A:$J,4,0),"-")</f>
        <v>ML</v>
      </c>
      <c r="E23519" s="50">
        <v>5</v>
      </c>
      <c r="F23519" s="51">
        <f>IFERROR(VLOOKUP(A23519,Material!$A:$J,3,0),"-")</f>
        <v>47645</v>
      </c>
      <c r="G23519" s="51">
        <f t="shared" si="338"/>
        <v>238225</v>
      </c>
    </row>
    <row r="23520" spans="1:7" x14ac:dyDescent="0.25">
      <c r="A23520" s="17" t="str">
        <f>Material!A102</f>
        <v>MA-101</v>
      </c>
      <c r="B23520" s="72" t="str">
        <f>IFERROR(VLOOKUP(A23520,Material!$A:$J,2,0),"-")</f>
        <v>CINTA DE ACERO INOXIDABLE. DIMENSIONES 15.87 MM (REF. EH = 1282)</v>
      </c>
      <c r="C23520" s="76"/>
      <c r="D23520" s="50" t="str">
        <f>IFERROR(VLOOKUP(A23520,Material!$A:$J,4,0),"-")</f>
        <v>ML</v>
      </c>
      <c r="E23520" s="50">
        <v>3</v>
      </c>
      <c r="F23520" s="51">
        <f>IFERROR(VLOOKUP(A23520,Material!$A:$J,3,0),"-")</f>
        <v>6474</v>
      </c>
      <c r="G23520" s="51">
        <f t="shared" si="338"/>
        <v>19422</v>
      </c>
    </row>
    <row r="23521" spans="1:7" x14ac:dyDescent="0.25">
      <c r="A23521" s="17" t="str">
        <f>Material!A69</f>
        <v>MA-68</v>
      </c>
      <c r="B23521" s="72" t="str">
        <f>IFERROR(VLOOKUP(A23521,Material!$A:$J,2,0),"-")</f>
        <v>HEBILLA DE ACERO INOXIDABLE. DIMENSIONES 15.87 MM (REF. EH = 1292)</v>
      </c>
      <c r="C23521" s="76"/>
      <c r="D23521" s="50" t="str">
        <f>IFERROR(VLOOKUP(A23521,Material!$A:$J,4,0),"-")</f>
        <v>UN</v>
      </c>
      <c r="E23521" s="50">
        <v>3</v>
      </c>
      <c r="F23521" s="51">
        <f>IFERROR(VLOOKUP(A23521,Material!$A:$J,3,0),"-")</f>
        <v>780</v>
      </c>
      <c r="G23521" s="51">
        <f t="shared" si="338"/>
        <v>2340</v>
      </c>
    </row>
    <row r="23522" spans="1:7" x14ac:dyDescent="0.25">
      <c r="A23522" s="17" t="str">
        <f>Material!A155</f>
        <v>MA-154</v>
      </c>
      <c r="B23522" s="72" t="str">
        <f>IFERROR(VLOOKUP(A23522,Material!$A:$J,2,0),"-")</f>
        <v>ABRAZADERA GRAPA METÁLICA 1/2" PARA TUBERÍA</v>
      </c>
      <c r="C23522" s="76"/>
      <c r="D23522" s="50" t="str">
        <f>IFERROR(VLOOKUP(A23522,Material!$A:$J,4,0),"-")</f>
        <v>UN</v>
      </c>
      <c r="E23522" s="50">
        <v>3</v>
      </c>
      <c r="F23522" s="51">
        <f>IFERROR(VLOOKUP(A23522,Material!$A:$J,3,0),"-")</f>
        <v>1040</v>
      </c>
      <c r="G23522" s="51">
        <f t="shared" si="338"/>
        <v>3120</v>
      </c>
    </row>
    <row r="23523" spans="1:7" x14ac:dyDescent="0.25">
      <c r="A23523" s="234" t="s">
        <v>41</v>
      </c>
      <c r="B23523" s="236"/>
      <c r="C23523" s="236"/>
      <c r="D23523" s="236"/>
      <c r="E23523" s="236"/>
      <c r="F23523" s="235"/>
      <c r="G23523" s="52">
        <f>SUM(G23513:G23522)</f>
        <v>898450</v>
      </c>
    </row>
    <row r="23524" spans="1:7" x14ac:dyDescent="0.25">
      <c r="A23524" s="56"/>
      <c r="B23524" s="57"/>
      <c r="C23524" s="57"/>
      <c r="D23524" s="57"/>
      <c r="E23524" s="57"/>
      <c r="F23524" s="57"/>
      <c r="G23524" s="58"/>
    </row>
    <row r="23525" spans="1:7" x14ac:dyDescent="0.25">
      <c r="A23525" s="219" t="s">
        <v>42</v>
      </c>
      <c r="B23525" s="219"/>
      <c r="C23525" s="219"/>
      <c r="D23525" s="219"/>
      <c r="E23525" s="219"/>
      <c r="F23525" s="219"/>
      <c r="G23525" s="219"/>
    </row>
    <row r="23526" spans="1:7" x14ac:dyDescent="0.25">
      <c r="A23526" s="49" t="s">
        <v>35</v>
      </c>
      <c r="B23526" s="49" t="s">
        <v>36</v>
      </c>
      <c r="C23526" s="49" t="s">
        <v>38</v>
      </c>
      <c r="D23526" s="49" t="s">
        <v>43</v>
      </c>
      <c r="E23526" s="49" t="s">
        <v>44</v>
      </c>
      <c r="F23526" s="49" t="s">
        <v>45</v>
      </c>
      <c r="G23526" s="49" t="s">
        <v>40</v>
      </c>
    </row>
    <row r="23527" spans="1:7" x14ac:dyDescent="0.25">
      <c r="A23527" s="50" t="s">
        <v>319</v>
      </c>
      <c r="B23527" s="68" t="str">
        <f>VLOOKUP(A23527,'[1]Componentes APUs'!$H$1:$L$25,2,0)</f>
        <v>Ingeniero Residente de Obra</v>
      </c>
      <c r="C23527" s="93">
        <v>0.25</v>
      </c>
      <c r="D23527" s="50">
        <f>VLOOKUP(A23527,'[1]Componentes APUs'!$H$1:$L$25,3,0)</f>
        <v>4</v>
      </c>
      <c r="E23527" s="51">
        <f>VLOOKUP(A23527,'[1]Componentes APUs'!$H$1:$L$25,4,0)</f>
        <v>271142.85714285716</v>
      </c>
      <c r="F23527" s="51">
        <f>VLOOKUP(A23527,'[1]Componentes APUs'!$H$1:$L$25,5,0)</f>
        <v>162685.71428571429</v>
      </c>
      <c r="G23527" s="51">
        <f>ROUNDUP((E23527+F23527)*C23527/E23510,0)</f>
        <v>13558</v>
      </c>
    </row>
    <row r="23528" spans="1:7" x14ac:dyDescent="0.25">
      <c r="A23528" s="50" t="s">
        <v>320</v>
      </c>
      <c r="B23528" s="68" t="str">
        <f>VLOOKUP(A23528,'[1]Componentes APUs'!$H$1:$L$25,2,0)</f>
        <v>Tecnico Supervisor</v>
      </c>
      <c r="C23528" s="93">
        <v>0.25</v>
      </c>
      <c r="D23528" s="50">
        <f>VLOOKUP(A23528,'[1]Componentes APUs'!$H$1:$L$25,3,0)</f>
        <v>2.2999999999999998</v>
      </c>
      <c r="E23528" s="51">
        <f>VLOOKUP(A23528,'[1]Componentes APUs'!$H$1:$L$25,4,0)</f>
        <v>155907.14285714284</v>
      </c>
      <c r="F23528" s="51">
        <f>VLOOKUP(A23528,'[1]Componentes APUs'!$H$1:$L$25,5,0)</f>
        <v>93544.285714285696</v>
      </c>
      <c r="G23528" s="51">
        <f>ROUNDUP((E23528+F23528)*C23528/E23510,0)</f>
        <v>7796</v>
      </c>
    </row>
    <row r="23529" spans="1:7" x14ac:dyDescent="0.25">
      <c r="A23529" s="50" t="s">
        <v>46</v>
      </c>
      <c r="B23529" s="68" t="str">
        <f>VLOOKUP(A23529,'[1]Componentes APUs'!$H$1:$L$25,2,0)</f>
        <v>Tecnico Liniero</v>
      </c>
      <c r="C23529" s="93">
        <v>1</v>
      </c>
      <c r="D23529" s="50">
        <f>VLOOKUP(A23529,'[1]Componentes APUs'!$H$1:$L$25,3,0)</f>
        <v>2</v>
      </c>
      <c r="E23529" s="51">
        <f>VLOOKUP(A23529,'[1]Componentes APUs'!$H$1:$L$25,4,0)</f>
        <v>154619.04761904763</v>
      </c>
      <c r="F23529" s="51">
        <f>VLOOKUP(A23529,'[1]Componentes APUs'!$H$1:$L$25,5,0)</f>
        <v>92771.42857142858</v>
      </c>
      <c r="G23529" s="51">
        <f>ROUNDUP((E23529+F23529)*C23529/E23510,0)</f>
        <v>30924</v>
      </c>
    </row>
    <row r="23530" spans="1:7" x14ac:dyDescent="0.25">
      <c r="A23530" s="50" t="s">
        <v>48</v>
      </c>
      <c r="B23530" s="68" t="str">
        <f>VLOOKUP(A23530,'[1]Componentes APUs'!$H$1:$L$25,2,0)</f>
        <v>Ayudante Calificado</v>
      </c>
      <c r="C23530" s="93">
        <v>1</v>
      </c>
      <c r="D23530" s="50">
        <f>VLOOKUP(A23530,'[1]Componentes APUs'!$H$1:$L$25,3,0)</f>
        <v>1.5</v>
      </c>
      <c r="E23530" s="51">
        <f>VLOOKUP(A23530,'[1]Componentes APUs'!$H$1:$L$25,4,0)</f>
        <v>115964.28571428571</v>
      </c>
      <c r="F23530" s="51">
        <f>VLOOKUP(A23530,'[1]Componentes APUs'!$H$1:$L$25,5,0)</f>
        <v>69578.57142857142</v>
      </c>
      <c r="G23530" s="51">
        <f>ROUNDUP((E23530+F23530)*C23530/E23510,0)</f>
        <v>23193</v>
      </c>
    </row>
    <row r="23531" spans="1:7" x14ac:dyDescent="0.25">
      <c r="A23531" s="50" t="s">
        <v>50</v>
      </c>
      <c r="B23531" s="68" t="str">
        <f>VLOOKUP(A23531,'[1]Componentes APUs'!$H$1:$L$25,2,0)</f>
        <v>Profesional en SST</v>
      </c>
      <c r="C23531" s="93">
        <v>0.25</v>
      </c>
      <c r="D23531" s="50">
        <f>VLOOKUP(A23531,'[1]Componentes APUs'!$H$1:$L$25,3,0)</f>
        <v>2.5</v>
      </c>
      <c r="E23531" s="51">
        <f>VLOOKUP(A23531,'[1]Componentes APUs'!$H$1:$L$25,4,0)</f>
        <v>169464.28571428571</v>
      </c>
      <c r="F23531" s="51">
        <f>VLOOKUP(A23531,'[1]Componentes APUs'!$H$1:$L$25,5,0)</f>
        <v>101678.57142857142</v>
      </c>
      <c r="G23531" s="51">
        <f>ROUNDUP((E23531+F23531)*C23531/E23510,0)</f>
        <v>8474</v>
      </c>
    </row>
    <row r="23532" spans="1:7" x14ac:dyDescent="0.25">
      <c r="A23532" s="50" t="s">
        <v>52</v>
      </c>
      <c r="B23532" s="68" t="str">
        <f>VLOOKUP(A23532,'[1]Componentes APUs'!$H$1:$L$25,2,0)</f>
        <v>Ayudante No Calificado</v>
      </c>
      <c r="C23532" s="93">
        <v>0</v>
      </c>
      <c r="D23532" s="50">
        <f>VLOOKUP(A23532,'[1]Componentes APUs'!$H$1:$L$25,3,0)</f>
        <v>1</v>
      </c>
      <c r="E23532" s="51">
        <f>VLOOKUP(A23532,'[1]Componentes APUs'!$H$1:$L$25,4,0)</f>
        <v>77309.523809523816</v>
      </c>
      <c r="F23532" s="51">
        <f>VLOOKUP(A23532,'[1]Componentes APUs'!$H$1:$L$25,5,0)</f>
        <v>46385.71428571429</v>
      </c>
      <c r="G23532" s="51">
        <f>ROUNDUP((E23532+F23532)*C23532/E23510,0)</f>
        <v>0</v>
      </c>
    </row>
    <row r="23533" spans="1:7" x14ac:dyDescent="0.25">
      <c r="A23533" s="219" t="s">
        <v>56</v>
      </c>
      <c r="B23533" s="219"/>
      <c r="C23533" s="219"/>
      <c r="D23533" s="219"/>
      <c r="E23533" s="219"/>
      <c r="F23533" s="219"/>
      <c r="G23533" s="52">
        <f>SUM(G23527:G23532)</f>
        <v>83945</v>
      </c>
    </row>
    <row r="23534" spans="1:7" x14ac:dyDescent="0.25">
      <c r="A23534" s="56"/>
      <c r="B23534" s="57"/>
      <c r="C23534" s="57"/>
      <c r="D23534" s="57"/>
      <c r="E23534" s="57"/>
      <c r="F23534" s="57"/>
      <c r="G23534" s="58"/>
    </row>
    <row r="23535" spans="1:7" x14ac:dyDescent="0.25">
      <c r="A23535" s="219" t="s">
        <v>57</v>
      </c>
      <c r="B23535" s="219"/>
      <c r="C23535" s="219"/>
      <c r="D23535" s="219"/>
      <c r="E23535" s="219"/>
      <c r="F23535" s="219"/>
      <c r="G23535" s="219"/>
    </row>
    <row r="23536" spans="1:7" x14ac:dyDescent="0.25">
      <c r="A23536" s="49" t="s">
        <v>35</v>
      </c>
      <c r="B23536" s="219" t="s">
        <v>36</v>
      </c>
      <c r="C23536" s="219"/>
      <c r="D23536" s="49" t="s">
        <v>37</v>
      </c>
      <c r="E23536" s="49" t="s">
        <v>38</v>
      </c>
      <c r="F23536" s="49" t="s">
        <v>39</v>
      </c>
      <c r="G23536" s="49" t="s">
        <v>40</v>
      </c>
    </row>
    <row r="23537" spans="1:7" x14ac:dyDescent="0.25">
      <c r="A23537" s="50" t="s">
        <v>326</v>
      </c>
      <c r="B23537" s="220" t="str">
        <f>VLOOKUP(A23537,'[1]Componentes APUs'!$S$1:$V$10,2,0)</f>
        <v>Juego Llaves</v>
      </c>
      <c r="C23537" s="220"/>
      <c r="D23537" s="50" t="s">
        <v>18</v>
      </c>
      <c r="E23537" s="50">
        <v>2</v>
      </c>
      <c r="F23537" s="51">
        <f>VLOOKUP(A23537,'[1]Componentes APUs'!$S$1:$V$10,4,0)</f>
        <v>9167</v>
      </c>
      <c r="G23537" s="51">
        <f>ROUNDUP(F23537*((E23537/21)/E23510),0)</f>
        <v>110</v>
      </c>
    </row>
    <row r="23538" spans="1:7" x14ac:dyDescent="0.25">
      <c r="A23538" s="50" t="s">
        <v>58</v>
      </c>
      <c r="B23538" s="220" t="str">
        <f>VLOOKUP(A23538,'[1]Componentes APUs'!$S$1:$V$10,2,0)</f>
        <v>Manila de servicio</v>
      </c>
      <c r="C23538" s="220"/>
      <c r="D23538" s="50" t="s">
        <v>18</v>
      </c>
      <c r="E23538" s="50">
        <v>0</v>
      </c>
      <c r="F23538" s="51">
        <f>VLOOKUP(A23538,'[1]Componentes APUs'!$S$1:$V$10,4,0)</f>
        <v>2333</v>
      </c>
      <c r="G23538" s="51">
        <f>ROUNDUP(F23538*((E23538/21)/E23510),0)</f>
        <v>0</v>
      </c>
    </row>
    <row r="23539" spans="1:7" x14ac:dyDescent="0.25">
      <c r="A23539" s="50" t="s">
        <v>327</v>
      </c>
      <c r="B23539" s="220" t="str">
        <f>VLOOKUP(A23539,'[1]Componentes APUs'!$S$1:$V$10,2,0)</f>
        <v>Tula portaherramientas</v>
      </c>
      <c r="C23539" s="220"/>
      <c r="D23539" s="50" t="s">
        <v>18</v>
      </c>
      <c r="E23539" s="50">
        <v>2</v>
      </c>
      <c r="F23539" s="51">
        <f>VLOOKUP(A23539,'[1]Componentes APUs'!$S$1:$V$10,4,0)</f>
        <v>1250</v>
      </c>
      <c r="G23539" s="51">
        <f>ROUNDUP(F23539*((E23539/21)/E23510),0)</f>
        <v>15</v>
      </c>
    </row>
    <row r="23540" spans="1:7" x14ac:dyDescent="0.25">
      <c r="A23540" s="50" t="s">
        <v>60</v>
      </c>
      <c r="B23540" s="220" t="str">
        <f>VLOOKUP(A23540,'[1]Componentes APUs'!$S$1:$V$10,2,0)</f>
        <v>Agarradoras</v>
      </c>
      <c r="C23540" s="220"/>
      <c r="D23540" s="50" t="s">
        <v>18</v>
      </c>
      <c r="E23540" s="50">
        <v>0</v>
      </c>
      <c r="F23540" s="51">
        <f>VLOOKUP(A23540,'[1]Componentes APUs'!$S$1:$V$10,4,0)</f>
        <v>125000</v>
      </c>
      <c r="G23540" s="51">
        <f>ROUNDUP(F23540*((E23540/21)/E23510),0)</f>
        <v>0</v>
      </c>
    </row>
    <row r="23541" spans="1:7" x14ac:dyDescent="0.25">
      <c r="A23541" s="50" t="s">
        <v>62</v>
      </c>
      <c r="B23541" s="220" t="str">
        <f>VLOOKUP(A23541,'[1]Componentes APUs'!$S$1:$V$10,2,0)</f>
        <v>Templadoras</v>
      </c>
      <c r="C23541" s="220"/>
      <c r="D23541" s="50" t="s">
        <v>18</v>
      </c>
      <c r="E23541" s="50">
        <v>0</v>
      </c>
      <c r="F23541" s="51">
        <f>VLOOKUP(A23541,'[1]Componentes APUs'!$S$1:$V$10,4,0)</f>
        <v>250000</v>
      </c>
      <c r="G23541" s="51">
        <f>ROUNDUP(F23541*((E23541/21)/E23510),0)</f>
        <v>0</v>
      </c>
    </row>
    <row r="23542" spans="1:7" x14ac:dyDescent="0.25">
      <c r="A23542" s="50" t="s">
        <v>328</v>
      </c>
      <c r="B23542" s="220" t="str">
        <f>VLOOKUP(A23542,'[1]Componentes APUs'!$S$1:$V$10,2,0)</f>
        <v>Herramienta Menor</v>
      </c>
      <c r="C23542" s="220"/>
      <c r="D23542" s="50" t="s">
        <v>18</v>
      </c>
      <c r="E23542" s="50">
        <v>2</v>
      </c>
      <c r="F23542" s="51">
        <f>VLOOKUP(A23542,'[1]Componentes APUs'!$S$1:$V$10,4,0)</f>
        <v>75758</v>
      </c>
      <c r="G23542" s="51">
        <f>ROUNDUP(F23542*((E23542/21)/E23510),0)</f>
        <v>902</v>
      </c>
    </row>
    <row r="23543" spans="1:7" x14ac:dyDescent="0.25">
      <c r="A23543" s="219" t="s">
        <v>69</v>
      </c>
      <c r="B23543" s="219"/>
      <c r="C23543" s="219"/>
      <c r="D23543" s="219"/>
      <c r="E23543" s="219"/>
      <c r="F23543" s="219"/>
      <c r="G23543" s="52">
        <f>SUM(G23537:G23542)</f>
        <v>1027</v>
      </c>
    </row>
    <row r="23544" spans="1:7" x14ac:dyDescent="0.25">
      <c r="A23544" s="56"/>
      <c r="B23544" s="57"/>
      <c r="C23544" s="57"/>
      <c r="D23544" s="57"/>
      <c r="E23544" s="57"/>
      <c r="F23544" s="57"/>
      <c r="G23544" s="58"/>
    </row>
    <row r="23545" spans="1:7" x14ac:dyDescent="0.25">
      <c r="A23545" s="219" t="s">
        <v>70</v>
      </c>
      <c r="B23545" s="219"/>
      <c r="C23545" s="219"/>
      <c r="D23545" s="219"/>
      <c r="E23545" s="219"/>
      <c r="F23545" s="219"/>
      <c r="G23545" s="219"/>
    </row>
    <row r="23546" spans="1:7" x14ac:dyDescent="0.25">
      <c r="A23546" s="49" t="s">
        <v>35</v>
      </c>
      <c r="B23546" s="219" t="s">
        <v>36</v>
      </c>
      <c r="C23546" s="219"/>
      <c r="D23546" s="49" t="s">
        <v>37</v>
      </c>
      <c r="E23546" s="49" t="s">
        <v>38</v>
      </c>
      <c r="F23546" s="49" t="s">
        <v>39</v>
      </c>
      <c r="G23546" s="49" t="s">
        <v>40</v>
      </c>
    </row>
    <row r="23547" spans="1:7" x14ac:dyDescent="0.25">
      <c r="A23547" s="50" t="s">
        <v>71</v>
      </c>
      <c r="B23547" s="71" t="str">
        <f>VLOOKUP(A23547,'[1]Componentes APUs'!$A$1:$D$14,2,0)</f>
        <v>Camisa indigo sin partes metalicas</v>
      </c>
      <c r="C23547" s="71"/>
      <c r="D23547" s="50" t="str">
        <f>VLOOKUP(A23547,'[1]Componentes APUs'!$A$1:$D$14,3,0)</f>
        <v>U</v>
      </c>
      <c r="E23547" s="50">
        <f>SUM(C23527:C23532)</f>
        <v>2.75</v>
      </c>
      <c r="F23547" s="51">
        <f>VLOOKUP(A23547,'[1]Componentes APUs'!$A$1:$D$14,4,0)</f>
        <v>8585.8585858585866</v>
      </c>
      <c r="G23547" s="51">
        <f>ROUNDUP(F23547*(E23547/21)/E23510,0)</f>
        <v>141</v>
      </c>
    </row>
    <row r="23548" spans="1:7" x14ac:dyDescent="0.25">
      <c r="A23548" s="69" t="s">
        <v>73</v>
      </c>
      <c r="B23548" s="72" t="str">
        <f>VLOOKUP(A23548,'[1]Componentes APUs'!$A$1:$D$14,2,0)</f>
        <v>Bota de seguridad dielectrica</v>
      </c>
      <c r="C23548" s="73"/>
      <c r="D23548" s="70" t="str">
        <f>VLOOKUP(A23548,'[1]Componentes APUs'!$A$1:$D$14,3,0)</f>
        <v>Par</v>
      </c>
      <c r="E23548" s="50">
        <f>SUM(C23527:C23532)</f>
        <v>2.75</v>
      </c>
      <c r="F23548" s="51">
        <f>VLOOKUP(A23548,'[1]Componentes APUs'!$A$1:$D$14,4,0)</f>
        <v>7500</v>
      </c>
      <c r="G23548" s="51">
        <f>ROUNDUP(F23548*(E23548/21)/E23510,0)</f>
        <v>123</v>
      </c>
    </row>
    <row r="23549" spans="1:7" x14ac:dyDescent="0.25">
      <c r="A23549" s="50" t="s">
        <v>76</v>
      </c>
      <c r="B23549" s="72" t="str">
        <f>VLOOKUP(A23549,'[1]Componentes APUs'!$A$1:$D$14,2,0)</f>
        <v>Casco dielectrico Tipo 1 Clase E con barbuquejo</v>
      </c>
      <c r="C23549" s="73"/>
      <c r="D23549" s="50" t="str">
        <f>VLOOKUP(A23549,'[1]Componentes APUs'!$A$1:$D$14,3,0)</f>
        <v>U</v>
      </c>
      <c r="E23549" s="50">
        <f>C23532+C23527+C23530+C23531+C23528+IF(A23529&lt;&gt;"MO-3",C23529,0)</f>
        <v>1.75</v>
      </c>
      <c r="F23549" s="51">
        <f>VLOOKUP(A23549,'[1]Componentes APUs'!$A$1:$D$14,4,0)</f>
        <v>10101.010101010101</v>
      </c>
      <c r="G23549" s="51">
        <f>ROUNDUP(F23549*(E23549/21)/E23510,0)</f>
        <v>106</v>
      </c>
    </row>
    <row r="23550" spans="1:7" x14ac:dyDescent="0.25">
      <c r="A23550" s="69" t="s">
        <v>77</v>
      </c>
      <c r="B23550" s="72" t="str">
        <f>VLOOKUP(A23550,'[1]Componentes APUs'!$A$1:$D$14,2,0)</f>
        <v>Correa plastica y antiflama</v>
      </c>
      <c r="C23550" s="73"/>
      <c r="D23550" s="50" t="str">
        <f>VLOOKUP(A23550,'[1]Componentes APUs'!$A$1:$D$14,3,0)</f>
        <v>U</v>
      </c>
      <c r="E23550" s="50">
        <f>SUM(C23527:C23532)</f>
        <v>2.75</v>
      </c>
      <c r="F23550" s="51">
        <f>VLOOKUP(A23550,'[1]Componentes APUs'!$A$1:$D$14,4,0)</f>
        <v>3787.878787878788</v>
      </c>
      <c r="G23550" s="51">
        <f>ROUNDUP(F23550*(E23550/21)/E23510,0)</f>
        <v>63</v>
      </c>
    </row>
    <row r="23551" spans="1:7" x14ac:dyDescent="0.25">
      <c r="A23551" s="50" t="s">
        <v>79</v>
      </c>
      <c r="B23551" s="72" t="str">
        <f>VLOOKUP(A23551,'[1]Componentes APUs'!$A$1:$D$14,2,0)</f>
        <v>Gafas protectoras filtro UV</v>
      </c>
      <c r="C23551" s="73"/>
      <c r="D23551" s="50" t="str">
        <f>VLOOKUP(A23551,'[1]Componentes APUs'!$A$1:$D$14,3,0)</f>
        <v>U</v>
      </c>
      <c r="E23551" s="50">
        <f>SUM(C23527:C23532)</f>
        <v>2.75</v>
      </c>
      <c r="F23551" s="51">
        <f>VLOOKUP(A23551,'[1]Componentes APUs'!$A$1:$D$14,4,0)</f>
        <v>2777.7777777777778</v>
      </c>
      <c r="G23551" s="51">
        <f>ROUNDUP(F23551*(E23551/21)/E23510,0)</f>
        <v>46</v>
      </c>
    </row>
    <row r="23552" spans="1:7" x14ac:dyDescent="0.25">
      <c r="A23552" s="69" t="s">
        <v>402</v>
      </c>
      <c r="B23552" s="72" t="str">
        <f>VLOOKUP(A23552,'[1]Componentes APUs'!$A$1:$D$14,2,0)</f>
        <v>Bota de seguridad PVC dielectrica</v>
      </c>
      <c r="C23552" s="73"/>
      <c r="D23552" s="50" t="str">
        <f>VLOOKUP(A23552,'[1]Componentes APUs'!$A$1:$D$14,3,0)</f>
        <v>Par</v>
      </c>
      <c r="E23552" s="50">
        <f>SUM(C23527:C23532)</f>
        <v>2.75</v>
      </c>
      <c r="F23552" s="51">
        <f>VLOOKUP(A23552,'[1]Componentes APUs'!$A$1:$D$14,4,0)</f>
        <v>2916.6666666666665</v>
      </c>
      <c r="G23552" s="51">
        <f>ROUNDUP(F23552*(E23552/21)/E23510,0)</f>
        <v>48</v>
      </c>
    </row>
    <row r="23553" spans="1:7" x14ac:dyDescent="0.25">
      <c r="A23553" s="50" t="s">
        <v>403</v>
      </c>
      <c r="B23553" s="72" t="str">
        <f>VLOOKUP(A23553,'[1]Componentes APUs'!$A$1:$D$14,2,0)</f>
        <v>Capuchon</v>
      </c>
      <c r="C23553" s="73"/>
      <c r="D23553" s="50" t="str">
        <f>VLOOKUP(A23553,'[1]Componentes APUs'!$A$1:$D$14,3,0)</f>
        <v>U</v>
      </c>
      <c r="E23553" s="50">
        <f>SUM(C23527:C23532)</f>
        <v>2.75</v>
      </c>
      <c r="F23553" s="51">
        <f>VLOOKUP(A23553,'[1]Componentes APUs'!$A$1:$D$14,4,0)</f>
        <v>2525.2525252525252</v>
      </c>
      <c r="G23553" s="51">
        <f>ROUNDUP(F23553*(E23553/21)/E23510,0)</f>
        <v>42</v>
      </c>
    </row>
    <row r="23554" spans="1:7" x14ac:dyDescent="0.25">
      <c r="A23554" s="69" t="s">
        <v>81</v>
      </c>
      <c r="B23554" s="72" t="str">
        <f>VLOOKUP(A23554,'[1]Componentes APUs'!$A$1:$D$14,2,0)</f>
        <v>Guantes Protectores  - ingeniero reforzados</v>
      </c>
      <c r="C23554" s="73"/>
      <c r="D23554" s="50" t="str">
        <f>VLOOKUP(A23554,'[1]Componentes APUs'!$A$1:$D$14,3,0)</f>
        <v>Par</v>
      </c>
      <c r="E23554" s="50">
        <f>C23529+C23530+C23532</f>
        <v>2</v>
      </c>
      <c r="F23554" s="51">
        <f>VLOOKUP(A23554,'[1]Componentes APUs'!$A$1:$D$14,4,0)</f>
        <v>2525.2525252525252</v>
      </c>
      <c r="G23554" s="51">
        <f>ROUNDUP(F23554*(E23554/21)/E23510,0)</f>
        <v>31</v>
      </c>
    </row>
    <row r="23555" spans="1:7" x14ac:dyDescent="0.25">
      <c r="A23555" s="50" t="s">
        <v>83</v>
      </c>
      <c r="B23555" s="72" t="str">
        <f>VLOOKUP(A23555,'[1]Componentes APUs'!$A$1:$D$14,2,0)</f>
        <v>Impermeable (pantalon camisa)</v>
      </c>
      <c r="C23555" s="73"/>
      <c r="D23555" s="50" t="str">
        <f>VLOOKUP(A23555,'[1]Componentes APUs'!$A$1:$D$14,3,0)</f>
        <v>U</v>
      </c>
      <c r="E23555" s="50">
        <f>SUM(C23527:C23532)</f>
        <v>2.75</v>
      </c>
      <c r="F23555" s="51">
        <f>VLOOKUP(A23555,'[1]Componentes APUs'!$A$1:$D$14,4,0)</f>
        <v>3750</v>
      </c>
      <c r="G23555" s="51">
        <f>ROUNDUP(F23555*(E23555/21)/E23510,0)</f>
        <v>62</v>
      </c>
    </row>
    <row r="23556" spans="1:7" x14ac:dyDescent="0.25">
      <c r="A23556" s="69" t="s">
        <v>85</v>
      </c>
      <c r="B23556" s="72" t="str">
        <f>VLOOKUP(A23556,'[1]Componentes APUs'!$A$1:$D$14,2,0)</f>
        <v>Jean Dielectrico</v>
      </c>
      <c r="C23556" s="73"/>
      <c r="D23556" s="50" t="str">
        <f>VLOOKUP(A23556,'[1]Componentes APUs'!$A$1:$D$14,3,0)</f>
        <v>U</v>
      </c>
      <c r="E23556" s="50">
        <f>SUM(C23527:C23532)</f>
        <v>2.75</v>
      </c>
      <c r="F23556" s="51">
        <f>VLOOKUP(A23556,'[1]Componentes APUs'!$A$1:$D$14,4,0)</f>
        <v>7575.757575757576</v>
      </c>
      <c r="G23556" s="51">
        <f>ROUNDUP(F23556*(E23556/21)/E23510,0)</f>
        <v>125</v>
      </c>
    </row>
    <row r="23557" spans="1:7" x14ac:dyDescent="0.25">
      <c r="A23557" s="50" t="s">
        <v>87</v>
      </c>
      <c r="B23557" s="72" t="str">
        <f>VLOOKUP(A23557,'[1]Componentes APUs'!$A$1:$D$14,2,0)</f>
        <v>Casco dielectrico Tipo 2 Clase E con barboquejo</v>
      </c>
      <c r="C23557" s="73"/>
      <c r="D23557" s="50" t="str">
        <f>VLOOKUP(A23557,'[1]Componentes APUs'!$A$1:$D$14,3,0)</f>
        <v>U</v>
      </c>
      <c r="E23557" s="53">
        <f>IF(A23529="MO-3",C23529,0)</f>
        <v>1</v>
      </c>
      <c r="F23557" s="51">
        <f>VLOOKUP(A23557,'[1]Componentes APUs'!$A$1:$D$14,4,0)</f>
        <v>7500</v>
      </c>
      <c r="G23557" s="51">
        <f>ROUNDUP(F23557*(E23557/21)/E23510,0)</f>
        <v>45</v>
      </c>
    </row>
    <row r="23558" spans="1:7" x14ac:dyDescent="0.25">
      <c r="A23558" s="69" t="s">
        <v>89</v>
      </c>
      <c r="B23558" s="72" t="str">
        <f>VLOOKUP(A23558,'[1]Componentes APUs'!$A$1:$D$14,2,0)</f>
        <v>Kit de rescate para trabajo en alturas</v>
      </c>
      <c r="C23558" s="73"/>
      <c r="D23558" s="50" t="str">
        <f>VLOOKUP(A23558,'[1]Componentes APUs'!$A$1:$D$14,3,0)</f>
        <v>U</v>
      </c>
      <c r="E23558" s="50">
        <f>IF(AND(A23529="MO-3",C23529=2),1,0)</f>
        <v>0</v>
      </c>
      <c r="F23558" s="51">
        <f>VLOOKUP(A23558,'[1]Componentes APUs'!$A$1:$D$14,4,0)</f>
        <v>37500</v>
      </c>
      <c r="G23558" s="51">
        <f>ROUNDUP(F23558*(E23558/21)/E23510,0)</f>
        <v>0</v>
      </c>
    </row>
    <row r="23559" spans="1:7" x14ac:dyDescent="0.25">
      <c r="A23559" s="50" t="s">
        <v>91</v>
      </c>
      <c r="B23559" s="72" t="str">
        <f>VLOOKUP(A23559,'[1]Componentes APUs'!$A$1:$D$14,2,0)</f>
        <v>Equipo completo para trabajo en alturas con pretales (Arnes dielectrico, 1 mosqueton de seguridad, tie off dielectrico, eslinga de posicionamiento, juego de pretales)</v>
      </c>
      <c r="C23559" s="73"/>
      <c r="D23559" s="50" t="str">
        <f>VLOOKUP(A23559,'[1]Componentes APUs'!$A$1:$D$14,3,0)</f>
        <v>U</v>
      </c>
      <c r="E23559" s="50">
        <f>IF(A23529="MO-3",C23529,0)</f>
        <v>1</v>
      </c>
      <c r="F23559" s="51">
        <f>VLOOKUP(A23559,'[1]Componentes APUs'!$A$1:$D$14,4,0)</f>
        <v>26041.666666666668</v>
      </c>
      <c r="G23559" s="51">
        <f>ROUNDUP(F23559*(E23559/21)/E23510,0)</f>
        <v>156</v>
      </c>
    </row>
    <row r="23560" spans="1:7" x14ac:dyDescent="0.25">
      <c r="A23560" s="219" t="s">
        <v>95</v>
      </c>
      <c r="B23560" s="219"/>
      <c r="C23560" s="219"/>
      <c r="D23560" s="219"/>
      <c r="E23560" s="219"/>
      <c r="F23560" s="219"/>
      <c r="G23560" s="52">
        <f>SUM(G23547:G23559)</f>
        <v>988</v>
      </c>
    </row>
    <row r="23561" spans="1:7" x14ac:dyDescent="0.25">
      <c r="A23561" s="56"/>
      <c r="B23561" s="57"/>
      <c r="C23561" s="57"/>
      <c r="D23561" s="57"/>
      <c r="E23561" s="57"/>
      <c r="F23561" s="57"/>
      <c r="G23561" s="58"/>
    </row>
    <row r="23562" spans="1:7" x14ac:dyDescent="0.25">
      <c r="A23562" s="219" t="s">
        <v>96</v>
      </c>
      <c r="B23562" s="219"/>
      <c r="C23562" s="219"/>
      <c r="D23562" s="219"/>
      <c r="E23562" s="219"/>
      <c r="F23562" s="219"/>
      <c r="G23562" s="219"/>
    </row>
    <row r="23563" spans="1:7" x14ac:dyDescent="0.25">
      <c r="A23563" s="49" t="s">
        <v>35</v>
      </c>
      <c r="B23563" s="225" t="s">
        <v>36</v>
      </c>
      <c r="C23563" s="225"/>
      <c r="D23563" s="49" t="s">
        <v>37</v>
      </c>
      <c r="E23563" s="49" t="s">
        <v>38</v>
      </c>
      <c r="F23563" s="49" t="s">
        <v>39</v>
      </c>
      <c r="G23563" s="49" t="s">
        <v>40</v>
      </c>
    </row>
    <row r="23564" spans="1:7" x14ac:dyDescent="0.25">
      <c r="A23564" s="69" t="s">
        <v>97</v>
      </c>
      <c r="B23564" s="72" t="str">
        <f>VLOOKUP(A23564,'[1]Componentes APUs'!$N$1:$Q$30,2,0)</f>
        <v>Camioneta</v>
      </c>
      <c r="C23564" s="73"/>
      <c r="D23564" s="70" t="str">
        <f>VLOOKUP(A23564,'[1]Componentes APUs'!$N$1:$Q$30,3,0)</f>
        <v>U</v>
      </c>
      <c r="E23564" s="50">
        <v>1</v>
      </c>
      <c r="F23564" s="51">
        <f>VLOOKUP(A23564,'[1]Componentes APUs'!$N$1:$Q$30,4,0)</f>
        <v>5500000</v>
      </c>
      <c r="G23564" s="51">
        <f>IFERROR(ROUNDUP(F23564*(E23564/21)/E23510,0),0)</f>
        <v>32739</v>
      </c>
    </row>
    <row r="23565" spans="1:7" x14ac:dyDescent="0.25">
      <c r="A23565" s="50" t="s">
        <v>321</v>
      </c>
      <c r="B23565" s="72" t="str">
        <f>VLOOKUP(A23565,'[1]Componentes APUs'!$N$1:$Q$30,2,0)</f>
        <v>Grúa Hidráulica</v>
      </c>
      <c r="C23565" s="73"/>
      <c r="D23565" s="70" t="str">
        <f>VLOOKUP(A23565,'[1]Componentes APUs'!$N$1:$Q$30,3,0)</f>
        <v>U</v>
      </c>
      <c r="E23565" s="50">
        <v>0</v>
      </c>
      <c r="F23565" s="51">
        <f>VLOOKUP(A23565,'[1]Componentes APUs'!$N$1:$Q$30,4,0)</f>
        <v>21000000</v>
      </c>
      <c r="G23565" s="51">
        <f>IFERROR(ROUNDUP(F23565*(E23565/21)/E23510,0),0)</f>
        <v>0</v>
      </c>
    </row>
    <row r="23566" spans="1:7" x14ac:dyDescent="0.25">
      <c r="A23566" s="69" t="s">
        <v>322</v>
      </c>
      <c r="B23566" s="72" t="str">
        <f>VLOOKUP(A23566,'[1]Componentes APUs'!$N$1:$Q$30,2,0)</f>
        <v>Camabaja</v>
      </c>
      <c r="C23566" s="73"/>
      <c r="D23566" s="70" t="str">
        <f>VLOOKUP(A23566,'[1]Componentes APUs'!$N$1:$Q$30,3,0)</f>
        <v>TON/KM</v>
      </c>
      <c r="E23566" s="50">
        <v>0</v>
      </c>
      <c r="F23566" s="51">
        <f>VLOOKUP(A23566,'[1]Componentes APUs'!$N$1:$Q$30,4,0)</f>
        <v>611</v>
      </c>
      <c r="G23566" s="51">
        <f>IFERROR(ROUNDUP(F23566*(E23566/21)/E23510,0),0)</f>
        <v>0</v>
      </c>
    </row>
    <row r="23567" spans="1:7" x14ac:dyDescent="0.25">
      <c r="A23567" s="50" t="s">
        <v>323</v>
      </c>
      <c r="B23567" s="72" t="str">
        <f>VLOOKUP(A23567,'[1]Componentes APUs'!$N$1:$Q$30,2,0)</f>
        <v>Volqueta</v>
      </c>
      <c r="C23567" s="73"/>
      <c r="D23567" s="70" t="str">
        <f>VLOOKUP(A23567,'[1]Componentes APUs'!$N$1:$Q$30,3,0)</f>
        <v>U</v>
      </c>
      <c r="E23567" s="50">
        <v>0</v>
      </c>
      <c r="F23567" s="51">
        <f>VLOOKUP(A23567,'[1]Componentes APUs'!$N$1:$Q$30,4,0)</f>
        <v>18900000</v>
      </c>
      <c r="G23567" s="51">
        <f>IFERROR(ROUNDUP(F23567*(E23567/21)/E23510,0),0)</f>
        <v>0</v>
      </c>
    </row>
    <row r="23568" spans="1:7" x14ac:dyDescent="0.25">
      <c r="A23568" s="69" t="s">
        <v>324</v>
      </c>
      <c r="B23568" s="72" t="str">
        <f>VLOOKUP(A23568,'[1]Componentes APUs'!$N$1:$Q$30,2,0)</f>
        <v>Retroexcavadora</v>
      </c>
      <c r="C23568" s="73"/>
      <c r="D23568" s="70" t="str">
        <f>VLOOKUP(A23568,'[1]Componentes APUs'!$N$1:$Q$30,3,0)</f>
        <v>U</v>
      </c>
      <c r="E23568" s="50">
        <v>0</v>
      </c>
      <c r="F23568" s="51">
        <f>VLOOKUP(A23568,'[1]Componentes APUs'!$N$1:$Q$30,4,0)</f>
        <v>1494459.54</v>
      </c>
      <c r="G23568" s="51">
        <f>IFERROR(ROUNDUP(F23568*(E23568/21)/E23510,0),0)</f>
        <v>0</v>
      </c>
    </row>
    <row r="23569" spans="1:7" x14ac:dyDescent="0.25">
      <c r="A23569" s="219" t="s">
        <v>99</v>
      </c>
      <c r="B23569" s="219"/>
      <c r="C23569" s="219"/>
      <c r="D23569" s="219"/>
      <c r="E23569" s="219"/>
      <c r="F23569" s="219"/>
      <c r="G23569" s="52">
        <f>SUM(G23564:G23568)</f>
        <v>32739</v>
      </c>
    </row>
    <row r="23570" spans="1:7" x14ac:dyDescent="0.25">
      <c r="A23570" s="56"/>
      <c r="B23570" s="57"/>
      <c r="C23570" s="57"/>
      <c r="D23570" s="57"/>
      <c r="E23570" s="57"/>
      <c r="F23570" s="57"/>
      <c r="G23570" s="58"/>
    </row>
    <row r="23571" spans="1:7" x14ac:dyDescent="0.25">
      <c r="A23571" s="219" t="s">
        <v>1516</v>
      </c>
      <c r="B23571" s="219"/>
      <c r="C23571" s="219"/>
      <c r="D23571" s="219"/>
      <c r="E23571" s="219"/>
      <c r="F23571" s="219"/>
      <c r="G23571" s="52">
        <f>G23569+G23560+G23543+G23533+G23523</f>
        <v>1017149</v>
      </c>
    </row>
    <row r="23572" spans="1:7" x14ac:dyDescent="0.25">
      <c r="A23572" s="59"/>
      <c r="B23572" s="60"/>
      <c r="C23572" s="60"/>
      <c r="D23572" s="60"/>
      <c r="E23572" s="57"/>
      <c r="F23572" s="57"/>
      <c r="G23572" s="58"/>
    </row>
    <row r="23573" spans="1:7" x14ac:dyDescent="0.25">
      <c r="A23573" s="64"/>
      <c r="D23573" s="55"/>
      <c r="E23573" s="49" t="s">
        <v>25</v>
      </c>
      <c r="F23573" s="54">
        <v>0.15</v>
      </c>
      <c r="G23573" s="51">
        <f>G23571*F23573</f>
        <v>152572.35</v>
      </c>
    </row>
    <row r="23574" spans="1:7" x14ac:dyDescent="0.25">
      <c r="A23574" s="64"/>
      <c r="D23574" s="55"/>
      <c r="E23574" s="49" t="s">
        <v>26</v>
      </c>
      <c r="F23574" s="54">
        <v>0.05</v>
      </c>
      <c r="G23574" s="51">
        <f>G23571*F23574</f>
        <v>50857.450000000004</v>
      </c>
    </row>
    <row r="23575" spans="1:7" x14ac:dyDescent="0.25">
      <c r="A23575" s="61"/>
      <c r="B23575" s="65"/>
      <c r="C23575" s="65"/>
      <c r="D23575" s="62"/>
      <c r="E23575" s="49" t="s">
        <v>27</v>
      </c>
      <c r="F23575" s="54">
        <v>0.05</v>
      </c>
      <c r="G23575" s="51">
        <f>G23571*F23575</f>
        <v>50857.450000000004</v>
      </c>
    </row>
    <row r="23576" spans="1:7" x14ac:dyDescent="0.25">
      <c r="A23576" s="61"/>
      <c r="B23576" s="62"/>
      <c r="C23576" s="62"/>
      <c r="D23576" s="62"/>
      <c r="E23576" s="62"/>
      <c r="F23576" s="62"/>
      <c r="G23576" s="63"/>
    </row>
    <row r="23577" spans="1:7" x14ac:dyDescent="0.25">
      <c r="A23577" s="219" t="s">
        <v>1517</v>
      </c>
      <c r="B23577" s="219"/>
      <c r="C23577" s="219"/>
      <c r="D23577" s="219"/>
      <c r="E23577" s="219"/>
      <c r="F23577" s="219"/>
      <c r="G23577" s="52">
        <f>G23571+G23573+G23574+G23575</f>
        <v>1271436.25</v>
      </c>
    </row>
    <row r="23578" spans="1:7" x14ac:dyDescent="0.25">
      <c r="A23578" s="59"/>
      <c r="B23578" s="60"/>
      <c r="C23578" s="60"/>
      <c r="D23578" s="60"/>
      <c r="E23578" s="57"/>
      <c r="F23578" s="57"/>
      <c r="G23578" s="58"/>
    </row>
    <row r="23579" spans="1:7" x14ac:dyDescent="0.25">
      <c r="A23579" s="64"/>
      <c r="D23579" s="55"/>
      <c r="E23579" s="49" t="s">
        <v>102</v>
      </c>
      <c r="F23579" s="49" t="s">
        <v>103</v>
      </c>
      <c r="G23579" s="51">
        <f>G23575*19%</f>
        <v>9662.915500000001</v>
      </c>
    </row>
    <row r="23580" spans="1:7" x14ac:dyDescent="0.25">
      <c r="A23580" s="61"/>
      <c r="B23580" s="62"/>
      <c r="C23580" s="62"/>
      <c r="D23580" s="62"/>
      <c r="E23580" s="57"/>
      <c r="F23580" s="57"/>
      <c r="G23580" s="58"/>
    </row>
    <row r="23581" spans="1:7" x14ac:dyDescent="0.25">
      <c r="A23581" s="219" t="s">
        <v>104</v>
      </c>
      <c r="B23581" s="219"/>
      <c r="C23581" s="219"/>
      <c r="D23581" s="219"/>
      <c r="E23581" s="219"/>
      <c r="F23581" s="219"/>
      <c r="G23581" s="52">
        <f>G23579+G23577</f>
        <v>1281099.1654999999</v>
      </c>
    </row>
    <row r="23583" spans="1:7" x14ac:dyDescent="0.25">
      <c r="A23583" s="74" t="s">
        <v>29</v>
      </c>
      <c r="B23583" s="237" t="s">
        <v>30</v>
      </c>
      <c r="C23583" s="238"/>
      <c r="D23583" s="74" t="s">
        <v>31</v>
      </c>
      <c r="E23583" s="74" t="s">
        <v>32</v>
      </c>
      <c r="F23583" s="74" t="s">
        <v>189</v>
      </c>
      <c r="G23583" s="74" t="s">
        <v>33</v>
      </c>
    </row>
    <row r="23584" spans="1:7" ht="52.5" customHeight="1" x14ac:dyDescent="0.25">
      <c r="A23584" s="50" t="str">
        <f>Presupuesto!B446</f>
        <v>104_AUX</v>
      </c>
      <c r="B23584" s="220" t="str">
        <f>Presupuesto!C446</f>
        <v>SUMINISTRO E INSTALACIÓN DE BAJANTE A ELECTRODO DE PUESTA TIERRA EN CABLE DE ALUMINIO 1/0 Y CABLE DE COBRE 1/0, EN TUBERÍA IMC 1" CON FUNDA AISLANTE DE 115 KV. INCLUYE SOLDADURA EXOTÉRMICA, DUCTO PVC Y FUNDA RAYCHEM (POSTES)</v>
      </c>
      <c r="C23584" s="239"/>
      <c r="D23584" s="50" t="s">
        <v>8</v>
      </c>
      <c r="E23584" s="50">
        <v>5</v>
      </c>
      <c r="F23584" s="50"/>
      <c r="G23584" s="51">
        <f>G23655</f>
        <v>1727011.2859999998</v>
      </c>
    </row>
    <row r="23585" spans="1:7" x14ac:dyDescent="0.25">
      <c r="A23585" s="234"/>
      <c r="B23585" s="236"/>
      <c r="C23585" s="236"/>
      <c r="D23585" s="236"/>
      <c r="E23585" s="236"/>
      <c r="F23585" s="236"/>
      <c r="G23585" s="235"/>
    </row>
    <row r="23586" spans="1:7" x14ac:dyDescent="0.25">
      <c r="A23586" s="49" t="s">
        <v>35</v>
      </c>
      <c r="B23586" s="234" t="s">
        <v>36</v>
      </c>
      <c r="C23586" s="235"/>
      <c r="D23586" s="49" t="s">
        <v>37</v>
      </c>
      <c r="E23586" s="49" t="s">
        <v>38</v>
      </c>
      <c r="F23586" s="49" t="s">
        <v>39</v>
      </c>
      <c r="G23586" s="49" t="s">
        <v>40</v>
      </c>
    </row>
    <row r="23587" spans="1:7" x14ac:dyDescent="0.25">
      <c r="A23587" s="17" t="str">
        <f>Material!A547</f>
        <v>MA-546</v>
      </c>
      <c r="B23587" s="72" t="str">
        <f>IFERROR(VLOOKUP(A23587,Material!$A:$J,2,0),"-")</f>
        <v>TUBO IMC 1/2"</v>
      </c>
      <c r="C23587" s="76"/>
      <c r="D23587" s="50" t="str">
        <f>IFERROR(VLOOKUP(A23587,Material!$A:$J,4,0),"-")</f>
        <v>ML</v>
      </c>
      <c r="E23587" s="50">
        <v>3</v>
      </c>
      <c r="F23587" s="51">
        <f>IFERROR(VLOOKUP(A23587,Material!$A:$J,3,0),"-")</f>
        <v>57460</v>
      </c>
      <c r="G23587" s="51">
        <f t="shared" ref="G23587:G23599" si="339">IFERROR(ROUNDUP(F23587*E23587,0),"-")</f>
        <v>172380</v>
      </c>
    </row>
    <row r="23588" spans="1:7" x14ac:dyDescent="0.25">
      <c r="A23588" s="17" t="str">
        <f>Material!A266</f>
        <v>MA-265</v>
      </c>
      <c r="B23588" s="72" t="str">
        <f>IFERROR(VLOOKUP(A23588,Material!$A:$J,2,0),"-")</f>
        <v>TERMINAL-CONECTOR IMC DE 1/2"</v>
      </c>
      <c r="C23588" s="76"/>
      <c r="D23588" s="50" t="str">
        <f>IFERROR(VLOOKUP(A23588,Material!$A:$J,4,0),"-")</f>
        <v>UN</v>
      </c>
      <c r="E23588" s="50">
        <v>1</v>
      </c>
      <c r="F23588" s="51">
        <f>IFERROR(VLOOKUP(A23588,Material!$A:$J,3,0),"-")</f>
        <v>1950</v>
      </c>
      <c r="G23588" s="51">
        <f t="shared" si="339"/>
        <v>1950</v>
      </c>
    </row>
    <row r="23589" spans="1:7" ht="24.75" customHeight="1" x14ac:dyDescent="0.25">
      <c r="A23589" s="17" t="str">
        <f>Material!A173</f>
        <v>MA-172</v>
      </c>
      <c r="B23589" s="221" t="str">
        <f>IFERROR(VLOOKUP(A23589,Material!$A:$J,2,0),"-")</f>
        <v>CUBIERTA O FUNDA PARA LINEA DESNUDA RAYCHEM 35KV CABLE NO 2 A 397KCMIL</v>
      </c>
      <c r="C23589" s="222"/>
      <c r="D23589" s="50" t="str">
        <f>IFERROR(VLOOKUP(A23589,Material!$A:$J,4,0),"-")</f>
        <v>ML</v>
      </c>
      <c r="E23589" s="50">
        <v>3</v>
      </c>
      <c r="F23589" s="51">
        <f>IFERROR(VLOOKUP(A23589,Material!$A:$J,3,0),"-")</f>
        <v>126685</v>
      </c>
      <c r="G23589" s="51">
        <f t="shared" si="339"/>
        <v>380055</v>
      </c>
    </row>
    <row r="23590" spans="1:7" x14ac:dyDescent="0.25">
      <c r="A23590" s="17" t="str">
        <f>Material!A162</f>
        <v>MA-161</v>
      </c>
      <c r="B23590" s="72" t="str">
        <f>IFERROR(VLOOKUP(A23590,Material!$A:$J,2,0),"-")</f>
        <v>SOLDADURA EXOTÉRMICA 115 G</v>
      </c>
      <c r="C23590" s="76"/>
      <c r="D23590" s="50" t="str">
        <f>IFERROR(VLOOKUP(A23590,Material!$A:$J,4,0),"-")</f>
        <v>UN</v>
      </c>
      <c r="E23590" s="50">
        <v>1</v>
      </c>
      <c r="F23590" s="51">
        <f>IFERROR(VLOOKUP(A23590,Material!$A:$J,3,0),"-")</f>
        <v>24505</v>
      </c>
      <c r="G23590" s="51">
        <f t="shared" si="339"/>
        <v>24505</v>
      </c>
    </row>
    <row r="23591" spans="1:7" x14ac:dyDescent="0.25">
      <c r="A23591" s="17" t="str">
        <f>Material!A269</f>
        <v>MA-268</v>
      </c>
      <c r="B23591" s="72" t="str">
        <f>IFERROR(VLOOKUP(A23591,Material!$A:$J,2,0),"-")</f>
        <v>CABLE AISLADO NO 1/0 AWG ALUMINIO SERIE 8000 THHN</v>
      </c>
      <c r="C23591" s="76"/>
      <c r="D23591" s="50" t="str">
        <f>IFERROR(VLOOKUP(A23591,Material!$A:$J,4,0),"-")</f>
        <v>ML</v>
      </c>
      <c r="E23591" s="50">
        <v>9</v>
      </c>
      <c r="F23591" s="51">
        <f>IFERROR(VLOOKUP(A23591,Material!$A:$J,3,0),"-")</f>
        <v>10660</v>
      </c>
      <c r="G23591" s="51">
        <f t="shared" si="339"/>
        <v>95940</v>
      </c>
    </row>
    <row r="23592" spans="1:7" x14ac:dyDescent="0.25">
      <c r="A23592" s="17" t="str">
        <f>Material!A131</f>
        <v>MA-130</v>
      </c>
      <c r="B23592" s="72" t="str">
        <f>IFERROR(VLOOKUP(A23592,Material!$A:$J,2,0),"-")</f>
        <v>TUBO PVC 1/2"</v>
      </c>
      <c r="C23592" s="76"/>
      <c r="D23592" s="50" t="str">
        <f>IFERROR(VLOOKUP(A23592,Material!$A:$J,4,0),"-")</f>
        <v>ML</v>
      </c>
      <c r="E23592" s="50">
        <v>3</v>
      </c>
      <c r="F23592" s="51">
        <f>IFERROR(VLOOKUP(A23592,Material!$A:$J,3,0),"-")</f>
        <v>1668.3333333333333</v>
      </c>
      <c r="G23592" s="51">
        <f t="shared" si="339"/>
        <v>5005</v>
      </c>
    </row>
    <row r="23593" spans="1:7" x14ac:dyDescent="0.25">
      <c r="A23593" s="17" t="str">
        <f>Material!A546</f>
        <v>MA-545</v>
      </c>
      <c r="B23593" s="72" t="str">
        <f>IFERROR(VLOOKUP(A23593,Material!$A:$J,2,0),"-")</f>
        <v>CURVA PVC 1/2"</v>
      </c>
      <c r="C23593" s="76"/>
      <c r="D23593" s="50" t="str">
        <f>IFERROR(VLOOKUP(A23593,Material!$A:$J,4,0),"-")</f>
        <v>UN</v>
      </c>
      <c r="E23593" s="50">
        <v>1</v>
      </c>
      <c r="F23593" s="51">
        <f>IFERROR(VLOOKUP(A23593,Material!$A:$J,3,0),"-")</f>
        <v>455</v>
      </c>
      <c r="G23593" s="51">
        <f t="shared" si="339"/>
        <v>455</v>
      </c>
    </row>
    <row r="23594" spans="1:7" x14ac:dyDescent="0.25">
      <c r="A23594" s="17" t="str">
        <f>Material!A172</f>
        <v>MA-171</v>
      </c>
      <c r="B23594" s="72" t="str">
        <f>IFERROR(VLOOKUP(A23594,Material!$A:$J,2,0),"-")</f>
        <v>CABLE COBRE DESNUDO CU 1/0 AWG</v>
      </c>
      <c r="C23594" s="76"/>
      <c r="D23594" s="50" t="str">
        <f>IFERROR(VLOOKUP(A23594,Material!$A:$J,4,0),"-")</f>
        <v>ML</v>
      </c>
      <c r="E23594" s="50">
        <v>5</v>
      </c>
      <c r="F23594" s="51">
        <f>IFERROR(VLOOKUP(A23594,Material!$A:$J,3,0),"-")</f>
        <v>47645</v>
      </c>
      <c r="G23594" s="51">
        <f t="shared" si="339"/>
        <v>238225</v>
      </c>
    </row>
    <row r="23595" spans="1:7" x14ac:dyDescent="0.25">
      <c r="A23595" s="17" t="str">
        <f>Material!A268</f>
        <v>MA-267</v>
      </c>
      <c r="B23595" s="72" t="str">
        <f>IFERROR(VLOOKUP(A23595,Material!$A:$J,2,0),"-")</f>
        <v>GRAPA CRUZ PARALELA BIMETÁLICA</v>
      </c>
      <c r="C23595" s="76"/>
      <c r="D23595" s="50" t="str">
        <f>IFERROR(VLOOKUP(A23595,Material!$A:$J,4,0),"-")</f>
        <v>UN</v>
      </c>
      <c r="E23595" s="50">
        <v>1</v>
      </c>
      <c r="F23595" s="51">
        <f>IFERROR(VLOOKUP(A23595,Material!$A:$J,3,0),"-")</f>
        <v>108355</v>
      </c>
      <c r="G23595" s="51">
        <f t="shared" si="339"/>
        <v>108355</v>
      </c>
    </row>
    <row r="23596" spans="1:7" x14ac:dyDescent="0.25">
      <c r="A23596" s="17" t="str">
        <f>Material!A267</f>
        <v>MA-266</v>
      </c>
      <c r="B23596" s="72" t="str">
        <f>IFERROR(VLOOKUP(A23596,Material!$A:$J,2,0),"-")</f>
        <v>CAJA DE PASO IP 65</v>
      </c>
      <c r="C23596" s="76"/>
      <c r="D23596" s="50" t="str">
        <f>IFERROR(VLOOKUP(A23596,Material!$A:$J,4,0),"-")</f>
        <v>UN</v>
      </c>
      <c r="E23596" s="50">
        <v>1</v>
      </c>
      <c r="F23596" s="51">
        <f>IFERROR(VLOOKUP(A23596,Material!$A:$J,3,0),"-")</f>
        <v>67600</v>
      </c>
      <c r="G23596" s="51">
        <f t="shared" si="339"/>
        <v>67600</v>
      </c>
    </row>
    <row r="23597" spans="1:7" x14ac:dyDescent="0.25">
      <c r="A23597" s="17" t="str">
        <f>Material!A102</f>
        <v>MA-101</v>
      </c>
      <c r="B23597" s="72" t="str">
        <f>IFERROR(VLOOKUP(A23597,Material!$A:$J,2,0),"-")</f>
        <v>CINTA DE ACERO INOXIDABLE. DIMENSIONES 15.87 MM (REF. EH = 1282)</v>
      </c>
      <c r="C23597" s="76"/>
      <c r="D23597" s="50" t="str">
        <f>IFERROR(VLOOKUP(A23597,Material!$A:$J,4,0),"-")</f>
        <v>ML</v>
      </c>
      <c r="E23597" s="50">
        <v>3</v>
      </c>
      <c r="F23597" s="51">
        <f>IFERROR(VLOOKUP(A23597,Material!$A:$J,3,0),"-")</f>
        <v>6474</v>
      </c>
      <c r="G23597" s="51">
        <f t="shared" si="339"/>
        <v>19422</v>
      </c>
    </row>
    <row r="23598" spans="1:7" x14ac:dyDescent="0.25">
      <c r="A23598" s="17" t="str">
        <f>Material!A69</f>
        <v>MA-68</v>
      </c>
      <c r="B23598" s="72" t="str">
        <f>IFERROR(VLOOKUP(A23598,Material!$A:$J,2,0),"-")</f>
        <v>HEBILLA DE ACERO INOXIDABLE. DIMENSIONES 15.87 MM (REF. EH = 1292)</v>
      </c>
      <c r="C23598" s="76"/>
      <c r="D23598" s="50" t="str">
        <f>IFERROR(VLOOKUP(A23598,Material!$A:$J,4,0),"-")</f>
        <v>UN</v>
      </c>
      <c r="E23598" s="50">
        <v>3</v>
      </c>
      <c r="F23598" s="51">
        <f>IFERROR(VLOOKUP(A23598,Material!$A:$J,3,0),"-")</f>
        <v>780</v>
      </c>
      <c r="G23598" s="51">
        <f t="shared" si="339"/>
        <v>2340</v>
      </c>
    </row>
    <row r="23599" spans="1:7" x14ac:dyDescent="0.25">
      <c r="A23599" s="17" t="str">
        <f>Material!A272</f>
        <v>MA-271</v>
      </c>
      <c r="B23599" s="72" t="str">
        <f>IFERROR(VLOOKUP(A23599,Material!$A:$J,2,0),"-")</f>
        <v xml:space="preserve">GRAPA CRUZ RD8 X RD 16MM ACERO GALVANIZADO </v>
      </c>
      <c r="C23599" s="76"/>
      <c r="D23599" s="50" t="str">
        <f>IFERROR(VLOOKUP(A23599,Material!$A:$J,4,0),"-")</f>
        <v>UN</v>
      </c>
      <c r="E23599" s="50">
        <v>1</v>
      </c>
      <c r="F23599" s="51">
        <f>IFERROR(VLOOKUP(A23599,Material!$A:$J,3,0),"-")</f>
        <v>65000</v>
      </c>
      <c r="G23599" s="51">
        <f t="shared" si="339"/>
        <v>65000</v>
      </c>
    </row>
    <row r="23600" spans="1:7" x14ac:dyDescent="0.25">
      <c r="A23600" s="234" t="s">
        <v>41</v>
      </c>
      <c r="B23600" s="236"/>
      <c r="C23600" s="236"/>
      <c r="D23600" s="236"/>
      <c r="E23600" s="236"/>
      <c r="F23600" s="235"/>
      <c r="G23600" s="52">
        <f>SUM(G23587:G23599)</f>
        <v>1181232</v>
      </c>
    </row>
    <row r="23601" spans="1:7" x14ac:dyDescent="0.25">
      <c r="A23601" s="56"/>
      <c r="B23601" s="57"/>
      <c r="C23601" s="57"/>
      <c r="D23601" s="57"/>
      <c r="E23601" s="57"/>
      <c r="F23601" s="57"/>
      <c r="G23601" s="58"/>
    </row>
    <row r="23602" spans="1:7" x14ac:dyDescent="0.25">
      <c r="A23602" s="219" t="s">
        <v>42</v>
      </c>
      <c r="B23602" s="219"/>
      <c r="C23602" s="219"/>
      <c r="D23602" s="219"/>
      <c r="E23602" s="219"/>
      <c r="F23602" s="219"/>
      <c r="G23602" s="219"/>
    </row>
    <row r="23603" spans="1:7" x14ac:dyDescent="0.25">
      <c r="A23603" s="49" t="s">
        <v>35</v>
      </c>
      <c r="B23603" s="49" t="s">
        <v>36</v>
      </c>
      <c r="C23603" s="49" t="s">
        <v>38</v>
      </c>
      <c r="D23603" s="49" t="s">
        <v>43</v>
      </c>
      <c r="E23603" s="49" t="s">
        <v>44</v>
      </c>
      <c r="F23603" s="49" t="s">
        <v>45</v>
      </c>
      <c r="G23603" s="49" t="s">
        <v>40</v>
      </c>
    </row>
    <row r="23604" spans="1:7" x14ac:dyDescent="0.25">
      <c r="A23604" s="50" t="s">
        <v>319</v>
      </c>
      <c r="B23604" s="68" t="str">
        <f>VLOOKUP(A23604,'[1]Componentes APUs'!$H$1:$L$25,2,0)</f>
        <v>Ingeniero Residente de Obra</v>
      </c>
      <c r="C23604" s="93">
        <v>0.25</v>
      </c>
      <c r="D23604" s="50">
        <f>VLOOKUP(A23604,'[1]Componentes APUs'!$H$1:$L$25,3,0)</f>
        <v>4</v>
      </c>
      <c r="E23604" s="51">
        <f>VLOOKUP(A23604,'[1]Componentes APUs'!$H$1:$L$25,4,0)</f>
        <v>271142.85714285716</v>
      </c>
      <c r="F23604" s="51">
        <f>VLOOKUP(A23604,'[1]Componentes APUs'!$H$1:$L$25,5,0)</f>
        <v>162685.71428571429</v>
      </c>
      <c r="G23604" s="51">
        <f>ROUNDUP((E23604+F23604)*C23604/E23584,0)</f>
        <v>21692</v>
      </c>
    </row>
    <row r="23605" spans="1:7" x14ac:dyDescent="0.25">
      <c r="A23605" s="50" t="s">
        <v>320</v>
      </c>
      <c r="B23605" s="68" t="str">
        <f>VLOOKUP(A23605,'[1]Componentes APUs'!$H$1:$L$25,2,0)</f>
        <v>Tecnico Supervisor</v>
      </c>
      <c r="C23605" s="93">
        <v>0.25</v>
      </c>
      <c r="D23605" s="50">
        <f>VLOOKUP(A23605,'[1]Componentes APUs'!$H$1:$L$25,3,0)</f>
        <v>2.2999999999999998</v>
      </c>
      <c r="E23605" s="51">
        <f>VLOOKUP(A23605,'[1]Componentes APUs'!$H$1:$L$25,4,0)</f>
        <v>155907.14285714284</v>
      </c>
      <c r="F23605" s="51">
        <f>VLOOKUP(A23605,'[1]Componentes APUs'!$H$1:$L$25,5,0)</f>
        <v>93544.285714285696</v>
      </c>
      <c r="G23605" s="51">
        <f>ROUNDUP((E23605+F23605)*C23605/E23584,0)</f>
        <v>12473</v>
      </c>
    </row>
    <row r="23606" spans="1:7" x14ac:dyDescent="0.25">
      <c r="A23606" s="50" t="s">
        <v>46</v>
      </c>
      <c r="B23606" s="68" t="str">
        <f>VLOOKUP(A23606,'[1]Componentes APUs'!$H$1:$L$25,2,0)</f>
        <v>Tecnico Liniero</v>
      </c>
      <c r="C23606" s="93">
        <v>1</v>
      </c>
      <c r="D23606" s="50">
        <f>VLOOKUP(A23606,'[1]Componentes APUs'!$H$1:$L$25,3,0)</f>
        <v>2</v>
      </c>
      <c r="E23606" s="51">
        <f>VLOOKUP(A23606,'[1]Componentes APUs'!$H$1:$L$25,4,0)</f>
        <v>154619.04761904763</v>
      </c>
      <c r="F23606" s="51">
        <f>VLOOKUP(A23606,'[1]Componentes APUs'!$H$1:$L$25,5,0)</f>
        <v>92771.42857142858</v>
      </c>
      <c r="G23606" s="51">
        <f>ROUNDUP((E23606+F23606)*C23606/E23584,0)</f>
        <v>49479</v>
      </c>
    </row>
    <row r="23607" spans="1:7" x14ac:dyDescent="0.25">
      <c r="A23607" s="50" t="s">
        <v>48</v>
      </c>
      <c r="B23607" s="68" t="str">
        <f>VLOOKUP(A23607,'[1]Componentes APUs'!$H$1:$L$25,2,0)</f>
        <v>Ayudante Calificado</v>
      </c>
      <c r="C23607" s="93">
        <v>1</v>
      </c>
      <c r="D23607" s="50">
        <f>VLOOKUP(A23607,'[1]Componentes APUs'!$H$1:$L$25,3,0)</f>
        <v>1.5</v>
      </c>
      <c r="E23607" s="51">
        <f>VLOOKUP(A23607,'[1]Componentes APUs'!$H$1:$L$25,4,0)</f>
        <v>115964.28571428571</v>
      </c>
      <c r="F23607" s="51">
        <f>VLOOKUP(A23607,'[1]Componentes APUs'!$H$1:$L$25,5,0)</f>
        <v>69578.57142857142</v>
      </c>
      <c r="G23607" s="51">
        <f>ROUNDUP((E23607+F23607)*C23607/E23584,0)</f>
        <v>37109</v>
      </c>
    </row>
    <row r="23608" spans="1:7" x14ac:dyDescent="0.25">
      <c r="A23608" s="50" t="s">
        <v>50</v>
      </c>
      <c r="B23608" s="68" t="str">
        <f>VLOOKUP(A23608,'[1]Componentes APUs'!$H$1:$L$25,2,0)</f>
        <v>Profesional en SST</v>
      </c>
      <c r="C23608" s="93">
        <v>0.25</v>
      </c>
      <c r="D23608" s="50">
        <f>VLOOKUP(A23608,'[1]Componentes APUs'!$H$1:$L$25,3,0)</f>
        <v>2.5</v>
      </c>
      <c r="E23608" s="51">
        <f>VLOOKUP(A23608,'[1]Componentes APUs'!$H$1:$L$25,4,0)</f>
        <v>169464.28571428571</v>
      </c>
      <c r="F23608" s="51">
        <f>VLOOKUP(A23608,'[1]Componentes APUs'!$H$1:$L$25,5,0)</f>
        <v>101678.57142857142</v>
      </c>
      <c r="G23608" s="51">
        <f>ROUNDUP((E23608+F23608)*C23608/E23584,0)</f>
        <v>13558</v>
      </c>
    </row>
    <row r="23609" spans="1:7" x14ac:dyDescent="0.25">
      <c r="A23609" s="50" t="s">
        <v>52</v>
      </c>
      <c r="B23609" s="68" t="str">
        <f>VLOOKUP(A23609,'[1]Componentes APUs'!$H$1:$L$25,2,0)</f>
        <v>Ayudante No Calificado</v>
      </c>
      <c r="C23609" s="93">
        <v>0</v>
      </c>
      <c r="D23609" s="50">
        <f>VLOOKUP(A23609,'[1]Componentes APUs'!$H$1:$L$25,3,0)</f>
        <v>1</v>
      </c>
      <c r="E23609" s="51">
        <f>VLOOKUP(A23609,'[1]Componentes APUs'!$H$1:$L$25,4,0)</f>
        <v>77309.523809523816</v>
      </c>
      <c r="F23609" s="51">
        <f>VLOOKUP(A23609,'[1]Componentes APUs'!$H$1:$L$25,5,0)</f>
        <v>46385.71428571429</v>
      </c>
      <c r="G23609" s="51">
        <f>ROUNDUP((E23609+F23609)*C23609/E23584,0)</f>
        <v>0</v>
      </c>
    </row>
    <row r="23610" spans="1:7" x14ac:dyDescent="0.25">
      <c r="A23610" s="219" t="s">
        <v>56</v>
      </c>
      <c r="B23610" s="219"/>
      <c r="C23610" s="219"/>
      <c r="D23610" s="219"/>
      <c r="E23610" s="219"/>
      <c r="F23610" s="219"/>
      <c r="G23610" s="52">
        <f>SUM(G23604:G23609)</f>
        <v>134311</v>
      </c>
    </row>
    <row r="23611" spans="1:7" x14ac:dyDescent="0.25">
      <c r="A23611" s="56"/>
      <c r="B23611" s="57"/>
      <c r="C23611" s="57"/>
      <c r="D23611" s="57"/>
      <c r="E23611" s="57"/>
      <c r="F23611" s="57"/>
      <c r="G23611" s="58"/>
    </row>
    <row r="23612" spans="1:7" x14ac:dyDescent="0.25">
      <c r="A23612" s="219" t="s">
        <v>57</v>
      </c>
      <c r="B23612" s="219"/>
      <c r="C23612" s="219"/>
      <c r="D23612" s="219"/>
      <c r="E23612" s="219"/>
      <c r="F23612" s="219"/>
      <c r="G23612" s="219"/>
    </row>
    <row r="23613" spans="1:7" x14ac:dyDescent="0.25">
      <c r="A23613" s="49" t="s">
        <v>35</v>
      </c>
      <c r="B23613" s="219" t="s">
        <v>36</v>
      </c>
      <c r="C23613" s="219"/>
      <c r="D23613" s="49" t="s">
        <v>37</v>
      </c>
      <c r="E23613" s="49" t="s">
        <v>38</v>
      </c>
      <c r="F23613" s="49" t="s">
        <v>39</v>
      </c>
      <c r="G23613" s="49" t="s">
        <v>40</v>
      </c>
    </row>
    <row r="23614" spans="1:7" x14ac:dyDescent="0.25">
      <c r="A23614" s="50" t="s">
        <v>326</v>
      </c>
      <c r="B23614" s="220" t="str">
        <f>VLOOKUP(A23614,'[1]Componentes APUs'!$S$1:$V$10,2,0)</f>
        <v>Juego Llaves</v>
      </c>
      <c r="C23614" s="220"/>
      <c r="D23614" s="50" t="s">
        <v>18</v>
      </c>
      <c r="E23614" s="50">
        <v>2</v>
      </c>
      <c r="F23614" s="51">
        <f>VLOOKUP(A23614,'[1]Componentes APUs'!$S$1:$V$10,4,0)</f>
        <v>9167</v>
      </c>
      <c r="G23614" s="51">
        <f>ROUNDUP(F23614*((E23614/21)/E23584),0)</f>
        <v>175</v>
      </c>
    </row>
    <row r="23615" spans="1:7" x14ac:dyDescent="0.25">
      <c r="A23615" s="50" t="s">
        <v>58</v>
      </c>
      <c r="B23615" s="220" t="str">
        <f>VLOOKUP(A23615,'[1]Componentes APUs'!$S$1:$V$10,2,0)</f>
        <v>Manila de servicio</v>
      </c>
      <c r="C23615" s="220"/>
      <c r="D23615" s="50" t="s">
        <v>18</v>
      </c>
      <c r="E23615" s="50">
        <v>2</v>
      </c>
      <c r="F23615" s="51">
        <f>VLOOKUP(A23615,'[1]Componentes APUs'!$S$1:$V$10,4,0)</f>
        <v>2333</v>
      </c>
      <c r="G23615" s="51">
        <f>ROUNDUP(F23615*((E23615/21)/E23584),0)</f>
        <v>45</v>
      </c>
    </row>
    <row r="23616" spans="1:7" x14ac:dyDescent="0.25">
      <c r="A23616" s="50" t="s">
        <v>327</v>
      </c>
      <c r="B23616" s="220" t="str">
        <f>VLOOKUP(A23616,'[1]Componentes APUs'!$S$1:$V$10,2,0)</f>
        <v>Tula portaherramientas</v>
      </c>
      <c r="C23616" s="220"/>
      <c r="D23616" s="50" t="s">
        <v>18</v>
      </c>
      <c r="E23616" s="50">
        <v>2</v>
      </c>
      <c r="F23616" s="51">
        <f>VLOOKUP(A23616,'[1]Componentes APUs'!$S$1:$V$10,4,0)</f>
        <v>1250</v>
      </c>
      <c r="G23616" s="51">
        <f>ROUNDUP(F23616*((E23616/21)/E23584),0)</f>
        <v>24</v>
      </c>
    </row>
    <row r="23617" spans="1:7" x14ac:dyDescent="0.25">
      <c r="A23617" s="50" t="s">
        <v>60</v>
      </c>
      <c r="B23617" s="220" t="str">
        <f>VLOOKUP(A23617,'[1]Componentes APUs'!$S$1:$V$10,2,0)</f>
        <v>Agarradoras</v>
      </c>
      <c r="C23617" s="220"/>
      <c r="D23617" s="50" t="s">
        <v>18</v>
      </c>
      <c r="E23617" s="50">
        <v>0</v>
      </c>
      <c r="F23617" s="51">
        <f>VLOOKUP(A23617,'[1]Componentes APUs'!$S$1:$V$10,4,0)</f>
        <v>125000</v>
      </c>
      <c r="G23617" s="51">
        <f>ROUNDUP(F23617*((E23617/21)/E23584),0)</f>
        <v>0</v>
      </c>
    </row>
    <row r="23618" spans="1:7" x14ac:dyDescent="0.25">
      <c r="A23618" s="50" t="s">
        <v>62</v>
      </c>
      <c r="B23618" s="220" t="str">
        <f>VLOOKUP(A23618,'[1]Componentes APUs'!$S$1:$V$10,2,0)</f>
        <v>Templadoras</v>
      </c>
      <c r="C23618" s="220"/>
      <c r="D23618" s="50" t="s">
        <v>18</v>
      </c>
      <c r="E23618" s="50">
        <v>0</v>
      </c>
      <c r="F23618" s="51">
        <f>VLOOKUP(A23618,'[1]Componentes APUs'!$S$1:$V$10,4,0)</f>
        <v>250000</v>
      </c>
      <c r="G23618" s="51">
        <f>ROUNDUP(F23618*((E23618/21)/E23584),0)</f>
        <v>0</v>
      </c>
    </row>
    <row r="23619" spans="1:7" x14ac:dyDescent="0.25">
      <c r="A23619" s="50" t="s">
        <v>328</v>
      </c>
      <c r="B23619" s="220" t="str">
        <f>VLOOKUP(A23619,'[1]Componentes APUs'!$S$1:$V$10,2,0)</f>
        <v>Herramienta Menor</v>
      </c>
      <c r="C23619" s="220"/>
      <c r="D23619" s="50" t="s">
        <v>18</v>
      </c>
      <c r="E23619" s="50">
        <v>2</v>
      </c>
      <c r="F23619" s="51">
        <f>VLOOKUP(A23619,'[1]Componentes APUs'!$S$1:$V$10,4,0)</f>
        <v>75758</v>
      </c>
      <c r="G23619" s="51">
        <f>ROUNDUP(F23619*((E23619/21)/E23584),0)</f>
        <v>1444</v>
      </c>
    </row>
    <row r="23620" spans="1:7" x14ac:dyDescent="0.25">
      <c r="A23620" s="219" t="s">
        <v>69</v>
      </c>
      <c r="B23620" s="219"/>
      <c r="C23620" s="219"/>
      <c r="D23620" s="219"/>
      <c r="E23620" s="219"/>
      <c r="F23620" s="219"/>
      <c r="G23620" s="52">
        <f>SUM(G23614:G23619)</f>
        <v>1688</v>
      </c>
    </row>
    <row r="23621" spans="1:7" x14ac:dyDescent="0.25">
      <c r="A23621" s="56"/>
      <c r="B23621" s="57"/>
      <c r="C23621" s="57"/>
      <c r="D23621" s="57"/>
      <c r="E23621" s="57"/>
      <c r="F23621" s="57"/>
      <c r="G23621" s="58"/>
    </row>
    <row r="23622" spans="1:7" x14ac:dyDescent="0.25">
      <c r="A23622" s="219" t="s">
        <v>70</v>
      </c>
      <c r="B23622" s="219"/>
      <c r="C23622" s="219"/>
      <c r="D23622" s="219"/>
      <c r="E23622" s="219"/>
      <c r="F23622" s="219"/>
      <c r="G23622" s="219"/>
    </row>
    <row r="23623" spans="1:7" x14ac:dyDescent="0.25">
      <c r="A23623" s="49" t="s">
        <v>35</v>
      </c>
      <c r="B23623" s="219" t="s">
        <v>36</v>
      </c>
      <c r="C23623" s="219"/>
      <c r="D23623" s="49" t="s">
        <v>37</v>
      </c>
      <c r="E23623" s="49" t="s">
        <v>38</v>
      </c>
      <c r="F23623" s="49" t="s">
        <v>39</v>
      </c>
      <c r="G23623" s="49" t="s">
        <v>40</v>
      </c>
    </row>
    <row r="23624" spans="1:7" x14ac:dyDescent="0.25">
      <c r="A23624" s="50" t="s">
        <v>71</v>
      </c>
      <c r="B23624" s="71" t="str">
        <f>VLOOKUP(A23624,'[1]Componentes APUs'!$A$1:$D$14,2,0)</f>
        <v>Camisa indigo sin partes metalicas</v>
      </c>
      <c r="C23624" s="71"/>
      <c r="D23624" s="50" t="str">
        <f>VLOOKUP(A23624,'[1]Componentes APUs'!$A$1:$D$14,3,0)</f>
        <v>U</v>
      </c>
      <c r="E23624" s="50">
        <f>SUM(C23604:C23609)</f>
        <v>2.75</v>
      </c>
      <c r="F23624" s="51">
        <f>VLOOKUP(A23624,'[1]Componentes APUs'!$A$1:$D$14,4,0)</f>
        <v>8585.8585858585866</v>
      </c>
      <c r="G23624" s="51">
        <f>ROUNDUP(F23624*(E23624/21)/E23584,0)</f>
        <v>225</v>
      </c>
    </row>
    <row r="23625" spans="1:7" x14ac:dyDescent="0.25">
      <c r="A23625" s="69" t="s">
        <v>73</v>
      </c>
      <c r="B23625" s="72" t="str">
        <f>VLOOKUP(A23625,'[1]Componentes APUs'!$A$1:$D$14,2,0)</f>
        <v>Bota de seguridad dielectrica</v>
      </c>
      <c r="C23625" s="73"/>
      <c r="D23625" s="70" t="str">
        <f>VLOOKUP(A23625,'[1]Componentes APUs'!$A$1:$D$14,3,0)</f>
        <v>Par</v>
      </c>
      <c r="E23625" s="50">
        <f>SUM(C23604:C23609)</f>
        <v>2.75</v>
      </c>
      <c r="F23625" s="51">
        <f>VLOOKUP(A23625,'[1]Componentes APUs'!$A$1:$D$14,4,0)</f>
        <v>7500</v>
      </c>
      <c r="G23625" s="51">
        <f>ROUNDUP(F23625*(E23625/21)/E23584,0)</f>
        <v>197</v>
      </c>
    </row>
    <row r="23626" spans="1:7" x14ac:dyDescent="0.25">
      <c r="A23626" s="50" t="s">
        <v>76</v>
      </c>
      <c r="B23626" s="72" t="str">
        <f>VLOOKUP(A23626,'[1]Componentes APUs'!$A$1:$D$14,2,0)</f>
        <v>Casco dielectrico Tipo 1 Clase E con barbuquejo</v>
      </c>
      <c r="C23626" s="73"/>
      <c r="D23626" s="50" t="str">
        <f>VLOOKUP(A23626,'[1]Componentes APUs'!$A$1:$D$14,3,0)</f>
        <v>U</v>
      </c>
      <c r="E23626" s="50">
        <f>C23609+C23604+C23607+C23608+C23605+IF(A23606&lt;&gt;"MO-3",C23606,0)</f>
        <v>1.75</v>
      </c>
      <c r="F23626" s="51">
        <f>VLOOKUP(A23626,'[1]Componentes APUs'!$A$1:$D$14,4,0)</f>
        <v>10101.010101010101</v>
      </c>
      <c r="G23626" s="51">
        <f>ROUNDUP(F23626*(E23626/21)/E23584,0)</f>
        <v>169</v>
      </c>
    </row>
    <row r="23627" spans="1:7" x14ac:dyDescent="0.25">
      <c r="A23627" s="69" t="s">
        <v>77</v>
      </c>
      <c r="B23627" s="72" t="str">
        <f>VLOOKUP(A23627,'[1]Componentes APUs'!$A$1:$D$14,2,0)</f>
        <v>Correa plastica y antiflama</v>
      </c>
      <c r="C23627" s="73"/>
      <c r="D23627" s="50" t="str">
        <f>VLOOKUP(A23627,'[1]Componentes APUs'!$A$1:$D$14,3,0)</f>
        <v>U</v>
      </c>
      <c r="E23627" s="50">
        <f>SUM(C23604:C23609)</f>
        <v>2.75</v>
      </c>
      <c r="F23627" s="51">
        <f>VLOOKUP(A23627,'[1]Componentes APUs'!$A$1:$D$14,4,0)</f>
        <v>3787.878787878788</v>
      </c>
      <c r="G23627" s="51">
        <f>ROUNDUP(F23627*(E23627/21)/E23584,0)</f>
        <v>100</v>
      </c>
    </row>
    <row r="23628" spans="1:7" x14ac:dyDescent="0.25">
      <c r="A23628" s="50" t="s">
        <v>79</v>
      </c>
      <c r="B23628" s="72" t="str">
        <f>VLOOKUP(A23628,'[1]Componentes APUs'!$A$1:$D$14,2,0)</f>
        <v>Gafas protectoras filtro UV</v>
      </c>
      <c r="C23628" s="73"/>
      <c r="D23628" s="50" t="str">
        <f>VLOOKUP(A23628,'[1]Componentes APUs'!$A$1:$D$14,3,0)</f>
        <v>U</v>
      </c>
      <c r="E23628" s="50">
        <f>SUM(C23604:C23609)</f>
        <v>2.75</v>
      </c>
      <c r="F23628" s="51">
        <f>VLOOKUP(A23628,'[1]Componentes APUs'!$A$1:$D$14,4,0)</f>
        <v>2777.7777777777778</v>
      </c>
      <c r="G23628" s="51">
        <f>ROUNDUP(F23628*(E23628/21)/E23584,0)</f>
        <v>73</v>
      </c>
    </row>
    <row r="23629" spans="1:7" x14ac:dyDescent="0.25">
      <c r="A23629" s="69" t="s">
        <v>402</v>
      </c>
      <c r="B23629" s="72" t="str">
        <f>VLOOKUP(A23629,'[1]Componentes APUs'!$A$1:$D$14,2,0)</f>
        <v>Bota de seguridad PVC dielectrica</v>
      </c>
      <c r="C23629" s="73"/>
      <c r="D23629" s="50" t="str">
        <f>VLOOKUP(A23629,'[1]Componentes APUs'!$A$1:$D$14,3,0)</f>
        <v>Par</v>
      </c>
      <c r="E23629" s="50">
        <f>SUM(C23604:C23609)</f>
        <v>2.75</v>
      </c>
      <c r="F23629" s="51">
        <f>VLOOKUP(A23629,'[1]Componentes APUs'!$A$1:$D$14,4,0)</f>
        <v>2916.6666666666665</v>
      </c>
      <c r="G23629" s="51">
        <f>ROUNDUP(F23629*(E23629/21)/E23584,0)</f>
        <v>77</v>
      </c>
    </row>
    <row r="23630" spans="1:7" x14ac:dyDescent="0.25">
      <c r="A23630" s="50" t="s">
        <v>403</v>
      </c>
      <c r="B23630" s="72" t="str">
        <f>VLOOKUP(A23630,'[1]Componentes APUs'!$A$1:$D$14,2,0)</f>
        <v>Capuchon</v>
      </c>
      <c r="C23630" s="73"/>
      <c r="D23630" s="50" t="str">
        <f>VLOOKUP(A23630,'[1]Componentes APUs'!$A$1:$D$14,3,0)</f>
        <v>U</v>
      </c>
      <c r="E23630" s="50">
        <f>SUM(C23604:C23609)</f>
        <v>2.75</v>
      </c>
      <c r="F23630" s="51">
        <f>VLOOKUP(A23630,'[1]Componentes APUs'!$A$1:$D$14,4,0)</f>
        <v>2525.2525252525252</v>
      </c>
      <c r="G23630" s="51">
        <f>ROUNDUP(F23630*(E23630/21)/E23584,0)</f>
        <v>67</v>
      </c>
    </row>
    <row r="23631" spans="1:7" x14ac:dyDescent="0.25">
      <c r="A23631" s="69" t="s">
        <v>81</v>
      </c>
      <c r="B23631" s="72" t="str">
        <f>VLOOKUP(A23631,'[1]Componentes APUs'!$A$1:$D$14,2,0)</f>
        <v>Guantes Protectores  - ingeniero reforzados</v>
      </c>
      <c r="C23631" s="73"/>
      <c r="D23631" s="50" t="str">
        <f>VLOOKUP(A23631,'[1]Componentes APUs'!$A$1:$D$14,3,0)</f>
        <v>Par</v>
      </c>
      <c r="E23631" s="50">
        <f>C23606+C23607+C23609</f>
        <v>2</v>
      </c>
      <c r="F23631" s="51">
        <f>VLOOKUP(A23631,'[1]Componentes APUs'!$A$1:$D$14,4,0)</f>
        <v>2525.2525252525252</v>
      </c>
      <c r="G23631" s="51">
        <f>ROUNDUP(F23631*(E23631/21)/E23584,0)</f>
        <v>49</v>
      </c>
    </row>
    <row r="23632" spans="1:7" x14ac:dyDescent="0.25">
      <c r="A23632" s="50" t="s">
        <v>83</v>
      </c>
      <c r="B23632" s="72" t="str">
        <f>VLOOKUP(A23632,'[1]Componentes APUs'!$A$1:$D$14,2,0)</f>
        <v>Impermeable (pantalon camisa)</v>
      </c>
      <c r="C23632" s="73"/>
      <c r="D23632" s="50" t="str">
        <f>VLOOKUP(A23632,'[1]Componentes APUs'!$A$1:$D$14,3,0)</f>
        <v>U</v>
      </c>
      <c r="E23632" s="50">
        <f>SUM(C23604:C23609)</f>
        <v>2.75</v>
      </c>
      <c r="F23632" s="51">
        <f>VLOOKUP(A23632,'[1]Componentes APUs'!$A$1:$D$14,4,0)</f>
        <v>3750</v>
      </c>
      <c r="G23632" s="51">
        <f>ROUNDUP(F23632*(E23632/21)/E23584,0)</f>
        <v>99</v>
      </c>
    </row>
    <row r="23633" spans="1:7" x14ac:dyDescent="0.25">
      <c r="A23633" s="69" t="s">
        <v>85</v>
      </c>
      <c r="B23633" s="72" t="str">
        <f>VLOOKUP(A23633,'[1]Componentes APUs'!$A$1:$D$14,2,0)</f>
        <v>Jean Dielectrico</v>
      </c>
      <c r="C23633" s="73"/>
      <c r="D23633" s="50" t="str">
        <f>VLOOKUP(A23633,'[1]Componentes APUs'!$A$1:$D$14,3,0)</f>
        <v>U</v>
      </c>
      <c r="E23633" s="50">
        <f>SUM(C23604:C23609)</f>
        <v>2.75</v>
      </c>
      <c r="F23633" s="51">
        <f>VLOOKUP(A23633,'[1]Componentes APUs'!$A$1:$D$14,4,0)</f>
        <v>7575.757575757576</v>
      </c>
      <c r="G23633" s="51">
        <f>ROUNDUP(F23633*(E23633/21)/E23584,0)</f>
        <v>199</v>
      </c>
    </row>
    <row r="23634" spans="1:7" x14ac:dyDescent="0.25">
      <c r="A23634" s="50" t="s">
        <v>87</v>
      </c>
      <c r="B23634" s="72" t="str">
        <f>VLOOKUP(A23634,'[1]Componentes APUs'!$A$1:$D$14,2,0)</f>
        <v>Casco dielectrico Tipo 2 Clase E con barboquejo</v>
      </c>
      <c r="C23634" s="73"/>
      <c r="D23634" s="50" t="str">
        <f>VLOOKUP(A23634,'[1]Componentes APUs'!$A$1:$D$14,3,0)</f>
        <v>U</v>
      </c>
      <c r="E23634" s="53">
        <f>IF(A23606="MO-3",C23606,0)</f>
        <v>1</v>
      </c>
      <c r="F23634" s="51">
        <f>VLOOKUP(A23634,'[1]Componentes APUs'!$A$1:$D$14,4,0)</f>
        <v>7500</v>
      </c>
      <c r="G23634" s="51">
        <f>ROUNDUP(F23634*(E23634/21)/E23584,0)</f>
        <v>72</v>
      </c>
    </row>
    <row r="23635" spans="1:7" x14ac:dyDescent="0.25">
      <c r="A23635" s="69" t="s">
        <v>89</v>
      </c>
      <c r="B23635" s="72" t="str">
        <f>VLOOKUP(A23635,'[1]Componentes APUs'!$A$1:$D$14,2,0)</f>
        <v>Kit de rescate para trabajo en alturas</v>
      </c>
      <c r="C23635" s="73"/>
      <c r="D23635" s="50" t="str">
        <f>VLOOKUP(A23635,'[1]Componentes APUs'!$A$1:$D$14,3,0)</f>
        <v>U</v>
      </c>
      <c r="E23635" s="50">
        <f>IF(AND(A23606="MO-3",C23606=2),1,0)</f>
        <v>0</v>
      </c>
      <c r="F23635" s="51">
        <f>VLOOKUP(A23635,'[1]Componentes APUs'!$A$1:$D$14,4,0)</f>
        <v>37500</v>
      </c>
      <c r="G23635" s="51">
        <f>ROUNDUP(F23635*(E23635/21)/E23584,0)</f>
        <v>0</v>
      </c>
    </row>
    <row r="23636" spans="1:7" x14ac:dyDescent="0.25">
      <c r="A23636" s="50" t="s">
        <v>91</v>
      </c>
      <c r="B23636" s="72" t="str">
        <f>VLOOKUP(A23636,'[1]Componentes APUs'!$A$1:$D$14,2,0)</f>
        <v>Equipo completo para trabajo en alturas con pretales (Arnes dielectrico, 1 mosqueton de seguridad, tie off dielectrico, eslinga de posicionamiento, juego de pretales)</v>
      </c>
      <c r="C23636" s="73"/>
      <c r="D23636" s="50" t="str">
        <f>VLOOKUP(A23636,'[1]Componentes APUs'!$A$1:$D$14,3,0)</f>
        <v>U</v>
      </c>
      <c r="E23636" s="50">
        <f>IF(A23606="MO-3",C23606,0)</f>
        <v>1</v>
      </c>
      <c r="F23636" s="51">
        <f>VLOOKUP(A23636,'[1]Componentes APUs'!$A$1:$D$14,4,0)</f>
        <v>26041.666666666668</v>
      </c>
      <c r="G23636" s="51">
        <f>ROUNDUP(F23636*(E23636/21)/E23584,0)</f>
        <v>249</v>
      </c>
    </row>
    <row r="23637" spans="1:7" x14ac:dyDescent="0.25">
      <c r="A23637" s="219" t="s">
        <v>95</v>
      </c>
      <c r="B23637" s="219"/>
      <c r="C23637" s="219"/>
      <c r="D23637" s="219"/>
      <c r="E23637" s="219"/>
      <c r="F23637" s="219"/>
      <c r="G23637" s="52">
        <f>SUM(G23624:G23636)</f>
        <v>1576</v>
      </c>
    </row>
    <row r="23638" spans="1:7" x14ac:dyDescent="0.25">
      <c r="A23638" s="56"/>
      <c r="B23638" s="57"/>
      <c r="C23638" s="57"/>
      <c r="D23638" s="57"/>
      <c r="E23638" s="57"/>
      <c r="F23638" s="57"/>
      <c r="G23638" s="58"/>
    </row>
    <row r="23639" spans="1:7" x14ac:dyDescent="0.25">
      <c r="A23639" s="219" t="s">
        <v>96</v>
      </c>
      <c r="B23639" s="219"/>
      <c r="C23639" s="219"/>
      <c r="D23639" s="219"/>
      <c r="E23639" s="219"/>
      <c r="F23639" s="219"/>
      <c r="G23639" s="219"/>
    </row>
    <row r="23640" spans="1:7" x14ac:dyDescent="0.25">
      <c r="A23640" s="49" t="s">
        <v>35</v>
      </c>
      <c r="B23640" s="225" t="s">
        <v>36</v>
      </c>
      <c r="C23640" s="225"/>
      <c r="D23640" s="49" t="s">
        <v>37</v>
      </c>
      <c r="E23640" s="49" t="s">
        <v>38</v>
      </c>
      <c r="F23640" s="49" t="s">
        <v>39</v>
      </c>
      <c r="G23640" s="49" t="s">
        <v>40</v>
      </c>
    </row>
    <row r="23641" spans="1:7" x14ac:dyDescent="0.25">
      <c r="A23641" s="69" t="s">
        <v>97</v>
      </c>
      <c r="B23641" s="72" t="str">
        <f>VLOOKUP(A23641,'[1]Componentes APUs'!$N$1:$Q$30,2,0)</f>
        <v>Camioneta</v>
      </c>
      <c r="C23641" s="73"/>
      <c r="D23641" s="70" t="str">
        <f>VLOOKUP(A23641,'[1]Componentes APUs'!$N$1:$Q$30,3,0)</f>
        <v>U</v>
      </c>
      <c r="E23641" s="50">
        <v>1</v>
      </c>
      <c r="F23641" s="51">
        <f>VLOOKUP(A23641,'[1]Componentes APUs'!$N$1:$Q$30,4,0)</f>
        <v>5500000</v>
      </c>
      <c r="G23641" s="51">
        <f>IFERROR(ROUNDUP(F23641*(E23641/21)/E23584,0),0)</f>
        <v>52381</v>
      </c>
    </row>
    <row r="23642" spans="1:7" x14ac:dyDescent="0.25">
      <c r="A23642" s="50" t="s">
        <v>321</v>
      </c>
      <c r="B23642" s="72" t="str">
        <f>VLOOKUP(A23642,'[1]Componentes APUs'!$N$1:$Q$30,2,0)</f>
        <v>Grúa Hidráulica</v>
      </c>
      <c r="C23642" s="73"/>
      <c r="D23642" s="70" t="str">
        <f>VLOOKUP(A23642,'[1]Componentes APUs'!$N$1:$Q$30,3,0)</f>
        <v>U</v>
      </c>
      <c r="E23642" s="50">
        <v>0</v>
      </c>
      <c r="F23642" s="51">
        <f>VLOOKUP(A23642,'[1]Componentes APUs'!$N$1:$Q$30,4,0)</f>
        <v>21000000</v>
      </c>
      <c r="G23642" s="51">
        <f>IFERROR(ROUNDUP(F23642*(E23642/21)/E23584,0),0)</f>
        <v>0</v>
      </c>
    </row>
    <row r="23643" spans="1:7" x14ac:dyDescent="0.25">
      <c r="A23643" s="219" t="s">
        <v>99</v>
      </c>
      <c r="B23643" s="219"/>
      <c r="C23643" s="219"/>
      <c r="D23643" s="219"/>
      <c r="E23643" s="219"/>
      <c r="F23643" s="219"/>
      <c r="G23643" s="52">
        <f>SUM(G23641:G23642)</f>
        <v>52381</v>
      </c>
    </row>
    <row r="23644" spans="1:7" x14ac:dyDescent="0.25">
      <c r="A23644" s="56"/>
      <c r="B23644" s="57"/>
      <c r="C23644" s="57"/>
      <c r="D23644" s="57"/>
      <c r="E23644" s="57"/>
      <c r="F23644" s="57"/>
      <c r="G23644" s="58"/>
    </row>
    <row r="23645" spans="1:7" x14ac:dyDescent="0.25">
      <c r="A23645" s="219" t="s">
        <v>1516</v>
      </c>
      <c r="B23645" s="219"/>
      <c r="C23645" s="219"/>
      <c r="D23645" s="219"/>
      <c r="E23645" s="219"/>
      <c r="F23645" s="219"/>
      <c r="G23645" s="52">
        <f>G23643+G23637+G23620+G23610+G23600</f>
        <v>1371188</v>
      </c>
    </row>
    <row r="23646" spans="1:7" x14ac:dyDescent="0.25">
      <c r="A23646" s="59"/>
      <c r="B23646" s="60"/>
      <c r="C23646" s="60"/>
      <c r="D23646" s="60"/>
      <c r="E23646" s="57"/>
      <c r="F23646" s="57"/>
      <c r="G23646" s="58"/>
    </row>
    <row r="23647" spans="1:7" x14ac:dyDescent="0.25">
      <c r="A23647" s="64"/>
      <c r="D23647" s="55"/>
      <c r="E23647" s="49" t="s">
        <v>25</v>
      </c>
      <c r="F23647" s="54">
        <v>0.15</v>
      </c>
      <c r="G23647" s="51">
        <f>G23645*F23647</f>
        <v>205678.19999999998</v>
      </c>
    </row>
    <row r="23648" spans="1:7" x14ac:dyDescent="0.25">
      <c r="A23648" s="64"/>
      <c r="D23648" s="55"/>
      <c r="E23648" s="49" t="s">
        <v>26</v>
      </c>
      <c r="F23648" s="54">
        <v>0.05</v>
      </c>
      <c r="G23648" s="51">
        <f>G23645*F23648</f>
        <v>68559.400000000009</v>
      </c>
    </row>
    <row r="23649" spans="1:7" x14ac:dyDescent="0.25">
      <c r="A23649" s="61"/>
      <c r="B23649" s="65"/>
      <c r="C23649" s="65"/>
      <c r="D23649" s="62"/>
      <c r="E23649" s="49" t="s">
        <v>27</v>
      </c>
      <c r="F23649" s="54">
        <v>0.05</v>
      </c>
      <c r="G23649" s="51">
        <f>G23645*F23649</f>
        <v>68559.400000000009</v>
      </c>
    </row>
    <row r="23650" spans="1:7" x14ac:dyDescent="0.25">
      <c r="A23650" s="61"/>
      <c r="B23650" s="62"/>
      <c r="C23650" s="62"/>
      <c r="D23650" s="62"/>
      <c r="E23650" s="62"/>
      <c r="F23650" s="62"/>
      <c r="G23650" s="63"/>
    </row>
    <row r="23651" spans="1:7" x14ac:dyDescent="0.25">
      <c r="A23651" s="219" t="s">
        <v>1517</v>
      </c>
      <c r="B23651" s="219"/>
      <c r="C23651" s="219"/>
      <c r="D23651" s="219"/>
      <c r="E23651" s="219"/>
      <c r="F23651" s="219"/>
      <c r="G23651" s="52">
        <f>G23645+G23647+G23648+G23649</f>
        <v>1713984.9999999998</v>
      </c>
    </row>
    <row r="23652" spans="1:7" x14ac:dyDescent="0.25">
      <c r="A23652" s="59"/>
      <c r="B23652" s="60"/>
      <c r="C23652" s="60"/>
      <c r="D23652" s="60"/>
      <c r="E23652" s="57"/>
      <c r="F23652" s="57"/>
      <c r="G23652" s="58"/>
    </row>
    <row r="23653" spans="1:7" x14ac:dyDescent="0.25">
      <c r="A23653" s="64"/>
      <c r="D23653" s="55"/>
      <c r="E23653" s="49" t="s">
        <v>102</v>
      </c>
      <c r="F23653" s="49" t="s">
        <v>103</v>
      </c>
      <c r="G23653" s="51">
        <f>G23649*19%</f>
        <v>13026.286000000002</v>
      </c>
    </row>
    <row r="23654" spans="1:7" x14ac:dyDescent="0.25">
      <c r="A23654" s="61"/>
      <c r="B23654" s="62"/>
      <c r="C23654" s="62"/>
      <c r="D23654" s="62"/>
      <c r="E23654" s="57"/>
      <c r="F23654" s="57"/>
      <c r="G23654" s="58"/>
    </row>
    <row r="23655" spans="1:7" x14ac:dyDescent="0.25">
      <c r="A23655" s="219" t="s">
        <v>104</v>
      </c>
      <c r="B23655" s="219"/>
      <c r="C23655" s="219"/>
      <c r="D23655" s="219"/>
      <c r="E23655" s="219"/>
      <c r="F23655" s="219"/>
      <c r="G23655" s="52">
        <f>G23653+G23651</f>
        <v>1727011.2859999998</v>
      </c>
    </row>
    <row r="23657" spans="1:7" x14ac:dyDescent="0.25">
      <c r="A23657" s="74" t="s">
        <v>29</v>
      </c>
      <c r="B23657" s="237" t="s">
        <v>30</v>
      </c>
      <c r="C23657" s="238"/>
      <c r="D23657" s="74" t="s">
        <v>31</v>
      </c>
      <c r="E23657" s="74" t="s">
        <v>32</v>
      </c>
      <c r="F23657" s="74" t="s">
        <v>189</v>
      </c>
      <c r="G23657" s="74" t="s">
        <v>33</v>
      </c>
    </row>
    <row r="23658" spans="1:7" x14ac:dyDescent="0.25">
      <c r="A23658" s="50" t="str">
        <f>Presupuesto!B447</f>
        <v>105_AUX</v>
      </c>
      <c r="B23658" s="220" t="str">
        <f>Presupuesto!C447</f>
        <v>BAYONETA PARA RETENCION DOBLE 2 1-4 X 1.50 MTS BYS5</v>
      </c>
      <c r="C23658" s="239"/>
      <c r="D23658" s="50" t="s">
        <v>8</v>
      </c>
      <c r="E23658" s="50">
        <v>10</v>
      </c>
      <c r="F23658" s="50"/>
      <c r="G23658" s="51">
        <f>G23722</f>
        <v>373751.587</v>
      </c>
    </row>
    <row r="23659" spans="1:7" x14ac:dyDescent="0.25">
      <c r="A23659" s="234"/>
      <c r="B23659" s="236"/>
      <c r="C23659" s="236"/>
      <c r="D23659" s="236"/>
      <c r="E23659" s="236"/>
      <c r="F23659" s="236"/>
      <c r="G23659" s="235"/>
    </row>
    <row r="23660" spans="1:7" x14ac:dyDescent="0.25">
      <c r="A23660" s="49" t="s">
        <v>35</v>
      </c>
      <c r="B23660" s="234" t="s">
        <v>36</v>
      </c>
      <c r="C23660" s="235"/>
      <c r="D23660" s="49" t="s">
        <v>37</v>
      </c>
      <c r="E23660" s="49" t="s">
        <v>38</v>
      </c>
      <c r="F23660" s="49" t="s">
        <v>39</v>
      </c>
      <c r="G23660" s="49" t="s">
        <v>40</v>
      </c>
    </row>
    <row r="23661" spans="1:7" x14ac:dyDescent="0.25">
      <c r="A23661" s="17" t="str">
        <f>Material!A270</f>
        <v>MA-269</v>
      </c>
      <c r="B23661" s="72" t="str">
        <f>IFERROR(VLOOKUP(A23661,Material!$A:$J,2,0),"-")</f>
        <v>BAYONETA PARA RETENCION DOBLE 2 1-4 X 1.50 MTS BYS5</v>
      </c>
      <c r="C23661" s="76"/>
      <c r="D23661" s="50" t="str">
        <f>IFERROR(VLOOKUP(A23661,Material!$A:$J,4,0),"-")</f>
        <v>UN</v>
      </c>
      <c r="E23661" s="50">
        <v>1</v>
      </c>
      <c r="F23661" s="51">
        <f>IFERROR(VLOOKUP(A23661,Material!$A:$J,3,0),"-")</f>
        <v>201760</v>
      </c>
      <c r="G23661" s="51">
        <f>IFERROR(ROUNDUP(F23661*E23661,0),"-")</f>
        <v>201760</v>
      </c>
    </row>
    <row r="23662" spans="1:7" x14ac:dyDescent="0.25">
      <c r="A23662" s="17"/>
      <c r="B23662" s="72" t="str">
        <f>IFERROR(VLOOKUP(A23662,Material!$A:$J,2,0),"-")</f>
        <v>-</v>
      </c>
      <c r="C23662" s="76"/>
      <c r="D23662" s="50" t="str">
        <f>IFERROR(VLOOKUP(A23662,Material!$A:$J,4,0),"-")</f>
        <v>-</v>
      </c>
      <c r="E23662" s="50"/>
      <c r="F23662" s="51" t="str">
        <f>IFERROR(VLOOKUP(A23662,Material!$A:$J,3,0),"-")</f>
        <v>-</v>
      </c>
      <c r="G23662" s="51" t="str">
        <f>IFERROR(ROUNDUP(F23662*E23662,0),"-")</f>
        <v>-</v>
      </c>
    </row>
    <row r="23663" spans="1:7" x14ac:dyDescent="0.25">
      <c r="A23663" s="17"/>
      <c r="B23663" s="72" t="str">
        <f>IFERROR(VLOOKUP(A23663,Material!$A:$J,2,0),"-")</f>
        <v>-</v>
      </c>
      <c r="C23663" s="76"/>
      <c r="D23663" s="50" t="str">
        <f>IFERROR(VLOOKUP(A23663,Material!$A:$J,4,0),"-")</f>
        <v>-</v>
      </c>
      <c r="E23663" s="50"/>
      <c r="F23663" s="51" t="str">
        <f>IFERROR(VLOOKUP(A23663,Material!$A:$J,3,0),"-")</f>
        <v>-</v>
      </c>
      <c r="G23663" s="51" t="str">
        <f>IFERROR(ROUNDUP(F23663*E23663,0),"-")</f>
        <v>-</v>
      </c>
    </row>
    <row r="23664" spans="1:7" x14ac:dyDescent="0.25">
      <c r="A23664" s="234" t="s">
        <v>41</v>
      </c>
      <c r="B23664" s="236"/>
      <c r="C23664" s="236"/>
      <c r="D23664" s="236"/>
      <c r="E23664" s="236"/>
      <c r="F23664" s="235"/>
      <c r="G23664" s="52">
        <f>SUM(G23661:G23663)</f>
        <v>201760</v>
      </c>
    </row>
    <row r="23665" spans="1:7" x14ac:dyDescent="0.25">
      <c r="A23665" s="56"/>
      <c r="B23665" s="57"/>
      <c r="C23665" s="57"/>
      <c r="D23665" s="57"/>
      <c r="E23665" s="57"/>
      <c r="F23665" s="57"/>
      <c r="G23665" s="58"/>
    </row>
    <row r="23666" spans="1:7" x14ac:dyDescent="0.25">
      <c r="A23666" s="219" t="s">
        <v>42</v>
      </c>
      <c r="B23666" s="219"/>
      <c r="C23666" s="219"/>
      <c r="D23666" s="219"/>
      <c r="E23666" s="219"/>
      <c r="F23666" s="219"/>
      <c r="G23666" s="219"/>
    </row>
    <row r="23667" spans="1:7" x14ac:dyDescent="0.25">
      <c r="A23667" s="49" t="s">
        <v>35</v>
      </c>
      <c r="B23667" s="49" t="s">
        <v>36</v>
      </c>
      <c r="C23667" s="49" t="s">
        <v>38</v>
      </c>
      <c r="D23667" s="49" t="s">
        <v>43</v>
      </c>
      <c r="E23667" s="49" t="s">
        <v>44</v>
      </c>
      <c r="F23667" s="49" t="s">
        <v>45</v>
      </c>
      <c r="G23667" s="49" t="s">
        <v>40</v>
      </c>
    </row>
    <row r="23668" spans="1:7" x14ac:dyDescent="0.25">
      <c r="A23668" s="50" t="s">
        <v>319</v>
      </c>
      <c r="B23668" s="68" t="str">
        <f>VLOOKUP(A23668,'[1]Componentes APUs'!$H$1:$L$25,2,0)</f>
        <v>Ingeniero Residente de Obra</v>
      </c>
      <c r="C23668" s="93">
        <v>0.25</v>
      </c>
      <c r="D23668" s="50">
        <f>VLOOKUP(A23668,'[1]Componentes APUs'!$H$1:$L$25,3,0)</f>
        <v>4</v>
      </c>
      <c r="E23668" s="51">
        <f>VLOOKUP(A23668,'[1]Componentes APUs'!$H$1:$L$25,4,0)</f>
        <v>271142.85714285716</v>
      </c>
      <c r="F23668" s="51">
        <f>VLOOKUP(A23668,'[1]Componentes APUs'!$H$1:$L$25,5,0)</f>
        <v>162685.71428571429</v>
      </c>
      <c r="G23668" s="51">
        <f>ROUNDUP((E23668+F23668)*C23668/E23658,0)</f>
        <v>10846</v>
      </c>
    </row>
    <row r="23669" spans="1:7" x14ac:dyDescent="0.25">
      <c r="A23669" s="50" t="s">
        <v>320</v>
      </c>
      <c r="B23669" s="68" t="str">
        <f>VLOOKUP(A23669,'[1]Componentes APUs'!$H$1:$L$25,2,0)</f>
        <v>Tecnico Supervisor</v>
      </c>
      <c r="C23669" s="93">
        <v>0.25</v>
      </c>
      <c r="D23669" s="50">
        <f>VLOOKUP(A23669,'[1]Componentes APUs'!$H$1:$L$25,3,0)</f>
        <v>2.2999999999999998</v>
      </c>
      <c r="E23669" s="51">
        <f>VLOOKUP(A23669,'[1]Componentes APUs'!$H$1:$L$25,4,0)</f>
        <v>155907.14285714284</v>
      </c>
      <c r="F23669" s="51">
        <f>VLOOKUP(A23669,'[1]Componentes APUs'!$H$1:$L$25,5,0)</f>
        <v>93544.285714285696</v>
      </c>
      <c r="G23669" s="51">
        <f>ROUNDUP((E23669+F23669)*C23669/E23658,0)</f>
        <v>6237</v>
      </c>
    </row>
    <row r="23670" spans="1:7" x14ac:dyDescent="0.25">
      <c r="A23670" s="50" t="s">
        <v>46</v>
      </c>
      <c r="B23670" s="68" t="str">
        <f>VLOOKUP(A23670,'[1]Componentes APUs'!$H$1:$L$25,2,0)</f>
        <v>Tecnico Liniero</v>
      </c>
      <c r="C23670" s="93">
        <v>1</v>
      </c>
      <c r="D23670" s="50">
        <f>VLOOKUP(A23670,'[1]Componentes APUs'!$H$1:$L$25,3,0)</f>
        <v>2</v>
      </c>
      <c r="E23670" s="51">
        <f>VLOOKUP(A23670,'[1]Componentes APUs'!$H$1:$L$25,4,0)</f>
        <v>154619.04761904763</v>
      </c>
      <c r="F23670" s="51">
        <f>VLOOKUP(A23670,'[1]Componentes APUs'!$H$1:$L$25,5,0)</f>
        <v>92771.42857142858</v>
      </c>
      <c r="G23670" s="51">
        <f>ROUNDUP((E23670+F23670)*C23670/E23658,0)</f>
        <v>24740</v>
      </c>
    </row>
    <row r="23671" spans="1:7" x14ac:dyDescent="0.25">
      <c r="A23671" s="50" t="s">
        <v>48</v>
      </c>
      <c r="B23671" s="68" t="str">
        <f>VLOOKUP(A23671,'[1]Componentes APUs'!$H$1:$L$25,2,0)</f>
        <v>Ayudante Calificado</v>
      </c>
      <c r="C23671" s="93">
        <v>1</v>
      </c>
      <c r="D23671" s="50">
        <f>VLOOKUP(A23671,'[1]Componentes APUs'!$H$1:$L$25,3,0)</f>
        <v>1.5</v>
      </c>
      <c r="E23671" s="51">
        <f>VLOOKUP(A23671,'[1]Componentes APUs'!$H$1:$L$25,4,0)</f>
        <v>115964.28571428571</v>
      </c>
      <c r="F23671" s="51">
        <f>VLOOKUP(A23671,'[1]Componentes APUs'!$H$1:$L$25,5,0)</f>
        <v>69578.57142857142</v>
      </c>
      <c r="G23671" s="51">
        <f>ROUNDUP((E23671+F23671)*C23671/E23658,0)</f>
        <v>18555</v>
      </c>
    </row>
    <row r="23672" spans="1:7" x14ac:dyDescent="0.25">
      <c r="A23672" s="50" t="s">
        <v>50</v>
      </c>
      <c r="B23672" s="68" t="str">
        <f>VLOOKUP(A23672,'[1]Componentes APUs'!$H$1:$L$25,2,0)</f>
        <v>Profesional en SST</v>
      </c>
      <c r="C23672" s="93">
        <v>0.25</v>
      </c>
      <c r="D23672" s="50">
        <f>VLOOKUP(A23672,'[1]Componentes APUs'!$H$1:$L$25,3,0)</f>
        <v>2.5</v>
      </c>
      <c r="E23672" s="51">
        <f>VLOOKUP(A23672,'[1]Componentes APUs'!$H$1:$L$25,4,0)</f>
        <v>169464.28571428571</v>
      </c>
      <c r="F23672" s="51">
        <f>VLOOKUP(A23672,'[1]Componentes APUs'!$H$1:$L$25,5,0)</f>
        <v>101678.57142857142</v>
      </c>
      <c r="G23672" s="51">
        <f>ROUNDUP((E23672+F23672)*C23672/E23658,0)</f>
        <v>6779</v>
      </c>
    </row>
    <row r="23673" spans="1:7" x14ac:dyDescent="0.25">
      <c r="A23673" s="50" t="s">
        <v>52</v>
      </c>
      <c r="B23673" s="68" t="str">
        <f>VLOOKUP(A23673,'[1]Componentes APUs'!$H$1:$L$25,2,0)</f>
        <v>Ayudante No Calificado</v>
      </c>
      <c r="C23673" s="93">
        <v>0</v>
      </c>
      <c r="D23673" s="50">
        <f>VLOOKUP(A23673,'[1]Componentes APUs'!$H$1:$L$25,3,0)</f>
        <v>1</v>
      </c>
      <c r="E23673" s="51">
        <f>VLOOKUP(A23673,'[1]Componentes APUs'!$H$1:$L$25,4,0)</f>
        <v>77309.523809523816</v>
      </c>
      <c r="F23673" s="51">
        <f>VLOOKUP(A23673,'[1]Componentes APUs'!$H$1:$L$25,5,0)</f>
        <v>46385.71428571429</v>
      </c>
      <c r="G23673" s="51">
        <f>ROUNDUP((E23673+F23673)*C23673/E23658,0)</f>
        <v>0</v>
      </c>
    </row>
    <row r="23674" spans="1:7" x14ac:dyDescent="0.25">
      <c r="A23674" s="219" t="s">
        <v>56</v>
      </c>
      <c r="B23674" s="219"/>
      <c r="C23674" s="219"/>
      <c r="D23674" s="219"/>
      <c r="E23674" s="219"/>
      <c r="F23674" s="219"/>
      <c r="G23674" s="52">
        <f>SUM(G23668:G23673)</f>
        <v>67157</v>
      </c>
    </row>
    <row r="23675" spans="1:7" x14ac:dyDescent="0.25">
      <c r="A23675" s="56"/>
      <c r="B23675" s="57"/>
      <c r="C23675" s="57"/>
      <c r="D23675" s="57"/>
      <c r="E23675" s="57"/>
      <c r="F23675" s="57"/>
      <c r="G23675" s="58"/>
    </row>
    <row r="23676" spans="1:7" x14ac:dyDescent="0.25">
      <c r="A23676" s="219" t="s">
        <v>57</v>
      </c>
      <c r="B23676" s="219"/>
      <c r="C23676" s="219"/>
      <c r="D23676" s="219"/>
      <c r="E23676" s="219"/>
      <c r="F23676" s="219"/>
      <c r="G23676" s="219"/>
    </row>
    <row r="23677" spans="1:7" x14ac:dyDescent="0.25">
      <c r="A23677" s="49" t="s">
        <v>35</v>
      </c>
      <c r="B23677" s="219" t="s">
        <v>36</v>
      </c>
      <c r="C23677" s="219"/>
      <c r="D23677" s="49" t="s">
        <v>37</v>
      </c>
      <c r="E23677" s="49" t="s">
        <v>38</v>
      </c>
      <c r="F23677" s="49" t="s">
        <v>39</v>
      </c>
      <c r="G23677" s="49" t="s">
        <v>40</v>
      </c>
    </row>
    <row r="23678" spans="1:7" x14ac:dyDescent="0.25">
      <c r="A23678" s="50" t="s">
        <v>326</v>
      </c>
      <c r="B23678" s="220" t="str">
        <f>VLOOKUP(A23678,'[1]Componentes APUs'!$S$1:$V$10,2,0)</f>
        <v>Juego Llaves</v>
      </c>
      <c r="C23678" s="220"/>
      <c r="D23678" s="50" t="s">
        <v>18</v>
      </c>
      <c r="E23678" s="50">
        <v>2</v>
      </c>
      <c r="F23678" s="51">
        <f>VLOOKUP(A23678,'[1]Componentes APUs'!$S$1:$V$10,4,0)</f>
        <v>9167</v>
      </c>
      <c r="G23678" s="51">
        <f>ROUNDUP(F23678*((E23678/21)/E23658),0)</f>
        <v>88</v>
      </c>
    </row>
    <row r="23679" spans="1:7" x14ac:dyDescent="0.25">
      <c r="A23679" s="50" t="s">
        <v>58</v>
      </c>
      <c r="B23679" s="220" t="str">
        <f>VLOOKUP(A23679,'[1]Componentes APUs'!$S$1:$V$10,2,0)</f>
        <v>Manila de servicio</v>
      </c>
      <c r="C23679" s="220"/>
      <c r="D23679" s="50" t="s">
        <v>18</v>
      </c>
      <c r="E23679" s="50">
        <v>2</v>
      </c>
      <c r="F23679" s="51">
        <f>VLOOKUP(A23679,'[1]Componentes APUs'!$S$1:$V$10,4,0)</f>
        <v>2333</v>
      </c>
      <c r="G23679" s="51">
        <f>ROUNDUP(F23679*((E23679/21)/E23658),0)</f>
        <v>23</v>
      </c>
    </row>
    <row r="23680" spans="1:7" x14ac:dyDescent="0.25">
      <c r="A23680" s="50" t="s">
        <v>327</v>
      </c>
      <c r="B23680" s="220" t="str">
        <f>VLOOKUP(A23680,'[1]Componentes APUs'!$S$1:$V$10,2,0)</f>
        <v>Tula portaherramientas</v>
      </c>
      <c r="C23680" s="220"/>
      <c r="D23680" s="50" t="s">
        <v>18</v>
      </c>
      <c r="E23680" s="50">
        <v>2</v>
      </c>
      <c r="F23680" s="51">
        <f>VLOOKUP(A23680,'[1]Componentes APUs'!$S$1:$V$10,4,0)</f>
        <v>1250</v>
      </c>
      <c r="G23680" s="51">
        <f>ROUNDUP(F23680*((E23680/21)/E23658),0)</f>
        <v>12</v>
      </c>
    </row>
    <row r="23681" spans="1:7" x14ac:dyDescent="0.25">
      <c r="A23681" s="50" t="s">
        <v>60</v>
      </c>
      <c r="B23681" s="220" t="str">
        <f>VLOOKUP(A23681,'[1]Componentes APUs'!$S$1:$V$10,2,0)</f>
        <v>Agarradoras</v>
      </c>
      <c r="C23681" s="220"/>
      <c r="D23681" s="50" t="s">
        <v>18</v>
      </c>
      <c r="E23681" s="50">
        <v>0</v>
      </c>
      <c r="F23681" s="51">
        <f>VLOOKUP(A23681,'[1]Componentes APUs'!$S$1:$V$10,4,0)</f>
        <v>125000</v>
      </c>
      <c r="G23681" s="51">
        <f>ROUNDUP(F23681*((E23681/21)/E23658),0)</f>
        <v>0</v>
      </c>
    </row>
    <row r="23682" spans="1:7" x14ac:dyDescent="0.25">
      <c r="A23682" s="50" t="s">
        <v>62</v>
      </c>
      <c r="B23682" s="220" t="str">
        <f>VLOOKUP(A23682,'[1]Componentes APUs'!$S$1:$V$10,2,0)</f>
        <v>Templadoras</v>
      </c>
      <c r="C23682" s="220"/>
      <c r="D23682" s="50" t="s">
        <v>18</v>
      </c>
      <c r="E23682" s="50">
        <v>0</v>
      </c>
      <c r="F23682" s="51">
        <f>VLOOKUP(A23682,'[1]Componentes APUs'!$S$1:$V$10,4,0)</f>
        <v>250000</v>
      </c>
      <c r="G23682" s="51">
        <f>ROUNDUP(F23682*((E23682/21)/E23658),0)</f>
        <v>0</v>
      </c>
    </row>
    <row r="23683" spans="1:7" x14ac:dyDescent="0.25">
      <c r="A23683" s="50" t="s">
        <v>328</v>
      </c>
      <c r="B23683" s="220" t="str">
        <f>VLOOKUP(A23683,'[1]Componentes APUs'!$S$1:$V$10,2,0)</f>
        <v>Herramienta Menor</v>
      </c>
      <c r="C23683" s="220"/>
      <c r="D23683" s="50" t="s">
        <v>18</v>
      </c>
      <c r="E23683" s="50">
        <v>2</v>
      </c>
      <c r="F23683" s="51">
        <f>VLOOKUP(A23683,'[1]Componentes APUs'!$S$1:$V$10,4,0)</f>
        <v>75758</v>
      </c>
      <c r="G23683" s="51">
        <f>ROUNDUP(F23683*((E23683/21)/E23658),0)</f>
        <v>722</v>
      </c>
    </row>
    <row r="23684" spans="1:7" x14ac:dyDescent="0.25">
      <c r="A23684" s="219" t="s">
        <v>69</v>
      </c>
      <c r="B23684" s="219"/>
      <c r="C23684" s="219"/>
      <c r="D23684" s="219"/>
      <c r="E23684" s="219"/>
      <c r="F23684" s="219"/>
      <c r="G23684" s="52">
        <f>SUM(G23678:G23683)</f>
        <v>845</v>
      </c>
    </row>
    <row r="23685" spans="1:7" x14ac:dyDescent="0.25">
      <c r="A23685" s="56"/>
      <c r="B23685" s="57"/>
      <c r="C23685" s="57"/>
      <c r="D23685" s="57"/>
      <c r="E23685" s="57"/>
      <c r="F23685" s="57"/>
      <c r="G23685" s="58"/>
    </row>
    <row r="23686" spans="1:7" x14ac:dyDescent="0.25">
      <c r="A23686" s="219" t="s">
        <v>70</v>
      </c>
      <c r="B23686" s="219"/>
      <c r="C23686" s="219"/>
      <c r="D23686" s="219"/>
      <c r="E23686" s="219"/>
      <c r="F23686" s="219"/>
      <c r="G23686" s="219"/>
    </row>
    <row r="23687" spans="1:7" x14ac:dyDescent="0.25">
      <c r="A23687" s="49" t="s">
        <v>35</v>
      </c>
      <c r="B23687" s="219" t="s">
        <v>36</v>
      </c>
      <c r="C23687" s="219"/>
      <c r="D23687" s="49" t="s">
        <v>37</v>
      </c>
      <c r="E23687" s="49" t="s">
        <v>38</v>
      </c>
      <c r="F23687" s="49" t="s">
        <v>39</v>
      </c>
      <c r="G23687" s="49" t="s">
        <v>40</v>
      </c>
    </row>
    <row r="23688" spans="1:7" x14ac:dyDescent="0.25">
      <c r="A23688" s="50" t="s">
        <v>71</v>
      </c>
      <c r="B23688" s="71" t="str">
        <f>VLOOKUP(A23688,'[1]Componentes APUs'!$A$1:$D$14,2,0)</f>
        <v>Camisa indigo sin partes metalicas</v>
      </c>
      <c r="C23688" s="71"/>
      <c r="D23688" s="50" t="str">
        <f>VLOOKUP(A23688,'[1]Componentes APUs'!$A$1:$D$14,3,0)</f>
        <v>U</v>
      </c>
      <c r="E23688" s="50">
        <f>SUM(C23668:C23673)</f>
        <v>2.75</v>
      </c>
      <c r="F23688" s="51">
        <f>VLOOKUP(A23688,'[1]Componentes APUs'!$A$1:$D$14,4,0)</f>
        <v>8585.8585858585866</v>
      </c>
      <c r="G23688" s="51">
        <f>ROUNDUP(F23688*(E23688/21)/E23658,0)</f>
        <v>113</v>
      </c>
    </row>
    <row r="23689" spans="1:7" x14ac:dyDescent="0.25">
      <c r="A23689" s="69" t="s">
        <v>73</v>
      </c>
      <c r="B23689" s="72" t="str">
        <f>VLOOKUP(A23689,'[1]Componentes APUs'!$A$1:$D$14,2,0)</f>
        <v>Bota de seguridad dielectrica</v>
      </c>
      <c r="C23689" s="73"/>
      <c r="D23689" s="70" t="str">
        <f>VLOOKUP(A23689,'[1]Componentes APUs'!$A$1:$D$14,3,0)</f>
        <v>Par</v>
      </c>
      <c r="E23689" s="50">
        <f>SUM(C23668:C23673)</f>
        <v>2.75</v>
      </c>
      <c r="F23689" s="51">
        <f>VLOOKUP(A23689,'[1]Componentes APUs'!$A$1:$D$14,4,0)</f>
        <v>7500</v>
      </c>
      <c r="G23689" s="51">
        <f>ROUNDUP(F23689*(E23689/21)/E23658,0)</f>
        <v>99</v>
      </c>
    </row>
    <row r="23690" spans="1:7" x14ac:dyDescent="0.25">
      <c r="A23690" s="50" t="s">
        <v>76</v>
      </c>
      <c r="B23690" s="72" t="str">
        <f>VLOOKUP(A23690,'[1]Componentes APUs'!$A$1:$D$14,2,0)</f>
        <v>Casco dielectrico Tipo 1 Clase E con barbuquejo</v>
      </c>
      <c r="C23690" s="73"/>
      <c r="D23690" s="50" t="str">
        <f>VLOOKUP(A23690,'[1]Componentes APUs'!$A$1:$D$14,3,0)</f>
        <v>U</v>
      </c>
      <c r="E23690" s="50">
        <f>C23673+C23668+C23671+C23672+C23669+IF(A23670&lt;&gt;"MO-3",C23670,0)</f>
        <v>1.75</v>
      </c>
      <c r="F23690" s="51">
        <f>VLOOKUP(A23690,'[1]Componentes APUs'!$A$1:$D$14,4,0)</f>
        <v>10101.010101010101</v>
      </c>
      <c r="G23690" s="51">
        <f>ROUNDUP(F23690*(E23690/21)/E23658,0)</f>
        <v>85</v>
      </c>
    </row>
    <row r="23691" spans="1:7" x14ac:dyDescent="0.25">
      <c r="A23691" s="69" t="s">
        <v>77</v>
      </c>
      <c r="B23691" s="72" t="str">
        <f>VLOOKUP(A23691,'[1]Componentes APUs'!$A$1:$D$14,2,0)</f>
        <v>Correa plastica y antiflama</v>
      </c>
      <c r="C23691" s="73"/>
      <c r="D23691" s="50" t="str">
        <f>VLOOKUP(A23691,'[1]Componentes APUs'!$A$1:$D$14,3,0)</f>
        <v>U</v>
      </c>
      <c r="E23691" s="50">
        <f>SUM(C23668:C23673)</f>
        <v>2.75</v>
      </c>
      <c r="F23691" s="51">
        <f>VLOOKUP(A23691,'[1]Componentes APUs'!$A$1:$D$14,4,0)</f>
        <v>3787.878787878788</v>
      </c>
      <c r="G23691" s="51">
        <f>ROUNDUP(F23691*(E23691/21)/E23658,0)</f>
        <v>50</v>
      </c>
    </row>
    <row r="23692" spans="1:7" x14ac:dyDescent="0.25">
      <c r="A23692" s="50" t="s">
        <v>79</v>
      </c>
      <c r="B23692" s="72" t="str">
        <f>VLOOKUP(A23692,'[1]Componentes APUs'!$A$1:$D$14,2,0)</f>
        <v>Gafas protectoras filtro UV</v>
      </c>
      <c r="C23692" s="73"/>
      <c r="D23692" s="50" t="str">
        <f>VLOOKUP(A23692,'[1]Componentes APUs'!$A$1:$D$14,3,0)</f>
        <v>U</v>
      </c>
      <c r="E23692" s="50">
        <f>SUM(C23668:C23673)</f>
        <v>2.75</v>
      </c>
      <c r="F23692" s="51">
        <f>VLOOKUP(A23692,'[1]Componentes APUs'!$A$1:$D$14,4,0)</f>
        <v>2777.7777777777778</v>
      </c>
      <c r="G23692" s="51">
        <f>ROUNDUP(F23692*(E23692/21)/E23658,0)</f>
        <v>37</v>
      </c>
    </row>
    <row r="23693" spans="1:7" x14ac:dyDescent="0.25">
      <c r="A23693" s="69" t="s">
        <v>402</v>
      </c>
      <c r="B23693" s="72" t="str">
        <f>VLOOKUP(A23693,'[1]Componentes APUs'!$A$1:$D$14,2,0)</f>
        <v>Bota de seguridad PVC dielectrica</v>
      </c>
      <c r="C23693" s="73"/>
      <c r="D23693" s="50" t="str">
        <f>VLOOKUP(A23693,'[1]Componentes APUs'!$A$1:$D$14,3,0)</f>
        <v>Par</v>
      </c>
      <c r="E23693" s="50">
        <f>SUM(C23668:C23673)</f>
        <v>2.75</v>
      </c>
      <c r="F23693" s="51">
        <f>VLOOKUP(A23693,'[1]Componentes APUs'!$A$1:$D$14,4,0)</f>
        <v>2916.6666666666665</v>
      </c>
      <c r="G23693" s="51">
        <f>ROUNDUP(F23693*(E23693/21)/E23658,0)</f>
        <v>39</v>
      </c>
    </row>
    <row r="23694" spans="1:7" x14ac:dyDescent="0.25">
      <c r="A23694" s="50" t="s">
        <v>403</v>
      </c>
      <c r="B23694" s="72" t="str">
        <f>VLOOKUP(A23694,'[1]Componentes APUs'!$A$1:$D$14,2,0)</f>
        <v>Capuchon</v>
      </c>
      <c r="C23694" s="73"/>
      <c r="D23694" s="50" t="str">
        <f>VLOOKUP(A23694,'[1]Componentes APUs'!$A$1:$D$14,3,0)</f>
        <v>U</v>
      </c>
      <c r="E23694" s="50">
        <f>SUM(C23668:C23673)</f>
        <v>2.75</v>
      </c>
      <c r="F23694" s="51">
        <f>VLOOKUP(A23694,'[1]Componentes APUs'!$A$1:$D$14,4,0)</f>
        <v>2525.2525252525252</v>
      </c>
      <c r="G23694" s="51">
        <f>ROUNDUP(F23694*(E23694/21)/E23658,0)</f>
        <v>34</v>
      </c>
    </row>
    <row r="23695" spans="1:7" x14ac:dyDescent="0.25">
      <c r="A23695" s="69" t="s">
        <v>81</v>
      </c>
      <c r="B23695" s="72" t="str">
        <f>VLOOKUP(A23695,'[1]Componentes APUs'!$A$1:$D$14,2,0)</f>
        <v>Guantes Protectores  - ingeniero reforzados</v>
      </c>
      <c r="C23695" s="73"/>
      <c r="D23695" s="50" t="str">
        <f>VLOOKUP(A23695,'[1]Componentes APUs'!$A$1:$D$14,3,0)</f>
        <v>Par</v>
      </c>
      <c r="E23695" s="50">
        <f>C23670+C23671+C23673</f>
        <v>2</v>
      </c>
      <c r="F23695" s="51">
        <f>VLOOKUP(A23695,'[1]Componentes APUs'!$A$1:$D$14,4,0)</f>
        <v>2525.2525252525252</v>
      </c>
      <c r="G23695" s="51">
        <f>ROUNDUP(F23695*(E23695/21)/E23658,0)</f>
        <v>25</v>
      </c>
    </row>
    <row r="23696" spans="1:7" x14ac:dyDescent="0.25">
      <c r="A23696" s="50" t="s">
        <v>83</v>
      </c>
      <c r="B23696" s="72" t="str">
        <f>VLOOKUP(A23696,'[1]Componentes APUs'!$A$1:$D$14,2,0)</f>
        <v>Impermeable (pantalon camisa)</v>
      </c>
      <c r="C23696" s="73"/>
      <c r="D23696" s="50" t="str">
        <f>VLOOKUP(A23696,'[1]Componentes APUs'!$A$1:$D$14,3,0)</f>
        <v>U</v>
      </c>
      <c r="E23696" s="50">
        <f>SUM(C23668:C23673)</f>
        <v>2.75</v>
      </c>
      <c r="F23696" s="51">
        <f>VLOOKUP(A23696,'[1]Componentes APUs'!$A$1:$D$14,4,0)</f>
        <v>3750</v>
      </c>
      <c r="G23696" s="51">
        <f>ROUNDUP(F23696*(E23696/21)/E23658,0)</f>
        <v>50</v>
      </c>
    </row>
    <row r="23697" spans="1:7" x14ac:dyDescent="0.25">
      <c r="A23697" s="69" t="s">
        <v>85</v>
      </c>
      <c r="B23697" s="72" t="str">
        <f>VLOOKUP(A23697,'[1]Componentes APUs'!$A$1:$D$14,2,0)</f>
        <v>Jean Dielectrico</v>
      </c>
      <c r="C23697" s="73"/>
      <c r="D23697" s="50" t="str">
        <f>VLOOKUP(A23697,'[1]Componentes APUs'!$A$1:$D$14,3,0)</f>
        <v>U</v>
      </c>
      <c r="E23697" s="50">
        <f>SUM(C23668:C23673)</f>
        <v>2.75</v>
      </c>
      <c r="F23697" s="51">
        <f>VLOOKUP(A23697,'[1]Componentes APUs'!$A$1:$D$14,4,0)</f>
        <v>7575.757575757576</v>
      </c>
      <c r="G23697" s="51">
        <f>ROUNDUP(F23697*(E23697/21)/E23658,0)</f>
        <v>100</v>
      </c>
    </row>
    <row r="23698" spans="1:7" x14ac:dyDescent="0.25">
      <c r="A23698" s="50" t="s">
        <v>87</v>
      </c>
      <c r="B23698" s="72" t="str">
        <f>VLOOKUP(A23698,'[1]Componentes APUs'!$A$1:$D$14,2,0)</f>
        <v>Casco dielectrico Tipo 2 Clase E con barboquejo</v>
      </c>
      <c r="C23698" s="73"/>
      <c r="D23698" s="50" t="str">
        <f>VLOOKUP(A23698,'[1]Componentes APUs'!$A$1:$D$14,3,0)</f>
        <v>U</v>
      </c>
      <c r="E23698" s="53">
        <f>IF(A23670="MO-3",C23670,0)</f>
        <v>1</v>
      </c>
      <c r="F23698" s="51">
        <f>VLOOKUP(A23698,'[1]Componentes APUs'!$A$1:$D$14,4,0)</f>
        <v>7500</v>
      </c>
      <c r="G23698" s="51">
        <f>ROUNDUP(F23698*(E23698/21)/E23658,0)</f>
        <v>36</v>
      </c>
    </row>
    <row r="23699" spans="1:7" x14ac:dyDescent="0.25">
      <c r="A23699" s="69" t="s">
        <v>89</v>
      </c>
      <c r="B23699" s="72" t="str">
        <f>VLOOKUP(A23699,'[1]Componentes APUs'!$A$1:$D$14,2,0)</f>
        <v>Kit de rescate para trabajo en alturas</v>
      </c>
      <c r="C23699" s="73"/>
      <c r="D23699" s="50" t="str">
        <f>VLOOKUP(A23699,'[1]Componentes APUs'!$A$1:$D$14,3,0)</f>
        <v>U</v>
      </c>
      <c r="E23699" s="50">
        <f>IF(AND(A23670="MO-3",C23670=2),1,0)</f>
        <v>0</v>
      </c>
      <c r="F23699" s="51">
        <f>VLOOKUP(A23699,'[1]Componentes APUs'!$A$1:$D$14,4,0)</f>
        <v>37500</v>
      </c>
      <c r="G23699" s="51">
        <f>ROUNDUP(F23699*(E23699/21)/E23658,0)</f>
        <v>0</v>
      </c>
    </row>
    <row r="23700" spans="1:7" x14ac:dyDescent="0.25">
      <c r="A23700" s="50" t="s">
        <v>91</v>
      </c>
      <c r="B23700" s="72" t="str">
        <f>VLOOKUP(A23700,'[1]Componentes APUs'!$A$1:$D$14,2,0)</f>
        <v>Equipo completo para trabajo en alturas con pretales (Arnes dielectrico, 1 mosqueton de seguridad, tie off dielectrico, eslinga de posicionamiento, juego de pretales)</v>
      </c>
      <c r="C23700" s="73"/>
      <c r="D23700" s="50" t="str">
        <f>VLOOKUP(A23700,'[1]Componentes APUs'!$A$1:$D$14,3,0)</f>
        <v>U</v>
      </c>
      <c r="E23700" s="50">
        <f>IF(A23670="MO-3",C23670,0)</f>
        <v>1</v>
      </c>
      <c r="F23700" s="51">
        <f>VLOOKUP(A23700,'[1]Componentes APUs'!$A$1:$D$14,4,0)</f>
        <v>26041.666666666668</v>
      </c>
      <c r="G23700" s="51">
        <f>ROUNDUP(F23700*(E23700/21)/E23658,0)</f>
        <v>125</v>
      </c>
    </row>
    <row r="23701" spans="1:7" x14ac:dyDescent="0.25">
      <c r="A23701" s="219" t="s">
        <v>95</v>
      </c>
      <c r="B23701" s="219"/>
      <c r="C23701" s="219"/>
      <c r="D23701" s="219"/>
      <c r="E23701" s="219"/>
      <c r="F23701" s="219"/>
      <c r="G23701" s="52">
        <f>SUM(G23688:G23700)</f>
        <v>793</v>
      </c>
    </row>
    <row r="23702" spans="1:7" x14ac:dyDescent="0.25">
      <c r="A23702" s="56"/>
      <c r="B23702" s="57"/>
      <c r="C23702" s="57"/>
      <c r="D23702" s="57"/>
      <c r="E23702" s="57"/>
      <c r="F23702" s="57"/>
      <c r="G23702" s="58"/>
    </row>
    <row r="23703" spans="1:7" x14ac:dyDescent="0.25">
      <c r="A23703" s="219" t="s">
        <v>96</v>
      </c>
      <c r="B23703" s="219"/>
      <c r="C23703" s="219"/>
      <c r="D23703" s="219"/>
      <c r="E23703" s="219"/>
      <c r="F23703" s="219"/>
      <c r="G23703" s="219"/>
    </row>
    <row r="23704" spans="1:7" x14ac:dyDescent="0.25">
      <c r="A23704" s="49" t="s">
        <v>35</v>
      </c>
      <c r="B23704" s="225" t="s">
        <v>36</v>
      </c>
      <c r="C23704" s="225"/>
      <c r="D23704" s="49" t="s">
        <v>37</v>
      </c>
      <c r="E23704" s="49" t="s">
        <v>38</v>
      </c>
      <c r="F23704" s="49" t="s">
        <v>39</v>
      </c>
      <c r="G23704" s="49" t="s">
        <v>40</v>
      </c>
    </row>
    <row r="23705" spans="1:7" x14ac:dyDescent="0.25">
      <c r="A23705" s="69" t="s">
        <v>97</v>
      </c>
      <c r="B23705" s="72" t="str">
        <f>VLOOKUP(A23705,'[1]Componentes APUs'!$N$1:$Q$30,2,0)</f>
        <v>Camioneta</v>
      </c>
      <c r="C23705" s="73"/>
      <c r="D23705" s="70" t="str">
        <f>VLOOKUP(A23705,'[1]Componentes APUs'!$N$1:$Q$30,3,0)</f>
        <v>U</v>
      </c>
      <c r="E23705" s="50">
        <v>1</v>
      </c>
      <c r="F23705" s="51">
        <f>VLOOKUP(A23705,'[1]Componentes APUs'!$N$1:$Q$30,4,0)</f>
        <v>5500000</v>
      </c>
      <c r="G23705" s="51">
        <f>IFERROR(ROUNDUP(F23705*(E23705/21)/E23658,0),0)</f>
        <v>26191</v>
      </c>
    </row>
    <row r="23706" spans="1:7" x14ac:dyDescent="0.25">
      <c r="A23706" s="50" t="s">
        <v>321</v>
      </c>
      <c r="B23706" s="72" t="str">
        <f>VLOOKUP(A23706,'[1]Componentes APUs'!$N$1:$Q$30,2,0)</f>
        <v>Grúa Hidráulica</v>
      </c>
      <c r="C23706" s="73"/>
      <c r="D23706" s="70" t="str">
        <f>VLOOKUP(A23706,'[1]Componentes APUs'!$N$1:$Q$30,3,0)</f>
        <v>U</v>
      </c>
      <c r="E23706" s="50">
        <v>0</v>
      </c>
      <c r="F23706" s="51">
        <f>VLOOKUP(A23706,'[1]Componentes APUs'!$N$1:$Q$30,4,0)</f>
        <v>21000000</v>
      </c>
      <c r="G23706" s="51">
        <f>IFERROR(ROUNDUP(F23706*(E23706/21)/E23658,0),0)</f>
        <v>0</v>
      </c>
    </row>
    <row r="23707" spans="1:7" x14ac:dyDescent="0.25">
      <c r="A23707" s="69" t="s">
        <v>322</v>
      </c>
      <c r="B23707" s="72" t="str">
        <f>VLOOKUP(A23707,'[1]Componentes APUs'!$N$1:$Q$30,2,0)</f>
        <v>Camabaja</v>
      </c>
      <c r="C23707" s="73"/>
      <c r="D23707" s="70" t="str">
        <f>VLOOKUP(A23707,'[1]Componentes APUs'!$N$1:$Q$30,3,0)</f>
        <v>TON/KM</v>
      </c>
      <c r="E23707" s="50">
        <v>0</v>
      </c>
      <c r="F23707" s="51">
        <f>VLOOKUP(A23707,'[1]Componentes APUs'!$N$1:$Q$30,4,0)</f>
        <v>611</v>
      </c>
      <c r="G23707" s="51">
        <f>IFERROR(ROUNDUP(F23707*(E23707/21)/E23658,0),0)</f>
        <v>0</v>
      </c>
    </row>
    <row r="23708" spans="1:7" x14ac:dyDescent="0.25">
      <c r="A23708" s="50" t="s">
        <v>323</v>
      </c>
      <c r="B23708" s="72" t="str">
        <f>VLOOKUP(A23708,'[1]Componentes APUs'!$N$1:$Q$30,2,0)</f>
        <v>Volqueta</v>
      </c>
      <c r="C23708" s="73"/>
      <c r="D23708" s="70" t="str">
        <f>VLOOKUP(A23708,'[1]Componentes APUs'!$N$1:$Q$30,3,0)</f>
        <v>U</v>
      </c>
      <c r="E23708" s="50">
        <v>0</v>
      </c>
      <c r="F23708" s="51">
        <f>VLOOKUP(A23708,'[1]Componentes APUs'!$N$1:$Q$30,4,0)</f>
        <v>18900000</v>
      </c>
      <c r="G23708" s="51">
        <f>IFERROR(ROUNDUP(F23708*(E23708/21)/E23658,0),0)</f>
        <v>0</v>
      </c>
    </row>
    <row r="23709" spans="1:7" x14ac:dyDescent="0.25">
      <c r="A23709" s="69" t="s">
        <v>324</v>
      </c>
      <c r="B23709" s="72" t="str">
        <f>VLOOKUP(A23709,'[1]Componentes APUs'!$N$1:$Q$30,2,0)</f>
        <v>Retroexcavadora</v>
      </c>
      <c r="C23709" s="73"/>
      <c r="D23709" s="70" t="str">
        <f>VLOOKUP(A23709,'[1]Componentes APUs'!$N$1:$Q$30,3,0)</f>
        <v>U</v>
      </c>
      <c r="E23709" s="50">
        <v>0</v>
      </c>
      <c r="F23709" s="51">
        <f>VLOOKUP(A23709,'[1]Componentes APUs'!$N$1:$Q$30,4,0)</f>
        <v>1494459.54</v>
      </c>
      <c r="G23709" s="51">
        <f>IFERROR(ROUNDUP(F23709*(E23709/21)/E23658,0),0)</f>
        <v>0</v>
      </c>
    </row>
    <row r="23710" spans="1:7" x14ac:dyDescent="0.25">
      <c r="A23710" s="219" t="s">
        <v>99</v>
      </c>
      <c r="B23710" s="219"/>
      <c r="C23710" s="219"/>
      <c r="D23710" s="219"/>
      <c r="E23710" s="219"/>
      <c r="F23710" s="219"/>
      <c r="G23710" s="52">
        <f>SUM(G23705:G23709)</f>
        <v>26191</v>
      </c>
    </row>
    <row r="23711" spans="1:7" x14ac:dyDescent="0.25">
      <c r="A23711" s="56"/>
      <c r="B23711" s="57"/>
      <c r="C23711" s="57"/>
      <c r="D23711" s="57"/>
      <c r="E23711" s="57"/>
      <c r="F23711" s="57"/>
      <c r="G23711" s="58"/>
    </row>
    <row r="23712" spans="1:7" x14ac:dyDescent="0.25">
      <c r="A23712" s="219" t="s">
        <v>1516</v>
      </c>
      <c r="B23712" s="219"/>
      <c r="C23712" s="219"/>
      <c r="D23712" s="219"/>
      <c r="E23712" s="219"/>
      <c r="F23712" s="219"/>
      <c r="G23712" s="52">
        <f>G23710+G23701+G23684+G23674+G23664</f>
        <v>296746</v>
      </c>
    </row>
    <row r="23713" spans="1:7" x14ac:dyDescent="0.25">
      <c r="A23713" s="59"/>
      <c r="B23713" s="60"/>
      <c r="C23713" s="60"/>
      <c r="D23713" s="60"/>
      <c r="E23713" s="57"/>
      <c r="F23713" s="57"/>
      <c r="G23713" s="58"/>
    </row>
    <row r="23714" spans="1:7" x14ac:dyDescent="0.25">
      <c r="A23714" s="64"/>
      <c r="D23714" s="55"/>
      <c r="E23714" s="49" t="s">
        <v>25</v>
      </c>
      <c r="F23714" s="54">
        <v>0.15</v>
      </c>
      <c r="G23714" s="51">
        <f>G23712*F23714</f>
        <v>44511.9</v>
      </c>
    </row>
    <row r="23715" spans="1:7" x14ac:dyDescent="0.25">
      <c r="A23715" s="64"/>
      <c r="D23715" s="55"/>
      <c r="E23715" s="49" t="s">
        <v>26</v>
      </c>
      <c r="F23715" s="54">
        <v>0.05</v>
      </c>
      <c r="G23715" s="51">
        <f>G23712*F23715</f>
        <v>14837.300000000001</v>
      </c>
    </row>
    <row r="23716" spans="1:7" x14ac:dyDescent="0.25">
      <c r="A23716" s="61"/>
      <c r="B23716" s="65"/>
      <c r="C23716" s="65"/>
      <c r="D23716" s="62"/>
      <c r="E23716" s="49" t="s">
        <v>27</v>
      </c>
      <c r="F23716" s="54">
        <v>0.05</v>
      </c>
      <c r="G23716" s="51">
        <f>G23712*F23716</f>
        <v>14837.300000000001</v>
      </c>
    </row>
    <row r="23717" spans="1:7" x14ac:dyDescent="0.25">
      <c r="A23717" s="61"/>
      <c r="B23717" s="62"/>
      <c r="C23717" s="62"/>
      <c r="D23717" s="62"/>
      <c r="E23717" s="62"/>
      <c r="F23717" s="62"/>
      <c r="G23717" s="63"/>
    </row>
    <row r="23718" spans="1:7" x14ac:dyDescent="0.25">
      <c r="A23718" s="219" t="s">
        <v>1517</v>
      </c>
      <c r="B23718" s="219"/>
      <c r="C23718" s="219"/>
      <c r="D23718" s="219"/>
      <c r="E23718" s="219"/>
      <c r="F23718" s="219"/>
      <c r="G23718" s="52">
        <f>G23712+G23714+G23715+G23716</f>
        <v>370932.5</v>
      </c>
    </row>
    <row r="23719" spans="1:7" x14ac:dyDescent="0.25">
      <c r="A23719" s="59"/>
      <c r="B23719" s="60"/>
      <c r="C23719" s="60"/>
      <c r="D23719" s="60"/>
      <c r="E23719" s="57"/>
      <c r="F23719" s="57"/>
      <c r="G23719" s="58"/>
    </row>
    <row r="23720" spans="1:7" x14ac:dyDescent="0.25">
      <c r="A23720" s="64"/>
      <c r="D23720" s="55"/>
      <c r="E23720" s="49" t="s">
        <v>102</v>
      </c>
      <c r="F23720" s="49" t="s">
        <v>103</v>
      </c>
      <c r="G23720" s="51">
        <f>G23716*19%</f>
        <v>2819.0870000000004</v>
      </c>
    </row>
    <row r="23721" spans="1:7" x14ac:dyDescent="0.25">
      <c r="A23721" s="61"/>
      <c r="B23721" s="62"/>
      <c r="C23721" s="62"/>
      <c r="D23721" s="62"/>
      <c r="E23721" s="57"/>
      <c r="F23721" s="57"/>
      <c r="G23721" s="58"/>
    </row>
    <row r="23722" spans="1:7" x14ac:dyDescent="0.25">
      <c r="A23722" s="219" t="s">
        <v>104</v>
      </c>
      <c r="B23722" s="219"/>
      <c r="C23722" s="219"/>
      <c r="D23722" s="219"/>
      <c r="E23722" s="219"/>
      <c r="F23722" s="219"/>
      <c r="G23722" s="52">
        <f>G23720+G23718</f>
        <v>373751.587</v>
      </c>
    </row>
    <row r="23724" spans="1:7" x14ac:dyDescent="0.25">
      <c r="A23724" s="74" t="s">
        <v>29</v>
      </c>
      <c r="B23724" s="237" t="s">
        <v>30</v>
      </c>
      <c r="C23724" s="238"/>
      <c r="D23724" s="74" t="s">
        <v>31</v>
      </c>
      <c r="E23724" s="74" t="s">
        <v>32</v>
      </c>
      <c r="F23724" s="74" t="s">
        <v>189</v>
      </c>
      <c r="G23724" s="74" t="s">
        <v>33</v>
      </c>
    </row>
    <row r="23725" spans="1:7" x14ac:dyDescent="0.25">
      <c r="A23725" s="50" t="str">
        <f>Presupuesto!B450</f>
        <v>001_OT</v>
      </c>
      <c r="B23725" s="220" t="str">
        <f>Presupuesto!C450</f>
        <v>PLACAS DE IDENTIFICACIÓN Y SEÑALIZACIÓN DE SEGURIDAD</v>
      </c>
      <c r="C23725" s="239"/>
      <c r="D23725" s="50" t="s">
        <v>8</v>
      </c>
      <c r="E23725" s="50">
        <v>4</v>
      </c>
      <c r="F23725" s="50"/>
      <c r="G23725" s="51">
        <f>G23791</f>
        <v>1252531.1865000003</v>
      </c>
    </row>
    <row r="23726" spans="1:7" x14ac:dyDescent="0.25">
      <c r="A23726" s="219" t="s">
        <v>34</v>
      </c>
      <c r="B23726" s="219"/>
      <c r="C23726" s="219"/>
      <c r="D23726" s="219"/>
      <c r="E23726" s="219"/>
      <c r="F23726" s="219"/>
      <c r="G23726" s="219"/>
    </row>
    <row r="23727" spans="1:7" x14ac:dyDescent="0.25">
      <c r="A23727" s="49" t="s">
        <v>35</v>
      </c>
      <c r="B23727" s="234" t="s">
        <v>36</v>
      </c>
      <c r="C23727" s="235"/>
      <c r="D23727" s="49" t="s">
        <v>37</v>
      </c>
      <c r="E23727" s="49" t="s">
        <v>38</v>
      </c>
      <c r="F23727" s="49" t="s">
        <v>39</v>
      </c>
      <c r="G23727" s="49" t="s">
        <v>40</v>
      </c>
    </row>
    <row r="23728" spans="1:7" x14ac:dyDescent="0.25">
      <c r="A23728" s="17" t="str">
        <f>Material!A453</f>
        <v>MA-452</v>
      </c>
      <c r="B23728" s="72" t="str">
        <f>IFERROR(VLOOKUP(A23728,Material!$A:$H,2,0),"-")</f>
        <v xml:space="preserve">PLACA DE SEÑALIZACIÓN E IDENTIFICACIÓN </v>
      </c>
      <c r="C23728" s="76"/>
      <c r="D23728" s="50" t="str">
        <f>IFERROR(VLOOKUP(A23728,Material!$A:$H,4,0),"-")</f>
        <v>UN</v>
      </c>
      <c r="E23728" s="50">
        <v>30</v>
      </c>
      <c r="F23728" s="51">
        <f>IFERROR(VLOOKUP(A23728,Material!$A:$H,3,0),"-")</f>
        <v>24700</v>
      </c>
      <c r="G23728" s="51">
        <f>IFERROR(ROUNDUP(F23728*E23728,0),"-")</f>
        <v>741000</v>
      </c>
    </row>
    <row r="23729" spans="1:7" x14ac:dyDescent="0.25">
      <c r="A23729" s="17"/>
      <c r="B23729" s="72" t="str">
        <f>IFERROR(VLOOKUP(A23729,Material!$A:$H,2,0),"-")</f>
        <v>-</v>
      </c>
      <c r="C23729" s="76"/>
      <c r="D23729" s="50" t="str">
        <f>IFERROR(VLOOKUP(A23729,Material!$A:$H,4,0),"-")</f>
        <v>-</v>
      </c>
      <c r="E23729" s="50"/>
      <c r="F23729" s="51" t="str">
        <f>IFERROR(VLOOKUP(A23729,Material!$A:$H,3,0),"-")</f>
        <v>-</v>
      </c>
      <c r="G23729" s="51" t="str">
        <f>IFERROR(ROUNDUP(F23729*E23729,0),"-")</f>
        <v>-</v>
      </c>
    </row>
    <row r="23730" spans="1:7" x14ac:dyDescent="0.25">
      <c r="A23730" s="17"/>
      <c r="B23730" s="72" t="str">
        <f>IFERROR(VLOOKUP(A23730,Material!$A:$H,2,0),"-")</f>
        <v>-</v>
      </c>
      <c r="C23730" s="76"/>
      <c r="D23730" s="50" t="str">
        <f>IFERROR(VLOOKUP(A23730,Material!$A:$H,4,0),"-")</f>
        <v>-</v>
      </c>
      <c r="E23730" s="50"/>
      <c r="F23730" s="51" t="str">
        <f>IFERROR(VLOOKUP(A23730,Material!$A:$H,3,0),"-")</f>
        <v>-</v>
      </c>
      <c r="G23730" s="51" t="str">
        <f>IFERROR(ROUNDUP(F23730*E23730,0),"-")</f>
        <v>-</v>
      </c>
    </row>
    <row r="23731" spans="1:7" x14ac:dyDescent="0.25">
      <c r="A23731" s="17"/>
      <c r="B23731" s="72" t="str">
        <f>IFERROR(VLOOKUP(A23731,Material!$A:$H,2,0),"-")</f>
        <v>-</v>
      </c>
      <c r="C23731" s="76"/>
      <c r="D23731" s="50" t="str">
        <f>IFERROR(VLOOKUP(A23731,Material!$A:$H,4,0),"-")</f>
        <v>-</v>
      </c>
      <c r="E23731" s="50"/>
      <c r="F23731" s="51" t="str">
        <f>IFERROR(VLOOKUP(A23731,Material!$A:$H,3,0),"-")</f>
        <v>-</v>
      </c>
      <c r="G23731" s="51" t="str">
        <f>IFERROR(ROUNDUP(F23731*E23731,0),"-")</f>
        <v>-</v>
      </c>
    </row>
    <row r="23732" spans="1:7" x14ac:dyDescent="0.25">
      <c r="A23732" s="17"/>
      <c r="B23732" s="72" t="str">
        <f>IFERROR(VLOOKUP(A23732,Material!$A:$H,2,0),"-")</f>
        <v>-</v>
      </c>
      <c r="C23732" s="76"/>
      <c r="D23732" s="50" t="str">
        <f>IFERROR(VLOOKUP(A23732,Material!$A:$H,4,0),"-")</f>
        <v>-</v>
      </c>
      <c r="E23732" s="50"/>
      <c r="F23732" s="51" t="str">
        <f>IFERROR(VLOOKUP(A23732,Material!$A:$H,3,0),"-")</f>
        <v>-</v>
      </c>
      <c r="G23732" s="51" t="str">
        <f>IFERROR(ROUNDUP(F23732*E23732,0),"-")</f>
        <v>-</v>
      </c>
    </row>
    <row r="23733" spans="1:7" x14ac:dyDescent="0.25">
      <c r="A23733" s="234" t="s">
        <v>41</v>
      </c>
      <c r="B23733" s="236"/>
      <c r="C23733" s="236"/>
      <c r="D23733" s="236"/>
      <c r="E23733" s="236"/>
      <c r="F23733" s="235"/>
      <c r="G23733" s="52">
        <f>SUM(G23728:G23732)</f>
        <v>741000</v>
      </c>
    </row>
    <row r="23734" spans="1:7" x14ac:dyDescent="0.25">
      <c r="A23734" s="56"/>
      <c r="B23734" s="57"/>
      <c r="C23734" s="57"/>
      <c r="D23734" s="57"/>
      <c r="E23734" s="57"/>
      <c r="F23734" s="57"/>
      <c r="G23734" s="58"/>
    </row>
    <row r="23735" spans="1:7" x14ac:dyDescent="0.25">
      <c r="A23735" s="219" t="s">
        <v>42</v>
      </c>
      <c r="B23735" s="219"/>
      <c r="C23735" s="219"/>
      <c r="D23735" s="219"/>
      <c r="E23735" s="219"/>
      <c r="F23735" s="219"/>
      <c r="G23735" s="219"/>
    </row>
    <row r="23736" spans="1:7" x14ac:dyDescent="0.25">
      <c r="A23736" s="49" t="s">
        <v>35</v>
      </c>
      <c r="B23736" s="49" t="s">
        <v>36</v>
      </c>
      <c r="C23736" s="49" t="s">
        <v>38</v>
      </c>
      <c r="D23736" s="49" t="s">
        <v>43</v>
      </c>
      <c r="E23736" s="49" t="s">
        <v>44</v>
      </c>
      <c r="F23736" s="49" t="s">
        <v>45</v>
      </c>
      <c r="G23736" s="49" t="s">
        <v>40</v>
      </c>
    </row>
    <row r="23737" spans="1:7" x14ac:dyDescent="0.25">
      <c r="A23737" s="50" t="s">
        <v>319</v>
      </c>
      <c r="B23737" s="68" t="str">
        <f>VLOOKUP(A23737,'Componentes APUs'!$H$1:$L$25,2,0)</f>
        <v>Ingeniero Residente de Obra</v>
      </c>
      <c r="C23737" s="93">
        <v>0.25</v>
      </c>
      <c r="D23737" s="50">
        <f>VLOOKUP(A23737,'Componentes APUs'!$H$1:$L$25,3,0)</f>
        <v>4</v>
      </c>
      <c r="E23737" s="51">
        <f>VLOOKUP(A23737,'Componentes APUs'!$H$1:$L$25,4,0)</f>
        <v>271142.85714285716</v>
      </c>
      <c r="F23737" s="51">
        <f>VLOOKUP(A23737,'Componentes APUs'!$H$1:$L$25,5,0)</f>
        <v>162685.71428571429</v>
      </c>
      <c r="G23737" s="51">
        <f>ROUNDUP((E23737+F23737)*C23737/E23725,0)</f>
        <v>27115</v>
      </c>
    </row>
    <row r="23738" spans="1:7" x14ac:dyDescent="0.25">
      <c r="A23738" s="50" t="s">
        <v>320</v>
      </c>
      <c r="B23738" s="68" t="str">
        <f>VLOOKUP(A23738,'Componentes APUs'!$H$1:$L$25,2,0)</f>
        <v>Tecnico Supervisor</v>
      </c>
      <c r="C23738" s="93">
        <v>0.25</v>
      </c>
      <c r="D23738" s="50">
        <f>VLOOKUP(A23738,'Componentes APUs'!$H$1:$L$25,3,0)</f>
        <v>2.2999999999999998</v>
      </c>
      <c r="E23738" s="51">
        <f>VLOOKUP(A23738,'Componentes APUs'!$H$1:$L$25,4,0)</f>
        <v>155907.14285714284</v>
      </c>
      <c r="F23738" s="51">
        <f>VLOOKUP(A23738,'Componentes APUs'!$H$1:$L$25,5,0)</f>
        <v>93544.285714285696</v>
      </c>
      <c r="G23738" s="51">
        <f>ROUNDUP((E23738+F23738)*C23738/E23725,0)</f>
        <v>15591</v>
      </c>
    </row>
    <row r="23739" spans="1:7" x14ac:dyDescent="0.25">
      <c r="A23739" s="50" t="s">
        <v>46</v>
      </c>
      <c r="B23739" s="68" t="str">
        <f>VLOOKUP(A23739,'Componentes APUs'!$H$1:$L$25,2,0)</f>
        <v>Tecnico Liniero</v>
      </c>
      <c r="C23739" s="93">
        <v>1</v>
      </c>
      <c r="D23739" s="50">
        <f>VLOOKUP(A23739,'Componentes APUs'!$H$1:$L$25,3,0)</f>
        <v>2</v>
      </c>
      <c r="E23739" s="51">
        <f>VLOOKUP(A23739,'Componentes APUs'!$H$1:$L$25,4,0)</f>
        <v>154619.04761904763</v>
      </c>
      <c r="F23739" s="51">
        <f>VLOOKUP(A23739,'Componentes APUs'!$H$1:$L$25,5,0)</f>
        <v>92771.42857142858</v>
      </c>
      <c r="G23739" s="51">
        <f>ROUNDUP((E23739+F23739)*C23739/E23725,0)</f>
        <v>61848</v>
      </c>
    </row>
    <row r="23740" spans="1:7" x14ac:dyDescent="0.25">
      <c r="A23740" s="50" t="s">
        <v>48</v>
      </c>
      <c r="B23740" s="68" t="str">
        <f>VLOOKUP(A23740,'Componentes APUs'!$H$1:$L$25,2,0)</f>
        <v>Ayudante Calificado</v>
      </c>
      <c r="C23740" s="93">
        <v>0</v>
      </c>
      <c r="D23740" s="50">
        <f>VLOOKUP(A23740,'Componentes APUs'!$H$1:$L$25,3,0)</f>
        <v>1.5</v>
      </c>
      <c r="E23740" s="51">
        <f>VLOOKUP(A23740,'Componentes APUs'!$H$1:$L$25,4,0)</f>
        <v>115964.28571428571</v>
      </c>
      <c r="F23740" s="51">
        <f>VLOOKUP(A23740,'Componentes APUs'!$H$1:$L$25,5,0)</f>
        <v>69578.57142857142</v>
      </c>
      <c r="G23740" s="51">
        <f>ROUNDUP((E23740+F23740)*C23740/E23725,0)</f>
        <v>0</v>
      </c>
    </row>
    <row r="23741" spans="1:7" x14ac:dyDescent="0.25">
      <c r="A23741" s="50" t="s">
        <v>50</v>
      </c>
      <c r="B23741" s="68" t="str">
        <f>VLOOKUP(A23741,'Componentes APUs'!$H$1:$L$25,2,0)</f>
        <v>Profesional en SST</v>
      </c>
      <c r="C23741" s="93">
        <v>0.25</v>
      </c>
      <c r="D23741" s="50">
        <f>VLOOKUP(A23741,'Componentes APUs'!$H$1:$L$25,3,0)</f>
        <v>2.5</v>
      </c>
      <c r="E23741" s="51">
        <f>VLOOKUP(A23741,'Componentes APUs'!$H$1:$L$25,4,0)</f>
        <v>169464.28571428571</v>
      </c>
      <c r="F23741" s="51">
        <f>VLOOKUP(A23741,'Componentes APUs'!$H$1:$L$25,5,0)</f>
        <v>101678.57142857142</v>
      </c>
      <c r="G23741" s="51">
        <f>ROUNDUP((E23741+F23741)*C23741/E23725,0)</f>
        <v>16947</v>
      </c>
    </row>
    <row r="23742" spans="1:7" x14ac:dyDescent="0.25">
      <c r="A23742" s="50" t="s">
        <v>52</v>
      </c>
      <c r="B23742" s="68" t="str">
        <f>VLOOKUP(A23742,'Componentes APUs'!$H$1:$L$25,2,0)</f>
        <v>Ayudante No Calificado</v>
      </c>
      <c r="C23742" s="93">
        <v>2</v>
      </c>
      <c r="D23742" s="50">
        <f>VLOOKUP(A23742,'Componentes APUs'!$H$1:$L$25,3,0)</f>
        <v>1</v>
      </c>
      <c r="E23742" s="51">
        <f>VLOOKUP(A23742,'Componentes APUs'!$H$1:$L$25,4,0)</f>
        <v>77309.523809523816</v>
      </c>
      <c r="F23742" s="51">
        <f>VLOOKUP(A23742,'Componentes APUs'!$H$1:$L$25,5,0)</f>
        <v>46385.71428571429</v>
      </c>
      <c r="G23742" s="51">
        <f>ROUNDUP((E23742+F23742)*C23742/E23725,0)</f>
        <v>61848</v>
      </c>
    </row>
    <row r="23743" spans="1:7" x14ac:dyDescent="0.25">
      <c r="A23743" s="219" t="s">
        <v>56</v>
      </c>
      <c r="B23743" s="219"/>
      <c r="C23743" s="219"/>
      <c r="D23743" s="219"/>
      <c r="E23743" s="219"/>
      <c r="F23743" s="219"/>
      <c r="G23743" s="52">
        <f>SUM(G23737:G23742)</f>
        <v>183349</v>
      </c>
    </row>
    <row r="23744" spans="1:7" x14ac:dyDescent="0.25">
      <c r="A23744" s="56"/>
      <c r="B23744" s="57"/>
      <c r="C23744" s="57"/>
      <c r="D23744" s="57"/>
      <c r="E23744" s="57"/>
      <c r="F23744" s="57"/>
      <c r="G23744" s="58"/>
    </row>
    <row r="23745" spans="1:7" x14ac:dyDescent="0.25">
      <c r="A23745" s="219" t="s">
        <v>57</v>
      </c>
      <c r="B23745" s="219"/>
      <c r="C23745" s="219"/>
      <c r="D23745" s="219"/>
      <c r="E23745" s="219"/>
      <c r="F23745" s="219"/>
      <c r="G23745" s="219"/>
    </row>
    <row r="23746" spans="1:7" x14ac:dyDescent="0.25">
      <c r="A23746" s="49" t="s">
        <v>35</v>
      </c>
      <c r="B23746" s="219" t="s">
        <v>36</v>
      </c>
      <c r="C23746" s="219"/>
      <c r="D23746" s="49" t="s">
        <v>37</v>
      </c>
      <c r="E23746" s="49" t="s">
        <v>38</v>
      </c>
      <c r="F23746" s="49" t="s">
        <v>39</v>
      </c>
      <c r="G23746" s="49" t="s">
        <v>40</v>
      </c>
    </row>
    <row r="23747" spans="1:7" x14ac:dyDescent="0.25">
      <c r="A23747" s="50" t="s">
        <v>326</v>
      </c>
      <c r="B23747" s="220" t="str">
        <f>VLOOKUP(A23747,'Componentes APUs'!$S$1:$V$10,2,0)</f>
        <v>Juego Llaves</v>
      </c>
      <c r="C23747" s="220"/>
      <c r="D23747" s="50" t="s">
        <v>18</v>
      </c>
      <c r="E23747" s="50">
        <v>2</v>
      </c>
      <c r="F23747" s="51">
        <f>VLOOKUP(A23747,'Componentes APUs'!$S$1:$V$10,4,0)</f>
        <v>9167</v>
      </c>
      <c r="G23747" s="51">
        <f>ROUNDUP(F23747*((E23747/21)/E23725),0)</f>
        <v>219</v>
      </c>
    </row>
    <row r="23748" spans="1:7" x14ac:dyDescent="0.25">
      <c r="A23748" s="50" t="s">
        <v>58</v>
      </c>
      <c r="B23748" s="220" t="str">
        <f>VLOOKUP(A23748,'Componentes APUs'!$S$1:$V$10,2,0)</f>
        <v>Manila de servicio</v>
      </c>
      <c r="C23748" s="220"/>
      <c r="D23748" s="50" t="s">
        <v>18</v>
      </c>
      <c r="E23748" s="50">
        <v>0</v>
      </c>
      <c r="F23748" s="51">
        <f>VLOOKUP(A23748,'Componentes APUs'!$S$1:$V$10,4,0)</f>
        <v>2333</v>
      </c>
      <c r="G23748" s="51">
        <f>ROUNDUP(F23748*((E23748/21)/E23725),0)</f>
        <v>0</v>
      </c>
    </row>
    <row r="23749" spans="1:7" x14ac:dyDescent="0.25">
      <c r="A23749" s="50" t="s">
        <v>327</v>
      </c>
      <c r="B23749" s="220" t="str">
        <f>VLOOKUP(A23749,'Componentes APUs'!$S$1:$V$10,2,0)</f>
        <v>Tula portaherramientas</v>
      </c>
      <c r="C23749" s="220"/>
      <c r="D23749" s="50" t="s">
        <v>18</v>
      </c>
      <c r="E23749" s="50">
        <v>2</v>
      </c>
      <c r="F23749" s="51">
        <f>VLOOKUP(A23749,'Componentes APUs'!$S$1:$V$10,4,0)</f>
        <v>1250</v>
      </c>
      <c r="G23749" s="51">
        <f>ROUNDUP(F23749*((E23749/21)/E23725),0)</f>
        <v>30</v>
      </c>
    </row>
    <row r="23750" spans="1:7" x14ac:dyDescent="0.25">
      <c r="A23750" s="50" t="s">
        <v>60</v>
      </c>
      <c r="B23750" s="220" t="str">
        <f>VLOOKUP(A23750,'Componentes APUs'!$S$1:$V$10,2,0)</f>
        <v>Agarradoras</v>
      </c>
      <c r="C23750" s="220"/>
      <c r="D23750" s="50" t="s">
        <v>18</v>
      </c>
      <c r="E23750" s="50">
        <v>0</v>
      </c>
      <c r="F23750" s="51">
        <f>VLOOKUP(A23750,'Componentes APUs'!$S$1:$V$10,4,0)</f>
        <v>125000</v>
      </c>
      <c r="G23750" s="51">
        <f>ROUNDUP(F23750*((E23750/21)/E23725),0)</f>
        <v>0</v>
      </c>
    </row>
    <row r="23751" spans="1:7" x14ac:dyDescent="0.25">
      <c r="A23751" s="50" t="s">
        <v>62</v>
      </c>
      <c r="B23751" s="220" t="str">
        <f>VLOOKUP(A23751,'Componentes APUs'!$S$1:$V$10,2,0)</f>
        <v>Templadoras</v>
      </c>
      <c r="C23751" s="220"/>
      <c r="D23751" s="50" t="s">
        <v>18</v>
      </c>
      <c r="E23751" s="50">
        <v>0</v>
      </c>
      <c r="F23751" s="51">
        <f>VLOOKUP(A23751,'Componentes APUs'!$S$1:$V$10,4,0)</f>
        <v>250000</v>
      </c>
      <c r="G23751" s="51">
        <f>ROUNDUP(F23751*((E23751/21)/E23725),0)</f>
        <v>0</v>
      </c>
    </row>
    <row r="23752" spans="1:7" x14ac:dyDescent="0.25">
      <c r="A23752" s="50" t="s">
        <v>328</v>
      </c>
      <c r="B23752" s="220" t="str">
        <f>VLOOKUP(A23752,'Componentes APUs'!$S$1:$V$10,2,0)</f>
        <v>Herramienta Menor</v>
      </c>
      <c r="C23752" s="220"/>
      <c r="D23752" s="50" t="s">
        <v>18</v>
      </c>
      <c r="E23752" s="50">
        <v>2</v>
      </c>
      <c r="F23752" s="51">
        <f>VLOOKUP(A23752,'Componentes APUs'!$S$1:$V$10,4,0)</f>
        <v>75758</v>
      </c>
      <c r="G23752" s="51">
        <f>ROUNDUP(F23752*((E23752/21)/E23725),0)</f>
        <v>1804</v>
      </c>
    </row>
    <row r="23753" spans="1:7" x14ac:dyDescent="0.25">
      <c r="A23753" s="219" t="s">
        <v>69</v>
      </c>
      <c r="B23753" s="219"/>
      <c r="C23753" s="219"/>
      <c r="D23753" s="219"/>
      <c r="E23753" s="219"/>
      <c r="F23753" s="219"/>
      <c r="G23753" s="52">
        <f>SUM(G23747:G23752)</f>
        <v>2053</v>
      </c>
    </row>
    <row r="23754" spans="1:7" x14ac:dyDescent="0.25">
      <c r="A23754" s="56"/>
      <c r="B23754" s="57"/>
      <c r="C23754" s="57"/>
      <c r="D23754" s="57"/>
      <c r="E23754" s="57"/>
      <c r="F23754" s="57"/>
      <c r="G23754" s="58"/>
    </row>
    <row r="23755" spans="1:7" x14ac:dyDescent="0.25">
      <c r="A23755" s="219" t="s">
        <v>70</v>
      </c>
      <c r="B23755" s="219"/>
      <c r="C23755" s="219"/>
      <c r="D23755" s="219"/>
      <c r="E23755" s="219"/>
      <c r="F23755" s="219"/>
      <c r="G23755" s="219"/>
    </row>
    <row r="23756" spans="1:7" x14ac:dyDescent="0.25">
      <c r="A23756" s="49" t="s">
        <v>35</v>
      </c>
      <c r="B23756" s="219" t="s">
        <v>36</v>
      </c>
      <c r="C23756" s="219"/>
      <c r="D23756" s="49" t="s">
        <v>37</v>
      </c>
      <c r="E23756" s="49" t="s">
        <v>38</v>
      </c>
      <c r="F23756" s="49" t="s">
        <v>39</v>
      </c>
      <c r="G23756" s="49" t="s">
        <v>40</v>
      </c>
    </row>
    <row r="23757" spans="1:7" x14ac:dyDescent="0.25">
      <c r="A23757" s="50" t="s">
        <v>71</v>
      </c>
      <c r="B23757" s="71" t="str">
        <f>VLOOKUP(A23757,'Componentes APUs'!$A$1:$D$14,2,0)</f>
        <v>Camisa indigo sin partes metalicas</v>
      </c>
      <c r="C23757" s="71"/>
      <c r="D23757" s="50" t="str">
        <f>VLOOKUP(A23757,'Componentes APUs'!$A$1:$D$14,3,0)</f>
        <v>U</v>
      </c>
      <c r="E23757" s="50">
        <f>SUM(C23737:C23742)</f>
        <v>3.75</v>
      </c>
      <c r="F23757" s="51">
        <f>VLOOKUP(A23757,'Componentes APUs'!$A$1:$D$14,4,0)</f>
        <v>8585.8585858585866</v>
      </c>
      <c r="G23757" s="51">
        <f>ROUNDUP(F23757*(E23757/21)/E23725,0)</f>
        <v>384</v>
      </c>
    </row>
    <row r="23758" spans="1:7" x14ac:dyDescent="0.25">
      <c r="A23758" s="69" t="s">
        <v>73</v>
      </c>
      <c r="B23758" s="72" t="str">
        <f>VLOOKUP(A23758,'Componentes APUs'!$A$1:$D$14,2,0)</f>
        <v>Bota de seguridad dielectrica</v>
      </c>
      <c r="C23758" s="73"/>
      <c r="D23758" s="70" t="str">
        <f>VLOOKUP(A23758,'Componentes APUs'!$A$1:$D$14,3,0)</f>
        <v>Par</v>
      </c>
      <c r="E23758" s="50">
        <f>SUM(C23737:C23742)</f>
        <v>3.75</v>
      </c>
      <c r="F23758" s="51">
        <f>VLOOKUP(A23758,'Componentes APUs'!$A$1:$D$14,4,0)</f>
        <v>7500</v>
      </c>
      <c r="G23758" s="51">
        <f>ROUNDUP(F23758*(E23758/21)/E23725,0)</f>
        <v>335</v>
      </c>
    </row>
    <row r="23759" spans="1:7" x14ac:dyDescent="0.25">
      <c r="A23759" s="50" t="s">
        <v>76</v>
      </c>
      <c r="B23759" s="72" t="str">
        <f>VLOOKUP(A23759,'Componentes APUs'!$A$1:$D$14,2,0)</f>
        <v>Casco dielectrico Tipo 1 Clase E con barbuquejo</v>
      </c>
      <c r="C23759" s="73"/>
      <c r="D23759" s="50" t="str">
        <f>VLOOKUP(A23759,'Componentes APUs'!$A$1:$D$14,3,0)</f>
        <v>U</v>
      </c>
      <c r="E23759" s="50">
        <f>C23742+C23737+C23740+C23741+C23738+IF(A23739&lt;&gt;"MO-3",C23739,0)</f>
        <v>2.75</v>
      </c>
      <c r="F23759" s="51">
        <f>VLOOKUP(A23759,'Componentes APUs'!$A$1:$D$14,4,0)</f>
        <v>10101.010101010101</v>
      </c>
      <c r="G23759" s="51">
        <f>ROUNDUP(F23759*(E23759/21)/E23725,0)</f>
        <v>331</v>
      </c>
    </row>
    <row r="23760" spans="1:7" x14ac:dyDescent="0.25">
      <c r="A23760" s="69" t="s">
        <v>77</v>
      </c>
      <c r="B23760" s="72" t="str">
        <f>VLOOKUP(A23760,'Componentes APUs'!$A$1:$D$14,2,0)</f>
        <v>Correa plastica y antiflama</v>
      </c>
      <c r="C23760" s="73"/>
      <c r="D23760" s="50" t="str">
        <f>VLOOKUP(A23760,'Componentes APUs'!$A$1:$D$14,3,0)</f>
        <v>U</v>
      </c>
      <c r="E23760" s="50">
        <f>SUM(C23737:C23742)</f>
        <v>3.75</v>
      </c>
      <c r="F23760" s="51">
        <f>VLOOKUP(A23760,'Componentes APUs'!$A$1:$D$14,4,0)</f>
        <v>3787.878787878788</v>
      </c>
      <c r="G23760" s="51">
        <f>ROUNDUP(F23760*(E23760/21)/E23725,0)</f>
        <v>170</v>
      </c>
    </row>
    <row r="23761" spans="1:7" x14ac:dyDescent="0.25">
      <c r="A23761" s="50" t="s">
        <v>79</v>
      </c>
      <c r="B23761" s="72" t="str">
        <f>VLOOKUP(A23761,'Componentes APUs'!$A$1:$D$14,2,0)</f>
        <v>Gafas protectoras filtro UV</v>
      </c>
      <c r="C23761" s="73"/>
      <c r="D23761" s="50" t="str">
        <f>VLOOKUP(A23761,'Componentes APUs'!$A$1:$D$14,3,0)</f>
        <v>U</v>
      </c>
      <c r="E23761" s="50">
        <f>SUM(C23737:C23742)</f>
        <v>3.75</v>
      </c>
      <c r="F23761" s="51">
        <f>VLOOKUP(A23761,'Componentes APUs'!$A$1:$D$14,4,0)</f>
        <v>2777.7777777777778</v>
      </c>
      <c r="G23761" s="51">
        <f>ROUNDUP(F23761*(E23761/21)/E23725,0)</f>
        <v>125</v>
      </c>
    </row>
    <row r="23762" spans="1:7" x14ac:dyDescent="0.25">
      <c r="A23762" s="69" t="s">
        <v>402</v>
      </c>
      <c r="B23762" s="72" t="str">
        <f>VLOOKUP(A23762,'Componentes APUs'!$A$1:$D$14,2,0)</f>
        <v>Bota de seguridad PVC dielectrica</v>
      </c>
      <c r="C23762" s="73"/>
      <c r="D23762" s="50" t="str">
        <f>VLOOKUP(A23762,'Componentes APUs'!$A$1:$D$14,3,0)</f>
        <v>Par</v>
      </c>
      <c r="E23762" s="50">
        <f>SUM(C23737:C23742)</f>
        <v>3.75</v>
      </c>
      <c r="F23762" s="51">
        <f>VLOOKUP(A23762,'Componentes APUs'!$A$1:$D$14,4,0)</f>
        <v>2916.6666666666665</v>
      </c>
      <c r="G23762" s="51">
        <f>ROUNDUP(F23762*(E23762/21)/E23725,0)</f>
        <v>131</v>
      </c>
    </row>
    <row r="23763" spans="1:7" x14ac:dyDescent="0.25">
      <c r="A23763" s="50" t="s">
        <v>403</v>
      </c>
      <c r="B23763" s="72" t="str">
        <f>VLOOKUP(A23763,'Componentes APUs'!$A$1:$D$14,2,0)</f>
        <v>Capuchon</v>
      </c>
      <c r="C23763" s="73"/>
      <c r="D23763" s="50" t="str">
        <f>VLOOKUP(A23763,'Componentes APUs'!$A$1:$D$14,3,0)</f>
        <v>U</v>
      </c>
      <c r="E23763" s="50">
        <f>SUM(C23737:C23742)</f>
        <v>3.75</v>
      </c>
      <c r="F23763" s="51">
        <f>VLOOKUP(A23763,'Componentes APUs'!$A$1:$D$14,4,0)</f>
        <v>2525.2525252525252</v>
      </c>
      <c r="G23763" s="51">
        <f>ROUNDUP(F23763*(E23763/21)/E23725,0)</f>
        <v>113</v>
      </c>
    </row>
    <row r="23764" spans="1:7" x14ac:dyDescent="0.25">
      <c r="A23764" s="69" t="s">
        <v>81</v>
      </c>
      <c r="B23764" s="72" t="str">
        <f>VLOOKUP(A23764,'Componentes APUs'!$A$1:$D$14,2,0)</f>
        <v>Guantes Protectores  - ingeniero reforzados</v>
      </c>
      <c r="C23764" s="73"/>
      <c r="D23764" s="50" t="str">
        <f>VLOOKUP(A23764,'Componentes APUs'!$A$1:$D$14,3,0)</f>
        <v>Par</v>
      </c>
      <c r="E23764" s="50">
        <f>C23739+C23740+C23742</f>
        <v>3</v>
      </c>
      <c r="F23764" s="51">
        <f>VLOOKUP(A23764,'Componentes APUs'!$A$1:$D$14,4,0)</f>
        <v>2525.2525252525252</v>
      </c>
      <c r="G23764" s="51">
        <f>ROUNDUP(F23764*(E23764/21)/E23725,0)</f>
        <v>91</v>
      </c>
    </row>
    <row r="23765" spans="1:7" x14ac:dyDescent="0.25">
      <c r="A23765" s="50" t="s">
        <v>83</v>
      </c>
      <c r="B23765" s="72" t="str">
        <f>VLOOKUP(A23765,'Componentes APUs'!$A$1:$D$14,2,0)</f>
        <v>Impermeable (pantalon camisa)</v>
      </c>
      <c r="C23765" s="73"/>
      <c r="D23765" s="50" t="str">
        <f>VLOOKUP(A23765,'Componentes APUs'!$A$1:$D$14,3,0)</f>
        <v>U</v>
      </c>
      <c r="E23765" s="50">
        <f>SUM(C23737:C23742)</f>
        <v>3.75</v>
      </c>
      <c r="F23765" s="51">
        <f>VLOOKUP(A23765,'Componentes APUs'!$A$1:$D$14,4,0)</f>
        <v>3750</v>
      </c>
      <c r="G23765" s="51">
        <f>ROUNDUP(F23765*(E23765/21)/E23725,0)</f>
        <v>168</v>
      </c>
    </row>
    <row r="23766" spans="1:7" x14ac:dyDescent="0.25">
      <c r="A23766" s="69" t="s">
        <v>85</v>
      </c>
      <c r="B23766" s="72" t="str">
        <f>VLOOKUP(A23766,'Componentes APUs'!$A$1:$D$14,2,0)</f>
        <v>Jean Dielectrico</v>
      </c>
      <c r="C23766" s="73"/>
      <c r="D23766" s="50" t="str">
        <f>VLOOKUP(A23766,'Componentes APUs'!$A$1:$D$14,3,0)</f>
        <v>U</v>
      </c>
      <c r="E23766" s="50">
        <f>SUM(C23737:C23742)</f>
        <v>3.75</v>
      </c>
      <c r="F23766" s="51">
        <f>VLOOKUP(A23766,'Componentes APUs'!$A$1:$D$14,4,0)</f>
        <v>7575.757575757576</v>
      </c>
      <c r="G23766" s="51">
        <f>ROUNDUP(F23766*(E23766/21)/E23725,0)</f>
        <v>339</v>
      </c>
    </row>
    <row r="23767" spans="1:7" x14ac:dyDescent="0.25">
      <c r="A23767" s="50" t="s">
        <v>87</v>
      </c>
      <c r="B23767" s="72" t="str">
        <f>VLOOKUP(A23767,'Componentes APUs'!$A$1:$D$14,2,0)</f>
        <v>Casco dielectrico Tipo 2 Clase E con barboquejo</v>
      </c>
      <c r="C23767" s="73"/>
      <c r="D23767" s="50" t="str">
        <f>VLOOKUP(A23767,'Componentes APUs'!$A$1:$D$14,3,0)</f>
        <v>U</v>
      </c>
      <c r="E23767" s="53">
        <f>IF(A23739="MO-3",C23739,0)</f>
        <v>1</v>
      </c>
      <c r="F23767" s="51">
        <f>VLOOKUP(A23767,'Componentes APUs'!$A$1:$D$14,4,0)</f>
        <v>7500</v>
      </c>
      <c r="G23767" s="51">
        <f>ROUNDUP(F23767*(E23767/21)/E23725,0)</f>
        <v>90</v>
      </c>
    </row>
    <row r="23768" spans="1:7" x14ac:dyDescent="0.25">
      <c r="A23768" s="69" t="s">
        <v>89</v>
      </c>
      <c r="B23768" s="72" t="str">
        <f>VLOOKUP(A23768,'Componentes APUs'!$A$1:$D$14,2,0)</f>
        <v>Kit de rescate para trabajo en alturas</v>
      </c>
      <c r="C23768" s="73"/>
      <c r="D23768" s="50" t="str">
        <f>VLOOKUP(A23768,'Componentes APUs'!$A$1:$D$14,3,0)</f>
        <v>U</v>
      </c>
      <c r="E23768" s="50">
        <f>IF(AND(A23739="MO-3",C23739=2),1,0)</f>
        <v>0</v>
      </c>
      <c r="F23768" s="51">
        <f>VLOOKUP(A23768,'Componentes APUs'!$A$1:$D$14,4,0)</f>
        <v>37500</v>
      </c>
      <c r="G23768" s="51">
        <f>ROUNDUP(F23768*(E23768/21)/E23725,0)</f>
        <v>0</v>
      </c>
    </row>
    <row r="23769" spans="1:7" x14ac:dyDescent="0.25">
      <c r="A23769" s="50" t="s">
        <v>91</v>
      </c>
      <c r="B23769" s="72" t="str">
        <f>VLOOKUP(A23769,'Componentes APUs'!$A$1:$D$14,2,0)</f>
        <v>Equipo completo para trabajo en alturas con pretales (Arnes dielectrico, 1 mosqueton de seguridad, tie off dielectrico, eslinga de posicionamiento, juego de pretales)</v>
      </c>
      <c r="C23769" s="73"/>
      <c r="D23769" s="50" t="str">
        <f>VLOOKUP(A23769,'Componentes APUs'!$A$1:$D$14,3,0)</f>
        <v>U</v>
      </c>
      <c r="E23769" s="50">
        <f>IF(A23739="MO-3",C23739,0)</f>
        <v>1</v>
      </c>
      <c r="F23769" s="51">
        <f>VLOOKUP(A23769,'Componentes APUs'!$A$1:$D$14,4,0)</f>
        <v>26041.666666666668</v>
      </c>
      <c r="G23769" s="51">
        <f>ROUNDUP(F23769*(E23769/21)/E23725,0)</f>
        <v>311</v>
      </c>
    </row>
    <row r="23770" spans="1:7" x14ac:dyDescent="0.25">
      <c r="A23770" s="219" t="s">
        <v>95</v>
      </c>
      <c r="B23770" s="219"/>
      <c r="C23770" s="219"/>
      <c r="D23770" s="219"/>
      <c r="E23770" s="219"/>
      <c r="F23770" s="219"/>
      <c r="G23770" s="52">
        <f>SUM(G23757:G23769)</f>
        <v>2588</v>
      </c>
    </row>
    <row r="23771" spans="1:7" x14ac:dyDescent="0.25">
      <c r="A23771" s="56"/>
      <c r="B23771" s="57"/>
      <c r="C23771" s="57"/>
      <c r="D23771" s="57"/>
      <c r="E23771" s="57"/>
      <c r="F23771" s="57"/>
      <c r="G23771" s="58"/>
    </row>
    <row r="23772" spans="1:7" x14ac:dyDescent="0.25">
      <c r="A23772" s="219" t="s">
        <v>96</v>
      </c>
      <c r="B23772" s="219"/>
      <c r="C23772" s="219"/>
      <c r="D23772" s="219"/>
      <c r="E23772" s="219"/>
      <c r="F23772" s="219"/>
      <c r="G23772" s="219"/>
    </row>
    <row r="23773" spans="1:7" x14ac:dyDescent="0.25">
      <c r="A23773" s="49" t="s">
        <v>35</v>
      </c>
      <c r="B23773" s="225" t="s">
        <v>36</v>
      </c>
      <c r="C23773" s="225"/>
      <c r="D23773" s="49" t="s">
        <v>37</v>
      </c>
      <c r="E23773" s="49" t="s">
        <v>38</v>
      </c>
      <c r="F23773" s="49" t="s">
        <v>39</v>
      </c>
      <c r="G23773" s="49" t="s">
        <v>40</v>
      </c>
    </row>
    <row r="23774" spans="1:7" x14ac:dyDescent="0.25">
      <c r="A23774" s="69" t="s">
        <v>97</v>
      </c>
      <c r="B23774" s="72" t="str">
        <f>VLOOKUP(A23774,'Componentes APUs'!$N$1:$Q$30,2,0)</f>
        <v>Camioneta</v>
      </c>
      <c r="C23774" s="73"/>
      <c r="D23774" s="70" t="str">
        <f>VLOOKUP(A23774,'Componentes APUs'!$N$1:$Q$30,3,0)</f>
        <v>U</v>
      </c>
      <c r="E23774" s="50">
        <v>1</v>
      </c>
      <c r="F23774" s="51">
        <f>VLOOKUP(A23774,'Componentes APUs'!$N$1:$Q$30,4,0)</f>
        <v>5500000</v>
      </c>
      <c r="G23774" s="51">
        <f>IFERROR(ROUNDUP(F23774*(E23774/21)/E23725,0),0)</f>
        <v>65477</v>
      </c>
    </row>
    <row r="23775" spans="1:7" x14ac:dyDescent="0.25">
      <c r="A23775" s="50" t="s">
        <v>321</v>
      </c>
      <c r="B23775" s="72" t="str">
        <f>VLOOKUP(A23775,'Componentes APUs'!$N$1:$Q$30,2,0)</f>
        <v>Grúa Hidráulica</v>
      </c>
      <c r="C23775" s="73"/>
      <c r="D23775" s="70" t="str">
        <f>VLOOKUP(A23775,'Componentes APUs'!$N$1:$Q$30,3,0)</f>
        <v>U</v>
      </c>
      <c r="E23775" s="50">
        <v>0</v>
      </c>
      <c r="F23775" s="51">
        <f>VLOOKUP(A23775,'Componentes APUs'!$N$1:$Q$30,4,0)</f>
        <v>21000000</v>
      </c>
      <c r="G23775" s="51">
        <f>IFERROR(ROUNDUP(F23775*(E23775/21)/E23725,0),0)</f>
        <v>0</v>
      </c>
    </row>
    <row r="23776" spans="1:7" x14ac:dyDescent="0.25">
      <c r="A23776" s="69" t="s">
        <v>322</v>
      </c>
      <c r="B23776" s="72" t="str">
        <f>VLOOKUP(A23776,'Componentes APUs'!$N$1:$Q$30,2,0)</f>
        <v>Camabaja</v>
      </c>
      <c r="C23776" s="73"/>
      <c r="D23776" s="70" t="str">
        <f>VLOOKUP(A23776,'Componentes APUs'!$N$1:$Q$30,3,0)</f>
        <v>TON/KM</v>
      </c>
      <c r="E23776" s="50">
        <v>0</v>
      </c>
      <c r="F23776" s="51">
        <f>VLOOKUP(A23776,'Componentes APUs'!$N$1:$Q$30,4,0)</f>
        <v>611</v>
      </c>
      <c r="G23776" s="51">
        <f>IFERROR(ROUNDUP(F23776*(E23776/21)/E23725,0),0)</f>
        <v>0</v>
      </c>
    </row>
    <row r="23777" spans="1:7" x14ac:dyDescent="0.25">
      <c r="A23777" s="50" t="s">
        <v>323</v>
      </c>
      <c r="B23777" s="72" t="str">
        <f>VLOOKUP(A23777,'Componentes APUs'!$N$1:$Q$30,2,0)</f>
        <v>Volqueta</v>
      </c>
      <c r="C23777" s="73"/>
      <c r="D23777" s="70" t="str">
        <f>VLOOKUP(A23777,'Componentes APUs'!$N$1:$Q$30,3,0)</f>
        <v>U</v>
      </c>
      <c r="E23777" s="50">
        <v>0</v>
      </c>
      <c r="F23777" s="51">
        <f>VLOOKUP(A23777,'Componentes APUs'!$N$1:$Q$30,4,0)</f>
        <v>14828184</v>
      </c>
      <c r="G23777" s="51">
        <f>IFERROR(ROUNDUP(F23777*(E23777/21)/E23725,0),0)</f>
        <v>0</v>
      </c>
    </row>
    <row r="23778" spans="1:7" x14ac:dyDescent="0.25">
      <c r="A23778" s="69" t="s">
        <v>324</v>
      </c>
      <c r="B23778" s="72" t="str">
        <f>VLOOKUP(A23778,'Componentes APUs'!$N$1:$Q$30,2,0)</f>
        <v>Retroexcavadora</v>
      </c>
      <c r="C23778" s="73"/>
      <c r="D23778" s="70" t="str">
        <f>VLOOKUP(A23778,'Componentes APUs'!$N$1:$Q$30,3,0)</f>
        <v>U</v>
      </c>
      <c r="E23778" s="50">
        <v>0</v>
      </c>
      <c r="F23778" s="51">
        <f>VLOOKUP(A23778,'Componentes APUs'!$N$1:$Q$30,4,0)</f>
        <v>46030656</v>
      </c>
      <c r="G23778" s="51">
        <f>IFERROR(ROUNDUP(F23778*(E23778/21)/E23725,0),0)</f>
        <v>0</v>
      </c>
    </row>
    <row r="23779" spans="1:7" x14ac:dyDescent="0.25">
      <c r="A23779" s="219" t="s">
        <v>99</v>
      </c>
      <c r="B23779" s="219"/>
      <c r="C23779" s="219"/>
      <c r="D23779" s="219"/>
      <c r="E23779" s="219"/>
      <c r="F23779" s="219"/>
      <c r="G23779" s="52">
        <f>SUM(G23774:G23778)</f>
        <v>65477</v>
      </c>
    </row>
    <row r="23780" spans="1:7" x14ac:dyDescent="0.25">
      <c r="A23780" s="56"/>
      <c r="B23780" s="57"/>
      <c r="C23780" s="57"/>
      <c r="D23780" s="57"/>
      <c r="E23780" s="57"/>
      <c r="F23780" s="57"/>
      <c r="G23780" s="58"/>
    </row>
    <row r="23781" spans="1:7" x14ac:dyDescent="0.25">
      <c r="A23781" s="219" t="s">
        <v>1516</v>
      </c>
      <c r="B23781" s="219"/>
      <c r="C23781" s="219"/>
      <c r="D23781" s="219"/>
      <c r="E23781" s="219"/>
      <c r="F23781" s="219"/>
      <c r="G23781" s="52">
        <f>G23779+G23770+G23753+G23743+G23733</f>
        <v>994467</v>
      </c>
    </row>
    <row r="23782" spans="1:7" x14ac:dyDescent="0.25">
      <c r="A23782" s="59"/>
      <c r="B23782" s="60"/>
      <c r="C23782" s="60"/>
      <c r="D23782" s="60"/>
      <c r="E23782" s="57"/>
      <c r="F23782" s="57"/>
      <c r="G23782" s="58"/>
    </row>
    <row r="23783" spans="1:7" x14ac:dyDescent="0.25">
      <c r="A23783" s="64"/>
      <c r="D23783" s="55"/>
      <c r="E23783" s="49" t="s">
        <v>25</v>
      </c>
      <c r="F23783" s="54">
        <v>0.15</v>
      </c>
      <c r="G23783" s="51">
        <f>G23781*F23783</f>
        <v>149170.04999999999</v>
      </c>
    </row>
    <row r="23784" spans="1:7" x14ac:dyDescent="0.25">
      <c r="A23784" s="64"/>
      <c r="D23784" s="55"/>
      <c r="E23784" s="49" t="s">
        <v>26</v>
      </c>
      <c r="F23784" s="54">
        <v>0.05</v>
      </c>
      <c r="G23784" s="51">
        <f>G23781*F23784</f>
        <v>49723.350000000006</v>
      </c>
    </row>
    <row r="23785" spans="1:7" x14ac:dyDescent="0.25">
      <c r="A23785" s="61"/>
      <c r="B23785" s="65"/>
      <c r="C23785" s="65"/>
      <c r="D23785" s="62"/>
      <c r="E23785" s="49" t="s">
        <v>27</v>
      </c>
      <c r="F23785" s="54">
        <v>0.05</v>
      </c>
      <c r="G23785" s="51">
        <f>G23781*F23785</f>
        <v>49723.350000000006</v>
      </c>
    </row>
    <row r="23786" spans="1:7" x14ac:dyDescent="0.25">
      <c r="A23786" s="61"/>
      <c r="B23786" s="62"/>
      <c r="C23786" s="62"/>
      <c r="D23786" s="62"/>
      <c r="E23786" s="62"/>
      <c r="F23786" s="62"/>
      <c r="G23786" s="63"/>
    </row>
    <row r="23787" spans="1:7" x14ac:dyDescent="0.25">
      <c r="A23787" s="219" t="s">
        <v>1517</v>
      </c>
      <c r="B23787" s="219"/>
      <c r="C23787" s="219"/>
      <c r="D23787" s="219"/>
      <c r="E23787" s="219"/>
      <c r="F23787" s="219"/>
      <c r="G23787" s="52">
        <f>G23781+G23783+G23784+G23785</f>
        <v>1243083.7500000002</v>
      </c>
    </row>
    <row r="23788" spans="1:7" x14ac:dyDescent="0.25">
      <c r="A23788" s="59"/>
      <c r="B23788" s="60"/>
      <c r="C23788" s="60"/>
      <c r="D23788" s="60"/>
      <c r="E23788" s="57"/>
      <c r="F23788" s="57"/>
      <c r="G23788" s="58"/>
    </row>
    <row r="23789" spans="1:7" x14ac:dyDescent="0.25">
      <c r="A23789" s="64"/>
      <c r="D23789" s="55"/>
      <c r="E23789" s="49" t="s">
        <v>102</v>
      </c>
      <c r="F23789" s="49" t="s">
        <v>103</v>
      </c>
      <c r="G23789" s="51">
        <f>G23785*19%</f>
        <v>9447.4365000000016</v>
      </c>
    </row>
    <row r="23790" spans="1:7" x14ac:dyDescent="0.25">
      <c r="A23790" s="61"/>
      <c r="B23790" s="62"/>
      <c r="C23790" s="62"/>
      <c r="D23790" s="62"/>
      <c r="E23790" s="57"/>
      <c r="F23790" s="57"/>
      <c r="G23790" s="58"/>
    </row>
    <row r="23791" spans="1:7" x14ac:dyDescent="0.25">
      <c r="A23791" s="219" t="s">
        <v>104</v>
      </c>
      <c r="B23791" s="219"/>
      <c r="C23791" s="219"/>
      <c r="D23791" s="219"/>
      <c r="E23791" s="219"/>
      <c r="F23791" s="219"/>
      <c r="G23791" s="52">
        <f>G23789+G23787</f>
        <v>1252531.1865000003</v>
      </c>
    </row>
    <row r="23793" spans="1:7" x14ac:dyDescent="0.25">
      <c r="A23793" s="74" t="s">
        <v>29</v>
      </c>
      <c r="B23793" s="237" t="s">
        <v>30</v>
      </c>
      <c r="C23793" s="238"/>
      <c r="D23793" s="74" t="s">
        <v>31</v>
      </c>
      <c r="E23793" s="74" t="s">
        <v>32</v>
      </c>
      <c r="F23793" s="74" t="s">
        <v>189</v>
      </c>
      <c r="G23793" s="74" t="s">
        <v>33</v>
      </c>
    </row>
    <row r="23794" spans="1:7" ht="27.75" customHeight="1" x14ac:dyDescent="0.25">
      <c r="A23794" s="50" t="str">
        <f>Presupuesto!B451</f>
        <v>002_OT</v>
      </c>
      <c r="B23794" s="220" t="str">
        <f>Presupuesto!C451</f>
        <v>TRANSPORTE DE MATERIAL ELÉCTRICO</v>
      </c>
      <c r="C23794" s="239"/>
      <c r="D23794" s="50" t="s">
        <v>1360</v>
      </c>
      <c r="E23794" s="50">
        <v>4</v>
      </c>
      <c r="F23794" s="50"/>
      <c r="G23794" s="51">
        <f>G23860</f>
        <v>634116.68649999995</v>
      </c>
    </row>
    <row r="23795" spans="1:7" x14ac:dyDescent="0.25">
      <c r="A23795" s="219" t="s">
        <v>34</v>
      </c>
      <c r="B23795" s="219"/>
      <c r="C23795" s="219"/>
      <c r="D23795" s="219"/>
      <c r="E23795" s="219"/>
      <c r="F23795" s="219"/>
      <c r="G23795" s="219"/>
    </row>
    <row r="23796" spans="1:7" x14ac:dyDescent="0.25">
      <c r="A23796" s="49" t="s">
        <v>35</v>
      </c>
      <c r="B23796" s="234" t="s">
        <v>36</v>
      </c>
      <c r="C23796" s="235"/>
      <c r="D23796" s="49" t="s">
        <v>37</v>
      </c>
      <c r="E23796" s="49" t="s">
        <v>38</v>
      </c>
      <c r="F23796" s="49" t="s">
        <v>39</v>
      </c>
      <c r="G23796" s="49" t="s">
        <v>40</v>
      </c>
    </row>
    <row r="23797" spans="1:7" x14ac:dyDescent="0.25">
      <c r="A23797" s="17"/>
      <c r="B23797" s="72" t="str">
        <f>IFERROR(VLOOKUP(A23797,Material!$A:$H,2,0),"-")</f>
        <v>-</v>
      </c>
      <c r="C23797" s="76"/>
      <c r="D23797" s="50" t="str">
        <f>IFERROR(VLOOKUP(A23797,Material!$A:$H,4,0),"-")</f>
        <v>-</v>
      </c>
      <c r="E23797" s="50"/>
      <c r="F23797" s="51" t="str">
        <f>IFERROR(VLOOKUP(A23797,Material!$A:$H,3,0),"-")</f>
        <v>-</v>
      </c>
      <c r="G23797" s="51" t="str">
        <f>IFERROR(ROUNDUP(F23797*E23797,0),"-")</f>
        <v>-</v>
      </c>
    </row>
    <row r="23798" spans="1:7" x14ac:dyDescent="0.25">
      <c r="A23798" s="17"/>
      <c r="B23798" s="72" t="str">
        <f>IFERROR(VLOOKUP(A23798,Material!$A:$H,2,0),"-")</f>
        <v>-</v>
      </c>
      <c r="C23798" s="76"/>
      <c r="D23798" s="50" t="str">
        <f>IFERROR(VLOOKUP(A23798,Material!$A:$H,4,0),"-")</f>
        <v>-</v>
      </c>
      <c r="E23798" s="50"/>
      <c r="F23798" s="51" t="str">
        <f>IFERROR(VLOOKUP(A23798,Material!$A:$H,3,0),"-")</f>
        <v>-</v>
      </c>
      <c r="G23798" s="51" t="str">
        <f>IFERROR(ROUNDUP(F23798*E23798,0),"-")</f>
        <v>-</v>
      </c>
    </row>
    <row r="23799" spans="1:7" x14ac:dyDescent="0.25">
      <c r="A23799" s="17"/>
      <c r="B23799" s="72" t="str">
        <f>IFERROR(VLOOKUP(A23799,Material!$A:$H,2,0),"-")</f>
        <v>-</v>
      </c>
      <c r="C23799" s="76"/>
      <c r="D23799" s="50" t="str">
        <f>IFERROR(VLOOKUP(A23799,Material!$A:$H,4,0),"-")</f>
        <v>-</v>
      </c>
      <c r="E23799" s="50"/>
      <c r="F23799" s="51" t="str">
        <f>IFERROR(VLOOKUP(A23799,Material!$A:$H,3,0),"-")</f>
        <v>-</v>
      </c>
      <c r="G23799" s="51" t="str">
        <f>IFERROR(ROUNDUP(F23799*E23799,0),"-")</f>
        <v>-</v>
      </c>
    </row>
    <row r="23800" spans="1:7" x14ac:dyDescent="0.25">
      <c r="A23800" s="17"/>
      <c r="B23800" s="72" t="str">
        <f>IFERROR(VLOOKUP(A23800,Material!$A:$H,2,0),"-")</f>
        <v>-</v>
      </c>
      <c r="C23800" s="76"/>
      <c r="D23800" s="50" t="str">
        <f>IFERROR(VLOOKUP(A23800,Material!$A:$H,4,0),"-")</f>
        <v>-</v>
      </c>
      <c r="E23800" s="50"/>
      <c r="F23800" s="51" t="str">
        <f>IFERROR(VLOOKUP(A23800,Material!$A:$H,3,0),"-")</f>
        <v>-</v>
      </c>
      <c r="G23800" s="51" t="str">
        <f>IFERROR(ROUNDUP(F23800*E23800,0),"-")</f>
        <v>-</v>
      </c>
    </row>
    <row r="23801" spans="1:7" x14ac:dyDescent="0.25">
      <c r="A23801" s="17"/>
      <c r="B23801" s="72" t="str">
        <f>IFERROR(VLOOKUP(A23801,Material!$A:$H,2,0),"-")</f>
        <v>-</v>
      </c>
      <c r="C23801" s="76"/>
      <c r="D23801" s="50" t="str">
        <f>IFERROR(VLOOKUP(A23801,Material!$A:$H,4,0),"-")</f>
        <v>-</v>
      </c>
      <c r="E23801" s="50"/>
      <c r="F23801" s="51" t="str">
        <f>IFERROR(VLOOKUP(A23801,Material!$A:$H,3,0),"-")</f>
        <v>-</v>
      </c>
      <c r="G23801" s="51" t="str">
        <f>IFERROR(ROUNDUP(F23801*E23801,0),"-")</f>
        <v>-</v>
      </c>
    </row>
    <row r="23802" spans="1:7" x14ac:dyDescent="0.25">
      <c r="A23802" s="234" t="s">
        <v>41</v>
      </c>
      <c r="B23802" s="236"/>
      <c r="C23802" s="236"/>
      <c r="D23802" s="236"/>
      <c r="E23802" s="236"/>
      <c r="F23802" s="235"/>
      <c r="G23802" s="52">
        <f>SUM(G23797:G23801)</f>
        <v>0</v>
      </c>
    </row>
    <row r="23803" spans="1:7" x14ac:dyDescent="0.25">
      <c r="A23803" s="56"/>
      <c r="B23803" s="57"/>
      <c r="C23803" s="57"/>
      <c r="D23803" s="57"/>
      <c r="E23803" s="57"/>
      <c r="F23803" s="57"/>
      <c r="G23803" s="58"/>
    </row>
    <row r="23804" spans="1:7" x14ac:dyDescent="0.25">
      <c r="A23804" s="219" t="s">
        <v>42</v>
      </c>
      <c r="B23804" s="219"/>
      <c r="C23804" s="219"/>
      <c r="D23804" s="219"/>
      <c r="E23804" s="219"/>
      <c r="F23804" s="219"/>
      <c r="G23804" s="219"/>
    </row>
    <row r="23805" spans="1:7" x14ac:dyDescent="0.25">
      <c r="A23805" s="49" t="s">
        <v>35</v>
      </c>
      <c r="B23805" s="49" t="s">
        <v>36</v>
      </c>
      <c r="C23805" s="49" t="s">
        <v>38</v>
      </c>
      <c r="D23805" s="49" t="s">
        <v>43</v>
      </c>
      <c r="E23805" s="49" t="s">
        <v>44</v>
      </c>
      <c r="F23805" s="49" t="s">
        <v>45</v>
      </c>
      <c r="G23805" s="49" t="s">
        <v>40</v>
      </c>
    </row>
    <row r="23806" spans="1:7" x14ac:dyDescent="0.25">
      <c r="A23806" s="50" t="s">
        <v>319</v>
      </c>
      <c r="B23806" s="68" t="str">
        <f>VLOOKUP(A23806,'Componentes APUs'!$H$1:$L$25,2,0)</f>
        <v>Ingeniero Residente de Obra</v>
      </c>
      <c r="C23806" s="93">
        <v>0.25</v>
      </c>
      <c r="D23806" s="50">
        <f>VLOOKUP(A23806,'Componentes APUs'!$H$1:$L$25,3,0)</f>
        <v>4</v>
      </c>
      <c r="E23806" s="51">
        <f>VLOOKUP(A23806,'Componentes APUs'!$H$1:$L$25,4,0)</f>
        <v>271142.85714285716</v>
      </c>
      <c r="F23806" s="51">
        <f>VLOOKUP(A23806,'Componentes APUs'!$H$1:$L$25,5,0)</f>
        <v>162685.71428571429</v>
      </c>
      <c r="G23806" s="51">
        <f>ROUNDUP((E23806+F23806)*C23806/E23794,0)</f>
        <v>27115</v>
      </c>
    </row>
    <row r="23807" spans="1:7" x14ac:dyDescent="0.25">
      <c r="A23807" s="50" t="s">
        <v>320</v>
      </c>
      <c r="B23807" s="68" t="str">
        <f>VLOOKUP(A23807,'Componentes APUs'!$H$1:$L$25,2,0)</f>
        <v>Tecnico Supervisor</v>
      </c>
      <c r="C23807" s="93">
        <v>0.25</v>
      </c>
      <c r="D23807" s="50">
        <f>VLOOKUP(A23807,'Componentes APUs'!$H$1:$L$25,3,0)</f>
        <v>2.2999999999999998</v>
      </c>
      <c r="E23807" s="51">
        <f>VLOOKUP(A23807,'Componentes APUs'!$H$1:$L$25,4,0)</f>
        <v>155907.14285714284</v>
      </c>
      <c r="F23807" s="51">
        <f>VLOOKUP(A23807,'Componentes APUs'!$H$1:$L$25,5,0)</f>
        <v>93544.285714285696</v>
      </c>
      <c r="G23807" s="51">
        <f>ROUNDUP((E23807+F23807)*C23807/E23794,0)</f>
        <v>15591</v>
      </c>
    </row>
    <row r="23808" spans="1:7" x14ac:dyDescent="0.25">
      <c r="A23808" s="50" t="s">
        <v>46</v>
      </c>
      <c r="B23808" s="68" t="str">
        <f>VLOOKUP(A23808,'Componentes APUs'!$H$1:$L$25,2,0)</f>
        <v>Tecnico Liniero</v>
      </c>
      <c r="C23808" s="93">
        <v>1</v>
      </c>
      <c r="D23808" s="50">
        <f>VLOOKUP(A23808,'Componentes APUs'!$H$1:$L$25,3,0)</f>
        <v>2</v>
      </c>
      <c r="E23808" s="51">
        <f>VLOOKUP(A23808,'Componentes APUs'!$H$1:$L$25,4,0)</f>
        <v>154619.04761904763</v>
      </c>
      <c r="F23808" s="51">
        <f>VLOOKUP(A23808,'Componentes APUs'!$H$1:$L$25,5,0)</f>
        <v>92771.42857142858</v>
      </c>
      <c r="G23808" s="51">
        <f>ROUNDUP((E23808+F23808)*C23808/E23794,0)</f>
        <v>61848</v>
      </c>
    </row>
    <row r="23809" spans="1:7" x14ac:dyDescent="0.25">
      <c r="A23809" s="50" t="s">
        <v>48</v>
      </c>
      <c r="B23809" s="68" t="str">
        <f>VLOOKUP(A23809,'Componentes APUs'!$H$1:$L$25,2,0)</f>
        <v>Ayudante Calificado</v>
      </c>
      <c r="C23809" s="93">
        <v>0</v>
      </c>
      <c r="D23809" s="50">
        <f>VLOOKUP(A23809,'Componentes APUs'!$H$1:$L$25,3,0)</f>
        <v>1.5</v>
      </c>
      <c r="E23809" s="51">
        <f>VLOOKUP(A23809,'Componentes APUs'!$H$1:$L$25,4,0)</f>
        <v>115964.28571428571</v>
      </c>
      <c r="F23809" s="51">
        <f>VLOOKUP(A23809,'Componentes APUs'!$H$1:$L$25,5,0)</f>
        <v>69578.57142857142</v>
      </c>
      <c r="G23809" s="51">
        <f>ROUNDUP((E23809+F23809)*C23809/E23794,0)</f>
        <v>0</v>
      </c>
    </row>
    <row r="23810" spans="1:7" x14ac:dyDescent="0.25">
      <c r="A23810" s="50" t="s">
        <v>50</v>
      </c>
      <c r="B23810" s="68" t="str">
        <f>VLOOKUP(A23810,'Componentes APUs'!$H$1:$L$25,2,0)</f>
        <v>Profesional en SST</v>
      </c>
      <c r="C23810" s="93">
        <v>0.25</v>
      </c>
      <c r="D23810" s="50">
        <f>VLOOKUP(A23810,'Componentes APUs'!$H$1:$L$25,3,0)</f>
        <v>2.5</v>
      </c>
      <c r="E23810" s="51">
        <f>VLOOKUP(A23810,'Componentes APUs'!$H$1:$L$25,4,0)</f>
        <v>169464.28571428571</v>
      </c>
      <c r="F23810" s="51">
        <f>VLOOKUP(A23810,'Componentes APUs'!$H$1:$L$25,5,0)</f>
        <v>101678.57142857142</v>
      </c>
      <c r="G23810" s="51">
        <f>ROUNDUP((E23810+F23810)*C23810/E23794,0)</f>
        <v>16947</v>
      </c>
    </row>
    <row r="23811" spans="1:7" x14ac:dyDescent="0.25">
      <c r="A23811" s="50" t="s">
        <v>52</v>
      </c>
      <c r="B23811" s="68" t="str">
        <f>VLOOKUP(A23811,'Componentes APUs'!$H$1:$L$25,2,0)</f>
        <v>Ayudante No Calificado</v>
      </c>
      <c r="C23811" s="93">
        <v>2</v>
      </c>
      <c r="D23811" s="50">
        <f>VLOOKUP(A23811,'Componentes APUs'!$H$1:$L$25,3,0)</f>
        <v>1</v>
      </c>
      <c r="E23811" s="51">
        <f>VLOOKUP(A23811,'Componentes APUs'!$H$1:$L$25,4,0)</f>
        <v>77309.523809523816</v>
      </c>
      <c r="F23811" s="51">
        <f>VLOOKUP(A23811,'Componentes APUs'!$H$1:$L$25,5,0)</f>
        <v>46385.71428571429</v>
      </c>
      <c r="G23811" s="51">
        <f>ROUNDUP((E23811+F23811)*C23811/E23794,0)</f>
        <v>61848</v>
      </c>
    </row>
    <row r="23812" spans="1:7" x14ac:dyDescent="0.25">
      <c r="A23812" s="219" t="s">
        <v>56</v>
      </c>
      <c r="B23812" s="219"/>
      <c r="C23812" s="219"/>
      <c r="D23812" s="219"/>
      <c r="E23812" s="219"/>
      <c r="F23812" s="219"/>
      <c r="G23812" s="52">
        <f>SUM(G23806:G23811)</f>
        <v>183349</v>
      </c>
    </row>
    <row r="23813" spans="1:7" x14ac:dyDescent="0.25">
      <c r="A23813" s="56"/>
      <c r="B23813" s="57"/>
      <c r="C23813" s="57"/>
      <c r="D23813" s="57"/>
      <c r="E23813" s="57"/>
      <c r="F23813" s="57"/>
      <c r="G23813" s="58"/>
    </row>
    <row r="23814" spans="1:7" x14ac:dyDescent="0.25">
      <c r="A23814" s="219" t="s">
        <v>57</v>
      </c>
      <c r="B23814" s="219"/>
      <c r="C23814" s="219"/>
      <c r="D23814" s="219"/>
      <c r="E23814" s="219"/>
      <c r="F23814" s="219"/>
      <c r="G23814" s="219"/>
    </row>
    <row r="23815" spans="1:7" x14ac:dyDescent="0.25">
      <c r="A23815" s="49" t="s">
        <v>35</v>
      </c>
      <c r="B23815" s="219" t="s">
        <v>36</v>
      </c>
      <c r="C23815" s="219"/>
      <c r="D23815" s="49" t="s">
        <v>37</v>
      </c>
      <c r="E23815" s="49" t="s">
        <v>38</v>
      </c>
      <c r="F23815" s="49" t="s">
        <v>39</v>
      </c>
      <c r="G23815" s="49" t="s">
        <v>40</v>
      </c>
    </row>
    <row r="23816" spans="1:7" x14ac:dyDescent="0.25">
      <c r="A23816" s="50" t="s">
        <v>326</v>
      </c>
      <c r="B23816" s="220" t="str">
        <f>VLOOKUP(A23816,'Componentes APUs'!$S$1:$V$10,2,0)</f>
        <v>Juego Llaves</v>
      </c>
      <c r="C23816" s="220"/>
      <c r="D23816" s="50" t="s">
        <v>18</v>
      </c>
      <c r="E23816" s="50">
        <v>2</v>
      </c>
      <c r="F23816" s="51">
        <f>VLOOKUP(A23816,'Componentes APUs'!$S$1:$V$10,4,0)</f>
        <v>9167</v>
      </c>
      <c r="G23816" s="51">
        <f>ROUNDUP(F23816*((E23816/21)/E23794),0)</f>
        <v>219</v>
      </c>
    </row>
    <row r="23817" spans="1:7" x14ac:dyDescent="0.25">
      <c r="A23817" s="50" t="s">
        <v>58</v>
      </c>
      <c r="B23817" s="220" t="str">
        <f>VLOOKUP(A23817,'Componentes APUs'!$S$1:$V$10,2,0)</f>
        <v>Manila de servicio</v>
      </c>
      <c r="C23817" s="220"/>
      <c r="D23817" s="50" t="s">
        <v>18</v>
      </c>
      <c r="E23817" s="50">
        <v>0</v>
      </c>
      <c r="F23817" s="51">
        <f>VLOOKUP(A23817,'Componentes APUs'!$S$1:$V$10,4,0)</f>
        <v>2333</v>
      </c>
      <c r="G23817" s="51">
        <f>ROUNDUP(F23817*((E23817/21)/E23794),0)</f>
        <v>0</v>
      </c>
    </row>
    <row r="23818" spans="1:7" x14ac:dyDescent="0.25">
      <c r="A23818" s="50" t="s">
        <v>327</v>
      </c>
      <c r="B23818" s="220" t="str">
        <f>VLOOKUP(A23818,'Componentes APUs'!$S$1:$V$10,2,0)</f>
        <v>Tula portaherramientas</v>
      </c>
      <c r="C23818" s="220"/>
      <c r="D23818" s="50" t="s">
        <v>18</v>
      </c>
      <c r="E23818" s="50">
        <v>2</v>
      </c>
      <c r="F23818" s="51">
        <f>VLOOKUP(A23818,'Componentes APUs'!$S$1:$V$10,4,0)</f>
        <v>1250</v>
      </c>
      <c r="G23818" s="51">
        <f>ROUNDUP(F23818*((E23818/21)/E23794),0)</f>
        <v>30</v>
      </c>
    </row>
    <row r="23819" spans="1:7" x14ac:dyDescent="0.25">
      <c r="A23819" s="50" t="s">
        <v>60</v>
      </c>
      <c r="B23819" s="220" t="str">
        <f>VLOOKUP(A23819,'Componentes APUs'!$S$1:$V$10,2,0)</f>
        <v>Agarradoras</v>
      </c>
      <c r="C23819" s="220"/>
      <c r="D23819" s="50" t="s">
        <v>18</v>
      </c>
      <c r="E23819" s="50">
        <v>0</v>
      </c>
      <c r="F23819" s="51">
        <f>VLOOKUP(A23819,'Componentes APUs'!$S$1:$V$10,4,0)</f>
        <v>125000</v>
      </c>
      <c r="G23819" s="51">
        <f>ROUNDUP(F23819*((E23819/21)/E23794),0)</f>
        <v>0</v>
      </c>
    </row>
    <row r="23820" spans="1:7" x14ac:dyDescent="0.25">
      <c r="A23820" s="50" t="s">
        <v>62</v>
      </c>
      <c r="B23820" s="220" t="str">
        <f>VLOOKUP(A23820,'Componentes APUs'!$S$1:$V$10,2,0)</f>
        <v>Templadoras</v>
      </c>
      <c r="C23820" s="220"/>
      <c r="D23820" s="50" t="s">
        <v>18</v>
      </c>
      <c r="E23820" s="50">
        <v>0</v>
      </c>
      <c r="F23820" s="51">
        <f>VLOOKUP(A23820,'Componentes APUs'!$S$1:$V$10,4,0)</f>
        <v>250000</v>
      </c>
      <c r="G23820" s="51">
        <f>ROUNDUP(F23820*((E23820/21)/E23794),0)</f>
        <v>0</v>
      </c>
    </row>
    <row r="23821" spans="1:7" x14ac:dyDescent="0.25">
      <c r="A23821" s="50" t="s">
        <v>328</v>
      </c>
      <c r="B23821" s="220" t="str">
        <f>VLOOKUP(A23821,'Componentes APUs'!$S$1:$V$10,2,0)</f>
        <v>Herramienta Menor</v>
      </c>
      <c r="C23821" s="220"/>
      <c r="D23821" s="50" t="s">
        <v>18</v>
      </c>
      <c r="E23821" s="50">
        <v>2</v>
      </c>
      <c r="F23821" s="51">
        <f>VLOOKUP(A23821,'Componentes APUs'!$S$1:$V$10,4,0)</f>
        <v>75758</v>
      </c>
      <c r="G23821" s="51">
        <f>ROUNDUP(F23821*((E23821/21)/E23794),0)</f>
        <v>1804</v>
      </c>
    </row>
    <row r="23822" spans="1:7" x14ac:dyDescent="0.25">
      <c r="A23822" s="219" t="s">
        <v>69</v>
      </c>
      <c r="B23822" s="219"/>
      <c r="C23822" s="219"/>
      <c r="D23822" s="219"/>
      <c r="E23822" s="219"/>
      <c r="F23822" s="219"/>
      <c r="G23822" s="52">
        <f>SUM(G23816:G23821)</f>
        <v>2053</v>
      </c>
    </row>
    <row r="23823" spans="1:7" x14ac:dyDescent="0.25">
      <c r="A23823" s="56"/>
      <c r="B23823" s="57"/>
      <c r="C23823" s="57"/>
      <c r="D23823" s="57"/>
      <c r="E23823" s="57"/>
      <c r="F23823" s="57"/>
      <c r="G23823" s="58"/>
    </row>
    <row r="23824" spans="1:7" x14ac:dyDescent="0.25">
      <c r="A23824" s="219" t="s">
        <v>70</v>
      </c>
      <c r="B23824" s="219"/>
      <c r="C23824" s="219"/>
      <c r="D23824" s="219"/>
      <c r="E23824" s="219"/>
      <c r="F23824" s="219"/>
      <c r="G23824" s="219"/>
    </row>
    <row r="23825" spans="1:7" x14ac:dyDescent="0.25">
      <c r="A23825" s="49" t="s">
        <v>35</v>
      </c>
      <c r="B23825" s="219" t="s">
        <v>36</v>
      </c>
      <c r="C23825" s="219"/>
      <c r="D23825" s="49" t="s">
        <v>37</v>
      </c>
      <c r="E23825" s="49" t="s">
        <v>38</v>
      </c>
      <c r="F23825" s="49" t="s">
        <v>39</v>
      </c>
      <c r="G23825" s="49" t="s">
        <v>40</v>
      </c>
    </row>
    <row r="23826" spans="1:7" x14ac:dyDescent="0.25">
      <c r="A23826" s="50" t="s">
        <v>71</v>
      </c>
      <c r="B23826" s="71" t="str">
        <f>VLOOKUP(A23826,'Componentes APUs'!$A$1:$D$14,2,0)</f>
        <v>Camisa indigo sin partes metalicas</v>
      </c>
      <c r="C23826" s="71"/>
      <c r="D23826" s="50" t="str">
        <f>VLOOKUP(A23826,'Componentes APUs'!$A$1:$D$14,3,0)</f>
        <v>U</v>
      </c>
      <c r="E23826" s="50">
        <f>SUM(C23806:C23811)</f>
        <v>3.75</v>
      </c>
      <c r="F23826" s="51">
        <f>VLOOKUP(A23826,'Componentes APUs'!$A$1:$D$14,4,0)</f>
        <v>8585.8585858585866</v>
      </c>
      <c r="G23826" s="51">
        <f>ROUNDUP(F23826*(E23826/21)/E23794,0)</f>
        <v>384</v>
      </c>
    </row>
    <row r="23827" spans="1:7" x14ac:dyDescent="0.25">
      <c r="A23827" s="69" t="s">
        <v>73</v>
      </c>
      <c r="B23827" s="72" t="str">
        <f>VLOOKUP(A23827,'Componentes APUs'!$A$1:$D$14,2,0)</f>
        <v>Bota de seguridad dielectrica</v>
      </c>
      <c r="C23827" s="73"/>
      <c r="D23827" s="70" t="str">
        <f>VLOOKUP(A23827,'Componentes APUs'!$A$1:$D$14,3,0)</f>
        <v>Par</v>
      </c>
      <c r="E23827" s="50">
        <f>SUM(C23806:C23811)</f>
        <v>3.75</v>
      </c>
      <c r="F23827" s="51">
        <f>VLOOKUP(A23827,'Componentes APUs'!$A$1:$D$14,4,0)</f>
        <v>7500</v>
      </c>
      <c r="G23827" s="51">
        <f>ROUNDUP(F23827*(E23827/21)/E23794,0)</f>
        <v>335</v>
      </c>
    </row>
    <row r="23828" spans="1:7" x14ac:dyDescent="0.25">
      <c r="A23828" s="50" t="s">
        <v>76</v>
      </c>
      <c r="B23828" s="72" t="str">
        <f>VLOOKUP(A23828,'Componentes APUs'!$A$1:$D$14,2,0)</f>
        <v>Casco dielectrico Tipo 1 Clase E con barbuquejo</v>
      </c>
      <c r="C23828" s="73"/>
      <c r="D23828" s="50" t="str">
        <f>VLOOKUP(A23828,'Componentes APUs'!$A$1:$D$14,3,0)</f>
        <v>U</v>
      </c>
      <c r="E23828" s="50">
        <f>C23811+C23806+C23809+C23810+C23807+IF(A23808&lt;&gt;"MO-3",C23808,0)</f>
        <v>2.75</v>
      </c>
      <c r="F23828" s="51">
        <f>VLOOKUP(A23828,'Componentes APUs'!$A$1:$D$14,4,0)</f>
        <v>10101.010101010101</v>
      </c>
      <c r="G23828" s="51">
        <f>ROUNDUP(F23828*(E23828/21)/E23794,0)</f>
        <v>331</v>
      </c>
    </row>
    <row r="23829" spans="1:7" x14ac:dyDescent="0.25">
      <c r="A23829" s="69" t="s">
        <v>77</v>
      </c>
      <c r="B23829" s="72" t="str">
        <f>VLOOKUP(A23829,'Componentes APUs'!$A$1:$D$14,2,0)</f>
        <v>Correa plastica y antiflama</v>
      </c>
      <c r="C23829" s="73"/>
      <c r="D23829" s="50" t="str">
        <f>VLOOKUP(A23829,'Componentes APUs'!$A$1:$D$14,3,0)</f>
        <v>U</v>
      </c>
      <c r="E23829" s="50">
        <f>SUM(C23806:C23811)</f>
        <v>3.75</v>
      </c>
      <c r="F23829" s="51">
        <f>VLOOKUP(A23829,'Componentes APUs'!$A$1:$D$14,4,0)</f>
        <v>3787.878787878788</v>
      </c>
      <c r="G23829" s="51">
        <f>ROUNDUP(F23829*(E23829/21)/E23794,0)</f>
        <v>170</v>
      </c>
    </row>
    <row r="23830" spans="1:7" x14ac:dyDescent="0.25">
      <c r="A23830" s="50" t="s">
        <v>79</v>
      </c>
      <c r="B23830" s="72" t="str">
        <f>VLOOKUP(A23830,'Componentes APUs'!$A$1:$D$14,2,0)</f>
        <v>Gafas protectoras filtro UV</v>
      </c>
      <c r="C23830" s="73"/>
      <c r="D23830" s="50" t="str">
        <f>VLOOKUP(A23830,'Componentes APUs'!$A$1:$D$14,3,0)</f>
        <v>U</v>
      </c>
      <c r="E23830" s="50">
        <f>SUM(C23806:C23811)</f>
        <v>3.75</v>
      </c>
      <c r="F23830" s="51">
        <f>VLOOKUP(A23830,'Componentes APUs'!$A$1:$D$14,4,0)</f>
        <v>2777.7777777777778</v>
      </c>
      <c r="G23830" s="51">
        <f>ROUNDUP(F23830*(E23830/21)/E23794,0)</f>
        <v>125</v>
      </c>
    </row>
    <row r="23831" spans="1:7" x14ac:dyDescent="0.25">
      <c r="A23831" s="69" t="s">
        <v>402</v>
      </c>
      <c r="B23831" s="72" t="str">
        <f>VLOOKUP(A23831,'Componentes APUs'!$A$1:$D$14,2,0)</f>
        <v>Bota de seguridad PVC dielectrica</v>
      </c>
      <c r="C23831" s="73"/>
      <c r="D23831" s="50" t="str">
        <f>VLOOKUP(A23831,'Componentes APUs'!$A$1:$D$14,3,0)</f>
        <v>Par</v>
      </c>
      <c r="E23831" s="50">
        <f>SUM(C23806:C23811)</f>
        <v>3.75</v>
      </c>
      <c r="F23831" s="51">
        <f>VLOOKUP(A23831,'Componentes APUs'!$A$1:$D$14,4,0)</f>
        <v>2916.6666666666665</v>
      </c>
      <c r="G23831" s="51">
        <f>ROUNDUP(F23831*(E23831/21)/E23794,0)</f>
        <v>131</v>
      </c>
    </row>
    <row r="23832" spans="1:7" x14ac:dyDescent="0.25">
      <c r="A23832" s="50" t="s">
        <v>403</v>
      </c>
      <c r="B23832" s="72" t="str">
        <f>VLOOKUP(A23832,'Componentes APUs'!$A$1:$D$14,2,0)</f>
        <v>Capuchon</v>
      </c>
      <c r="C23832" s="73"/>
      <c r="D23832" s="50" t="str">
        <f>VLOOKUP(A23832,'Componentes APUs'!$A$1:$D$14,3,0)</f>
        <v>U</v>
      </c>
      <c r="E23832" s="50">
        <f>SUM(C23806:C23811)</f>
        <v>3.75</v>
      </c>
      <c r="F23832" s="51">
        <f>VLOOKUP(A23832,'Componentes APUs'!$A$1:$D$14,4,0)</f>
        <v>2525.2525252525252</v>
      </c>
      <c r="G23832" s="51">
        <f>ROUNDUP(F23832*(E23832/21)/E23794,0)</f>
        <v>113</v>
      </c>
    </row>
    <row r="23833" spans="1:7" x14ac:dyDescent="0.25">
      <c r="A23833" s="69" t="s">
        <v>81</v>
      </c>
      <c r="B23833" s="72" t="str">
        <f>VLOOKUP(A23833,'Componentes APUs'!$A$1:$D$14,2,0)</f>
        <v>Guantes Protectores  - ingeniero reforzados</v>
      </c>
      <c r="C23833" s="73"/>
      <c r="D23833" s="50" t="str">
        <f>VLOOKUP(A23833,'Componentes APUs'!$A$1:$D$14,3,0)</f>
        <v>Par</v>
      </c>
      <c r="E23833" s="50">
        <f>C23808+C23809+C23811</f>
        <v>3</v>
      </c>
      <c r="F23833" s="51">
        <f>VLOOKUP(A23833,'Componentes APUs'!$A$1:$D$14,4,0)</f>
        <v>2525.2525252525252</v>
      </c>
      <c r="G23833" s="51">
        <f>ROUNDUP(F23833*(E23833/21)/E23794,0)</f>
        <v>91</v>
      </c>
    </row>
    <row r="23834" spans="1:7" x14ac:dyDescent="0.25">
      <c r="A23834" s="50" t="s">
        <v>83</v>
      </c>
      <c r="B23834" s="72" t="str">
        <f>VLOOKUP(A23834,'Componentes APUs'!$A$1:$D$14,2,0)</f>
        <v>Impermeable (pantalon camisa)</v>
      </c>
      <c r="C23834" s="73"/>
      <c r="D23834" s="50" t="str">
        <f>VLOOKUP(A23834,'Componentes APUs'!$A$1:$D$14,3,0)</f>
        <v>U</v>
      </c>
      <c r="E23834" s="50">
        <f>SUM(C23806:C23811)</f>
        <v>3.75</v>
      </c>
      <c r="F23834" s="51">
        <f>VLOOKUP(A23834,'Componentes APUs'!$A$1:$D$14,4,0)</f>
        <v>3750</v>
      </c>
      <c r="G23834" s="51">
        <f>ROUNDUP(F23834*(E23834/21)/E23794,0)</f>
        <v>168</v>
      </c>
    </row>
    <row r="23835" spans="1:7" x14ac:dyDescent="0.25">
      <c r="A23835" s="69" t="s">
        <v>85</v>
      </c>
      <c r="B23835" s="72" t="str">
        <f>VLOOKUP(A23835,'Componentes APUs'!$A$1:$D$14,2,0)</f>
        <v>Jean Dielectrico</v>
      </c>
      <c r="C23835" s="73"/>
      <c r="D23835" s="50" t="str">
        <f>VLOOKUP(A23835,'Componentes APUs'!$A$1:$D$14,3,0)</f>
        <v>U</v>
      </c>
      <c r="E23835" s="50">
        <f>SUM(C23806:C23811)</f>
        <v>3.75</v>
      </c>
      <c r="F23835" s="51">
        <f>VLOOKUP(A23835,'Componentes APUs'!$A$1:$D$14,4,0)</f>
        <v>7575.757575757576</v>
      </c>
      <c r="G23835" s="51">
        <f>ROUNDUP(F23835*(E23835/21)/E23794,0)</f>
        <v>339</v>
      </c>
    </row>
    <row r="23836" spans="1:7" x14ac:dyDescent="0.25">
      <c r="A23836" s="50" t="s">
        <v>87</v>
      </c>
      <c r="B23836" s="72" t="str">
        <f>VLOOKUP(A23836,'Componentes APUs'!$A$1:$D$14,2,0)</f>
        <v>Casco dielectrico Tipo 2 Clase E con barboquejo</v>
      </c>
      <c r="C23836" s="73"/>
      <c r="D23836" s="50" t="str">
        <f>VLOOKUP(A23836,'Componentes APUs'!$A$1:$D$14,3,0)</f>
        <v>U</v>
      </c>
      <c r="E23836" s="53">
        <f>IF(A23808="MO-3",C23808,0)</f>
        <v>1</v>
      </c>
      <c r="F23836" s="51">
        <f>VLOOKUP(A23836,'Componentes APUs'!$A$1:$D$14,4,0)</f>
        <v>7500</v>
      </c>
      <c r="G23836" s="51">
        <f>ROUNDUP(F23836*(E23836/21)/E23794,0)</f>
        <v>90</v>
      </c>
    </row>
    <row r="23837" spans="1:7" x14ac:dyDescent="0.25">
      <c r="A23837" s="69" t="s">
        <v>89</v>
      </c>
      <c r="B23837" s="72" t="str">
        <f>VLOOKUP(A23837,'Componentes APUs'!$A$1:$D$14,2,0)</f>
        <v>Kit de rescate para trabajo en alturas</v>
      </c>
      <c r="C23837" s="73"/>
      <c r="D23837" s="50" t="str">
        <f>VLOOKUP(A23837,'Componentes APUs'!$A$1:$D$14,3,0)</f>
        <v>U</v>
      </c>
      <c r="E23837" s="50">
        <f>IF(AND(A23808="MO-3",C23808=2),1,0)</f>
        <v>0</v>
      </c>
      <c r="F23837" s="51">
        <f>VLOOKUP(A23837,'Componentes APUs'!$A$1:$D$14,4,0)</f>
        <v>37500</v>
      </c>
      <c r="G23837" s="51">
        <f>ROUNDUP(F23837*(E23837/21)/E23794,0)</f>
        <v>0</v>
      </c>
    </row>
    <row r="23838" spans="1:7" x14ac:dyDescent="0.25">
      <c r="A23838" s="50" t="s">
        <v>91</v>
      </c>
      <c r="B23838" s="72" t="str">
        <f>VLOOKUP(A23838,'Componentes APUs'!$A$1:$D$14,2,0)</f>
        <v>Equipo completo para trabajo en alturas con pretales (Arnes dielectrico, 1 mosqueton de seguridad, tie off dielectrico, eslinga de posicionamiento, juego de pretales)</v>
      </c>
      <c r="C23838" s="73"/>
      <c r="D23838" s="50" t="str">
        <f>VLOOKUP(A23838,'Componentes APUs'!$A$1:$D$14,3,0)</f>
        <v>U</v>
      </c>
      <c r="E23838" s="50">
        <f>IF(A23808="MO-3",C23808,0)</f>
        <v>1</v>
      </c>
      <c r="F23838" s="51">
        <f>VLOOKUP(A23838,'Componentes APUs'!$A$1:$D$14,4,0)</f>
        <v>26041.666666666668</v>
      </c>
      <c r="G23838" s="51">
        <f>ROUNDUP(F23838*(E23838/21)/E23794,0)</f>
        <v>311</v>
      </c>
    </row>
    <row r="23839" spans="1:7" x14ac:dyDescent="0.25">
      <c r="A23839" s="219" t="s">
        <v>95</v>
      </c>
      <c r="B23839" s="219"/>
      <c r="C23839" s="219"/>
      <c r="D23839" s="219"/>
      <c r="E23839" s="219"/>
      <c r="F23839" s="219"/>
      <c r="G23839" s="52">
        <f>SUM(G23826:G23838)</f>
        <v>2588</v>
      </c>
    </row>
    <row r="23840" spans="1:7" x14ac:dyDescent="0.25">
      <c r="A23840" s="56"/>
      <c r="B23840" s="57"/>
      <c r="C23840" s="57"/>
      <c r="D23840" s="57"/>
      <c r="E23840" s="57"/>
      <c r="F23840" s="57"/>
      <c r="G23840" s="58"/>
    </row>
    <row r="23841" spans="1:7" x14ac:dyDescent="0.25">
      <c r="A23841" s="219" t="s">
        <v>96</v>
      </c>
      <c r="B23841" s="219"/>
      <c r="C23841" s="219"/>
      <c r="D23841" s="219"/>
      <c r="E23841" s="219"/>
      <c r="F23841" s="219"/>
      <c r="G23841" s="219"/>
    </row>
    <row r="23842" spans="1:7" x14ac:dyDescent="0.25">
      <c r="A23842" s="49" t="s">
        <v>35</v>
      </c>
      <c r="B23842" s="225" t="s">
        <v>36</v>
      </c>
      <c r="C23842" s="225"/>
      <c r="D23842" s="49" t="s">
        <v>37</v>
      </c>
      <c r="E23842" s="49" t="s">
        <v>38</v>
      </c>
      <c r="F23842" s="49" t="s">
        <v>39</v>
      </c>
      <c r="G23842" s="49" t="s">
        <v>40</v>
      </c>
    </row>
    <row r="23843" spans="1:7" x14ac:dyDescent="0.25">
      <c r="A23843" s="69" t="s">
        <v>97</v>
      </c>
      <c r="B23843" s="72" t="str">
        <f>VLOOKUP(A23843,'Componentes APUs'!$N$1:$Q$30,2,0)</f>
        <v>Camioneta</v>
      </c>
      <c r="C23843" s="73"/>
      <c r="D23843" s="70" t="str">
        <f>VLOOKUP(A23843,'Componentes APUs'!$N$1:$Q$30,3,0)</f>
        <v>U</v>
      </c>
      <c r="E23843" s="50">
        <v>1</v>
      </c>
      <c r="F23843" s="51">
        <f>VLOOKUP(A23843,'Componentes APUs'!$N$1:$Q$30,4,0)</f>
        <v>5500000</v>
      </c>
      <c r="G23843" s="51">
        <f>IFERROR(ROUNDUP(F23843*(E23843/21)/E23794,0),0)</f>
        <v>65477</v>
      </c>
    </row>
    <row r="23844" spans="1:7" x14ac:dyDescent="0.25">
      <c r="A23844" s="50" t="s">
        <v>321</v>
      </c>
      <c r="B23844" s="72" t="str">
        <f>VLOOKUP(A23844,'Componentes APUs'!$N$1:$Q$30,2,0)</f>
        <v>Grúa Hidráulica</v>
      </c>
      <c r="C23844" s="73"/>
      <c r="D23844" s="70" t="str">
        <f>VLOOKUP(A23844,'Componentes APUs'!$N$1:$Q$30,3,0)</f>
        <v>U</v>
      </c>
      <c r="E23844" s="50">
        <v>1</v>
      </c>
      <c r="F23844" s="51">
        <f>VLOOKUP(A23844,'Componentes APUs'!$N$1:$Q$30,4,0)</f>
        <v>21000000</v>
      </c>
      <c r="G23844" s="51">
        <f>IFERROR(ROUNDUP(F23844*(E23844/21)/E23794,0),0)</f>
        <v>250000</v>
      </c>
    </row>
    <row r="23845" spans="1:7" x14ac:dyDescent="0.25">
      <c r="A23845" s="69" t="s">
        <v>322</v>
      </c>
      <c r="B23845" s="72" t="str">
        <f>VLOOKUP(A23845,'Componentes APUs'!$N$1:$Q$30,2,0)</f>
        <v>Camabaja</v>
      </c>
      <c r="C23845" s="73"/>
      <c r="D23845" s="70" t="str">
        <f>VLOOKUP(A23845,'Componentes APUs'!$N$1:$Q$30,3,0)</f>
        <v>TON/KM</v>
      </c>
      <c r="E23845" s="50">
        <v>0</v>
      </c>
      <c r="F23845" s="51">
        <f>VLOOKUP(A23845,'Componentes APUs'!$N$1:$Q$30,4,0)</f>
        <v>611</v>
      </c>
      <c r="G23845" s="51">
        <f>IFERROR(ROUNDUP(F23845*(E23845/21)/E23794,0),0)</f>
        <v>0</v>
      </c>
    </row>
    <row r="23846" spans="1:7" x14ac:dyDescent="0.25">
      <c r="A23846" s="50" t="s">
        <v>323</v>
      </c>
      <c r="B23846" s="72" t="str">
        <f>VLOOKUP(A23846,'Componentes APUs'!$N$1:$Q$30,2,0)</f>
        <v>Volqueta</v>
      </c>
      <c r="C23846" s="73"/>
      <c r="D23846" s="70" t="str">
        <f>VLOOKUP(A23846,'Componentes APUs'!$N$1:$Q$30,3,0)</f>
        <v>U</v>
      </c>
      <c r="E23846" s="50">
        <v>0</v>
      </c>
      <c r="F23846" s="51">
        <f>VLOOKUP(A23846,'Componentes APUs'!$N$1:$Q$30,4,0)</f>
        <v>14828184</v>
      </c>
      <c r="G23846" s="51">
        <f>IFERROR(ROUNDUP(F23846*(E23846/21)/E23794,0),0)</f>
        <v>0</v>
      </c>
    </row>
    <row r="23847" spans="1:7" x14ac:dyDescent="0.25">
      <c r="A23847" s="69" t="s">
        <v>324</v>
      </c>
      <c r="B23847" s="72" t="str">
        <f>VLOOKUP(A23847,'Componentes APUs'!$N$1:$Q$30,2,0)</f>
        <v>Retroexcavadora</v>
      </c>
      <c r="C23847" s="73"/>
      <c r="D23847" s="70" t="str">
        <f>VLOOKUP(A23847,'Componentes APUs'!$N$1:$Q$30,3,0)</f>
        <v>U</v>
      </c>
      <c r="E23847" s="50">
        <v>0</v>
      </c>
      <c r="F23847" s="51">
        <f>VLOOKUP(A23847,'Componentes APUs'!$N$1:$Q$30,4,0)</f>
        <v>46030656</v>
      </c>
      <c r="G23847" s="51">
        <f>IFERROR(ROUNDUP(F23847*(E23847/21)/E23794,0),0)</f>
        <v>0</v>
      </c>
    </row>
    <row r="23848" spans="1:7" x14ac:dyDescent="0.25">
      <c r="A23848" s="219" t="s">
        <v>99</v>
      </c>
      <c r="B23848" s="219"/>
      <c r="C23848" s="219"/>
      <c r="D23848" s="219"/>
      <c r="E23848" s="219"/>
      <c r="F23848" s="219"/>
      <c r="G23848" s="52">
        <f>SUM(G23843:G23847)</f>
        <v>315477</v>
      </c>
    </row>
    <row r="23849" spans="1:7" x14ac:dyDescent="0.25">
      <c r="A23849" s="56"/>
      <c r="B23849" s="57"/>
      <c r="C23849" s="57"/>
      <c r="D23849" s="57"/>
      <c r="E23849" s="57"/>
      <c r="F23849" s="57"/>
      <c r="G23849" s="58"/>
    </row>
    <row r="23850" spans="1:7" x14ac:dyDescent="0.25">
      <c r="A23850" s="219" t="s">
        <v>1516</v>
      </c>
      <c r="B23850" s="219"/>
      <c r="C23850" s="219"/>
      <c r="D23850" s="219"/>
      <c r="E23850" s="219"/>
      <c r="F23850" s="219"/>
      <c r="G23850" s="52">
        <f>G23848+G23839+G23822+G23812+G23802</f>
        <v>503467</v>
      </c>
    </row>
    <row r="23851" spans="1:7" x14ac:dyDescent="0.25">
      <c r="A23851" s="59"/>
      <c r="B23851" s="60"/>
      <c r="C23851" s="60"/>
      <c r="D23851" s="60"/>
      <c r="E23851" s="57"/>
      <c r="F23851" s="57"/>
      <c r="G23851" s="58"/>
    </row>
    <row r="23852" spans="1:7" x14ac:dyDescent="0.25">
      <c r="A23852" s="64"/>
      <c r="D23852" s="55"/>
      <c r="E23852" s="49" t="s">
        <v>25</v>
      </c>
      <c r="F23852" s="54">
        <v>0.15</v>
      </c>
      <c r="G23852" s="51">
        <f>G23850*F23852</f>
        <v>75520.05</v>
      </c>
    </row>
    <row r="23853" spans="1:7" x14ac:dyDescent="0.25">
      <c r="A23853" s="64"/>
      <c r="D23853" s="55"/>
      <c r="E23853" s="49" t="s">
        <v>26</v>
      </c>
      <c r="F23853" s="54">
        <v>0.05</v>
      </c>
      <c r="G23853" s="51">
        <f>G23850*F23853</f>
        <v>25173.350000000002</v>
      </c>
    </row>
    <row r="23854" spans="1:7" x14ac:dyDescent="0.25">
      <c r="A23854" s="61"/>
      <c r="B23854" s="65"/>
      <c r="C23854" s="65"/>
      <c r="D23854" s="62"/>
      <c r="E23854" s="49" t="s">
        <v>27</v>
      </c>
      <c r="F23854" s="54">
        <v>0.05</v>
      </c>
      <c r="G23854" s="51">
        <f>G23850*F23854</f>
        <v>25173.350000000002</v>
      </c>
    </row>
    <row r="23855" spans="1:7" x14ac:dyDescent="0.25">
      <c r="A23855" s="61"/>
      <c r="B23855" s="62"/>
      <c r="C23855" s="62"/>
      <c r="D23855" s="62"/>
      <c r="E23855" s="62"/>
      <c r="F23855" s="62"/>
      <c r="G23855" s="63"/>
    </row>
    <row r="23856" spans="1:7" x14ac:dyDescent="0.25">
      <c r="A23856" s="219" t="s">
        <v>1517</v>
      </c>
      <c r="B23856" s="219"/>
      <c r="C23856" s="219"/>
      <c r="D23856" s="219"/>
      <c r="E23856" s="219"/>
      <c r="F23856" s="219"/>
      <c r="G23856" s="52">
        <f>G23850+G23852+G23853+G23854</f>
        <v>629333.75</v>
      </c>
    </row>
    <row r="23857" spans="1:7" x14ac:dyDescent="0.25">
      <c r="A23857" s="59"/>
      <c r="B23857" s="60"/>
      <c r="C23857" s="60"/>
      <c r="D23857" s="60"/>
      <c r="E23857" s="57"/>
      <c r="F23857" s="57"/>
      <c r="G23857" s="58"/>
    </row>
    <row r="23858" spans="1:7" x14ac:dyDescent="0.25">
      <c r="A23858" s="64"/>
      <c r="D23858" s="55"/>
      <c r="E23858" s="49" t="s">
        <v>102</v>
      </c>
      <c r="F23858" s="49" t="s">
        <v>103</v>
      </c>
      <c r="G23858" s="51">
        <f>G23854*19%</f>
        <v>4782.9365000000007</v>
      </c>
    </row>
    <row r="23859" spans="1:7" x14ac:dyDescent="0.25">
      <c r="A23859" s="61"/>
      <c r="B23859" s="62"/>
      <c r="C23859" s="62"/>
      <c r="D23859" s="62"/>
      <c r="E23859" s="57"/>
      <c r="F23859" s="57"/>
      <c r="G23859" s="58"/>
    </row>
    <row r="23860" spans="1:7" x14ac:dyDescent="0.25">
      <c r="A23860" s="219" t="s">
        <v>104</v>
      </c>
      <c r="B23860" s="219"/>
      <c r="C23860" s="219"/>
      <c r="D23860" s="219"/>
      <c r="E23860" s="219"/>
      <c r="F23860" s="219"/>
      <c r="G23860" s="52">
        <f>G23858+G23856</f>
        <v>634116.68649999995</v>
      </c>
    </row>
    <row r="23862" spans="1:7" x14ac:dyDescent="0.25">
      <c r="A23862" s="74" t="s">
        <v>29</v>
      </c>
      <c r="B23862" s="237" t="s">
        <v>30</v>
      </c>
      <c r="C23862" s="238"/>
      <c r="D23862" s="74" t="s">
        <v>31</v>
      </c>
      <c r="E23862" s="74" t="s">
        <v>32</v>
      </c>
      <c r="F23862" s="74" t="s">
        <v>189</v>
      </c>
      <c r="G23862" s="74" t="s">
        <v>33</v>
      </c>
    </row>
    <row r="23863" spans="1:7" ht="27.75" customHeight="1" x14ac:dyDescent="0.25">
      <c r="A23863" s="50" t="str">
        <f>Presupuesto!B452</f>
        <v>003_OT</v>
      </c>
      <c r="B23863" s="220" t="str">
        <f>Presupuesto!C452</f>
        <v>TRAMITES AMBIENTALES</v>
      </c>
      <c r="C23863" s="239"/>
      <c r="D23863" s="50" t="s">
        <v>8</v>
      </c>
      <c r="E23863" s="50">
        <v>10</v>
      </c>
      <c r="F23863" s="50"/>
      <c r="G23863" s="51">
        <f>G23927</f>
        <v>56717383.326999992</v>
      </c>
    </row>
    <row r="23864" spans="1:7" x14ac:dyDescent="0.25">
      <c r="A23864" s="219" t="s">
        <v>34</v>
      </c>
      <c r="B23864" s="219"/>
      <c r="C23864" s="219"/>
      <c r="D23864" s="219"/>
      <c r="E23864" s="219"/>
      <c r="F23864" s="219"/>
      <c r="G23864" s="219"/>
    </row>
    <row r="23865" spans="1:7" x14ac:dyDescent="0.25">
      <c r="A23865" s="49" t="s">
        <v>35</v>
      </c>
      <c r="B23865" s="234" t="s">
        <v>36</v>
      </c>
      <c r="C23865" s="235"/>
      <c r="D23865" s="49" t="s">
        <v>37</v>
      </c>
      <c r="E23865" s="49" t="s">
        <v>38</v>
      </c>
      <c r="F23865" s="49" t="s">
        <v>39</v>
      </c>
      <c r="G23865" s="49" t="s">
        <v>40</v>
      </c>
    </row>
    <row r="23866" spans="1:7" x14ac:dyDescent="0.25">
      <c r="A23866" s="17" t="str">
        <f>Material!A454</f>
        <v>MA-453</v>
      </c>
      <c r="B23866" s="72" t="str">
        <f>IFERROR(VLOOKUP(A23866,Material!$A:$H,2,0),"-")</f>
        <v>LICENCIA AMBIENTAL Y PERMISOS</v>
      </c>
      <c r="C23866" s="76"/>
      <c r="D23866" s="50" t="str">
        <f>IFERROR(VLOOKUP(A23866,Material!$A:$H,4,0),"-")</f>
        <v>UN</v>
      </c>
      <c r="E23866" s="50">
        <v>1</v>
      </c>
      <c r="F23866" s="51">
        <f>IFERROR(VLOOKUP(A23866,Material!$A:$H,3,0),"-")</f>
        <v>45000000</v>
      </c>
      <c r="G23866" s="51">
        <f>IFERROR(ROUNDUP(F23866*E23866,0),"-")</f>
        <v>45000000</v>
      </c>
    </row>
    <row r="23867" spans="1:7" x14ac:dyDescent="0.25">
      <c r="A23867" s="17"/>
      <c r="B23867" s="72" t="str">
        <f>IFERROR(VLOOKUP(A23867,Material!$A:$H,2,0),"-")</f>
        <v>-</v>
      </c>
      <c r="C23867" s="76"/>
      <c r="D23867" s="50" t="str">
        <f>IFERROR(VLOOKUP(A23867,Material!$A:$H,4,0),"-")</f>
        <v>-</v>
      </c>
      <c r="E23867" s="50"/>
      <c r="F23867" s="51" t="str">
        <f>IFERROR(VLOOKUP(A23867,Material!$A:$H,3,0),"-")</f>
        <v>-</v>
      </c>
      <c r="G23867" s="51" t="str">
        <f>IFERROR(ROUNDUP(F23867*E23867,0),"-")</f>
        <v>-</v>
      </c>
    </row>
    <row r="23868" spans="1:7" x14ac:dyDescent="0.25">
      <c r="A23868" s="17"/>
      <c r="B23868" s="72" t="str">
        <f>IFERROR(VLOOKUP(A23868,Material!$A:$H,2,0),"-")</f>
        <v>-</v>
      </c>
      <c r="C23868" s="76"/>
      <c r="D23868" s="50" t="str">
        <f>IFERROR(VLOOKUP(A23868,Material!$A:$H,4,0),"-")</f>
        <v>-</v>
      </c>
      <c r="E23868" s="50"/>
      <c r="F23868" s="51" t="str">
        <f>IFERROR(VLOOKUP(A23868,Material!$A:$H,3,0),"-")</f>
        <v>-</v>
      </c>
      <c r="G23868" s="51" t="str">
        <f>IFERROR(ROUNDUP(F23868*E23868,0),"-")</f>
        <v>-</v>
      </c>
    </row>
    <row r="23869" spans="1:7" x14ac:dyDescent="0.25">
      <c r="A23869" s="234" t="s">
        <v>41</v>
      </c>
      <c r="B23869" s="236"/>
      <c r="C23869" s="236"/>
      <c r="D23869" s="236"/>
      <c r="E23869" s="236"/>
      <c r="F23869" s="235"/>
      <c r="G23869" s="52">
        <f>SUM(G23866:G23868)</f>
        <v>45000000</v>
      </c>
    </row>
    <row r="23870" spans="1:7" x14ac:dyDescent="0.25">
      <c r="A23870" s="56"/>
      <c r="B23870" s="57"/>
      <c r="C23870" s="57"/>
      <c r="D23870" s="57"/>
      <c r="E23870" s="57"/>
      <c r="F23870" s="57"/>
      <c r="G23870" s="58"/>
    </row>
    <row r="23871" spans="1:7" x14ac:dyDescent="0.25">
      <c r="A23871" s="219" t="s">
        <v>42</v>
      </c>
      <c r="B23871" s="219"/>
      <c r="C23871" s="219"/>
      <c r="D23871" s="219"/>
      <c r="E23871" s="219"/>
      <c r="F23871" s="219"/>
      <c r="G23871" s="219"/>
    </row>
    <row r="23872" spans="1:7" x14ac:dyDescent="0.25">
      <c r="A23872" s="49" t="s">
        <v>35</v>
      </c>
      <c r="B23872" s="49" t="s">
        <v>36</v>
      </c>
      <c r="C23872" s="49" t="s">
        <v>38</v>
      </c>
      <c r="D23872" s="49" t="s">
        <v>43</v>
      </c>
      <c r="E23872" s="49" t="s">
        <v>44</v>
      </c>
      <c r="F23872" s="49" t="s">
        <v>45</v>
      </c>
      <c r="G23872" s="49" t="s">
        <v>40</v>
      </c>
    </row>
    <row r="23873" spans="1:7" x14ac:dyDescent="0.25">
      <c r="A23873" s="50" t="s">
        <v>319</v>
      </c>
      <c r="B23873" s="68" t="str">
        <f>VLOOKUP(A23873,'Componentes APUs'!$H$1:$L$25,2,0)</f>
        <v>Ingeniero Residente de Obra</v>
      </c>
      <c r="C23873" s="93">
        <v>0.25</v>
      </c>
      <c r="D23873" s="50">
        <f>VLOOKUP(A23873,'Componentes APUs'!$H$1:$L$25,3,0)</f>
        <v>4</v>
      </c>
      <c r="E23873" s="51">
        <f>VLOOKUP(A23873,'Componentes APUs'!$H$1:$L$25,4,0)</f>
        <v>271142.85714285716</v>
      </c>
      <c r="F23873" s="51">
        <f>VLOOKUP(A23873,'Componentes APUs'!$H$1:$L$25,5,0)</f>
        <v>162685.71428571429</v>
      </c>
      <c r="G23873" s="51">
        <f>ROUNDUP((E23873+F23873)*C23873/E23863,0)</f>
        <v>10846</v>
      </c>
    </row>
    <row r="23874" spans="1:7" x14ac:dyDescent="0.25">
      <c r="A23874" s="50" t="s">
        <v>320</v>
      </c>
      <c r="B23874" s="68" t="str">
        <f>VLOOKUP(A23874,'Componentes APUs'!$H$1:$L$25,2,0)</f>
        <v>Tecnico Supervisor</v>
      </c>
      <c r="C23874" s="93">
        <v>0</v>
      </c>
      <c r="D23874" s="50">
        <f>VLOOKUP(A23874,'Componentes APUs'!$H$1:$L$25,3,0)</f>
        <v>2.2999999999999998</v>
      </c>
      <c r="E23874" s="51">
        <f>VLOOKUP(A23874,'Componentes APUs'!$H$1:$L$25,4,0)</f>
        <v>155907.14285714284</v>
      </c>
      <c r="F23874" s="51">
        <f>VLOOKUP(A23874,'Componentes APUs'!$H$1:$L$25,5,0)</f>
        <v>93544.285714285696</v>
      </c>
      <c r="G23874" s="51">
        <f>ROUNDUP((E23874+F23874)*C23874/E23863,0)</f>
        <v>0</v>
      </c>
    </row>
    <row r="23875" spans="1:7" x14ac:dyDescent="0.25">
      <c r="A23875" s="50" t="s">
        <v>46</v>
      </c>
      <c r="B23875" s="68" t="str">
        <f>VLOOKUP(A23875,'Componentes APUs'!$H$1:$L$25,2,0)</f>
        <v>Tecnico Liniero</v>
      </c>
      <c r="C23875" s="93">
        <v>0</v>
      </c>
      <c r="D23875" s="50">
        <f>VLOOKUP(A23875,'Componentes APUs'!$H$1:$L$25,3,0)</f>
        <v>2</v>
      </c>
      <c r="E23875" s="51">
        <f>VLOOKUP(A23875,'Componentes APUs'!$H$1:$L$25,4,0)</f>
        <v>154619.04761904763</v>
      </c>
      <c r="F23875" s="51">
        <f>VLOOKUP(A23875,'Componentes APUs'!$H$1:$L$25,5,0)</f>
        <v>92771.42857142858</v>
      </c>
      <c r="G23875" s="51">
        <f>ROUNDUP((E23875+F23875)*C23875/E23863,0)</f>
        <v>0</v>
      </c>
    </row>
    <row r="23876" spans="1:7" x14ac:dyDescent="0.25">
      <c r="A23876" s="50" t="s">
        <v>48</v>
      </c>
      <c r="B23876" s="68" t="str">
        <f>VLOOKUP(A23876,'Componentes APUs'!$H$1:$L$25,2,0)</f>
        <v>Ayudante Calificado</v>
      </c>
      <c r="C23876" s="93">
        <v>0</v>
      </c>
      <c r="D23876" s="50">
        <f>VLOOKUP(A23876,'Componentes APUs'!$H$1:$L$25,3,0)</f>
        <v>1.5</v>
      </c>
      <c r="E23876" s="51">
        <f>VLOOKUP(A23876,'Componentes APUs'!$H$1:$L$25,4,0)</f>
        <v>115964.28571428571</v>
      </c>
      <c r="F23876" s="51">
        <f>VLOOKUP(A23876,'Componentes APUs'!$H$1:$L$25,5,0)</f>
        <v>69578.57142857142</v>
      </c>
      <c r="G23876" s="51">
        <f>ROUNDUP((E23876+F23876)*C23876/E23863,0)</f>
        <v>0</v>
      </c>
    </row>
    <row r="23877" spans="1:7" x14ac:dyDescent="0.25">
      <c r="A23877" s="50" t="s">
        <v>50</v>
      </c>
      <c r="B23877" s="68" t="str">
        <f>VLOOKUP(A23877,'Componentes APUs'!$H$1:$L$25,2,0)</f>
        <v>Profesional en SST</v>
      </c>
      <c r="C23877" s="93">
        <v>0.25</v>
      </c>
      <c r="D23877" s="50">
        <f>VLOOKUP(A23877,'Componentes APUs'!$H$1:$L$25,3,0)</f>
        <v>2.5</v>
      </c>
      <c r="E23877" s="51">
        <f>VLOOKUP(A23877,'Componentes APUs'!$H$1:$L$25,4,0)</f>
        <v>169464.28571428571</v>
      </c>
      <c r="F23877" s="51">
        <f>VLOOKUP(A23877,'Componentes APUs'!$H$1:$L$25,5,0)</f>
        <v>101678.57142857142</v>
      </c>
      <c r="G23877" s="51">
        <f>ROUNDUP((E23877+F23877)*C23877/E23863,0)</f>
        <v>6779</v>
      </c>
    </row>
    <row r="23878" spans="1:7" x14ac:dyDescent="0.25">
      <c r="A23878" s="50" t="s">
        <v>52</v>
      </c>
      <c r="B23878" s="68" t="str">
        <f>VLOOKUP(A23878,'Componentes APUs'!$H$1:$L$25,2,0)</f>
        <v>Ayudante No Calificado</v>
      </c>
      <c r="C23878" s="93">
        <v>0</v>
      </c>
      <c r="D23878" s="50">
        <f>VLOOKUP(A23878,'Componentes APUs'!$H$1:$L$25,3,0)</f>
        <v>1</v>
      </c>
      <c r="E23878" s="51">
        <f>VLOOKUP(A23878,'Componentes APUs'!$H$1:$L$25,4,0)</f>
        <v>77309.523809523816</v>
      </c>
      <c r="F23878" s="51">
        <f>VLOOKUP(A23878,'Componentes APUs'!$H$1:$L$25,5,0)</f>
        <v>46385.71428571429</v>
      </c>
      <c r="G23878" s="51">
        <f>ROUNDUP((E23878+F23878)*C23878/E23863,0)</f>
        <v>0</v>
      </c>
    </row>
    <row r="23879" spans="1:7" x14ac:dyDescent="0.25">
      <c r="A23879" s="219" t="s">
        <v>56</v>
      </c>
      <c r="B23879" s="219"/>
      <c r="C23879" s="219"/>
      <c r="D23879" s="219"/>
      <c r="E23879" s="219"/>
      <c r="F23879" s="219"/>
      <c r="G23879" s="52">
        <f>SUM(G23873:G23878)</f>
        <v>17625</v>
      </c>
    </row>
    <row r="23880" spans="1:7" x14ac:dyDescent="0.25">
      <c r="A23880" s="56"/>
      <c r="B23880" s="57"/>
      <c r="C23880" s="57"/>
      <c r="D23880" s="57"/>
      <c r="E23880" s="57"/>
      <c r="F23880" s="57"/>
      <c r="G23880" s="58"/>
    </row>
    <row r="23881" spans="1:7" x14ac:dyDescent="0.25">
      <c r="A23881" s="219" t="s">
        <v>57</v>
      </c>
      <c r="B23881" s="219"/>
      <c r="C23881" s="219"/>
      <c r="D23881" s="219"/>
      <c r="E23881" s="219"/>
      <c r="F23881" s="219"/>
      <c r="G23881" s="219"/>
    </row>
    <row r="23882" spans="1:7" x14ac:dyDescent="0.25">
      <c r="A23882" s="49" t="s">
        <v>35</v>
      </c>
      <c r="B23882" s="219" t="s">
        <v>36</v>
      </c>
      <c r="C23882" s="219"/>
      <c r="D23882" s="49" t="s">
        <v>37</v>
      </c>
      <c r="E23882" s="49" t="s">
        <v>38</v>
      </c>
      <c r="F23882" s="49" t="s">
        <v>39</v>
      </c>
      <c r="G23882" s="49" t="s">
        <v>40</v>
      </c>
    </row>
    <row r="23883" spans="1:7" x14ac:dyDescent="0.25">
      <c r="A23883" s="50" t="s">
        <v>326</v>
      </c>
      <c r="B23883" s="220" t="str">
        <f>VLOOKUP(A23883,'Componentes APUs'!$S$1:$V$10,2,0)</f>
        <v>Juego Llaves</v>
      </c>
      <c r="C23883" s="220"/>
      <c r="D23883" s="50" t="s">
        <v>18</v>
      </c>
      <c r="E23883" s="50">
        <v>2</v>
      </c>
      <c r="F23883" s="51">
        <f>VLOOKUP(A23883,'Componentes APUs'!$S$1:$V$10,4,0)</f>
        <v>9167</v>
      </c>
      <c r="G23883" s="51">
        <f>ROUNDUP(F23883*((E23883/21)/E23863),0)</f>
        <v>88</v>
      </c>
    </row>
    <row r="23884" spans="1:7" x14ac:dyDescent="0.25">
      <c r="A23884" s="50" t="s">
        <v>58</v>
      </c>
      <c r="B23884" s="220" t="str">
        <f>VLOOKUP(A23884,'Componentes APUs'!$S$1:$V$10,2,0)</f>
        <v>Manila de servicio</v>
      </c>
      <c r="C23884" s="220"/>
      <c r="D23884" s="50" t="s">
        <v>18</v>
      </c>
      <c r="E23884" s="50">
        <v>0</v>
      </c>
      <c r="F23884" s="51">
        <f>VLOOKUP(A23884,'Componentes APUs'!$S$1:$V$10,4,0)</f>
        <v>2333</v>
      </c>
      <c r="G23884" s="51">
        <f>ROUNDUP(F23884*((E23884/21)/E23863),0)</f>
        <v>0</v>
      </c>
    </row>
    <row r="23885" spans="1:7" x14ac:dyDescent="0.25">
      <c r="A23885" s="50" t="s">
        <v>327</v>
      </c>
      <c r="B23885" s="220" t="str">
        <f>VLOOKUP(A23885,'Componentes APUs'!$S$1:$V$10,2,0)</f>
        <v>Tula portaherramientas</v>
      </c>
      <c r="C23885" s="220"/>
      <c r="D23885" s="50" t="s">
        <v>18</v>
      </c>
      <c r="E23885" s="50">
        <v>2</v>
      </c>
      <c r="F23885" s="51">
        <f>VLOOKUP(A23885,'Componentes APUs'!$S$1:$V$10,4,0)</f>
        <v>1250</v>
      </c>
      <c r="G23885" s="51">
        <f>ROUNDUP(F23885*((E23885/21)/E23863),0)</f>
        <v>12</v>
      </c>
    </row>
    <row r="23886" spans="1:7" x14ac:dyDescent="0.25">
      <c r="A23886" s="50" t="s">
        <v>60</v>
      </c>
      <c r="B23886" s="220" t="str">
        <f>VLOOKUP(A23886,'Componentes APUs'!$S$1:$V$10,2,0)</f>
        <v>Agarradoras</v>
      </c>
      <c r="C23886" s="220"/>
      <c r="D23886" s="50" t="s">
        <v>18</v>
      </c>
      <c r="E23886" s="50">
        <v>0</v>
      </c>
      <c r="F23886" s="51">
        <f>VLOOKUP(A23886,'Componentes APUs'!$S$1:$V$10,4,0)</f>
        <v>125000</v>
      </c>
      <c r="G23886" s="51">
        <f>ROUNDUP(F23886*((E23886/21)/E23863),0)</f>
        <v>0</v>
      </c>
    </row>
    <row r="23887" spans="1:7" x14ac:dyDescent="0.25">
      <c r="A23887" s="50" t="s">
        <v>62</v>
      </c>
      <c r="B23887" s="220" t="str">
        <f>VLOOKUP(A23887,'Componentes APUs'!$S$1:$V$10,2,0)</f>
        <v>Templadoras</v>
      </c>
      <c r="C23887" s="220"/>
      <c r="D23887" s="50" t="s">
        <v>18</v>
      </c>
      <c r="E23887" s="50">
        <v>0</v>
      </c>
      <c r="F23887" s="51">
        <f>VLOOKUP(A23887,'Componentes APUs'!$S$1:$V$10,4,0)</f>
        <v>250000</v>
      </c>
      <c r="G23887" s="51">
        <f>ROUNDUP(F23887*((E23887/21)/E23863),0)</f>
        <v>0</v>
      </c>
    </row>
    <row r="23888" spans="1:7" x14ac:dyDescent="0.25">
      <c r="A23888" s="50" t="s">
        <v>328</v>
      </c>
      <c r="B23888" s="220" t="str">
        <f>VLOOKUP(A23888,'Componentes APUs'!$S$1:$V$10,2,0)</f>
        <v>Herramienta Menor</v>
      </c>
      <c r="C23888" s="220"/>
      <c r="D23888" s="50" t="s">
        <v>18</v>
      </c>
      <c r="E23888" s="50">
        <v>2</v>
      </c>
      <c r="F23888" s="51">
        <f>VLOOKUP(A23888,'Componentes APUs'!$S$1:$V$10,4,0)</f>
        <v>75758</v>
      </c>
      <c r="G23888" s="51">
        <f>ROUNDUP(F23888*((E23888/21)/E23863),0)</f>
        <v>722</v>
      </c>
    </row>
    <row r="23889" spans="1:7" x14ac:dyDescent="0.25">
      <c r="A23889" s="219" t="s">
        <v>69</v>
      </c>
      <c r="B23889" s="219"/>
      <c r="C23889" s="219"/>
      <c r="D23889" s="219"/>
      <c r="E23889" s="219"/>
      <c r="F23889" s="219"/>
      <c r="G23889" s="52">
        <f>SUM(G23883:G23888)</f>
        <v>822</v>
      </c>
    </row>
    <row r="23890" spans="1:7" x14ac:dyDescent="0.25">
      <c r="A23890" s="56"/>
      <c r="B23890" s="57"/>
      <c r="C23890" s="57"/>
      <c r="D23890" s="57"/>
      <c r="E23890" s="57"/>
      <c r="F23890" s="57"/>
      <c r="G23890" s="58"/>
    </row>
    <row r="23891" spans="1:7" x14ac:dyDescent="0.25">
      <c r="A23891" s="219" t="s">
        <v>70</v>
      </c>
      <c r="B23891" s="219"/>
      <c r="C23891" s="219"/>
      <c r="D23891" s="219"/>
      <c r="E23891" s="219"/>
      <c r="F23891" s="219"/>
      <c r="G23891" s="219"/>
    </row>
    <row r="23892" spans="1:7" x14ac:dyDescent="0.25">
      <c r="A23892" s="49" t="s">
        <v>35</v>
      </c>
      <c r="B23892" s="219" t="s">
        <v>36</v>
      </c>
      <c r="C23892" s="219"/>
      <c r="D23892" s="49" t="s">
        <v>37</v>
      </c>
      <c r="E23892" s="49" t="s">
        <v>38</v>
      </c>
      <c r="F23892" s="49" t="s">
        <v>39</v>
      </c>
      <c r="G23892" s="49" t="s">
        <v>40</v>
      </c>
    </row>
    <row r="23893" spans="1:7" x14ac:dyDescent="0.25">
      <c r="A23893" s="50" t="s">
        <v>71</v>
      </c>
      <c r="B23893" s="71" t="str">
        <f>VLOOKUP(A23893,'Componentes APUs'!$A$1:$D$14,2,0)</f>
        <v>Camisa indigo sin partes metalicas</v>
      </c>
      <c r="C23893" s="71"/>
      <c r="D23893" s="50" t="str">
        <f>VLOOKUP(A23893,'Componentes APUs'!$A$1:$D$14,3,0)</f>
        <v>U</v>
      </c>
      <c r="E23893" s="50">
        <f>SUM(C23873:C23878)</f>
        <v>0.5</v>
      </c>
      <c r="F23893" s="51">
        <f>VLOOKUP(A23893,'Componentes APUs'!$A$1:$D$14,4,0)</f>
        <v>8585.8585858585866</v>
      </c>
      <c r="G23893" s="51">
        <f>ROUNDUP(F23893*(E23893/21)/E23863,0)</f>
        <v>21</v>
      </c>
    </row>
    <row r="23894" spans="1:7" x14ac:dyDescent="0.25">
      <c r="A23894" s="69" t="s">
        <v>73</v>
      </c>
      <c r="B23894" s="72" t="str">
        <f>VLOOKUP(A23894,'Componentes APUs'!$A$1:$D$14,2,0)</f>
        <v>Bota de seguridad dielectrica</v>
      </c>
      <c r="C23894" s="73"/>
      <c r="D23894" s="70" t="str">
        <f>VLOOKUP(A23894,'Componentes APUs'!$A$1:$D$14,3,0)</f>
        <v>Par</v>
      </c>
      <c r="E23894" s="50">
        <f>SUM(C23873:C23878)</f>
        <v>0.5</v>
      </c>
      <c r="F23894" s="51">
        <f>VLOOKUP(A23894,'Componentes APUs'!$A$1:$D$14,4,0)</f>
        <v>7500</v>
      </c>
      <c r="G23894" s="51">
        <f>ROUNDUP(F23894*(E23894/21)/E23863,0)</f>
        <v>18</v>
      </c>
    </row>
    <row r="23895" spans="1:7" x14ac:dyDescent="0.25">
      <c r="A23895" s="50" t="s">
        <v>76</v>
      </c>
      <c r="B23895" s="72" t="str">
        <f>VLOOKUP(A23895,'Componentes APUs'!$A$1:$D$14,2,0)</f>
        <v>Casco dielectrico Tipo 1 Clase E con barbuquejo</v>
      </c>
      <c r="C23895" s="73"/>
      <c r="D23895" s="50" t="str">
        <f>VLOOKUP(A23895,'Componentes APUs'!$A$1:$D$14,3,0)</f>
        <v>U</v>
      </c>
      <c r="E23895" s="50">
        <f>C23878+C23873+C23876+C23877+C23874+IF(A23875&lt;&gt;"MO-3",C23875,0)</f>
        <v>0.5</v>
      </c>
      <c r="F23895" s="51">
        <f>VLOOKUP(A23895,'Componentes APUs'!$A$1:$D$14,4,0)</f>
        <v>10101.010101010101</v>
      </c>
      <c r="G23895" s="51">
        <f>ROUNDUP(F23895*(E23895/21)/E23863,0)</f>
        <v>25</v>
      </c>
    </row>
    <row r="23896" spans="1:7" x14ac:dyDescent="0.25">
      <c r="A23896" s="69" t="s">
        <v>77</v>
      </c>
      <c r="B23896" s="72" t="str">
        <f>VLOOKUP(A23896,'Componentes APUs'!$A$1:$D$14,2,0)</f>
        <v>Correa plastica y antiflama</v>
      </c>
      <c r="C23896" s="73"/>
      <c r="D23896" s="50" t="str">
        <f>VLOOKUP(A23896,'Componentes APUs'!$A$1:$D$14,3,0)</f>
        <v>U</v>
      </c>
      <c r="E23896" s="50">
        <f>SUM(C23873:C23878)</f>
        <v>0.5</v>
      </c>
      <c r="F23896" s="51">
        <f>VLOOKUP(A23896,'Componentes APUs'!$A$1:$D$14,4,0)</f>
        <v>3787.878787878788</v>
      </c>
      <c r="G23896" s="51">
        <f>ROUNDUP(F23896*(E23896/21)/E23863,0)</f>
        <v>10</v>
      </c>
    </row>
    <row r="23897" spans="1:7" x14ac:dyDescent="0.25">
      <c r="A23897" s="50" t="s">
        <v>79</v>
      </c>
      <c r="B23897" s="72" t="str">
        <f>VLOOKUP(A23897,'Componentes APUs'!$A$1:$D$14,2,0)</f>
        <v>Gafas protectoras filtro UV</v>
      </c>
      <c r="C23897" s="73"/>
      <c r="D23897" s="50" t="str">
        <f>VLOOKUP(A23897,'Componentes APUs'!$A$1:$D$14,3,0)</f>
        <v>U</v>
      </c>
      <c r="E23897" s="50">
        <f>SUM(C23873:C23878)</f>
        <v>0.5</v>
      </c>
      <c r="F23897" s="51">
        <f>VLOOKUP(A23897,'Componentes APUs'!$A$1:$D$14,4,0)</f>
        <v>2777.7777777777778</v>
      </c>
      <c r="G23897" s="51">
        <f>ROUNDUP(F23897*(E23897/21)/E23863,0)</f>
        <v>7</v>
      </c>
    </row>
    <row r="23898" spans="1:7" x14ac:dyDescent="0.25">
      <c r="A23898" s="69" t="s">
        <v>402</v>
      </c>
      <c r="B23898" s="72" t="str">
        <f>VLOOKUP(A23898,'Componentes APUs'!$A$1:$D$14,2,0)</f>
        <v>Bota de seguridad PVC dielectrica</v>
      </c>
      <c r="C23898" s="73"/>
      <c r="D23898" s="50" t="str">
        <f>VLOOKUP(A23898,'Componentes APUs'!$A$1:$D$14,3,0)</f>
        <v>Par</v>
      </c>
      <c r="E23898" s="50">
        <f>SUM(C23873:C23878)</f>
        <v>0.5</v>
      </c>
      <c r="F23898" s="51">
        <f>VLOOKUP(A23898,'Componentes APUs'!$A$1:$D$14,4,0)</f>
        <v>2916.6666666666665</v>
      </c>
      <c r="G23898" s="51">
        <f>ROUNDUP(F23898*(E23898/21)/E23863,0)</f>
        <v>7</v>
      </c>
    </row>
    <row r="23899" spans="1:7" x14ac:dyDescent="0.25">
      <c r="A23899" s="50" t="s">
        <v>403</v>
      </c>
      <c r="B23899" s="72" t="str">
        <f>VLOOKUP(A23899,'Componentes APUs'!$A$1:$D$14,2,0)</f>
        <v>Capuchon</v>
      </c>
      <c r="C23899" s="73"/>
      <c r="D23899" s="50" t="str">
        <f>VLOOKUP(A23899,'Componentes APUs'!$A$1:$D$14,3,0)</f>
        <v>U</v>
      </c>
      <c r="E23899" s="50">
        <f>SUM(C23873:C23878)</f>
        <v>0.5</v>
      </c>
      <c r="F23899" s="51">
        <f>VLOOKUP(A23899,'Componentes APUs'!$A$1:$D$14,4,0)</f>
        <v>2525.2525252525252</v>
      </c>
      <c r="G23899" s="51">
        <f>ROUNDUP(F23899*(E23899/21)/E23863,0)</f>
        <v>7</v>
      </c>
    </row>
    <row r="23900" spans="1:7" x14ac:dyDescent="0.25">
      <c r="A23900" s="69" t="s">
        <v>81</v>
      </c>
      <c r="B23900" s="72" t="str">
        <f>VLOOKUP(A23900,'Componentes APUs'!$A$1:$D$14,2,0)</f>
        <v>Guantes Protectores  - ingeniero reforzados</v>
      </c>
      <c r="C23900" s="73"/>
      <c r="D23900" s="50" t="str">
        <f>VLOOKUP(A23900,'Componentes APUs'!$A$1:$D$14,3,0)</f>
        <v>Par</v>
      </c>
      <c r="E23900" s="50">
        <f>C23875+C23876+C23878</f>
        <v>0</v>
      </c>
      <c r="F23900" s="51">
        <f>VLOOKUP(A23900,'Componentes APUs'!$A$1:$D$14,4,0)</f>
        <v>2525.2525252525252</v>
      </c>
      <c r="G23900" s="51">
        <f>ROUNDUP(F23900*(E23900/21)/E23863,0)</f>
        <v>0</v>
      </c>
    </row>
    <row r="23901" spans="1:7" x14ac:dyDescent="0.25">
      <c r="A23901" s="50" t="s">
        <v>83</v>
      </c>
      <c r="B23901" s="72" t="str">
        <f>VLOOKUP(A23901,'Componentes APUs'!$A$1:$D$14,2,0)</f>
        <v>Impermeable (pantalon camisa)</v>
      </c>
      <c r="C23901" s="73"/>
      <c r="D23901" s="50" t="str">
        <f>VLOOKUP(A23901,'Componentes APUs'!$A$1:$D$14,3,0)</f>
        <v>U</v>
      </c>
      <c r="E23901" s="50">
        <f>SUM(C23873:C23878)</f>
        <v>0.5</v>
      </c>
      <c r="F23901" s="51">
        <f>VLOOKUP(A23901,'Componentes APUs'!$A$1:$D$14,4,0)</f>
        <v>3750</v>
      </c>
      <c r="G23901" s="51">
        <f>ROUNDUP(F23901*(E23901/21)/E23863,0)</f>
        <v>9</v>
      </c>
    </row>
    <row r="23902" spans="1:7" x14ac:dyDescent="0.25">
      <c r="A23902" s="69" t="s">
        <v>85</v>
      </c>
      <c r="B23902" s="72" t="str">
        <f>VLOOKUP(A23902,'Componentes APUs'!$A$1:$D$14,2,0)</f>
        <v>Jean Dielectrico</v>
      </c>
      <c r="C23902" s="73"/>
      <c r="D23902" s="50" t="str">
        <f>VLOOKUP(A23902,'Componentes APUs'!$A$1:$D$14,3,0)</f>
        <v>U</v>
      </c>
      <c r="E23902" s="50">
        <f>SUM(C23873:C23878)</f>
        <v>0.5</v>
      </c>
      <c r="F23902" s="51">
        <f>VLOOKUP(A23902,'Componentes APUs'!$A$1:$D$14,4,0)</f>
        <v>7575.757575757576</v>
      </c>
      <c r="G23902" s="51">
        <f>ROUNDUP(F23902*(E23902/21)/E23863,0)</f>
        <v>19</v>
      </c>
    </row>
    <row r="23903" spans="1:7" x14ac:dyDescent="0.25">
      <c r="A23903" s="50" t="s">
        <v>87</v>
      </c>
      <c r="B23903" s="72" t="str">
        <f>VLOOKUP(A23903,'Componentes APUs'!$A$1:$D$14,2,0)</f>
        <v>Casco dielectrico Tipo 2 Clase E con barboquejo</v>
      </c>
      <c r="C23903" s="73"/>
      <c r="D23903" s="50" t="str">
        <f>VLOOKUP(A23903,'Componentes APUs'!$A$1:$D$14,3,0)</f>
        <v>U</v>
      </c>
      <c r="E23903" s="53">
        <f>IF(A23875="MO-3",C23875,0)</f>
        <v>0</v>
      </c>
      <c r="F23903" s="51">
        <f>VLOOKUP(A23903,'Componentes APUs'!$A$1:$D$14,4,0)</f>
        <v>7500</v>
      </c>
      <c r="G23903" s="51">
        <f>ROUNDUP(F23903*(E23903/21)/E23863,0)</f>
        <v>0</v>
      </c>
    </row>
    <row r="23904" spans="1:7" x14ac:dyDescent="0.25">
      <c r="A23904" s="69" t="s">
        <v>89</v>
      </c>
      <c r="B23904" s="72" t="str">
        <f>VLOOKUP(A23904,'Componentes APUs'!$A$1:$D$14,2,0)</f>
        <v>Kit de rescate para trabajo en alturas</v>
      </c>
      <c r="C23904" s="73"/>
      <c r="D23904" s="50" t="str">
        <f>VLOOKUP(A23904,'Componentes APUs'!$A$1:$D$14,3,0)</f>
        <v>U</v>
      </c>
      <c r="E23904" s="50">
        <f>IF(AND(A23875="MO-3",C23875=2),1,0)</f>
        <v>0</v>
      </c>
      <c r="F23904" s="51">
        <f>VLOOKUP(A23904,'Componentes APUs'!$A$1:$D$14,4,0)</f>
        <v>37500</v>
      </c>
      <c r="G23904" s="51">
        <f>ROUNDUP(F23904*(E23904/21)/E23863,0)</f>
        <v>0</v>
      </c>
    </row>
    <row r="23905" spans="1:7" x14ac:dyDescent="0.25">
      <c r="A23905" s="50" t="s">
        <v>91</v>
      </c>
      <c r="B23905" s="72" t="str">
        <f>VLOOKUP(A23905,'Componentes APUs'!$A$1:$D$14,2,0)</f>
        <v>Equipo completo para trabajo en alturas con pretales (Arnes dielectrico, 1 mosqueton de seguridad, tie off dielectrico, eslinga de posicionamiento, juego de pretales)</v>
      </c>
      <c r="C23905" s="73"/>
      <c r="D23905" s="50" t="str">
        <f>VLOOKUP(A23905,'Componentes APUs'!$A$1:$D$14,3,0)</f>
        <v>U</v>
      </c>
      <c r="E23905" s="50">
        <f>IF(A23875="MO-3",C23875,0)</f>
        <v>0</v>
      </c>
      <c r="F23905" s="51">
        <f>VLOOKUP(A23905,'Componentes APUs'!$A$1:$D$14,4,0)</f>
        <v>26041.666666666668</v>
      </c>
      <c r="G23905" s="51">
        <f>ROUNDUP(F23905*(E23905/21)/E23863,0)</f>
        <v>0</v>
      </c>
    </row>
    <row r="23906" spans="1:7" x14ac:dyDescent="0.25">
      <c r="A23906" s="219" t="s">
        <v>95</v>
      </c>
      <c r="B23906" s="219"/>
      <c r="C23906" s="219"/>
      <c r="D23906" s="219"/>
      <c r="E23906" s="219"/>
      <c r="F23906" s="219"/>
      <c r="G23906" s="52">
        <f>SUM(G23893:G23905)</f>
        <v>123</v>
      </c>
    </row>
    <row r="23907" spans="1:7" x14ac:dyDescent="0.25">
      <c r="A23907" s="56"/>
      <c r="B23907" s="57"/>
      <c r="C23907" s="57"/>
      <c r="D23907" s="57"/>
      <c r="E23907" s="57"/>
      <c r="F23907" s="57"/>
      <c r="G23907" s="58"/>
    </row>
    <row r="23908" spans="1:7" x14ac:dyDescent="0.25">
      <c r="A23908" s="219" t="s">
        <v>96</v>
      </c>
      <c r="B23908" s="219"/>
      <c r="C23908" s="219"/>
      <c r="D23908" s="219"/>
      <c r="E23908" s="219"/>
      <c r="F23908" s="219"/>
      <c r="G23908" s="219"/>
    </row>
    <row r="23909" spans="1:7" x14ac:dyDescent="0.25">
      <c r="A23909" s="49" t="s">
        <v>35</v>
      </c>
      <c r="B23909" s="225" t="s">
        <v>36</v>
      </c>
      <c r="C23909" s="225"/>
      <c r="D23909" s="49" t="s">
        <v>37</v>
      </c>
      <c r="E23909" s="49" t="s">
        <v>38</v>
      </c>
      <c r="F23909" s="49" t="s">
        <v>39</v>
      </c>
      <c r="G23909" s="49" t="s">
        <v>40</v>
      </c>
    </row>
    <row r="23910" spans="1:7" x14ac:dyDescent="0.25">
      <c r="A23910" s="69" t="s">
        <v>97</v>
      </c>
      <c r="B23910" s="72" t="str">
        <f>VLOOKUP(A23910,'Componentes APUs'!$N$1:$Q$30,2,0)</f>
        <v>Camioneta</v>
      </c>
      <c r="C23910" s="73"/>
      <c r="D23910" s="70" t="str">
        <f>VLOOKUP(A23910,'Componentes APUs'!$N$1:$Q$30,3,0)</f>
        <v>U</v>
      </c>
      <c r="E23910" s="50">
        <v>0.5</v>
      </c>
      <c r="F23910" s="51">
        <f>VLOOKUP(A23910,'Componentes APUs'!$N$1:$Q$30,4,0)</f>
        <v>5500000</v>
      </c>
      <c r="G23910" s="51">
        <f>IFERROR(ROUNDUP(F23910*(E23910/21)/E23863,0),0)</f>
        <v>13096</v>
      </c>
    </row>
    <row r="23911" spans="1:7" x14ac:dyDescent="0.25">
      <c r="A23911" s="50" t="s">
        <v>321</v>
      </c>
      <c r="B23911" s="72" t="str">
        <f>VLOOKUP(A23911,'Componentes APUs'!$N$1:$Q$30,2,0)</f>
        <v>Grúa Hidráulica</v>
      </c>
      <c r="C23911" s="73"/>
      <c r="D23911" s="70" t="str">
        <f>VLOOKUP(A23911,'Componentes APUs'!$N$1:$Q$30,3,0)</f>
        <v>U</v>
      </c>
      <c r="E23911" s="50">
        <v>0</v>
      </c>
      <c r="F23911" s="51">
        <f>VLOOKUP(A23911,'Componentes APUs'!$N$1:$Q$30,4,0)</f>
        <v>21000000</v>
      </c>
      <c r="G23911" s="51">
        <f>IFERROR(ROUNDUP(F23911*(E23911/21)/E23863,0),0)</f>
        <v>0</v>
      </c>
    </row>
    <row r="23912" spans="1:7" x14ac:dyDescent="0.25">
      <c r="A23912" s="69" t="s">
        <v>322</v>
      </c>
      <c r="B23912" s="72" t="str">
        <f>VLOOKUP(A23912,'Componentes APUs'!$N$1:$Q$30,2,0)</f>
        <v>Camabaja</v>
      </c>
      <c r="C23912" s="73"/>
      <c r="D23912" s="70" t="str">
        <f>VLOOKUP(A23912,'Componentes APUs'!$N$1:$Q$30,3,0)</f>
        <v>TON/KM</v>
      </c>
      <c r="E23912" s="50">
        <v>0</v>
      </c>
      <c r="F23912" s="51">
        <f>VLOOKUP(A23912,'Componentes APUs'!$N$1:$Q$30,4,0)</f>
        <v>611</v>
      </c>
      <c r="G23912" s="51">
        <f>IFERROR(ROUNDUP(F23912*(E23912/21)/E23863,0),0)</f>
        <v>0</v>
      </c>
    </row>
    <row r="23913" spans="1:7" x14ac:dyDescent="0.25">
      <c r="A23913" s="50" t="s">
        <v>323</v>
      </c>
      <c r="B23913" s="72" t="str">
        <f>VLOOKUP(A23913,'Componentes APUs'!$N$1:$Q$30,2,0)</f>
        <v>Volqueta</v>
      </c>
      <c r="C23913" s="73"/>
      <c r="D23913" s="70" t="str">
        <f>VLOOKUP(A23913,'Componentes APUs'!$N$1:$Q$30,3,0)</f>
        <v>U</v>
      </c>
      <c r="E23913" s="50">
        <v>0</v>
      </c>
      <c r="F23913" s="51">
        <f>VLOOKUP(A23913,'Componentes APUs'!$N$1:$Q$30,4,0)</f>
        <v>14828184</v>
      </c>
      <c r="G23913" s="51">
        <f>IFERROR(ROUNDUP(F23913*(E23913/21)/E23863,0),0)</f>
        <v>0</v>
      </c>
    </row>
    <row r="23914" spans="1:7" x14ac:dyDescent="0.25">
      <c r="A23914" s="69" t="s">
        <v>324</v>
      </c>
      <c r="B23914" s="72" t="str">
        <f>VLOOKUP(A23914,'Componentes APUs'!$N$1:$Q$30,2,0)</f>
        <v>Retroexcavadora</v>
      </c>
      <c r="C23914" s="73"/>
      <c r="D23914" s="70" t="str">
        <f>VLOOKUP(A23914,'Componentes APUs'!$N$1:$Q$30,3,0)</f>
        <v>U</v>
      </c>
      <c r="E23914" s="50">
        <v>0</v>
      </c>
      <c r="F23914" s="51">
        <f>VLOOKUP(A23914,'Componentes APUs'!$N$1:$Q$30,4,0)</f>
        <v>46030656</v>
      </c>
      <c r="G23914" s="51">
        <f>IFERROR(ROUNDUP(F23914*(E23914/21)/E23863,0),0)</f>
        <v>0</v>
      </c>
    </row>
    <row r="23915" spans="1:7" x14ac:dyDescent="0.25">
      <c r="A23915" s="219" t="s">
        <v>99</v>
      </c>
      <c r="B23915" s="219"/>
      <c r="C23915" s="219"/>
      <c r="D23915" s="219"/>
      <c r="E23915" s="219"/>
      <c r="F23915" s="219"/>
      <c r="G23915" s="52">
        <f>SUM(G23910:G23914)</f>
        <v>13096</v>
      </c>
    </row>
    <row r="23916" spans="1:7" x14ac:dyDescent="0.25">
      <c r="A23916" s="56"/>
      <c r="B23916" s="57"/>
      <c r="C23916" s="57"/>
      <c r="D23916" s="57"/>
      <c r="E23916" s="57"/>
      <c r="F23916" s="57"/>
      <c r="G23916" s="58"/>
    </row>
    <row r="23917" spans="1:7" x14ac:dyDescent="0.25">
      <c r="A23917" s="219" t="s">
        <v>1516</v>
      </c>
      <c r="B23917" s="219"/>
      <c r="C23917" s="219"/>
      <c r="D23917" s="219"/>
      <c r="E23917" s="219"/>
      <c r="F23917" s="219"/>
      <c r="G23917" s="52">
        <f>G23915+G23906+G23889+G23879+G23869</f>
        <v>45031666</v>
      </c>
    </row>
    <row r="23918" spans="1:7" x14ac:dyDescent="0.25">
      <c r="A23918" s="59"/>
      <c r="B23918" s="60"/>
      <c r="C23918" s="60"/>
      <c r="D23918" s="60"/>
      <c r="E23918" s="57"/>
      <c r="F23918" s="57"/>
      <c r="G23918" s="58"/>
    </row>
    <row r="23919" spans="1:7" x14ac:dyDescent="0.25">
      <c r="A23919" s="64"/>
      <c r="D23919" s="55"/>
      <c r="E23919" s="49" t="s">
        <v>25</v>
      </c>
      <c r="F23919" s="54">
        <v>0.15</v>
      </c>
      <c r="G23919" s="51">
        <f>G23917*F23919</f>
        <v>6754749.8999999994</v>
      </c>
    </row>
    <row r="23920" spans="1:7" x14ac:dyDescent="0.25">
      <c r="A23920" s="64"/>
      <c r="D23920" s="55"/>
      <c r="E23920" s="49" t="s">
        <v>26</v>
      </c>
      <c r="F23920" s="54">
        <v>0.05</v>
      </c>
      <c r="G23920" s="51">
        <f>G23917*F23920</f>
        <v>2251583.3000000003</v>
      </c>
    </row>
    <row r="23921" spans="1:7" x14ac:dyDescent="0.25">
      <c r="A23921" s="61"/>
      <c r="B23921" s="65"/>
      <c r="C23921" s="65"/>
      <c r="D23921" s="62"/>
      <c r="E23921" s="49" t="s">
        <v>27</v>
      </c>
      <c r="F23921" s="54">
        <v>0.05</v>
      </c>
      <c r="G23921" s="51">
        <f>G23917*F23921</f>
        <v>2251583.3000000003</v>
      </c>
    </row>
    <row r="23922" spans="1:7" x14ac:dyDescent="0.25">
      <c r="A23922" s="61"/>
      <c r="B23922" s="62"/>
      <c r="C23922" s="62"/>
      <c r="D23922" s="62"/>
      <c r="E23922" s="62"/>
      <c r="F23922" s="62"/>
      <c r="G23922" s="63"/>
    </row>
    <row r="23923" spans="1:7" x14ac:dyDescent="0.25">
      <c r="A23923" s="219" t="s">
        <v>1517</v>
      </c>
      <c r="B23923" s="219"/>
      <c r="C23923" s="219"/>
      <c r="D23923" s="219"/>
      <c r="E23923" s="219"/>
      <c r="F23923" s="219"/>
      <c r="G23923" s="52">
        <f>G23917+G23919+G23920+G23921</f>
        <v>56289582.499999993</v>
      </c>
    </row>
    <row r="23924" spans="1:7" x14ac:dyDescent="0.25">
      <c r="A23924" s="59"/>
      <c r="B23924" s="60"/>
      <c r="C23924" s="60"/>
      <c r="D23924" s="60"/>
      <c r="E23924" s="57"/>
      <c r="F23924" s="57"/>
      <c r="G23924" s="58"/>
    </row>
    <row r="23925" spans="1:7" x14ac:dyDescent="0.25">
      <c r="A23925" s="64"/>
      <c r="D23925" s="55"/>
      <c r="E23925" s="49" t="s">
        <v>102</v>
      </c>
      <c r="F23925" s="49" t="s">
        <v>103</v>
      </c>
      <c r="G23925" s="51">
        <f>G23921*19%</f>
        <v>427800.82700000005</v>
      </c>
    </row>
    <row r="23926" spans="1:7" x14ac:dyDescent="0.25">
      <c r="A23926" s="61"/>
      <c r="B23926" s="62"/>
      <c r="C23926" s="62"/>
      <c r="D23926" s="62"/>
      <c r="E23926" s="57"/>
      <c r="F23926" s="57"/>
      <c r="G23926" s="58"/>
    </row>
    <row r="23927" spans="1:7" x14ac:dyDescent="0.25">
      <c r="A23927" s="219" t="s">
        <v>104</v>
      </c>
      <c r="B23927" s="219"/>
      <c r="C23927" s="219"/>
      <c r="D23927" s="219"/>
      <c r="E23927" s="219"/>
      <c r="F23927" s="219"/>
      <c r="G23927" s="52">
        <f>G23925+G23923</f>
        <v>56717383.326999992</v>
      </c>
    </row>
    <row r="23929" spans="1:7" x14ac:dyDescent="0.25">
      <c r="A23929" s="74" t="s">
        <v>29</v>
      </c>
      <c r="B23929" s="237" t="s">
        <v>30</v>
      </c>
      <c r="C23929" s="238"/>
      <c r="D23929" s="74" t="s">
        <v>31</v>
      </c>
      <c r="E23929" s="74" t="s">
        <v>32</v>
      </c>
      <c r="F23929" s="74" t="s">
        <v>189</v>
      </c>
      <c r="G23929" s="74" t="s">
        <v>33</v>
      </c>
    </row>
    <row r="23930" spans="1:7" ht="27.75" customHeight="1" x14ac:dyDescent="0.25">
      <c r="A23930" s="50" t="str">
        <f>Presupuesto!B453</f>
        <v>004_OT</v>
      </c>
      <c r="B23930" s="220" t="str">
        <f>Presupuesto!C453</f>
        <v>LICENCIA DE CONSTRUCCIÓN</v>
      </c>
      <c r="C23930" s="239"/>
      <c r="D23930" s="50" t="s">
        <v>8</v>
      </c>
      <c r="E23930" s="50">
        <v>10</v>
      </c>
      <c r="F23930" s="50"/>
      <c r="G23930" s="51">
        <f>G23994</f>
        <v>44121348.018000007</v>
      </c>
    </row>
    <row r="23931" spans="1:7" x14ac:dyDescent="0.25">
      <c r="A23931" s="219" t="s">
        <v>34</v>
      </c>
      <c r="B23931" s="219"/>
      <c r="C23931" s="219"/>
      <c r="D23931" s="219"/>
      <c r="E23931" s="219"/>
      <c r="F23931" s="219"/>
      <c r="G23931" s="219"/>
    </row>
    <row r="23932" spans="1:7" x14ac:dyDescent="0.25">
      <c r="A23932" s="49" t="s">
        <v>35</v>
      </c>
      <c r="B23932" s="234" t="s">
        <v>36</v>
      </c>
      <c r="C23932" s="235"/>
      <c r="D23932" s="49" t="s">
        <v>37</v>
      </c>
      <c r="E23932" s="49" t="s">
        <v>38</v>
      </c>
      <c r="F23932" s="49" t="s">
        <v>39</v>
      </c>
      <c r="G23932" s="49" t="s">
        <v>40</v>
      </c>
    </row>
    <row r="23933" spans="1:7" x14ac:dyDescent="0.25">
      <c r="A23933" s="17" t="str">
        <f>Material!A455</f>
        <v>MA-454</v>
      </c>
      <c r="B23933" s="72" t="str">
        <f>IFERROR(VLOOKUP(A23933,Material!$A:$H,2,0),"-")</f>
        <v>LICENCIA DE CONSTRUCCIÓN</v>
      </c>
      <c r="C23933" s="76"/>
      <c r="D23933" s="50" t="str">
        <f>IFERROR(VLOOKUP(A23933,Material!$A:$H,4,0),"-")</f>
        <v>UN</v>
      </c>
      <c r="E23933" s="50">
        <v>1</v>
      </c>
      <c r="F23933" s="51">
        <f>IFERROR(VLOOKUP(A23933,Material!$A:$H,3,0),"-")</f>
        <v>35000000</v>
      </c>
      <c r="G23933" s="51">
        <f>IFERROR(ROUNDUP(F23933*E23933,0),"-")</f>
        <v>35000000</v>
      </c>
    </row>
    <row r="23934" spans="1:7" x14ac:dyDescent="0.25">
      <c r="A23934" s="17"/>
      <c r="B23934" s="72" t="str">
        <f>IFERROR(VLOOKUP(A23934,Material!$A:$H,2,0),"-")</f>
        <v>-</v>
      </c>
      <c r="C23934" s="76"/>
      <c r="D23934" s="50" t="str">
        <f>IFERROR(VLOOKUP(A23934,Material!$A:$H,4,0),"-")</f>
        <v>-</v>
      </c>
      <c r="E23934" s="50"/>
      <c r="F23934" s="51" t="str">
        <f>IFERROR(VLOOKUP(A23934,Material!$A:$H,3,0),"-")</f>
        <v>-</v>
      </c>
      <c r="G23934" s="51" t="str">
        <f>IFERROR(ROUNDUP(F23934*E23934,0),"-")</f>
        <v>-</v>
      </c>
    </row>
    <row r="23935" spans="1:7" x14ac:dyDescent="0.25">
      <c r="A23935" s="17"/>
      <c r="B23935" s="72" t="str">
        <f>IFERROR(VLOOKUP(A23935,Material!$A:$H,2,0),"-")</f>
        <v>-</v>
      </c>
      <c r="C23935" s="76"/>
      <c r="D23935" s="50" t="str">
        <f>IFERROR(VLOOKUP(A23935,Material!$A:$H,4,0),"-")</f>
        <v>-</v>
      </c>
      <c r="E23935" s="50"/>
      <c r="F23935" s="51" t="str">
        <f>IFERROR(VLOOKUP(A23935,Material!$A:$H,3,0),"-")</f>
        <v>-</v>
      </c>
      <c r="G23935" s="51" t="str">
        <f>IFERROR(ROUNDUP(F23935*E23935,0),"-")</f>
        <v>-</v>
      </c>
    </row>
    <row r="23936" spans="1:7" x14ac:dyDescent="0.25">
      <c r="A23936" s="234" t="s">
        <v>41</v>
      </c>
      <c r="B23936" s="236"/>
      <c r="C23936" s="236"/>
      <c r="D23936" s="236"/>
      <c r="E23936" s="236"/>
      <c r="F23936" s="235"/>
      <c r="G23936" s="52">
        <f>SUM(G23933:G23935)</f>
        <v>35000000</v>
      </c>
    </row>
    <row r="23937" spans="1:7" x14ac:dyDescent="0.25">
      <c r="A23937" s="56"/>
      <c r="B23937" s="57"/>
      <c r="C23937" s="57"/>
      <c r="D23937" s="57"/>
      <c r="E23937" s="57"/>
      <c r="F23937" s="57"/>
      <c r="G23937" s="58"/>
    </row>
    <row r="23938" spans="1:7" x14ac:dyDescent="0.25">
      <c r="A23938" s="219" t="s">
        <v>42</v>
      </c>
      <c r="B23938" s="219"/>
      <c r="C23938" s="219"/>
      <c r="D23938" s="219"/>
      <c r="E23938" s="219"/>
      <c r="F23938" s="219"/>
      <c r="G23938" s="219"/>
    </row>
    <row r="23939" spans="1:7" x14ac:dyDescent="0.25">
      <c r="A23939" s="49" t="s">
        <v>35</v>
      </c>
      <c r="B23939" s="49" t="s">
        <v>36</v>
      </c>
      <c r="C23939" s="49" t="s">
        <v>38</v>
      </c>
      <c r="D23939" s="49" t="s">
        <v>43</v>
      </c>
      <c r="E23939" s="49" t="s">
        <v>44</v>
      </c>
      <c r="F23939" s="49" t="s">
        <v>45</v>
      </c>
      <c r="G23939" s="49" t="s">
        <v>40</v>
      </c>
    </row>
    <row r="23940" spans="1:7" x14ac:dyDescent="0.25">
      <c r="A23940" s="50" t="s">
        <v>319</v>
      </c>
      <c r="B23940" s="68" t="str">
        <f>VLOOKUP(A23940,'Componentes APUs'!$H$1:$L$25,2,0)</f>
        <v>Ingeniero Residente de Obra</v>
      </c>
      <c r="C23940" s="93">
        <v>0.25</v>
      </c>
      <c r="D23940" s="50">
        <f>VLOOKUP(A23940,'Componentes APUs'!$H$1:$L$25,3,0)</f>
        <v>4</v>
      </c>
      <c r="E23940" s="51">
        <f>VLOOKUP(A23940,'Componentes APUs'!$H$1:$L$25,4,0)</f>
        <v>271142.85714285716</v>
      </c>
      <c r="F23940" s="51">
        <f>VLOOKUP(A23940,'Componentes APUs'!$H$1:$L$25,5,0)</f>
        <v>162685.71428571429</v>
      </c>
      <c r="G23940" s="51">
        <f>ROUNDUP((E23940+F23940)*C23940/E23930,0)</f>
        <v>10846</v>
      </c>
    </row>
    <row r="23941" spans="1:7" x14ac:dyDescent="0.25">
      <c r="A23941" s="50" t="s">
        <v>320</v>
      </c>
      <c r="B23941" s="68" t="str">
        <f>VLOOKUP(A23941,'Componentes APUs'!$H$1:$L$25,2,0)</f>
        <v>Tecnico Supervisor</v>
      </c>
      <c r="C23941" s="93">
        <v>0</v>
      </c>
      <c r="D23941" s="50">
        <f>VLOOKUP(A23941,'Componentes APUs'!$H$1:$L$25,3,0)</f>
        <v>2.2999999999999998</v>
      </c>
      <c r="E23941" s="51">
        <f>VLOOKUP(A23941,'Componentes APUs'!$H$1:$L$25,4,0)</f>
        <v>155907.14285714284</v>
      </c>
      <c r="F23941" s="51">
        <f>VLOOKUP(A23941,'Componentes APUs'!$H$1:$L$25,5,0)</f>
        <v>93544.285714285696</v>
      </c>
      <c r="G23941" s="51">
        <f>ROUNDUP((E23941+F23941)*C23941/E23930,0)</f>
        <v>0</v>
      </c>
    </row>
    <row r="23942" spans="1:7" x14ac:dyDescent="0.25">
      <c r="A23942" s="50" t="s">
        <v>46</v>
      </c>
      <c r="B23942" s="68" t="str">
        <f>VLOOKUP(A23942,'Componentes APUs'!$H$1:$L$25,2,0)</f>
        <v>Tecnico Liniero</v>
      </c>
      <c r="C23942" s="93">
        <v>0</v>
      </c>
      <c r="D23942" s="50">
        <f>VLOOKUP(A23942,'Componentes APUs'!$H$1:$L$25,3,0)</f>
        <v>2</v>
      </c>
      <c r="E23942" s="51">
        <f>VLOOKUP(A23942,'Componentes APUs'!$H$1:$L$25,4,0)</f>
        <v>154619.04761904763</v>
      </c>
      <c r="F23942" s="51">
        <f>VLOOKUP(A23942,'Componentes APUs'!$H$1:$L$25,5,0)</f>
        <v>92771.42857142858</v>
      </c>
      <c r="G23942" s="51">
        <f>ROUNDUP((E23942+F23942)*C23942/E23930,0)</f>
        <v>0</v>
      </c>
    </row>
    <row r="23943" spans="1:7" x14ac:dyDescent="0.25">
      <c r="A23943" s="50" t="s">
        <v>48</v>
      </c>
      <c r="B23943" s="68" t="str">
        <f>VLOOKUP(A23943,'Componentes APUs'!$H$1:$L$25,2,0)</f>
        <v>Ayudante Calificado</v>
      </c>
      <c r="C23943" s="93">
        <v>0</v>
      </c>
      <c r="D23943" s="50">
        <f>VLOOKUP(A23943,'Componentes APUs'!$H$1:$L$25,3,0)</f>
        <v>1.5</v>
      </c>
      <c r="E23943" s="51">
        <f>VLOOKUP(A23943,'Componentes APUs'!$H$1:$L$25,4,0)</f>
        <v>115964.28571428571</v>
      </c>
      <c r="F23943" s="51">
        <f>VLOOKUP(A23943,'Componentes APUs'!$H$1:$L$25,5,0)</f>
        <v>69578.57142857142</v>
      </c>
      <c r="G23943" s="51">
        <f>ROUNDUP((E23943+F23943)*C23943/E23930,0)</f>
        <v>0</v>
      </c>
    </row>
    <row r="23944" spans="1:7" x14ac:dyDescent="0.25">
      <c r="A23944" s="50" t="s">
        <v>50</v>
      </c>
      <c r="B23944" s="68" t="str">
        <f>VLOOKUP(A23944,'Componentes APUs'!$H$1:$L$25,2,0)</f>
        <v>Profesional en SST</v>
      </c>
      <c r="C23944" s="93">
        <v>0.25</v>
      </c>
      <c r="D23944" s="50">
        <f>VLOOKUP(A23944,'Componentes APUs'!$H$1:$L$25,3,0)</f>
        <v>2.5</v>
      </c>
      <c r="E23944" s="51">
        <f>VLOOKUP(A23944,'Componentes APUs'!$H$1:$L$25,4,0)</f>
        <v>169464.28571428571</v>
      </c>
      <c r="F23944" s="51">
        <f>VLOOKUP(A23944,'Componentes APUs'!$H$1:$L$25,5,0)</f>
        <v>101678.57142857142</v>
      </c>
      <c r="G23944" s="51">
        <f>ROUNDUP((E23944+F23944)*C23944/E23930,0)</f>
        <v>6779</v>
      </c>
    </row>
    <row r="23945" spans="1:7" x14ac:dyDescent="0.25">
      <c r="A23945" s="50" t="s">
        <v>52</v>
      </c>
      <c r="B23945" s="68" t="str">
        <f>VLOOKUP(A23945,'Componentes APUs'!$H$1:$L$25,2,0)</f>
        <v>Ayudante No Calificado</v>
      </c>
      <c r="C23945" s="93">
        <v>0</v>
      </c>
      <c r="D23945" s="50">
        <f>VLOOKUP(A23945,'Componentes APUs'!$H$1:$L$25,3,0)</f>
        <v>1</v>
      </c>
      <c r="E23945" s="51">
        <f>VLOOKUP(A23945,'Componentes APUs'!$H$1:$L$25,4,0)</f>
        <v>77309.523809523816</v>
      </c>
      <c r="F23945" s="51">
        <f>VLOOKUP(A23945,'Componentes APUs'!$H$1:$L$25,5,0)</f>
        <v>46385.71428571429</v>
      </c>
      <c r="G23945" s="51">
        <f>ROUNDUP((E23945+F23945)*C23945/E23930,0)</f>
        <v>0</v>
      </c>
    </row>
    <row r="23946" spans="1:7" x14ac:dyDescent="0.25">
      <c r="A23946" s="219" t="s">
        <v>56</v>
      </c>
      <c r="B23946" s="219"/>
      <c r="C23946" s="219"/>
      <c r="D23946" s="219"/>
      <c r="E23946" s="219"/>
      <c r="F23946" s="219"/>
      <c r="G23946" s="52">
        <f>SUM(G23940:G23945)</f>
        <v>17625</v>
      </c>
    </row>
    <row r="23947" spans="1:7" x14ac:dyDescent="0.25">
      <c r="A23947" s="56"/>
      <c r="B23947" s="57"/>
      <c r="C23947" s="57"/>
      <c r="D23947" s="57"/>
      <c r="E23947" s="57"/>
      <c r="F23947" s="57"/>
      <c r="G23947" s="58"/>
    </row>
    <row r="23948" spans="1:7" x14ac:dyDescent="0.25">
      <c r="A23948" s="219" t="s">
        <v>57</v>
      </c>
      <c r="B23948" s="219"/>
      <c r="C23948" s="219"/>
      <c r="D23948" s="219"/>
      <c r="E23948" s="219"/>
      <c r="F23948" s="219"/>
      <c r="G23948" s="219"/>
    </row>
    <row r="23949" spans="1:7" x14ac:dyDescent="0.25">
      <c r="A23949" s="49" t="s">
        <v>35</v>
      </c>
      <c r="B23949" s="219" t="s">
        <v>36</v>
      </c>
      <c r="C23949" s="219"/>
      <c r="D23949" s="49" t="s">
        <v>37</v>
      </c>
      <c r="E23949" s="49" t="s">
        <v>38</v>
      </c>
      <c r="F23949" s="49" t="s">
        <v>39</v>
      </c>
      <c r="G23949" s="49" t="s">
        <v>40</v>
      </c>
    </row>
    <row r="23950" spans="1:7" x14ac:dyDescent="0.25">
      <c r="A23950" s="50" t="s">
        <v>326</v>
      </c>
      <c r="B23950" s="220" t="str">
        <f>VLOOKUP(A23950,'Componentes APUs'!$S$1:$V$10,2,0)</f>
        <v>Juego Llaves</v>
      </c>
      <c r="C23950" s="220"/>
      <c r="D23950" s="50" t="s">
        <v>18</v>
      </c>
      <c r="E23950" s="50">
        <v>0</v>
      </c>
      <c r="F23950" s="51">
        <f>VLOOKUP(A23950,'Componentes APUs'!$S$1:$V$10,4,0)</f>
        <v>9167</v>
      </c>
      <c r="G23950" s="51">
        <f>ROUNDUP(F23950*((E23950/21)/E23930),0)</f>
        <v>0</v>
      </c>
    </row>
    <row r="23951" spans="1:7" x14ac:dyDescent="0.25">
      <c r="A23951" s="50" t="s">
        <v>58</v>
      </c>
      <c r="B23951" s="220" t="str">
        <f>VLOOKUP(A23951,'Componentes APUs'!$S$1:$V$10,2,0)</f>
        <v>Manila de servicio</v>
      </c>
      <c r="C23951" s="220"/>
      <c r="D23951" s="50" t="s">
        <v>18</v>
      </c>
      <c r="E23951" s="50">
        <v>0</v>
      </c>
      <c r="F23951" s="51">
        <f>VLOOKUP(A23951,'Componentes APUs'!$S$1:$V$10,4,0)</f>
        <v>2333</v>
      </c>
      <c r="G23951" s="51">
        <f>ROUNDUP(F23951*((E23951/21)/E23930),0)</f>
        <v>0</v>
      </c>
    </row>
    <row r="23952" spans="1:7" x14ac:dyDescent="0.25">
      <c r="A23952" s="50" t="s">
        <v>327</v>
      </c>
      <c r="B23952" s="220" t="str">
        <f>VLOOKUP(A23952,'Componentes APUs'!$S$1:$V$10,2,0)</f>
        <v>Tula portaherramientas</v>
      </c>
      <c r="C23952" s="220"/>
      <c r="D23952" s="50" t="s">
        <v>18</v>
      </c>
      <c r="E23952" s="50">
        <v>0</v>
      </c>
      <c r="F23952" s="51">
        <f>VLOOKUP(A23952,'Componentes APUs'!$S$1:$V$10,4,0)</f>
        <v>1250</v>
      </c>
      <c r="G23952" s="51">
        <f>ROUNDUP(F23952*((E23952/21)/E23930),0)</f>
        <v>0</v>
      </c>
    </row>
    <row r="23953" spans="1:7" x14ac:dyDescent="0.25">
      <c r="A23953" s="50" t="s">
        <v>60</v>
      </c>
      <c r="B23953" s="220" t="str">
        <f>VLOOKUP(A23953,'Componentes APUs'!$S$1:$V$10,2,0)</f>
        <v>Agarradoras</v>
      </c>
      <c r="C23953" s="220"/>
      <c r="D23953" s="50" t="s">
        <v>18</v>
      </c>
      <c r="E23953" s="50">
        <v>0</v>
      </c>
      <c r="F23953" s="51">
        <f>VLOOKUP(A23953,'Componentes APUs'!$S$1:$V$10,4,0)</f>
        <v>125000</v>
      </c>
      <c r="G23953" s="51">
        <f>ROUNDUP(F23953*((E23953/21)/E23930),0)</f>
        <v>0</v>
      </c>
    </row>
    <row r="23954" spans="1:7" x14ac:dyDescent="0.25">
      <c r="A23954" s="50" t="s">
        <v>62</v>
      </c>
      <c r="B23954" s="220" t="str">
        <f>VLOOKUP(A23954,'Componentes APUs'!$S$1:$V$10,2,0)</f>
        <v>Templadoras</v>
      </c>
      <c r="C23954" s="220"/>
      <c r="D23954" s="50" t="s">
        <v>18</v>
      </c>
      <c r="E23954" s="50">
        <v>0</v>
      </c>
      <c r="F23954" s="51">
        <f>VLOOKUP(A23954,'Componentes APUs'!$S$1:$V$10,4,0)</f>
        <v>250000</v>
      </c>
      <c r="G23954" s="51">
        <f>ROUNDUP(F23954*((E23954/21)/E23930),0)</f>
        <v>0</v>
      </c>
    </row>
    <row r="23955" spans="1:7" x14ac:dyDescent="0.25">
      <c r="A23955" s="50" t="s">
        <v>328</v>
      </c>
      <c r="B23955" s="220" t="str">
        <f>VLOOKUP(A23955,'Componentes APUs'!$S$1:$V$10,2,0)</f>
        <v>Herramienta Menor</v>
      </c>
      <c r="C23955" s="220"/>
      <c r="D23955" s="50" t="s">
        <v>18</v>
      </c>
      <c r="E23955" s="50">
        <v>0</v>
      </c>
      <c r="F23955" s="51">
        <f>VLOOKUP(A23955,'Componentes APUs'!$S$1:$V$10,4,0)</f>
        <v>75758</v>
      </c>
      <c r="G23955" s="51">
        <f>ROUNDUP(F23955*((E23955/21)/E23930),0)</f>
        <v>0</v>
      </c>
    </row>
    <row r="23956" spans="1:7" x14ac:dyDescent="0.25">
      <c r="A23956" s="219" t="s">
        <v>69</v>
      </c>
      <c r="B23956" s="219"/>
      <c r="C23956" s="219"/>
      <c r="D23956" s="219"/>
      <c r="E23956" s="219"/>
      <c r="F23956" s="219"/>
      <c r="G23956" s="52">
        <f>SUM(G23950:G23955)</f>
        <v>0</v>
      </c>
    </row>
    <row r="23957" spans="1:7" x14ac:dyDescent="0.25">
      <c r="A23957" s="56"/>
      <c r="B23957" s="57"/>
      <c r="C23957" s="57"/>
      <c r="D23957" s="57"/>
      <c r="E23957" s="57"/>
      <c r="F23957" s="57"/>
      <c r="G23957" s="58"/>
    </row>
    <row r="23958" spans="1:7" x14ac:dyDescent="0.25">
      <c r="A23958" s="219" t="s">
        <v>70</v>
      </c>
      <c r="B23958" s="219"/>
      <c r="C23958" s="219"/>
      <c r="D23958" s="219"/>
      <c r="E23958" s="219"/>
      <c r="F23958" s="219"/>
      <c r="G23958" s="219"/>
    </row>
    <row r="23959" spans="1:7" x14ac:dyDescent="0.25">
      <c r="A23959" s="49" t="s">
        <v>35</v>
      </c>
      <c r="B23959" s="219" t="s">
        <v>36</v>
      </c>
      <c r="C23959" s="219"/>
      <c r="D23959" s="49" t="s">
        <v>37</v>
      </c>
      <c r="E23959" s="49" t="s">
        <v>38</v>
      </c>
      <c r="F23959" s="49" t="s">
        <v>39</v>
      </c>
      <c r="G23959" s="49" t="s">
        <v>40</v>
      </c>
    </row>
    <row r="23960" spans="1:7" x14ac:dyDescent="0.25">
      <c r="A23960" s="50" t="s">
        <v>71</v>
      </c>
      <c r="B23960" s="71" t="str">
        <f>VLOOKUP(A23960,'Componentes APUs'!$A$1:$D$14,2,0)</f>
        <v>Camisa indigo sin partes metalicas</v>
      </c>
      <c r="C23960" s="71"/>
      <c r="D23960" s="50" t="str">
        <f>VLOOKUP(A23960,'Componentes APUs'!$A$1:$D$14,3,0)</f>
        <v>U</v>
      </c>
      <c r="E23960" s="50">
        <f>SUM(C23940:C23945)</f>
        <v>0.5</v>
      </c>
      <c r="F23960" s="51">
        <f>VLOOKUP(A23960,'Componentes APUs'!$A$1:$D$14,4,0)</f>
        <v>8585.8585858585866</v>
      </c>
      <c r="G23960" s="51">
        <f>ROUNDUP(F23960*(E23960/21)/E23930,0)</f>
        <v>21</v>
      </c>
    </row>
    <row r="23961" spans="1:7" x14ac:dyDescent="0.25">
      <c r="A23961" s="69" t="s">
        <v>73</v>
      </c>
      <c r="B23961" s="72" t="str">
        <f>VLOOKUP(A23961,'Componentes APUs'!$A$1:$D$14,2,0)</f>
        <v>Bota de seguridad dielectrica</v>
      </c>
      <c r="C23961" s="73"/>
      <c r="D23961" s="70" t="str">
        <f>VLOOKUP(A23961,'Componentes APUs'!$A$1:$D$14,3,0)</f>
        <v>Par</v>
      </c>
      <c r="E23961" s="50">
        <f>SUM(C23940:C23945)</f>
        <v>0.5</v>
      </c>
      <c r="F23961" s="51">
        <f>VLOOKUP(A23961,'Componentes APUs'!$A$1:$D$14,4,0)</f>
        <v>7500</v>
      </c>
      <c r="G23961" s="51">
        <f>ROUNDUP(F23961*(E23961/21)/E23930,0)</f>
        <v>18</v>
      </c>
    </row>
    <row r="23962" spans="1:7" x14ac:dyDescent="0.25">
      <c r="A23962" s="50" t="s">
        <v>76</v>
      </c>
      <c r="B23962" s="72" t="str">
        <f>VLOOKUP(A23962,'Componentes APUs'!$A$1:$D$14,2,0)</f>
        <v>Casco dielectrico Tipo 1 Clase E con barbuquejo</v>
      </c>
      <c r="C23962" s="73"/>
      <c r="D23962" s="50" t="str">
        <f>VLOOKUP(A23962,'Componentes APUs'!$A$1:$D$14,3,0)</f>
        <v>U</v>
      </c>
      <c r="E23962" s="50">
        <f>C23945+C23940+C23943+C23944+C23941+IF(A23942&lt;&gt;"MO-3",C23942,0)</f>
        <v>0.5</v>
      </c>
      <c r="F23962" s="51">
        <f>VLOOKUP(A23962,'Componentes APUs'!$A$1:$D$14,4,0)</f>
        <v>10101.010101010101</v>
      </c>
      <c r="G23962" s="51">
        <f>ROUNDUP(F23962*(E23962/21)/E23930,0)</f>
        <v>25</v>
      </c>
    </row>
    <row r="23963" spans="1:7" x14ac:dyDescent="0.25">
      <c r="A23963" s="69" t="s">
        <v>77</v>
      </c>
      <c r="B23963" s="72" t="str">
        <f>VLOOKUP(A23963,'Componentes APUs'!$A$1:$D$14,2,0)</f>
        <v>Correa plastica y antiflama</v>
      </c>
      <c r="C23963" s="73"/>
      <c r="D23963" s="50" t="str">
        <f>VLOOKUP(A23963,'Componentes APUs'!$A$1:$D$14,3,0)</f>
        <v>U</v>
      </c>
      <c r="E23963" s="50">
        <f>SUM(C23940:C23945)</f>
        <v>0.5</v>
      </c>
      <c r="F23963" s="51">
        <f>VLOOKUP(A23963,'Componentes APUs'!$A$1:$D$14,4,0)</f>
        <v>3787.878787878788</v>
      </c>
      <c r="G23963" s="51">
        <f>ROUNDUP(F23963*(E23963/21)/E23930,0)</f>
        <v>10</v>
      </c>
    </row>
    <row r="23964" spans="1:7" x14ac:dyDescent="0.25">
      <c r="A23964" s="50" t="s">
        <v>79</v>
      </c>
      <c r="B23964" s="72" t="str">
        <f>VLOOKUP(A23964,'Componentes APUs'!$A$1:$D$14,2,0)</f>
        <v>Gafas protectoras filtro UV</v>
      </c>
      <c r="C23964" s="73"/>
      <c r="D23964" s="50" t="str">
        <f>VLOOKUP(A23964,'Componentes APUs'!$A$1:$D$14,3,0)</f>
        <v>U</v>
      </c>
      <c r="E23964" s="50">
        <f>SUM(C23940:C23945)</f>
        <v>0.5</v>
      </c>
      <c r="F23964" s="51">
        <f>VLOOKUP(A23964,'Componentes APUs'!$A$1:$D$14,4,0)</f>
        <v>2777.7777777777778</v>
      </c>
      <c r="G23964" s="51">
        <f>ROUNDUP(F23964*(E23964/21)/E23930,0)</f>
        <v>7</v>
      </c>
    </row>
    <row r="23965" spans="1:7" x14ac:dyDescent="0.25">
      <c r="A23965" s="69" t="s">
        <v>402</v>
      </c>
      <c r="B23965" s="72" t="str">
        <f>VLOOKUP(A23965,'Componentes APUs'!$A$1:$D$14,2,0)</f>
        <v>Bota de seguridad PVC dielectrica</v>
      </c>
      <c r="C23965" s="73"/>
      <c r="D23965" s="50" t="str">
        <f>VLOOKUP(A23965,'Componentes APUs'!$A$1:$D$14,3,0)</f>
        <v>Par</v>
      </c>
      <c r="E23965" s="50">
        <f>SUM(C23940:C23945)</f>
        <v>0.5</v>
      </c>
      <c r="F23965" s="51">
        <f>VLOOKUP(A23965,'Componentes APUs'!$A$1:$D$14,4,0)</f>
        <v>2916.6666666666665</v>
      </c>
      <c r="G23965" s="51">
        <f>ROUNDUP(F23965*(E23965/21)/E23930,0)</f>
        <v>7</v>
      </c>
    </row>
    <row r="23966" spans="1:7" x14ac:dyDescent="0.25">
      <c r="A23966" s="50" t="s">
        <v>403</v>
      </c>
      <c r="B23966" s="72" t="str">
        <f>VLOOKUP(A23966,'Componentes APUs'!$A$1:$D$14,2,0)</f>
        <v>Capuchon</v>
      </c>
      <c r="C23966" s="73"/>
      <c r="D23966" s="50" t="str">
        <f>VLOOKUP(A23966,'Componentes APUs'!$A$1:$D$14,3,0)</f>
        <v>U</v>
      </c>
      <c r="E23966" s="50">
        <f>SUM(C23940:C23945)</f>
        <v>0.5</v>
      </c>
      <c r="F23966" s="51">
        <f>VLOOKUP(A23966,'Componentes APUs'!$A$1:$D$14,4,0)</f>
        <v>2525.2525252525252</v>
      </c>
      <c r="G23966" s="51">
        <f>ROUNDUP(F23966*(E23966/21)/E23930,0)</f>
        <v>7</v>
      </c>
    </row>
    <row r="23967" spans="1:7" x14ac:dyDescent="0.25">
      <c r="A23967" s="69" t="s">
        <v>81</v>
      </c>
      <c r="B23967" s="72" t="str">
        <f>VLOOKUP(A23967,'Componentes APUs'!$A$1:$D$14,2,0)</f>
        <v>Guantes Protectores  - ingeniero reforzados</v>
      </c>
      <c r="C23967" s="73"/>
      <c r="D23967" s="50" t="str">
        <f>VLOOKUP(A23967,'Componentes APUs'!$A$1:$D$14,3,0)</f>
        <v>Par</v>
      </c>
      <c r="E23967" s="50">
        <f>C23942+C23943+C23945</f>
        <v>0</v>
      </c>
      <c r="F23967" s="51">
        <f>VLOOKUP(A23967,'Componentes APUs'!$A$1:$D$14,4,0)</f>
        <v>2525.2525252525252</v>
      </c>
      <c r="G23967" s="51">
        <f>ROUNDUP(F23967*(E23967/21)/E23930,0)</f>
        <v>0</v>
      </c>
    </row>
    <row r="23968" spans="1:7" x14ac:dyDescent="0.25">
      <c r="A23968" s="50" t="s">
        <v>83</v>
      </c>
      <c r="B23968" s="72" t="str">
        <f>VLOOKUP(A23968,'Componentes APUs'!$A$1:$D$14,2,0)</f>
        <v>Impermeable (pantalon camisa)</v>
      </c>
      <c r="C23968" s="73"/>
      <c r="D23968" s="50" t="str">
        <f>VLOOKUP(A23968,'Componentes APUs'!$A$1:$D$14,3,0)</f>
        <v>U</v>
      </c>
      <c r="E23968" s="50">
        <f>SUM(C23940:C23945)</f>
        <v>0.5</v>
      </c>
      <c r="F23968" s="51">
        <f>VLOOKUP(A23968,'Componentes APUs'!$A$1:$D$14,4,0)</f>
        <v>3750</v>
      </c>
      <c r="G23968" s="51">
        <f>ROUNDUP(F23968*(E23968/21)/E23930,0)</f>
        <v>9</v>
      </c>
    </row>
    <row r="23969" spans="1:7" x14ac:dyDescent="0.25">
      <c r="A23969" s="69" t="s">
        <v>85</v>
      </c>
      <c r="B23969" s="72" t="str">
        <f>VLOOKUP(A23969,'Componentes APUs'!$A$1:$D$14,2,0)</f>
        <v>Jean Dielectrico</v>
      </c>
      <c r="C23969" s="73"/>
      <c r="D23969" s="50" t="str">
        <f>VLOOKUP(A23969,'Componentes APUs'!$A$1:$D$14,3,0)</f>
        <v>U</v>
      </c>
      <c r="E23969" s="50">
        <f>SUM(C23940:C23945)</f>
        <v>0.5</v>
      </c>
      <c r="F23969" s="51">
        <f>VLOOKUP(A23969,'Componentes APUs'!$A$1:$D$14,4,0)</f>
        <v>7575.757575757576</v>
      </c>
      <c r="G23969" s="51">
        <f>ROUNDUP(F23969*(E23969/21)/E23930,0)</f>
        <v>19</v>
      </c>
    </row>
    <row r="23970" spans="1:7" x14ac:dyDescent="0.25">
      <c r="A23970" s="50" t="s">
        <v>87</v>
      </c>
      <c r="B23970" s="72" t="str">
        <f>VLOOKUP(A23970,'Componentes APUs'!$A$1:$D$14,2,0)</f>
        <v>Casco dielectrico Tipo 2 Clase E con barboquejo</v>
      </c>
      <c r="C23970" s="73"/>
      <c r="D23970" s="50" t="str">
        <f>VLOOKUP(A23970,'Componentes APUs'!$A$1:$D$14,3,0)</f>
        <v>U</v>
      </c>
      <c r="E23970" s="53">
        <f>IF(A23942="MO-3",C23942,0)</f>
        <v>0</v>
      </c>
      <c r="F23970" s="51">
        <f>VLOOKUP(A23970,'Componentes APUs'!$A$1:$D$14,4,0)</f>
        <v>7500</v>
      </c>
      <c r="G23970" s="51">
        <f>ROUNDUP(F23970*(E23970/21)/E23930,0)</f>
        <v>0</v>
      </c>
    </row>
    <row r="23971" spans="1:7" x14ac:dyDescent="0.25">
      <c r="A23971" s="69" t="s">
        <v>89</v>
      </c>
      <c r="B23971" s="72" t="str">
        <f>VLOOKUP(A23971,'Componentes APUs'!$A$1:$D$14,2,0)</f>
        <v>Kit de rescate para trabajo en alturas</v>
      </c>
      <c r="C23971" s="73"/>
      <c r="D23971" s="50" t="str">
        <f>VLOOKUP(A23971,'Componentes APUs'!$A$1:$D$14,3,0)</f>
        <v>U</v>
      </c>
      <c r="E23971" s="50">
        <f>IF(AND(A23942="MO-3",C23942=2),1,0)</f>
        <v>0</v>
      </c>
      <c r="F23971" s="51">
        <f>VLOOKUP(A23971,'Componentes APUs'!$A$1:$D$14,4,0)</f>
        <v>37500</v>
      </c>
      <c r="G23971" s="51">
        <f>ROUNDUP(F23971*(E23971/21)/E23930,0)</f>
        <v>0</v>
      </c>
    </row>
    <row r="23972" spans="1:7" x14ac:dyDescent="0.25">
      <c r="A23972" s="50" t="s">
        <v>91</v>
      </c>
      <c r="B23972" s="72" t="str">
        <f>VLOOKUP(A23972,'Componentes APUs'!$A$1:$D$14,2,0)</f>
        <v>Equipo completo para trabajo en alturas con pretales (Arnes dielectrico, 1 mosqueton de seguridad, tie off dielectrico, eslinga de posicionamiento, juego de pretales)</v>
      </c>
      <c r="C23972" s="73"/>
      <c r="D23972" s="50" t="str">
        <f>VLOOKUP(A23972,'Componentes APUs'!$A$1:$D$14,3,0)</f>
        <v>U</v>
      </c>
      <c r="E23972" s="50">
        <f>IF(A23942="MO-3",C23942,0)</f>
        <v>0</v>
      </c>
      <c r="F23972" s="51">
        <f>VLOOKUP(A23972,'Componentes APUs'!$A$1:$D$14,4,0)</f>
        <v>26041.666666666668</v>
      </c>
      <c r="G23972" s="51">
        <f>ROUNDUP(F23972*(E23972/21)/E23930,0)</f>
        <v>0</v>
      </c>
    </row>
    <row r="23973" spans="1:7" x14ac:dyDescent="0.25">
      <c r="A23973" s="219" t="s">
        <v>95</v>
      </c>
      <c r="B23973" s="219"/>
      <c r="C23973" s="219"/>
      <c r="D23973" s="219"/>
      <c r="E23973" s="219"/>
      <c r="F23973" s="219"/>
      <c r="G23973" s="52">
        <f>SUM(G23960:G23972)</f>
        <v>123</v>
      </c>
    </row>
    <row r="23974" spans="1:7" x14ac:dyDescent="0.25">
      <c r="A23974" s="56"/>
      <c r="B23974" s="57"/>
      <c r="C23974" s="57"/>
      <c r="D23974" s="57"/>
      <c r="E23974" s="57"/>
      <c r="F23974" s="57"/>
      <c r="G23974" s="58"/>
    </row>
    <row r="23975" spans="1:7" x14ac:dyDescent="0.25">
      <c r="A23975" s="219" t="s">
        <v>96</v>
      </c>
      <c r="B23975" s="219"/>
      <c r="C23975" s="219"/>
      <c r="D23975" s="219"/>
      <c r="E23975" s="219"/>
      <c r="F23975" s="219"/>
      <c r="G23975" s="219"/>
    </row>
    <row r="23976" spans="1:7" x14ac:dyDescent="0.25">
      <c r="A23976" s="49" t="s">
        <v>35</v>
      </c>
      <c r="B23976" s="225" t="s">
        <v>36</v>
      </c>
      <c r="C23976" s="225"/>
      <c r="D23976" s="49" t="s">
        <v>37</v>
      </c>
      <c r="E23976" s="49" t="s">
        <v>38</v>
      </c>
      <c r="F23976" s="49" t="s">
        <v>39</v>
      </c>
      <c r="G23976" s="49" t="s">
        <v>40</v>
      </c>
    </row>
    <row r="23977" spans="1:7" x14ac:dyDescent="0.25">
      <c r="A23977" s="69" t="s">
        <v>97</v>
      </c>
      <c r="B23977" s="72" t="str">
        <f>VLOOKUP(A23977,'Componentes APUs'!$N$1:$Q$30,2,0)</f>
        <v>Camioneta</v>
      </c>
      <c r="C23977" s="73"/>
      <c r="D23977" s="70" t="str">
        <f>VLOOKUP(A23977,'Componentes APUs'!$N$1:$Q$30,3,0)</f>
        <v>U</v>
      </c>
      <c r="E23977" s="50">
        <v>0.5</v>
      </c>
      <c r="F23977" s="51">
        <f>VLOOKUP(A23977,'Componentes APUs'!$N$1:$Q$30,4,0)</f>
        <v>5500000</v>
      </c>
      <c r="G23977" s="51">
        <f>IFERROR(ROUNDUP(F23977*(E23977/21)/E23930,0),0)</f>
        <v>13096</v>
      </c>
    </row>
    <row r="23978" spans="1:7" x14ac:dyDescent="0.25">
      <c r="A23978" s="50" t="s">
        <v>321</v>
      </c>
      <c r="B23978" s="72" t="str">
        <f>VLOOKUP(A23978,'Componentes APUs'!$N$1:$Q$30,2,0)</f>
        <v>Grúa Hidráulica</v>
      </c>
      <c r="C23978" s="73"/>
      <c r="D23978" s="70" t="str">
        <f>VLOOKUP(A23978,'Componentes APUs'!$N$1:$Q$30,3,0)</f>
        <v>U</v>
      </c>
      <c r="E23978" s="50">
        <v>0</v>
      </c>
      <c r="F23978" s="51">
        <f>VLOOKUP(A23978,'Componentes APUs'!$N$1:$Q$30,4,0)</f>
        <v>21000000</v>
      </c>
      <c r="G23978" s="51">
        <f>IFERROR(ROUNDUP(F23978*(E23978/21)/E23930,0),0)</f>
        <v>0</v>
      </c>
    </row>
    <row r="23979" spans="1:7" x14ac:dyDescent="0.25">
      <c r="A23979" s="69" t="s">
        <v>322</v>
      </c>
      <c r="B23979" s="72" t="str">
        <f>VLOOKUP(A23979,'Componentes APUs'!$N$1:$Q$30,2,0)</f>
        <v>Camabaja</v>
      </c>
      <c r="C23979" s="73"/>
      <c r="D23979" s="70" t="str">
        <f>VLOOKUP(A23979,'Componentes APUs'!$N$1:$Q$30,3,0)</f>
        <v>TON/KM</v>
      </c>
      <c r="E23979" s="50">
        <v>0</v>
      </c>
      <c r="F23979" s="51">
        <f>VLOOKUP(A23979,'Componentes APUs'!$N$1:$Q$30,4,0)</f>
        <v>611</v>
      </c>
      <c r="G23979" s="51">
        <f>IFERROR(ROUNDUP(F23979*(E23979/21)/E23930,0),0)</f>
        <v>0</v>
      </c>
    </row>
    <row r="23980" spans="1:7" x14ac:dyDescent="0.25">
      <c r="A23980" s="50" t="s">
        <v>323</v>
      </c>
      <c r="B23980" s="72" t="str">
        <f>VLOOKUP(A23980,'Componentes APUs'!$N$1:$Q$30,2,0)</f>
        <v>Volqueta</v>
      </c>
      <c r="C23980" s="73"/>
      <c r="D23980" s="70" t="str">
        <f>VLOOKUP(A23980,'Componentes APUs'!$N$1:$Q$30,3,0)</f>
        <v>U</v>
      </c>
      <c r="E23980" s="50">
        <v>0</v>
      </c>
      <c r="F23980" s="51">
        <f>VLOOKUP(A23980,'Componentes APUs'!$N$1:$Q$30,4,0)</f>
        <v>14828184</v>
      </c>
      <c r="G23980" s="51">
        <f>IFERROR(ROUNDUP(F23980*(E23980/21)/E23930,0),0)</f>
        <v>0</v>
      </c>
    </row>
    <row r="23981" spans="1:7" x14ac:dyDescent="0.25">
      <c r="A23981" s="69" t="s">
        <v>324</v>
      </c>
      <c r="B23981" s="72" t="str">
        <f>VLOOKUP(A23981,'Componentes APUs'!$N$1:$Q$30,2,0)</f>
        <v>Retroexcavadora</v>
      </c>
      <c r="C23981" s="73"/>
      <c r="D23981" s="70" t="str">
        <f>VLOOKUP(A23981,'Componentes APUs'!$N$1:$Q$30,3,0)</f>
        <v>U</v>
      </c>
      <c r="E23981" s="50">
        <v>0</v>
      </c>
      <c r="F23981" s="51">
        <f>VLOOKUP(A23981,'Componentes APUs'!$N$1:$Q$30,4,0)</f>
        <v>46030656</v>
      </c>
      <c r="G23981" s="51">
        <f>IFERROR(ROUNDUP(F23981*(E23981/21)/E23930,0),0)</f>
        <v>0</v>
      </c>
    </row>
    <row r="23982" spans="1:7" x14ac:dyDescent="0.25">
      <c r="A23982" s="219" t="s">
        <v>99</v>
      </c>
      <c r="B23982" s="219"/>
      <c r="C23982" s="219"/>
      <c r="D23982" s="219"/>
      <c r="E23982" s="219"/>
      <c r="F23982" s="219"/>
      <c r="G23982" s="52">
        <f>SUM(G23977:G23981)</f>
        <v>13096</v>
      </c>
    </row>
    <row r="23983" spans="1:7" x14ac:dyDescent="0.25">
      <c r="A23983" s="56"/>
      <c r="B23983" s="57"/>
      <c r="C23983" s="57"/>
      <c r="D23983" s="57"/>
      <c r="E23983" s="57"/>
      <c r="F23983" s="57"/>
      <c r="G23983" s="58"/>
    </row>
    <row r="23984" spans="1:7" x14ac:dyDescent="0.25">
      <c r="A23984" s="219" t="s">
        <v>1516</v>
      </c>
      <c r="B23984" s="219"/>
      <c r="C23984" s="219"/>
      <c r="D23984" s="219"/>
      <c r="E23984" s="219"/>
      <c r="F23984" s="219"/>
      <c r="G23984" s="52">
        <f>G23982+G23973+G23956+G23946+G23936</f>
        <v>35030844</v>
      </c>
    </row>
    <row r="23985" spans="1:7" x14ac:dyDescent="0.25">
      <c r="A23985" s="59"/>
      <c r="B23985" s="60"/>
      <c r="C23985" s="60"/>
      <c r="D23985" s="60"/>
      <c r="E23985" s="57"/>
      <c r="F23985" s="57"/>
      <c r="G23985" s="58"/>
    </row>
    <row r="23986" spans="1:7" x14ac:dyDescent="0.25">
      <c r="A23986" s="64"/>
      <c r="D23986" s="55"/>
      <c r="E23986" s="49" t="s">
        <v>25</v>
      </c>
      <c r="F23986" s="54">
        <v>0.15</v>
      </c>
      <c r="G23986" s="51">
        <f>G23984*F23986</f>
        <v>5254626.5999999996</v>
      </c>
    </row>
    <row r="23987" spans="1:7" x14ac:dyDescent="0.25">
      <c r="A23987" s="64"/>
      <c r="D23987" s="55"/>
      <c r="E23987" s="49" t="s">
        <v>26</v>
      </c>
      <c r="F23987" s="54">
        <v>0.05</v>
      </c>
      <c r="G23987" s="51">
        <f>G23984*F23987</f>
        <v>1751542.2000000002</v>
      </c>
    </row>
    <row r="23988" spans="1:7" x14ac:dyDescent="0.25">
      <c r="A23988" s="61"/>
      <c r="B23988" s="65"/>
      <c r="C23988" s="65"/>
      <c r="D23988" s="62"/>
      <c r="E23988" s="49" t="s">
        <v>27</v>
      </c>
      <c r="F23988" s="54">
        <v>0.05</v>
      </c>
      <c r="G23988" s="51">
        <f>G23984*F23988</f>
        <v>1751542.2000000002</v>
      </c>
    </row>
    <row r="23989" spans="1:7" x14ac:dyDescent="0.25">
      <c r="A23989" s="61"/>
      <c r="B23989" s="62"/>
      <c r="C23989" s="62"/>
      <c r="D23989" s="62"/>
      <c r="E23989" s="62"/>
      <c r="F23989" s="62"/>
      <c r="G23989" s="63"/>
    </row>
    <row r="23990" spans="1:7" x14ac:dyDescent="0.25">
      <c r="A23990" s="219" t="s">
        <v>1517</v>
      </c>
      <c r="B23990" s="219"/>
      <c r="C23990" s="219"/>
      <c r="D23990" s="219"/>
      <c r="E23990" s="219"/>
      <c r="F23990" s="219"/>
      <c r="G23990" s="52">
        <f>G23984+G23986+G23987+G23988</f>
        <v>43788555.000000007</v>
      </c>
    </row>
    <row r="23991" spans="1:7" x14ac:dyDescent="0.25">
      <c r="A23991" s="59"/>
      <c r="B23991" s="60"/>
      <c r="C23991" s="60"/>
      <c r="D23991" s="60"/>
      <c r="E23991" s="57"/>
      <c r="F23991" s="57"/>
      <c r="G23991" s="58"/>
    </row>
    <row r="23992" spans="1:7" x14ac:dyDescent="0.25">
      <c r="A23992" s="64"/>
      <c r="D23992" s="55"/>
      <c r="E23992" s="49" t="s">
        <v>102</v>
      </c>
      <c r="F23992" s="49" t="s">
        <v>103</v>
      </c>
      <c r="G23992" s="51">
        <f>G23988*19%</f>
        <v>332793.01800000004</v>
      </c>
    </row>
    <row r="23993" spans="1:7" x14ac:dyDescent="0.25">
      <c r="A23993" s="61"/>
      <c r="B23993" s="62"/>
      <c r="C23993" s="62"/>
      <c r="D23993" s="62"/>
      <c r="E23993" s="57"/>
      <c r="F23993" s="57"/>
      <c r="G23993" s="58"/>
    </row>
    <row r="23994" spans="1:7" x14ac:dyDescent="0.25">
      <c r="A23994" s="219" t="s">
        <v>104</v>
      </c>
      <c r="B23994" s="219"/>
      <c r="C23994" s="219"/>
      <c r="D23994" s="219"/>
      <c r="E23994" s="219"/>
      <c r="F23994" s="219"/>
      <c r="G23994" s="52">
        <f>G23992+G23990</f>
        <v>44121348.018000007</v>
      </c>
    </row>
    <row r="23996" spans="1:7" x14ac:dyDescent="0.25">
      <c r="A23996" s="74" t="s">
        <v>29</v>
      </c>
      <c r="B23996" s="237" t="s">
        <v>30</v>
      </c>
      <c r="C23996" s="238"/>
      <c r="D23996" s="74" t="s">
        <v>31</v>
      </c>
      <c r="E23996" s="74" t="s">
        <v>32</v>
      </c>
      <c r="F23996" s="74" t="s">
        <v>189</v>
      </c>
      <c r="G23996" s="74" t="s">
        <v>33</v>
      </c>
    </row>
    <row r="23997" spans="1:7" x14ac:dyDescent="0.25">
      <c r="A23997" s="50" t="str">
        <f>Presupuesto!B454</f>
        <v>005_OT</v>
      </c>
      <c r="B23997" s="220" t="str">
        <f>Presupuesto!C454</f>
        <v>TRAMITES DE CONEXIÓN ACUEDUCTO Y ALCANTARILLADO</v>
      </c>
      <c r="C23997" s="239"/>
      <c r="D23997" s="50" t="s">
        <v>8</v>
      </c>
      <c r="E23997" s="107">
        <f>1/3</f>
        <v>0.33333333333333331</v>
      </c>
      <c r="F23997" s="50"/>
      <c r="G23997" s="51">
        <f>G24061</f>
        <v>8099651.7964999992</v>
      </c>
    </row>
    <row r="23998" spans="1:7" x14ac:dyDescent="0.25">
      <c r="A23998" s="219" t="s">
        <v>34</v>
      </c>
      <c r="B23998" s="219"/>
      <c r="C23998" s="219"/>
      <c r="D23998" s="219"/>
      <c r="E23998" s="219"/>
      <c r="F23998" s="219"/>
      <c r="G23998" s="219"/>
    </row>
    <row r="23999" spans="1:7" x14ac:dyDescent="0.25">
      <c r="A23999" s="49" t="s">
        <v>35</v>
      </c>
      <c r="B23999" s="234" t="s">
        <v>36</v>
      </c>
      <c r="C23999" s="235"/>
      <c r="D23999" s="49" t="s">
        <v>37</v>
      </c>
      <c r="E23999" s="49" t="s">
        <v>38</v>
      </c>
      <c r="F23999" s="49" t="s">
        <v>39</v>
      </c>
      <c r="G23999" s="49" t="s">
        <v>40</v>
      </c>
    </row>
    <row r="24000" spans="1:7" x14ac:dyDescent="0.25">
      <c r="A24000" s="17" t="str">
        <f>Material!A456</f>
        <v>MA-455</v>
      </c>
      <c r="B24000" s="72" t="str">
        <f>IFERROR(VLOOKUP(A24000,Material!$A:$H,2,0),"-")</f>
        <v>TRAMITES CONEXIÓN AL ACUEDUCTO</v>
      </c>
      <c r="C24000" s="76"/>
      <c r="D24000" s="50" t="str">
        <f>IFERROR(VLOOKUP(A24000,Material!$A:$H,4,0),"-")</f>
        <v>UN</v>
      </c>
      <c r="E24000" s="50">
        <v>1</v>
      </c>
      <c r="F24000" s="51">
        <f>IFERROR(VLOOKUP(A24000,Material!$A:$H,3,0),"-")</f>
        <v>3000000</v>
      </c>
      <c r="G24000" s="51">
        <f>IFERROR(ROUNDUP(F24000*E24000,0),"-")</f>
        <v>3000000</v>
      </c>
    </row>
    <row r="24001" spans="1:7" x14ac:dyDescent="0.25">
      <c r="A24001" s="17"/>
      <c r="B24001" s="72" t="str">
        <f>IFERROR(VLOOKUP(A24001,Material!$A:$H,2,0),"-")</f>
        <v>-</v>
      </c>
      <c r="C24001" s="76"/>
      <c r="D24001" s="50" t="str">
        <f>IFERROR(VLOOKUP(A24001,Material!$A:$H,4,0),"-")</f>
        <v>-</v>
      </c>
      <c r="E24001" s="50"/>
      <c r="F24001" s="51" t="str">
        <f>IFERROR(VLOOKUP(A24001,Material!$A:$H,3,0),"-")</f>
        <v>-</v>
      </c>
      <c r="G24001" s="51" t="str">
        <f>IFERROR(ROUNDUP(F24001*E24001,0),"-")</f>
        <v>-</v>
      </c>
    </row>
    <row r="24002" spans="1:7" x14ac:dyDescent="0.25">
      <c r="A24002" s="17"/>
      <c r="B24002" s="72" t="str">
        <f>IFERROR(VLOOKUP(A24002,Material!$A:$H,2,0),"-")</f>
        <v>-</v>
      </c>
      <c r="C24002" s="76"/>
      <c r="D24002" s="50" t="str">
        <f>IFERROR(VLOOKUP(A24002,Material!$A:$H,4,0),"-")</f>
        <v>-</v>
      </c>
      <c r="E24002" s="50"/>
      <c r="F24002" s="51" t="str">
        <f>IFERROR(VLOOKUP(A24002,Material!$A:$H,3,0),"-")</f>
        <v>-</v>
      </c>
      <c r="G24002" s="51" t="str">
        <f>IFERROR(ROUNDUP(F24002*E24002,0),"-")</f>
        <v>-</v>
      </c>
    </row>
    <row r="24003" spans="1:7" x14ac:dyDescent="0.25">
      <c r="A24003" s="234" t="s">
        <v>41</v>
      </c>
      <c r="B24003" s="236"/>
      <c r="C24003" s="236"/>
      <c r="D24003" s="236"/>
      <c r="E24003" s="236"/>
      <c r="F24003" s="235"/>
      <c r="G24003" s="52">
        <f>SUM(G24000:G24002)</f>
        <v>3000000</v>
      </c>
    </row>
    <row r="24004" spans="1:7" x14ac:dyDescent="0.25">
      <c r="A24004" s="56"/>
      <c r="B24004" s="57"/>
      <c r="C24004" s="57"/>
      <c r="D24004" s="57"/>
      <c r="E24004" s="57"/>
      <c r="F24004" s="57"/>
      <c r="G24004" s="58"/>
    </row>
    <row r="24005" spans="1:7" x14ac:dyDescent="0.25">
      <c r="A24005" s="219" t="s">
        <v>42</v>
      </c>
      <c r="B24005" s="219"/>
      <c r="C24005" s="219"/>
      <c r="D24005" s="219"/>
      <c r="E24005" s="219"/>
      <c r="F24005" s="219"/>
      <c r="G24005" s="219"/>
    </row>
    <row r="24006" spans="1:7" x14ac:dyDescent="0.25">
      <c r="A24006" s="49" t="s">
        <v>35</v>
      </c>
      <c r="B24006" s="49" t="s">
        <v>36</v>
      </c>
      <c r="C24006" s="49" t="s">
        <v>38</v>
      </c>
      <c r="D24006" s="49" t="s">
        <v>43</v>
      </c>
      <c r="E24006" s="49" t="s">
        <v>44</v>
      </c>
      <c r="F24006" s="49" t="s">
        <v>45</v>
      </c>
      <c r="G24006" s="49" t="s">
        <v>40</v>
      </c>
    </row>
    <row r="24007" spans="1:7" x14ac:dyDescent="0.25">
      <c r="A24007" s="50" t="s">
        <v>319</v>
      </c>
      <c r="B24007" s="68" t="str">
        <f>VLOOKUP(A24007,'Componentes APUs'!$H$1:$L$25,2,0)</f>
        <v>Ingeniero Residente de Obra</v>
      </c>
      <c r="C24007" s="93">
        <v>1</v>
      </c>
      <c r="D24007" s="50">
        <f>VLOOKUP(A24007,'Componentes APUs'!$H$1:$L$25,3,0)</f>
        <v>4</v>
      </c>
      <c r="E24007" s="51">
        <f>VLOOKUP(A24007,'Componentes APUs'!$H$1:$L$25,4,0)</f>
        <v>271142.85714285716</v>
      </c>
      <c r="F24007" s="51">
        <f>VLOOKUP(A24007,'Componentes APUs'!$H$1:$L$25,5,0)</f>
        <v>162685.71428571429</v>
      </c>
      <c r="G24007" s="51">
        <f>ROUNDUP((E24007+F24007)*C24007/E23997,0)</f>
        <v>1301486</v>
      </c>
    </row>
    <row r="24008" spans="1:7" x14ac:dyDescent="0.25">
      <c r="A24008" s="50" t="s">
        <v>320</v>
      </c>
      <c r="B24008" s="68" t="str">
        <f>VLOOKUP(A24008,'Componentes APUs'!$H$1:$L$25,2,0)</f>
        <v>Tecnico Supervisor</v>
      </c>
      <c r="C24008" s="93">
        <v>0.25</v>
      </c>
      <c r="D24008" s="50">
        <f>VLOOKUP(A24008,'Componentes APUs'!$H$1:$L$25,3,0)</f>
        <v>2.2999999999999998</v>
      </c>
      <c r="E24008" s="51">
        <f>VLOOKUP(A24008,'Componentes APUs'!$H$1:$L$25,4,0)</f>
        <v>155907.14285714284</v>
      </c>
      <c r="F24008" s="51">
        <f>VLOOKUP(A24008,'Componentes APUs'!$H$1:$L$25,5,0)</f>
        <v>93544.285714285696</v>
      </c>
      <c r="G24008" s="51">
        <f>ROUNDUP((E24008+F24008)*C24008/E23997,0)</f>
        <v>187089</v>
      </c>
    </row>
    <row r="24009" spans="1:7" x14ac:dyDescent="0.25">
      <c r="A24009" s="50" t="s">
        <v>46</v>
      </c>
      <c r="B24009" s="68" t="str">
        <f>VLOOKUP(A24009,'Componentes APUs'!$H$1:$L$25,2,0)</f>
        <v>Tecnico Liniero</v>
      </c>
      <c r="C24009" s="93">
        <v>0</v>
      </c>
      <c r="D24009" s="50">
        <f>VLOOKUP(A24009,'Componentes APUs'!$H$1:$L$25,3,0)</f>
        <v>2</v>
      </c>
      <c r="E24009" s="51">
        <f>VLOOKUP(A24009,'Componentes APUs'!$H$1:$L$25,4,0)</f>
        <v>154619.04761904763</v>
      </c>
      <c r="F24009" s="51">
        <f>VLOOKUP(A24009,'Componentes APUs'!$H$1:$L$25,5,0)</f>
        <v>92771.42857142858</v>
      </c>
      <c r="G24009" s="51">
        <f>ROUNDUP((E24009+F24009)*C24009/E23997,0)</f>
        <v>0</v>
      </c>
    </row>
    <row r="24010" spans="1:7" x14ac:dyDescent="0.25">
      <c r="A24010" s="50" t="s">
        <v>48</v>
      </c>
      <c r="B24010" s="68" t="str">
        <f>VLOOKUP(A24010,'Componentes APUs'!$H$1:$L$25,2,0)</f>
        <v>Ayudante Calificado</v>
      </c>
      <c r="C24010" s="93">
        <v>1</v>
      </c>
      <c r="D24010" s="50">
        <f>VLOOKUP(A24010,'Componentes APUs'!$H$1:$L$25,3,0)</f>
        <v>1.5</v>
      </c>
      <c r="E24010" s="51">
        <f>VLOOKUP(A24010,'Componentes APUs'!$H$1:$L$25,4,0)</f>
        <v>115964.28571428571</v>
      </c>
      <c r="F24010" s="51">
        <f>VLOOKUP(A24010,'Componentes APUs'!$H$1:$L$25,5,0)</f>
        <v>69578.57142857142</v>
      </c>
      <c r="G24010" s="51">
        <f>ROUNDUP((E24010+F24010)*C24010/E23997,0)</f>
        <v>556629</v>
      </c>
    </row>
    <row r="24011" spans="1:7" x14ac:dyDescent="0.25">
      <c r="A24011" s="50" t="s">
        <v>50</v>
      </c>
      <c r="B24011" s="68" t="str">
        <f>VLOOKUP(A24011,'Componentes APUs'!$H$1:$L$25,2,0)</f>
        <v>Profesional en SST</v>
      </c>
      <c r="C24011" s="93">
        <v>0.25</v>
      </c>
      <c r="D24011" s="50">
        <f>VLOOKUP(A24011,'Componentes APUs'!$H$1:$L$25,3,0)</f>
        <v>2.5</v>
      </c>
      <c r="E24011" s="51">
        <f>VLOOKUP(A24011,'Componentes APUs'!$H$1:$L$25,4,0)</f>
        <v>169464.28571428571</v>
      </c>
      <c r="F24011" s="51">
        <f>VLOOKUP(A24011,'Componentes APUs'!$H$1:$L$25,5,0)</f>
        <v>101678.57142857142</v>
      </c>
      <c r="G24011" s="51">
        <f>ROUNDUP((E24011+F24011)*C24011/E23997,0)</f>
        <v>203358</v>
      </c>
    </row>
    <row r="24012" spans="1:7" x14ac:dyDescent="0.25">
      <c r="A24012" s="50" t="s">
        <v>52</v>
      </c>
      <c r="B24012" s="68" t="str">
        <f>VLOOKUP(A24012,'Componentes APUs'!$H$1:$L$25,2,0)</f>
        <v>Ayudante No Calificado</v>
      </c>
      <c r="C24012" s="93">
        <v>1</v>
      </c>
      <c r="D24012" s="50">
        <f>VLOOKUP(A24012,'Componentes APUs'!$H$1:$L$25,3,0)</f>
        <v>1</v>
      </c>
      <c r="E24012" s="51">
        <f>VLOOKUP(A24012,'Componentes APUs'!$H$1:$L$25,4,0)</f>
        <v>77309.523809523816</v>
      </c>
      <c r="F24012" s="51">
        <f>VLOOKUP(A24012,'Componentes APUs'!$H$1:$L$25,5,0)</f>
        <v>46385.71428571429</v>
      </c>
      <c r="G24012" s="51">
        <f>ROUNDUP((E24012+F24012)*C24012/E23997,0)</f>
        <v>371086</v>
      </c>
    </row>
    <row r="24013" spans="1:7" x14ac:dyDescent="0.25">
      <c r="A24013" s="219" t="s">
        <v>56</v>
      </c>
      <c r="B24013" s="219"/>
      <c r="C24013" s="219"/>
      <c r="D24013" s="219"/>
      <c r="E24013" s="219"/>
      <c r="F24013" s="219"/>
      <c r="G24013" s="52">
        <f>SUM(G24007:G24012)</f>
        <v>2619648</v>
      </c>
    </row>
    <row r="24014" spans="1:7" x14ac:dyDescent="0.25">
      <c r="A24014" s="56"/>
      <c r="B24014" s="57"/>
      <c r="C24014" s="57"/>
      <c r="D24014" s="57"/>
      <c r="E24014" s="57"/>
      <c r="F24014" s="57"/>
      <c r="G24014" s="58"/>
    </row>
    <row r="24015" spans="1:7" x14ac:dyDescent="0.25">
      <c r="A24015" s="219" t="s">
        <v>57</v>
      </c>
      <c r="B24015" s="219"/>
      <c r="C24015" s="219"/>
      <c r="D24015" s="219"/>
      <c r="E24015" s="219"/>
      <c r="F24015" s="219"/>
      <c r="G24015" s="219"/>
    </row>
    <row r="24016" spans="1:7" x14ac:dyDescent="0.25">
      <c r="A24016" s="49" t="s">
        <v>35</v>
      </c>
      <c r="B24016" s="219" t="s">
        <v>36</v>
      </c>
      <c r="C24016" s="219"/>
      <c r="D24016" s="49" t="s">
        <v>37</v>
      </c>
      <c r="E24016" s="49" t="s">
        <v>38</v>
      </c>
      <c r="F24016" s="49" t="s">
        <v>39</v>
      </c>
      <c r="G24016" s="49" t="s">
        <v>40</v>
      </c>
    </row>
    <row r="24017" spans="1:7" x14ac:dyDescent="0.25">
      <c r="A24017" s="50" t="s">
        <v>326</v>
      </c>
      <c r="B24017" s="220" t="str">
        <f>VLOOKUP(A24017,'Componentes APUs'!$S$1:$V$10,2,0)</f>
        <v>Juego Llaves</v>
      </c>
      <c r="C24017" s="220"/>
      <c r="D24017" s="50" t="s">
        <v>18</v>
      </c>
      <c r="E24017" s="50">
        <v>0</v>
      </c>
      <c r="F24017" s="51">
        <f>VLOOKUP(A24017,'Componentes APUs'!$S$1:$V$10,4,0)</f>
        <v>9167</v>
      </c>
      <c r="G24017" s="51">
        <f>ROUNDUP(F24017*((E24017/21)/E23997),0)</f>
        <v>0</v>
      </c>
    </row>
    <row r="24018" spans="1:7" x14ac:dyDescent="0.25">
      <c r="A24018" s="50" t="s">
        <v>58</v>
      </c>
      <c r="B24018" s="220" t="str">
        <f>VLOOKUP(A24018,'Componentes APUs'!$S$1:$V$10,2,0)</f>
        <v>Manila de servicio</v>
      </c>
      <c r="C24018" s="220"/>
      <c r="D24018" s="50" t="s">
        <v>18</v>
      </c>
      <c r="E24018" s="50">
        <v>0</v>
      </c>
      <c r="F24018" s="51">
        <f>VLOOKUP(A24018,'Componentes APUs'!$S$1:$V$10,4,0)</f>
        <v>2333</v>
      </c>
      <c r="G24018" s="51">
        <f>ROUNDUP(F24018*((E24018/21)/E23997),0)</f>
        <v>0</v>
      </c>
    </row>
    <row r="24019" spans="1:7" x14ac:dyDescent="0.25">
      <c r="A24019" s="50" t="s">
        <v>327</v>
      </c>
      <c r="B24019" s="220" t="str">
        <f>VLOOKUP(A24019,'Componentes APUs'!$S$1:$V$10,2,0)</f>
        <v>Tula portaherramientas</v>
      </c>
      <c r="C24019" s="220"/>
      <c r="D24019" s="50" t="s">
        <v>18</v>
      </c>
      <c r="E24019" s="50">
        <v>0</v>
      </c>
      <c r="F24019" s="51">
        <f>VLOOKUP(A24019,'Componentes APUs'!$S$1:$V$10,4,0)</f>
        <v>1250</v>
      </c>
      <c r="G24019" s="51">
        <f>ROUNDUP(F24019*((E24019/21)/E23997),0)</f>
        <v>0</v>
      </c>
    </row>
    <row r="24020" spans="1:7" x14ac:dyDescent="0.25">
      <c r="A24020" s="50" t="s">
        <v>60</v>
      </c>
      <c r="B24020" s="220" t="str">
        <f>VLOOKUP(A24020,'Componentes APUs'!$S$1:$V$10,2,0)</f>
        <v>Agarradoras</v>
      </c>
      <c r="C24020" s="220"/>
      <c r="D24020" s="50" t="s">
        <v>18</v>
      </c>
      <c r="E24020" s="50">
        <v>0</v>
      </c>
      <c r="F24020" s="51">
        <f>VLOOKUP(A24020,'Componentes APUs'!$S$1:$V$10,4,0)</f>
        <v>125000</v>
      </c>
      <c r="G24020" s="51">
        <f>ROUNDUP(F24020*((E24020/21)/E23997),0)</f>
        <v>0</v>
      </c>
    </row>
    <row r="24021" spans="1:7" x14ac:dyDescent="0.25">
      <c r="A24021" s="50" t="s">
        <v>62</v>
      </c>
      <c r="B24021" s="220" t="str">
        <f>VLOOKUP(A24021,'Componentes APUs'!$S$1:$V$10,2,0)</f>
        <v>Templadoras</v>
      </c>
      <c r="C24021" s="220"/>
      <c r="D24021" s="50" t="s">
        <v>18</v>
      </c>
      <c r="E24021" s="50">
        <v>0</v>
      </c>
      <c r="F24021" s="51">
        <f>VLOOKUP(A24021,'Componentes APUs'!$S$1:$V$10,4,0)</f>
        <v>250000</v>
      </c>
      <c r="G24021" s="51">
        <f>ROUNDUP(F24021*((E24021/21)/E23997),0)</f>
        <v>0</v>
      </c>
    </row>
    <row r="24022" spans="1:7" x14ac:dyDescent="0.25">
      <c r="A24022" s="50" t="s">
        <v>328</v>
      </c>
      <c r="B24022" s="220" t="str">
        <f>VLOOKUP(A24022,'Componentes APUs'!$S$1:$V$10,2,0)</f>
        <v>Herramienta Menor</v>
      </c>
      <c r="C24022" s="220"/>
      <c r="D24022" s="50" t="s">
        <v>18</v>
      </c>
      <c r="E24022" s="50">
        <v>0</v>
      </c>
      <c r="F24022" s="51">
        <f>VLOOKUP(A24022,'Componentes APUs'!$S$1:$V$10,4,0)</f>
        <v>75758</v>
      </c>
      <c r="G24022" s="51">
        <f>ROUNDUP(F24022*((E24022/21)/E23997),0)</f>
        <v>0</v>
      </c>
    </row>
    <row r="24023" spans="1:7" x14ac:dyDescent="0.25">
      <c r="A24023" s="219" t="s">
        <v>69</v>
      </c>
      <c r="B24023" s="219"/>
      <c r="C24023" s="219"/>
      <c r="D24023" s="219"/>
      <c r="E24023" s="219"/>
      <c r="F24023" s="219"/>
      <c r="G24023" s="52">
        <f>SUM(G24017:G24022)</f>
        <v>0</v>
      </c>
    </row>
    <row r="24024" spans="1:7" x14ac:dyDescent="0.25">
      <c r="A24024" s="56"/>
      <c r="B24024" s="57"/>
      <c r="C24024" s="57"/>
      <c r="D24024" s="57"/>
      <c r="E24024" s="57"/>
      <c r="F24024" s="57"/>
      <c r="G24024" s="58"/>
    </row>
    <row r="24025" spans="1:7" x14ac:dyDescent="0.25">
      <c r="A24025" s="219" t="s">
        <v>70</v>
      </c>
      <c r="B24025" s="219"/>
      <c r="C24025" s="219"/>
      <c r="D24025" s="219"/>
      <c r="E24025" s="219"/>
      <c r="F24025" s="219"/>
      <c r="G24025" s="219"/>
    </row>
    <row r="24026" spans="1:7" x14ac:dyDescent="0.25">
      <c r="A24026" s="49" t="s">
        <v>35</v>
      </c>
      <c r="B24026" s="219" t="s">
        <v>36</v>
      </c>
      <c r="C24026" s="219"/>
      <c r="D24026" s="49" t="s">
        <v>37</v>
      </c>
      <c r="E24026" s="49" t="s">
        <v>38</v>
      </c>
      <c r="F24026" s="49" t="s">
        <v>39</v>
      </c>
      <c r="G24026" s="49" t="s">
        <v>40</v>
      </c>
    </row>
    <row r="24027" spans="1:7" x14ac:dyDescent="0.25">
      <c r="A24027" s="50" t="s">
        <v>71</v>
      </c>
      <c r="B24027" s="71" t="str">
        <f>VLOOKUP(A24027,'Componentes APUs'!$A$1:$D$14,2,0)</f>
        <v>Camisa indigo sin partes metalicas</v>
      </c>
      <c r="C24027" s="71"/>
      <c r="D24027" s="50" t="str">
        <f>VLOOKUP(A24027,'Componentes APUs'!$A$1:$D$14,3,0)</f>
        <v>U</v>
      </c>
      <c r="E24027" s="50">
        <f>SUM(C24007:C24012)</f>
        <v>3.5</v>
      </c>
      <c r="F24027" s="51">
        <f>VLOOKUP(A24027,'Componentes APUs'!$A$1:$D$14,4,0)</f>
        <v>8585.8585858585866</v>
      </c>
      <c r="G24027" s="51">
        <f>ROUNDUP(F24027*(E24027/21)/E23997,0)</f>
        <v>4293</v>
      </c>
    </row>
    <row r="24028" spans="1:7" x14ac:dyDescent="0.25">
      <c r="A24028" s="69" t="s">
        <v>73</v>
      </c>
      <c r="B24028" s="72" t="str">
        <f>VLOOKUP(A24028,'Componentes APUs'!$A$1:$D$14,2,0)</f>
        <v>Bota de seguridad dielectrica</v>
      </c>
      <c r="C24028" s="73"/>
      <c r="D24028" s="70" t="str">
        <f>VLOOKUP(A24028,'Componentes APUs'!$A$1:$D$14,3,0)</f>
        <v>Par</v>
      </c>
      <c r="E24028" s="50">
        <f>SUM(C24007:C24012)</f>
        <v>3.5</v>
      </c>
      <c r="F24028" s="51">
        <f>VLOOKUP(A24028,'Componentes APUs'!$A$1:$D$14,4,0)</f>
        <v>7500</v>
      </c>
      <c r="G24028" s="51">
        <f>ROUNDUP(F24028*(E24028/21)/E23997,0)</f>
        <v>3750</v>
      </c>
    </row>
    <row r="24029" spans="1:7" x14ac:dyDescent="0.25">
      <c r="A24029" s="50" t="s">
        <v>76</v>
      </c>
      <c r="B24029" s="72" t="str">
        <f>VLOOKUP(A24029,'Componentes APUs'!$A$1:$D$14,2,0)</f>
        <v>Casco dielectrico Tipo 1 Clase E con barbuquejo</v>
      </c>
      <c r="C24029" s="73"/>
      <c r="D24029" s="50" t="str">
        <f>VLOOKUP(A24029,'Componentes APUs'!$A$1:$D$14,3,0)</f>
        <v>U</v>
      </c>
      <c r="E24029" s="50">
        <f>C24012+C24007+C24010+C24011+C24008+IF(A24009&lt;&gt;"MO-3",C24009,0)</f>
        <v>3.5</v>
      </c>
      <c r="F24029" s="51">
        <f>VLOOKUP(A24029,'Componentes APUs'!$A$1:$D$14,4,0)</f>
        <v>10101.010101010101</v>
      </c>
      <c r="G24029" s="51">
        <f>ROUNDUP(F24029*(E24029/21)/E23997,0)</f>
        <v>5051</v>
      </c>
    </row>
    <row r="24030" spans="1:7" x14ac:dyDescent="0.25">
      <c r="A24030" s="69" t="s">
        <v>77</v>
      </c>
      <c r="B24030" s="72" t="str">
        <f>VLOOKUP(A24030,'Componentes APUs'!$A$1:$D$14,2,0)</f>
        <v>Correa plastica y antiflama</v>
      </c>
      <c r="C24030" s="73"/>
      <c r="D24030" s="50" t="str">
        <f>VLOOKUP(A24030,'Componentes APUs'!$A$1:$D$14,3,0)</f>
        <v>U</v>
      </c>
      <c r="E24030" s="50">
        <f>SUM(C24007:C24012)</f>
        <v>3.5</v>
      </c>
      <c r="F24030" s="51">
        <f>VLOOKUP(A24030,'Componentes APUs'!$A$1:$D$14,4,0)</f>
        <v>3787.878787878788</v>
      </c>
      <c r="G24030" s="51">
        <f>ROUNDUP(F24030*(E24030/21)/E23997,0)</f>
        <v>1894</v>
      </c>
    </row>
    <row r="24031" spans="1:7" x14ac:dyDescent="0.25">
      <c r="A24031" s="50" t="s">
        <v>79</v>
      </c>
      <c r="B24031" s="72" t="str">
        <f>VLOOKUP(A24031,'Componentes APUs'!$A$1:$D$14,2,0)</f>
        <v>Gafas protectoras filtro UV</v>
      </c>
      <c r="C24031" s="73"/>
      <c r="D24031" s="50" t="str">
        <f>VLOOKUP(A24031,'Componentes APUs'!$A$1:$D$14,3,0)</f>
        <v>U</v>
      </c>
      <c r="E24031" s="50">
        <f>SUM(C24007:C24012)</f>
        <v>3.5</v>
      </c>
      <c r="F24031" s="51">
        <f>VLOOKUP(A24031,'Componentes APUs'!$A$1:$D$14,4,0)</f>
        <v>2777.7777777777778</v>
      </c>
      <c r="G24031" s="51">
        <f>ROUNDUP(F24031*(E24031/21)/E23997,0)</f>
        <v>1389</v>
      </c>
    </row>
    <row r="24032" spans="1:7" x14ac:dyDescent="0.25">
      <c r="A24032" s="69" t="s">
        <v>402</v>
      </c>
      <c r="B24032" s="72" t="str">
        <f>VLOOKUP(A24032,'Componentes APUs'!$A$1:$D$14,2,0)</f>
        <v>Bota de seguridad PVC dielectrica</v>
      </c>
      <c r="C24032" s="73"/>
      <c r="D24032" s="50" t="str">
        <f>VLOOKUP(A24032,'Componentes APUs'!$A$1:$D$14,3,0)</f>
        <v>Par</v>
      </c>
      <c r="E24032" s="50">
        <f>SUM(C24007:C24012)</f>
        <v>3.5</v>
      </c>
      <c r="F24032" s="51">
        <f>VLOOKUP(A24032,'Componentes APUs'!$A$1:$D$14,4,0)</f>
        <v>2916.6666666666665</v>
      </c>
      <c r="G24032" s="51">
        <f>ROUNDUP(F24032*(E24032/21)/E23997,0)</f>
        <v>1459</v>
      </c>
    </row>
    <row r="24033" spans="1:7" x14ac:dyDescent="0.25">
      <c r="A24033" s="50" t="s">
        <v>403</v>
      </c>
      <c r="B24033" s="72" t="str">
        <f>VLOOKUP(A24033,'Componentes APUs'!$A$1:$D$14,2,0)</f>
        <v>Capuchon</v>
      </c>
      <c r="C24033" s="73"/>
      <c r="D24033" s="50" t="str">
        <f>VLOOKUP(A24033,'Componentes APUs'!$A$1:$D$14,3,0)</f>
        <v>U</v>
      </c>
      <c r="E24033" s="50">
        <f>SUM(C24007:C24012)</f>
        <v>3.5</v>
      </c>
      <c r="F24033" s="51">
        <f>VLOOKUP(A24033,'Componentes APUs'!$A$1:$D$14,4,0)</f>
        <v>2525.2525252525252</v>
      </c>
      <c r="G24033" s="51">
        <f>ROUNDUP(F24033*(E24033/21)/E23997,0)</f>
        <v>1263</v>
      </c>
    </row>
    <row r="24034" spans="1:7" x14ac:dyDescent="0.25">
      <c r="A24034" s="69" t="s">
        <v>81</v>
      </c>
      <c r="B24034" s="72" t="str">
        <f>VLOOKUP(A24034,'Componentes APUs'!$A$1:$D$14,2,0)</f>
        <v>Guantes Protectores  - ingeniero reforzados</v>
      </c>
      <c r="C24034" s="73"/>
      <c r="D24034" s="50" t="str">
        <f>VLOOKUP(A24034,'Componentes APUs'!$A$1:$D$14,3,0)</f>
        <v>Par</v>
      </c>
      <c r="E24034" s="50">
        <f>C24009+C24010+C24012</f>
        <v>2</v>
      </c>
      <c r="F24034" s="51">
        <f>VLOOKUP(A24034,'Componentes APUs'!$A$1:$D$14,4,0)</f>
        <v>2525.2525252525252</v>
      </c>
      <c r="G24034" s="51">
        <f>ROUNDUP(F24034*(E24034/21)/E23997,0)</f>
        <v>722</v>
      </c>
    </row>
    <row r="24035" spans="1:7" x14ac:dyDescent="0.25">
      <c r="A24035" s="50" t="s">
        <v>83</v>
      </c>
      <c r="B24035" s="72" t="str">
        <f>VLOOKUP(A24035,'Componentes APUs'!$A$1:$D$14,2,0)</f>
        <v>Impermeable (pantalon camisa)</v>
      </c>
      <c r="C24035" s="73"/>
      <c r="D24035" s="50" t="str">
        <f>VLOOKUP(A24035,'Componentes APUs'!$A$1:$D$14,3,0)</f>
        <v>U</v>
      </c>
      <c r="E24035" s="50">
        <f>SUM(C24007:C24012)</f>
        <v>3.5</v>
      </c>
      <c r="F24035" s="51">
        <f>VLOOKUP(A24035,'Componentes APUs'!$A$1:$D$14,4,0)</f>
        <v>3750</v>
      </c>
      <c r="G24035" s="51">
        <f>ROUNDUP(F24035*(E24035/21)/E23997,0)</f>
        <v>1875</v>
      </c>
    </row>
    <row r="24036" spans="1:7" x14ac:dyDescent="0.25">
      <c r="A24036" s="69" t="s">
        <v>85</v>
      </c>
      <c r="B24036" s="72" t="str">
        <f>VLOOKUP(A24036,'Componentes APUs'!$A$1:$D$14,2,0)</f>
        <v>Jean Dielectrico</v>
      </c>
      <c r="C24036" s="73"/>
      <c r="D24036" s="50" t="str">
        <f>VLOOKUP(A24036,'Componentes APUs'!$A$1:$D$14,3,0)</f>
        <v>U</v>
      </c>
      <c r="E24036" s="50">
        <f>SUM(C24007:C24012)</f>
        <v>3.5</v>
      </c>
      <c r="F24036" s="51">
        <f>VLOOKUP(A24036,'Componentes APUs'!$A$1:$D$14,4,0)</f>
        <v>7575.757575757576</v>
      </c>
      <c r="G24036" s="51">
        <f>ROUNDUP(F24036*(E24036/21)/E23997,0)</f>
        <v>3788</v>
      </c>
    </row>
    <row r="24037" spans="1:7" x14ac:dyDescent="0.25">
      <c r="A24037" s="50" t="s">
        <v>87</v>
      </c>
      <c r="B24037" s="72" t="str">
        <f>VLOOKUP(A24037,'Componentes APUs'!$A$1:$D$14,2,0)</f>
        <v>Casco dielectrico Tipo 2 Clase E con barboquejo</v>
      </c>
      <c r="C24037" s="73"/>
      <c r="D24037" s="50" t="str">
        <f>VLOOKUP(A24037,'Componentes APUs'!$A$1:$D$14,3,0)</f>
        <v>U</v>
      </c>
      <c r="E24037" s="53">
        <f>IF(A24009="MO-3",C24009,0)</f>
        <v>0</v>
      </c>
      <c r="F24037" s="51">
        <f>VLOOKUP(A24037,'Componentes APUs'!$A$1:$D$14,4,0)</f>
        <v>7500</v>
      </c>
      <c r="G24037" s="51">
        <f>ROUNDUP(F24037*(E24037/21)/E23997,0)</f>
        <v>0</v>
      </c>
    </row>
    <row r="24038" spans="1:7" x14ac:dyDescent="0.25">
      <c r="A24038" s="69" t="s">
        <v>89</v>
      </c>
      <c r="B24038" s="72" t="str">
        <f>VLOOKUP(A24038,'Componentes APUs'!$A$1:$D$14,2,0)</f>
        <v>Kit de rescate para trabajo en alturas</v>
      </c>
      <c r="C24038" s="73"/>
      <c r="D24038" s="50" t="str">
        <f>VLOOKUP(A24038,'Componentes APUs'!$A$1:$D$14,3,0)</f>
        <v>U</v>
      </c>
      <c r="E24038" s="50">
        <f>IF(AND(A24009="MO-3",C24009=2),1,0)</f>
        <v>0</v>
      </c>
      <c r="F24038" s="51">
        <f>VLOOKUP(A24038,'Componentes APUs'!$A$1:$D$14,4,0)</f>
        <v>37500</v>
      </c>
      <c r="G24038" s="51">
        <f>ROUNDUP(F24038*(E24038/21)/E23997,0)</f>
        <v>0</v>
      </c>
    </row>
    <row r="24039" spans="1:7" x14ac:dyDescent="0.25">
      <c r="A24039" s="50" t="s">
        <v>91</v>
      </c>
      <c r="B24039" s="72" t="str">
        <f>VLOOKUP(A24039,'Componentes APUs'!$A$1:$D$14,2,0)</f>
        <v>Equipo completo para trabajo en alturas con pretales (Arnes dielectrico, 1 mosqueton de seguridad, tie off dielectrico, eslinga de posicionamiento, juego de pretales)</v>
      </c>
      <c r="C24039" s="73"/>
      <c r="D24039" s="50" t="str">
        <f>VLOOKUP(A24039,'Componentes APUs'!$A$1:$D$14,3,0)</f>
        <v>U</v>
      </c>
      <c r="E24039" s="50">
        <f>IF(A24009="MO-3",C24009,0)</f>
        <v>0</v>
      </c>
      <c r="F24039" s="51">
        <f>VLOOKUP(A24039,'Componentes APUs'!$A$1:$D$14,4,0)</f>
        <v>26041.666666666668</v>
      </c>
      <c r="G24039" s="51">
        <f>ROUNDUP(F24039*(E24039/21)/E23997,0)</f>
        <v>0</v>
      </c>
    </row>
    <row r="24040" spans="1:7" x14ac:dyDescent="0.25">
      <c r="A24040" s="219" t="s">
        <v>95</v>
      </c>
      <c r="B24040" s="219"/>
      <c r="C24040" s="219"/>
      <c r="D24040" s="219"/>
      <c r="E24040" s="219"/>
      <c r="F24040" s="219"/>
      <c r="G24040" s="52">
        <f>SUM(G24027:G24039)</f>
        <v>25484</v>
      </c>
    </row>
    <row r="24041" spans="1:7" x14ac:dyDescent="0.25">
      <c r="A24041" s="56"/>
      <c r="B24041" s="57"/>
      <c r="C24041" s="57"/>
      <c r="D24041" s="57"/>
      <c r="E24041" s="57"/>
      <c r="F24041" s="57"/>
      <c r="G24041" s="58"/>
    </row>
    <row r="24042" spans="1:7" x14ac:dyDescent="0.25">
      <c r="A24042" s="219" t="s">
        <v>96</v>
      </c>
      <c r="B24042" s="219"/>
      <c r="C24042" s="219"/>
      <c r="D24042" s="219"/>
      <c r="E24042" s="219"/>
      <c r="F24042" s="219"/>
      <c r="G24042" s="219"/>
    </row>
    <row r="24043" spans="1:7" x14ac:dyDescent="0.25">
      <c r="A24043" s="49" t="s">
        <v>35</v>
      </c>
      <c r="B24043" s="225" t="s">
        <v>36</v>
      </c>
      <c r="C24043" s="225"/>
      <c r="D24043" s="49" t="s">
        <v>37</v>
      </c>
      <c r="E24043" s="49" t="s">
        <v>38</v>
      </c>
      <c r="F24043" s="49" t="s">
        <v>39</v>
      </c>
      <c r="G24043" s="49" t="s">
        <v>40</v>
      </c>
    </row>
    <row r="24044" spans="1:7" x14ac:dyDescent="0.25">
      <c r="A24044" s="69" t="s">
        <v>97</v>
      </c>
      <c r="B24044" s="72" t="str">
        <f>VLOOKUP(A24044,'Componentes APUs'!$N$1:$Q$30,2,0)</f>
        <v>Camioneta</v>
      </c>
      <c r="C24044" s="73"/>
      <c r="D24044" s="70" t="str">
        <f>VLOOKUP(A24044,'Componentes APUs'!$N$1:$Q$30,3,0)</f>
        <v>U</v>
      </c>
      <c r="E24044" s="50">
        <v>1</v>
      </c>
      <c r="F24044" s="51">
        <f>VLOOKUP(A24044,'Componentes APUs'!$N$1:$Q$30,4,0)</f>
        <v>5500000</v>
      </c>
      <c r="G24044" s="51">
        <f>IFERROR(ROUNDUP(F24044*(E24044/21)/E23997,0),0)</f>
        <v>785715</v>
      </c>
    </row>
    <row r="24045" spans="1:7" x14ac:dyDescent="0.25">
      <c r="A24045" s="50" t="s">
        <v>321</v>
      </c>
      <c r="B24045" s="72" t="str">
        <f>VLOOKUP(A24045,'Componentes APUs'!$N$1:$Q$30,2,0)</f>
        <v>Grúa Hidráulica</v>
      </c>
      <c r="C24045" s="73"/>
      <c r="D24045" s="70" t="str">
        <f>VLOOKUP(A24045,'Componentes APUs'!$N$1:$Q$30,3,0)</f>
        <v>U</v>
      </c>
      <c r="E24045" s="50">
        <v>0</v>
      </c>
      <c r="F24045" s="51">
        <f>VLOOKUP(A24045,'Componentes APUs'!$N$1:$Q$30,4,0)</f>
        <v>21000000</v>
      </c>
      <c r="G24045" s="51">
        <f>IFERROR(ROUNDUP(F24045*(E24045/21)/E23997,0),0)</f>
        <v>0</v>
      </c>
    </row>
    <row r="24046" spans="1:7" x14ac:dyDescent="0.25">
      <c r="A24046" s="69" t="s">
        <v>322</v>
      </c>
      <c r="B24046" s="72" t="str">
        <f>VLOOKUP(A24046,'Componentes APUs'!$N$1:$Q$30,2,0)</f>
        <v>Camabaja</v>
      </c>
      <c r="C24046" s="73"/>
      <c r="D24046" s="70" t="str">
        <f>VLOOKUP(A24046,'Componentes APUs'!$N$1:$Q$30,3,0)</f>
        <v>TON/KM</v>
      </c>
      <c r="E24046" s="50">
        <v>0</v>
      </c>
      <c r="F24046" s="51">
        <f>VLOOKUP(A24046,'Componentes APUs'!$N$1:$Q$30,4,0)</f>
        <v>611</v>
      </c>
      <c r="G24046" s="51">
        <f>IFERROR(ROUNDUP(F24046*(E24046/21)/E23997,0),0)</f>
        <v>0</v>
      </c>
    </row>
    <row r="24047" spans="1:7" x14ac:dyDescent="0.25">
      <c r="A24047" s="50" t="s">
        <v>323</v>
      </c>
      <c r="B24047" s="72" t="str">
        <f>VLOOKUP(A24047,'Componentes APUs'!$N$1:$Q$30,2,0)</f>
        <v>Volqueta</v>
      </c>
      <c r="C24047" s="73"/>
      <c r="D24047" s="70" t="str">
        <f>VLOOKUP(A24047,'Componentes APUs'!$N$1:$Q$30,3,0)</f>
        <v>U</v>
      </c>
      <c r="E24047" s="50">
        <v>0</v>
      </c>
      <c r="F24047" s="51">
        <f>VLOOKUP(A24047,'Componentes APUs'!$N$1:$Q$30,4,0)</f>
        <v>14828184</v>
      </c>
      <c r="G24047" s="51">
        <f>IFERROR(ROUNDUP(F24047*(E24047/21)/E23997,0),0)</f>
        <v>0</v>
      </c>
    </row>
    <row r="24048" spans="1:7" x14ac:dyDescent="0.25">
      <c r="A24048" s="69" t="s">
        <v>324</v>
      </c>
      <c r="B24048" s="72" t="str">
        <f>VLOOKUP(A24048,'Componentes APUs'!$N$1:$Q$30,2,0)</f>
        <v>Retroexcavadora</v>
      </c>
      <c r="C24048" s="73"/>
      <c r="D24048" s="70" t="str">
        <f>VLOOKUP(A24048,'Componentes APUs'!$N$1:$Q$30,3,0)</f>
        <v>U</v>
      </c>
      <c r="E24048" s="50">
        <v>0</v>
      </c>
      <c r="F24048" s="51">
        <f>VLOOKUP(A24048,'Componentes APUs'!$N$1:$Q$30,4,0)</f>
        <v>46030656</v>
      </c>
      <c r="G24048" s="51">
        <f>IFERROR(ROUNDUP(F24048*(E24048/21)/E23997,0),0)</f>
        <v>0</v>
      </c>
    </row>
    <row r="24049" spans="1:7" x14ac:dyDescent="0.25">
      <c r="A24049" s="219" t="s">
        <v>99</v>
      </c>
      <c r="B24049" s="219"/>
      <c r="C24049" s="219"/>
      <c r="D24049" s="219"/>
      <c r="E24049" s="219"/>
      <c r="F24049" s="219"/>
      <c r="G24049" s="52">
        <f>SUM(G24044:G24048)</f>
        <v>785715</v>
      </c>
    </row>
    <row r="24050" spans="1:7" x14ac:dyDescent="0.25">
      <c r="A24050" s="56"/>
      <c r="B24050" s="57"/>
      <c r="C24050" s="57"/>
      <c r="D24050" s="57"/>
      <c r="E24050" s="57"/>
      <c r="F24050" s="57"/>
      <c r="G24050" s="58"/>
    </row>
    <row r="24051" spans="1:7" x14ac:dyDescent="0.25">
      <c r="A24051" s="219" t="s">
        <v>1516</v>
      </c>
      <c r="B24051" s="219"/>
      <c r="C24051" s="219"/>
      <c r="D24051" s="219"/>
      <c r="E24051" s="219"/>
      <c r="F24051" s="219"/>
      <c r="G24051" s="52">
        <f>G24049+G24040+G24023+G24013+G24003</f>
        <v>6430847</v>
      </c>
    </row>
    <row r="24052" spans="1:7" x14ac:dyDescent="0.25">
      <c r="A24052" s="59"/>
      <c r="B24052" s="60"/>
      <c r="C24052" s="60"/>
      <c r="D24052" s="60"/>
      <c r="E24052" s="57"/>
      <c r="F24052" s="57"/>
      <c r="G24052" s="58"/>
    </row>
    <row r="24053" spans="1:7" x14ac:dyDescent="0.25">
      <c r="A24053" s="64"/>
      <c r="D24053" s="55"/>
      <c r="E24053" s="49" t="s">
        <v>25</v>
      </c>
      <c r="F24053" s="54">
        <v>0.15</v>
      </c>
      <c r="G24053" s="51">
        <f>G24051*F24053</f>
        <v>964627.04999999993</v>
      </c>
    </row>
    <row r="24054" spans="1:7" x14ac:dyDescent="0.25">
      <c r="A24054" s="64"/>
      <c r="D24054" s="55"/>
      <c r="E24054" s="49" t="s">
        <v>26</v>
      </c>
      <c r="F24054" s="54">
        <v>0.05</v>
      </c>
      <c r="G24054" s="51">
        <f>G24051*F24054</f>
        <v>321542.35000000003</v>
      </c>
    </row>
    <row r="24055" spans="1:7" x14ac:dyDescent="0.25">
      <c r="A24055" s="61"/>
      <c r="B24055" s="65"/>
      <c r="C24055" s="65"/>
      <c r="D24055" s="62"/>
      <c r="E24055" s="49" t="s">
        <v>27</v>
      </c>
      <c r="F24055" s="54">
        <v>0.05</v>
      </c>
      <c r="G24055" s="51">
        <f>G24051*F24055</f>
        <v>321542.35000000003</v>
      </c>
    </row>
    <row r="24056" spans="1:7" x14ac:dyDescent="0.25">
      <c r="A24056" s="61"/>
      <c r="B24056" s="62"/>
      <c r="C24056" s="62"/>
      <c r="D24056" s="62"/>
      <c r="E24056" s="62"/>
      <c r="F24056" s="62"/>
      <c r="G24056" s="63"/>
    </row>
    <row r="24057" spans="1:7" x14ac:dyDescent="0.25">
      <c r="A24057" s="219" t="s">
        <v>1517</v>
      </c>
      <c r="B24057" s="219"/>
      <c r="C24057" s="219"/>
      <c r="D24057" s="219"/>
      <c r="E24057" s="219"/>
      <c r="F24057" s="219"/>
      <c r="G24057" s="52">
        <f>G24051+G24053+G24054+G24055</f>
        <v>8038558.7499999991</v>
      </c>
    </row>
    <row r="24058" spans="1:7" x14ac:dyDescent="0.25">
      <c r="A24058" s="59"/>
      <c r="B24058" s="60"/>
      <c r="C24058" s="60"/>
      <c r="D24058" s="60"/>
      <c r="E24058" s="57"/>
      <c r="F24058" s="57"/>
      <c r="G24058" s="58"/>
    </row>
    <row r="24059" spans="1:7" x14ac:dyDescent="0.25">
      <c r="A24059" s="64"/>
      <c r="D24059" s="55"/>
      <c r="E24059" s="49" t="s">
        <v>102</v>
      </c>
      <c r="F24059" s="49" t="s">
        <v>103</v>
      </c>
      <c r="G24059" s="51">
        <f>G24055*19%</f>
        <v>61093.046500000004</v>
      </c>
    </row>
    <row r="24060" spans="1:7" x14ac:dyDescent="0.25">
      <c r="A24060" s="61"/>
      <c r="B24060" s="62"/>
      <c r="C24060" s="62"/>
      <c r="D24060" s="62"/>
      <c r="E24060" s="57"/>
      <c r="F24060" s="57"/>
      <c r="G24060" s="58"/>
    </row>
    <row r="24061" spans="1:7" x14ac:dyDescent="0.25">
      <c r="A24061" s="219" t="s">
        <v>104</v>
      </c>
      <c r="B24061" s="219"/>
      <c r="C24061" s="219"/>
      <c r="D24061" s="219"/>
      <c r="E24061" s="219"/>
      <c r="F24061" s="219"/>
      <c r="G24061" s="52">
        <f>G24059+G24057</f>
        <v>8099651.7964999992</v>
      </c>
    </row>
  </sheetData>
  <autoFilter ref="A1919:G1926" xr:uid="{43876543-4E1A-4634-B236-5CAD661FBCE3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8954">
    <mergeCell ref="B23589:C23589"/>
    <mergeCell ref="B17972:C17972"/>
    <mergeCell ref="B18045:C18045"/>
    <mergeCell ref="B18188:C18188"/>
    <mergeCell ref="B18328:C18328"/>
    <mergeCell ref="B18966:C18966"/>
    <mergeCell ref="B19333:C19333"/>
    <mergeCell ref="B20588:C20588"/>
    <mergeCell ref="B20671:C20671"/>
    <mergeCell ref="B21240:C21240"/>
    <mergeCell ref="B21313:C21313"/>
    <mergeCell ref="B21670:C21670"/>
    <mergeCell ref="B21955:C21955"/>
    <mergeCell ref="B22027:C22027"/>
    <mergeCell ref="B22668:C22668"/>
    <mergeCell ref="B22669:C22669"/>
    <mergeCell ref="B22739:C22739"/>
    <mergeCell ref="B23514:C23514"/>
    <mergeCell ref="A21517:F21517"/>
    <mergeCell ref="A21511:F21511"/>
    <mergeCell ref="A21509:F21509"/>
    <mergeCell ref="B21503:C21503"/>
    <mergeCell ref="A21502:G21502"/>
    <mergeCell ref="A21500:F21500"/>
    <mergeCell ref="B21481:C21481"/>
    <mergeCell ref="A21473:F21473"/>
    <mergeCell ref="A21465:G21465"/>
    <mergeCell ref="A21463:F21463"/>
    <mergeCell ref="B21454:C21454"/>
    <mergeCell ref="A21176:F21176"/>
    <mergeCell ref="A21178:G21178"/>
    <mergeCell ref="A21186:F21186"/>
    <mergeCell ref="B16839:C16839"/>
    <mergeCell ref="B16981:C16981"/>
    <mergeCell ref="B17120:C17120"/>
    <mergeCell ref="B17189:C17189"/>
    <mergeCell ref="B17261:C17261"/>
    <mergeCell ref="B17332:C17332"/>
    <mergeCell ref="B17333:C17333"/>
    <mergeCell ref="B17405:C17405"/>
    <mergeCell ref="B17548:C17548"/>
    <mergeCell ref="B17617:C17617"/>
    <mergeCell ref="B17618:C17618"/>
    <mergeCell ref="B17689:C17689"/>
    <mergeCell ref="B17758:C17758"/>
    <mergeCell ref="B17759:C17759"/>
    <mergeCell ref="B17828:C17828"/>
    <mergeCell ref="B17829:C17829"/>
    <mergeCell ref="B14015:C14015"/>
    <mergeCell ref="B14016:C14016"/>
    <mergeCell ref="B14017:C14017"/>
    <mergeCell ref="B17117:C17117"/>
    <mergeCell ref="A17118:G17118"/>
    <mergeCell ref="B17119:C17119"/>
    <mergeCell ref="A17124:F17124"/>
    <mergeCell ref="A17126:G17126"/>
    <mergeCell ref="A17134:F17134"/>
    <mergeCell ref="A17136:G17136"/>
    <mergeCell ref="B17137:C17137"/>
    <mergeCell ref="B17138:C17138"/>
    <mergeCell ref="B17139:C17139"/>
    <mergeCell ref="B17140:C17140"/>
    <mergeCell ref="B15476:C15476"/>
    <mergeCell ref="A15490:F15490"/>
    <mergeCell ref="B14013:C14013"/>
    <mergeCell ref="B14082:C14082"/>
    <mergeCell ref="B14086:C14086"/>
    <mergeCell ref="B14686:C14686"/>
    <mergeCell ref="B14754:C14754"/>
    <mergeCell ref="B14821:C14821"/>
    <mergeCell ref="B14889:C14889"/>
    <mergeCell ref="B15030:C15030"/>
    <mergeCell ref="B15166:C15166"/>
    <mergeCell ref="B15236:C15236"/>
    <mergeCell ref="B15518:C15518"/>
    <mergeCell ref="B15731:C15731"/>
    <mergeCell ref="B15871:C15871"/>
    <mergeCell ref="B16010:C16010"/>
    <mergeCell ref="B11574:C11574"/>
    <mergeCell ref="B11638:C11638"/>
    <mergeCell ref="B11702:C11702"/>
    <mergeCell ref="B11767:C11767"/>
    <mergeCell ref="B11831:C11831"/>
    <mergeCell ref="B11832:C11832"/>
    <mergeCell ref="B11902:C11902"/>
    <mergeCell ref="B11968:C11968"/>
    <mergeCell ref="B12035:C12035"/>
    <mergeCell ref="B12103:C12103"/>
    <mergeCell ref="B12376:C12376"/>
    <mergeCell ref="B12725:C12725"/>
    <mergeCell ref="B13804:C13804"/>
    <mergeCell ref="B13805:C13805"/>
    <mergeCell ref="B13806:C13806"/>
    <mergeCell ref="B13807:C13807"/>
    <mergeCell ref="B13808:C13808"/>
    <mergeCell ref="B13975:C13975"/>
    <mergeCell ref="B10366:C10366"/>
    <mergeCell ref="B10367:C10367"/>
    <mergeCell ref="B10368:C10368"/>
    <mergeCell ref="B9729:C9729"/>
    <mergeCell ref="B9800:C9800"/>
    <mergeCell ref="B9799:C9799"/>
    <mergeCell ref="B9874:C9874"/>
    <mergeCell ref="B9946:C9946"/>
    <mergeCell ref="B10014:C10014"/>
    <mergeCell ref="B10015:C10015"/>
    <mergeCell ref="B10084:C10084"/>
    <mergeCell ref="B10085:C10085"/>
    <mergeCell ref="B10154:C10154"/>
    <mergeCell ref="B10290:C10290"/>
    <mergeCell ref="B10291:C10291"/>
    <mergeCell ref="B10292:C10292"/>
    <mergeCell ref="B10293:C10293"/>
    <mergeCell ref="B10294:C10294"/>
    <mergeCell ref="B10360:C10360"/>
    <mergeCell ref="B10361:C10361"/>
    <mergeCell ref="B10286:C10286"/>
    <mergeCell ref="B10287:C10287"/>
    <mergeCell ref="A10288:G10288"/>
    <mergeCell ref="B10289:C10289"/>
    <mergeCell ref="A10296:F10296"/>
    <mergeCell ref="A10298:G10298"/>
    <mergeCell ref="A10306:F10306"/>
    <mergeCell ref="A10308:G10308"/>
    <mergeCell ref="B10309:C10309"/>
    <mergeCell ref="B10310:C10310"/>
    <mergeCell ref="B10311:C10311"/>
    <mergeCell ref="B10356:C10356"/>
    <mergeCell ref="B8141:C8141"/>
    <mergeCell ref="B8471:C8471"/>
    <mergeCell ref="B8472:C8472"/>
    <mergeCell ref="B8473:C8473"/>
    <mergeCell ref="B8678:C8678"/>
    <mergeCell ref="B8679:C8679"/>
    <mergeCell ref="B8815:C8815"/>
    <mergeCell ref="B9303:C9303"/>
    <mergeCell ref="B9373:C9373"/>
    <mergeCell ref="B9443:C9443"/>
    <mergeCell ref="B9513:C9513"/>
    <mergeCell ref="B9657:C9657"/>
    <mergeCell ref="B9658:C9658"/>
    <mergeCell ref="B9728:C9728"/>
    <mergeCell ref="B9398:C9398"/>
    <mergeCell ref="A9399:F9399"/>
    <mergeCell ref="A9401:G9401"/>
    <mergeCell ref="B9402:C9402"/>
    <mergeCell ref="A9416:F9416"/>
    <mergeCell ref="A9418:G9418"/>
    <mergeCell ref="B9419:C9419"/>
    <mergeCell ref="A9425:F9425"/>
    <mergeCell ref="A9427:F9427"/>
    <mergeCell ref="A9433:F9433"/>
    <mergeCell ref="A9437:F9437"/>
    <mergeCell ref="A8190:F8190"/>
    <mergeCell ref="A8196:F8196"/>
    <mergeCell ref="A8200:F8200"/>
    <mergeCell ref="B9369:C9369"/>
    <mergeCell ref="B985:C985"/>
    <mergeCell ref="B1053:C1053"/>
    <mergeCell ref="B1121:C1121"/>
    <mergeCell ref="B1609:C1609"/>
    <mergeCell ref="B1610:C1610"/>
    <mergeCell ref="B1678:C1678"/>
    <mergeCell ref="B1679:C1679"/>
    <mergeCell ref="B1747:C1747"/>
    <mergeCell ref="B1748:C1748"/>
    <mergeCell ref="B2491:C2491"/>
    <mergeCell ref="B2493:C2493"/>
    <mergeCell ref="B2494:C2494"/>
    <mergeCell ref="B2495:C2495"/>
    <mergeCell ref="B2565:C2565"/>
    <mergeCell ref="B2566:C2566"/>
    <mergeCell ref="B2567:C2567"/>
    <mergeCell ref="B2633:C2633"/>
    <mergeCell ref="A1517:F1517"/>
    <mergeCell ref="A1519:F1519"/>
    <mergeCell ref="A1525:F1525"/>
    <mergeCell ref="A1529:F1529"/>
    <mergeCell ref="A1902:G1902"/>
    <mergeCell ref="A1900:F1900"/>
    <mergeCell ref="B1893:C1893"/>
    <mergeCell ref="B1894:C1894"/>
    <mergeCell ref="B1895:C1895"/>
    <mergeCell ref="B1896:C1896"/>
    <mergeCell ref="B1897:C1897"/>
    <mergeCell ref="B1898:C1898"/>
    <mergeCell ref="B1899:C1899"/>
    <mergeCell ref="A1892:G1892"/>
    <mergeCell ref="A1890:F1890"/>
    <mergeCell ref="A13989:F13989"/>
    <mergeCell ref="A13991:G13991"/>
    <mergeCell ref="B13992:C13992"/>
    <mergeCell ref="A13995:F13995"/>
    <mergeCell ref="A13997:F13997"/>
    <mergeCell ref="A14003:F14003"/>
    <mergeCell ref="A14007:F14007"/>
    <mergeCell ref="B14957:C14957"/>
    <mergeCell ref="A14624:F14624"/>
    <mergeCell ref="A14626:G14626"/>
    <mergeCell ref="A14635:F14635"/>
    <mergeCell ref="A14637:G14637"/>
    <mergeCell ref="B14638:C14638"/>
    <mergeCell ref="B14639:C14639"/>
    <mergeCell ref="B15438:C15438"/>
    <mergeCell ref="B15439:C15439"/>
    <mergeCell ref="A15455:G15455"/>
    <mergeCell ref="B14176:C14176"/>
    <mergeCell ref="B14177:C14177"/>
    <mergeCell ref="B14014:C14014"/>
    <mergeCell ref="B14665:C14665"/>
    <mergeCell ref="A14667:F14667"/>
    <mergeCell ref="A14669:F14669"/>
    <mergeCell ref="A14675:F14675"/>
    <mergeCell ref="A14679:F14679"/>
    <mergeCell ref="B14178:C14178"/>
    <mergeCell ref="B14179:C14179"/>
    <mergeCell ref="B14180:C14180"/>
    <mergeCell ref="A14173:G14173"/>
    <mergeCell ref="B14174:C14174"/>
    <mergeCell ref="B14175:C14175"/>
    <mergeCell ref="A14020:G14020"/>
    <mergeCell ref="B13252:C13252"/>
    <mergeCell ref="B13966:C13966"/>
    <mergeCell ref="B13967:C13967"/>
    <mergeCell ref="B13968:C13968"/>
    <mergeCell ref="A13633:F13633"/>
    <mergeCell ref="A13635:G13635"/>
    <mergeCell ref="B13636:C13636"/>
    <mergeCell ref="A13642:F13642"/>
    <mergeCell ref="A13644:F13644"/>
    <mergeCell ref="A13650:F13650"/>
    <mergeCell ref="A13654:F13654"/>
    <mergeCell ref="B13800:C13800"/>
    <mergeCell ref="B13801:C13801"/>
    <mergeCell ref="A13802:G13802"/>
    <mergeCell ref="B13803:C13803"/>
    <mergeCell ref="A13809:F13809"/>
    <mergeCell ref="A13811:G13811"/>
    <mergeCell ref="A13819:F13819"/>
    <mergeCell ref="A13821:G13821"/>
    <mergeCell ref="B13873:C13873"/>
    <mergeCell ref="B13874:C13874"/>
    <mergeCell ref="B13875:C13875"/>
    <mergeCell ref="B13876:C13876"/>
    <mergeCell ref="B13877:C13877"/>
    <mergeCell ref="B13878:C13878"/>
    <mergeCell ref="B13879:C13879"/>
    <mergeCell ref="B13880:C13880"/>
    <mergeCell ref="B13881:C13881"/>
    <mergeCell ref="B13943:C13943"/>
    <mergeCell ref="B13944:C13944"/>
    <mergeCell ref="B13945:C13945"/>
    <mergeCell ref="B13946:C13946"/>
    <mergeCell ref="B13939:C13939"/>
    <mergeCell ref="B13940:C13940"/>
    <mergeCell ref="A13941:G13941"/>
    <mergeCell ref="B13942:C13942"/>
    <mergeCell ref="A13952:F13952"/>
    <mergeCell ref="A13954:G13954"/>
    <mergeCell ref="A13962:F13962"/>
    <mergeCell ref="A13964:G13964"/>
    <mergeCell ref="B13965:C13965"/>
    <mergeCell ref="B13948:C13948"/>
    <mergeCell ref="B13949:C13949"/>
    <mergeCell ref="B13950:C13950"/>
    <mergeCell ref="B13951:C13951"/>
    <mergeCell ref="A13500:F13500"/>
    <mergeCell ref="A13502:F13502"/>
    <mergeCell ref="A13508:F13508"/>
    <mergeCell ref="A13618:G13618"/>
    <mergeCell ref="A13678:F13678"/>
    <mergeCell ref="A13680:G13680"/>
    <mergeCell ref="B13947:C13947"/>
    <mergeCell ref="B13969:C13969"/>
    <mergeCell ref="B13970:C13970"/>
    <mergeCell ref="B13971:C13971"/>
    <mergeCell ref="A13972:F13972"/>
    <mergeCell ref="A13974:G13974"/>
    <mergeCell ref="B13823:C13823"/>
    <mergeCell ref="B13824:C13824"/>
    <mergeCell ref="B13825:C13825"/>
    <mergeCell ref="B13826:C13826"/>
    <mergeCell ref="B13827:C13827"/>
    <mergeCell ref="B13828:C13828"/>
    <mergeCell ref="A13829:F13829"/>
    <mergeCell ref="A13831:G13831"/>
    <mergeCell ref="B13832:C13832"/>
    <mergeCell ref="A13846:F13846"/>
    <mergeCell ref="A13848:G13848"/>
    <mergeCell ref="B13849:C13849"/>
    <mergeCell ref="A13855:F13855"/>
    <mergeCell ref="A13857:F13857"/>
    <mergeCell ref="A13863:F13863"/>
    <mergeCell ref="A13867:F13867"/>
    <mergeCell ref="B13872:C13872"/>
    <mergeCell ref="A13882:F13882"/>
    <mergeCell ref="A13884:G13884"/>
    <mergeCell ref="A13892:F13892"/>
    <mergeCell ref="A13894:G13894"/>
    <mergeCell ref="B13895:C13895"/>
    <mergeCell ref="B13869:C13869"/>
    <mergeCell ref="B13870:C13870"/>
    <mergeCell ref="A13871:G13871"/>
    <mergeCell ref="A13925:F13925"/>
    <mergeCell ref="A13927:F13927"/>
    <mergeCell ref="B10496:C10496"/>
    <mergeCell ref="B10497:C10497"/>
    <mergeCell ref="A10498:G10498"/>
    <mergeCell ref="B10499:C10499"/>
    <mergeCell ref="A10505:F10505"/>
    <mergeCell ref="A10507:G10507"/>
    <mergeCell ref="A10515:F10515"/>
    <mergeCell ref="A10517:G10517"/>
    <mergeCell ref="B10518:C10518"/>
    <mergeCell ref="B10519:C10519"/>
    <mergeCell ref="B10520:C10520"/>
    <mergeCell ref="B10521:C10521"/>
    <mergeCell ref="B10522:C10522"/>
    <mergeCell ref="B10523:C10523"/>
    <mergeCell ref="B10524:C10524"/>
    <mergeCell ref="A10525:F10525"/>
    <mergeCell ref="B13619:C13619"/>
    <mergeCell ref="B13468:C13468"/>
    <mergeCell ref="B13469:C13469"/>
    <mergeCell ref="B13470:C13470"/>
    <mergeCell ref="B13471:C13471"/>
    <mergeCell ref="B13472:C13472"/>
    <mergeCell ref="B13473:C13473"/>
    <mergeCell ref="A13474:F13474"/>
    <mergeCell ref="A13476:G13476"/>
    <mergeCell ref="B13477:C13477"/>
    <mergeCell ref="A13491:F13491"/>
    <mergeCell ref="A13493:G13493"/>
    <mergeCell ref="B13494:C13494"/>
    <mergeCell ref="A13466:G13466"/>
    <mergeCell ref="B13467:C13467"/>
    <mergeCell ref="A13259:F13259"/>
    <mergeCell ref="B13822:C13822"/>
    <mergeCell ref="B13586:C13586"/>
    <mergeCell ref="A13587:G13587"/>
    <mergeCell ref="B13588:C13588"/>
    <mergeCell ref="B13589:C13589"/>
    <mergeCell ref="A13596:F13596"/>
    <mergeCell ref="A13598:G13598"/>
    <mergeCell ref="A13606:F13606"/>
    <mergeCell ref="A13608:G13608"/>
    <mergeCell ref="B13609:C13609"/>
    <mergeCell ref="B13610:C13610"/>
    <mergeCell ref="B13611:C13611"/>
    <mergeCell ref="B13612:C13612"/>
    <mergeCell ref="B13613:C13613"/>
    <mergeCell ref="B13614:C13614"/>
    <mergeCell ref="B13615:C13615"/>
    <mergeCell ref="A13616:F13616"/>
    <mergeCell ref="A13512:F13512"/>
    <mergeCell ref="B13585:C13585"/>
    <mergeCell ref="B12972:C12972"/>
    <mergeCell ref="A12986:F12986"/>
    <mergeCell ref="A12988:G12988"/>
    <mergeCell ref="B12989:C12989"/>
    <mergeCell ref="A12995:F12995"/>
    <mergeCell ref="A12997:F12997"/>
    <mergeCell ref="A13003:F13003"/>
    <mergeCell ref="A13007:F13007"/>
    <mergeCell ref="B13441:C13441"/>
    <mergeCell ref="B13442:C13442"/>
    <mergeCell ref="A13443:G13443"/>
    <mergeCell ref="B13444:C13444"/>
    <mergeCell ref="A13454:F13454"/>
    <mergeCell ref="A13456:G13456"/>
    <mergeCell ref="A13464:F13464"/>
    <mergeCell ref="B13253:C13253"/>
    <mergeCell ref="B13254:C13254"/>
    <mergeCell ref="B13228:C13228"/>
    <mergeCell ref="B13229:C13229"/>
    <mergeCell ref="A13230:G13230"/>
    <mergeCell ref="B13231:C13231"/>
    <mergeCell ref="B13232:C13232"/>
    <mergeCell ref="A13322:G13322"/>
    <mergeCell ref="B13350:C13350"/>
    <mergeCell ref="A13356:F13356"/>
    <mergeCell ref="B13258:C13258"/>
    <mergeCell ref="A13261:G13261"/>
    <mergeCell ref="A13241:G13241"/>
    <mergeCell ref="A13249:F13249"/>
    <mergeCell ref="A13251:G13251"/>
    <mergeCell ref="B11789:C11789"/>
    <mergeCell ref="A11790:F11790"/>
    <mergeCell ref="A12939:G12939"/>
    <mergeCell ref="B12940:C12940"/>
    <mergeCell ref="A12949:F12949"/>
    <mergeCell ref="A12951:G12951"/>
    <mergeCell ref="A12959:F12959"/>
    <mergeCell ref="A12961:G12961"/>
    <mergeCell ref="B12962:C12962"/>
    <mergeCell ref="B12963:C12963"/>
    <mergeCell ref="B12964:C12964"/>
    <mergeCell ref="B12965:C12965"/>
    <mergeCell ref="B12966:C12966"/>
    <mergeCell ref="B12967:C12967"/>
    <mergeCell ref="B12968:C12968"/>
    <mergeCell ref="A12969:F12969"/>
    <mergeCell ref="A12971:G12971"/>
    <mergeCell ref="A12577:F12577"/>
    <mergeCell ref="A12573:F12573"/>
    <mergeCell ref="A12567:F12567"/>
    <mergeCell ref="A12565:F12565"/>
    <mergeCell ref="B12559:C12559"/>
    <mergeCell ref="B10566:C10566"/>
    <mergeCell ref="A10567:G10567"/>
    <mergeCell ref="B10568:C10568"/>
    <mergeCell ref="B11763:C11763"/>
    <mergeCell ref="B11764:C11764"/>
    <mergeCell ref="A11765:G11765"/>
    <mergeCell ref="B11766:C11766"/>
    <mergeCell ref="A11768:F11768"/>
    <mergeCell ref="A11770:G11770"/>
    <mergeCell ref="A11779:F11779"/>
    <mergeCell ref="A11781:G11781"/>
    <mergeCell ref="B11782:C11782"/>
    <mergeCell ref="B11783:C11783"/>
    <mergeCell ref="B11784:C11784"/>
    <mergeCell ref="B11785:C11785"/>
    <mergeCell ref="B11786:C11786"/>
    <mergeCell ref="B11787:C11787"/>
    <mergeCell ref="K8145:L8145"/>
    <mergeCell ref="A8152:F8152"/>
    <mergeCell ref="A8154:G8154"/>
    <mergeCell ref="B8155:C8155"/>
    <mergeCell ref="B8156:C8156"/>
    <mergeCell ref="B8157:C8157"/>
    <mergeCell ref="B8158:C8158"/>
    <mergeCell ref="B8159:C8159"/>
    <mergeCell ref="B8160:C8160"/>
    <mergeCell ref="B8161:C8161"/>
    <mergeCell ref="A8162:F8162"/>
    <mergeCell ref="A8164:G8164"/>
    <mergeCell ref="B8165:C8165"/>
    <mergeCell ref="A8179:F8179"/>
    <mergeCell ref="A8181:G8181"/>
    <mergeCell ref="B8182:C8182"/>
    <mergeCell ref="A8188:F8188"/>
    <mergeCell ref="B7890:C7890"/>
    <mergeCell ref="A7904:F7904"/>
    <mergeCell ref="A7906:G7906"/>
    <mergeCell ref="B7907:C7907"/>
    <mergeCell ref="A7913:F7913"/>
    <mergeCell ref="A7915:F7915"/>
    <mergeCell ref="A7921:F7921"/>
    <mergeCell ref="A7925:F7925"/>
    <mergeCell ref="B8132:C8132"/>
    <mergeCell ref="B8133:C8133"/>
    <mergeCell ref="A8134:G8134"/>
    <mergeCell ref="B8135:C8135"/>
    <mergeCell ref="K8138:L8138"/>
    <mergeCell ref="A8142:F8142"/>
    <mergeCell ref="I8143:I8144"/>
    <mergeCell ref="J8143:J8144"/>
    <mergeCell ref="K8143:K8144"/>
    <mergeCell ref="L8143:L8144"/>
    <mergeCell ref="A8144:G8144"/>
    <mergeCell ref="I8073:I8074"/>
    <mergeCell ref="B7953:C7953"/>
    <mergeCell ref="A7954:F7954"/>
    <mergeCell ref="A7956:G7956"/>
    <mergeCell ref="B7957:C7957"/>
    <mergeCell ref="A7971:F7971"/>
    <mergeCell ref="B7928:C7928"/>
    <mergeCell ref="A7929:G7929"/>
    <mergeCell ref="B7930:C7930"/>
    <mergeCell ref="A7934:F7934"/>
    <mergeCell ref="J8073:J8074"/>
    <mergeCell ref="K8073:K8074"/>
    <mergeCell ref="L8073:L8074"/>
    <mergeCell ref="I7868:I7869"/>
    <mergeCell ref="J7868:J7869"/>
    <mergeCell ref="K7868:K7869"/>
    <mergeCell ref="L7868:L7869"/>
    <mergeCell ref="A7869:G7869"/>
    <mergeCell ref="K7870:L7870"/>
    <mergeCell ref="A7877:F7877"/>
    <mergeCell ref="A7879:G7879"/>
    <mergeCell ref="B7880:C7880"/>
    <mergeCell ref="B7881:C7881"/>
    <mergeCell ref="B7882:C7882"/>
    <mergeCell ref="B7883:C7883"/>
    <mergeCell ref="B7884:C7884"/>
    <mergeCell ref="B7885:C7885"/>
    <mergeCell ref="B7886:C7886"/>
    <mergeCell ref="A7887:F7887"/>
    <mergeCell ref="A7889:G7889"/>
    <mergeCell ref="B7819:C7819"/>
    <mergeCell ref="A7820:F7820"/>
    <mergeCell ref="A7822:G7822"/>
    <mergeCell ref="B7823:C7823"/>
    <mergeCell ref="A7837:F7837"/>
    <mergeCell ref="A7839:G7839"/>
    <mergeCell ref="B7840:C7840"/>
    <mergeCell ref="A7846:F7846"/>
    <mergeCell ref="A7848:F7848"/>
    <mergeCell ref="A7854:F7854"/>
    <mergeCell ref="A7858:F7858"/>
    <mergeCell ref="B7860:C7860"/>
    <mergeCell ref="B7861:C7861"/>
    <mergeCell ref="A7862:G7862"/>
    <mergeCell ref="B7863:C7863"/>
    <mergeCell ref="K7866:L7866"/>
    <mergeCell ref="A7867:F7867"/>
    <mergeCell ref="B7813:C7813"/>
    <mergeCell ref="B7814:C7814"/>
    <mergeCell ref="B7815:C7815"/>
    <mergeCell ref="B7816:C7816"/>
    <mergeCell ref="B7817:C7817"/>
    <mergeCell ref="B2699:C2699"/>
    <mergeCell ref="B3895:C3895"/>
    <mergeCell ref="B4660:C4660"/>
    <mergeCell ref="B4728:C4728"/>
    <mergeCell ref="B5955:C5955"/>
    <mergeCell ref="B6023:C6023"/>
    <mergeCell ref="B6090:C6090"/>
    <mergeCell ref="B6226:C6226"/>
    <mergeCell ref="B6294:C6294"/>
    <mergeCell ref="B6362:C6362"/>
    <mergeCell ref="B6430:C6430"/>
    <mergeCell ref="B6498:C6498"/>
    <mergeCell ref="B6499:C6499"/>
    <mergeCell ref="B6634:C6634"/>
    <mergeCell ref="A3439:G3439"/>
    <mergeCell ref="B3440:C3440"/>
    <mergeCell ref="A3446:F3446"/>
    <mergeCell ref="A3448:F3448"/>
    <mergeCell ref="A3458:F3458"/>
    <mergeCell ref="B6836:C6836"/>
    <mergeCell ref="B6837:C6837"/>
    <mergeCell ref="B6838:C6838"/>
    <mergeCell ref="A1882:G1882"/>
    <mergeCell ref="A1880:F1880"/>
    <mergeCell ref="B1878:C1878"/>
    <mergeCell ref="A1877:G1877"/>
    <mergeCell ref="B1875:C1875"/>
    <mergeCell ref="B1876:C1876"/>
    <mergeCell ref="A3410:F3410"/>
    <mergeCell ref="A3412:G3412"/>
    <mergeCell ref="B3413:C3413"/>
    <mergeCell ref="B3414:C3414"/>
    <mergeCell ref="B3415:C3415"/>
    <mergeCell ref="B3416:C3416"/>
    <mergeCell ref="B3417:C3417"/>
    <mergeCell ref="B3418:C3418"/>
    <mergeCell ref="A3420:F3420"/>
    <mergeCell ref="A3422:G3422"/>
    <mergeCell ref="A3437:F3437"/>
    <mergeCell ref="A1949:F1949"/>
    <mergeCell ref="A1951:G1951"/>
    <mergeCell ref="A1959:F1959"/>
    <mergeCell ref="A1961:G1961"/>
    <mergeCell ref="B1962:C1962"/>
    <mergeCell ref="B1963:C1963"/>
    <mergeCell ref="B1964:C1964"/>
    <mergeCell ref="B1965:C1965"/>
    <mergeCell ref="B1966:C1966"/>
    <mergeCell ref="B1967:C1967"/>
    <mergeCell ref="B1968:C1968"/>
    <mergeCell ref="A1969:F1969"/>
    <mergeCell ref="A1971:G1971"/>
    <mergeCell ref="B1972:C1972"/>
    <mergeCell ref="A1986:F1986"/>
    <mergeCell ref="A6635:F6635"/>
    <mergeCell ref="A6637:G6637"/>
    <mergeCell ref="A6645:F6645"/>
    <mergeCell ref="A6647:G6647"/>
    <mergeCell ref="B6648:C6648"/>
    <mergeCell ref="B6649:C6649"/>
    <mergeCell ref="B6650:C6650"/>
    <mergeCell ref="B6651:C6651"/>
    <mergeCell ref="B6652:C6652"/>
    <mergeCell ref="B6653:C6653"/>
    <mergeCell ref="A6617:F6617"/>
    <mergeCell ref="A6623:F6623"/>
    <mergeCell ref="A6627:F6627"/>
    <mergeCell ref="B6584:C6584"/>
    <mergeCell ref="B6521:C6521"/>
    <mergeCell ref="B6494:C6494"/>
    <mergeCell ref="A8720:G8720"/>
    <mergeCell ref="B8674:C8674"/>
    <mergeCell ref="B8675:C8675"/>
    <mergeCell ref="A8676:G8676"/>
    <mergeCell ref="B8677:C8677"/>
    <mergeCell ref="A8681:F8681"/>
    <mergeCell ref="A8683:G8683"/>
    <mergeCell ref="A8691:F8691"/>
    <mergeCell ref="A8693:G8693"/>
    <mergeCell ref="B8694:C8694"/>
    <mergeCell ref="B8695:C8695"/>
    <mergeCell ref="B8696:C8696"/>
    <mergeCell ref="B8697:C8697"/>
    <mergeCell ref="B8698:C8698"/>
    <mergeCell ref="B8699:C8699"/>
    <mergeCell ref="B8700:C8700"/>
    <mergeCell ref="A6740:F6740"/>
    <mergeCell ref="A6742:G6742"/>
    <mergeCell ref="B6743:C6743"/>
    <mergeCell ref="A6749:F6749"/>
    <mergeCell ref="A6751:F6751"/>
    <mergeCell ref="A6757:F6757"/>
    <mergeCell ref="A6761:F6761"/>
    <mergeCell ref="B6453:C6453"/>
    <mergeCell ref="A6454:F6454"/>
    <mergeCell ref="A6456:G6456"/>
    <mergeCell ref="B6457:C6457"/>
    <mergeCell ref="A6471:F6471"/>
    <mergeCell ref="A6473:G6473"/>
    <mergeCell ref="B6474:C6474"/>
    <mergeCell ref="A6480:F6480"/>
    <mergeCell ref="B6654:C6654"/>
    <mergeCell ref="A6655:F6655"/>
    <mergeCell ref="A6657:G6657"/>
    <mergeCell ref="B6658:C6658"/>
    <mergeCell ref="A6672:F6672"/>
    <mergeCell ref="A6674:G6674"/>
    <mergeCell ref="B6675:C6675"/>
    <mergeCell ref="A6681:F6681"/>
    <mergeCell ref="B6583:C6583"/>
    <mergeCell ref="A6703:F6703"/>
    <mergeCell ref="A6705:G6705"/>
    <mergeCell ref="A6713:F6713"/>
    <mergeCell ref="A6715:G6715"/>
    <mergeCell ref="B6522:C6522"/>
    <mergeCell ref="A6569:F6569"/>
    <mergeCell ref="B6585:C6585"/>
    <mergeCell ref="B6520:C6520"/>
    <mergeCell ref="A6723:F6723"/>
    <mergeCell ref="A6725:G6725"/>
    <mergeCell ref="B6726:C6726"/>
    <mergeCell ref="A6414:F6414"/>
    <mergeCell ref="A6420:F6420"/>
    <mergeCell ref="A6424:F6424"/>
    <mergeCell ref="B6426:C6426"/>
    <mergeCell ref="B6427:C6427"/>
    <mergeCell ref="A6428:G6428"/>
    <mergeCell ref="B6429:C6429"/>
    <mergeCell ref="A6434:F6434"/>
    <mergeCell ref="A6436:G6436"/>
    <mergeCell ref="A6444:F6444"/>
    <mergeCell ref="A6446:G6446"/>
    <mergeCell ref="B6447:C6447"/>
    <mergeCell ref="B6448:C6448"/>
    <mergeCell ref="B6449:C6449"/>
    <mergeCell ref="B6450:C6450"/>
    <mergeCell ref="B6451:C6451"/>
    <mergeCell ref="B6452:C6452"/>
    <mergeCell ref="B6722:C6722"/>
    <mergeCell ref="B6716:C6716"/>
    <mergeCell ref="A6683:F6683"/>
    <mergeCell ref="A6689:F6689"/>
    <mergeCell ref="A6693:F6693"/>
    <mergeCell ref="A6482:F6482"/>
    <mergeCell ref="A6488:F6488"/>
    <mergeCell ref="A6492:F6492"/>
    <mergeCell ref="B6629:C6629"/>
    <mergeCell ref="B6630:C6630"/>
    <mergeCell ref="A6631:G6631"/>
    <mergeCell ref="B6632:C6632"/>
    <mergeCell ref="A6368:G6368"/>
    <mergeCell ref="A6376:F6376"/>
    <mergeCell ref="A6378:G6378"/>
    <mergeCell ref="B6379:C6379"/>
    <mergeCell ref="B6380:C6380"/>
    <mergeCell ref="B6381:C6381"/>
    <mergeCell ref="B6382:C6382"/>
    <mergeCell ref="B6383:C6383"/>
    <mergeCell ref="B6384:C6384"/>
    <mergeCell ref="B6385:C6385"/>
    <mergeCell ref="A6386:F6386"/>
    <mergeCell ref="A6388:G6388"/>
    <mergeCell ref="B6389:C6389"/>
    <mergeCell ref="A6403:F6403"/>
    <mergeCell ref="A6405:G6405"/>
    <mergeCell ref="B6406:C6406"/>
    <mergeCell ref="A6412:F6412"/>
    <mergeCell ref="B6316:C6316"/>
    <mergeCell ref="B6317:C6317"/>
    <mergeCell ref="A6318:F6318"/>
    <mergeCell ref="A6320:G6320"/>
    <mergeCell ref="B6321:C6321"/>
    <mergeCell ref="A6335:F6335"/>
    <mergeCell ref="A6337:G6337"/>
    <mergeCell ref="B6338:C6338"/>
    <mergeCell ref="A6344:F6344"/>
    <mergeCell ref="A6346:F6346"/>
    <mergeCell ref="A6352:F6352"/>
    <mergeCell ref="A6356:F6356"/>
    <mergeCell ref="B6358:C6358"/>
    <mergeCell ref="B6359:C6359"/>
    <mergeCell ref="A6360:G6360"/>
    <mergeCell ref="B6361:C6361"/>
    <mergeCell ref="A6366:F6366"/>
    <mergeCell ref="B6223:C6223"/>
    <mergeCell ref="A6224:G6224"/>
    <mergeCell ref="B6225:C6225"/>
    <mergeCell ref="A6230:F6230"/>
    <mergeCell ref="A6232:G6232"/>
    <mergeCell ref="A6240:F6240"/>
    <mergeCell ref="A6242:G6242"/>
    <mergeCell ref="B6243:C6243"/>
    <mergeCell ref="B6244:C6244"/>
    <mergeCell ref="B6245:C6245"/>
    <mergeCell ref="B6246:C6246"/>
    <mergeCell ref="B6247:C6247"/>
    <mergeCell ref="B6248:C6248"/>
    <mergeCell ref="B6249:C6249"/>
    <mergeCell ref="A6250:F6250"/>
    <mergeCell ref="A6252:G6252"/>
    <mergeCell ref="B6315:C6315"/>
    <mergeCell ref="A6300:G6300"/>
    <mergeCell ref="A6308:F6308"/>
    <mergeCell ref="A6310:G6310"/>
    <mergeCell ref="B6311:C6311"/>
    <mergeCell ref="B6312:C6312"/>
    <mergeCell ref="B6313:C6313"/>
    <mergeCell ref="B6314:C6314"/>
    <mergeCell ref="B6253:C6253"/>
    <mergeCell ref="A6267:F6267"/>
    <mergeCell ref="A6269:G6269"/>
    <mergeCell ref="A5942:F5942"/>
    <mergeCell ref="A5946:F5946"/>
    <mergeCell ref="B4791:C4791"/>
    <mergeCell ref="B4792:C4792"/>
    <mergeCell ref="A4793:G4793"/>
    <mergeCell ref="B4794:C4794"/>
    <mergeCell ref="A4800:F4800"/>
    <mergeCell ref="A4802:G4802"/>
    <mergeCell ref="A4810:F4810"/>
    <mergeCell ref="A4812:G4812"/>
    <mergeCell ref="B4813:C4813"/>
    <mergeCell ref="B4814:C4814"/>
    <mergeCell ref="B4815:C4815"/>
    <mergeCell ref="B4816:C4816"/>
    <mergeCell ref="B4817:C4817"/>
    <mergeCell ref="B4818:C4818"/>
    <mergeCell ref="B4819:C4819"/>
    <mergeCell ref="A4820:F4820"/>
    <mergeCell ref="A4822:G4822"/>
    <mergeCell ref="B4823:C4823"/>
    <mergeCell ref="A4837:F4837"/>
    <mergeCell ref="B5430:C5430"/>
    <mergeCell ref="B5431:C5431"/>
    <mergeCell ref="A5432:F5432"/>
    <mergeCell ref="A5434:G5434"/>
    <mergeCell ref="B5435:C5435"/>
    <mergeCell ref="A5449:F5449"/>
    <mergeCell ref="A5451:G5451"/>
    <mergeCell ref="B5568:C5568"/>
    <mergeCell ref="B5569:C5569"/>
    <mergeCell ref="A5570:F5570"/>
    <mergeCell ref="A5572:G5572"/>
    <mergeCell ref="B6222:C6222"/>
    <mergeCell ref="A6276:F6276"/>
    <mergeCell ref="A6278:F6278"/>
    <mergeCell ref="A6284:F6284"/>
    <mergeCell ref="A6288:F6288"/>
    <mergeCell ref="B6290:C6290"/>
    <mergeCell ref="B6291:C6291"/>
    <mergeCell ref="A6292:G6292"/>
    <mergeCell ref="B4840:C4840"/>
    <mergeCell ref="A4846:F4846"/>
    <mergeCell ref="A4848:F4848"/>
    <mergeCell ref="A4854:F4854"/>
    <mergeCell ref="A4858:F4858"/>
    <mergeCell ref="B6563:C6563"/>
    <mergeCell ref="B6564:C6564"/>
    <mergeCell ref="A6565:G6565"/>
    <mergeCell ref="B6566:C6566"/>
    <mergeCell ref="A6298:F6298"/>
    <mergeCell ref="A5898:F5898"/>
    <mergeCell ref="A5900:G5900"/>
    <mergeCell ref="B5901:C5901"/>
    <mergeCell ref="B5902:C5902"/>
    <mergeCell ref="B5903:C5903"/>
    <mergeCell ref="B5904:C5904"/>
    <mergeCell ref="A5414:G5414"/>
    <mergeCell ref="A5422:F5422"/>
    <mergeCell ref="A5424:G5424"/>
    <mergeCell ref="B5425:C5425"/>
    <mergeCell ref="B5426:C5426"/>
    <mergeCell ref="B5427:C5427"/>
    <mergeCell ref="B5428:C5428"/>
    <mergeCell ref="B5429:C5429"/>
    <mergeCell ref="A5596:F5596"/>
    <mergeCell ref="A5598:F5598"/>
    <mergeCell ref="A5604:F5604"/>
    <mergeCell ref="A5608:F5608"/>
    <mergeCell ref="B5811:C5811"/>
    <mergeCell ref="B5812:C5812"/>
    <mergeCell ref="A5813:G5813"/>
    <mergeCell ref="B5911:C5911"/>
    <mergeCell ref="A5925:F5925"/>
    <mergeCell ref="A5927:G5927"/>
    <mergeCell ref="B5928:C5928"/>
    <mergeCell ref="A5934:F5934"/>
    <mergeCell ref="A5936:F5936"/>
    <mergeCell ref="A5460:F5460"/>
    <mergeCell ref="A5466:F5466"/>
    <mergeCell ref="A5470:F5470"/>
    <mergeCell ref="B5744:C5744"/>
    <mergeCell ref="B5745:C5745"/>
    <mergeCell ref="A5746:G5746"/>
    <mergeCell ref="B5747:C5747"/>
    <mergeCell ref="A5751:F5751"/>
    <mergeCell ref="A5753:G5753"/>
    <mergeCell ref="A5761:F5761"/>
    <mergeCell ref="A5763:G5763"/>
    <mergeCell ref="B5764:C5764"/>
    <mergeCell ref="B5765:C5765"/>
    <mergeCell ref="B5766:C5766"/>
    <mergeCell ref="B5767:C5767"/>
    <mergeCell ref="B5768:C5768"/>
    <mergeCell ref="B5769:C5769"/>
    <mergeCell ref="B5573:C5573"/>
    <mergeCell ref="A5587:F5587"/>
    <mergeCell ref="A5589:G5589"/>
    <mergeCell ref="B5590:C5590"/>
    <mergeCell ref="B5563:C5563"/>
    <mergeCell ref="B5564:C5564"/>
    <mergeCell ref="B5565:C5565"/>
    <mergeCell ref="B5566:C5566"/>
    <mergeCell ref="B5567:C5567"/>
    <mergeCell ref="B5360:C5360"/>
    <mergeCell ref="B5361:C5361"/>
    <mergeCell ref="B5452:C5452"/>
    <mergeCell ref="A5458:F5458"/>
    <mergeCell ref="B5362:C5362"/>
    <mergeCell ref="B5363:C5363"/>
    <mergeCell ref="A5364:F5364"/>
    <mergeCell ref="A5366:G5366"/>
    <mergeCell ref="B5367:C5367"/>
    <mergeCell ref="A5381:F5381"/>
    <mergeCell ref="A5383:G5383"/>
    <mergeCell ref="B5384:C5384"/>
    <mergeCell ref="A5390:F5390"/>
    <mergeCell ref="A5392:F5392"/>
    <mergeCell ref="A5398:F5398"/>
    <mergeCell ref="A5402:F5402"/>
    <mergeCell ref="B5404:C5404"/>
    <mergeCell ref="B5405:C5405"/>
    <mergeCell ref="A5406:G5406"/>
    <mergeCell ref="B5407:C5407"/>
    <mergeCell ref="A5412:F5412"/>
    <mergeCell ref="A5536:F5536"/>
    <mergeCell ref="A5540:F5540"/>
    <mergeCell ref="B5496:C5496"/>
    <mergeCell ref="B5497:C5497"/>
    <mergeCell ref="A5315:G5315"/>
    <mergeCell ref="B5316:C5316"/>
    <mergeCell ref="A5322:F5322"/>
    <mergeCell ref="A5324:F5324"/>
    <mergeCell ref="A5330:F5330"/>
    <mergeCell ref="A5334:F5334"/>
    <mergeCell ref="B5336:C5336"/>
    <mergeCell ref="B5337:C5337"/>
    <mergeCell ref="A5338:G5338"/>
    <mergeCell ref="B5339:C5339"/>
    <mergeCell ref="A5344:F5344"/>
    <mergeCell ref="A5346:G5346"/>
    <mergeCell ref="A5354:F5354"/>
    <mergeCell ref="A5356:G5356"/>
    <mergeCell ref="B5357:C5357"/>
    <mergeCell ref="B5358:C5358"/>
    <mergeCell ref="B5359:C5359"/>
    <mergeCell ref="A5270:G5270"/>
    <mergeCell ref="B5271:C5271"/>
    <mergeCell ref="A5276:F5276"/>
    <mergeCell ref="A5278:G5278"/>
    <mergeCell ref="A5286:F5286"/>
    <mergeCell ref="A5288:G5288"/>
    <mergeCell ref="B5289:C5289"/>
    <mergeCell ref="B5290:C5290"/>
    <mergeCell ref="B5291:C5291"/>
    <mergeCell ref="B5292:C5292"/>
    <mergeCell ref="B5293:C5293"/>
    <mergeCell ref="B5294:C5294"/>
    <mergeCell ref="B5295:C5295"/>
    <mergeCell ref="A5296:F5296"/>
    <mergeCell ref="A5298:G5298"/>
    <mergeCell ref="B5299:C5299"/>
    <mergeCell ref="A5313:F5313"/>
    <mergeCell ref="B5223:C5223"/>
    <mergeCell ref="B5224:C5224"/>
    <mergeCell ref="B5225:C5225"/>
    <mergeCell ref="B5226:C5226"/>
    <mergeCell ref="B5227:C5227"/>
    <mergeCell ref="A5228:F5228"/>
    <mergeCell ref="A5230:G5230"/>
    <mergeCell ref="B5231:C5231"/>
    <mergeCell ref="A5245:F5245"/>
    <mergeCell ref="A5247:G5247"/>
    <mergeCell ref="B5248:C5248"/>
    <mergeCell ref="A5254:F5254"/>
    <mergeCell ref="A5256:F5256"/>
    <mergeCell ref="A5262:F5262"/>
    <mergeCell ref="A5266:F5266"/>
    <mergeCell ref="B5268:C5268"/>
    <mergeCell ref="B5269:C5269"/>
    <mergeCell ref="A5177:F5177"/>
    <mergeCell ref="A5179:G5179"/>
    <mergeCell ref="B5180:C5180"/>
    <mergeCell ref="A5186:F5186"/>
    <mergeCell ref="A5188:F5188"/>
    <mergeCell ref="A5194:F5194"/>
    <mergeCell ref="A5198:F5198"/>
    <mergeCell ref="B5200:C5200"/>
    <mergeCell ref="B5201:C5201"/>
    <mergeCell ref="A5202:G5202"/>
    <mergeCell ref="B5203:C5203"/>
    <mergeCell ref="A5208:F5208"/>
    <mergeCell ref="A5210:G5210"/>
    <mergeCell ref="A5218:F5218"/>
    <mergeCell ref="A5220:G5220"/>
    <mergeCell ref="B5221:C5221"/>
    <mergeCell ref="B5222:C5222"/>
    <mergeCell ref="B5814:C5814"/>
    <mergeCell ref="B5770:C5770"/>
    <mergeCell ref="A5771:F5771"/>
    <mergeCell ref="A5773:G5773"/>
    <mergeCell ref="B5774:C5774"/>
    <mergeCell ref="A5788:F5788"/>
    <mergeCell ref="A5790:G5790"/>
    <mergeCell ref="B5791:C5791"/>
    <mergeCell ref="A5797:F5797"/>
    <mergeCell ref="A5799:F5799"/>
    <mergeCell ref="A5805:F5805"/>
    <mergeCell ref="A5809:F5809"/>
    <mergeCell ref="B5702:C5702"/>
    <mergeCell ref="A5694:F5694"/>
    <mergeCell ref="A4977:G4977"/>
    <mergeCell ref="B4978:C4978"/>
    <mergeCell ref="A4984:F4984"/>
    <mergeCell ref="A4986:F4986"/>
    <mergeCell ref="A4992:F4992"/>
    <mergeCell ref="A4996:F4996"/>
    <mergeCell ref="B5132:C5132"/>
    <mergeCell ref="B5133:C5133"/>
    <mergeCell ref="A5134:G5134"/>
    <mergeCell ref="B5542:C5542"/>
    <mergeCell ref="B5543:C5543"/>
    <mergeCell ref="A5544:G5544"/>
    <mergeCell ref="B5545:C5545"/>
    <mergeCell ref="A5550:F5550"/>
    <mergeCell ref="A5552:G5552"/>
    <mergeCell ref="A5560:F5560"/>
    <mergeCell ref="A5562:G5562"/>
    <mergeCell ref="B5135:C5135"/>
    <mergeCell ref="A5140:F5140"/>
    <mergeCell ref="A5142:G5142"/>
    <mergeCell ref="A5150:F5150"/>
    <mergeCell ref="A5152:G5152"/>
    <mergeCell ref="B5153:C5153"/>
    <mergeCell ref="B5154:C5154"/>
    <mergeCell ref="B5155:C5155"/>
    <mergeCell ref="B5156:C5156"/>
    <mergeCell ref="B5157:C5157"/>
    <mergeCell ref="B5158:C5158"/>
    <mergeCell ref="B5159:C5159"/>
    <mergeCell ref="A5160:F5160"/>
    <mergeCell ref="A5162:G5162"/>
    <mergeCell ref="B5163:C5163"/>
    <mergeCell ref="A601:G601"/>
    <mergeCell ref="B602:C602"/>
    <mergeCell ref="A616:F616"/>
    <mergeCell ref="A618:G618"/>
    <mergeCell ref="B619:C619"/>
    <mergeCell ref="A625:F625"/>
    <mergeCell ref="A627:F627"/>
    <mergeCell ref="A633:F633"/>
    <mergeCell ref="A637:F637"/>
    <mergeCell ref="B2104:C2104"/>
    <mergeCell ref="B2105:C2105"/>
    <mergeCell ref="B2106:C2106"/>
    <mergeCell ref="A2107:F2107"/>
    <mergeCell ref="A2109:G2109"/>
    <mergeCell ref="A1995:F1995"/>
    <mergeCell ref="A1997:F1997"/>
    <mergeCell ref="A2003:F2003"/>
    <mergeCell ref="A2007:F2007"/>
    <mergeCell ref="B567:C567"/>
    <mergeCell ref="B568:C568"/>
    <mergeCell ref="A569:G569"/>
    <mergeCell ref="B570:C570"/>
    <mergeCell ref="A578:F578"/>
    <mergeCell ref="A580:G580"/>
    <mergeCell ref="A588:F588"/>
    <mergeCell ref="A590:G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A599:F599"/>
    <mergeCell ref="A21188:G21188"/>
    <mergeCell ref="B21189:C21189"/>
    <mergeCell ref="B21190:C21190"/>
    <mergeCell ref="B21191:C21191"/>
    <mergeCell ref="B21192:C21192"/>
    <mergeCell ref="B21193:C21193"/>
    <mergeCell ref="A18517:F18517"/>
    <mergeCell ref="A18519:F18519"/>
    <mergeCell ref="A18525:F18525"/>
    <mergeCell ref="B18250:C18250"/>
    <mergeCell ref="B18251:C18251"/>
    <mergeCell ref="A18252:G18252"/>
    <mergeCell ref="B18253:C18253"/>
    <mergeCell ref="A18384:F18384"/>
    <mergeCell ref="A18388:F18388"/>
    <mergeCell ref="A18340:F18340"/>
    <mergeCell ref="A18342:G18342"/>
    <mergeCell ref="B18343:C18343"/>
    <mergeCell ref="B18344:C18344"/>
    <mergeCell ref="B18345:C18345"/>
    <mergeCell ref="B18346:C18346"/>
    <mergeCell ref="B18347:C18347"/>
    <mergeCell ref="B18277:C18277"/>
    <mergeCell ref="B18278:C18278"/>
    <mergeCell ref="B18279:C18279"/>
    <mergeCell ref="A18280:F18280"/>
    <mergeCell ref="A18529:F18529"/>
    <mergeCell ref="B18489:C18489"/>
    <mergeCell ref="A18490:F18490"/>
    <mergeCell ref="A18282:G18282"/>
    <mergeCell ref="B18283:C18283"/>
    <mergeCell ref="A18297:F18297"/>
    <mergeCell ref="A15492:G15492"/>
    <mergeCell ref="A15440:G15440"/>
    <mergeCell ref="B15441:C15441"/>
    <mergeCell ref="A15453:F15453"/>
    <mergeCell ref="A15463:F15463"/>
    <mergeCell ref="A15465:G15465"/>
    <mergeCell ref="B15466:C15466"/>
    <mergeCell ref="B15467:C15467"/>
    <mergeCell ref="B15468:C15468"/>
    <mergeCell ref="B15469:C15469"/>
    <mergeCell ref="B15470:C15470"/>
    <mergeCell ref="B15471:C15471"/>
    <mergeCell ref="A18260:F18260"/>
    <mergeCell ref="B18370:C18370"/>
    <mergeCell ref="A18376:F18376"/>
    <mergeCell ref="A18378:F18378"/>
    <mergeCell ref="B18274:C18274"/>
    <mergeCell ref="B18275:C18275"/>
    <mergeCell ref="B18276:C18276"/>
    <mergeCell ref="B17116:C17116"/>
    <mergeCell ref="A18262:G18262"/>
    <mergeCell ref="A18270:F18270"/>
    <mergeCell ref="A18272:G18272"/>
    <mergeCell ref="B18273:C18273"/>
    <mergeCell ref="B15493:C15493"/>
    <mergeCell ref="A15498:F15498"/>
    <mergeCell ref="A15500:F15500"/>
    <mergeCell ref="A15506:F15506"/>
    <mergeCell ref="A17342:G17342"/>
    <mergeCell ref="A17350:F17350"/>
    <mergeCell ref="A17352:G17352"/>
    <mergeCell ref="B15472:C15472"/>
    <mergeCell ref="A15473:F15473"/>
    <mergeCell ref="A15475:G15475"/>
    <mergeCell ref="B17353:C17353"/>
    <mergeCell ref="B17354:C17354"/>
    <mergeCell ref="B17355:C17355"/>
    <mergeCell ref="B17328:C17328"/>
    <mergeCell ref="B17329:C17329"/>
    <mergeCell ref="A17330:G17330"/>
    <mergeCell ref="B17331:C17331"/>
    <mergeCell ref="A17340:F17340"/>
    <mergeCell ref="A18035:F18035"/>
    <mergeCell ref="A15510:F15510"/>
    <mergeCell ref="A16334:F16334"/>
    <mergeCell ref="B17994:C17994"/>
    <mergeCell ref="B17995:C17995"/>
    <mergeCell ref="B17996:C17996"/>
    <mergeCell ref="A17997:F17997"/>
    <mergeCell ref="A17999:G17999"/>
    <mergeCell ref="B18000:C18000"/>
    <mergeCell ref="A17987:F17987"/>
    <mergeCell ref="A17989:G17989"/>
    <mergeCell ref="B17990:C17990"/>
    <mergeCell ref="B17991:C17991"/>
    <mergeCell ref="B17992:C17992"/>
    <mergeCell ref="B17993:C17993"/>
    <mergeCell ref="B17356:C17356"/>
    <mergeCell ref="B17357:C17357"/>
    <mergeCell ref="B17358:C17358"/>
    <mergeCell ref="B17359:C17359"/>
    <mergeCell ref="A17360:F17360"/>
    <mergeCell ref="A17362:G17362"/>
    <mergeCell ref="A17434:G17434"/>
    <mergeCell ref="A18308:F18308"/>
    <mergeCell ref="A18314:F18314"/>
    <mergeCell ref="A18318:F18318"/>
    <mergeCell ref="B18320:C18320"/>
    <mergeCell ref="B18321:C18321"/>
    <mergeCell ref="A18322:G18322"/>
    <mergeCell ref="B18323:C18323"/>
    <mergeCell ref="A18330:F18330"/>
    <mergeCell ref="A18332:G18332"/>
    <mergeCell ref="A18450:F18450"/>
    <mergeCell ref="A18454:F18454"/>
    <mergeCell ref="B18488:C18488"/>
    <mergeCell ref="B18348:C18348"/>
    <mergeCell ref="B18349:C18349"/>
    <mergeCell ref="A18350:F18350"/>
    <mergeCell ref="A18352:G18352"/>
    <mergeCell ref="B18353:C18353"/>
    <mergeCell ref="A18367:F18367"/>
    <mergeCell ref="A18369:G18369"/>
    <mergeCell ref="B18409:C18409"/>
    <mergeCell ref="B18410:C18410"/>
    <mergeCell ref="B18411:C18411"/>
    <mergeCell ref="B18390:C18390"/>
    <mergeCell ref="B18391:C18391"/>
    <mergeCell ref="A18392:G18392"/>
    <mergeCell ref="B18393:C18393"/>
    <mergeCell ref="B18486:C18486"/>
    <mergeCell ref="A18398:G18398"/>
    <mergeCell ref="A18406:F18406"/>
    <mergeCell ref="B14109:C14109"/>
    <mergeCell ref="A14110:F14110"/>
    <mergeCell ref="A14112:G14112"/>
    <mergeCell ref="A14092:G14092"/>
    <mergeCell ref="A14100:F14100"/>
    <mergeCell ref="A14102:G14102"/>
    <mergeCell ref="A14144:F14144"/>
    <mergeCell ref="A14148:F14148"/>
    <mergeCell ref="B10637:C10637"/>
    <mergeCell ref="B10638:C10638"/>
    <mergeCell ref="A10639:G10639"/>
    <mergeCell ref="A10655:G10655"/>
    <mergeCell ref="B10656:C10656"/>
    <mergeCell ref="B10657:C10657"/>
    <mergeCell ref="B14130:C14130"/>
    <mergeCell ref="A14136:F14136"/>
    <mergeCell ref="A14138:F14138"/>
    <mergeCell ref="B10640:C10640"/>
    <mergeCell ref="B14113:C14113"/>
    <mergeCell ref="A14127:F14127"/>
    <mergeCell ref="A14055:F14055"/>
    <mergeCell ref="B12510:C12510"/>
    <mergeCell ref="A14129:G14129"/>
    <mergeCell ref="B10666:C10666"/>
    <mergeCell ref="A10680:F10680"/>
    <mergeCell ref="A10682:G10682"/>
    <mergeCell ref="B10683:C10683"/>
    <mergeCell ref="A11792:G11792"/>
    <mergeCell ref="B11793:C11793"/>
    <mergeCell ref="A11807:F11807"/>
    <mergeCell ref="A11809:G11809"/>
    <mergeCell ref="B11788:C11788"/>
    <mergeCell ref="A12512:G12512"/>
    <mergeCell ref="B12513:C12513"/>
    <mergeCell ref="B12514:C12514"/>
    <mergeCell ref="A12518:F12518"/>
    <mergeCell ref="A12520:G12520"/>
    <mergeCell ref="A12529:F12529"/>
    <mergeCell ref="A12531:G12531"/>
    <mergeCell ref="A13239:F13239"/>
    <mergeCell ref="A13011:G13011"/>
    <mergeCell ref="B13012:C13012"/>
    <mergeCell ref="A11980:F11980"/>
    <mergeCell ref="A11982:G11982"/>
    <mergeCell ref="B11983:C11983"/>
    <mergeCell ref="B11984:C11984"/>
    <mergeCell ref="B11985:C11985"/>
    <mergeCell ref="B14103:C14103"/>
    <mergeCell ref="B14104:C14104"/>
    <mergeCell ref="B14078:C14078"/>
    <mergeCell ref="B14079:C14079"/>
    <mergeCell ref="A14080:G14080"/>
    <mergeCell ref="B14081:C14081"/>
    <mergeCell ref="A14090:F14090"/>
    <mergeCell ref="A12059:F12059"/>
    <mergeCell ref="A12061:G12061"/>
    <mergeCell ref="B12062:C12062"/>
    <mergeCell ref="A12050:G12050"/>
    <mergeCell ref="B12051:C12051"/>
    <mergeCell ref="B12054:C12054"/>
    <mergeCell ref="B12055:C12055"/>
    <mergeCell ref="B12937:C12937"/>
    <mergeCell ref="B12938:C12938"/>
    <mergeCell ref="B12052:C12052"/>
    <mergeCell ref="B11923:C11923"/>
    <mergeCell ref="A11924:F11924"/>
    <mergeCell ref="A11926:G11926"/>
    <mergeCell ref="B11927:C11927"/>
    <mergeCell ref="A11941:F11941"/>
    <mergeCell ref="A11943:G11943"/>
    <mergeCell ref="B12169:C12169"/>
    <mergeCell ref="B12170:C12170"/>
    <mergeCell ref="A12173:F12173"/>
    <mergeCell ref="B12118:C12118"/>
    <mergeCell ref="B12119:C12119"/>
    <mergeCell ref="A12107:G12107"/>
    <mergeCell ref="A12115:F12115"/>
    <mergeCell ref="A12117:G12117"/>
    <mergeCell ref="A12175:G12175"/>
    <mergeCell ref="A12183:F12183"/>
    <mergeCell ref="B12511:C12511"/>
    <mergeCell ref="B12053:C12053"/>
    <mergeCell ref="A12019:F12019"/>
    <mergeCell ref="A12025:F12025"/>
    <mergeCell ref="B19655:C19655"/>
    <mergeCell ref="B19407:C19407"/>
    <mergeCell ref="B11901:C11901"/>
    <mergeCell ref="A11903:F11903"/>
    <mergeCell ref="A11905:G11905"/>
    <mergeCell ref="A11913:F11913"/>
    <mergeCell ref="A11915:G11915"/>
    <mergeCell ref="B11916:C11916"/>
    <mergeCell ref="B11944:C11944"/>
    <mergeCell ref="A11950:F11950"/>
    <mergeCell ref="A11952:F11952"/>
    <mergeCell ref="B11986:C11986"/>
    <mergeCell ref="B11987:C11987"/>
    <mergeCell ref="B11988:C11988"/>
    <mergeCell ref="A12029:F12029"/>
    <mergeCell ref="B12058:C12058"/>
    <mergeCell ref="B11917:C11917"/>
    <mergeCell ref="B11918:C11918"/>
    <mergeCell ref="B11919:C11919"/>
    <mergeCell ref="B11920:C11920"/>
    <mergeCell ref="B11921:C11921"/>
    <mergeCell ref="B11922:C11922"/>
    <mergeCell ref="A11958:F11958"/>
    <mergeCell ref="A11962:F11962"/>
    <mergeCell ref="B12031:C12031"/>
    <mergeCell ref="B11964:C11964"/>
    <mergeCell ref="B11965:C11965"/>
    <mergeCell ref="A11966:G11966"/>
    <mergeCell ref="B11967:C11967"/>
    <mergeCell ref="A11970:F11970"/>
    <mergeCell ref="A11972:G11972"/>
    <mergeCell ref="A14028:F14028"/>
    <mergeCell ref="B803:C803"/>
    <mergeCell ref="A817:F817"/>
    <mergeCell ref="A819:G819"/>
    <mergeCell ref="B820:C820"/>
    <mergeCell ref="A827:F827"/>
    <mergeCell ref="A829:F829"/>
    <mergeCell ref="A835:F835"/>
    <mergeCell ref="A839:F839"/>
    <mergeCell ref="B14619:C14619"/>
    <mergeCell ref="B14620:C14620"/>
    <mergeCell ref="A14621:G14621"/>
    <mergeCell ref="B14622:C14622"/>
    <mergeCell ref="B14623:C14623"/>
    <mergeCell ref="A20442:G20442"/>
    <mergeCell ref="B20443:C20443"/>
    <mergeCell ref="A20452:F20452"/>
    <mergeCell ref="A20454:G20454"/>
    <mergeCell ref="A14011:G14011"/>
    <mergeCell ref="B14012:C14012"/>
    <mergeCell ref="A14018:F14018"/>
    <mergeCell ref="B14009:C14009"/>
    <mergeCell ref="B14010:C14010"/>
    <mergeCell ref="B11898:C11898"/>
    <mergeCell ref="B11899:C11899"/>
    <mergeCell ref="A11900:G11900"/>
    <mergeCell ref="B14034:C14034"/>
    <mergeCell ref="B14035:C14035"/>
    <mergeCell ref="B14036:C14036"/>
    <mergeCell ref="B14037:C14037"/>
    <mergeCell ref="A14038:F14038"/>
    <mergeCell ref="A14040:G14040"/>
    <mergeCell ref="B14041:C14041"/>
    <mergeCell ref="B772:C772"/>
    <mergeCell ref="B773:C773"/>
    <mergeCell ref="A774:G774"/>
    <mergeCell ref="B775:C775"/>
    <mergeCell ref="A780:F780"/>
    <mergeCell ref="A782:G782"/>
    <mergeCell ref="A790:F790"/>
    <mergeCell ref="A792:G792"/>
    <mergeCell ref="B793:C793"/>
    <mergeCell ref="B794:C794"/>
    <mergeCell ref="B795:C795"/>
    <mergeCell ref="B796:C796"/>
    <mergeCell ref="B797:C797"/>
    <mergeCell ref="B798:C798"/>
    <mergeCell ref="B799:C799"/>
    <mergeCell ref="A800:F800"/>
    <mergeCell ref="A802:G802"/>
    <mergeCell ref="B19179:C19179"/>
    <mergeCell ref="A19193:F19193"/>
    <mergeCell ref="A19195:G19195"/>
    <mergeCell ref="B20536:C20536"/>
    <mergeCell ref="A20712:G20712"/>
    <mergeCell ref="B20713:C20713"/>
    <mergeCell ref="B20466:C20466"/>
    <mergeCell ref="A19751:F19751"/>
    <mergeCell ref="A19686:F19686"/>
    <mergeCell ref="A19684:F19684"/>
    <mergeCell ref="B19678:C19678"/>
    <mergeCell ref="B19654:C19654"/>
    <mergeCell ref="A21725:F21725"/>
    <mergeCell ref="A19583:F19583"/>
    <mergeCell ref="B20807:C20807"/>
    <mergeCell ref="B20767:C20767"/>
    <mergeCell ref="A20734:G20734"/>
    <mergeCell ref="B20735:C20735"/>
    <mergeCell ref="A20744:F20744"/>
    <mergeCell ref="B20804:C20804"/>
    <mergeCell ref="B20805:C20805"/>
    <mergeCell ref="B20492:C20492"/>
    <mergeCell ref="A20498:F20498"/>
    <mergeCell ref="A20500:F20500"/>
    <mergeCell ref="A20506:F20506"/>
    <mergeCell ref="A20510:F20510"/>
    <mergeCell ref="B20471:C20471"/>
    <mergeCell ref="A20472:F20472"/>
    <mergeCell ref="A20474:G20474"/>
    <mergeCell ref="B20475:C20475"/>
    <mergeCell ref="A20489:F20489"/>
    <mergeCell ref="A20491:G20491"/>
    <mergeCell ref="A19172:F19172"/>
    <mergeCell ref="A19176:F19176"/>
    <mergeCell ref="A19140:G19140"/>
    <mergeCell ref="B18815:C18815"/>
    <mergeCell ref="B21618:C21618"/>
    <mergeCell ref="B21619:C21619"/>
    <mergeCell ref="B21620:C21620"/>
    <mergeCell ref="A19032:F19032"/>
    <mergeCell ref="B18816:C18816"/>
    <mergeCell ref="B18844:C18844"/>
    <mergeCell ref="A18876:F18876"/>
    <mergeCell ref="A18882:F18882"/>
    <mergeCell ref="B19034:C19034"/>
    <mergeCell ref="B21645:C21645"/>
    <mergeCell ref="A21651:F21651"/>
    <mergeCell ref="A21653:F21653"/>
    <mergeCell ref="B21621:C21621"/>
    <mergeCell ref="B21622:C21622"/>
    <mergeCell ref="A18912:G18912"/>
    <mergeCell ref="B18919:C18919"/>
    <mergeCell ref="B18915:C18915"/>
    <mergeCell ref="B18991:C18991"/>
    <mergeCell ref="B18992:C18992"/>
    <mergeCell ref="A18984:F18984"/>
    <mergeCell ref="A19439:G19439"/>
    <mergeCell ref="B19457:C19457"/>
    <mergeCell ref="B19530:C19530"/>
    <mergeCell ref="B19503:C19503"/>
    <mergeCell ref="B19137:C19137"/>
    <mergeCell ref="B19212:C19212"/>
    <mergeCell ref="A19213:F19213"/>
    <mergeCell ref="A20855:G20855"/>
    <mergeCell ref="B18918:C18918"/>
    <mergeCell ref="B19058:C19058"/>
    <mergeCell ref="B18771:C18771"/>
    <mergeCell ref="B18772:C18772"/>
    <mergeCell ref="A19020:F19020"/>
    <mergeCell ref="A19602:G19602"/>
    <mergeCell ref="A19677:G19677"/>
    <mergeCell ref="B19626:C19626"/>
    <mergeCell ref="B19661:C19661"/>
    <mergeCell ref="A19675:F19675"/>
    <mergeCell ref="A19491:G19491"/>
    <mergeCell ref="A19510:F19510"/>
    <mergeCell ref="A19573:F19573"/>
    <mergeCell ref="A19625:G19625"/>
    <mergeCell ref="B18017:C18017"/>
    <mergeCell ref="A18023:F18023"/>
    <mergeCell ref="A18025:F18025"/>
    <mergeCell ref="A18031:F18031"/>
    <mergeCell ref="A19429:G19429"/>
    <mergeCell ref="B19282:C19282"/>
    <mergeCell ref="A18685:F18685"/>
    <mergeCell ref="A18687:G18687"/>
    <mergeCell ref="A18695:F18695"/>
    <mergeCell ref="A18697:G18697"/>
    <mergeCell ref="B18914:C18914"/>
    <mergeCell ref="B18769:C18769"/>
    <mergeCell ref="B18868:C18868"/>
    <mergeCell ref="A18142:G18142"/>
    <mergeCell ref="B18143:C18143"/>
    <mergeCell ref="A18157:F18157"/>
    <mergeCell ref="A18122:G18122"/>
    <mergeCell ref="B19181:C19181"/>
    <mergeCell ref="A17379:G17379"/>
    <mergeCell ref="B17380:C17380"/>
    <mergeCell ref="A17386:F17386"/>
    <mergeCell ref="A17388:F17388"/>
    <mergeCell ref="B17498:C17498"/>
    <mergeCell ref="B17499:C17499"/>
    <mergeCell ref="B17500:C17500"/>
    <mergeCell ref="B17501:C17501"/>
    <mergeCell ref="B17502:C17502"/>
    <mergeCell ref="A17466:F17466"/>
    <mergeCell ref="A17470:F17470"/>
    <mergeCell ref="B17472:C17472"/>
    <mergeCell ref="B17473:C17473"/>
    <mergeCell ref="A17474:G17474"/>
    <mergeCell ref="B17503:C17503"/>
    <mergeCell ref="B17475:C17475"/>
    <mergeCell ref="A17484:F17484"/>
    <mergeCell ref="A17486:G17486"/>
    <mergeCell ref="A17494:F17494"/>
    <mergeCell ref="A17496:G17496"/>
    <mergeCell ref="B17497:C17497"/>
    <mergeCell ref="A17460:F17460"/>
    <mergeCell ref="B17428:C17428"/>
    <mergeCell ref="B17429:C17429"/>
    <mergeCell ref="B17430:C17430"/>
    <mergeCell ref="B17431:C17431"/>
    <mergeCell ref="A17432:F17432"/>
    <mergeCell ref="A17412:F17412"/>
    <mergeCell ref="A17414:G17414"/>
    <mergeCell ref="A17422:F17422"/>
    <mergeCell ref="A17424:G17424"/>
    <mergeCell ref="B17425:C17425"/>
    <mergeCell ref="B17426:C17426"/>
    <mergeCell ref="B18632:C18632"/>
    <mergeCell ref="B18913:C18913"/>
    <mergeCell ref="A18637:G18637"/>
    <mergeCell ref="B18638:C18638"/>
    <mergeCell ref="A18652:F18652"/>
    <mergeCell ref="B18134:C18134"/>
    <mergeCell ref="B18702:C18702"/>
    <mergeCell ref="B18703:C18703"/>
    <mergeCell ref="A18677:G18677"/>
    <mergeCell ref="B18678:C18678"/>
    <mergeCell ref="B18770:C18770"/>
    <mergeCell ref="B18847:C18847"/>
    <mergeCell ref="A18848:F18848"/>
    <mergeCell ref="B18851:C18851"/>
    <mergeCell ref="A18865:F18865"/>
    <mergeCell ref="A18910:F18910"/>
    <mergeCell ref="A18673:F18673"/>
    <mergeCell ref="A18850:G18850"/>
    <mergeCell ref="A18299:G18299"/>
    <mergeCell ref="B18300:C18300"/>
    <mergeCell ref="A18306:F18306"/>
    <mergeCell ref="A17394:F17394"/>
    <mergeCell ref="A17398:F17398"/>
    <mergeCell ref="B17400:C17400"/>
    <mergeCell ref="B17401:C17401"/>
    <mergeCell ref="A17402:G17402"/>
    <mergeCell ref="B17403:C17403"/>
    <mergeCell ref="B17363:C17363"/>
    <mergeCell ref="A17377:F17377"/>
    <mergeCell ref="A17546:G17546"/>
    <mergeCell ref="B17547:C17547"/>
    <mergeCell ref="A17553:F17553"/>
    <mergeCell ref="A17555:G17555"/>
    <mergeCell ref="A17563:F17563"/>
    <mergeCell ref="A17565:G17565"/>
    <mergeCell ref="A17530:F17530"/>
    <mergeCell ref="A17532:F17532"/>
    <mergeCell ref="A17538:F17538"/>
    <mergeCell ref="A17542:F17542"/>
    <mergeCell ref="B17544:C17544"/>
    <mergeCell ref="B17545:C17545"/>
    <mergeCell ref="A17504:F17504"/>
    <mergeCell ref="A17506:G17506"/>
    <mergeCell ref="B17507:C17507"/>
    <mergeCell ref="A17521:F17521"/>
    <mergeCell ref="A17523:G17523"/>
    <mergeCell ref="B17524:C17524"/>
    <mergeCell ref="B17435:C17435"/>
    <mergeCell ref="A17449:F17449"/>
    <mergeCell ref="A17451:G17451"/>
    <mergeCell ref="B17452:C17452"/>
    <mergeCell ref="A17458:F17458"/>
    <mergeCell ref="B17427:C17427"/>
    <mergeCell ref="B17593:C17593"/>
    <mergeCell ref="A17599:F17599"/>
    <mergeCell ref="A17601:F17601"/>
    <mergeCell ref="A17607:F17607"/>
    <mergeCell ref="A17611:F17611"/>
    <mergeCell ref="B17572:C17572"/>
    <mergeCell ref="A17573:F17573"/>
    <mergeCell ref="A17575:G17575"/>
    <mergeCell ref="B17576:C17576"/>
    <mergeCell ref="A17590:F17590"/>
    <mergeCell ref="A17592:G17592"/>
    <mergeCell ref="B17566:C17566"/>
    <mergeCell ref="B17567:C17567"/>
    <mergeCell ref="B17568:C17568"/>
    <mergeCell ref="B17569:C17569"/>
    <mergeCell ref="B17570:C17570"/>
    <mergeCell ref="B17571:C17571"/>
    <mergeCell ref="A17326:F17326"/>
    <mergeCell ref="A17305:F17305"/>
    <mergeCell ref="A17307:G17307"/>
    <mergeCell ref="B17308:C17308"/>
    <mergeCell ref="A17314:F17314"/>
    <mergeCell ref="A17316:F17316"/>
    <mergeCell ref="A17322:F17322"/>
    <mergeCell ref="B17287:C17287"/>
    <mergeCell ref="A17288:F17288"/>
    <mergeCell ref="A17290:G17290"/>
    <mergeCell ref="B17291:C17291"/>
    <mergeCell ref="B17069:C17069"/>
    <mergeCell ref="B17070:C17070"/>
    <mergeCell ref="B17071:C17071"/>
    <mergeCell ref="B17072:C17072"/>
    <mergeCell ref="B17073:C17073"/>
    <mergeCell ref="B17074:C17074"/>
    <mergeCell ref="B17285:C17285"/>
    <mergeCell ref="B17286:C17286"/>
    <mergeCell ref="B17281:C17281"/>
    <mergeCell ref="B17282:C17282"/>
    <mergeCell ref="B17283:C17283"/>
    <mergeCell ref="B17284:C17284"/>
    <mergeCell ref="A17278:F17278"/>
    <mergeCell ref="A17280:G17280"/>
    <mergeCell ref="A17268:F17268"/>
    <mergeCell ref="A17270:G17270"/>
    <mergeCell ref="B17141:C17141"/>
    <mergeCell ref="B17142:C17142"/>
    <mergeCell ref="B17143:C17143"/>
    <mergeCell ref="A17144:F17144"/>
    <mergeCell ref="A17146:G17146"/>
    <mergeCell ref="A17047:G17047"/>
    <mergeCell ref="B17048:C17048"/>
    <mergeCell ref="A17056:F17056"/>
    <mergeCell ref="A17058:G17058"/>
    <mergeCell ref="A17066:F17066"/>
    <mergeCell ref="A17068:G17068"/>
    <mergeCell ref="B17045:C17045"/>
    <mergeCell ref="B17046:C17046"/>
    <mergeCell ref="B17257:C17257"/>
    <mergeCell ref="A17258:G17258"/>
    <mergeCell ref="B17259:C17259"/>
    <mergeCell ref="B17096:C17096"/>
    <mergeCell ref="A17102:F17102"/>
    <mergeCell ref="A17104:F17104"/>
    <mergeCell ref="A17110:F17110"/>
    <mergeCell ref="A17114:F17114"/>
    <mergeCell ref="B17256:C17256"/>
    <mergeCell ref="B17075:C17075"/>
    <mergeCell ref="A17076:F17076"/>
    <mergeCell ref="A17078:G17078"/>
    <mergeCell ref="B17079:C17079"/>
    <mergeCell ref="A17093:F17093"/>
    <mergeCell ref="A17095:G17095"/>
    <mergeCell ref="B17147:C17147"/>
    <mergeCell ref="A17161:F17161"/>
    <mergeCell ref="A17163:G17163"/>
    <mergeCell ref="B17164:C17164"/>
    <mergeCell ref="A17170:F17170"/>
    <mergeCell ref="A17172:F17172"/>
    <mergeCell ref="A17178:F17178"/>
    <mergeCell ref="A17182:F17182"/>
    <mergeCell ref="B17210:C17210"/>
    <mergeCell ref="A16481:G16481"/>
    <mergeCell ref="B16482:C16482"/>
    <mergeCell ref="A16494:F16494"/>
    <mergeCell ref="A16496:G16496"/>
    <mergeCell ref="A16504:F16504"/>
    <mergeCell ref="A16506:G16506"/>
    <mergeCell ref="B16479:C16479"/>
    <mergeCell ref="B16480:C16480"/>
    <mergeCell ref="A16534:G16534"/>
    <mergeCell ref="B16535:C16535"/>
    <mergeCell ref="A16538:F16538"/>
    <mergeCell ref="A16540:F16540"/>
    <mergeCell ref="A16546:F16546"/>
    <mergeCell ref="A16550:F16550"/>
    <mergeCell ref="B16513:C16513"/>
    <mergeCell ref="B16514:C16514"/>
    <mergeCell ref="A16515:F16515"/>
    <mergeCell ref="A16517:G16517"/>
    <mergeCell ref="B16518:C16518"/>
    <mergeCell ref="A16532:F16532"/>
    <mergeCell ref="B16507:C16507"/>
    <mergeCell ref="B16508:C16508"/>
    <mergeCell ref="B16509:C16509"/>
    <mergeCell ref="B16510:C16510"/>
    <mergeCell ref="B16511:C16511"/>
    <mergeCell ref="B16512:C16512"/>
    <mergeCell ref="B16492:C16492"/>
    <mergeCell ref="B16484:C16484"/>
    <mergeCell ref="B16487:C16487"/>
    <mergeCell ref="B16491:C16491"/>
    <mergeCell ref="B16584:C16584"/>
    <mergeCell ref="B16585:C16585"/>
    <mergeCell ref="B16586:C16586"/>
    <mergeCell ref="B16587:C16587"/>
    <mergeCell ref="A16588:F16588"/>
    <mergeCell ref="A16590:G16590"/>
    <mergeCell ref="A16577:F16577"/>
    <mergeCell ref="A16579:G16579"/>
    <mergeCell ref="B16580:C16580"/>
    <mergeCell ref="B16581:C16581"/>
    <mergeCell ref="B16582:C16582"/>
    <mergeCell ref="B16583:C16583"/>
    <mergeCell ref="B16552:C16552"/>
    <mergeCell ref="B16553:C16553"/>
    <mergeCell ref="A16554:G16554"/>
    <mergeCell ref="B16555:C16555"/>
    <mergeCell ref="A16567:F16567"/>
    <mergeCell ref="A16569:G16569"/>
    <mergeCell ref="B16557:C16557"/>
    <mergeCell ref="B16560:C16560"/>
    <mergeCell ref="B16564:C16564"/>
    <mergeCell ref="B16565:C16565"/>
    <mergeCell ref="A16631:F16631"/>
    <mergeCell ref="A16633:G16633"/>
    <mergeCell ref="A16641:F16641"/>
    <mergeCell ref="A16643:G16643"/>
    <mergeCell ref="B16644:C16644"/>
    <mergeCell ref="B16645:C16645"/>
    <mergeCell ref="A16619:F16619"/>
    <mergeCell ref="A16623:F16623"/>
    <mergeCell ref="B16625:C16625"/>
    <mergeCell ref="B16626:C16626"/>
    <mergeCell ref="A16627:G16627"/>
    <mergeCell ref="B16628:C16628"/>
    <mergeCell ref="B16591:C16591"/>
    <mergeCell ref="A16605:F16605"/>
    <mergeCell ref="A16607:G16607"/>
    <mergeCell ref="B16608:C16608"/>
    <mergeCell ref="A16611:F16611"/>
    <mergeCell ref="A16613:F16613"/>
    <mergeCell ref="A16679:F16679"/>
    <mergeCell ref="A16685:F16685"/>
    <mergeCell ref="A16689:F16689"/>
    <mergeCell ref="B16691:C16691"/>
    <mergeCell ref="B16692:C16692"/>
    <mergeCell ref="A16693:G16693"/>
    <mergeCell ref="A16653:G16653"/>
    <mergeCell ref="B16654:C16654"/>
    <mergeCell ref="A16668:F16668"/>
    <mergeCell ref="A16670:G16670"/>
    <mergeCell ref="B16671:C16671"/>
    <mergeCell ref="A16677:F16677"/>
    <mergeCell ref="B16646:C16646"/>
    <mergeCell ref="B16647:C16647"/>
    <mergeCell ref="B16648:C16648"/>
    <mergeCell ref="B16649:C16649"/>
    <mergeCell ref="B16650:C16650"/>
    <mergeCell ref="A16651:F16651"/>
    <mergeCell ref="A16753:F16753"/>
    <mergeCell ref="A16759:F16759"/>
    <mergeCell ref="A16763:F16763"/>
    <mergeCell ref="A16725:F16725"/>
    <mergeCell ref="A16727:G16727"/>
    <mergeCell ref="B16728:C16728"/>
    <mergeCell ref="A16742:F16742"/>
    <mergeCell ref="A16744:G16744"/>
    <mergeCell ref="B16745:C16745"/>
    <mergeCell ref="B16719:C16719"/>
    <mergeCell ref="B16720:C16720"/>
    <mergeCell ref="B16721:C16721"/>
    <mergeCell ref="B16722:C16722"/>
    <mergeCell ref="B16723:C16723"/>
    <mergeCell ref="B16724:C16724"/>
    <mergeCell ref="B16694:C16694"/>
    <mergeCell ref="A16705:F16705"/>
    <mergeCell ref="A16707:G16707"/>
    <mergeCell ref="A16715:F16715"/>
    <mergeCell ref="A16717:G16717"/>
    <mergeCell ref="B16718:C16718"/>
    <mergeCell ref="A16751:F16751"/>
    <mergeCell ref="A15149:F15149"/>
    <mergeCell ref="A15155:F15155"/>
    <mergeCell ref="A15159:F15159"/>
    <mergeCell ref="A15126:G15126"/>
    <mergeCell ref="B15127:C15127"/>
    <mergeCell ref="A15141:F15141"/>
    <mergeCell ref="A15143:G15143"/>
    <mergeCell ref="B15144:C15144"/>
    <mergeCell ref="A15147:F15147"/>
    <mergeCell ref="B15119:C15119"/>
    <mergeCell ref="B15120:C15120"/>
    <mergeCell ref="B15121:C15121"/>
    <mergeCell ref="B15122:C15122"/>
    <mergeCell ref="B15123:C15123"/>
    <mergeCell ref="A15124:F15124"/>
    <mergeCell ref="A15103:F15103"/>
    <mergeCell ref="A15105:G15105"/>
    <mergeCell ref="A15114:F15114"/>
    <mergeCell ref="A15116:G15116"/>
    <mergeCell ref="B15117:C15117"/>
    <mergeCell ref="B15118:C15118"/>
    <mergeCell ref="B15092:C15092"/>
    <mergeCell ref="B15093:C15093"/>
    <mergeCell ref="A15094:G15094"/>
    <mergeCell ref="B15095:C15095"/>
    <mergeCell ref="B15096:C15096"/>
    <mergeCell ref="B12538:C12538"/>
    <mergeCell ref="A12539:F12539"/>
    <mergeCell ref="A12541:G12541"/>
    <mergeCell ref="B12542:C12542"/>
    <mergeCell ref="A12556:F12556"/>
    <mergeCell ref="A12558:G12558"/>
    <mergeCell ref="B12532:C12532"/>
    <mergeCell ref="B12533:C12533"/>
    <mergeCell ref="B12534:C12534"/>
    <mergeCell ref="B12535:C12535"/>
    <mergeCell ref="B12536:C12536"/>
    <mergeCell ref="B12537:C12537"/>
    <mergeCell ref="A12597:F12597"/>
    <mergeCell ref="A12599:G12599"/>
    <mergeCell ref="B12600:C12600"/>
    <mergeCell ref="B12601:C12601"/>
    <mergeCell ref="B12602:C12602"/>
    <mergeCell ref="B12603:C12603"/>
    <mergeCell ref="B12580:C12580"/>
    <mergeCell ref="A12581:G12581"/>
    <mergeCell ref="B12582:C12582"/>
    <mergeCell ref="B12583:C12583"/>
    <mergeCell ref="A12586:F12586"/>
    <mergeCell ref="A12588:G12588"/>
    <mergeCell ref="B12579:C12579"/>
    <mergeCell ref="B14753:C14753"/>
    <mergeCell ref="A14266:G14266"/>
    <mergeCell ref="B12604:C12604"/>
    <mergeCell ref="B12605:C12605"/>
    <mergeCell ref="B12606:C12606"/>
    <mergeCell ref="A12607:F12607"/>
    <mergeCell ref="A12609:G12609"/>
    <mergeCell ref="B12610:C12610"/>
    <mergeCell ref="B14221:C14221"/>
    <mergeCell ref="B14222:C14222"/>
    <mergeCell ref="A14223:G14223"/>
    <mergeCell ref="B14224:C14224"/>
    <mergeCell ref="B14225:C14225"/>
    <mergeCell ref="A14226:F14226"/>
    <mergeCell ref="A14228:G14228"/>
    <mergeCell ref="A14289:G14289"/>
    <mergeCell ref="B14290:C14290"/>
    <mergeCell ref="B14250:C14250"/>
    <mergeCell ref="A14264:F14264"/>
    <mergeCell ref="B14243:C14243"/>
    <mergeCell ref="A14030:G14030"/>
    <mergeCell ref="B14031:C14031"/>
    <mergeCell ref="B14032:C14032"/>
    <mergeCell ref="B14033:C14033"/>
    <mergeCell ref="B14105:C14105"/>
    <mergeCell ref="A14057:G14057"/>
    <mergeCell ref="B14058:C14058"/>
    <mergeCell ref="A14064:F14064"/>
    <mergeCell ref="A14066:F14066"/>
    <mergeCell ref="A14072:F14072"/>
    <mergeCell ref="A14076:F14076"/>
    <mergeCell ref="B14106:C14106"/>
    <mergeCell ref="B14107:C14107"/>
    <mergeCell ref="B14108:C14108"/>
    <mergeCell ref="A14955:F14955"/>
    <mergeCell ref="A14919:G14919"/>
    <mergeCell ref="B14920:C14920"/>
    <mergeCell ref="A14934:F14934"/>
    <mergeCell ref="A14936:G14936"/>
    <mergeCell ref="B14937:C14937"/>
    <mergeCell ref="A14943:F14943"/>
    <mergeCell ref="B14912:C14912"/>
    <mergeCell ref="B14913:C14913"/>
    <mergeCell ref="B14914:C14914"/>
    <mergeCell ref="B14915:C14915"/>
    <mergeCell ref="B14916:C14916"/>
    <mergeCell ref="B14267:C14267"/>
    <mergeCell ref="A14273:F14273"/>
    <mergeCell ref="A14275:F14275"/>
    <mergeCell ref="B14334:C14334"/>
    <mergeCell ref="A14340:F14340"/>
    <mergeCell ref="A14342:F14342"/>
    <mergeCell ref="A14348:F14348"/>
    <mergeCell ref="A14352:F14352"/>
    <mergeCell ref="B14354:C14354"/>
    <mergeCell ref="B14313:C14313"/>
    <mergeCell ref="A14314:F14314"/>
    <mergeCell ref="A14316:G14316"/>
    <mergeCell ref="B14317:C14317"/>
    <mergeCell ref="A14331:F14331"/>
    <mergeCell ref="B15390:C15390"/>
    <mergeCell ref="B15391:C15391"/>
    <mergeCell ref="B15392:C15392"/>
    <mergeCell ref="B15393:C15393"/>
    <mergeCell ref="B15394:C15394"/>
    <mergeCell ref="B15395:C15395"/>
    <mergeCell ref="B15396:C15396"/>
    <mergeCell ref="B14750:C14750"/>
    <mergeCell ref="B14751:C14751"/>
    <mergeCell ref="A14752:G14752"/>
    <mergeCell ref="A12645:F12645"/>
    <mergeCell ref="A12624:F12624"/>
    <mergeCell ref="A12626:G12626"/>
    <mergeCell ref="B12627:C12627"/>
    <mergeCell ref="A12633:F12633"/>
    <mergeCell ref="A12635:F12635"/>
    <mergeCell ref="A12641:F12641"/>
    <mergeCell ref="B14640:C14640"/>
    <mergeCell ref="B14641:C14641"/>
    <mergeCell ref="B14642:C14642"/>
    <mergeCell ref="B14643:C14643"/>
    <mergeCell ref="B14644:C14644"/>
    <mergeCell ref="A14645:F14645"/>
    <mergeCell ref="A14647:G14647"/>
    <mergeCell ref="B14648:C14648"/>
    <mergeCell ref="A14662:F14662"/>
    <mergeCell ref="A14664:G14664"/>
    <mergeCell ref="A14811:F14811"/>
    <mergeCell ref="B15371:C15371"/>
    <mergeCell ref="A15372:G15372"/>
    <mergeCell ref="B15373:C15373"/>
    <mergeCell ref="B15374:C15374"/>
    <mergeCell ref="A14945:F14945"/>
    <mergeCell ref="A14873:F14873"/>
    <mergeCell ref="A14879:F14879"/>
    <mergeCell ref="B14842:C14842"/>
    <mergeCell ref="B14843:C14843"/>
    <mergeCell ref="B14844:C14844"/>
    <mergeCell ref="A14845:F14845"/>
    <mergeCell ref="B14818:C14818"/>
    <mergeCell ref="A14819:G14819"/>
    <mergeCell ref="B14820:C14820"/>
    <mergeCell ref="A14824:F14824"/>
    <mergeCell ref="A14826:G14826"/>
    <mergeCell ref="A14834:F14834"/>
    <mergeCell ref="A14756:F14756"/>
    <mergeCell ref="A14758:G14758"/>
    <mergeCell ref="A15387:F15387"/>
    <mergeCell ref="A15389:G15389"/>
    <mergeCell ref="A15377:F15377"/>
    <mergeCell ref="A15379:G15379"/>
    <mergeCell ref="B14817:C14817"/>
    <mergeCell ref="B14776:C14776"/>
    <mergeCell ref="A14777:F14777"/>
    <mergeCell ref="A14779:G14779"/>
    <mergeCell ref="B14780:C14780"/>
    <mergeCell ref="A14794:F14794"/>
    <mergeCell ref="A14796:G14796"/>
    <mergeCell ref="B14770:C14770"/>
    <mergeCell ref="B14771:C14771"/>
    <mergeCell ref="B14772:C14772"/>
    <mergeCell ref="B14773:C14773"/>
    <mergeCell ref="B14774:C14774"/>
    <mergeCell ref="B14775:C14775"/>
    <mergeCell ref="A14836:G14836"/>
    <mergeCell ref="B14837:C14837"/>
    <mergeCell ref="B14841:C14841"/>
    <mergeCell ref="B14375:C14375"/>
    <mergeCell ref="B14376:C14376"/>
    <mergeCell ref="B14377:C14377"/>
    <mergeCell ref="B14355:C14355"/>
    <mergeCell ref="A14356:G14356"/>
    <mergeCell ref="B14357:C14357"/>
    <mergeCell ref="B14358:C14358"/>
    <mergeCell ref="A14361:F14361"/>
    <mergeCell ref="A14363:G14363"/>
    <mergeCell ref="A14472:G14472"/>
    <mergeCell ref="B14473:C14473"/>
    <mergeCell ref="A14479:F14479"/>
    <mergeCell ref="A14917:F14917"/>
    <mergeCell ref="A14898:G14898"/>
    <mergeCell ref="A14906:F14906"/>
    <mergeCell ref="A14908:G14908"/>
    <mergeCell ref="B14909:C14909"/>
    <mergeCell ref="B14910:C14910"/>
    <mergeCell ref="B14911:C14911"/>
    <mergeCell ref="A14815:F14815"/>
    <mergeCell ref="B14242:C14242"/>
    <mergeCell ref="B14291:C14291"/>
    <mergeCell ref="A14293:F14293"/>
    <mergeCell ref="A14295:G14295"/>
    <mergeCell ref="A14303:F14303"/>
    <mergeCell ref="A14305:G14305"/>
    <mergeCell ref="B14306:C14306"/>
    <mergeCell ref="A14281:F14281"/>
    <mergeCell ref="A14285:F14285"/>
    <mergeCell ref="B14287:C14287"/>
    <mergeCell ref="B14288:C14288"/>
    <mergeCell ref="B14797:C14797"/>
    <mergeCell ref="A14803:F14803"/>
    <mergeCell ref="A14805:F14805"/>
    <mergeCell ref="A14766:F14766"/>
    <mergeCell ref="A14768:G14768"/>
    <mergeCell ref="B14769:C14769"/>
    <mergeCell ref="B13013:C13013"/>
    <mergeCell ref="A13020:F13020"/>
    <mergeCell ref="A13022:G13022"/>
    <mergeCell ref="A13030:F13030"/>
    <mergeCell ref="A13059:G13059"/>
    <mergeCell ref="B13060:C13060"/>
    <mergeCell ref="A13066:F13066"/>
    <mergeCell ref="A13068:F13068"/>
    <mergeCell ref="A13074:F13074"/>
    <mergeCell ref="A13078:F13078"/>
    <mergeCell ref="B13038:C13038"/>
    <mergeCell ref="B13039:C13039"/>
    <mergeCell ref="A13040:F13040"/>
    <mergeCell ref="A13042:G13042"/>
    <mergeCell ref="B13043:C13043"/>
    <mergeCell ref="A13057:F13057"/>
    <mergeCell ref="A13082:G13082"/>
    <mergeCell ref="B13083:C13083"/>
    <mergeCell ref="A13098:F13098"/>
    <mergeCell ref="A13100:G13100"/>
    <mergeCell ref="A13108:F13108"/>
    <mergeCell ref="A13110:G13110"/>
    <mergeCell ref="B13111:C13111"/>
    <mergeCell ref="B13112:C13112"/>
    <mergeCell ref="B13113:C13113"/>
    <mergeCell ref="B13114:C13114"/>
    <mergeCell ref="B13115:C13115"/>
    <mergeCell ref="B13116:C13116"/>
    <mergeCell ref="B13117:C13117"/>
    <mergeCell ref="A13358:F13358"/>
    <mergeCell ref="A13364:F13364"/>
    <mergeCell ref="A13368:F13368"/>
    <mergeCell ref="B13329:C13329"/>
    <mergeCell ref="A13330:F13330"/>
    <mergeCell ref="A13332:G13332"/>
    <mergeCell ref="B13333:C13333"/>
    <mergeCell ref="A13347:F13347"/>
    <mergeCell ref="A13349:G13349"/>
    <mergeCell ref="B13323:C13323"/>
    <mergeCell ref="B13324:C13324"/>
    <mergeCell ref="B13325:C13325"/>
    <mergeCell ref="B13326:C13326"/>
    <mergeCell ref="B13327:C13327"/>
    <mergeCell ref="B13328:C13328"/>
    <mergeCell ref="B13302:C13302"/>
    <mergeCell ref="B13303:C13303"/>
    <mergeCell ref="A13310:F13310"/>
    <mergeCell ref="A13312:G13312"/>
    <mergeCell ref="A13320:F13320"/>
    <mergeCell ref="B12239:C12239"/>
    <mergeCell ref="A12290:F12290"/>
    <mergeCell ref="B12032:C12032"/>
    <mergeCell ref="A12033:G12033"/>
    <mergeCell ref="B12034:C12034"/>
    <mergeCell ref="A12038:F12038"/>
    <mergeCell ref="A12040:G12040"/>
    <mergeCell ref="A12048:F12048"/>
    <mergeCell ref="A12101:G12101"/>
    <mergeCell ref="B12102:C12102"/>
    <mergeCell ref="A12105:F12105"/>
    <mergeCell ref="A12076:F12076"/>
    <mergeCell ref="A12078:G12078"/>
    <mergeCell ref="B12079:C12079"/>
    <mergeCell ref="A12085:F12085"/>
    <mergeCell ref="A12087:F12087"/>
    <mergeCell ref="A12093:F12093"/>
    <mergeCell ref="B12056:C12056"/>
    <mergeCell ref="B12057:C12057"/>
    <mergeCell ref="B12190:C12190"/>
    <mergeCell ref="B12191:C12191"/>
    <mergeCell ref="B13009:C13009"/>
    <mergeCell ref="B13010:C13010"/>
    <mergeCell ref="A13032:G13032"/>
    <mergeCell ref="B13033:C13033"/>
    <mergeCell ref="B13034:C13034"/>
    <mergeCell ref="B13035:C13035"/>
    <mergeCell ref="B13036:C13036"/>
    <mergeCell ref="B13037:C13037"/>
    <mergeCell ref="B12166:C12166"/>
    <mergeCell ref="B12167:C12167"/>
    <mergeCell ref="A12168:G12168"/>
    <mergeCell ref="A12128:G12128"/>
    <mergeCell ref="B12129:C12129"/>
    <mergeCell ref="A12143:F12143"/>
    <mergeCell ref="A12145:G12145"/>
    <mergeCell ref="B12146:C12146"/>
    <mergeCell ref="A12152:F12152"/>
    <mergeCell ref="A12243:G12243"/>
    <mergeCell ref="A12251:F12251"/>
    <mergeCell ref="A12253:G12253"/>
    <mergeCell ref="B12254:C12254"/>
    <mergeCell ref="B12255:C12255"/>
    <mergeCell ref="B12256:C12256"/>
    <mergeCell ref="B12240:C12240"/>
    <mergeCell ref="A12241:F12241"/>
    <mergeCell ref="B12234:C12234"/>
    <mergeCell ref="B12235:C12235"/>
    <mergeCell ref="A12236:G12236"/>
    <mergeCell ref="B12237:C12237"/>
    <mergeCell ref="B12238:C12238"/>
    <mergeCell ref="B12257:C12257"/>
    <mergeCell ref="B12258:C12258"/>
    <mergeCell ref="B12259:C12259"/>
    <mergeCell ref="B12260:C12260"/>
    <mergeCell ref="B12261:C12261"/>
    <mergeCell ref="A12262:F12262"/>
    <mergeCell ref="B12121:C12121"/>
    <mergeCell ref="B12122:C12122"/>
    <mergeCell ref="B12123:C12123"/>
    <mergeCell ref="B12124:C12124"/>
    <mergeCell ref="B12125:C12125"/>
    <mergeCell ref="A12126:F12126"/>
    <mergeCell ref="A12213:G12213"/>
    <mergeCell ref="B12214:C12214"/>
    <mergeCell ref="A12185:G12185"/>
    <mergeCell ref="A12154:F12154"/>
    <mergeCell ref="A12160:F12160"/>
    <mergeCell ref="A12164:F12164"/>
    <mergeCell ref="A12220:F12220"/>
    <mergeCell ref="A12222:F12222"/>
    <mergeCell ref="A12228:F12228"/>
    <mergeCell ref="A12232:F12232"/>
    <mergeCell ref="B12192:C12192"/>
    <mergeCell ref="B12193:C12193"/>
    <mergeCell ref="A12194:F12194"/>
    <mergeCell ref="A12196:G12196"/>
    <mergeCell ref="B12197:C12197"/>
    <mergeCell ref="A12211:F12211"/>
    <mergeCell ref="B12186:C12186"/>
    <mergeCell ref="B12187:C12187"/>
    <mergeCell ref="B12188:C12188"/>
    <mergeCell ref="B12189:C12189"/>
    <mergeCell ref="B12311:C12311"/>
    <mergeCell ref="B12312:C12312"/>
    <mergeCell ref="A12313:F12313"/>
    <mergeCell ref="A12315:G12315"/>
    <mergeCell ref="A12323:F12323"/>
    <mergeCell ref="B12305:C12305"/>
    <mergeCell ref="B12306:C12306"/>
    <mergeCell ref="B12307:C12307"/>
    <mergeCell ref="B12308:C12308"/>
    <mergeCell ref="B12309:C12309"/>
    <mergeCell ref="B12310:C12310"/>
    <mergeCell ref="A12296:F12296"/>
    <mergeCell ref="A12300:F12300"/>
    <mergeCell ref="B12302:C12302"/>
    <mergeCell ref="B12303:C12303"/>
    <mergeCell ref="A12304:G12304"/>
    <mergeCell ref="A12264:G12264"/>
    <mergeCell ref="B12265:C12265"/>
    <mergeCell ref="A12279:F12279"/>
    <mergeCell ref="A12281:G12281"/>
    <mergeCell ref="B12282:C12282"/>
    <mergeCell ref="A12288:F12288"/>
    <mergeCell ref="A12352:G12352"/>
    <mergeCell ref="B12353:C12353"/>
    <mergeCell ref="A12358:F12358"/>
    <mergeCell ref="A12360:F12360"/>
    <mergeCell ref="A12366:F12366"/>
    <mergeCell ref="A12370:F12370"/>
    <mergeCell ref="B12331:C12331"/>
    <mergeCell ref="B12332:C12332"/>
    <mergeCell ref="A12333:F12333"/>
    <mergeCell ref="A12335:G12335"/>
    <mergeCell ref="B12336:C12336"/>
    <mergeCell ref="A12350:F12350"/>
    <mergeCell ref="A12325:G12325"/>
    <mergeCell ref="B12326:C12326"/>
    <mergeCell ref="B12327:C12327"/>
    <mergeCell ref="B12328:C12328"/>
    <mergeCell ref="B12329:C12329"/>
    <mergeCell ref="B12330:C12330"/>
    <mergeCell ref="A12428:F12428"/>
    <mergeCell ref="A12434:F12434"/>
    <mergeCell ref="B12397:C12397"/>
    <mergeCell ref="B12398:C12398"/>
    <mergeCell ref="B12399:C12399"/>
    <mergeCell ref="A12400:F12400"/>
    <mergeCell ref="A12402:G12402"/>
    <mergeCell ref="B12403:C12403"/>
    <mergeCell ref="A12390:F12390"/>
    <mergeCell ref="A12392:G12392"/>
    <mergeCell ref="B12393:C12393"/>
    <mergeCell ref="B12394:C12394"/>
    <mergeCell ref="B12395:C12395"/>
    <mergeCell ref="B12396:C12396"/>
    <mergeCell ref="B12372:C12372"/>
    <mergeCell ref="B12373:C12373"/>
    <mergeCell ref="A12374:G12374"/>
    <mergeCell ref="B12375:C12375"/>
    <mergeCell ref="A12380:F12380"/>
    <mergeCell ref="A12382:G12382"/>
    <mergeCell ref="B10938:C10938"/>
    <mergeCell ref="B10939:C10939"/>
    <mergeCell ref="B10940:C10940"/>
    <mergeCell ref="A10941:F10941"/>
    <mergeCell ref="A10943:G10943"/>
    <mergeCell ref="B10944:C10944"/>
    <mergeCell ref="A10931:F10931"/>
    <mergeCell ref="A10933:G10933"/>
    <mergeCell ref="B10934:C10934"/>
    <mergeCell ref="B10935:C10935"/>
    <mergeCell ref="B10936:C10936"/>
    <mergeCell ref="B10937:C10937"/>
    <mergeCell ref="B10913:C10913"/>
    <mergeCell ref="B10914:C10914"/>
    <mergeCell ref="A10915:G10915"/>
    <mergeCell ref="B10916:C10916"/>
    <mergeCell ref="A10919:F10919"/>
    <mergeCell ref="A10921:G10921"/>
    <mergeCell ref="A10987:G10987"/>
    <mergeCell ref="A10995:F10995"/>
    <mergeCell ref="A10997:G10997"/>
    <mergeCell ref="B10998:C10998"/>
    <mergeCell ref="B10999:C10999"/>
    <mergeCell ref="B11000:C11000"/>
    <mergeCell ref="A10977:F10977"/>
    <mergeCell ref="B10979:C10979"/>
    <mergeCell ref="B10980:C10980"/>
    <mergeCell ref="A10981:G10981"/>
    <mergeCell ref="B10982:C10982"/>
    <mergeCell ref="A10985:F10985"/>
    <mergeCell ref="A10958:F10958"/>
    <mergeCell ref="A10960:G10960"/>
    <mergeCell ref="B10961:C10961"/>
    <mergeCell ref="A10965:F10965"/>
    <mergeCell ref="A10967:F10967"/>
    <mergeCell ref="A10973:F10973"/>
    <mergeCell ref="A11008:G11008"/>
    <mergeCell ref="B11009:C11009"/>
    <mergeCell ref="A11023:F11023"/>
    <mergeCell ref="A11025:G11025"/>
    <mergeCell ref="B11026:C11026"/>
    <mergeCell ref="A11030:F11030"/>
    <mergeCell ref="B11001:C11001"/>
    <mergeCell ref="B11002:C11002"/>
    <mergeCell ref="B11003:C11003"/>
    <mergeCell ref="B11004:C11004"/>
    <mergeCell ref="B11005:C11005"/>
    <mergeCell ref="A11006:F11006"/>
    <mergeCell ref="B11044:C11044"/>
    <mergeCell ref="B11045:C11045"/>
    <mergeCell ref="A11046:G11046"/>
    <mergeCell ref="B11047:C11047"/>
    <mergeCell ref="A11050:F11050"/>
    <mergeCell ref="A11032:F11032"/>
    <mergeCell ref="A11038:F11038"/>
    <mergeCell ref="A11042:F11042"/>
    <mergeCell ref="B11111:C11111"/>
    <mergeCell ref="B11112:C11112"/>
    <mergeCell ref="A11113:G11113"/>
    <mergeCell ref="A11052:G11052"/>
    <mergeCell ref="A11060:F11060"/>
    <mergeCell ref="A11062:G11062"/>
    <mergeCell ref="B11063:C11063"/>
    <mergeCell ref="B11064:C11064"/>
    <mergeCell ref="B11065:C11065"/>
    <mergeCell ref="B11066:C11066"/>
    <mergeCell ref="B11067:C11067"/>
    <mergeCell ref="B11068:C11068"/>
    <mergeCell ref="B11091:C11091"/>
    <mergeCell ref="A11097:F11097"/>
    <mergeCell ref="A11099:F11099"/>
    <mergeCell ref="A11105:F11105"/>
    <mergeCell ref="A11109:F11109"/>
    <mergeCell ref="B11137:C11137"/>
    <mergeCell ref="A11138:F11138"/>
    <mergeCell ref="A11140:G11140"/>
    <mergeCell ref="B11141:C11141"/>
    <mergeCell ref="A11155:F11155"/>
    <mergeCell ref="A11157:G11157"/>
    <mergeCell ref="B11131:C11131"/>
    <mergeCell ref="B11132:C11132"/>
    <mergeCell ref="B11133:C11133"/>
    <mergeCell ref="B11134:C11134"/>
    <mergeCell ref="B11135:C11135"/>
    <mergeCell ref="B11136:C11136"/>
    <mergeCell ref="B11114:C11114"/>
    <mergeCell ref="A11117:F11117"/>
    <mergeCell ref="A11119:G11119"/>
    <mergeCell ref="A11127:F11127"/>
    <mergeCell ref="A11129:G11129"/>
    <mergeCell ref="B11130:C11130"/>
    <mergeCell ref="B11115:C11115"/>
    <mergeCell ref="A11196:G11196"/>
    <mergeCell ref="B11197:C11197"/>
    <mergeCell ref="B11198:C11198"/>
    <mergeCell ref="B11199:C11199"/>
    <mergeCell ref="B11200:C11200"/>
    <mergeCell ref="B11201:C11201"/>
    <mergeCell ref="B11179:C11179"/>
    <mergeCell ref="A11180:G11180"/>
    <mergeCell ref="B11181:C11181"/>
    <mergeCell ref="A11184:F11184"/>
    <mergeCell ref="A11186:G11186"/>
    <mergeCell ref="A11194:F11194"/>
    <mergeCell ref="B11158:C11158"/>
    <mergeCell ref="A11164:F11164"/>
    <mergeCell ref="A11166:F11166"/>
    <mergeCell ref="A11172:F11172"/>
    <mergeCell ref="A11176:F11176"/>
    <mergeCell ref="B11178:C11178"/>
    <mergeCell ref="B11182:C11182"/>
    <mergeCell ref="A11247:G11247"/>
    <mergeCell ref="B11248:C11248"/>
    <mergeCell ref="A11251:F11251"/>
    <mergeCell ref="B11274:C11274"/>
    <mergeCell ref="A11288:F11288"/>
    <mergeCell ref="A11290:G11290"/>
    <mergeCell ref="B11291:C11291"/>
    <mergeCell ref="A11222:F11222"/>
    <mergeCell ref="A11224:G11224"/>
    <mergeCell ref="B11225:C11225"/>
    <mergeCell ref="A11231:F11231"/>
    <mergeCell ref="A11233:F11233"/>
    <mergeCell ref="A11239:F11239"/>
    <mergeCell ref="B11202:C11202"/>
    <mergeCell ref="B11203:C11203"/>
    <mergeCell ref="B11204:C11204"/>
    <mergeCell ref="A11205:F11205"/>
    <mergeCell ref="A11207:G11207"/>
    <mergeCell ref="B11208:C11208"/>
    <mergeCell ref="A11261:F11261"/>
    <mergeCell ref="A11263:G11263"/>
    <mergeCell ref="B11264:C11264"/>
    <mergeCell ref="B11265:C11265"/>
    <mergeCell ref="B11266:C11266"/>
    <mergeCell ref="A11243:F11243"/>
    <mergeCell ref="A11365:F11365"/>
    <mergeCell ref="A11371:F11371"/>
    <mergeCell ref="A11375:F11375"/>
    <mergeCell ref="A11339:G11339"/>
    <mergeCell ref="B11340:C11340"/>
    <mergeCell ref="A11354:F11354"/>
    <mergeCell ref="A11356:G11356"/>
    <mergeCell ref="B11357:C11357"/>
    <mergeCell ref="A11363:F11363"/>
    <mergeCell ref="B11332:C11332"/>
    <mergeCell ref="B11333:C11333"/>
    <mergeCell ref="B11334:C11334"/>
    <mergeCell ref="B11335:C11335"/>
    <mergeCell ref="B11336:C11336"/>
    <mergeCell ref="A11337:F11337"/>
    <mergeCell ref="A11317:F11317"/>
    <mergeCell ref="A11319:G11319"/>
    <mergeCell ref="A11327:F11327"/>
    <mergeCell ref="A11329:G11329"/>
    <mergeCell ref="B11330:C11330"/>
    <mergeCell ref="B11331:C11331"/>
    <mergeCell ref="B11311:C11311"/>
    <mergeCell ref="B11312:C11312"/>
    <mergeCell ref="A11313:G11313"/>
    <mergeCell ref="B11314:C11314"/>
    <mergeCell ref="B10319:C10319"/>
    <mergeCell ref="A10333:F10333"/>
    <mergeCell ref="A10335:G10335"/>
    <mergeCell ref="B10336:C10336"/>
    <mergeCell ref="A10342:F10342"/>
    <mergeCell ref="A10344:F10344"/>
    <mergeCell ref="B10312:C10312"/>
    <mergeCell ref="B10313:C10313"/>
    <mergeCell ref="B10314:C10314"/>
    <mergeCell ref="B10315:C10315"/>
    <mergeCell ref="A10316:F10316"/>
    <mergeCell ref="A10318:G10318"/>
    <mergeCell ref="B10384:C10384"/>
    <mergeCell ref="B10385:C10385"/>
    <mergeCell ref="B10386:C10386"/>
    <mergeCell ref="B10387:C10387"/>
    <mergeCell ref="B10388:C10388"/>
    <mergeCell ref="A10389:F10389"/>
    <mergeCell ref="A10369:F10369"/>
    <mergeCell ref="A10371:G10371"/>
    <mergeCell ref="A10379:F10379"/>
    <mergeCell ref="A10381:G10381"/>
    <mergeCell ref="B10382:C10382"/>
    <mergeCell ref="B10383:C10383"/>
    <mergeCell ref="A10350:F10350"/>
    <mergeCell ref="A10354:F10354"/>
    <mergeCell ref="B11245:C11245"/>
    <mergeCell ref="B11246:C11246"/>
    <mergeCell ref="B10357:C10357"/>
    <mergeCell ref="A10358:G10358"/>
    <mergeCell ref="B10359:C10359"/>
    <mergeCell ref="A10527:G10527"/>
    <mergeCell ref="B10528:C10528"/>
    <mergeCell ref="A10542:F10542"/>
    <mergeCell ref="A10544:G10544"/>
    <mergeCell ref="B10545:C10545"/>
    <mergeCell ref="A10551:F10551"/>
    <mergeCell ref="A10553:F10553"/>
    <mergeCell ref="A10559:F10559"/>
    <mergeCell ref="A10563:F10563"/>
    <mergeCell ref="B10362:C10362"/>
    <mergeCell ref="B10363:C10363"/>
    <mergeCell ref="B10364:C10364"/>
    <mergeCell ref="A10427:G10427"/>
    <mergeCell ref="B10428:C10428"/>
    <mergeCell ref="A10413:F10413"/>
    <mergeCell ref="A10419:F10419"/>
    <mergeCell ref="A10423:F10423"/>
    <mergeCell ref="A10391:G10391"/>
    <mergeCell ref="B10392:C10392"/>
    <mergeCell ref="A10406:F10406"/>
    <mergeCell ref="A10408:G10408"/>
    <mergeCell ref="B10409:C10409"/>
    <mergeCell ref="A10411:F10411"/>
    <mergeCell ref="A10438:F10438"/>
    <mergeCell ref="A10440:G10440"/>
    <mergeCell ref="A10448:F10448"/>
    <mergeCell ref="A10450:G10450"/>
    <mergeCell ref="A10484:F10484"/>
    <mergeCell ref="A10490:F10490"/>
    <mergeCell ref="B10425:C10425"/>
    <mergeCell ref="B10426:C10426"/>
    <mergeCell ref="A13902:F13902"/>
    <mergeCell ref="A13904:G13904"/>
    <mergeCell ref="B13905:C13905"/>
    <mergeCell ref="A13919:F13919"/>
    <mergeCell ref="A13921:G13921"/>
    <mergeCell ref="B13922:C13922"/>
    <mergeCell ref="B13896:C13896"/>
    <mergeCell ref="B13897:C13897"/>
    <mergeCell ref="B13898:C13898"/>
    <mergeCell ref="B13899:C13899"/>
    <mergeCell ref="B13900:C13900"/>
    <mergeCell ref="B13901:C13901"/>
    <mergeCell ref="B10457:C10457"/>
    <mergeCell ref="A10458:F10458"/>
    <mergeCell ref="A10460:G10460"/>
    <mergeCell ref="B10461:C10461"/>
    <mergeCell ref="A10475:F10475"/>
    <mergeCell ref="A10477:G10477"/>
    <mergeCell ref="B10451:C10451"/>
    <mergeCell ref="B10452:C10452"/>
    <mergeCell ref="B10453:C10453"/>
    <mergeCell ref="B10454:C10454"/>
    <mergeCell ref="B10455:C10455"/>
    <mergeCell ref="B10456:C10456"/>
    <mergeCell ref="A11536:G11536"/>
    <mergeCell ref="B11537:C11537"/>
    <mergeCell ref="B10478:C10478"/>
    <mergeCell ref="A10482:F10482"/>
    <mergeCell ref="A11305:F11305"/>
    <mergeCell ref="A11309:F11309"/>
    <mergeCell ref="A10494:F10494"/>
    <mergeCell ref="A10705:G10705"/>
    <mergeCell ref="A10665:G10665"/>
    <mergeCell ref="A10614:F10614"/>
    <mergeCell ref="A10616:G10616"/>
    <mergeCell ref="B10617:C10617"/>
    <mergeCell ref="A10623:F10623"/>
    <mergeCell ref="A10625:F10625"/>
    <mergeCell ref="A10631:F10631"/>
    <mergeCell ref="B10594:C10594"/>
    <mergeCell ref="B10595:C10595"/>
    <mergeCell ref="B10596:C10596"/>
    <mergeCell ref="A10597:F10597"/>
    <mergeCell ref="A10599:G10599"/>
    <mergeCell ref="B10600:C10600"/>
    <mergeCell ref="A10587:F10587"/>
    <mergeCell ref="A10589:G10589"/>
    <mergeCell ref="B10590:C10590"/>
    <mergeCell ref="B10591:C10591"/>
    <mergeCell ref="B10592:C10592"/>
    <mergeCell ref="B10593:C10593"/>
    <mergeCell ref="A10697:F10697"/>
    <mergeCell ref="A10701:F10701"/>
    <mergeCell ref="B10703:C10703"/>
    <mergeCell ref="B10704:C10704"/>
    <mergeCell ref="A10635:F10635"/>
    <mergeCell ref="A10643:F10643"/>
    <mergeCell ref="A10645:G10645"/>
    <mergeCell ref="A10653:F10653"/>
    <mergeCell ref="A10577:F10577"/>
    <mergeCell ref="A10579:G10579"/>
    <mergeCell ref="B10565:C10565"/>
    <mergeCell ref="A11431:F11431"/>
    <mergeCell ref="A11429:F11429"/>
    <mergeCell ref="B11532:C11532"/>
    <mergeCell ref="A11534:F11534"/>
    <mergeCell ref="B14151:C14151"/>
    <mergeCell ref="A14152:G14152"/>
    <mergeCell ref="A10689:F10689"/>
    <mergeCell ref="B10658:C10658"/>
    <mergeCell ref="B10659:C10659"/>
    <mergeCell ref="B10660:C10660"/>
    <mergeCell ref="B10661:C10661"/>
    <mergeCell ref="B10662:C10662"/>
    <mergeCell ref="A10663:F10663"/>
    <mergeCell ref="A10735:F10735"/>
    <mergeCell ref="A10737:G10737"/>
    <mergeCell ref="B10738:C10738"/>
    <mergeCell ref="A10752:F10752"/>
    <mergeCell ref="A10754:G10754"/>
    <mergeCell ref="B10755:C10755"/>
    <mergeCell ref="B10729:C10729"/>
    <mergeCell ref="B10730:C10730"/>
    <mergeCell ref="B10731:C10731"/>
    <mergeCell ref="B10732:C10732"/>
    <mergeCell ref="B10733:C10733"/>
    <mergeCell ref="B10734:C10734"/>
    <mergeCell ref="B10706:C10706"/>
    <mergeCell ref="A10714:F10714"/>
    <mergeCell ref="A10716:G10716"/>
    <mergeCell ref="A10725:F10725"/>
    <mergeCell ref="A10727:G10727"/>
    <mergeCell ref="B10728:C10728"/>
    <mergeCell ref="A10691:F10691"/>
    <mergeCell ref="B10800:C10800"/>
    <mergeCell ref="B10801:C10801"/>
    <mergeCell ref="B10802:C10802"/>
    <mergeCell ref="B10803:C10803"/>
    <mergeCell ref="B10804:C10804"/>
    <mergeCell ref="B10805:C10805"/>
    <mergeCell ref="A10778:G10778"/>
    <mergeCell ref="B10779:C10779"/>
    <mergeCell ref="A10787:F10787"/>
    <mergeCell ref="A10789:G10789"/>
    <mergeCell ref="A10797:F10797"/>
    <mergeCell ref="A10799:G10799"/>
    <mergeCell ref="A10762:F10762"/>
    <mergeCell ref="A10764:F10764"/>
    <mergeCell ref="A10770:F10770"/>
    <mergeCell ref="A10774:F10774"/>
    <mergeCell ref="B10776:C10776"/>
    <mergeCell ref="B10777:C10777"/>
    <mergeCell ref="A10849:G10849"/>
    <mergeCell ref="B10850:C10850"/>
    <mergeCell ref="A10853:F10853"/>
    <mergeCell ref="A10855:G10855"/>
    <mergeCell ref="A10863:F10863"/>
    <mergeCell ref="B10827:C10827"/>
    <mergeCell ref="A10833:F10833"/>
    <mergeCell ref="A10835:F10835"/>
    <mergeCell ref="A10841:F10841"/>
    <mergeCell ref="A10845:F10845"/>
    <mergeCell ref="B10847:C10847"/>
    <mergeCell ref="B10806:C10806"/>
    <mergeCell ref="A10807:F10807"/>
    <mergeCell ref="A10809:G10809"/>
    <mergeCell ref="B10810:C10810"/>
    <mergeCell ref="A10824:F10824"/>
    <mergeCell ref="A10826:G10826"/>
    <mergeCell ref="B10848:C10848"/>
    <mergeCell ref="A9890:G9890"/>
    <mergeCell ref="B9891:C9891"/>
    <mergeCell ref="B9892:C9892"/>
    <mergeCell ref="B9893:C9893"/>
    <mergeCell ref="B9894:C9894"/>
    <mergeCell ref="B9895:C9895"/>
    <mergeCell ref="B9896:C9896"/>
    <mergeCell ref="B8721:C8721"/>
    <mergeCell ref="A8727:F8727"/>
    <mergeCell ref="A8729:F8729"/>
    <mergeCell ref="A8735:F8735"/>
    <mergeCell ref="A8739:F8739"/>
    <mergeCell ref="A8701:F8701"/>
    <mergeCell ref="A8703:G8703"/>
    <mergeCell ref="B9370:C9370"/>
    <mergeCell ref="A9371:G9371"/>
    <mergeCell ref="B9372:C9372"/>
    <mergeCell ref="A9379:F9379"/>
    <mergeCell ref="A9381:G9381"/>
    <mergeCell ref="A9389:F9389"/>
    <mergeCell ref="A9391:G9391"/>
    <mergeCell ref="B9392:C9392"/>
    <mergeCell ref="B9393:C9393"/>
    <mergeCell ref="B9394:C9394"/>
    <mergeCell ref="B9395:C9395"/>
    <mergeCell ref="B9396:C9396"/>
    <mergeCell ref="B9397:C9397"/>
    <mergeCell ref="B8704:C8704"/>
    <mergeCell ref="A8718:F8718"/>
    <mergeCell ref="B8356:C8356"/>
    <mergeCell ref="B8357:C8357"/>
    <mergeCell ref="B8358:C8358"/>
    <mergeCell ref="B8359:C8359"/>
    <mergeCell ref="A8360:F8360"/>
    <mergeCell ref="A8362:G8362"/>
    <mergeCell ref="B8363:C8363"/>
    <mergeCell ref="A8379:G8379"/>
    <mergeCell ref="B8380:C8380"/>
    <mergeCell ref="A8386:F8386"/>
    <mergeCell ref="A8388:F8388"/>
    <mergeCell ref="A8394:F8394"/>
    <mergeCell ref="A8398:F8398"/>
    <mergeCell ref="B9869:C9869"/>
    <mergeCell ref="A9878:F9878"/>
    <mergeCell ref="A9880:G9880"/>
    <mergeCell ref="A9888:F9888"/>
    <mergeCell ref="A965:F965"/>
    <mergeCell ref="A971:F971"/>
    <mergeCell ref="A975:F975"/>
    <mergeCell ref="B7994:C7994"/>
    <mergeCell ref="B7995:C7995"/>
    <mergeCell ref="A7996:G7996"/>
    <mergeCell ref="B7997:C7997"/>
    <mergeCell ref="A8002:F8002"/>
    <mergeCell ref="A8004:G8004"/>
    <mergeCell ref="A8012:F8012"/>
    <mergeCell ref="A8014:G8014"/>
    <mergeCell ref="B8015:C8015"/>
    <mergeCell ref="B2110:C2110"/>
    <mergeCell ref="A2124:F2124"/>
    <mergeCell ref="A2126:G2126"/>
    <mergeCell ref="B2127:C2127"/>
    <mergeCell ref="A2133:F2133"/>
    <mergeCell ref="A2135:F2135"/>
    <mergeCell ref="A2141:F2141"/>
    <mergeCell ref="A2145:F2145"/>
    <mergeCell ref="B2077:C2077"/>
    <mergeCell ref="B2078:C2078"/>
    <mergeCell ref="A2079:G2079"/>
    <mergeCell ref="B2080:C2080"/>
    <mergeCell ref="A2087:F2087"/>
    <mergeCell ref="A2089:G2089"/>
    <mergeCell ref="A2097:F2097"/>
    <mergeCell ref="A2099:G2099"/>
    <mergeCell ref="B2100:C2100"/>
    <mergeCell ref="B2101:C2101"/>
    <mergeCell ref="B2102:C2102"/>
    <mergeCell ref="B2103:C2103"/>
    <mergeCell ref="A919:G919"/>
    <mergeCell ref="A927:F927"/>
    <mergeCell ref="A929:G929"/>
    <mergeCell ref="B930:C930"/>
    <mergeCell ref="B931:C931"/>
    <mergeCell ref="B932:C932"/>
    <mergeCell ref="B933:C933"/>
    <mergeCell ref="B934:C934"/>
    <mergeCell ref="B935:C935"/>
    <mergeCell ref="B936:C936"/>
    <mergeCell ref="A937:F937"/>
    <mergeCell ref="A939:G939"/>
    <mergeCell ref="B940:C940"/>
    <mergeCell ref="A954:F954"/>
    <mergeCell ref="A956:G956"/>
    <mergeCell ref="B957:C957"/>
    <mergeCell ref="A963:F963"/>
    <mergeCell ref="A1988:G1988"/>
    <mergeCell ref="B1989:C1989"/>
    <mergeCell ref="B2851:C2851"/>
    <mergeCell ref="B2852:C2852"/>
    <mergeCell ref="B2853:C2853"/>
    <mergeCell ref="B2697:C2697"/>
    <mergeCell ref="A2700:F2700"/>
    <mergeCell ref="A2702:G2702"/>
    <mergeCell ref="A2710:F2710"/>
    <mergeCell ref="A2712:G2712"/>
    <mergeCell ref="B2713:C2713"/>
    <mergeCell ref="B2714:C2714"/>
    <mergeCell ref="B2715:C2715"/>
    <mergeCell ref="B2716:C2716"/>
    <mergeCell ref="B2717:C2717"/>
    <mergeCell ref="B2718:C2718"/>
    <mergeCell ref="B2719:C2719"/>
    <mergeCell ref="A2720:F2720"/>
    <mergeCell ref="A2722:G2722"/>
    <mergeCell ref="B2723:C2723"/>
    <mergeCell ref="A2737:F2737"/>
    <mergeCell ref="A2739:G2739"/>
    <mergeCell ref="B2584:C2584"/>
    <mergeCell ref="B2585:C2585"/>
    <mergeCell ref="B2586:C2586"/>
    <mergeCell ref="B2587:C2587"/>
    <mergeCell ref="A2558:G2558"/>
    <mergeCell ref="B2559:C2559"/>
    <mergeCell ref="A2568:F2568"/>
    <mergeCell ref="A2570:G2570"/>
    <mergeCell ref="A2578:F2578"/>
    <mergeCell ref="A2580:G2580"/>
    <mergeCell ref="A2854:F2854"/>
    <mergeCell ref="A2856:G2856"/>
    <mergeCell ref="B2857:C2857"/>
    <mergeCell ref="A2871:F2871"/>
    <mergeCell ref="A2873:G2873"/>
    <mergeCell ref="B2874:C2874"/>
    <mergeCell ref="A2880:F2880"/>
    <mergeCell ref="A2882:F2882"/>
    <mergeCell ref="A2888:F2888"/>
    <mergeCell ref="A2892:F2892"/>
    <mergeCell ref="B2740:C2740"/>
    <mergeCell ref="A2746:F2746"/>
    <mergeCell ref="A2748:F2748"/>
    <mergeCell ref="A2754:F2754"/>
    <mergeCell ref="A2758:F2758"/>
    <mergeCell ref="B2826:C2826"/>
    <mergeCell ref="B2827:C2827"/>
    <mergeCell ref="A2828:G2828"/>
    <mergeCell ref="B2829:C2829"/>
    <mergeCell ref="A2834:F2834"/>
    <mergeCell ref="A2836:G2836"/>
    <mergeCell ref="A2844:F2844"/>
    <mergeCell ref="A2846:G2846"/>
    <mergeCell ref="B2847:C2847"/>
    <mergeCell ref="B2848:C2848"/>
    <mergeCell ref="B2849:C2849"/>
    <mergeCell ref="B2850:C2850"/>
    <mergeCell ref="B2581:C2581"/>
    <mergeCell ref="B2582:C2582"/>
    <mergeCell ref="B2583:C2583"/>
    <mergeCell ref="A2768:G2768"/>
    <mergeCell ref="A2776:F2776"/>
    <mergeCell ref="A2778:G2778"/>
    <mergeCell ref="B2779:C2779"/>
    <mergeCell ref="B2780:C2780"/>
    <mergeCell ref="B2781:C2781"/>
    <mergeCell ref="B2782:C2782"/>
    <mergeCell ref="A2588:F2588"/>
    <mergeCell ref="A2590:G2590"/>
    <mergeCell ref="B2591:C2591"/>
    <mergeCell ref="A2605:F2605"/>
    <mergeCell ref="A2607:G2607"/>
    <mergeCell ref="B2608:C2608"/>
    <mergeCell ref="B2631:C2631"/>
    <mergeCell ref="A2634:F2634"/>
    <mergeCell ref="A2636:G2636"/>
    <mergeCell ref="A2644:F2644"/>
    <mergeCell ref="A2646:G2646"/>
    <mergeCell ref="B2647:C2647"/>
    <mergeCell ref="B2648:C2648"/>
    <mergeCell ref="B2649:C2649"/>
    <mergeCell ref="B2650:C2650"/>
    <mergeCell ref="B2651:C2651"/>
    <mergeCell ref="B2652:C2652"/>
    <mergeCell ref="B2653:C2653"/>
    <mergeCell ref="A2654:F2654"/>
    <mergeCell ref="A2656:G2656"/>
    <mergeCell ref="B2657:C2657"/>
    <mergeCell ref="A2671:F2671"/>
    <mergeCell ref="A2614:F2614"/>
    <mergeCell ref="A2616:F2616"/>
    <mergeCell ref="A2622:F2622"/>
    <mergeCell ref="A2626:F2626"/>
    <mergeCell ref="B2694:C2694"/>
    <mergeCell ref="B2695:C2695"/>
    <mergeCell ref="A2696:G2696"/>
    <mergeCell ref="A2673:G2673"/>
    <mergeCell ref="B2674:C2674"/>
    <mergeCell ref="A2680:F2680"/>
    <mergeCell ref="A2682:F2682"/>
    <mergeCell ref="A2688:F2688"/>
    <mergeCell ref="A2692:F2692"/>
    <mergeCell ref="B2556:C2556"/>
    <mergeCell ref="B2557:C2557"/>
    <mergeCell ref="B2512:C2512"/>
    <mergeCell ref="B2513:C2513"/>
    <mergeCell ref="B2514:C2514"/>
    <mergeCell ref="B2515:C2515"/>
    <mergeCell ref="A2516:F2516"/>
    <mergeCell ref="A2518:G2518"/>
    <mergeCell ref="B2519:C2519"/>
    <mergeCell ref="A2533:F2533"/>
    <mergeCell ref="A2535:G2535"/>
    <mergeCell ref="B2536:C2536"/>
    <mergeCell ref="A2542:F2542"/>
    <mergeCell ref="A2544:F2544"/>
    <mergeCell ref="A2550:F2550"/>
    <mergeCell ref="A2554:F2554"/>
    <mergeCell ref="B2628:C2628"/>
    <mergeCell ref="B2629:C2629"/>
    <mergeCell ref="A2630:G2630"/>
    <mergeCell ref="A2463:G2463"/>
    <mergeCell ref="B2464:C2464"/>
    <mergeCell ref="A2470:F2470"/>
    <mergeCell ref="A2472:F2472"/>
    <mergeCell ref="A2478:F2478"/>
    <mergeCell ref="A2482:F2482"/>
    <mergeCell ref="B2484:C2484"/>
    <mergeCell ref="B2485:C2485"/>
    <mergeCell ref="A2486:G2486"/>
    <mergeCell ref="B2487:C2487"/>
    <mergeCell ref="A2496:F2496"/>
    <mergeCell ref="A2498:G2498"/>
    <mergeCell ref="A2506:F2506"/>
    <mergeCell ref="A2508:G2508"/>
    <mergeCell ref="B2509:C2509"/>
    <mergeCell ref="B2510:C2510"/>
    <mergeCell ref="B2511:C2511"/>
    <mergeCell ref="A2419:G2419"/>
    <mergeCell ref="B2420:C2420"/>
    <mergeCell ref="A2424:F2424"/>
    <mergeCell ref="A2426:G2426"/>
    <mergeCell ref="A2434:F2434"/>
    <mergeCell ref="A2436:G2436"/>
    <mergeCell ref="B2437:C2437"/>
    <mergeCell ref="B2438:C2438"/>
    <mergeCell ref="B2439:C2439"/>
    <mergeCell ref="B2440:C2440"/>
    <mergeCell ref="B2441:C2441"/>
    <mergeCell ref="B2442:C2442"/>
    <mergeCell ref="B2443:C2443"/>
    <mergeCell ref="A2444:F2444"/>
    <mergeCell ref="A2446:G2446"/>
    <mergeCell ref="B2447:C2447"/>
    <mergeCell ref="A2461:F2461"/>
    <mergeCell ref="B2372:C2372"/>
    <mergeCell ref="B2373:C2373"/>
    <mergeCell ref="B2374:C2374"/>
    <mergeCell ref="B2375:C2375"/>
    <mergeCell ref="B2376:C2376"/>
    <mergeCell ref="A2377:F2377"/>
    <mergeCell ref="A2379:G2379"/>
    <mergeCell ref="B2380:C2380"/>
    <mergeCell ref="A2394:F2394"/>
    <mergeCell ref="A2396:G2396"/>
    <mergeCell ref="B2397:C2397"/>
    <mergeCell ref="A2403:F2403"/>
    <mergeCell ref="A2405:F2405"/>
    <mergeCell ref="A2411:F2411"/>
    <mergeCell ref="A2415:F2415"/>
    <mergeCell ref="B2417:C2417"/>
    <mergeCell ref="B2418:C2418"/>
    <mergeCell ref="A2327:F2327"/>
    <mergeCell ref="A2329:G2329"/>
    <mergeCell ref="B2330:C2330"/>
    <mergeCell ref="A2336:F2336"/>
    <mergeCell ref="A2338:F2338"/>
    <mergeCell ref="A2344:F2344"/>
    <mergeCell ref="A2348:F2348"/>
    <mergeCell ref="B2350:C2350"/>
    <mergeCell ref="B2351:C2351"/>
    <mergeCell ref="A2352:G2352"/>
    <mergeCell ref="B2353:C2353"/>
    <mergeCell ref="A2357:F2357"/>
    <mergeCell ref="A2359:G2359"/>
    <mergeCell ref="A2367:F2367"/>
    <mergeCell ref="A2369:G2369"/>
    <mergeCell ref="B2370:C2370"/>
    <mergeCell ref="B2371:C2371"/>
    <mergeCell ref="B4748:C4748"/>
    <mergeCell ref="B4749:C4749"/>
    <mergeCell ref="B4750:C4750"/>
    <mergeCell ref="B4746:C4746"/>
    <mergeCell ref="B4747:C4747"/>
    <mergeCell ref="A4785:F4785"/>
    <mergeCell ref="A4789:F4789"/>
    <mergeCell ref="A4753:G4753"/>
    <mergeCell ref="B4754:C4754"/>
    <mergeCell ref="A4768:F4768"/>
    <mergeCell ref="A4770:G4770"/>
    <mergeCell ref="B4771:C4771"/>
    <mergeCell ref="B4744:C4744"/>
    <mergeCell ref="A4839:G4839"/>
    <mergeCell ref="B2283:C2283"/>
    <mergeCell ref="B2284:C2284"/>
    <mergeCell ref="A2285:G2285"/>
    <mergeCell ref="B2286:C2286"/>
    <mergeCell ref="A2290:F2290"/>
    <mergeCell ref="A2292:G2292"/>
    <mergeCell ref="A2300:F2300"/>
    <mergeCell ref="A2302:G2302"/>
    <mergeCell ref="B2303:C2303"/>
    <mergeCell ref="B2304:C2304"/>
    <mergeCell ref="B2305:C2305"/>
    <mergeCell ref="B2306:C2306"/>
    <mergeCell ref="B2307:C2307"/>
    <mergeCell ref="B2308:C2308"/>
    <mergeCell ref="B2309:C2309"/>
    <mergeCell ref="A2310:F2310"/>
    <mergeCell ref="A2312:G2312"/>
    <mergeCell ref="B2313:C2313"/>
    <mergeCell ref="B4659:C4659"/>
    <mergeCell ref="A4664:F4664"/>
    <mergeCell ref="A4666:G4666"/>
    <mergeCell ref="A4674:F4674"/>
    <mergeCell ref="A4676:G4676"/>
    <mergeCell ref="B4677:C4677"/>
    <mergeCell ref="B4678:C4678"/>
    <mergeCell ref="B4679:C4679"/>
    <mergeCell ref="B4680:C4680"/>
    <mergeCell ref="B4681:C4681"/>
    <mergeCell ref="B4682:C4682"/>
    <mergeCell ref="B4683:C4683"/>
    <mergeCell ref="A4684:F4684"/>
    <mergeCell ref="A4686:G4686"/>
    <mergeCell ref="B4687:C4687"/>
    <mergeCell ref="A4701:F4701"/>
    <mergeCell ref="A4703:G4703"/>
    <mergeCell ref="B4704:C4704"/>
    <mergeCell ref="A4710:F4710"/>
    <mergeCell ref="A4712:F4712"/>
    <mergeCell ref="A4718:F4718"/>
    <mergeCell ref="A4722:F4722"/>
    <mergeCell ref="A3884:F3884"/>
    <mergeCell ref="A3888:F3888"/>
    <mergeCell ref="A3710:G3710"/>
    <mergeCell ref="B3711:C3711"/>
    <mergeCell ref="A3725:F3725"/>
    <mergeCell ref="B4656:C4656"/>
    <mergeCell ref="B4657:C4657"/>
    <mergeCell ref="A4658:G4658"/>
    <mergeCell ref="B3394:C3394"/>
    <mergeCell ref="B3395:C3395"/>
    <mergeCell ref="A3396:G3396"/>
    <mergeCell ref="B3397:C3397"/>
    <mergeCell ref="B3419:C3419"/>
    <mergeCell ref="B3423:C3423"/>
    <mergeCell ref="B3843:C3843"/>
    <mergeCell ref="B3844:C3844"/>
    <mergeCell ref="B3845:C3845"/>
    <mergeCell ref="B3846:C3846"/>
    <mergeCell ref="B3847:C3847"/>
    <mergeCell ref="B3848:C3848"/>
    <mergeCell ref="B3849:C3849"/>
    <mergeCell ref="A3850:F3850"/>
    <mergeCell ref="A3852:G3852"/>
    <mergeCell ref="B3853:C3853"/>
    <mergeCell ref="A3867:F3867"/>
    <mergeCell ref="A3869:G3869"/>
    <mergeCell ref="B3870:C3870"/>
    <mergeCell ref="A3876:F3876"/>
    <mergeCell ref="A3878:F3878"/>
    <mergeCell ref="A3454:F3454"/>
    <mergeCell ref="A3400:F3400"/>
    <mergeCell ref="A3402:G3402"/>
    <mergeCell ref="A3727:G3727"/>
    <mergeCell ref="B3728:C3728"/>
    <mergeCell ref="A3734:F3734"/>
    <mergeCell ref="A3736:F3736"/>
    <mergeCell ref="A3742:F3742"/>
    <mergeCell ref="A3746:F3746"/>
    <mergeCell ref="B3817:C3817"/>
    <mergeCell ref="B3818:C3818"/>
    <mergeCell ref="A3819:G3819"/>
    <mergeCell ref="B3820:C3820"/>
    <mergeCell ref="A3830:F3830"/>
    <mergeCell ref="A3832:G3832"/>
    <mergeCell ref="A3840:F3840"/>
    <mergeCell ref="A3842:G3842"/>
    <mergeCell ref="A3674:F3674"/>
    <mergeCell ref="B3676:C3676"/>
    <mergeCell ref="B3677:C3677"/>
    <mergeCell ref="A3678:G3678"/>
    <mergeCell ref="B3679:C3679"/>
    <mergeCell ref="A3688:F3688"/>
    <mergeCell ref="A3690:G3690"/>
    <mergeCell ref="A3698:F3698"/>
    <mergeCell ref="A3700:G3700"/>
    <mergeCell ref="B3701:C3701"/>
    <mergeCell ref="B3702:C3702"/>
    <mergeCell ref="B3703:C3703"/>
    <mergeCell ref="B3704:C3704"/>
    <mergeCell ref="B3705:C3705"/>
    <mergeCell ref="B3706:C3706"/>
    <mergeCell ref="B3707:C3707"/>
    <mergeCell ref="A3708:F3708"/>
    <mergeCell ref="A3628:G3628"/>
    <mergeCell ref="B3629:C3629"/>
    <mergeCell ref="B3630:C3630"/>
    <mergeCell ref="B3631:C3631"/>
    <mergeCell ref="B3632:C3632"/>
    <mergeCell ref="B3633:C3633"/>
    <mergeCell ref="B3634:C3634"/>
    <mergeCell ref="B3635:C3635"/>
    <mergeCell ref="A3636:F3636"/>
    <mergeCell ref="A3638:G3638"/>
    <mergeCell ref="B3639:C3639"/>
    <mergeCell ref="A3653:F3653"/>
    <mergeCell ref="A3655:G3655"/>
    <mergeCell ref="B3656:C3656"/>
    <mergeCell ref="A3662:F3662"/>
    <mergeCell ref="A3664:F3664"/>
    <mergeCell ref="A3670:F3670"/>
    <mergeCell ref="B3495:C3495"/>
    <mergeCell ref="A3509:F3509"/>
    <mergeCell ref="A3511:G3511"/>
    <mergeCell ref="B3512:C3512"/>
    <mergeCell ref="A3518:F3518"/>
    <mergeCell ref="A3520:F3520"/>
    <mergeCell ref="A3526:F3526"/>
    <mergeCell ref="A3530:F3530"/>
    <mergeCell ref="B3604:C3604"/>
    <mergeCell ref="B3605:C3605"/>
    <mergeCell ref="A3606:G3606"/>
    <mergeCell ref="B3607:C3607"/>
    <mergeCell ref="A3616:F3616"/>
    <mergeCell ref="A3618:G3618"/>
    <mergeCell ref="A3626:F3626"/>
    <mergeCell ref="A3554:F3554"/>
    <mergeCell ref="A3556:G3556"/>
    <mergeCell ref="B3557:C3557"/>
    <mergeCell ref="B3558:C3558"/>
    <mergeCell ref="B3559:C3559"/>
    <mergeCell ref="B3560:C3560"/>
    <mergeCell ref="B3561:C3561"/>
    <mergeCell ref="B3562:C3562"/>
    <mergeCell ref="B3563:C3563"/>
    <mergeCell ref="A3564:F3564"/>
    <mergeCell ref="A3566:G3566"/>
    <mergeCell ref="B3567:C3567"/>
    <mergeCell ref="A3581:F3581"/>
    <mergeCell ref="A3583:G3583"/>
    <mergeCell ref="B3584:C3584"/>
    <mergeCell ref="A3590:F3590"/>
    <mergeCell ref="A3592:F3592"/>
    <mergeCell ref="B3460:C3460"/>
    <mergeCell ref="B3461:C3461"/>
    <mergeCell ref="A3462:G3462"/>
    <mergeCell ref="B3463:C3463"/>
    <mergeCell ref="A3472:F3472"/>
    <mergeCell ref="A3474:G3474"/>
    <mergeCell ref="A3482:F3482"/>
    <mergeCell ref="A3484:G3484"/>
    <mergeCell ref="B3485:C3485"/>
    <mergeCell ref="B3486:C3486"/>
    <mergeCell ref="B3487:C3487"/>
    <mergeCell ref="B3488:C3488"/>
    <mergeCell ref="B3489:C3489"/>
    <mergeCell ref="B3490:C3490"/>
    <mergeCell ref="B3491:C3491"/>
    <mergeCell ref="A3492:F3492"/>
    <mergeCell ref="A3494:G3494"/>
    <mergeCell ref="A2914:F2914"/>
    <mergeCell ref="A2916:G2916"/>
    <mergeCell ref="B2917:C2917"/>
    <mergeCell ref="B2918:C2918"/>
    <mergeCell ref="B2919:C2919"/>
    <mergeCell ref="B2920:C2920"/>
    <mergeCell ref="B2921:C2921"/>
    <mergeCell ref="B2922:C2922"/>
    <mergeCell ref="B2923:C2923"/>
    <mergeCell ref="A2924:F2924"/>
    <mergeCell ref="A2926:G2926"/>
    <mergeCell ref="B2927:C2927"/>
    <mergeCell ref="A2941:F2941"/>
    <mergeCell ref="A2943:G2943"/>
    <mergeCell ref="B2944:C2944"/>
    <mergeCell ref="A2950:F2950"/>
    <mergeCell ref="A2952:F2952"/>
    <mergeCell ref="A2958:F2958"/>
    <mergeCell ref="B2894:C2894"/>
    <mergeCell ref="B2895:C2895"/>
    <mergeCell ref="A2896:G2896"/>
    <mergeCell ref="B2897:C2897"/>
    <mergeCell ref="A2904:F2904"/>
    <mergeCell ref="A2906:G2906"/>
    <mergeCell ref="A2962:F2962"/>
    <mergeCell ref="B3357:C3357"/>
    <mergeCell ref="A3371:F3371"/>
    <mergeCell ref="A3373:G3373"/>
    <mergeCell ref="B3374:C3374"/>
    <mergeCell ref="A3380:F3380"/>
    <mergeCell ref="A3382:F3382"/>
    <mergeCell ref="A3388:F3388"/>
    <mergeCell ref="A3392:F3392"/>
    <mergeCell ref="B3322:C3322"/>
    <mergeCell ref="B3323:C3323"/>
    <mergeCell ref="A3324:G3324"/>
    <mergeCell ref="B3325:C3325"/>
    <mergeCell ref="A3334:F3334"/>
    <mergeCell ref="A3336:G3336"/>
    <mergeCell ref="A3344:F3344"/>
    <mergeCell ref="A3346:G3346"/>
    <mergeCell ref="B3347:C3347"/>
    <mergeCell ref="B3348:C3348"/>
    <mergeCell ref="B3349:C3349"/>
    <mergeCell ref="B3350:C3350"/>
    <mergeCell ref="B3351:C3351"/>
    <mergeCell ref="B3352:C3352"/>
    <mergeCell ref="B3353:C3353"/>
    <mergeCell ref="A3354:F3354"/>
    <mergeCell ref="A3356:G3356"/>
    <mergeCell ref="B3275:C3275"/>
    <mergeCell ref="B3276:C3276"/>
    <mergeCell ref="B3277:C3277"/>
    <mergeCell ref="B3278:C3278"/>
    <mergeCell ref="B3279:C3279"/>
    <mergeCell ref="B3280:C3280"/>
    <mergeCell ref="B3281:C3281"/>
    <mergeCell ref="A3282:F3282"/>
    <mergeCell ref="A3284:G3284"/>
    <mergeCell ref="B3285:C3285"/>
    <mergeCell ref="A3299:F3299"/>
    <mergeCell ref="A3301:G3301"/>
    <mergeCell ref="B3302:C3302"/>
    <mergeCell ref="A3308:F3308"/>
    <mergeCell ref="A3310:F3310"/>
    <mergeCell ref="A3316:F3316"/>
    <mergeCell ref="A3320:F3320"/>
    <mergeCell ref="A3212:G3212"/>
    <mergeCell ref="B3213:C3213"/>
    <mergeCell ref="A3227:F3227"/>
    <mergeCell ref="A3229:G3229"/>
    <mergeCell ref="B3230:C3230"/>
    <mergeCell ref="A3236:F3236"/>
    <mergeCell ref="A3238:F3238"/>
    <mergeCell ref="A3244:F3244"/>
    <mergeCell ref="A3248:F3248"/>
    <mergeCell ref="B3250:C3250"/>
    <mergeCell ref="B3251:C3251"/>
    <mergeCell ref="A3252:G3252"/>
    <mergeCell ref="B3253:C3253"/>
    <mergeCell ref="A3262:F3262"/>
    <mergeCell ref="A3264:G3264"/>
    <mergeCell ref="A3272:F3272"/>
    <mergeCell ref="A3274:G3274"/>
    <mergeCell ref="A3176:F3176"/>
    <mergeCell ref="B3178:C3178"/>
    <mergeCell ref="B3179:C3179"/>
    <mergeCell ref="A3180:G3180"/>
    <mergeCell ref="B3181:C3181"/>
    <mergeCell ref="A3190:F3190"/>
    <mergeCell ref="A3192:G3192"/>
    <mergeCell ref="A3200:F3200"/>
    <mergeCell ref="A3202:G3202"/>
    <mergeCell ref="B3203:C3203"/>
    <mergeCell ref="B3204:C3204"/>
    <mergeCell ref="B3205:C3205"/>
    <mergeCell ref="B3206:C3206"/>
    <mergeCell ref="B3207:C3207"/>
    <mergeCell ref="B3208:C3208"/>
    <mergeCell ref="B3209:C3209"/>
    <mergeCell ref="A3210:F3210"/>
    <mergeCell ref="B4619:C4619"/>
    <mergeCell ref="A4633:F4633"/>
    <mergeCell ref="A4635:G4635"/>
    <mergeCell ref="B4636:C4636"/>
    <mergeCell ref="A4642:F4642"/>
    <mergeCell ref="A4644:F4644"/>
    <mergeCell ref="A4650:F4650"/>
    <mergeCell ref="A4654:F4654"/>
    <mergeCell ref="B3106:C3106"/>
    <mergeCell ref="B3107:C3107"/>
    <mergeCell ref="A3108:G3108"/>
    <mergeCell ref="B3109:C3109"/>
    <mergeCell ref="A3118:F3118"/>
    <mergeCell ref="A3120:G3120"/>
    <mergeCell ref="A3128:F3128"/>
    <mergeCell ref="A3130:G3130"/>
    <mergeCell ref="B3131:C3131"/>
    <mergeCell ref="B3132:C3132"/>
    <mergeCell ref="B3133:C3133"/>
    <mergeCell ref="B3134:C3134"/>
    <mergeCell ref="B3135:C3135"/>
    <mergeCell ref="B3136:C3136"/>
    <mergeCell ref="B3137:C3137"/>
    <mergeCell ref="A3138:F3138"/>
    <mergeCell ref="A3140:G3140"/>
    <mergeCell ref="B3141:C3141"/>
    <mergeCell ref="A3155:F3155"/>
    <mergeCell ref="A3157:G3157"/>
    <mergeCell ref="B3158:C3158"/>
    <mergeCell ref="A3164:F3164"/>
    <mergeCell ref="A3166:F3166"/>
    <mergeCell ref="A3172:F3172"/>
    <mergeCell ref="B4583:C4583"/>
    <mergeCell ref="B4584:C4584"/>
    <mergeCell ref="A4585:G4585"/>
    <mergeCell ref="B4586:C4586"/>
    <mergeCell ref="A4596:F4596"/>
    <mergeCell ref="A4598:G4598"/>
    <mergeCell ref="A4606:F4606"/>
    <mergeCell ref="A4608:G4608"/>
    <mergeCell ref="B4609:C4609"/>
    <mergeCell ref="B4610:C4610"/>
    <mergeCell ref="B4611:C4611"/>
    <mergeCell ref="B4612:C4612"/>
    <mergeCell ref="B4613:C4613"/>
    <mergeCell ref="B4614:C4614"/>
    <mergeCell ref="B4615:C4615"/>
    <mergeCell ref="A4616:F4616"/>
    <mergeCell ref="A4618:G4618"/>
    <mergeCell ref="B3059:C3059"/>
    <mergeCell ref="B3060:C3060"/>
    <mergeCell ref="B3061:C3061"/>
    <mergeCell ref="B3062:C3062"/>
    <mergeCell ref="B3063:C3063"/>
    <mergeCell ref="B3064:C3064"/>
    <mergeCell ref="B3065:C3065"/>
    <mergeCell ref="A3066:F3066"/>
    <mergeCell ref="A3068:G3068"/>
    <mergeCell ref="B3069:C3069"/>
    <mergeCell ref="A3083:F3083"/>
    <mergeCell ref="A3085:G3085"/>
    <mergeCell ref="B3086:C3086"/>
    <mergeCell ref="A3092:F3092"/>
    <mergeCell ref="A3094:F3094"/>
    <mergeCell ref="A3100:F3100"/>
    <mergeCell ref="A3104:F3104"/>
    <mergeCell ref="A1600:F1600"/>
    <mergeCell ref="B3034:C3034"/>
    <mergeCell ref="B3035:C3035"/>
    <mergeCell ref="A3036:G3036"/>
    <mergeCell ref="B3037:C3037"/>
    <mergeCell ref="A3046:F3046"/>
    <mergeCell ref="A3048:G3048"/>
    <mergeCell ref="A3056:F3056"/>
    <mergeCell ref="A3058:G3058"/>
    <mergeCell ref="A1554:G1554"/>
    <mergeCell ref="B1555:C1555"/>
    <mergeCell ref="B1556:C1556"/>
    <mergeCell ref="B1557:C1557"/>
    <mergeCell ref="B1558:C1558"/>
    <mergeCell ref="B1559:C1559"/>
    <mergeCell ref="B1560:C1560"/>
    <mergeCell ref="B1561:C1561"/>
    <mergeCell ref="A1562:F1562"/>
    <mergeCell ref="A1564:G1564"/>
    <mergeCell ref="B1565:C1565"/>
    <mergeCell ref="A1579:F1579"/>
    <mergeCell ref="A1581:G1581"/>
    <mergeCell ref="B1582:C1582"/>
    <mergeCell ref="A1588:F1588"/>
    <mergeCell ref="A1590:F1590"/>
    <mergeCell ref="A1596:F1596"/>
    <mergeCell ref="A1837:G1837"/>
    <mergeCell ref="B1838:C1838"/>
    <mergeCell ref="A1807:F1807"/>
    <mergeCell ref="B1809:C1809"/>
    <mergeCell ref="A2281:F2281"/>
    <mergeCell ref="A2277:F2277"/>
    <mergeCell ref="B1531:C1531"/>
    <mergeCell ref="B1532:C1532"/>
    <mergeCell ref="A1533:G1533"/>
    <mergeCell ref="B1534:C1534"/>
    <mergeCell ref="A1542:F1542"/>
    <mergeCell ref="A1544:G1544"/>
    <mergeCell ref="A1552:F1552"/>
    <mergeCell ref="B1462:C1462"/>
    <mergeCell ref="A1464:G1464"/>
    <mergeCell ref="B1465:C1465"/>
    <mergeCell ref="A1471:F1471"/>
    <mergeCell ref="A1473:G1473"/>
    <mergeCell ref="A1481:F1481"/>
    <mergeCell ref="A1483:G1483"/>
    <mergeCell ref="B1484:C1484"/>
    <mergeCell ref="B1485:C1485"/>
    <mergeCell ref="B1486:C1486"/>
    <mergeCell ref="B1487:C1487"/>
    <mergeCell ref="B1488:C1488"/>
    <mergeCell ref="B1489:C1489"/>
    <mergeCell ref="B1490:C1490"/>
    <mergeCell ref="A1491:F1491"/>
    <mergeCell ref="B1494:C1494"/>
    <mergeCell ref="A1508:F1508"/>
    <mergeCell ref="A1510:G1510"/>
    <mergeCell ref="B1511:C1511"/>
    <mergeCell ref="B1393:C1393"/>
    <mergeCell ref="B1394:C1394"/>
    <mergeCell ref="A1395:G1395"/>
    <mergeCell ref="B1396:C1396"/>
    <mergeCell ref="A1402:F1402"/>
    <mergeCell ref="A1404:G1404"/>
    <mergeCell ref="A1412:F1412"/>
    <mergeCell ref="A1414:G1414"/>
    <mergeCell ref="B1415:C1415"/>
    <mergeCell ref="B1416:C1416"/>
    <mergeCell ref="B1417:C1417"/>
    <mergeCell ref="B1418:C1418"/>
    <mergeCell ref="B1419:C1419"/>
    <mergeCell ref="B1420:C1420"/>
    <mergeCell ref="B1421:C1421"/>
    <mergeCell ref="B1463:C1463"/>
    <mergeCell ref="A1493:G1493"/>
    <mergeCell ref="A1422:F1422"/>
    <mergeCell ref="A1424:G1424"/>
    <mergeCell ref="B1425:C1425"/>
    <mergeCell ref="A1439:F1439"/>
    <mergeCell ref="A1441:G1441"/>
    <mergeCell ref="B1442:C1442"/>
    <mergeCell ref="A1448:F1448"/>
    <mergeCell ref="A1450:F1450"/>
    <mergeCell ref="A1456:F1456"/>
    <mergeCell ref="A1460:F1460"/>
    <mergeCell ref="A1852:F1852"/>
    <mergeCell ref="A1854:G1854"/>
    <mergeCell ref="B1855:C1855"/>
    <mergeCell ref="A1861:F1861"/>
    <mergeCell ref="A1863:F1863"/>
    <mergeCell ref="A1869:F1869"/>
    <mergeCell ref="A1873:F1873"/>
    <mergeCell ref="B1251:C1251"/>
    <mergeCell ref="B1252:C1252"/>
    <mergeCell ref="A1253:G1253"/>
    <mergeCell ref="B1254:C1254"/>
    <mergeCell ref="A1262:F1262"/>
    <mergeCell ref="A1264:G1264"/>
    <mergeCell ref="A1272:F1272"/>
    <mergeCell ref="A1274:G1274"/>
    <mergeCell ref="B1275:C1275"/>
    <mergeCell ref="B1276:C1276"/>
    <mergeCell ref="B1277:C1277"/>
    <mergeCell ref="B1278:C1278"/>
    <mergeCell ref="B1279:C1279"/>
    <mergeCell ref="B1280:C1280"/>
    <mergeCell ref="B1281:C1281"/>
    <mergeCell ref="A1282:F1282"/>
    <mergeCell ref="A1343:F1343"/>
    <mergeCell ref="A1345:G1345"/>
    <mergeCell ref="B1346:C1346"/>
    <mergeCell ref="B1347:C1347"/>
    <mergeCell ref="B1348:C1348"/>
    <mergeCell ref="A1811:G1811"/>
    <mergeCell ref="B1812:C1812"/>
    <mergeCell ref="A1815:F1815"/>
    <mergeCell ref="A1817:G1817"/>
    <mergeCell ref="A1825:F1825"/>
    <mergeCell ref="A1827:G1827"/>
    <mergeCell ref="B1828:C1828"/>
    <mergeCell ref="B1829:C1829"/>
    <mergeCell ref="B1830:C1830"/>
    <mergeCell ref="B1831:C1831"/>
    <mergeCell ref="B1832:C1832"/>
    <mergeCell ref="B1833:C1833"/>
    <mergeCell ref="B1834:C1834"/>
    <mergeCell ref="A1835:F1835"/>
    <mergeCell ref="B1763:C1763"/>
    <mergeCell ref="B1764:C1764"/>
    <mergeCell ref="B1765:C1765"/>
    <mergeCell ref="B1766:C1766"/>
    <mergeCell ref="B1767:C1767"/>
    <mergeCell ref="B1768:C1768"/>
    <mergeCell ref="A1769:F1769"/>
    <mergeCell ref="A1771:G1771"/>
    <mergeCell ref="B1772:C1772"/>
    <mergeCell ref="A1786:F1786"/>
    <mergeCell ref="A1788:G1788"/>
    <mergeCell ref="B1789:C1789"/>
    <mergeCell ref="A1795:F1795"/>
    <mergeCell ref="A1797:F1797"/>
    <mergeCell ref="A1803:F1803"/>
    <mergeCell ref="A1144:G1144"/>
    <mergeCell ref="B1145:C1145"/>
    <mergeCell ref="A1159:F1159"/>
    <mergeCell ref="A1161:G1161"/>
    <mergeCell ref="B1162:C1162"/>
    <mergeCell ref="A1168:F1168"/>
    <mergeCell ref="A1170:F1170"/>
    <mergeCell ref="A1176:F1176"/>
    <mergeCell ref="A1180:F1180"/>
    <mergeCell ref="B1740:C1740"/>
    <mergeCell ref="B1741:C1741"/>
    <mergeCell ref="A1742:G1742"/>
    <mergeCell ref="B1743:C1743"/>
    <mergeCell ref="A1749:F1749"/>
    <mergeCell ref="A1751:G1751"/>
    <mergeCell ref="A1759:F1759"/>
    <mergeCell ref="B1351:C1351"/>
    <mergeCell ref="B1352:C1352"/>
    <mergeCell ref="A1353:F1353"/>
    <mergeCell ref="A1355:G1355"/>
    <mergeCell ref="B1356:C1356"/>
    <mergeCell ref="A1370:F1370"/>
    <mergeCell ref="A1372:G1372"/>
    <mergeCell ref="B1373:C1373"/>
    <mergeCell ref="A1379:F1379"/>
    <mergeCell ref="A1381:F1381"/>
    <mergeCell ref="A1387:F1387"/>
    <mergeCell ref="A1391:F1391"/>
    <mergeCell ref="A1228:F1228"/>
    <mergeCell ref="A1230:G1230"/>
    <mergeCell ref="B1231:C1231"/>
    <mergeCell ref="A1237:F1237"/>
    <mergeCell ref="A1112:F1112"/>
    <mergeCell ref="B1114:C1114"/>
    <mergeCell ref="B1115:C1115"/>
    <mergeCell ref="A1116:G1116"/>
    <mergeCell ref="B1117:C1117"/>
    <mergeCell ref="A1122:F1122"/>
    <mergeCell ref="A1124:G1124"/>
    <mergeCell ref="A1132:F1132"/>
    <mergeCell ref="A1134:G1134"/>
    <mergeCell ref="B1135:C1135"/>
    <mergeCell ref="B1136:C1136"/>
    <mergeCell ref="B1137:C1137"/>
    <mergeCell ref="B1138:C1138"/>
    <mergeCell ref="B1139:C1139"/>
    <mergeCell ref="B1140:C1140"/>
    <mergeCell ref="B1141:C1141"/>
    <mergeCell ref="A1142:F1142"/>
    <mergeCell ref="B24017:C24017"/>
    <mergeCell ref="B24018:C24018"/>
    <mergeCell ref="B24019:C24019"/>
    <mergeCell ref="B24020:C24020"/>
    <mergeCell ref="B24021:C24021"/>
    <mergeCell ref="B24022:C24022"/>
    <mergeCell ref="A24023:F24023"/>
    <mergeCell ref="A24025:G24025"/>
    <mergeCell ref="B24026:C24026"/>
    <mergeCell ref="A24040:F24040"/>
    <mergeCell ref="A24042:G24042"/>
    <mergeCell ref="B24043:C24043"/>
    <mergeCell ref="A24049:F24049"/>
    <mergeCell ref="A24051:F24051"/>
    <mergeCell ref="A24057:F24057"/>
    <mergeCell ref="A24061:F24061"/>
    <mergeCell ref="B1046:C1046"/>
    <mergeCell ref="B1047:C1047"/>
    <mergeCell ref="A1048:G1048"/>
    <mergeCell ref="B1049:C1049"/>
    <mergeCell ref="A1054:F1054"/>
    <mergeCell ref="A1056:G1056"/>
    <mergeCell ref="A1064:F1064"/>
    <mergeCell ref="A1066:G1066"/>
    <mergeCell ref="B1067:C1067"/>
    <mergeCell ref="B1068:C1068"/>
    <mergeCell ref="B1069:C1069"/>
    <mergeCell ref="B1070:C1070"/>
    <mergeCell ref="B1071:C1071"/>
    <mergeCell ref="B1072:C1072"/>
    <mergeCell ref="B1073:C1073"/>
    <mergeCell ref="A1074:F1074"/>
    <mergeCell ref="B24016:C24016"/>
    <mergeCell ref="B23930:C23930"/>
    <mergeCell ref="A23931:G23931"/>
    <mergeCell ref="B23932:C23932"/>
    <mergeCell ref="A23936:F23936"/>
    <mergeCell ref="A23938:G23938"/>
    <mergeCell ref="A23946:F23946"/>
    <mergeCell ref="A23948:G23948"/>
    <mergeCell ref="B23949:C23949"/>
    <mergeCell ref="B23950:C23950"/>
    <mergeCell ref="B23951:C23951"/>
    <mergeCell ref="B23952:C23952"/>
    <mergeCell ref="B23953:C23953"/>
    <mergeCell ref="B23954:C23954"/>
    <mergeCell ref="B23955:C23955"/>
    <mergeCell ref="A23956:F23956"/>
    <mergeCell ref="A23958:G23958"/>
    <mergeCell ref="A23927:F23927"/>
    <mergeCell ref="B23929:C23929"/>
    <mergeCell ref="A23973:F23973"/>
    <mergeCell ref="A23975:G23975"/>
    <mergeCell ref="B23976:C23976"/>
    <mergeCell ref="A23982:F23982"/>
    <mergeCell ref="A23984:F23984"/>
    <mergeCell ref="A23990:F23990"/>
    <mergeCell ref="A23994:F23994"/>
    <mergeCell ref="B23996:C23996"/>
    <mergeCell ref="B23997:C23997"/>
    <mergeCell ref="A23998:G23998"/>
    <mergeCell ref="B23999:C23999"/>
    <mergeCell ref="A24003:F24003"/>
    <mergeCell ref="A24005:G24005"/>
    <mergeCell ref="A24013:F24013"/>
    <mergeCell ref="A24015:G24015"/>
    <mergeCell ref="B23882:C23882"/>
    <mergeCell ref="B23796:C23796"/>
    <mergeCell ref="A23802:F23802"/>
    <mergeCell ref="A23804:G23804"/>
    <mergeCell ref="A23856:F23856"/>
    <mergeCell ref="A23860:F23860"/>
    <mergeCell ref="A23812:F23812"/>
    <mergeCell ref="A23814:G23814"/>
    <mergeCell ref="B23815:C23815"/>
    <mergeCell ref="B23816:C23816"/>
    <mergeCell ref="B23817:C23817"/>
    <mergeCell ref="B23818:C23818"/>
    <mergeCell ref="B23819:C23819"/>
    <mergeCell ref="B23820:C23820"/>
    <mergeCell ref="B23821:C23821"/>
    <mergeCell ref="A23822:F23822"/>
    <mergeCell ref="B23959:C23959"/>
    <mergeCell ref="B23883:C23883"/>
    <mergeCell ref="B23884:C23884"/>
    <mergeCell ref="B23885:C23885"/>
    <mergeCell ref="B23886:C23886"/>
    <mergeCell ref="B23887:C23887"/>
    <mergeCell ref="B23888:C23888"/>
    <mergeCell ref="A23889:F23889"/>
    <mergeCell ref="A23891:G23891"/>
    <mergeCell ref="B23892:C23892"/>
    <mergeCell ref="A23906:F23906"/>
    <mergeCell ref="A23908:G23908"/>
    <mergeCell ref="B23909:C23909"/>
    <mergeCell ref="A23915:F23915"/>
    <mergeCell ref="A23917:F23917"/>
    <mergeCell ref="A23923:F23923"/>
    <mergeCell ref="B23863:C23863"/>
    <mergeCell ref="A23824:G23824"/>
    <mergeCell ref="B23825:C23825"/>
    <mergeCell ref="A23839:F23839"/>
    <mergeCell ref="A23841:G23841"/>
    <mergeCell ref="B23842:C23842"/>
    <mergeCell ref="A23848:F23848"/>
    <mergeCell ref="A23850:F23850"/>
    <mergeCell ref="B23793:C23793"/>
    <mergeCell ref="B23794:C23794"/>
    <mergeCell ref="A23795:G23795"/>
    <mergeCell ref="A23864:G23864"/>
    <mergeCell ref="B23865:C23865"/>
    <mergeCell ref="A23869:F23869"/>
    <mergeCell ref="A23871:G23871"/>
    <mergeCell ref="A23879:F23879"/>
    <mergeCell ref="A23881:G23881"/>
    <mergeCell ref="A23772:G23772"/>
    <mergeCell ref="B23773:C23773"/>
    <mergeCell ref="A23779:F23779"/>
    <mergeCell ref="A23781:F23781"/>
    <mergeCell ref="A23787:F23787"/>
    <mergeCell ref="A23791:F23791"/>
    <mergeCell ref="B23862:C23862"/>
    <mergeCell ref="A23102:F23102"/>
    <mergeCell ref="A23104:G23104"/>
    <mergeCell ref="B23115:C23115"/>
    <mergeCell ref="A23223:F23223"/>
    <mergeCell ref="B23750:C23750"/>
    <mergeCell ref="B23751:C23751"/>
    <mergeCell ref="B23752:C23752"/>
    <mergeCell ref="A23753:F23753"/>
    <mergeCell ref="A23755:G23755"/>
    <mergeCell ref="B23756:C23756"/>
    <mergeCell ref="A23770:F23770"/>
    <mergeCell ref="B23724:C23724"/>
    <mergeCell ref="B23725:C23725"/>
    <mergeCell ref="A23726:G23726"/>
    <mergeCell ref="B23727:C23727"/>
    <mergeCell ref="A23733:F23733"/>
    <mergeCell ref="A23735:G23735"/>
    <mergeCell ref="A23743:F23743"/>
    <mergeCell ref="A23745:G23745"/>
    <mergeCell ref="B23746:C23746"/>
    <mergeCell ref="B23747:C23747"/>
    <mergeCell ref="B23186:C23186"/>
    <mergeCell ref="B23187:C23187"/>
    <mergeCell ref="A23188:F23188"/>
    <mergeCell ref="A23190:G23190"/>
    <mergeCell ref="A23094:G23094"/>
    <mergeCell ref="B21979:C21979"/>
    <mergeCell ref="B23748:C23748"/>
    <mergeCell ref="B23749:C23749"/>
    <mergeCell ref="A23112:F23112"/>
    <mergeCell ref="A23114:G23114"/>
    <mergeCell ref="B23121:C23121"/>
    <mergeCell ref="A23123:F23123"/>
    <mergeCell ref="A23125:G23125"/>
    <mergeCell ref="B18137:C18137"/>
    <mergeCell ref="A22473:G22473"/>
    <mergeCell ref="A22463:G22463"/>
    <mergeCell ref="B21980:C21980"/>
    <mergeCell ref="A22471:F22471"/>
    <mergeCell ref="A19585:G19585"/>
    <mergeCell ref="B19586:C19586"/>
    <mergeCell ref="A19600:F19600"/>
    <mergeCell ref="A19398:F19398"/>
    <mergeCell ref="B21813:C21813"/>
    <mergeCell ref="A21820:F21820"/>
    <mergeCell ref="A21822:G21822"/>
    <mergeCell ref="A21830:F21830"/>
    <mergeCell ref="A21882:G21882"/>
    <mergeCell ref="A20783:G20783"/>
    <mergeCell ref="A19323:F19323"/>
    <mergeCell ref="A19327:F19327"/>
    <mergeCell ref="A19427:F19427"/>
    <mergeCell ref="A19215:G19215"/>
    <mergeCell ref="B19216:C19216"/>
    <mergeCell ref="A19230:F19230"/>
    <mergeCell ref="A19232:G19232"/>
    <mergeCell ref="A19036:G19036"/>
    <mergeCell ref="A18974:F18974"/>
    <mergeCell ref="A18976:G18976"/>
    <mergeCell ref="A19901:F19901"/>
    <mergeCell ref="A19903:G19903"/>
    <mergeCell ref="B19904:C19904"/>
    <mergeCell ref="A19910:F19910"/>
    <mergeCell ref="A19912:F19912"/>
    <mergeCell ref="A19918:F19918"/>
    <mergeCell ref="B19509:C19509"/>
    <mergeCell ref="A19155:F19155"/>
    <mergeCell ref="A19157:G19157"/>
    <mergeCell ref="B19158:C19158"/>
    <mergeCell ref="B19480:C19480"/>
    <mergeCell ref="A19489:F19489"/>
    <mergeCell ref="A20693:F20693"/>
    <mergeCell ref="A20695:G20695"/>
    <mergeCell ref="B21951:C21951"/>
    <mergeCell ref="B19037:C19037"/>
    <mergeCell ref="A19044:F19044"/>
    <mergeCell ref="A19046:G19046"/>
    <mergeCell ref="A19138:F19138"/>
    <mergeCell ref="A19117:F19117"/>
    <mergeCell ref="A19119:G19119"/>
    <mergeCell ref="A19128:F19128"/>
    <mergeCell ref="A19130:G19130"/>
    <mergeCell ref="B19131:C19131"/>
    <mergeCell ref="B19132:C19132"/>
    <mergeCell ref="A18986:G18986"/>
    <mergeCell ref="B18993:C18993"/>
    <mergeCell ref="A18994:F18994"/>
    <mergeCell ref="A19055:F19055"/>
    <mergeCell ref="A19166:F19166"/>
    <mergeCell ref="B21595:C21595"/>
    <mergeCell ref="B21596:C21596"/>
    <mergeCell ref="A21597:G21597"/>
    <mergeCell ref="B21665:C21665"/>
    <mergeCell ref="B21666:C21666"/>
    <mergeCell ref="A21667:G21667"/>
    <mergeCell ref="B21668:C21668"/>
    <mergeCell ref="B19433:C19433"/>
    <mergeCell ref="B19404:C19404"/>
    <mergeCell ref="B19405:C19405"/>
    <mergeCell ref="A19406:G19406"/>
    <mergeCell ref="A20746:G20746"/>
    <mergeCell ref="A20754:F20754"/>
    <mergeCell ref="B20880:C20880"/>
    <mergeCell ref="B21623:C21623"/>
    <mergeCell ref="B21624:C21624"/>
    <mergeCell ref="A21625:F21625"/>
    <mergeCell ref="A21627:G21627"/>
    <mergeCell ref="A21659:F21659"/>
    <mergeCell ref="A21663:F21663"/>
    <mergeCell ref="B21628:C21628"/>
    <mergeCell ref="A21642:F21642"/>
    <mergeCell ref="A21644:G21644"/>
    <mergeCell ref="B20829:C20829"/>
    <mergeCell ref="B20830:C20830"/>
    <mergeCell ref="B20831:C20831"/>
    <mergeCell ref="B20832:C20832"/>
    <mergeCell ref="B20638:C20638"/>
    <mergeCell ref="B19653:C19653"/>
    <mergeCell ref="A20651:F20651"/>
    <mergeCell ref="B20613:C20613"/>
    <mergeCell ref="B20614:C20614"/>
    <mergeCell ref="B19285:C19285"/>
    <mergeCell ref="A19203:F19203"/>
    <mergeCell ref="B19210:C19210"/>
    <mergeCell ref="B19432:C19432"/>
    <mergeCell ref="B19553:C19553"/>
    <mergeCell ref="B19699:C19699"/>
    <mergeCell ref="B19700:C19700"/>
    <mergeCell ref="A19701:G19701"/>
    <mergeCell ref="B19702:C19702"/>
    <mergeCell ref="A19714:F19714"/>
    <mergeCell ref="B20696:C20696"/>
    <mergeCell ref="A21812:G21812"/>
    <mergeCell ref="B21341:C21341"/>
    <mergeCell ref="B21342:C21342"/>
    <mergeCell ref="B21343:C21343"/>
    <mergeCell ref="A21344:F21344"/>
    <mergeCell ref="A21346:G21346"/>
    <mergeCell ref="A21252:G21252"/>
    <mergeCell ref="A21361:F21361"/>
    <mergeCell ref="A21363:G21363"/>
    <mergeCell ref="B21364:C21364"/>
    <mergeCell ref="A21367:F21367"/>
    <mergeCell ref="A21369:F21369"/>
    <mergeCell ref="A21375:F21375"/>
    <mergeCell ref="A21379:F21379"/>
    <mergeCell ref="B19504:C19504"/>
    <mergeCell ref="B20732:C20732"/>
    <mergeCell ref="B20757:C20757"/>
    <mergeCell ref="B20758:C20758"/>
    <mergeCell ref="B20759:C20759"/>
    <mergeCell ref="B19951:C19951"/>
    <mergeCell ref="A20045:G20045"/>
    <mergeCell ref="A21413:G21413"/>
    <mergeCell ref="B21414:C21414"/>
    <mergeCell ref="A21428:F21428"/>
    <mergeCell ref="A21430:G21430"/>
    <mergeCell ref="B21431:C21431"/>
    <mergeCell ref="B21598:C21598"/>
    <mergeCell ref="A21605:F21605"/>
    <mergeCell ref="A21607:G21607"/>
    <mergeCell ref="A21615:F21615"/>
    <mergeCell ref="A21617:G21617"/>
    <mergeCell ref="A19864:F19864"/>
    <mergeCell ref="A19768:F19768"/>
    <mergeCell ref="B19061:C19061"/>
    <mergeCell ref="A19364:F19364"/>
    <mergeCell ref="B19284:C19284"/>
    <mergeCell ref="B19256:C19256"/>
    <mergeCell ref="A19268:F19268"/>
    <mergeCell ref="A19270:G19270"/>
    <mergeCell ref="B19208:C19208"/>
    <mergeCell ref="A21018:F21018"/>
    <mergeCell ref="A20970:F20970"/>
    <mergeCell ref="A21014:F21014"/>
    <mergeCell ref="B21237:C21237"/>
    <mergeCell ref="A21238:G21238"/>
    <mergeCell ref="A20910:G20910"/>
    <mergeCell ref="B20911:C20911"/>
    <mergeCell ref="A20960:F20960"/>
    <mergeCell ref="A20962:G20962"/>
    <mergeCell ref="A21230:F21230"/>
    <mergeCell ref="B20690:C20690"/>
    <mergeCell ref="B20691:C20691"/>
    <mergeCell ref="B20692:C20692"/>
    <mergeCell ref="B20975:C20975"/>
    <mergeCell ref="A20838:G20838"/>
    <mergeCell ref="B20839:C20839"/>
    <mergeCell ref="A20853:F20853"/>
    <mergeCell ref="B20973:C20973"/>
    <mergeCell ref="A20997:F20997"/>
    <mergeCell ref="A20999:G20999"/>
    <mergeCell ref="B21000:C21000"/>
    <mergeCell ref="A21006:F21006"/>
    <mergeCell ref="A21008:F21008"/>
    <mergeCell ref="A21840:F21840"/>
    <mergeCell ref="A21842:G21842"/>
    <mergeCell ref="B21843:C21843"/>
    <mergeCell ref="A21857:F21857"/>
    <mergeCell ref="A21859:G21859"/>
    <mergeCell ref="B21810:C21810"/>
    <mergeCell ref="B21811:C21811"/>
    <mergeCell ref="B21194:C21194"/>
    <mergeCell ref="B21195:C21195"/>
    <mergeCell ref="A21196:F21196"/>
    <mergeCell ref="A21198:G21198"/>
    <mergeCell ref="B21835:C21835"/>
    <mergeCell ref="B21836:C21836"/>
    <mergeCell ref="B21837:C21837"/>
    <mergeCell ref="A21234:F21234"/>
    <mergeCell ref="B21267:C21267"/>
    <mergeCell ref="B21268:C21268"/>
    <mergeCell ref="B21690:C21690"/>
    <mergeCell ref="B21691:C21691"/>
    <mergeCell ref="A21261:F21261"/>
    <mergeCell ref="B21410:C21410"/>
    <mergeCell ref="A21411:F21411"/>
    <mergeCell ref="A19760:F19760"/>
    <mergeCell ref="A19936:G19936"/>
    <mergeCell ref="A19944:F19944"/>
    <mergeCell ref="B19947:C19947"/>
    <mergeCell ref="B19879:C19879"/>
    <mergeCell ref="B19880:C19880"/>
    <mergeCell ref="B19881:C19881"/>
    <mergeCell ref="B19882:C19882"/>
    <mergeCell ref="B19883:C19883"/>
    <mergeCell ref="A19884:F19884"/>
    <mergeCell ref="A19886:G19886"/>
    <mergeCell ref="B19887:C19887"/>
    <mergeCell ref="B19775:C19775"/>
    <mergeCell ref="A19866:G19866"/>
    <mergeCell ref="A20934:F20934"/>
    <mergeCell ref="B20856:C20856"/>
    <mergeCell ref="A20862:F20862"/>
    <mergeCell ref="A20864:F20864"/>
    <mergeCell ref="A20870:F20870"/>
    <mergeCell ref="A20874:F20874"/>
    <mergeCell ref="B20833:C20833"/>
    <mergeCell ref="B20834:C20834"/>
    <mergeCell ref="B20808:C20808"/>
    <mergeCell ref="A20816:F20816"/>
    <mergeCell ref="A20818:G20818"/>
    <mergeCell ref="A20826:F20826"/>
    <mergeCell ref="A20828:G20828"/>
    <mergeCell ref="B20906:C20906"/>
    <mergeCell ref="A20925:F20925"/>
    <mergeCell ref="A20927:G20927"/>
    <mergeCell ref="B20928:C20928"/>
    <mergeCell ref="B20615:C20615"/>
    <mergeCell ref="A18200:F18200"/>
    <mergeCell ref="A18202:G18202"/>
    <mergeCell ref="B18203:C18203"/>
    <mergeCell ref="B18204:C18204"/>
    <mergeCell ref="B21904:C21904"/>
    <mergeCell ref="A19753:G19753"/>
    <mergeCell ref="A19776:G19776"/>
    <mergeCell ref="A19772:F19772"/>
    <mergeCell ref="A19876:G19876"/>
    <mergeCell ref="B19877:C19877"/>
    <mergeCell ref="B21405:C21405"/>
    <mergeCell ref="B21407:C21407"/>
    <mergeCell ref="B21408:C21408"/>
    <mergeCell ref="B21409:C21409"/>
    <mergeCell ref="A20683:F20683"/>
    <mergeCell ref="A20685:G20685"/>
    <mergeCell ref="A20655:F20655"/>
    <mergeCell ref="A20645:F20645"/>
    <mergeCell ref="A20720:F20720"/>
    <mergeCell ref="A20570:F20570"/>
    <mergeCell ref="A20643:F20643"/>
    <mergeCell ref="B20583:C20583"/>
    <mergeCell ref="A19617:F19617"/>
    <mergeCell ref="A19621:F19621"/>
    <mergeCell ref="A19512:G19512"/>
    <mergeCell ref="B19513:C19513"/>
    <mergeCell ref="A19527:F19527"/>
    <mergeCell ref="B19211:C19211"/>
    <mergeCell ref="B21692:C21692"/>
    <mergeCell ref="B21693:C21693"/>
    <mergeCell ref="B21694:C21694"/>
    <mergeCell ref="A20064:F20064"/>
    <mergeCell ref="B19363:C19363"/>
    <mergeCell ref="A19180:G19180"/>
    <mergeCell ref="B19207:C19207"/>
    <mergeCell ref="A21699:G21699"/>
    <mergeCell ref="A19611:F19611"/>
    <mergeCell ref="B22451:C22451"/>
    <mergeCell ref="A22437:F22437"/>
    <mergeCell ref="A22445:F22445"/>
    <mergeCell ref="B18136:C18136"/>
    <mergeCell ref="B22189:C22189"/>
    <mergeCell ref="B21881:C21881"/>
    <mergeCell ref="B18138:C18138"/>
    <mergeCell ref="A18132:G18132"/>
    <mergeCell ref="B18139:C18139"/>
    <mergeCell ref="A18140:F18140"/>
    <mergeCell ref="A22439:F22439"/>
    <mergeCell ref="A18625:F18625"/>
    <mergeCell ref="B19178:C19178"/>
    <mergeCell ref="A21878:F21878"/>
    <mergeCell ref="A21832:G21832"/>
    <mergeCell ref="B21833:C21833"/>
    <mergeCell ref="A21911:F21911"/>
    <mergeCell ref="A21913:G21913"/>
    <mergeCell ref="B21914:C21914"/>
    <mergeCell ref="A22402:G22402"/>
    <mergeCell ref="B22403:C22403"/>
    <mergeCell ref="B21695:C21695"/>
    <mergeCell ref="B21696:C21696"/>
    <mergeCell ref="A21697:F21697"/>
    <mergeCell ref="A21677:F21677"/>
    <mergeCell ref="A21679:G21679"/>
    <mergeCell ref="B18135:C18135"/>
    <mergeCell ref="A10911:F10911"/>
    <mergeCell ref="A14959:G14959"/>
    <mergeCell ref="B14961:C14961"/>
    <mergeCell ref="B14962:C14962"/>
    <mergeCell ref="B14964:C14964"/>
    <mergeCell ref="A15024:F15024"/>
    <mergeCell ref="A15042:F15042"/>
    <mergeCell ref="A15044:G15044"/>
    <mergeCell ref="B15051:C15051"/>
    <mergeCell ref="A15052:F15052"/>
    <mergeCell ref="A15086:F15086"/>
    <mergeCell ref="A15090:F15090"/>
    <mergeCell ref="A11297:F11297"/>
    <mergeCell ref="A16204:F16204"/>
    <mergeCell ref="A18244:F18244"/>
    <mergeCell ref="A18248:F18248"/>
    <mergeCell ref="A18801:F18801"/>
    <mergeCell ref="B17776:C17776"/>
    <mergeCell ref="A17773:F17773"/>
    <mergeCell ref="A17775:G17775"/>
    <mergeCell ref="B17777:C17777"/>
    <mergeCell ref="B17778:C17778"/>
    <mergeCell ref="B17781:C17781"/>
    <mergeCell ref="B17782:C17782"/>
    <mergeCell ref="B17876:C17876"/>
    <mergeCell ref="A17881:F17881"/>
    <mergeCell ref="A17883:F17883"/>
    <mergeCell ref="A17889:F17889"/>
    <mergeCell ref="B18213:C18213"/>
    <mergeCell ref="B18181:C18181"/>
    <mergeCell ref="A18182:G18182"/>
    <mergeCell ref="B18183:C18183"/>
    <mergeCell ref="A16146:F16146"/>
    <mergeCell ref="A16148:G16148"/>
    <mergeCell ref="B16165:C16165"/>
    <mergeCell ref="A11299:F11299"/>
    <mergeCell ref="B11267:C11267"/>
    <mergeCell ref="B11268:C11268"/>
    <mergeCell ref="B11269:C11269"/>
    <mergeCell ref="B11270:C11270"/>
    <mergeCell ref="A11271:F11271"/>
    <mergeCell ref="A11273:G11273"/>
    <mergeCell ref="A11253:G11253"/>
    <mergeCell ref="B17648:C17648"/>
    <mergeCell ref="A18902:G18902"/>
    <mergeCell ref="A16142:G16142"/>
    <mergeCell ref="B16143:C16143"/>
    <mergeCell ref="A16026:G16026"/>
    <mergeCell ref="A13788:F13788"/>
    <mergeCell ref="A13794:F13794"/>
    <mergeCell ref="A12463:G12463"/>
    <mergeCell ref="B13404:C13404"/>
    <mergeCell ref="B13755:C13755"/>
    <mergeCell ref="B13758:C13758"/>
    <mergeCell ref="B16140:C16140"/>
    <mergeCell ref="B16141:C16141"/>
    <mergeCell ref="B13299:C13299"/>
    <mergeCell ref="B13300:C13300"/>
    <mergeCell ref="A13301:G13301"/>
    <mergeCell ref="A13293:F13293"/>
    <mergeCell ref="A13297:F13297"/>
    <mergeCell ref="B13262:C13262"/>
    <mergeCell ref="A13276:F13276"/>
    <mergeCell ref="A13278:G13278"/>
    <mergeCell ref="A17747:F17747"/>
    <mergeCell ref="A17764:G17764"/>
    <mergeCell ref="A19315:F19315"/>
    <mergeCell ref="A19317:F19317"/>
    <mergeCell ref="A16156:F16156"/>
    <mergeCell ref="A16158:G16158"/>
    <mergeCell ref="A17821:F17821"/>
    <mergeCell ref="A18060:F18060"/>
    <mergeCell ref="A18817:G18817"/>
    <mergeCell ref="B18818:C18818"/>
    <mergeCell ref="A18828:F18828"/>
    <mergeCell ref="B16159:C16159"/>
    <mergeCell ref="B16160:C16160"/>
    <mergeCell ref="B16161:C16161"/>
    <mergeCell ref="B16162:C16162"/>
    <mergeCell ref="B16163:C16163"/>
    <mergeCell ref="B16164:C16164"/>
    <mergeCell ref="B17928:C17928"/>
    <mergeCell ref="A17942:F17942"/>
    <mergeCell ref="A18062:G18062"/>
    <mergeCell ref="B18069:C18069"/>
    <mergeCell ref="B17779:C17779"/>
    <mergeCell ref="B17780:C17780"/>
    <mergeCell ref="A16342:F16342"/>
    <mergeCell ref="B18160:C18160"/>
    <mergeCell ref="B18990:C18990"/>
    <mergeCell ref="A18867:G18867"/>
    <mergeCell ref="B18631:C18631"/>
    <mergeCell ref="A16327:G16327"/>
    <mergeCell ref="A18830:G18830"/>
    <mergeCell ref="A18190:F18190"/>
    <mergeCell ref="A18192:G18192"/>
    <mergeCell ref="A9722:F9722"/>
    <mergeCell ref="A9924:F9924"/>
    <mergeCell ref="A9936:F9936"/>
    <mergeCell ref="A19562:F19562"/>
    <mergeCell ref="A19564:G19564"/>
    <mergeCell ref="B19435:C19435"/>
    <mergeCell ref="B19436:C19436"/>
    <mergeCell ref="A19465:F19465"/>
    <mergeCell ref="B19286:C19286"/>
    <mergeCell ref="B19287:C19287"/>
    <mergeCell ref="A19356:G19356"/>
    <mergeCell ref="B19357:C19357"/>
    <mergeCell ref="B19288:C19288"/>
    <mergeCell ref="A19289:F19289"/>
    <mergeCell ref="A19291:G19291"/>
    <mergeCell ref="B19292:C19292"/>
    <mergeCell ref="A19306:F19306"/>
    <mergeCell ref="A19308:G19308"/>
    <mergeCell ref="B19309:C19309"/>
    <mergeCell ref="A13714:F13714"/>
    <mergeCell ref="A16126:F16126"/>
    <mergeCell ref="A16128:F16128"/>
    <mergeCell ref="A16168:G16168"/>
    <mergeCell ref="B16169:C16169"/>
    <mergeCell ref="A16183:F16183"/>
    <mergeCell ref="B18987:C18987"/>
    <mergeCell ref="B18988:C18988"/>
    <mergeCell ref="B18989:C18989"/>
    <mergeCell ref="A18900:F18900"/>
    <mergeCell ref="B17707:C17707"/>
    <mergeCell ref="B17708:C17708"/>
    <mergeCell ref="A17741:F17741"/>
    <mergeCell ref="B9653:C9653"/>
    <mergeCell ref="B9654:C9654"/>
    <mergeCell ref="A9655:G9655"/>
    <mergeCell ref="B9656:C9656"/>
    <mergeCell ref="A9664:F9664"/>
    <mergeCell ref="A9666:G9666"/>
    <mergeCell ref="A9674:F9674"/>
    <mergeCell ref="A9676:G9676"/>
    <mergeCell ref="B19430:C19430"/>
    <mergeCell ref="B19431:C19431"/>
    <mergeCell ref="B8791:C8791"/>
    <mergeCell ref="A8797:F8797"/>
    <mergeCell ref="A8799:F8799"/>
    <mergeCell ref="A8805:F8805"/>
    <mergeCell ref="A8809:F8809"/>
    <mergeCell ref="A9852:F9852"/>
    <mergeCell ref="A9854:F9854"/>
    <mergeCell ref="A9860:F9860"/>
    <mergeCell ref="A15865:F15865"/>
    <mergeCell ref="A16134:F16134"/>
    <mergeCell ref="A16138:F16138"/>
    <mergeCell ref="A16363:F16363"/>
    <mergeCell ref="A19279:F19279"/>
    <mergeCell ref="A19281:G19281"/>
    <mergeCell ref="B16866:C16866"/>
    <mergeCell ref="A16325:F16325"/>
    <mergeCell ref="A9712:F9712"/>
    <mergeCell ref="B9753:C9753"/>
    <mergeCell ref="B9821:C9821"/>
    <mergeCell ref="B9822:C9822"/>
    <mergeCell ref="A9718:F9718"/>
    <mergeCell ref="A9757:G9757"/>
    <mergeCell ref="A16166:F16166"/>
    <mergeCell ref="B16186:C16186"/>
    <mergeCell ref="A16192:F16192"/>
    <mergeCell ref="A16194:F16194"/>
    <mergeCell ref="A16200:F16200"/>
    <mergeCell ref="A16185:G16185"/>
    <mergeCell ref="B19060:C19060"/>
    <mergeCell ref="B17733:C17733"/>
    <mergeCell ref="A17739:F17739"/>
    <mergeCell ref="A16346:F16346"/>
    <mergeCell ref="B18916:C18916"/>
    <mergeCell ref="B18917:C18917"/>
    <mergeCell ref="B18795:C18795"/>
    <mergeCell ref="A16336:F16336"/>
    <mergeCell ref="A18663:F18663"/>
    <mergeCell ref="A18669:F18669"/>
    <mergeCell ref="B18413:C18413"/>
    <mergeCell ref="B18414:C18414"/>
    <mergeCell ref="B18415:C18415"/>
    <mergeCell ref="A18416:F18416"/>
    <mergeCell ref="A18418:G18418"/>
    <mergeCell ref="B19059:C19059"/>
    <mergeCell ref="A18227:F18227"/>
    <mergeCell ref="A18229:G18229"/>
    <mergeCell ref="B18230:C18230"/>
    <mergeCell ref="A18236:F18236"/>
    <mergeCell ref="A18238:F18238"/>
    <mergeCell ref="A18070:F18070"/>
    <mergeCell ref="B18040:C18040"/>
    <mergeCell ref="A18050:F18050"/>
    <mergeCell ref="A18052:G18052"/>
    <mergeCell ref="B18063:C18063"/>
    <mergeCell ref="B8770:C8770"/>
    <mergeCell ref="A7973:G7973"/>
    <mergeCell ref="A7988:F7988"/>
    <mergeCell ref="A7992:F7992"/>
    <mergeCell ref="B8765:C8765"/>
    <mergeCell ref="B8766:C8766"/>
    <mergeCell ref="A21475:G21475"/>
    <mergeCell ref="B21482:C21482"/>
    <mergeCell ref="A21483:F21483"/>
    <mergeCell ref="A21485:G21485"/>
    <mergeCell ref="B21486:C21486"/>
    <mergeCell ref="B9867:C9867"/>
    <mergeCell ref="A9868:G9868"/>
    <mergeCell ref="A9735:F9735"/>
    <mergeCell ref="A9737:G9737"/>
    <mergeCell ref="A9745:F9745"/>
    <mergeCell ref="A9747:G9747"/>
    <mergeCell ref="B9748:C9748"/>
    <mergeCell ref="B9749:C9749"/>
    <mergeCell ref="A8771:F8771"/>
    <mergeCell ref="A8773:G8773"/>
    <mergeCell ref="B8774:C8774"/>
    <mergeCell ref="A8788:F8788"/>
    <mergeCell ref="A8790:G8790"/>
    <mergeCell ref="B9687:C9687"/>
    <mergeCell ref="A9701:F9701"/>
    <mergeCell ref="A9703:G9703"/>
    <mergeCell ref="B9704:C9704"/>
    <mergeCell ref="A9710:F9710"/>
    <mergeCell ref="B9750:C9750"/>
    <mergeCell ref="B9751:C9751"/>
    <mergeCell ref="B9752:C9752"/>
    <mergeCell ref="K8406:L8406"/>
    <mergeCell ref="B7927:C7927"/>
    <mergeCell ref="A8407:F8407"/>
    <mergeCell ref="A8402:G8402"/>
    <mergeCell ref="B8403:C8403"/>
    <mergeCell ref="A8761:F8761"/>
    <mergeCell ref="A8763:G8763"/>
    <mergeCell ref="B8764:C8764"/>
    <mergeCell ref="A8461:F8461"/>
    <mergeCell ref="A8465:F8465"/>
    <mergeCell ref="A8446:G8446"/>
    <mergeCell ref="B8447:C8447"/>
    <mergeCell ref="A8453:F8453"/>
    <mergeCell ref="A8455:F8455"/>
    <mergeCell ref="A7936:G7936"/>
    <mergeCell ref="A7944:F7944"/>
    <mergeCell ref="A7946:G7946"/>
    <mergeCell ref="B7947:C7947"/>
    <mergeCell ref="B7948:C7948"/>
    <mergeCell ref="B7949:C7949"/>
    <mergeCell ref="B7950:C7950"/>
    <mergeCell ref="B7951:C7951"/>
    <mergeCell ref="B7952:C7952"/>
    <mergeCell ref="B8744:C8744"/>
    <mergeCell ref="B7974:C7974"/>
    <mergeCell ref="A7980:F7980"/>
    <mergeCell ref="A7982:F7982"/>
    <mergeCell ref="B8400:C8400"/>
    <mergeCell ref="B8401:C8401"/>
    <mergeCell ref="B8088:C8088"/>
    <mergeCell ref="K8068:L8068"/>
    <mergeCell ref="A8072:F8072"/>
    <mergeCell ref="K8408:K8409"/>
    <mergeCell ref="L8408:L8409"/>
    <mergeCell ref="K8410:L8410"/>
    <mergeCell ref="B8426:C8426"/>
    <mergeCell ref="B9677:C9677"/>
    <mergeCell ref="B9678:C9678"/>
    <mergeCell ref="A13705:F13705"/>
    <mergeCell ref="A13707:G13707"/>
    <mergeCell ref="B15798:C15798"/>
    <mergeCell ref="A15807:F15807"/>
    <mergeCell ref="A16004:F16004"/>
    <mergeCell ref="B12440:C12440"/>
    <mergeCell ref="B12441:C12441"/>
    <mergeCell ref="A12442:G12442"/>
    <mergeCell ref="B9679:C9679"/>
    <mergeCell ref="B9680:C9680"/>
    <mergeCell ref="B9681:C9681"/>
    <mergeCell ref="B9682:C9682"/>
    <mergeCell ref="B9683:C9683"/>
    <mergeCell ref="B9795:C9795"/>
    <mergeCell ref="B9796:C9796"/>
    <mergeCell ref="A9797:G9797"/>
    <mergeCell ref="B9798:C9798"/>
    <mergeCell ref="A9806:F9806"/>
    <mergeCell ref="A9808:G9808"/>
    <mergeCell ref="B14575:C14575"/>
    <mergeCell ref="B14576:C14576"/>
    <mergeCell ref="B13400:C13400"/>
    <mergeCell ref="A13401:F13401"/>
    <mergeCell ref="A9684:F9684"/>
    <mergeCell ref="A8427:F8427"/>
    <mergeCell ref="I8408:I8409"/>
    <mergeCell ref="A9686:G9686"/>
    <mergeCell ref="A8409:G8409"/>
    <mergeCell ref="A8417:F8417"/>
    <mergeCell ref="A8419:G8419"/>
    <mergeCell ref="B8420:C8420"/>
    <mergeCell ref="B8421:C8421"/>
    <mergeCell ref="B8422:C8422"/>
    <mergeCell ref="B8423:C8423"/>
    <mergeCell ref="B8424:C8424"/>
    <mergeCell ref="B8425:C8425"/>
    <mergeCell ref="B8741:C8741"/>
    <mergeCell ref="B8742:C8742"/>
    <mergeCell ref="A8743:G8743"/>
    <mergeCell ref="A8751:F8751"/>
    <mergeCell ref="A8753:G8753"/>
    <mergeCell ref="J8408:J8409"/>
    <mergeCell ref="A8429:G8429"/>
    <mergeCell ref="B8430:C8430"/>
    <mergeCell ref="A8444:F8444"/>
    <mergeCell ref="B8767:C8767"/>
    <mergeCell ref="B8768:C8768"/>
    <mergeCell ref="B8769:C8769"/>
    <mergeCell ref="B9092:C9092"/>
    <mergeCell ref="A9093:G9093"/>
    <mergeCell ref="B9094:C9094"/>
    <mergeCell ref="A9098:F9098"/>
    <mergeCell ref="A9100:G9100"/>
    <mergeCell ref="A9108:F9108"/>
    <mergeCell ref="A9110:G9110"/>
    <mergeCell ref="B9113:C9113"/>
    <mergeCell ref="B9114:C9114"/>
    <mergeCell ref="B9115:C9115"/>
    <mergeCell ref="B16093:C16093"/>
    <mergeCell ref="B16094:C16094"/>
    <mergeCell ref="B16095:C16095"/>
    <mergeCell ref="B15680:C15680"/>
    <mergeCell ref="B15681:C15681"/>
    <mergeCell ref="B15682:C15682"/>
    <mergeCell ref="B15893:C15893"/>
    <mergeCell ref="A15894:F15894"/>
    <mergeCell ref="A14544:F14544"/>
    <mergeCell ref="A14550:F14550"/>
    <mergeCell ref="B14556:C14556"/>
    <mergeCell ref="B14557:C14557"/>
    <mergeCell ref="A14558:G14558"/>
    <mergeCell ref="B14559:C14559"/>
    <mergeCell ref="A14561:F14561"/>
    <mergeCell ref="B14560:C14560"/>
    <mergeCell ref="B13255:C13255"/>
    <mergeCell ref="B13256:C13256"/>
    <mergeCell ref="B13257:C13257"/>
    <mergeCell ref="B16030:C16030"/>
    <mergeCell ref="B16031:C16031"/>
    <mergeCell ref="B15934:C15934"/>
    <mergeCell ref="B13279:C13279"/>
    <mergeCell ref="A13285:F13285"/>
    <mergeCell ref="A13287:F13287"/>
    <mergeCell ref="A14181:F14181"/>
    <mergeCell ref="A14183:G14183"/>
    <mergeCell ref="B14184:C14184"/>
    <mergeCell ref="A14198:F14198"/>
    <mergeCell ref="A14200:G14200"/>
    <mergeCell ref="B14201:C14201"/>
    <mergeCell ref="A14207:F14207"/>
    <mergeCell ref="B15964:C15964"/>
    <mergeCell ref="A16024:F16024"/>
    <mergeCell ref="B10155:C10155"/>
    <mergeCell ref="A9960:F9960"/>
    <mergeCell ref="A9915:F9915"/>
    <mergeCell ref="A9917:G9917"/>
    <mergeCell ref="B9918:C9918"/>
    <mergeCell ref="A14537:F14537"/>
    <mergeCell ref="A14511:G14511"/>
    <mergeCell ref="A14522:G14522"/>
    <mergeCell ref="A13658:G13658"/>
    <mergeCell ref="B13659:C13659"/>
    <mergeCell ref="A13667:F13667"/>
    <mergeCell ref="A13669:G13669"/>
    <mergeCell ref="A14572:F14572"/>
    <mergeCell ref="A14574:G14574"/>
    <mergeCell ref="B14311:C14311"/>
    <mergeCell ref="A14481:F14481"/>
    <mergeCell ref="A14487:F14487"/>
    <mergeCell ref="A14491:F14491"/>
    <mergeCell ref="A14455:G14455"/>
    <mergeCell ref="A10008:F10008"/>
    <mergeCell ref="A16008:G16008"/>
    <mergeCell ref="B16009:C16009"/>
    <mergeCell ref="A13403:G13403"/>
    <mergeCell ref="A15853:F15853"/>
    <mergeCell ref="B15795:C15795"/>
    <mergeCell ref="B15796:C15796"/>
    <mergeCell ref="A13750:F13750"/>
    <mergeCell ref="B10867:C10867"/>
    <mergeCell ref="B10868:C10868"/>
    <mergeCell ref="A9996:F9996"/>
    <mergeCell ref="B22738:C22738"/>
    <mergeCell ref="A22746:F22746"/>
    <mergeCell ref="A22748:G22748"/>
    <mergeCell ref="B22761:C22761"/>
    <mergeCell ref="B22762:C22762"/>
    <mergeCell ref="A22712:F22712"/>
    <mergeCell ref="B22692:C22692"/>
    <mergeCell ref="B22693:C22693"/>
    <mergeCell ref="A22501:G22501"/>
    <mergeCell ref="B22452:C22452"/>
    <mergeCell ref="B20220:C20220"/>
    <mergeCell ref="B21270:C21270"/>
    <mergeCell ref="A20618:F20618"/>
    <mergeCell ref="A20620:G20620"/>
    <mergeCell ref="B20512:C20512"/>
    <mergeCell ref="B20513:C20513"/>
    <mergeCell ref="B20096:C20096"/>
    <mergeCell ref="A20514:G20514"/>
    <mergeCell ref="B20515:C20515"/>
    <mergeCell ref="A20522:F20522"/>
    <mergeCell ref="B21236:C21236"/>
    <mergeCell ref="B21274:C21274"/>
    <mergeCell ref="B21983:C21983"/>
    <mergeCell ref="A21965:F21965"/>
    <mergeCell ref="A21967:G21967"/>
    <mergeCell ref="B21981:C21981"/>
    <mergeCell ref="B21982:C21982"/>
    <mergeCell ref="B21834:C21834"/>
    <mergeCell ref="B21905:C21905"/>
    <mergeCell ref="B21451:C21451"/>
    <mergeCell ref="B21452:C21452"/>
    <mergeCell ref="A21453:G21453"/>
    <mergeCell ref="B15892:C15892"/>
    <mergeCell ref="A15884:F15884"/>
    <mergeCell ref="B15826:C15826"/>
    <mergeCell ref="B15960:C15960"/>
    <mergeCell ref="B16328:C16328"/>
    <mergeCell ref="B16281:C16281"/>
    <mergeCell ref="A16310:G16310"/>
    <mergeCell ref="B16311:C16311"/>
    <mergeCell ref="B14586:C14586"/>
    <mergeCell ref="A15514:G15514"/>
    <mergeCell ref="A14520:F14520"/>
    <mergeCell ref="B14523:C14523"/>
    <mergeCell ref="B9866:C9866"/>
    <mergeCell ref="A9962:G9962"/>
    <mergeCell ref="A15560:F15560"/>
    <mergeCell ref="A15562:G15562"/>
    <mergeCell ref="B15563:C15563"/>
    <mergeCell ref="A15569:F15569"/>
    <mergeCell ref="A9950:F9950"/>
    <mergeCell ref="B9938:C9938"/>
    <mergeCell ref="A9952:G9952"/>
    <mergeCell ref="B15959:C15959"/>
    <mergeCell ref="A16000:F16000"/>
    <mergeCell ref="A14539:G14539"/>
    <mergeCell ref="B15190:C15190"/>
    <mergeCell ref="A15191:F15191"/>
    <mergeCell ref="B14581:C14581"/>
    <mergeCell ref="A14583:F14583"/>
    <mergeCell ref="A14585:G14585"/>
    <mergeCell ref="B15961:C15961"/>
    <mergeCell ref="B15962:C15962"/>
    <mergeCell ref="B15963:C15963"/>
    <mergeCell ref="B23045:C23045"/>
    <mergeCell ref="B23046:C23046"/>
    <mergeCell ref="B23047:C23047"/>
    <mergeCell ref="B23048:C23048"/>
    <mergeCell ref="B23049:C23049"/>
    <mergeCell ref="A23041:F23041"/>
    <mergeCell ref="A23043:G23043"/>
    <mergeCell ref="A22809:G22809"/>
    <mergeCell ref="B22810:C22810"/>
    <mergeCell ref="A22817:F22817"/>
    <mergeCell ref="A22819:G22819"/>
    <mergeCell ref="A23006:F23006"/>
    <mergeCell ref="A23008:F23008"/>
    <mergeCell ref="A23014:F23014"/>
    <mergeCell ref="B9825:C9825"/>
    <mergeCell ref="A9826:F9826"/>
    <mergeCell ref="A9828:G9828"/>
    <mergeCell ref="B9829:C9829"/>
    <mergeCell ref="A9843:F9843"/>
    <mergeCell ref="A9845:G9845"/>
    <mergeCell ref="B9846:C9846"/>
    <mergeCell ref="A13716:F13716"/>
    <mergeCell ref="B13708:C13708"/>
    <mergeCell ref="A15946:F15946"/>
    <mergeCell ref="A15948:G15948"/>
    <mergeCell ref="A16068:F16068"/>
    <mergeCell ref="A16072:F16072"/>
    <mergeCell ref="B16348:C16348"/>
    <mergeCell ref="B16097:C16097"/>
    <mergeCell ref="B16098:C16098"/>
    <mergeCell ref="A15789:F15789"/>
    <mergeCell ref="B15891:C15891"/>
    <mergeCell ref="B20249:C20249"/>
    <mergeCell ref="B20250:C20250"/>
    <mergeCell ref="A20364:F20364"/>
    <mergeCell ref="A20559:F20559"/>
    <mergeCell ref="A20561:G20561"/>
    <mergeCell ref="A20950:G20950"/>
    <mergeCell ref="A20936:F20936"/>
    <mergeCell ref="A21521:F21521"/>
    <mergeCell ref="B22190:C22190"/>
    <mergeCell ref="B22191:C22191"/>
    <mergeCell ref="B22192:C22192"/>
    <mergeCell ref="A22017:F22017"/>
    <mergeCell ref="A22021:F22021"/>
    <mergeCell ref="A21949:F21949"/>
    <mergeCell ref="A21945:F21945"/>
    <mergeCell ref="B21952:C21952"/>
    <mergeCell ref="B21907:C21907"/>
    <mergeCell ref="A20726:F20726"/>
    <mergeCell ref="B21906:C21906"/>
    <mergeCell ref="B21883:C21883"/>
    <mergeCell ref="A21901:F21901"/>
    <mergeCell ref="A21903:G21903"/>
    <mergeCell ref="A21891:F21891"/>
    <mergeCell ref="A21893:G21893"/>
    <mergeCell ref="B21199:C21199"/>
    <mergeCell ref="A21213:F21213"/>
    <mergeCell ref="A21215:G21215"/>
    <mergeCell ref="B21216:C21216"/>
    <mergeCell ref="A21222:F21222"/>
    <mergeCell ref="A21224:F21224"/>
    <mergeCell ref="B20976:C20976"/>
    <mergeCell ref="B20974:C20974"/>
    <mergeCell ref="A22196:F22196"/>
    <mergeCell ref="A22198:G22198"/>
    <mergeCell ref="B22199:C22199"/>
    <mergeCell ref="A22213:F22213"/>
    <mergeCell ref="A20942:F20942"/>
    <mergeCell ref="A20233:F20233"/>
    <mergeCell ref="A20235:G20235"/>
    <mergeCell ref="A20243:F20243"/>
    <mergeCell ref="B21954:C21954"/>
    <mergeCell ref="B21985:C21985"/>
    <mergeCell ref="A21986:F21986"/>
    <mergeCell ref="B21984:C21984"/>
    <mergeCell ref="A22011:F22011"/>
    <mergeCell ref="A21939:F21939"/>
    <mergeCell ref="A21988:G21988"/>
    <mergeCell ref="B21989:C21989"/>
    <mergeCell ref="A22003:F22003"/>
    <mergeCell ref="A22186:F22186"/>
    <mergeCell ref="A22188:G22188"/>
    <mergeCell ref="B21860:C21860"/>
    <mergeCell ref="A21866:F21866"/>
    <mergeCell ref="A21868:F21868"/>
    <mergeCell ref="A21687:F21687"/>
    <mergeCell ref="A21689:G21689"/>
    <mergeCell ref="B21480:C21480"/>
    <mergeCell ref="B21838:C21838"/>
    <mergeCell ref="B21839:C21839"/>
    <mergeCell ref="A20295:G20295"/>
    <mergeCell ref="A20318:G20318"/>
    <mergeCell ref="A20946:F20946"/>
    <mergeCell ref="B20905:C20905"/>
    <mergeCell ref="A20568:F20568"/>
    <mergeCell ref="B18436:C18436"/>
    <mergeCell ref="B18556:C18556"/>
    <mergeCell ref="A22499:F22499"/>
    <mergeCell ref="A22453:G22453"/>
    <mergeCell ref="B22454:C22454"/>
    <mergeCell ref="A22461:F22461"/>
    <mergeCell ref="B22476:C22476"/>
    <mergeCell ref="A21937:F21937"/>
    <mergeCell ref="B22193:C22193"/>
    <mergeCell ref="B22194:C22194"/>
    <mergeCell ref="A22005:G22005"/>
    <mergeCell ref="B22006:C22006"/>
    <mergeCell ref="A22009:F22009"/>
    <mergeCell ref="A21976:F21976"/>
    <mergeCell ref="A21978:G21978"/>
    <mergeCell ref="A21271:F21271"/>
    <mergeCell ref="A21273:G21273"/>
    <mergeCell ref="B21164:C21164"/>
    <mergeCell ref="B21165:C21165"/>
    <mergeCell ref="A21166:G21166"/>
    <mergeCell ref="B21476:C21476"/>
    <mergeCell ref="B21477:C21477"/>
    <mergeCell ref="B21478:C21478"/>
    <mergeCell ref="B21479:C21479"/>
    <mergeCell ref="A19022:F19022"/>
    <mergeCell ref="A19028:F19028"/>
    <mergeCell ref="A18563:F18563"/>
    <mergeCell ref="A18654:G18654"/>
    <mergeCell ref="A18958:F18958"/>
    <mergeCell ref="A18996:G18996"/>
    <mergeCell ref="B18997:C18997"/>
    <mergeCell ref="B22195:C22195"/>
    <mergeCell ref="A18757:G18757"/>
    <mergeCell ref="B18768:C18768"/>
    <mergeCell ref="B18889:C18889"/>
    <mergeCell ref="A17967:G17967"/>
    <mergeCell ref="B17968:C17968"/>
    <mergeCell ref="A17977:F17977"/>
    <mergeCell ref="A17979:G17979"/>
    <mergeCell ref="A17959:F17959"/>
    <mergeCell ref="B19579:C19579"/>
    <mergeCell ref="B19551:C19551"/>
    <mergeCell ref="A19552:G19552"/>
    <mergeCell ref="A19536:F19536"/>
    <mergeCell ref="A19538:F19538"/>
    <mergeCell ref="A19502:G19502"/>
    <mergeCell ref="B19359:C19359"/>
    <mergeCell ref="B19360:C19360"/>
    <mergeCell ref="A19529:G19529"/>
    <mergeCell ref="B19068:C19068"/>
    <mergeCell ref="B19105:C19105"/>
    <mergeCell ref="B19106:C19106"/>
    <mergeCell ref="A19107:G19107"/>
    <mergeCell ref="B19108:C19108"/>
    <mergeCell ref="B19141:C19141"/>
    <mergeCell ref="A19456:G19456"/>
    <mergeCell ref="A18408:G18408"/>
    <mergeCell ref="B19254:C19254"/>
    <mergeCell ref="A19354:F19354"/>
    <mergeCell ref="A19416:F19416"/>
    <mergeCell ref="A19418:G19418"/>
    <mergeCell ref="A19103:F19103"/>
    <mergeCell ref="A19082:F19082"/>
    <mergeCell ref="A19057:G19057"/>
    <mergeCell ref="B19209:C19209"/>
    <mergeCell ref="A19366:G19366"/>
    <mergeCell ref="A19241:F19241"/>
    <mergeCell ref="A19084:G19084"/>
    <mergeCell ref="B19085:C19085"/>
    <mergeCell ref="A19091:F19091"/>
    <mergeCell ref="A19093:F19093"/>
    <mergeCell ref="A19099:F19099"/>
    <mergeCell ref="B19283:C19283"/>
    <mergeCell ref="B19206:C19206"/>
    <mergeCell ref="B19233:C19233"/>
    <mergeCell ref="A19239:F19239"/>
    <mergeCell ref="B16006:C16006"/>
    <mergeCell ref="B16007:C16007"/>
    <mergeCell ref="A13786:F13786"/>
    <mergeCell ref="B15887:C15887"/>
    <mergeCell ref="B15686:C15686"/>
    <mergeCell ref="A15687:F15687"/>
    <mergeCell ref="A15689:G15689"/>
    <mergeCell ref="B15690:C15690"/>
    <mergeCell ref="A15704:F15704"/>
    <mergeCell ref="A15706:G15706"/>
    <mergeCell ref="B15707:C15707"/>
    <mergeCell ref="A15713:F15713"/>
    <mergeCell ref="A15715:F15715"/>
    <mergeCell ref="A15874:F15874"/>
    <mergeCell ref="B15683:C15683"/>
    <mergeCell ref="A13798:F13798"/>
    <mergeCell ref="A15774:G15774"/>
    <mergeCell ref="B15775:C15775"/>
    <mergeCell ref="A15781:F15781"/>
    <mergeCell ref="A15855:F15855"/>
    <mergeCell ref="A15861:F15861"/>
    <mergeCell ref="A15757:G15757"/>
    <mergeCell ref="B15758:C15758"/>
    <mergeCell ref="A15772:F15772"/>
    <mergeCell ref="A15994:F15994"/>
    <mergeCell ref="B14540:C14540"/>
    <mergeCell ref="A14542:F14542"/>
    <mergeCell ref="A14554:F14554"/>
    <mergeCell ref="A14495:G14495"/>
    <mergeCell ref="B14518:C14518"/>
    <mergeCell ref="A15793:F15793"/>
    <mergeCell ref="A15755:F15755"/>
    <mergeCell ref="A15886:G15886"/>
    <mergeCell ref="B9820:C9820"/>
    <mergeCell ref="B13728:C13728"/>
    <mergeCell ref="B13729:C13729"/>
    <mergeCell ref="A13730:G13730"/>
    <mergeCell ref="B13731:C13731"/>
    <mergeCell ref="A13739:F13739"/>
    <mergeCell ref="A13741:G13741"/>
    <mergeCell ref="A13779:G13779"/>
    <mergeCell ref="B13780:C13780"/>
    <mergeCell ref="A13752:G13752"/>
    <mergeCell ref="B13753:C13753"/>
    <mergeCell ref="B13754:C13754"/>
    <mergeCell ref="A14701:G14701"/>
    <mergeCell ref="B14708:C14708"/>
    <mergeCell ref="B15684:C15684"/>
    <mergeCell ref="B15685:C15685"/>
    <mergeCell ref="B15655:C15655"/>
    <mergeCell ref="B10869:C10869"/>
    <mergeCell ref="B10870:C10870"/>
    <mergeCell ref="B15727:C15727"/>
    <mergeCell ref="B14839:C14839"/>
    <mergeCell ref="B14840:C14840"/>
    <mergeCell ref="B14603:C14603"/>
    <mergeCell ref="B14493:C14493"/>
    <mergeCell ref="B15185:C15185"/>
    <mergeCell ref="B15186:C15186"/>
    <mergeCell ref="B15187:C15187"/>
    <mergeCell ref="B14982:C14982"/>
    <mergeCell ref="B14983:C14983"/>
    <mergeCell ref="A14617:F14617"/>
    <mergeCell ref="A14699:F14699"/>
    <mergeCell ref="A15280:G15280"/>
    <mergeCell ref="B15281:C15281"/>
    <mergeCell ref="B14963:C14963"/>
    <mergeCell ref="B14958:C14958"/>
    <mergeCell ref="B10871:C10871"/>
    <mergeCell ref="A14416:F14416"/>
    <mergeCell ref="B14312:C14312"/>
    <mergeCell ref="B14379:C14379"/>
    <mergeCell ref="B14380:C14380"/>
    <mergeCell ref="B14456:C14456"/>
    <mergeCell ref="A14470:F14470"/>
    <mergeCell ref="B14448:C14448"/>
    <mergeCell ref="B14449:C14449"/>
    <mergeCell ref="B14450:C14450"/>
    <mergeCell ref="B14451:C14451"/>
    <mergeCell ref="B14452:C14452"/>
    <mergeCell ref="B13756:C13756"/>
    <mergeCell ref="B13757:C13757"/>
    <mergeCell ref="B12896:C12896"/>
    <mergeCell ref="B13656:C13656"/>
    <mergeCell ref="B14494:C14494"/>
    <mergeCell ref="A14453:F14453"/>
    <mergeCell ref="A14433:F14433"/>
    <mergeCell ref="A14435:G14435"/>
    <mergeCell ref="B14838:C14838"/>
    <mergeCell ref="B15259:C15259"/>
    <mergeCell ref="A14382:F14382"/>
    <mergeCell ref="A14209:F14209"/>
    <mergeCell ref="A14215:F14215"/>
    <mergeCell ref="A14219:F14219"/>
    <mergeCell ref="B14153:C14153"/>
    <mergeCell ref="A14161:F14161"/>
    <mergeCell ref="A14163:G14163"/>
    <mergeCell ref="A14171:F14171"/>
    <mergeCell ref="B14150:C14150"/>
    <mergeCell ref="A13933:F13933"/>
    <mergeCell ref="A13937:F13937"/>
    <mergeCell ref="A14384:G14384"/>
    <mergeCell ref="A14371:F14371"/>
    <mergeCell ref="A14373:G14373"/>
    <mergeCell ref="B14374:C14374"/>
    <mergeCell ref="B14244:C14244"/>
    <mergeCell ref="B14245:C14245"/>
    <mergeCell ref="B14246:C14246"/>
    <mergeCell ref="A14247:F14247"/>
    <mergeCell ref="A14249:G14249"/>
    <mergeCell ref="B14381:C14381"/>
    <mergeCell ref="A14236:F14236"/>
    <mergeCell ref="A14238:G14238"/>
    <mergeCell ref="B14239:C14239"/>
    <mergeCell ref="B14240:C14240"/>
    <mergeCell ref="B14241:C14241"/>
    <mergeCell ref="B14579:C14579"/>
    <mergeCell ref="B14582:C14582"/>
    <mergeCell ref="B14580:C14580"/>
    <mergeCell ref="B12470:C12470"/>
    <mergeCell ref="B12752:C12752"/>
    <mergeCell ref="A12753:F12753"/>
    <mergeCell ref="A12755:G12755"/>
    <mergeCell ref="B12756:C12756"/>
    <mergeCell ref="B15728:C15728"/>
    <mergeCell ref="A15729:G15729"/>
    <mergeCell ref="A14509:F14509"/>
    <mergeCell ref="A15253:G15253"/>
    <mergeCell ref="B15254:C15254"/>
    <mergeCell ref="B15255:C15255"/>
    <mergeCell ref="B15256:C15256"/>
    <mergeCell ref="B15257:C15257"/>
    <mergeCell ref="B15258:C15258"/>
    <mergeCell ref="A14333:G14333"/>
    <mergeCell ref="B14307:C14307"/>
    <mergeCell ref="B15656:C15656"/>
    <mergeCell ref="A15571:F15571"/>
    <mergeCell ref="A15577:F15577"/>
    <mergeCell ref="A15581:F15581"/>
    <mergeCell ref="A15605:F15605"/>
    <mergeCell ref="A15607:G15607"/>
    <mergeCell ref="B15614:C15614"/>
    <mergeCell ref="A15615:F15615"/>
    <mergeCell ref="A15617:G15617"/>
    <mergeCell ref="B14497:C14497"/>
    <mergeCell ref="B15260:C15260"/>
    <mergeCell ref="B14308:C14308"/>
    <mergeCell ref="B14309:C14309"/>
    <mergeCell ref="A13760:F13760"/>
    <mergeCell ref="A13762:G13762"/>
    <mergeCell ref="B13763:C13763"/>
    <mergeCell ref="A13777:F13777"/>
    <mergeCell ref="A12498:F12498"/>
    <mergeCell ref="A12508:F12508"/>
    <mergeCell ref="A12504:F12504"/>
    <mergeCell ref="A13381:F13381"/>
    <mergeCell ref="A14443:F14443"/>
    <mergeCell ref="A14445:G14445"/>
    <mergeCell ref="B14446:C14446"/>
    <mergeCell ref="B14447:C14447"/>
    <mergeCell ref="A11742:F11742"/>
    <mergeCell ref="A11744:G11744"/>
    <mergeCell ref="B11745:C11745"/>
    <mergeCell ref="A11749:F11749"/>
    <mergeCell ref="A11751:F11751"/>
    <mergeCell ref="B11859:C11859"/>
    <mergeCell ref="A11892:F11892"/>
    <mergeCell ref="A11896:F11896"/>
    <mergeCell ref="B14310:C14310"/>
    <mergeCell ref="B13657:C13657"/>
    <mergeCell ref="A13418:F13418"/>
    <mergeCell ref="A12488:F12488"/>
    <mergeCell ref="A12490:G12490"/>
    <mergeCell ref="A12471:F12471"/>
    <mergeCell ref="A12473:G12473"/>
    <mergeCell ref="A12438:F12438"/>
    <mergeCell ref="A12417:F12417"/>
    <mergeCell ref="A12419:G12419"/>
    <mergeCell ref="B12420:C12420"/>
    <mergeCell ref="A12426:F12426"/>
    <mergeCell ref="B12469:C12469"/>
    <mergeCell ref="B12468:C12468"/>
    <mergeCell ref="A15005:F15005"/>
    <mergeCell ref="A15007:G15007"/>
    <mergeCell ref="B15008:C15008"/>
    <mergeCell ref="A15012:F15012"/>
    <mergeCell ref="A15014:F15014"/>
    <mergeCell ref="A15020:F15020"/>
    <mergeCell ref="B15046:C15046"/>
    <mergeCell ref="B10876:C10876"/>
    <mergeCell ref="A10890:F10890"/>
    <mergeCell ref="A10865:G10865"/>
    <mergeCell ref="B10866:C10866"/>
    <mergeCell ref="A14600:F14600"/>
    <mergeCell ref="A14602:G14602"/>
    <mergeCell ref="B14402:C14402"/>
    <mergeCell ref="B14577:C14577"/>
    <mergeCell ref="B14519:C14519"/>
    <mergeCell ref="A11568:F11568"/>
    <mergeCell ref="B11656:C11656"/>
    <mergeCell ref="B11657:C11657"/>
    <mergeCell ref="B12464:C12464"/>
    <mergeCell ref="B12773:C12773"/>
    <mergeCell ref="A12779:F12779"/>
    <mergeCell ref="A12781:F12781"/>
    <mergeCell ref="A12787:F12787"/>
    <mergeCell ref="A12791:F12791"/>
    <mergeCell ref="B11508:C11508"/>
    <mergeCell ref="B11509:C11509"/>
    <mergeCell ref="B12474:C12474"/>
    <mergeCell ref="A14613:F14613"/>
    <mergeCell ref="A14563:G14563"/>
    <mergeCell ref="B15513:C15513"/>
    <mergeCell ref="B11718:C11718"/>
    <mergeCell ref="B11719:C11719"/>
    <mergeCell ref="B11724:C11724"/>
    <mergeCell ref="A15054:G15054"/>
    <mergeCell ref="B14986:C14986"/>
    <mergeCell ref="B15055:C15055"/>
    <mergeCell ref="A15069:F15069"/>
    <mergeCell ref="A15071:G15071"/>
    <mergeCell ref="B15072:C15072"/>
    <mergeCell ref="A15078:F15078"/>
    <mergeCell ref="A15080:F15080"/>
    <mergeCell ref="B11856:C11856"/>
    <mergeCell ref="B11857:C11857"/>
    <mergeCell ref="B11858:C11858"/>
    <mergeCell ref="A11860:F11860"/>
    <mergeCell ref="A11862:G11862"/>
    <mergeCell ref="B11863:C11863"/>
    <mergeCell ref="A11877:F11877"/>
    <mergeCell ref="A11879:G11879"/>
    <mergeCell ref="B12491:C12491"/>
    <mergeCell ref="A12496:F12496"/>
    <mergeCell ref="B14578:C14578"/>
    <mergeCell ref="A12450:F12450"/>
    <mergeCell ref="A12452:G12452"/>
    <mergeCell ref="A12461:F12461"/>
    <mergeCell ref="B14423:C14423"/>
    <mergeCell ref="A14424:G14424"/>
    <mergeCell ref="B14425:C14425"/>
    <mergeCell ref="B14385:C14385"/>
    <mergeCell ref="A14399:F14399"/>
    <mergeCell ref="A14401:G14401"/>
    <mergeCell ref="B15540:C15540"/>
    <mergeCell ref="B15541:C15541"/>
    <mergeCell ref="B15583:C15583"/>
    <mergeCell ref="B15584:C15584"/>
    <mergeCell ref="A15585:G15585"/>
    <mergeCell ref="A15643:F15643"/>
    <mergeCell ref="A15649:F15649"/>
    <mergeCell ref="A15653:F15653"/>
    <mergeCell ref="B15515:C15515"/>
    <mergeCell ref="A16350:G16350"/>
    <mergeCell ref="B16351:C16351"/>
    <mergeCell ref="A16353:F16353"/>
    <mergeCell ref="A16355:G16355"/>
    <mergeCell ref="B16366:C16366"/>
    <mergeCell ref="B16367:C16367"/>
    <mergeCell ref="B16368:C16368"/>
    <mergeCell ref="B16369:C16369"/>
    <mergeCell ref="A15535:G15535"/>
    <mergeCell ref="B15888:C15888"/>
    <mergeCell ref="B15889:C15889"/>
    <mergeCell ref="B15890:C15890"/>
    <mergeCell ref="B16096:C16096"/>
    <mergeCell ref="B15753:C15753"/>
    <mergeCell ref="B16029:C16029"/>
    <mergeCell ref="B15618:C15618"/>
    <mergeCell ref="A15632:F15632"/>
    <mergeCell ref="A15634:G15634"/>
    <mergeCell ref="B15635:C15635"/>
    <mergeCell ref="B15868:C15868"/>
    <mergeCell ref="A15869:G15869"/>
    <mergeCell ref="A15827:F15827"/>
    <mergeCell ref="B15867:C15867"/>
    <mergeCell ref="B15914:C15914"/>
    <mergeCell ref="A16051:F16051"/>
    <mergeCell ref="A16053:G16053"/>
    <mergeCell ref="B16054:C16054"/>
    <mergeCell ref="A15920:F15920"/>
    <mergeCell ref="A15922:F15922"/>
    <mergeCell ref="A15928:F15928"/>
    <mergeCell ref="A15932:F15932"/>
    <mergeCell ref="A15968:G15968"/>
    <mergeCell ref="A15641:F15641"/>
    <mergeCell ref="B15969:C15969"/>
    <mergeCell ref="A15983:F15983"/>
    <mergeCell ref="B16032:C16032"/>
    <mergeCell ref="A16034:F16034"/>
    <mergeCell ref="A16036:G16036"/>
    <mergeCell ref="B16037:C16037"/>
    <mergeCell ref="A15829:G15829"/>
    <mergeCell ref="B15830:C15830"/>
    <mergeCell ref="A15844:F15844"/>
    <mergeCell ref="A15896:G15896"/>
    <mergeCell ref="B15935:C15935"/>
    <mergeCell ref="A15936:G15936"/>
    <mergeCell ref="A15783:F15783"/>
    <mergeCell ref="A15797:G15797"/>
    <mergeCell ref="B16028:C16028"/>
    <mergeCell ref="A15985:G15985"/>
    <mergeCell ref="B15986:C15986"/>
    <mergeCell ref="A15992:F15992"/>
    <mergeCell ref="B15730:C15730"/>
    <mergeCell ref="B15658:C15658"/>
    <mergeCell ref="A15809:G15809"/>
    <mergeCell ref="B15820:C15820"/>
    <mergeCell ref="A19874:F19874"/>
    <mergeCell ref="A19762:F19762"/>
    <mergeCell ref="A19454:F19454"/>
    <mergeCell ref="B16978:C16978"/>
    <mergeCell ref="A17637:G17637"/>
    <mergeCell ref="B17644:C17644"/>
    <mergeCell ref="A17645:F17645"/>
    <mergeCell ref="A17647:G17647"/>
    <mergeCell ref="A16979:G16979"/>
    <mergeCell ref="B16980:C16980"/>
    <mergeCell ref="A18555:G18555"/>
    <mergeCell ref="B19035:C19035"/>
    <mergeCell ref="B18698:C18698"/>
    <mergeCell ref="B18699:C18699"/>
    <mergeCell ref="B19062:C19062"/>
    <mergeCell ref="B19063:C19063"/>
    <mergeCell ref="B19064:C19064"/>
    <mergeCell ref="A19065:F19065"/>
    <mergeCell ref="A19067:G19067"/>
    <mergeCell ref="A18442:F18442"/>
    <mergeCell ref="A18444:F18444"/>
    <mergeCell ref="B18412:C18412"/>
    <mergeCell ref="B18704:C18704"/>
    <mergeCell ref="A18705:F18705"/>
    <mergeCell ref="A18707:G18707"/>
    <mergeCell ref="B18708:C18708"/>
    <mergeCell ref="A18471:G18471"/>
    <mergeCell ref="A18480:F18480"/>
    <mergeCell ref="A18482:G18482"/>
    <mergeCell ref="B18483:C18483"/>
    <mergeCell ref="B18484:C18484"/>
    <mergeCell ref="B18485:C18485"/>
    <mergeCell ref="A19934:F19934"/>
    <mergeCell ref="A19479:G19479"/>
    <mergeCell ref="B19603:C19603"/>
    <mergeCell ref="B18963:C18963"/>
    <mergeCell ref="B18634:C18634"/>
    <mergeCell ref="A19692:F19692"/>
    <mergeCell ref="B19623:C19623"/>
    <mergeCell ref="B19730:C19730"/>
    <mergeCell ref="B19731:C19731"/>
    <mergeCell ref="B19656:C19656"/>
    <mergeCell ref="B19657:C19657"/>
    <mergeCell ref="B19652:C19652"/>
    <mergeCell ref="A19696:F19696"/>
    <mergeCell ref="A19255:G19255"/>
    <mergeCell ref="A19500:F19500"/>
    <mergeCell ref="B19507:C19507"/>
    <mergeCell ref="A19575:G19575"/>
    <mergeCell ref="B19576:C19576"/>
    <mergeCell ref="B19358:C19358"/>
    <mergeCell ref="A19475:F19475"/>
    <mergeCell ref="A19164:F19164"/>
    <mergeCell ref="B19133:C19133"/>
    <mergeCell ref="B19134:C19134"/>
    <mergeCell ref="B19135:C19135"/>
    <mergeCell ref="B19136:C19136"/>
    <mergeCell ref="A19011:F19011"/>
    <mergeCell ref="A18890:G18890"/>
    <mergeCell ref="B18891:C18891"/>
    <mergeCell ref="B18845:C18845"/>
    <mergeCell ref="B18846:C18846"/>
    <mergeCell ref="B18745:C18745"/>
    <mergeCell ref="B19253:C19253"/>
    <mergeCell ref="A20060:F20060"/>
    <mergeCell ref="A19726:G19726"/>
    <mergeCell ref="B19727:C19727"/>
    <mergeCell ref="A19724:F19724"/>
    <mergeCell ref="A19791:G19791"/>
    <mergeCell ref="A19922:F19922"/>
    <mergeCell ref="B19728:C19728"/>
    <mergeCell ref="B19729:C19729"/>
    <mergeCell ref="A21731:F21731"/>
    <mergeCell ref="A21735:F21735"/>
    <mergeCell ref="B20440:C20440"/>
    <mergeCell ref="B20441:C20441"/>
    <mergeCell ref="A20462:F20462"/>
    <mergeCell ref="A20464:G20464"/>
    <mergeCell ref="B20465:C20465"/>
    <mergeCell ref="B20069:C20069"/>
    <mergeCell ref="A20081:F20081"/>
    <mergeCell ref="A20083:G20083"/>
    <mergeCell ref="B20658:C20658"/>
    <mergeCell ref="B20467:C20467"/>
    <mergeCell ref="B20468:C20468"/>
    <mergeCell ref="B20469:C20469"/>
    <mergeCell ref="B20470:C20470"/>
    <mergeCell ref="B19737:C19737"/>
    <mergeCell ref="A20091:F20091"/>
    <mergeCell ref="A20093:G20093"/>
    <mergeCell ref="B20094:C20094"/>
    <mergeCell ref="B20095:C20095"/>
    <mergeCell ref="A20781:F20781"/>
    <mergeCell ref="A20139:F20139"/>
    <mergeCell ref="B20296:C20296"/>
    <mergeCell ref="A20306:F20306"/>
    <mergeCell ref="A19973:G19973"/>
    <mergeCell ref="B19974:C19974"/>
    <mergeCell ref="A19828:G19828"/>
    <mergeCell ref="B19829:C19829"/>
    <mergeCell ref="B19330:C19330"/>
    <mergeCell ref="A19331:G19331"/>
    <mergeCell ref="A19402:F19402"/>
    <mergeCell ref="A19437:F19437"/>
    <mergeCell ref="A19988:F19988"/>
    <mergeCell ref="A19926:G19926"/>
    <mergeCell ref="B19949:C19949"/>
    <mergeCell ref="A19843:F19843"/>
    <mergeCell ref="B19995:C19995"/>
    <mergeCell ref="A19996:G19996"/>
    <mergeCell ref="B19997:C19997"/>
    <mergeCell ref="A20006:F20006"/>
    <mergeCell ref="B19950:C19950"/>
    <mergeCell ref="A19971:F19971"/>
    <mergeCell ref="A19801:G19801"/>
    <mergeCell ref="B19802:C19802"/>
    <mergeCell ref="A19982:F19982"/>
    <mergeCell ref="B19754:C19754"/>
    <mergeCell ref="B19732:C19732"/>
    <mergeCell ref="B19733:C19733"/>
    <mergeCell ref="B19774:C19774"/>
    <mergeCell ref="A19734:F19734"/>
    <mergeCell ref="A19736:G19736"/>
    <mergeCell ref="B19850:C19850"/>
    <mergeCell ref="A19851:G19851"/>
    <mergeCell ref="B19852:C19852"/>
    <mergeCell ref="A19946:G19946"/>
    <mergeCell ref="B19927:C19927"/>
    <mergeCell ref="B18725:C18725"/>
    <mergeCell ref="A18731:F18731"/>
    <mergeCell ref="A18733:F18733"/>
    <mergeCell ref="B18559:C18559"/>
    <mergeCell ref="B18603:C18603"/>
    <mergeCell ref="B18604:C18604"/>
    <mergeCell ref="A18605:G18605"/>
    <mergeCell ref="B18629:C18629"/>
    <mergeCell ref="B18630:C18630"/>
    <mergeCell ref="B18560:C18560"/>
    <mergeCell ref="A18591:F18591"/>
    <mergeCell ref="A18597:F18597"/>
    <mergeCell ref="B18566:C18566"/>
    <mergeCell ref="A18580:F18580"/>
    <mergeCell ref="B18561:C18561"/>
    <mergeCell ref="B18562:C18562"/>
    <mergeCell ref="B18557:C18557"/>
    <mergeCell ref="A18627:G18627"/>
    <mergeCell ref="B18628:C18628"/>
    <mergeCell ref="B18531:C18531"/>
    <mergeCell ref="A18739:F18739"/>
    <mergeCell ref="A18743:F18743"/>
    <mergeCell ref="B18700:C18700"/>
    <mergeCell ref="B18701:C18701"/>
    <mergeCell ref="A18722:F18722"/>
    <mergeCell ref="A18724:G18724"/>
    <mergeCell ref="B18675:C18675"/>
    <mergeCell ref="B18676:C18676"/>
    <mergeCell ref="B18534:C18534"/>
    <mergeCell ref="B18419:C18419"/>
    <mergeCell ref="B18532:C18532"/>
    <mergeCell ref="A18533:G18533"/>
    <mergeCell ref="A18433:F18433"/>
    <mergeCell ref="A18435:G18435"/>
    <mergeCell ref="B18456:C18456"/>
    <mergeCell ref="B18457:C18457"/>
    <mergeCell ref="A18458:G18458"/>
    <mergeCell ref="B18459:C18459"/>
    <mergeCell ref="A18469:F18469"/>
    <mergeCell ref="A18543:F18543"/>
    <mergeCell ref="A18545:G18545"/>
    <mergeCell ref="A18553:F18553"/>
    <mergeCell ref="A18589:F18589"/>
    <mergeCell ref="B18558:C18558"/>
    <mergeCell ref="A18582:G18582"/>
    <mergeCell ref="B18583:C18583"/>
    <mergeCell ref="A18492:G18492"/>
    <mergeCell ref="B18493:C18493"/>
    <mergeCell ref="A18507:F18507"/>
    <mergeCell ref="A18509:G18509"/>
    <mergeCell ref="B18510:C18510"/>
    <mergeCell ref="B17212:C17212"/>
    <mergeCell ref="B17213:C17213"/>
    <mergeCell ref="B17214:C17214"/>
    <mergeCell ref="A17206:F17206"/>
    <mergeCell ref="A17208:G17208"/>
    <mergeCell ref="A17897:G17897"/>
    <mergeCell ref="A17783:F17783"/>
    <mergeCell ref="A17785:G17785"/>
    <mergeCell ref="A17856:F17856"/>
    <mergeCell ref="A17858:G17858"/>
    <mergeCell ref="A18098:F18098"/>
    <mergeCell ref="A18104:F18104"/>
    <mergeCell ref="A18108:F18108"/>
    <mergeCell ref="B18068:C18068"/>
    <mergeCell ref="B17898:C17898"/>
    <mergeCell ref="A17905:F17905"/>
    <mergeCell ref="B17786:C17786"/>
    <mergeCell ref="A17800:F17800"/>
    <mergeCell ref="A17802:G17802"/>
    <mergeCell ref="A17254:F17254"/>
    <mergeCell ref="A17635:F17635"/>
    <mergeCell ref="A17627:G17627"/>
    <mergeCell ref="A17811:F17811"/>
    <mergeCell ref="A17817:F17817"/>
    <mergeCell ref="A17671:F17671"/>
    <mergeCell ref="B17686:C17686"/>
    <mergeCell ref="A17687:G17687"/>
    <mergeCell ref="A17673:F17673"/>
    <mergeCell ref="A17679:F17679"/>
    <mergeCell ref="A17683:F17683"/>
    <mergeCell ref="A17751:F17751"/>
    <mergeCell ref="B17688:C17688"/>
    <mergeCell ref="A17915:F17915"/>
    <mergeCell ref="A17917:G17917"/>
    <mergeCell ref="B17924:C17924"/>
    <mergeCell ref="A17925:F17925"/>
    <mergeCell ref="A17927:G17927"/>
    <mergeCell ref="A17963:F17963"/>
    <mergeCell ref="B17895:C17895"/>
    <mergeCell ref="A18396:F18396"/>
    <mergeCell ref="B17709:C17709"/>
    <mergeCell ref="B17710:C17710"/>
    <mergeCell ref="B17711:C17711"/>
    <mergeCell ref="B17712:C17712"/>
    <mergeCell ref="A17713:F17713"/>
    <mergeCell ref="B18064:C18064"/>
    <mergeCell ref="B18065:C18065"/>
    <mergeCell ref="B18066:C18066"/>
    <mergeCell ref="B18067:C18067"/>
    <mergeCell ref="A17893:F17893"/>
    <mergeCell ref="A17715:G17715"/>
    <mergeCell ref="B17716:C17716"/>
    <mergeCell ref="A17730:F17730"/>
    <mergeCell ref="A17732:G17732"/>
    <mergeCell ref="A17951:F17951"/>
    <mergeCell ref="A17953:F17953"/>
    <mergeCell ref="B17965:C17965"/>
    <mergeCell ref="B17966:C17966"/>
    <mergeCell ref="A18014:F18014"/>
    <mergeCell ref="A18016:G18016"/>
    <mergeCell ref="B17803:C17803"/>
    <mergeCell ref="B18133:C18133"/>
    <mergeCell ref="B17945:C17945"/>
    <mergeCell ref="B17754:C17754"/>
    <mergeCell ref="B17614:C17614"/>
    <mergeCell ref="A17615:G17615"/>
    <mergeCell ref="B17616:C17616"/>
    <mergeCell ref="A17625:F17625"/>
    <mergeCell ref="A18072:G18072"/>
    <mergeCell ref="B18073:C18073"/>
    <mergeCell ref="A18087:F18087"/>
    <mergeCell ref="A18089:G18089"/>
    <mergeCell ref="B18090:C18090"/>
    <mergeCell ref="A18096:F18096"/>
    <mergeCell ref="B17638:C17638"/>
    <mergeCell ref="B17639:C17639"/>
    <mergeCell ref="B17640:C17640"/>
    <mergeCell ref="B17641:C17641"/>
    <mergeCell ref="B17642:C17642"/>
    <mergeCell ref="B17643:C17643"/>
    <mergeCell ref="A16971:F16971"/>
    <mergeCell ref="A16975:F16975"/>
    <mergeCell ref="A16985:F16985"/>
    <mergeCell ref="A16987:G16987"/>
    <mergeCell ref="B16998:C16998"/>
    <mergeCell ref="B16999:C16999"/>
    <mergeCell ref="B17000:C17000"/>
    <mergeCell ref="B17001:C17001"/>
    <mergeCell ref="B17002:C17002"/>
    <mergeCell ref="B17184:C17184"/>
    <mergeCell ref="B17185:C17185"/>
    <mergeCell ref="B17003:C17003"/>
    <mergeCell ref="A16995:F16995"/>
    <mergeCell ref="A16997:G16997"/>
    <mergeCell ref="A17762:F17762"/>
    <mergeCell ref="B17211:C17211"/>
    <mergeCell ref="B17004:C17004"/>
    <mergeCell ref="A16954:F16954"/>
    <mergeCell ref="A16956:G16956"/>
    <mergeCell ref="B16957:C16957"/>
    <mergeCell ref="B16934:C16934"/>
    <mergeCell ref="A16927:F16927"/>
    <mergeCell ref="A16869:G16869"/>
    <mergeCell ref="B16870:C16870"/>
    <mergeCell ref="A16884:F16884"/>
    <mergeCell ref="A16886:G16886"/>
    <mergeCell ref="B16887:C16887"/>
    <mergeCell ref="A16893:F16893"/>
    <mergeCell ref="B16907:C16907"/>
    <mergeCell ref="B16908:C16908"/>
    <mergeCell ref="A16909:G16909"/>
    <mergeCell ref="B16910:C16910"/>
    <mergeCell ref="A16917:F16917"/>
    <mergeCell ref="A16919:G16919"/>
    <mergeCell ref="B16935:C16935"/>
    <mergeCell ref="A16937:F16937"/>
    <mergeCell ref="A16939:G16939"/>
    <mergeCell ref="B16940:C16940"/>
    <mergeCell ref="B16930:C16930"/>
    <mergeCell ref="A16929:G16929"/>
    <mergeCell ref="A16963:F16963"/>
    <mergeCell ref="A16965:F16965"/>
    <mergeCell ref="B16936:C16936"/>
    <mergeCell ref="B16977:C16977"/>
    <mergeCell ref="A17005:F17005"/>
    <mergeCell ref="A17007:G17007"/>
    <mergeCell ref="A16837:G16837"/>
    <mergeCell ref="B16838:C16838"/>
    <mergeCell ref="A16846:F16846"/>
    <mergeCell ref="A16848:G16848"/>
    <mergeCell ref="B16859:C16859"/>
    <mergeCell ref="B16860:C16860"/>
    <mergeCell ref="B16861:C16861"/>
    <mergeCell ref="B16862:C16862"/>
    <mergeCell ref="A16895:F16895"/>
    <mergeCell ref="B16933:C16933"/>
    <mergeCell ref="B16794:C16794"/>
    <mergeCell ref="A16795:F16795"/>
    <mergeCell ref="A16797:G16797"/>
    <mergeCell ref="B16798:C16798"/>
    <mergeCell ref="A16812:F16812"/>
    <mergeCell ref="A16814:G16814"/>
    <mergeCell ref="A16856:F16856"/>
    <mergeCell ref="A16858:G16858"/>
    <mergeCell ref="B16865:C16865"/>
    <mergeCell ref="A16867:F16867"/>
    <mergeCell ref="A16901:F16901"/>
    <mergeCell ref="A16905:F16905"/>
    <mergeCell ref="B16863:C16863"/>
    <mergeCell ref="B16864:C16864"/>
    <mergeCell ref="A16823:F16823"/>
    <mergeCell ref="A16829:F16829"/>
    <mergeCell ref="B16931:C16931"/>
    <mergeCell ref="B16932:C16932"/>
    <mergeCell ref="B16815:C16815"/>
    <mergeCell ref="A16821:F16821"/>
    <mergeCell ref="B15537:C15537"/>
    <mergeCell ref="B15538:C15538"/>
    <mergeCell ref="B15539:C15539"/>
    <mergeCell ref="A15533:F15533"/>
    <mergeCell ref="A14605:F14605"/>
    <mergeCell ref="A14607:F14607"/>
    <mergeCell ref="A14883:F14883"/>
    <mergeCell ref="B14885:C14885"/>
    <mergeCell ref="B14886:C14886"/>
    <mergeCell ref="A14887:G14887"/>
    <mergeCell ref="B14888:C14888"/>
    <mergeCell ref="A14896:F14896"/>
    <mergeCell ref="A14862:F14862"/>
    <mergeCell ref="A14864:G14864"/>
    <mergeCell ref="B14865:C14865"/>
    <mergeCell ref="A14871:F14871"/>
    <mergeCell ref="A14847:G14847"/>
    <mergeCell ref="B14848:C14848"/>
    <mergeCell ref="B15512:C15512"/>
    <mergeCell ref="B15045:C15045"/>
    <mergeCell ref="B14981:C14981"/>
    <mergeCell ref="A15287:F15287"/>
    <mergeCell ref="B15047:C15047"/>
    <mergeCell ref="B15048:C15048"/>
    <mergeCell ref="A15523:F15523"/>
    <mergeCell ref="A14951:F14951"/>
    <mergeCell ref="A15525:G15525"/>
    <mergeCell ref="B15536:C15536"/>
    <mergeCell ref="A15193:G15193"/>
    <mergeCell ref="B15194:C15194"/>
    <mergeCell ref="A15208:F15208"/>
    <mergeCell ref="A15210:G15210"/>
    <mergeCell ref="B15211:C15211"/>
    <mergeCell ref="B13681:C13681"/>
    <mergeCell ref="B13682:C13682"/>
    <mergeCell ref="B13683:C13683"/>
    <mergeCell ref="B13684:C13684"/>
    <mergeCell ref="B13685:C13685"/>
    <mergeCell ref="B13686:C13686"/>
    <mergeCell ref="B12868:C12868"/>
    <mergeCell ref="B14987:C14987"/>
    <mergeCell ref="A14988:F14988"/>
    <mergeCell ref="A14990:G14990"/>
    <mergeCell ref="B14991:C14991"/>
    <mergeCell ref="A15028:G15028"/>
    <mergeCell ref="B15029:C15029"/>
    <mergeCell ref="A15032:F15032"/>
    <mergeCell ref="A15034:G15034"/>
    <mergeCell ref="A13372:G13372"/>
    <mergeCell ref="B13373:C13373"/>
    <mergeCell ref="B13374:C13374"/>
    <mergeCell ref="B15189:C15189"/>
    <mergeCell ref="A14712:G14712"/>
    <mergeCell ref="B14713:C14713"/>
    <mergeCell ref="A14727:F14727"/>
    <mergeCell ref="A14683:G14683"/>
    <mergeCell ref="B14684:C14684"/>
    <mergeCell ref="A14688:F14688"/>
    <mergeCell ref="A14690:G14690"/>
    <mergeCell ref="A14710:F14710"/>
    <mergeCell ref="B15161:C15161"/>
    <mergeCell ref="B15162:C15162"/>
    <mergeCell ref="A15163:G15163"/>
    <mergeCell ref="A12914:F12914"/>
    <mergeCell ref="A15400:G15400"/>
    <mergeCell ref="B15401:C15401"/>
    <mergeCell ref="A15415:F15415"/>
    <mergeCell ref="A15417:G15417"/>
    <mergeCell ref="A11551:F11551"/>
    <mergeCell ref="B12723:C12723"/>
    <mergeCell ref="A12731:F12731"/>
    <mergeCell ref="A12733:G12733"/>
    <mergeCell ref="A12743:F12743"/>
    <mergeCell ref="A12745:G12745"/>
    <mergeCell ref="B12746:C12746"/>
    <mergeCell ref="B12747:C12747"/>
    <mergeCell ref="B12748:C12748"/>
    <mergeCell ref="B12749:C12749"/>
    <mergeCell ref="B12750:C12750"/>
    <mergeCell ref="B11511:C11511"/>
    <mergeCell ref="A11513:F11513"/>
    <mergeCell ref="A11515:G11515"/>
    <mergeCell ref="A11524:F11524"/>
    <mergeCell ref="A11526:G11526"/>
    <mergeCell ref="B11573:C11573"/>
    <mergeCell ref="A11588:G11588"/>
    <mergeCell ref="B11589:C11589"/>
    <mergeCell ref="B11590:C11590"/>
    <mergeCell ref="B11591:C11591"/>
    <mergeCell ref="B11570:C11570"/>
    <mergeCell ref="B11571:C11571"/>
    <mergeCell ref="A11572:G11572"/>
    <mergeCell ref="B11592:C11592"/>
    <mergeCell ref="A11556:F11556"/>
    <mergeCell ref="A11558:F11558"/>
    <mergeCell ref="A11564:F11564"/>
    <mergeCell ref="A11510:G11510"/>
    <mergeCell ref="B11531:C11531"/>
    <mergeCell ref="B11533:C11533"/>
    <mergeCell ref="A2972:F2972"/>
    <mergeCell ref="A2974:G2974"/>
    <mergeCell ref="A2984:F2984"/>
    <mergeCell ref="A2986:G2986"/>
    <mergeCell ref="B2987:C2987"/>
    <mergeCell ref="A12722:G12722"/>
    <mergeCell ref="A12699:G12699"/>
    <mergeCell ref="B12700:C12700"/>
    <mergeCell ref="A11437:F11437"/>
    <mergeCell ref="A11441:F11441"/>
    <mergeCell ref="B12751:C12751"/>
    <mergeCell ref="B12650:C12650"/>
    <mergeCell ref="A12658:F12658"/>
    <mergeCell ref="A12660:G12660"/>
    <mergeCell ref="A11849:F11849"/>
    <mergeCell ref="A11851:G11851"/>
    <mergeCell ref="B11527:C11527"/>
    <mergeCell ref="B11528:C11528"/>
    <mergeCell ref="B11529:C11529"/>
    <mergeCell ref="B11530:C11530"/>
    <mergeCell ref="B11854:C11854"/>
    <mergeCell ref="B11855:C11855"/>
    <mergeCell ref="A11757:F11757"/>
    <mergeCell ref="A11761:F11761"/>
    <mergeCell ref="B11594:C11594"/>
    <mergeCell ref="B11595:C11595"/>
    <mergeCell ref="B11596:C11596"/>
    <mergeCell ref="A11597:F11597"/>
    <mergeCell ref="A11599:G11599"/>
    <mergeCell ref="A12770:F12770"/>
    <mergeCell ref="A12772:G12772"/>
    <mergeCell ref="A11553:G11553"/>
    <mergeCell ref="B11554:C11554"/>
    <mergeCell ref="B11698:C11698"/>
    <mergeCell ref="A11700:G11700"/>
    <mergeCell ref="B11728:C11728"/>
    <mergeCell ref="A11725:F11725"/>
    <mergeCell ref="A11727:G11727"/>
    <mergeCell ref="B11720:C11720"/>
    <mergeCell ref="B11721:C11721"/>
    <mergeCell ref="B11722:C11722"/>
    <mergeCell ref="B11723:C11723"/>
    <mergeCell ref="A11838:F11838"/>
    <mergeCell ref="A11840:G11840"/>
    <mergeCell ref="B11701:C11701"/>
    <mergeCell ref="A11703:F11703"/>
    <mergeCell ref="A11705:G11705"/>
    <mergeCell ref="B11717:C11717"/>
    <mergeCell ref="B12465:C12465"/>
    <mergeCell ref="B12466:C12466"/>
    <mergeCell ref="B12467:C12467"/>
    <mergeCell ref="B12443:C12443"/>
    <mergeCell ref="B12444:C12444"/>
    <mergeCell ref="A11714:F11714"/>
    <mergeCell ref="A11716:G11716"/>
    <mergeCell ref="B11852:C11852"/>
    <mergeCell ref="B11853:C11853"/>
    <mergeCell ref="A11886:F11886"/>
    <mergeCell ref="B11699:C11699"/>
    <mergeCell ref="A11829:G11829"/>
    <mergeCell ref="B11830:C11830"/>
    <mergeCell ref="B11600:C11600"/>
    <mergeCell ref="A11614:F11614"/>
    <mergeCell ref="A11616:G11616"/>
    <mergeCell ref="B11617:C11617"/>
    <mergeCell ref="A11620:F11620"/>
    <mergeCell ref="A11622:F11622"/>
    <mergeCell ref="A11628:F11628"/>
    <mergeCell ref="A11632:F11632"/>
    <mergeCell ref="B11634:C11634"/>
    <mergeCell ref="B11635:C11635"/>
    <mergeCell ref="A11636:G11636"/>
    <mergeCell ref="B11637:C11637"/>
    <mergeCell ref="A11639:F11639"/>
    <mergeCell ref="A11641:G11641"/>
    <mergeCell ref="A11650:F11650"/>
    <mergeCell ref="A11652:G11652"/>
    <mergeCell ref="B11653:C11653"/>
    <mergeCell ref="B11654:C11654"/>
    <mergeCell ref="B11655:C11655"/>
    <mergeCell ref="B11827:C11827"/>
    <mergeCell ref="B11828:C11828"/>
    <mergeCell ref="B15418:C15418"/>
    <mergeCell ref="A15424:F15424"/>
    <mergeCell ref="A15426:F15426"/>
    <mergeCell ref="A15432:F15432"/>
    <mergeCell ref="A15436:F15436"/>
    <mergeCell ref="A14729:G14729"/>
    <mergeCell ref="B14730:C14730"/>
    <mergeCell ref="A14736:F14736"/>
    <mergeCell ref="A14738:F14738"/>
    <mergeCell ref="A14744:F14744"/>
    <mergeCell ref="B14685:C14685"/>
    <mergeCell ref="B14702:C14702"/>
    <mergeCell ref="A13722:F13722"/>
    <mergeCell ref="A13726:F13726"/>
    <mergeCell ref="B13687:C13687"/>
    <mergeCell ref="A13688:F13688"/>
    <mergeCell ref="A13690:G13690"/>
    <mergeCell ref="B13691:C13691"/>
    <mergeCell ref="B14515:C14515"/>
    <mergeCell ref="B14516:C14516"/>
    <mergeCell ref="B14517:C14517"/>
    <mergeCell ref="B14496:C14496"/>
    <mergeCell ref="A14498:F14498"/>
    <mergeCell ref="A14500:G14500"/>
    <mergeCell ref="B14512:C14512"/>
    <mergeCell ref="B14513:C14513"/>
    <mergeCell ref="B14514:C14514"/>
    <mergeCell ref="B15188:C15188"/>
    <mergeCell ref="A12916:G12916"/>
    <mergeCell ref="B12917:C12917"/>
    <mergeCell ref="A12923:F12923"/>
    <mergeCell ref="B13394:C13394"/>
    <mergeCell ref="B13395:C13395"/>
    <mergeCell ref="B13396:C13396"/>
    <mergeCell ref="B13397:C13397"/>
    <mergeCell ref="B13398:C13398"/>
    <mergeCell ref="B13399:C13399"/>
    <mergeCell ref="B13370:C13370"/>
    <mergeCell ref="B14984:C14984"/>
    <mergeCell ref="B14985:C14985"/>
    <mergeCell ref="A14978:F14978"/>
    <mergeCell ref="A14980:G14980"/>
    <mergeCell ref="B14378:C14378"/>
    <mergeCell ref="B13080:C13080"/>
    <mergeCell ref="B13081:C13081"/>
    <mergeCell ref="A13420:G13420"/>
    <mergeCell ref="B13421:C13421"/>
    <mergeCell ref="A13427:F13427"/>
    <mergeCell ref="A13429:F13429"/>
    <mergeCell ref="A13435:F13435"/>
    <mergeCell ref="A13439:F13439"/>
    <mergeCell ref="A12931:F12931"/>
    <mergeCell ref="A12935:F12935"/>
    <mergeCell ref="A13391:F13391"/>
    <mergeCell ref="A13393:G13393"/>
    <mergeCell ref="A13579:F13579"/>
    <mergeCell ref="B14960:C14960"/>
    <mergeCell ref="A14968:F14968"/>
    <mergeCell ref="A14970:G14970"/>
    <mergeCell ref="B13759:C13759"/>
    <mergeCell ref="A15278:F15278"/>
    <mergeCell ref="A14748:F14748"/>
    <mergeCell ref="B14709:C14709"/>
    <mergeCell ref="A11404:F11404"/>
    <mergeCell ref="A11406:G11406"/>
    <mergeCell ref="B11407:C11407"/>
    <mergeCell ref="A11421:F11421"/>
    <mergeCell ref="A11423:G11423"/>
    <mergeCell ref="B11424:C11424"/>
    <mergeCell ref="B11378:C11378"/>
    <mergeCell ref="A11394:F11394"/>
    <mergeCell ref="A11396:G11396"/>
    <mergeCell ref="B11403:C11403"/>
    <mergeCell ref="B12828:C12828"/>
    <mergeCell ref="A12842:F12842"/>
    <mergeCell ref="A12844:G12844"/>
    <mergeCell ref="B12845:C12845"/>
    <mergeCell ref="B15050:C15050"/>
    <mergeCell ref="B14965:C14965"/>
    <mergeCell ref="B14966:C14966"/>
    <mergeCell ref="B14967:C14967"/>
    <mergeCell ref="A12697:F12697"/>
    <mergeCell ref="B14703:C14703"/>
    <mergeCell ref="B14704:C14704"/>
    <mergeCell ref="A12851:F12851"/>
    <mergeCell ref="A12853:F12853"/>
    <mergeCell ref="A14408:F14408"/>
    <mergeCell ref="A14410:F14410"/>
    <mergeCell ref="A14420:F14420"/>
    <mergeCell ref="B14422:C14422"/>
    <mergeCell ref="B14706:C14706"/>
    <mergeCell ref="B12683:C12683"/>
    <mergeCell ref="B15328:C15328"/>
    <mergeCell ref="B15329:C15329"/>
    <mergeCell ref="A15330:F15330"/>
    <mergeCell ref="A15332:G15332"/>
    <mergeCell ref="B15333:C15333"/>
    <mergeCell ref="A15347:F15347"/>
    <mergeCell ref="B11402:C11402"/>
    <mergeCell ref="B14705:C14705"/>
    <mergeCell ref="B15026:C15026"/>
    <mergeCell ref="B15027:C15027"/>
    <mergeCell ref="B12673:C12673"/>
    <mergeCell ref="B12674:C12674"/>
    <mergeCell ref="B12675:C12675"/>
    <mergeCell ref="B12676:C12676"/>
    <mergeCell ref="B12677:C12677"/>
    <mergeCell ref="A12706:F12706"/>
    <mergeCell ref="B12678:C12678"/>
    <mergeCell ref="B12679:C12679"/>
    <mergeCell ref="A12680:F12680"/>
    <mergeCell ref="A12682:G12682"/>
    <mergeCell ref="A15183:G15183"/>
    <mergeCell ref="B15184:C15184"/>
    <mergeCell ref="A15289:F15289"/>
    <mergeCell ref="A15251:F15251"/>
    <mergeCell ref="A12859:F12859"/>
    <mergeCell ref="A12863:F12863"/>
    <mergeCell ref="A15322:G15322"/>
    <mergeCell ref="B15323:C15323"/>
    <mergeCell ref="B15324:C15324"/>
    <mergeCell ref="B15325:C15325"/>
    <mergeCell ref="B15326:C15326"/>
    <mergeCell ref="B15327:C15327"/>
    <mergeCell ref="B9754:C9754"/>
    <mergeCell ref="A9755:F9755"/>
    <mergeCell ref="B9823:C9823"/>
    <mergeCell ref="B9824:C9824"/>
    <mergeCell ref="B10109:C10109"/>
    <mergeCell ref="B10060:C10060"/>
    <mergeCell ref="A10066:F10066"/>
    <mergeCell ref="A10068:F10068"/>
    <mergeCell ref="A10074:F10074"/>
    <mergeCell ref="A10078:F10078"/>
    <mergeCell ref="A10110:F10110"/>
    <mergeCell ref="B10153:C10153"/>
    <mergeCell ref="B9966:C9966"/>
    <mergeCell ref="B9967:C9967"/>
    <mergeCell ref="B9968:C9968"/>
    <mergeCell ref="B9969:C9969"/>
    <mergeCell ref="A9970:F9970"/>
    <mergeCell ref="B9897:C9897"/>
    <mergeCell ref="A9898:F9898"/>
    <mergeCell ref="A9900:G9900"/>
    <mergeCell ref="B9964:C9964"/>
    <mergeCell ref="B9965:C9965"/>
    <mergeCell ref="A9987:F9987"/>
    <mergeCell ref="B9963:C9963"/>
    <mergeCell ref="B9901:C9901"/>
    <mergeCell ref="A9989:G9989"/>
    <mergeCell ref="B9990:C9990"/>
    <mergeCell ref="A9818:G9818"/>
    <mergeCell ref="B9819:C9819"/>
    <mergeCell ref="B9758:C9758"/>
    <mergeCell ref="A9998:F9998"/>
    <mergeCell ref="A10004:F10004"/>
    <mergeCell ref="A9972:G9972"/>
    <mergeCell ref="B9973:C9973"/>
    <mergeCell ref="A9864:F9864"/>
    <mergeCell ref="A9793:F9793"/>
    <mergeCell ref="A9926:F9926"/>
    <mergeCell ref="A9932:F9932"/>
    <mergeCell ref="B9939:C9939"/>
    <mergeCell ref="A9940:G9940"/>
    <mergeCell ref="B9941:C9941"/>
    <mergeCell ref="A9816:F9816"/>
    <mergeCell ref="B16835:C16835"/>
    <mergeCell ref="B16836:C16836"/>
    <mergeCell ref="B15586:C15586"/>
    <mergeCell ref="A15595:F15595"/>
    <mergeCell ref="A15597:G15597"/>
    <mergeCell ref="B15608:C15608"/>
    <mergeCell ref="B15609:C15609"/>
    <mergeCell ref="A15677:F15677"/>
    <mergeCell ref="B15611:C15611"/>
    <mergeCell ref="A11382:F11382"/>
    <mergeCell ref="A11384:G11384"/>
    <mergeCell ref="B11397:C11397"/>
    <mergeCell ref="B11398:C11398"/>
    <mergeCell ref="B11399:C11399"/>
    <mergeCell ref="B15542:C15542"/>
    <mergeCell ref="A15545:G15545"/>
    <mergeCell ref="B15546:C15546"/>
    <mergeCell ref="A15721:F15721"/>
    <mergeCell ref="A15725:F15725"/>
    <mergeCell ref="A16272:F16272"/>
    <mergeCell ref="A16016:G16016"/>
    <mergeCell ref="B16027:C16027"/>
    <mergeCell ref="A9772:F9772"/>
    <mergeCell ref="B11377:C11377"/>
    <mergeCell ref="A9774:G9774"/>
    <mergeCell ref="B9775:C9775"/>
    <mergeCell ref="A9781:F9781"/>
    <mergeCell ref="A9783:F9783"/>
    <mergeCell ref="A9789:F9789"/>
    <mergeCell ref="A10160:F10160"/>
    <mergeCell ref="A10162:G10162"/>
    <mergeCell ref="A10170:F10170"/>
    <mergeCell ref="A10172:G10172"/>
    <mergeCell ref="B10173:C10173"/>
    <mergeCell ref="B10174:C10174"/>
    <mergeCell ref="B10175:C10175"/>
    <mergeCell ref="B10176:C10176"/>
    <mergeCell ref="A11379:G11379"/>
    <mergeCell ref="B11380:C11380"/>
    <mergeCell ref="B10081:C10081"/>
    <mergeCell ref="A10082:G10082"/>
    <mergeCell ref="B10083:C10083"/>
    <mergeCell ref="A10090:F10090"/>
    <mergeCell ref="A10092:G10092"/>
    <mergeCell ref="A10100:F10100"/>
    <mergeCell ref="A10102:G10102"/>
    <mergeCell ref="B10013:C10013"/>
    <mergeCell ref="A10020:F10020"/>
    <mergeCell ref="A10022:G10022"/>
    <mergeCell ref="A10030:F10030"/>
    <mergeCell ref="A10032:G10032"/>
    <mergeCell ref="B10033:C10033"/>
    <mergeCell ref="B10034:C10034"/>
    <mergeCell ref="B10035:C10035"/>
    <mergeCell ref="A16100:F16100"/>
    <mergeCell ref="A16102:G16102"/>
    <mergeCell ref="B16103:C16103"/>
    <mergeCell ref="A16117:F16117"/>
    <mergeCell ref="A16119:G16119"/>
    <mergeCell ref="B15897:C15897"/>
    <mergeCell ref="A15911:F15911"/>
    <mergeCell ref="A15913:G15913"/>
    <mergeCell ref="B15612:C15612"/>
    <mergeCell ref="B15613:C15613"/>
    <mergeCell ref="A15657:G15657"/>
    <mergeCell ref="B15937:C15937"/>
    <mergeCell ref="A16014:F16014"/>
    <mergeCell ref="A16060:F16060"/>
    <mergeCell ref="A16062:F16062"/>
    <mergeCell ref="A15819:G15819"/>
    <mergeCell ref="B16077:C16077"/>
    <mergeCell ref="A16080:F16080"/>
    <mergeCell ref="A16082:G16082"/>
    <mergeCell ref="A15669:G15669"/>
    <mergeCell ref="A15846:G15846"/>
    <mergeCell ref="A16090:F16090"/>
    <mergeCell ref="B15847:C15847"/>
    <mergeCell ref="A15667:F15667"/>
    <mergeCell ref="B15821:C15821"/>
    <mergeCell ref="B15822:C15822"/>
    <mergeCell ref="B15823:C15823"/>
    <mergeCell ref="B15824:C15824"/>
    <mergeCell ref="B15825:C15825"/>
    <mergeCell ref="A15817:F15817"/>
    <mergeCell ref="A15679:G15679"/>
    <mergeCell ref="B15752:C15752"/>
    <mergeCell ref="A18765:F18765"/>
    <mergeCell ref="A18767:G18767"/>
    <mergeCell ref="B18487:C18487"/>
    <mergeCell ref="B20537:C20537"/>
    <mergeCell ref="A20392:G20392"/>
    <mergeCell ref="A18601:F18601"/>
    <mergeCell ref="A18565:G18565"/>
    <mergeCell ref="B20398:C20398"/>
    <mergeCell ref="B20246:C20246"/>
    <mergeCell ref="B20247:C20247"/>
    <mergeCell ref="B20248:C20248"/>
    <mergeCell ref="B17008:C17008"/>
    <mergeCell ref="A17022:F17022"/>
    <mergeCell ref="A17024:G17024"/>
    <mergeCell ref="B17025:C17025"/>
    <mergeCell ref="A17031:F17031"/>
    <mergeCell ref="A17033:F17033"/>
    <mergeCell ref="A17039:F17039"/>
    <mergeCell ref="A17043:F17043"/>
    <mergeCell ref="B17706:C17706"/>
    <mergeCell ref="A17703:F17703"/>
    <mergeCell ref="A17693:F17693"/>
    <mergeCell ref="A17695:G17695"/>
    <mergeCell ref="A17216:F17216"/>
    <mergeCell ref="A17218:G17218"/>
    <mergeCell ref="B17219:C17219"/>
    <mergeCell ref="B17613:C17613"/>
    <mergeCell ref="B17187:C17187"/>
    <mergeCell ref="A17186:G17186"/>
    <mergeCell ref="A17196:F17196"/>
    <mergeCell ref="A19013:G19013"/>
    <mergeCell ref="B19014:C19014"/>
    <mergeCell ref="B19777:C19777"/>
    <mergeCell ref="A19789:F19789"/>
    <mergeCell ref="B21239:C21239"/>
    <mergeCell ref="A21250:F21250"/>
    <mergeCell ref="A19992:F19992"/>
    <mergeCell ref="B20121:C20121"/>
    <mergeCell ref="A20127:F20127"/>
    <mergeCell ref="A20129:F20129"/>
    <mergeCell ref="A20135:F20135"/>
    <mergeCell ref="B20535:C20535"/>
    <mergeCell ref="A20802:F20802"/>
    <mergeCell ref="A20438:F20438"/>
    <mergeCell ref="A20580:F20580"/>
    <mergeCell ref="A20898:F20898"/>
    <mergeCell ref="A20900:G20900"/>
    <mergeCell ref="B19624:C19624"/>
    <mergeCell ref="A19638:F19638"/>
    <mergeCell ref="A19640:G19640"/>
    <mergeCell ref="A19648:F19648"/>
    <mergeCell ref="A19650:G19650"/>
    <mergeCell ref="B19651:C19651"/>
    <mergeCell ref="A19716:G19716"/>
    <mergeCell ref="B20611:C20611"/>
    <mergeCell ref="B20612:C20612"/>
    <mergeCell ref="A20426:F20426"/>
    <mergeCell ref="B20657:C20657"/>
    <mergeCell ref="A20352:F20352"/>
    <mergeCell ref="B20394:C20394"/>
    <mergeCell ref="A20584:G20584"/>
    <mergeCell ref="A20598:F20598"/>
    <mergeCell ref="A20600:G20600"/>
    <mergeCell ref="B20346:C20346"/>
    <mergeCell ref="B19477:C19477"/>
    <mergeCell ref="B19478:C19478"/>
    <mergeCell ref="B19505:C19505"/>
    <mergeCell ref="B19506:C19506"/>
    <mergeCell ref="B19361:C19361"/>
    <mergeCell ref="B19362:C19362"/>
    <mergeCell ref="B20562:C20562"/>
    <mergeCell ref="A21288:F21288"/>
    <mergeCell ref="B21167:C21167"/>
    <mergeCell ref="B21880:C21880"/>
    <mergeCell ref="B20689:C20689"/>
    <mergeCell ref="B20399:C20399"/>
    <mergeCell ref="A20400:F20400"/>
    <mergeCell ref="B21119:C21119"/>
    <mergeCell ref="B21024:C21024"/>
    <mergeCell ref="A21032:F21032"/>
    <mergeCell ref="A21034:G21034"/>
    <mergeCell ref="A21042:F21042"/>
    <mergeCell ref="A21044:G21044"/>
    <mergeCell ref="B21045:C21045"/>
    <mergeCell ref="B21046:C21046"/>
    <mergeCell ref="B21047:C21047"/>
    <mergeCell ref="B21048:C21048"/>
    <mergeCell ref="B21049:C21049"/>
    <mergeCell ref="B21050:C21050"/>
    <mergeCell ref="B20951:C20951"/>
    <mergeCell ref="B20907:C20907"/>
    <mergeCell ref="A21723:F21723"/>
    <mergeCell ref="B21700:C21700"/>
    <mergeCell ref="A21714:F21714"/>
    <mergeCell ref="A21716:G21716"/>
    <mergeCell ref="B21717:C21717"/>
    <mergeCell ref="A20792:F20792"/>
    <mergeCell ref="A20673:F20673"/>
    <mergeCell ref="A20675:G20675"/>
    <mergeCell ref="A20710:F20710"/>
    <mergeCell ref="A20360:F20360"/>
    <mergeCell ref="B20324:C20324"/>
    <mergeCell ref="A20343:F20343"/>
    <mergeCell ref="A20345:G20345"/>
    <mergeCell ref="B20367:C20367"/>
    <mergeCell ref="A20368:G20368"/>
    <mergeCell ref="B20369:C20369"/>
    <mergeCell ref="A20380:F20380"/>
    <mergeCell ref="A20382:G20382"/>
    <mergeCell ref="B20621:C20621"/>
    <mergeCell ref="A20635:F20635"/>
    <mergeCell ref="A20637:G20637"/>
    <mergeCell ref="A20836:F20836"/>
    <mergeCell ref="A20659:G20659"/>
    <mergeCell ref="B20660:C20660"/>
    <mergeCell ref="B20582:C20582"/>
    <mergeCell ref="A20766:G20766"/>
    <mergeCell ref="A20806:G20806"/>
    <mergeCell ref="B20784:C20784"/>
    <mergeCell ref="A20790:F20790"/>
    <mergeCell ref="B20585:C20585"/>
    <mergeCell ref="A20730:F20730"/>
    <mergeCell ref="A20718:F20718"/>
    <mergeCell ref="A20270:F20270"/>
    <mergeCell ref="A20272:G20272"/>
    <mergeCell ref="A20532:F20532"/>
    <mergeCell ref="B20688:C20688"/>
    <mergeCell ref="A20524:G20524"/>
    <mergeCell ref="A20354:F20354"/>
    <mergeCell ref="B20393:C20393"/>
    <mergeCell ref="A20316:F20316"/>
    <mergeCell ref="A20402:G20402"/>
    <mergeCell ref="B20403:C20403"/>
    <mergeCell ref="B20686:C20686"/>
    <mergeCell ref="A20417:F20417"/>
    <mergeCell ref="A20419:G20419"/>
    <mergeCell ref="B20420:C20420"/>
    <mergeCell ref="A20576:F20576"/>
    <mergeCell ref="A20428:F20428"/>
    <mergeCell ref="A20534:G20534"/>
    <mergeCell ref="B20321:C20321"/>
    <mergeCell ref="B20322:C20322"/>
    <mergeCell ref="B20323:C20323"/>
    <mergeCell ref="B20329:C20329"/>
    <mergeCell ref="A20308:G20308"/>
    <mergeCell ref="B20319:C20319"/>
    <mergeCell ref="B20320:C20320"/>
    <mergeCell ref="A20287:F20287"/>
    <mergeCell ref="A20291:F20291"/>
    <mergeCell ref="A17662:F17662"/>
    <mergeCell ref="A17664:G17664"/>
    <mergeCell ref="B20022:C20022"/>
    <mergeCell ref="B19384:C19384"/>
    <mergeCell ref="B20029:C20029"/>
    <mergeCell ref="A20043:F20043"/>
    <mergeCell ref="A20390:F20390"/>
    <mergeCell ref="B20366:C20366"/>
    <mergeCell ref="B20293:C20293"/>
    <mergeCell ref="B20294:C20294"/>
    <mergeCell ref="B20273:C20273"/>
    <mergeCell ref="A20279:F20279"/>
    <mergeCell ref="B19812:C19812"/>
    <mergeCell ref="A19826:F19826"/>
    <mergeCell ref="A19835:F19835"/>
    <mergeCell ref="A19837:F19837"/>
    <mergeCell ref="B20023:C20023"/>
    <mergeCell ref="B20024:C20024"/>
    <mergeCell ref="B20025:C20025"/>
    <mergeCell ref="A20245:G20245"/>
    <mergeCell ref="B20066:C20066"/>
    <mergeCell ref="B20067:C20067"/>
    <mergeCell ref="A20068:G20068"/>
    <mergeCell ref="A19847:F19847"/>
    <mergeCell ref="B19952:C19952"/>
    <mergeCell ref="B19440:C19440"/>
    <mergeCell ref="A20328:G20328"/>
    <mergeCell ref="A20326:F20326"/>
    <mergeCell ref="A20281:F20281"/>
    <mergeCell ref="A20219:G20219"/>
    <mergeCell ref="A20101:F20101"/>
    <mergeCell ref="B20256:C20256"/>
    <mergeCell ref="B20097:C20097"/>
    <mergeCell ref="B20098:C20098"/>
    <mergeCell ref="A19609:F19609"/>
    <mergeCell ref="B19580:C19580"/>
    <mergeCell ref="B19581:C19581"/>
    <mergeCell ref="B19582:C19582"/>
    <mergeCell ref="A19956:G19956"/>
    <mergeCell ref="A20018:G20018"/>
    <mergeCell ref="A19251:F19251"/>
    <mergeCell ref="A19247:F19247"/>
    <mergeCell ref="B19924:C19924"/>
    <mergeCell ref="B19329:C19329"/>
    <mergeCell ref="B19332:C19332"/>
    <mergeCell ref="A19343:F19343"/>
    <mergeCell ref="A19345:G19345"/>
    <mergeCell ref="B19367:C19367"/>
    <mergeCell ref="A19381:F19381"/>
    <mergeCell ref="B19849:C19849"/>
    <mergeCell ref="A19463:F19463"/>
    <mergeCell ref="A19471:F19471"/>
    <mergeCell ref="A20054:F20054"/>
    <mergeCell ref="B19878:C19878"/>
    <mergeCell ref="B19948:C19948"/>
    <mergeCell ref="B20021:C20021"/>
    <mergeCell ref="B19925:C19925"/>
    <mergeCell ref="A19980:F19980"/>
    <mergeCell ref="A20026:F20026"/>
    <mergeCell ref="A20028:G20028"/>
    <mergeCell ref="B20046:C20046"/>
    <mergeCell ref="A20052:F20052"/>
    <mergeCell ref="A19799:F19799"/>
    <mergeCell ref="B19578:C19578"/>
    <mergeCell ref="A19544:F19544"/>
    <mergeCell ref="A19548:F19548"/>
    <mergeCell ref="B19550:C19550"/>
    <mergeCell ref="B20687:C20687"/>
    <mergeCell ref="A18803:F18803"/>
    <mergeCell ref="A18809:F18809"/>
    <mergeCell ref="A18813:F18813"/>
    <mergeCell ref="B20396:C20396"/>
    <mergeCell ref="A16287:F16287"/>
    <mergeCell ref="A16289:G16289"/>
    <mergeCell ref="B16301:C16301"/>
    <mergeCell ref="B16302:C16302"/>
    <mergeCell ref="B16303:C16303"/>
    <mergeCell ref="B16304:C16304"/>
    <mergeCell ref="B16305:C16305"/>
    <mergeCell ref="B16306:C16306"/>
    <mergeCell ref="A19383:G19383"/>
    <mergeCell ref="A19390:F19390"/>
    <mergeCell ref="A19392:F19392"/>
    <mergeCell ref="B18655:C18655"/>
    <mergeCell ref="A18661:F18661"/>
    <mergeCell ref="B19434:C19434"/>
    <mergeCell ref="A18615:F18615"/>
    <mergeCell ref="A18617:G18617"/>
    <mergeCell ref="A18874:F18874"/>
    <mergeCell ref="A18635:F18635"/>
    <mergeCell ref="B20174:C20174"/>
    <mergeCell ref="B20175:C20175"/>
    <mergeCell ref="B20019:C20019"/>
    <mergeCell ref="B20020:C20020"/>
    <mergeCell ref="A16308:F16308"/>
    <mergeCell ref="B19807:C19807"/>
    <mergeCell ref="A22613:F22613"/>
    <mergeCell ref="A22615:G22615"/>
    <mergeCell ref="A22572:G22572"/>
    <mergeCell ref="B22573:C22573"/>
    <mergeCell ref="B22236:C22236"/>
    <mergeCell ref="B22237:C22237"/>
    <mergeCell ref="A22238:G22238"/>
    <mergeCell ref="B22239:C22239"/>
    <mergeCell ref="A22247:F22247"/>
    <mergeCell ref="A22249:G22249"/>
    <mergeCell ref="A22259:G22259"/>
    <mergeCell ref="B22260:C22260"/>
    <mergeCell ref="A22257:F22257"/>
    <mergeCell ref="B22266:C22266"/>
    <mergeCell ref="B22308:C22308"/>
    <mergeCell ref="B22309:C22309"/>
    <mergeCell ref="A22310:G22310"/>
    <mergeCell ref="A22287:G22287"/>
    <mergeCell ref="B22288:C22288"/>
    <mergeCell ref="B22502:C22502"/>
    <mergeCell ref="A22508:F22508"/>
    <mergeCell ref="B22263:C22263"/>
    <mergeCell ref="B22264:C22264"/>
    <mergeCell ref="B22265:C22265"/>
    <mergeCell ref="A22268:F22268"/>
    <mergeCell ref="A22270:G22270"/>
    <mergeCell ref="B22475:C22475"/>
    <mergeCell ref="A22510:F22510"/>
    <mergeCell ref="B22271:C22271"/>
    <mergeCell ref="A22285:F22285"/>
    <mergeCell ref="B22474:C22474"/>
    <mergeCell ref="B22477:C22477"/>
    <mergeCell ref="A22714:G22714"/>
    <mergeCell ref="B22715:C22715"/>
    <mergeCell ref="A22721:F22721"/>
    <mergeCell ref="A22723:F22723"/>
    <mergeCell ref="A22729:F22729"/>
    <mergeCell ref="A22733:F22733"/>
    <mergeCell ref="B22664:C22664"/>
    <mergeCell ref="B22665:C22665"/>
    <mergeCell ref="A22666:G22666"/>
    <mergeCell ref="B22667:C22667"/>
    <mergeCell ref="B23116:C23116"/>
    <mergeCell ref="B22833:C22833"/>
    <mergeCell ref="B22834:C22834"/>
    <mergeCell ref="B22835:C22835"/>
    <mergeCell ref="B22836:C22836"/>
    <mergeCell ref="B22837:C22837"/>
    <mergeCell ref="A22838:F22838"/>
    <mergeCell ref="A22840:G22840"/>
    <mergeCell ref="B22841:C22841"/>
    <mergeCell ref="A22855:F22855"/>
    <mergeCell ref="A22857:G22857"/>
    <mergeCell ref="B22858:C22858"/>
    <mergeCell ref="A22864:F22864"/>
    <mergeCell ref="B23095:C23095"/>
    <mergeCell ref="A23090:F23090"/>
    <mergeCell ref="B23020:C23020"/>
    <mergeCell ref="B23021:C23021"/>
    <mergeCell ref="A23022:G23022"/>
    <mergeCell ref="B23023:C23023"/>
    <mergeCell ref="A23031:F23031"/>
    <mergeCell ref="A23033:G23033"/>
    <mergeCell ref="B23044:C23044"/>
    <mergeCell ref="B22627:C22627"/>
    <mergeCell ref="A22641:F22641"/>
    <mergeCell ref="A22643:G22643"/>
    <mergeCell ref="B22644:C22644"/>
    <mergeCell ref="A22650:F22650"/>
    <mergeCell ref="A22652:F22652"/>
    <mergeCell ref="A22658:F22658"/>
    <mergeCell ref="A22662:F22662"/>
    <mergeCell ref="B22760:C22760"/>
    <mergeCell ref="B23050:C23050"/>
    <mergeCell ref="A22695:F22695"/>
    <mergeCell ref="B22807:C22807"/>
    <mergeCell ref="B22808:C22808"/>
    <mergeCell ref="B22906:C22906"/>
    <mergeCell ref="A22827:F22827"/>
    <mergeCell ref="A22829:G22829"/>
    <mergeCell ref="B22830:C22830"/>
    <mergeCell ref="B22831:C22831"/>
    <mergeCell ref="B22832:C22832"/>
    <mergeCell ref="A22697:G22697"/>
    <mergeCell ref="B22698:C22698"/>
    <mergeCell ref="A22801:F22801"/>
    <mergeCell ref="B22878:C22878"/>
    <mergeCell ref="B22879:C22879"/>
    <mergeCell ref="A22880:G22880"/>
    <mergeCell ref="B22881:C22881"/>
    <mergeCell ref="A22888:F22888"/>
    <mergeCell ref="A22890:G22890"/>
    <mergeCell ref="B22688:C22688"/>
    <mergeCell ref="B22763:C22763"/>
    <mergeCell ref="B22764:C22764"/>
    <mergeCell ref="A22737:G22737"/>
    <mergeCell ref="B22619:C22619"/>
    <mergeCell ref="B22620:C22620"/>
    <mergeCell ref="B22621:C22621"/>
    <mergeCell ref="B22622:C22622"/>
    <mergeCell ref="B22787:C22787"/>
    <mergeCell ref="A22793:F22793"/>
    <mergeCell ref="A22795:F22795"/>
    <mergeCell ref="B22522:C22522"/>
    <mergeCell ref="B22689:C22689"/>
    <mergeCell ref="B22690:C22690"/>
    <mergeCell ref="B22691:C22691"/>
    <mergeCell ref="B22552:C22552"/>
    <mergeCell ref="B22593:C22593"/>
    <mergeCell ref="A22756:F22756"/>
    <mergeCell ref="A22758:G22758"/>
    <mergeCell ref="B22759:C22759"/>
    <mergeCell ref="A22784:F22784"/>
    <mergeCell ref="A22786:G22786"/>
    <mergeCell ref="B22765:C22765"/>
    <mergeCell ref="B22766:C22766"/>
    <mergeCell ref="A22767:F22767"/>
    <mergeCell ref="A22769:G22769"/>
    <mergeCell ref="B22770:C22770"/>
    <mergeCell ref="A22544:G22544"/>
    <mergeCell ref="A22685:F22685"/>
    <mergeCell ref="A22687:G22687"/>
    <mergeCell ref="B22694:C22694"/>
    <mergeCell ref="B22523:C22523"/>
    <mergeCell ref="B22735:C22735"/>
    <mergeCell ref="A22675:F22675"/>
    <mergeCell ref="A22677:G22677"/>
    <mergeCell ref="B22616:C22616"/>
    <mergeCell ref="B23163:C23163"/>
    <mergeCell ref="A22928:G22928"/>
    <mergeCell ref="B22929:C22929"/>
    <mergeCell ref="A22935:F22935"/>
    <mergeCell ref="A22937:F22937"/>
    <mergeCell ref="A22943:F22943"/>
    <mergeCell ref="A22947:F22947"/>
    <mergeCell ref="B22949:C22949"/>
    <mergeCell ref="B22950:C22950"/>
    <mergeCell ref="A22951:G22951"/>
    <mergeCell ref="B22952:C22952"/>
    <mergeCell ref="A22959:F22959"/>
    <mergeCell ref="A22866:F22866"/>
    <mergeCell ref="A22872:F22872"/>
    <mergeCell ref="A22876:F22876"/>
    <mergeCell ref="A22898:F22898"/>
    <mergeCell ref="A22900:G22900"/>
    <mergeCell ref="B22901:C22901"/>
    <mergeCell ref="B22902:C22902"/>
    <mergeCell ref="B22903:C22903"/>
    <mergeCell ref="B22904:C22904"/>
    <mergeCell ref="B22905:C22905"/>
    <mergeCell ref="B22908:C22908"/>
    <mergeCell ref="A22909:F22909"/>
    <mergeCell ref="A22911:G22911"/>
    <mergeCell ref="B22912:C22912"/>
    <mergeCell ref="A22926:F22926"/>
    <mergeCell ref="B23126:C23126"/>
    <mergeCell ref="B23092:C23092"/>
    <mergeCell ref="B23093:C23093"/>
    <mergeCell ref="B22907:C22907"/>
    <mergeCell ref="B23122:C23122"/>
    <mergeCell ref="B23191:C23191"/>
    <mergeCell ref="A23205:F23205"/>
    <mergeCell ref="A23207:G23207"/>
    <mergeCell ref="B23208:C23208"/>
    <mergeCell ref="A23215:F23215"/>
    <mergeCell ref="A23217:F23217"/>
    <mergeCell ref="A23227:F23227"/>
    <mergeCell ref="B23164:C23164"/>
    <mergeCell ref="A23165:G23165"/>
    <mergeCell ref="B23166:C23166"/>
    <mergeCell ref="A23168:F23168"/>
    <mergeCell ref="A23170:G23170"/>
    <mergeCell ref="B19994:C19994"/>
    <mergeCell ref="A20120:G20120"/>
    <mergeCell ref="A18962:G18962"/>
    <mergeCell ref="B20217:C20217"/>
    <mergeCell ref="B20218:C20218"/>
    <mergeCell ref="B20141:C20141"/>
    <mergeCell ref="B20142:C20142"/>
    <mergeCell ref="A20143:G20143"/>
    <mergeCell ref="B20144:C20144"/>
    <mergeCell ref="A20157:F20157"/>
    <mergeCell ref="A20159:G20159"/>
    <mergeCell ref="A23178:F23178"/>
    <mergeCell ref="A23180:G23180"/>
    <mergeCell ref="B23181:C23181"/>
    <mergeCell ref="B23182:C23182"/>
    <mergeCell ref="B23117:C23117"/>
    <mergeCell ref="B23118:C23118"/>
    <mergeCell ref="B23119:C23119"/>
    <mergeCell ref="B23120:C23120"/>
    <mergeCell ref="A23140:F23140"/>
    <mergeCell ref="B23143:C23143"/>
    <mergeCell ref="A23149:F23149"/>
    <mergeCell ref="A23151:F23151"/>
    <mergeCell ref="A23157:F23157"/>
    <mergeCell ref="A23161:F23161"/>
    <mergeCell ref="B23183:C23183"/>
    <mergeCell ref="B23184:C23184"/>
    <mergeCell ref="B23185:C23185"/>
    <mergeCell ref="B20977:C20977"/>
    <mergeCell ref="B20978:C20978"/>
    <mergeCell ref="B20979:C20979"/>
    <mergeCell ref="A17907:G17907"/>
    <mergeCell ref="B17918:C17918"/>
    <mergeCell ref="B17919:C17919"/>
    <mergeCell ref="B17920:C17920"/>
    <mergeCell ref="B17921:C17921"/>
    <mergeCell ref="B17922:C17922"/>
    <mergeCell ref="B17923:C17923"/>
    <mergeCell ref="B23051:C23051"/>
    <mergeCell ref="A23086:F23086"/>
    <mergeCell ref="A23052:F23052"/>
    <mergeCell ref="A23054:G23054"/>
    <mergeCell ref="B23055:C23055"/>
    <mergeCell ref="A23069:F23069"/>
    <mergeCell ref="A23071:G23071"/>
    <mergeCell ref="B23072:C23072"/>
    <mergeCell ref="A23078:F23078"/>
    <mergeCell ref="A23080:F23080"/>
    <mergeCell ref="B22736:C22736"/>
    <mergeCell ref="B22551:C22551"/>
    <mergeCell ref="A22400:F22400"/>
    <mergeCell ref="A22805:F22805"/>
    <mergeCell ref="A1076:G1076"/>
    <mergeCell ref="B1077:C1077"/>
    <mergeCell ref="A1091:F1091"/>
    <mergeCell ref="A1093:G1093"/>
    <mergeCell ref="B1094:C1094"/>
    <mergeCell ref="A1100:F1100"/>
    <mergeCell ref="A1102:F1102"/>
    <mergeCell ref="A1108:F1108"/>
    <mergeCell ref="A2213:F2213"/>
    <mergeCell ref="B1940:C1940"/>
    <mergeCell ref="B1941:C1941"/>
    <mergeCell ref="A1942:G1942"/>
    <mergeCell ref="B1943:C1943"/>
    <mergeCell ref="A1938:F1938"/>
    <mergeCell ref="A8489:G8489"/>
    <mergeCell ref="B8490:C8490"/>
    <mergeCell ref="B17896:C17896"/>
    <mergeCell ref="A17809:F17809"/>
    <mergeCell ref="A17198:G17198"/>
    <mergeCell ref="B17209:C17209"/>
    <mergeCell ref="A17233:F17233"/>
    <mergeCell ref="A17235:G17235"/>
    <mergeCell ref="B17236:C17236"/>
    <mergeCell ref="A17242:F17242"/>
    <mergeCell ref="A17244:F17244"/>
    <mergeCell ref="A17250:F17250"/>
    <mergeCell ref="B17665:C17665"/>
    <mergeCell ref="A17705:G17705"/>
    <mergeCell ref="B17685:C17685"/>
    <mergeCell ref="B17215:C17215"/>
    <mergeCell ref="A16092:G16092"/>
    <mergeCell ref="B16099:C16099"/>
    <mergeCell ref="B1903:C1903"/>
    <mergeCell ref="A1917:F1917"/>
    <mergeCell ref="A1919:G1919"/>
    <mergeCell ref="B1920:C1920"/>
    <mergeCell ref="A1926:F1926"/>
    <mergeCell ref="A1928:F1928"/>
    <mergeCell ref="A1934:F1934"/>
    <mergeCell ref="B1625:C1625"/>
    <mergeCell ref="B1626:C1626"/>
    <mergeCell ref="B1627:C1627"/>
    <mergeCell ref="B1628:C1628"/>
    <mergeCell ref="B1629:C1629"/>
    <mergeCell ref="B1630:C1630"/>
    <mergeCell ref="B1323:C1323"/>
    <mergeCell ref="A1324:G1324"/>
    <mergeCell ref="B1325:C1325"/>
    <mergeCell ref="B1208:C1208"/>
    <mergeCell ref="B1209:C1209"/>
    <mergeCell ref="B1210:C1210"/>
    <mergeCell ref="A1211:F1211"/>
    <mergeCell ref="A1213:G1213"/>
    <mergeCell ref="B1214:C1214"/>
    <mergeCell ref="A1333:F1333"/>
    <mergeCell ref="A1335:G1335"/>
    <mergeCell ref="A1284:G1284"/>
    <mergeCell ref="B1285:C1285"/>
    <mergeCell ref="A1299:F1299"/>
    <mergeCell ref="A1301:G1301"/>
    <mergeCell ref="B1302:C1302"/>
    <mergeCell ref="B1349:C1349"/>
    <mergeCell ref="B1350:C1350"/>
    <mergeCell ref="B1810:C1810"/>
    <mergeCell ref="B977:C977"/>
    <mergeCell ref="B978:C978"/>
    <mergeCell ref="A979:G979"/>
    <mergeCell ref="B980:C980"/>
    <mergeCell ref="A986:F986"/>
    <mergeCell ref="A988:G988"/>
    <mergeCell ref="A996:F996"/>
    <mergeCell ref="A998:G998"/>
    <mergeCell ref="B999:C999"/>
    <mergeCell ref="B1603:C1603"/>
    <mergeCell ref="A1604:G1604"/>
    <mergeCell ref="B1605:C1605"/>
    <mergeCell ref="A1611:F1611"/>
    <mergeCell ref="A1613:G1613"/>
    <mergeCell ref="A1621:F1621"/>
    <mergeCell ref="A1623:G1623"/>
    <mergeCell ref="B1624:C1624"/>
    <mergeCell ref="B1183:C1183"/>
    <mergeCell ref="A1184:G1184"/>
    <mergeCell ref="B1185:C1185"/>
    <mergeCell ref="A1191:F1191"/>
    <mergeCell ref="A1193:G1193"/>
    <mergeCell ref="A1201:F1201"/>
    <mergeCell ref="A1203:G1203"/>
    <mergeCell ref="B1204:C1204"/>
    <mergeCell ref="B1205:C1205"/>
    <mergeCell ref="B1206:C1206"/>
    <mergeCell ref="A1308:F1308"/>
    <mergeCell ref="A1310:F1310"/>
    <mergeCell ref="A1316:F1316"/>
    <mergeCell ref="A1320:F1320"/>
    <mergeCell ref="B1322:C1322"/>
    <mergeCell ref="A22294:F22294"/>
    <mergeCell ref="A22296:F22296"/>
    <mergeCell ref="A22302:F22302"/>
    <mergeCell ref="A22306:F22306"/>
    <mergeCell ref="B18037:C18037"/>
    <mergeCell ref="B18038:C18038"/>
    <mergeCell ref="A18039:G18039"/>
    <mergeCell ref="A18886:F18886"/>
    <mergeCell ref="B16278:C16278"/>
    <mergeCell ref="B16279:C16279"/>
    <mergeCell ref="A18946:F18946"/>
    <mergeCell ref="A18948:F18948"/>
    <mergeCell ref="A18954:F18954"/>
    <mergeCell ref="A8538:G8538"/>
    <mergeCell ref="B8467:C8467"/>
    <mergeCell ref="B8468:C8468"/>
    <mergeCell ref="A8469:G8469"/>
    <mergeCell ref="B8470:C8470"/>
    <mergeCell ref="A8477:F8477"/>
    <mergeCell ref="A8479:G8479"/>
    <mergeCell ref="A8487:F8487"/>
    <mergeCell ref="B20252:C20252"/>
    <mergeCell ref="A20253:F20253"/>
    <mergeCell ref="B18208:C18208"/>
    <mergeCell ref="B20397:C20397"/>
    <mergeCell ref="B19957:C19957"/>
    <mergeCell ref="A18166:F18166"/>
    <mergeCell ref="A18168:F18168"/>
    <mergeCell ref="A17944:G17944"/>
    <mergeCell ref="B20251:C20251"/>
    <mergeCell ref="A19205:G19205"/>
    <mergeCell ref="B19577:C19577"/>
    <mergeCell ref="B19808:C19808"/>
    <mergeCell ref="A19809:F19809"/>
    <mergeCell ref="A19811:G19811"/>
    <mergeCell ref="B20879:C20879"/>
    <mergeCell ref="A20608:F20608"/>
    <mergeCell ref="A20610:G20610"/>
    <mergeCell ref="B6856:C6856"/>
    <mergeCell ref="B6857:C6857"/>
    <mergeCell ref="B6718:C6718"/>
    <mergeCell ref="B6696:C6696"/>
    <mergeCell ref="B6719:C6719"/>
    <mergeCell ref="B6720:C6720"/>
    <mergeCell ref="B6721:C6721"/>
    <mergeCell ref="B1000:C1000"/>
    <mergeCell ref="B1001:C1001"/>
    <mergeCell ref="B1002:C1002"/>
    <mergeCell ref="B1003:C1003"/>
    <mergeCell ref="B1004:C1004"/>
    <mergeCell ref="B1005:C1005"/>
    <mergeCell ref="A1006:F1006"/>
    <mergeCell ref="A7790:F7790"/>
    <mergeCell ref="A1008:G1008"/>
    <mergeCell ref="B1009:C1009"/>
    <mergeCell ref="A1023:F1023"/>
    <mergeCell ref="A1025:G1025"/>
    <mergeCell ref="B1026:C1026"/>
    <mergeCell ref="A1032:F1032"/>
    <mergeCell ref="A1034:F1034"/>
    <mergeCell ref="A1040:F1040"/>
    <mergeCell ref="A1044:F1044"/>
    <mergeCell ref="B1182:C1182"/>
    <mergeCell ref="B5640:C5640"/>
    <mergeCell ref="B4885:C4885"/>
    <mergeCell ref="B4886:C4886"/>
    <mergeCell ref="B4887:C4887"/>
    <mergeCell ref="B6854:C6854"/>
    <mergeCell ref="A5482:F5482"/>
    <mergeCell ref="A5484:G5484"/>
    <mergeCell ref="A5492:F5492"/>
    <mergeCell ref="A5494:G5494"/>
    <mergeCell ref="B5499:C5499"/>
    <mergeCell ref="B5500:C5500"/>
    <mergeCell ref="B5501:C5501"/>
    <mergeCell ref="A5502:F5502"/>
    <mergeCell ref="A5504:G5504"/>
    <mergeCell ref="B5505:C5505"/>
    <mergeCell ref="A5519:F5519"/>
    <mergeCell ref="A5521:G5521"/>
    <mergeCell ref="A6853:G6853"/>
    <mergeCell ref="A6608:G6608"/>
    <mergeCell ref="B6609:C6609"/>
    <mergeCell ref="A6615:F6615"/>
    <mergeCell ref="B6293:C6293"/>
    <mergeCell ref="A6571:G6571"/>
    <mergeCell ref="A6579:F6579"/>
    <mergeCell ref="A6581:G6581"/>
    <mergeCell ref="B6582:C6582"/>
    <mergeCell ref="A6525:G6525"/>
    <mergeCell ref="B6526:C6526"/>
    <mergeCell ref="A6540:F6540"/>
    <mergeCell ref="A6542:G6542"/>
    <mergeCell ref="B6178:C6178"/>
    <mergeCell ref="A5528:F5528"/>
    <mergeCell ref="A5530:F5530"/>
    <mergeCell ref="B4929:C4929"/>
    <mergeCell ref="B4930:C4930"/>
    <mergeCell ref="A4931:G4931"/>
    <mergeCell ref="B4932:C4932"/>
    <mergeCell ref="A4938:F4938"/>
    <mergeCell ref="A4940:G4940"/>
    <mergeCell ref="A4948:F4948"/>
    <mergeCell ref="A4950:G4950"/>
    <mergeCell ref="A4871:G4871"/>
    <mergeCell ref="A6794:G6794"/>
    <mergeCell ref="A6772:F6772"/>
    <mergeCell ref="A6774:G6774"/>
    <mergeCell ref="B6202:C6202"/>
    <mergeCell ref="A6208:F6208"/>
    <mergeCell ref="A6549:F6549"/>
    <mergeCell ref="A6551:F6551"/>
    <mergeCell ref="A6557:F6557"/>
    <mergeCell ref="A4906:F4906"/>
    <mergeCell ref="A4908:G4908"/>
    <mergeCell ref="B4909:C4909"/>
    <mergeCell ref="B6586:C6586"/>
    <mergeCell ref="B6587:C6587"/>
    <mergeCell ref="B6588:C6588"/>
    <mergeCell ref="A6589:F6589"/>
    <mergeCell ref="A6591:G6591"/>
    <mergeCell ref="B6592:C6592"/>
    <mergeCell ref="A6606:F6606"/>
    <mergeCell ref="A5637:F5637"/>
    <mergeCell ref="A5639:G5639"/>
    <mergeCell ref="A6782:F6782"/>
    <mergeCell ref="B4957:C4957"/>
    <mergeCell ref="A4958:F4958"/>
    <mergeCell ref="A1239:F1239"/>
    <mergeCell ref="A1245:F1245"/>
    <mergeCell ref="A1249:F1249"/>
    <mergeCell ref="B6155:C6155"/>
    <mergeCell ref="B6175:C6175"/>
    <mergeCell ref="B4725:C4725"/>
    <mergeCell ref="A4743:G4743"/>
    <mergeCell ref="B4724:C4724"/>
    <mergeCell ref="A4726:G4726"/>
    <mergeCell ref="B4727:C4727"/>
    <mergeCell ref="A4731:F4731"/>
    <mergeCell ref="A4733:G4733"/>
    <mergeCell ref="A4741:F4741"/>
    <mergeCell ref="B6117:C6117"/>
    <mergeCell ref="A6164:G6164"/>
    <mergeCell ref="B6111:C6111"/>
    <mergeCell ref="B6112:C6112"/>
    <mergeCell ref="B1602:C1602"/>
    <mergeCell ref="A5619:G5619"/>
    <mergeCell ref="A5627:F5627"/>
    <mergeCell ref="A5629:G5629"/>
    <mergeCell ref="A5024:F5024"/>
    <mergeCell ref="A5026:G5026"/>
    <mergeCell ref="B5027:C5027"/>
    <mergeCell ref="A5094:G5094"/>
    <mergeCell ref="B5095:C5095"/>
    <mergeCell ref="A5109:F5109"/>
    <mergeCell ref="A5111:G5111"/>
    <mergeCell ref="B5112:C5112"/>
    <mergeCell ref="A5118:F5118"/>
    <mergeCell ref="A5120:F5120"/>
    <mergeCell ref="A5126:F5126"/>
    <mergeCell ref="B4860:C4860"/>
    <mergeCell ref="B4861:C4861"/>
    <mergeCell ref="A4862:G4862"/>
    <mergeCell ref="B4863:C4863"/>
    <mergeCell ref="A4869:F4869"/>
    <mergeCell ref="B6763:C6763"/>
    <mergeCell ref="B6764:C6764"/>
    <mergeCell ref="A6765:G6765"/>
    <mergeCell ref="B6766:C6766"/>
    <mergeCell ref="A6784:G6784"/>
    <mergeCell ref="B6785:C6785"/>
    <mergeCell ref="B6786:C6786"/>
    <mergeCell ref="B6787:C6787"/>
    <mergeCell ref="B6788:C6788"/>
    <mergeCell ref="B4998:C4998"/>
    <mergeCell ref="A5041:F5041"/>
    <mergeCell ref="A5043:G5043"/>
    <mergeCell ref="B5044:C5044"/>
    <mergeCell ref="A5050:F5050"/>
    <mergeCell ref="A5052:F5052"/>
    <mergeCell ref="A5058:F5058"/>
    <mergeCell ref="A5062:F5062"/>
    <mergeCell ref="A4879:F4879"/>
    <mergeCell ref="A4881:G4881"/>
    <mergeCell ref="B5018:C5018"/>
    <mergeCell ref="B5020:C5020"/>
    <mergeCell ref="B5021:C5021"/>
    <mergeCell ref="B5022:C5022"/>
    <mergeCell ref="B5023:C5023"/>
    <mergeCell ref="B4883:C4883"/>
    <mergeCell ref="B4884:C4884"/>
    <mergeCell ref="B4956:C4956"/>
    <mergeCell ref="A4960:G4960"/>
    <mergeCell ref="B4961:C4961"/>
    <mergeCell ref="A4975:F4975"/>
    <mergeCell ref="B4999:C4999"/>
    <mergeCell ref="B5019:C5019"/>
    <mergeCell ref="A6861:F6861"/>
    <mergeCell ref="A6863:G6863"/>
    <mergeCell ref="B6864:C6864"/>
    <mergeCell ref="A6114:F6114"/>
    <mergeCell ref="A6116:G6116"/>
    <mergeCell ref="A6880:G6880"/>
    <mergeCell ref="B6795:C6795"/>
    <mergeCell ref="A6809:F6809"/>
    <mergeCell ref="A6811:G6811"/>
    <mergeCell ref="B6812:C6812"/>
    <mergeCell ref="A6818:F6818"/>
    <mergeCell ref="A6820:F6820"/>
    <mergeCell ref="A6826:F6826"/>
    <mergeCell ref="A6830:F6830"/>
    <mergeCell ref="A6182:F6182"/>
    <mergeCell ref="A6184:G6184"/>
    <mergeCell ref="A6878:F6878"/>
    <mergeCell ref="B6518:C6518"/>
    <mergeCell ref="B6519:C6519"/>
    <mergeCell ref="A6561:F6561"/>
    <mergeCell ref="B6832:C6832"/>
    <mergeCell ref="B6833:C6833"/>
    <mergeCell ref="A6503:F6503"/>
    <mergeCell ref="A6505:G6505"/>
    <mergeCell ref="B5631:C5631"/>
    <mergeCell ref="B5632:C5632"/>
    <mergeCell ref="A6088:G6088"/>
    <mergeCell ref="A185:G185"/>
    <mergeCell ref="B186:C186"/>
    <mergeCell ref="B9111:C9111"/>
    <mergeCell ref="B9112:C9112"/>
    <mergeCell ref="A252:F252"/>
    <mergeCell ref="A254:G254"/>
    <mergeCell ref="A5000:G5000"/>
    <mergeCell ref="B5001:C5001"/>
    <mergeCell ref="A5004:F5004"/>
    <mergeCell ref="A5006:G5006"/>
    <mergeCell ref="A5014:F5014"/>
    <mergeCell ref="A5016:G5016"/>
    <mergeCell ref="B5017:C5017"/>
    <mergeCell ref="B6543:C6543"/>
    <mergeCell ref="A406:F406"/>
    <mergeCell ref="A6216:F6216"/>
    <mergeCell ref="A6841:F6841"/>
    <mergeCell ref="A6843:G6843"/>
    <mergeCell ref="A6851:F6851"/>
    <mergeCell ref="A6513:F6513"/>
    <mergeCell ref="A6515:G6515"/>
    <mergeCell ref="B6516:C6516"/>
    <mergeCell ref="B6495:C6495"/>
    <mergeCell ref="A6523:F6523"/>
    <mergeCell ref="B6517:C6517"/>
    <mergeCell ref="B6180:C6180"/>
    <mergeCell ref="B6181:C6181"/>
    <mergeCell ref="B6855:C6855"/>
    <mergeCell ref="A6834:G6834"/>
    <mergeCell ref="A481:F481"/>
    <mergeCell ref="A485:F485"/>
    <mergeCell ref="B9091:C9091"/>
    <mergeCell ref="A192:F192"/>
    <mergeCell ref="A194:F194"/>
    <mergeCell ref="A200:F200"/>
    <mergeCell ref="A204:F204"/>
    <mergeCell ref="B412:C412"/>
    <mergeCell ref="B413:C413"/>
    <mergeCell ref="A414:G414"/>
    <mergeCell ref="A427:F427"/>
    <mergeCell ref="A429:G429"/>
    <mergeCell ref="B442:C442"/>
    <mergeCell ref="A473:F473"/>
    <mergeCell ref="A466:G466"/>
    <mergeCell ref="B467:C467"/>
    <mergeCell ref="A475:F475"/>
    <mergeCell ref="A437:F437"/>
    <mergeCell ref="A439:G439"/>
    <mergeCell ref="B440:C440"/>
    <mergeCell ref="B441:C441"/>
    <mergeCell ref="B443:C443"/>
    <mergeCell ref="B415:C415"/>
    <mergeCell ref="A208:G208"/>
    <mergeCell ref="B209:C209"/>
    <mergeCell ref="A215:F215"/>
    <mergeCell ref="A217:G217"/>
    <mergeCell ref="A225:F225"/>
    <mergeCell ref="A227:G227"/>
    <mergeCell ref="B228:C228"/>
    <mergeCell ref="B229:C229"/>
    <mergeCell ref="B230:C230"/>
    <mergeCell ref="B231:C231"/>
    <mergeCell ref="B232:C232"/>
    <mergeCell ref="B233:C233"/>
    <mergeCell ref="B234:C234"/>
    <mergeCell ref="A235:F235"/>
    <mergeCell ref="A237:G237"/>
    <mergeCell ref="B238:C238"/>
    <mergeCell ref="B255:C255"/>
    <mergeCell ref="A261:F261"/>
    <mergeCell ref="A263:F263"/>
    <mergeCell ref="A269:F269"/>
    <mergeCell ref="A273:F273"/>
    <mergeCell ref="B275:C275"/>
    <mergeCell ref="B276:C276"/>
    <mergeCell ref="A323:G323"/>
    <mergeCell ref="B324:C324"/>
    <mergeCell ref="A330:F330"/>
    <mergeCell ref="A332:F332"/>
    <mergeCell ref="A338:F338"/>
    <mergeCell ref="A342:F342"/>
    <mergeCell ref="A277:G277"/>
    <mergeCell ref="B278:C278"/>
    <mergeCell ref="B297:C297"/>
    <mergeCell ref="B298:C298"/>
    <mergeCell ref="B299:C299"/>
    <mergeCell ref="B300:C300"/>
    <mergeCell ref="B301:C301"/>
    <mergeCell ref="B302:C302"/>
    <mergeCell ref="B303:C303"/>
    <mergeCell ref="A304:F304"/>
    <mergeCell ref="A306:G306"/>
    <mergeCell ref="B307:C307"/>
    <mergeCell ref="A321:F321"/>
    <mergeCell ref="A732:F732"/>
    <mergeCell ref="A734:G734"/>
    <mergeCell ref="B735:C735"/>
    <mergeCell ref="A6131:F6131"/>
    <mergeCell ref="B707:C707"/>
    <mergeCell ref="A712:F712"/>
    <mergeCell ref="A714:G714"/>
    <mergeCell ref="A9120:G9120"/>
    <mergeCell ref="B7269:C7269"/>
    <mergeCell ref="B7270:C7270"/>
    <mergeCell ref="A7271:F7271"/>
    <mergeCell ref="A7273:G7273"/>
    <mergeCell ref="B7274:C7274"/>
    <mergeCell ref="A7288:F7288"/>
    <mergeCell ref="A7290:G7290"/>
    <mergeCell ref="B7291:C7291"/>
    <mergeCell ref="A7297:F7297"/>
    <mergeCell ref="A7299:F7299"/>
    <mergeCell ref="A7305:F7305"/>
    <mergeCell ref="A8530:F8530"/>
    <mergeCell ref="A8534:F8534"/>
    <mergeCell ref="B8536:C8536"/>
    <mergeCell ref="B8537:C8537"/>
    <mergeCell ref="A4915:F4915"/>
    <mergeCell ref="A4917:F4917"/>
    <mergeCell ref="A4923:F4923"/>
    <mergeCell ref="A4927:F4927"/>
    <mergeCell ref="B4951:C4951"/>
    <mergeCell ref="B4952:C4952"/>
    <mergeCell ref="B4953:C4953"/>
    <mergeCell ref="B4954:C4954"/>
    <mergeCell ref="B4955:C4955"/>
    <mergeCell ref="B659:C659"/>
    <mergeCell ref="B660:C660"/>
    <mergeCell ref="B661:C661"/>
    <mergeCell ref="B662:C662"/>
    <mergeCell ref="B663:C663"/>
    <mergeCell ref="A664:F664"/>
    <mergeCell ref="A666:G666"/>
    <mergeCell ref="B9121:C9121"/>
    <mergeCell ref="A354:G354"/>
    <mergeCell ref="A362:F362"/>
    <mergeCell ref="A364:G364"/>
    <mergeCell ref="B365:C365"/>
    <mergeCell ref="B366:C366"/>
    <mergeCell ref="B367:C367"/>
    <mergeCell ref="B368:C368"/>
    <mergeCell ref="B369:C369"/>
    <mergeCell ref="B725:C725"/>
    <mergeCell ref="B726:C726"/>
    <mergeCell ref="B4745:C4745"/>
    <mergeCell ref="A4777:F4777"/>
    <mergeCell ref="B1207:C1207"/>
    <mergeCell ref="A702:F702"/>
    <mergeCell ref="B862:C862"/>
    <mergeCell ref="B863:C863"/>
    <mergeCell ref="B6087:C6087"/>
    <mergeCell ref="B444:C444"/>
    <mergeCell ref="B445:C445"/>
    <mergeCell ref="B446:C446"/>
    <mergeCell ref="A447:F447"/>
    <mergeCell ref="A449:G449"/>
    <mergeCell ref="B450:C450"/>
    <mergeCell ref="A464:F464"/>
    <mergeCell ref="A4751:F4751"/>
    <mergeCell ref="A4779:F4779"/>
    <mergeCell ref="A7778:F7778"/>
    <mergeCell ref="A400:F400"/>
    <mergeCell ref="A410:F410"/>
    <mergeCell ref="B909:C909"/>
    <mergeCell ref="A910:G910"/>
    <mergeCell ref="B911:C911"/>
    <mergeCell ref="A917:F917"/>
    <mergeCell ref="B5700:C5700"/>
    <mergeCell ref="A5663:F5663"/>
    <mergeCell ref="B5610:C5610"/>
    <mergeCell ref="B5611:C5611"/>
    <mergeCell ref="B6835:C6835"/>
    <mergeCell ref="B4888:C4888"/>
    <mergeCell ref="A4889:F4889"/>
    <mergeCell ref="A4891:G4891"/>
    <mergeCell ref="B4892:C4892"/>
    <mergeCell ref="B7267:C7267"/>
    <mergeCell ref="B7268:C7268"/>
    <mergeCell ref="A770:F770"/>
    <mergeCell ref="B6086:C6086"/>
    <mergeCell ref="B639:C639"/>
    <mergeCell ref="B640:C640"/>
    <mergeCell ref="A641:G641"/>
    <mergeCell ref="B642:C642"/>
    <mergeCell ref="A644:F644"/>
    <mergeCell ref="A646:G646"/>
    <mergeCell ref="A654:F654"/>
    <mergeCell ref="A656:G656"/>
    <mergeCell ref="B657:C657"/>
    <mergeCell ref="B658:C658"/>
    <mergeCell ref="A902:F902"/>
    <mergeCell ref="A906:F906"/>
    <mergeCell ref="A870:G870"/>
    <mergeCell ref="B871:C871"/>
    <mergeCell ref="A885:F885"/>
    <mergeCell ref="A887:G887"/>
    <mergeCell ref="B888:C888"/>
    <mergeCell ref="A894:F894"/>
    <mergeCell ref="A896:F896"/>
    <mergeCell ref="B908:C908"/>
    <mergeCell ref="B667:C667"/>
    <mergeCell ref="A681:F681"/>
    <mergeCell ref="A683:G683"/>
    <mergeCell ref="B684:C684"/>
    <mergeCell ref="A690:F690"/>
    <mergeCell ref="A692:F692"/>
    <mergeCell ref="A698:F698"/>
    <mergeCell ref="B864:C864"/>
    <mergeCell ref="A706:G706"/>
    <mergeCell ref="A749:F749"/>
    <mergeCell ref="A751:G751"/>
    <mergeCell ref="B752:C752"/>
    <mergeCell ref="A758:F758"/>
    <mergeCell ref="A760:F760"/>
    <mergeCell ref="A722:F722"/>
    <mergeCell ref="B727:C727"/>
    <mergeCell ref="B731:C731"/>
    <mergeCell ref="A766:F766"/>
    <mergeCell ref="A724:G724"/>
    <mergeCell ref="B728:C728"/>
    <mergeCell ref="B729:C729"/>
    <mergeCell ref="B730:C730"/>
    <mergeCell ref="A868:F868"/>
    <mergeCell ref="B504:C504"/>
    <mergeCell ref="B505:C505"/>
    <mergeCell ref="A529:G529"/>
    <mergeCell ref="B530:C530"/>
    <mergeCell ref="A544:F544"/>
    <mergeCell ref="A546:G546"/>
    <mergeCell ref="B547:C547"/>
    <mergeCell ref="A553:F553"/>
    <mergeCell ref="A555:F555"/>
    <mergeCell ref="A561:F561"/>
    <mergeCell ref="A565:F565"/>
    <mergeCell ref="A284:F284"/>
    <mergeCell ref="A286:G286"/>
    <mergeCell ref="A294:F294"/>
    <mergeCell ref="A296:G296"/>
    <mergeCell ref="B370:C370"/>
    <mergeCell ref="A372:F372"/>
    <mergeCell ref="A374:G374"/>
    <mergeCell ref="A389:F389"/>
    <mergeCell ref="A391:G391"/>
    <mergeCell ref="B392:C392"/>
    <mergeCell ref="A398:F398"/>
    <mergeCell ref="B704:C704"/>
    <mergeCell ref="B705:C705"/>
    <mergeCell ref="B371:C371"/>
    <mergeCell ref="B375:C375"/>
    <mergeCell ref="B344:C344"/>
    <mergeCell ref="B345:C345"/>
    <mergeCell ref="A346:G346"/>
    <mergeCell ref="B347:C347"/>
    <mergeCell ref="A352:F352"/>
    <mergeCell ref="A1650:G1650"/>
    <mergeCell ref="B1651:C1651"/>
    <mergeCell ref="A1657:F1657"/>
    <mergeCell ref="A1659:F1659"/>
    <mergeCell ref="A1665:F1665"/>
    <mergeCell ref="A1669:F1669"/>
    <mergeCell ref="B4882:C4882"/>
    <mergeCell ref="A5665:F5665"/>
    <mergeCell ref="A5671:F5671"/>
    <mergeCell ref="B5703:C5703"/>
    <mergeCell ref="B5699:C5699"/>
    <mergeCell ref="A5654:F5654"/>
    <mergeCell ref="A5656:G5656"/>
    <mergeCell ref="A5675:F5675"/>
    <mergeCell ref="A5684:F5684"/>
    <mergeCell ref="A5686:G5686"/>
    <mergeCell ref="B137:C137"/>
    <mergeCell ref="B138:C138"/>
    <mergeCell ref="A139:G139"/>
    <mergeCell ref="B140:C140"/>
    <mergeCell ref="B841:C841"/>
    <mergeCell ref="B842:C842"/>
    <mergeCell ref="A843:G843"/>
    <mergeCell ref="B844:C844"/>
    <mergeCell ref="A848:F848"/>
    <mergeCell ref="A850:G850"/>
    <mergeCell ref="A858:F858"/>
    <mergeCell ref="A860:G860"/>
    <mergeCell ref="B861:C861"/>
    <mergeCell ref="B865:C865"/>
    <mergeCell ref="B866:C866"/>
    <mergeCell ref="B867:C867"/>
    <mergeCell ref="B8603:C8603"/>
    <mergeCell ref="A8589:F8589"/>
    <mergeCell ref="A8591:F8591"/>
    <mergeCell ref="A8597:F8597"/>
    <mergeCell ref="A8601:F8601"/>
    <mergeCell ref="A8297:G8297"/>
    <mergeCell ref="B8298:C8298"/>
    <mergeCell ref="A8312:F8312"/>
    <mergeCell ref="A8314:G8314"/>
    <mergeCell ref="B8315:C8315"/>
    <mergeCell ref="A8321:F8321"/>
    <mergeCell ref="A8323:F8323"/>
    <mergeCell ref="A8329:F8329"/>
    <mergeCell ref="A8333:F8333"/>
    <mergeCell ref="A8295:F8295"/>
    <mergeCell ref="B8561:C8561"/>
    <mergeCell ref="B1:C1"/>
    <mergeCell ref="B6695:C6695"/>
    <mergeCell ref="A6697:G6697"/>
    <mergeCell ref="B5701:C5701"/>
    <mergeCell ref="B5657:C5657"/>
    <mergeCell ref="B5678:C5678"/>
    <mergeCell ref="A5679:G5679"/>
    <mergeCell ref="B5680:C5680"/>
    <mergeCell ref="B5634:C5634"/>
    <mergeCell ref="B5635:C5635"/>
    <mergeCell ref="B5636:C5636"/>
    <mergeCell ref="B5630:C5630"/>
    <mergeCell ref="A1631:F1631"/>
    <mergeCell ref="A1633:G1633"/>
    <mergeCell ref="B1634:C1634"/>
    <mergeCell ref="A1648:F1648"/>
    <mergeCell ref="A8582:G8582"/>
    <mergeCell ref="B8583:C8583"/>
    <mergeCell ref="B8539:C8539"/>
    <mergeCell ref="A8543:F8543"/>
    <mergeCell ref="A8545:G8545"/>
    <mergeCell ref="A8553:F8553"/>
    <mergeCell ref="A8555:G8555"/>
    <mergeCell ref="B8556:C8556"/>
    <mergeCell ref="B8557:C8557"/>
    <mergeCell ref="B8558:C8558"/>
    <mergeCell ref="B8559:C8559"/>
    <mergeCell ref="B8560:C8560"/>
    <mergeCell ref="B6108:C6108"/>
    <mergeCell ref="B6109:C6109"/>
    <mergeCell ref="B6110:C6110"/>
    <mergeCell ref="B8491:C8491"/>
    <mergeCell ref="B8492:C8492"/>
    <mergeCell ref="B6698:C6698"/>
    <mergeCell ref="A6133:G6133"/>
    <mergeCell ref="B6134:C6134"/>
    <mergeCell ref="A6140:F6140"/>
    <mergeCell ref="A6142:F6142"/>
    <mergeCell ref="A6148:F6148"/>
    <mergeCell ref="B6789:C6789"/>
    <mergeCell ref="B6790:C6790"/>
    <mergeCell ref="B6791:C6791"/>
    <mergeCell ref="B6881:C6881"/>
    <mergeCell ref="A6887:F6887"/>
    <mergeCell ref="A6889:F6889"/>
    <mergeCell ref="A6895:F6895"/>
    <mergeCell ref="A6899:F6899"/>
    <mergeCell ref="B6113:C6113"/>
    <mergeCell ref="A8513:F8513"/>
    <mergeCell ref="A8515:G8515"/>
    <mergeCell ref="B8516:C8516"/>
    <mergeCell ref="A8522:F8522"/>
    <mergeCell ref="A8524:F8524"/>
    <mergeCell ref="A6104:F6104"/>
    <mergeCell ref="A6106:G6106"/>
    <mergeCell ref="A8118:F8118"/>
    <mergeCell ref="A8120:F8120"/>
    <mergeCell ref="A8126:F8126"/>
    <mergeCell ref="A8255:F8255"/>
    <mergeCell ref="A8257:F8257"/>
    <mergeCell ref="B7335:C7335"/>
    <mergeCell ref="B7336:C7336"/>
    <mergeCell ref="B7337:C7337"/>
    <mergeCell ref="B7383:C7383"/>
    <mergeCell ref="A7389:F7389"/>
    <mergeCell ref="A7391:G7391"/>
    <mergeCell ref="A7399:F7399"/>
    <mergeCell ref="A7401:G7401"/>
    <mergeCell ref="B7402:C7402"/>
    <mergeCell ref="B7403:C7403"/>
    <mergeCell ref="B8336:C8336"/>
    <mergeCell ref="A8337:G8337"/>
    <mergeCell ref="B8338:C8338"/>
    <mergeCell ref="A8340:F8340"/>
    <mergeCell ref="A8342:G8342"/>
    <mergeCell ref="A8350:F8350"/>
    <mergeCell ref="A8352:G8352"/>
    <mergeCell ref="B8353:C8353"/>
    <mergeCell ref="B8354:C8354"/>
    <mergeCell ref="B8355:C8355"/>
    <mergeCell ref="B6089:C6089"/>
    <mergeCell ref="A6094:F6094"/>
    <mergeCell ref="A6096:G6096"/>
    <mergeCell ref="B6107:C6107"/>
    <mergeCell ref="B6177:C6177"/>
    <mergeCell ref="B6717:C6717"/>
    <mergeCell ref="A6172:F6172"/>
    <mergeCell ref="A6174:G6174"/>
    <mergeCell ref="A6152:F6152"/>
    <mergeCell ref="B6154:C6154"/>
    <mergeCell ref="A6156:G6156"/>
    <mergeCell ref="B6157:C6157"/>
    <mergeCell ref="B8562:C8562"/>
    <mergeCell ref="A8563:F8563"/>
    <mergeCell ref="B8202:C8202"/>
    <mergeCell ref="B8203:C8203"/>
    <mergeCell ref="A8204:G8204"/>
    <mergeCell ref="B8205:C8205"/>
    <mergeCell ref="A8209:F8209"/>
    <mergeCell ref="A8211:G8211"/>
    <mergeCell ref="A8219:F8219"/>
    <mergeCell ref="A8221:G8221"/>
    <mergeCell ref="B8222:C8222"/>
    <mergeCell ref="B8223:C8223"/>
    <mergeCell ref="B8224:C8224"/>
    <mergeCell ref="B8225:C8225"/>
    <mergeCell ref="B8226:C8226"/>
    <mergeCell ref="B8227:C8227"/>
    <mergeCell ref="A8074:G8074"/>
    <mergeCell ref="B7755:C7755"/>
    <mergeCell ref="A7769:F7769"/>
    <mergeCell ref="B8112:C8112"/>
    <mergeCell ref="A8668:F8668"/>
    <mergeCell ref="B8290:C8290"/>
    <mergeCell ref="B8291:C8291"/>
    <mergeCell ref="B8292:C8292"/>
    <mergeCell ref="B8293:C8293"/>
    <mergeCell ref="B8604:C8604"/>
    <mergeCell ref="A8605:G8605"/>
    <mergeCell ref="B8606:C8606"/>
    <mergeCell ref="B8630:C8630"/>
    <mergeCell ref="B8631:C8631"/>
    <mergeCell ref="B8632:C8632"/>
    <mergeCell ref="B8633:C8633"/>
    <mergeCell ref="A8634:F8634"/>
    <mergeCell ref="A8636:G8636"/>
    <mergeCell ref="B8637:C8637"/>
    <mergeCell ref="A8651:F8651"/>
    <mergeCell ref="A8672:F8672"/>
    <mergeCell ref="A8660:F8660"/>
    <mergeCell ref="A8662:F8662"/>
    <mergeCell ref="A8653:G8653"/>
    <mergeCell ref="B8654:C8654"/>
    <mergeCell ref="B8294:C8294"/>
    <mergeCell ref="A8565:G8565"/>
    <mergeCell ref="B8566:C8566"/>
    <mergeCell ref="A8580:F8580"/>
    <mergeCell ref="B8493:C8493"/>
    <mergeCell ref="B8494:C8494"/>
    <mergeCell ref="B8495:C8495"/>
    <mergeCell ref="B8496:C8496"/>
    <mergeCell ref="A8497:F8497"/>
    <mergeCell ref="A8499:G8499"/>
    <mergeCell ref="B8500:C8500"/>
    <mergeCell ref="I8607:I8608"/>
    <mergeCell ref="J8607:J8608"/>
    <mergeCell ref="K8607:K8608"/>
    <mergeCell ref="L8607:L8608"/>
    <mergeCell ref="K8609:L8609"/>
    <mergeCell ref="A8614:F8614"/>
    <mergeCell ref="I8615:I8616"/>
    <mergeCell ref="J8615:J8616"/>
    <mergeCell ref="K8615:K8616"/>
    <mergeCell ref="L8615:L8616"/>
    <mergeCell ref="A8616:G8616"/>
    <mergeCell ref="K8617:L8617"/>
    <mergeCell ref="A8624:F8624"/>
    <mergeCell ref="A8626:G8626"/>
    <mergeCell ref="B8627:C8627"/>
    <mergeCell ref="B8628:C8628"/>
    <mergeCell ref="B8629:C8629"/>
    <mergeCell ref="B8900:C8900"/>
    <mergeCell ref="B8811:C8811"/>
    <mergeCell ref="B8812:C8812"/>
    <mergeCell ref="A8813:G8813"/>
    <mergeCell ref="B8814:C8814"/>
    <mergeCell ref="A8820:F8820"/>
    <mergeCell ref="A8822:G8822"/>
    <mergeCell ref="A8830:F8830"/>
    <mergeCell ref="A8832:G8832"/>
    <mergeCell ref="B8833:C8833"/>
    <mergeCell ref="B8834:C8834"/>
    <mergeCell ref="B8835:C8835"/>
    <mergeCell ref="B8836:C8836"/>
    <mergeCell ref="B8837:C8837"/>
    <mergeCell ref="B8838:C8838"/>
    <mergeCell ref="B8839:C8839"/>
    <mergeCell ref="A8840:F8840"/>
    <mergeCell ref="A8842:G8842"/>
    <mergeCell ref="B8901:C8901"/>
    <mergeCell ref="B8902:C8902"/>
    <mergeCell ref="B8903:C8903"/>
    <mergeCell ref="B8904:C8904"/>
    <mergeCell ref="B8905:C8905"/>
    <mergeCell ref="B8906:C8906"/>
    <mergeCell ref="A8907:F8907"/>
    <mergeCell ref="A8909:G8909"/>
    <mergeCell ref="B8910:C8910"/>
    <mergeCell ref="A8924:F8924"/>
    <mergeCell ref="A8926:G8926"/>
    <mergeCell ref="B8927:C8927"/>
    <mergeCell ref="A8933:F8933"/>
    <mergeCell ref="A8935:F8935"/>
    <mergeCell ref="A8941:F8941"/>
    <mergeCell ref="A8945:F8945"/>
    <mergeCell ref="B8843:C8843"/>
    <mergeCell ref="A8857:F8857"/>
    <mergeCell ref="A8859:G8859"/>
    <mergeCell ref="B8860:C8860"/>
    <mergeCell ref="A8866:F8866"/>
    <mergeCell ref="A8868:F8868"/>
    <mergeCell ref="A8874:F8874"/>
    <mergeCell ref="A8878:F8878"/>
    <mergeCell ref="B8880:C8880"/>
    <mergeCell ref="B8881:C8881"/>
    <mergeCell ref="A8882:G8882"/>
    <mergeCell ref="B8883:C8883"/>
    <mergeCell ref="A8887:F8887"/>
    <mergeCell ref="A8889:G8889"/>
    <mergeCell ref="A8897:F8897"/>
    <mergeCell ref="A8899:G8899"/>
    <mergeCell ref="A9552:F9552"/>
    <mergeCell ref="A9554:G9554"/>
    <mergeCell ref="B9555:C9555"/>
    <mergeCell ref="B9510:C9510"/>
    <mergeCell ref="A9511:G9511"/>
    <mergeCell ref="B9512:C9512"/>
    <mergeCell ref="A9515:F9515"/>
    <mergeCell ref="A9517:G9517"/>
    <mergeCell ref="A9525:F9525"/>
    <mergeCell ref="A9527:G9527"/>
    <mergeCell ref="B9528:C9528"/>
    <mergeCell ref="B9529:C9529"/>
    <mergeCell ref="B9530:C9530"/>
    <mergeCell ref="B9531:C9531"/>
    <mergeCell ref="B9532:C9532"/>
    <mergeCell ref="B9533:C9533"/>
    <mergeCell ref="B9534:C9534"/>
    <mergeCell ref="A9535:F9535"/>
    <mergeCell ref="A9537:G9537"/>
    <mergeCell ref="B9538:C9538"/>
    <mergeCell ref="B15610:C15610"/>
    <mergeCell ref="B10080:C10080"/>
    <mergeCell ref="B9724:C9724"/>
    <mergeCell ref="B9725:C9725"/>
    <mergeCell ref="A9726:G9726"/>
    <mergeCell ref="B9727:C9727"/>
    <mergeCell ref="A16473:F16473"/>
    <mergeCell ref="A16477:F16477"/>
    <mergeCell ref="A16375:G16375"/>
    <mergeCell ref="A20008:G20008"/>
    <mergeCell ref="A20016:F20016"/>
    <mergeCell ref="B16765:C16765"/>
    <mergeCell ref="B16766:C16766"/>
    <mergeCell ref="A16767:G16767"/>
    <mergeCell ref="B16768:C16768"/>
    <mergeCell ref="A16774:F16774"/>
    <mergeCell ref="A16776:G16776"/>
    <mergeCell ref="A16784:F16784"/>
    <mergeCell ref="A16786:G16786"/>
    <mergeCell ref="A16833:F16833"/>
    <mergeCell ref="B16787:C16787"/>
    <mergeCell ref="B16788:C16788"/>
    <mergeCell ref="B16789:C16789"/>
    <mergeCell ref="B16790:C16790"/>
    <mergeCell ref="A18920:F18920"/>
    <mergeCell ref="A18922:G18922"/>
    <mergeCell ref="B18923:C18923"/>
    <mergeCell ref="B16793:C16793"/>
    <mergeCell ref="A16298:F16298"/>
    <mergeCell ref="A16300:G16300"/>
    <mergeCell ref="B16307:C16307"/>
    <mergeCell ref="B16413:C16413"/>
    <mergeCell ref="A16264:F16264"/>
    <mergeCell ref="A16266:F16266"/>
    <mergeCell ref="A16257:G16257"/>
    <mergeCell ref="B16258:C16258"/>
    <mergeCell ref="B16442:C16442"/>
    <mergeCell ref="A16456:F16456"/>
    <mergeCell ref="A16458:G16458"/>
    <mergeCell ref="B16459:C16459"/>
    <mergeCell ref="A16465:F16465"/>
    <mergeCell ref="A16467:F16467"/>
    <mergeCell ref="B16370:C16370"/>
    <mergeCell ref="B16371:C16371"/>
    <mergeCell ref="A16365:G16365"/>
    <mergeCell ref="B16349:C16349"/>
    <mergeCell ref="B16414:C16414"/>
    <mergeCell ref="A16415:G16415"/>
    <mergeCell ref="B16438:C16438"/>
    <mergeCell ref="A16439:F16439"/>
    <mergeCell ref="B16372:C16372"/>
    <mergeCell ref="A16373:F16373"/>
    <mergeCell ref="A16407:F16407"/>
    <mergeCell ref="A16411:F16411"/>
    <mergeCell ref="B16393:C16393"/>
    <mergeCell ref="A16399:F16399"/>
    <mergeCell ref="A16401:F16401"/>
    <mergeCell ref="A16421:G16421"/>
    <mergeCell ref="A16441:G16441"/>
    <mergeCell ref="A16220:G16220"/>
    <mergeCell ref="A16228:F16228"/>
    <mergeCell ref="A16230:G16230"/>
    <mergeCell ref="B16231:C16231"/>
    <mergeCell ref="B16232:C16232"/>
    <mergeCell ref="B16233:C16233"/>
    <mergeCell ref="B15231:C15231"/>
    <mergeCell ref="B15232:C15232"/>
    <mergeCell ref="A15233:G15233"/>
    <mergeCell ref="B15234:C15234"/>
    <mergeCell ref="B16376:C16376"/>
    <mergeCell ref="A16390:F16390"/>
    <mergeCell ref="B16033:C16033"/>
    <mergeCell ref="A15543:F15543"/>
    <mergeCell ref="B15301:C15301"/>
    <mergeCell ref="B15302:C15302"/>
    <mergeCell ref="A15303:G15303"/>
    <mergeCell ref="B16075:C16075"/>
    <mergeCell ref="A16076:G16076"/>
    <mergeCell ref="B15870:C15870"/>
    <mergeCell ref="A15956:F15956"/>
    <mergeCell ref="B15304:C15304"/>
    <mergeCell ref="A15310:F15310"/>
    <mergeCell ref="A15312:G15312"/>
    <mergeCell ref="A15320:F15320"/>
    <mergeCell ref="B16234:C16234"/>
    <mergeCell ref="B16235:C16235"/>
    <mergeCell ref="B16236:C16236"/>
    <mergeCell ref="B16237:C16237"/>
    <mergeCell ref="A16238:F16238"/>
    <mergeCell ref="A16240:G16240"/>
    <mergeCell ref="B16241:C16241"/>
    <mergeCell ref="B15164:C15164"/>
    <mergeCell ref="A15169:F15169"/>
    <mergeCell ref="A15171:G15171"/>
    <mergeCell ref="B11468:C11468"/>
    <mergeCell ref="B11469:C11469"/>
    <mergeCell ref="A11470:F11470"/>
    <mergeCell ref="A11472:G11472"/>
    <mergeCell ref="B11473:C11473"/>
    <mergeCell ref="A11487:F11487"/>
    <mergeCell ref="A11489:G11489"/>
    <mergeCell ref="A11496:F11496"/>
    <mergeCell ref="B12793:C12793"/>
    <mergeCell ref="B12794:C12794"/>
    <mergeCell ref="A12795:G12795"/>
    <mergeCell ref="B12796:C12796"/>
    <mergeCell ref="A12805:F12805"/>
    <mergeCell ref="A12807:G12807"/>
    <mergeCell ref="A12815:F12815"/>
    <mergeCell ref="A12817:G12817"/>
    <mergeCell ref="B12818:C12818"/>
    <mergeCell ref="B12819:C12819"/>
    <mergeCell ref="B12820:C12820"/>
    <mergeCell ref="B12821:C12821"/>
    <mergeCell ref="B12866:C12866"/>
    <mergeCell ref="A12867:G12867"/>
    <mergeCell ref="B15049:C15049"/>
    <mergeCell ref="B14707:C14707"/>
    <mergeCell ref="B14681:C14681"/>
    <mergeCell ref="B14682:C14682"/>
    <mergeCell ref="B12891:C12891"/>
    <mergeCell ref="B12892:C12892"/>
    <mergeCell ref="B12893:C12893"/>
    <mergeCell ref="B10179:C10179"/>
    <mergeCell ref="A10180:F10180"/>
    <mergeCell ref="A10182:G10182"/>
    <mergeCell ref="B10183:C10183"/>
    <mergeCell ref="A10197:F10197"/>
    <mergeCell ref="A10199:G10199"/>
    <mergeCell ref="B10200:C10200"/>
    <mergeCell ref="A10206:F10206"/>
    <mergeCell ref="B11593:C11593"/>
    <mergeCell ref="A12670:F12670"/>
    <mergeCell ref="A16255:F16255"/>
    <mergeCell ref="A15735:F15735"/>
    <mergeCell ref="A15737:G15737"/>
    <mergeCell ref="A15745:F15745"/>
    <mergeCell ref="A15747:G15747"/>
    <mergeCell ref="B15748:C15748"/>
    <mergeCell ref="B15749:C15749"/>
    <mergeCell ref="B15750:C15750"/>
    <mergeCell ref="B15751:C15751"/>
    <mergeCell ref="B15754:C15754"/>
    <mergeCell ref="A15876:G15876"/>
    <mergeCell ref="B16074:C16074"/>
    <mergeCell ref="A15958:G15958"/>
    <mergeCell ref="A15295:F15295"/>
    <mergeCell ref="A15299:F15299"/>
    <mergeCell ref="A15217:F15217"/>
    <mergeCell ref="A15219:F15219"/>
    <mergeCell ref="A15225:F15225"/>
    <mergeCell ref="A15229:F15229"/>
    <mergeCell ref="A15966:F15966"/>
    <mergeCell ref="A15239:F15239"/>
    <mergeCell ref="A15241:G15241"/>
    <mergeCell ref="A17755:G17755"/>
    <mergeCell ref="B17756:C17756"/>
    <mergeCell ref="B17753:C17753"/>
    <mergeCell ref="A18937:F18937"/>
    <mergeCell ref="A18939:G18939"/>
    <mergeCell ref="B18940:C18940"/>
    <mergeCell ref="A18838:F18838"/>
    <mergeCell ref="A18840:G18840"/>
    <mergeCell ref="B18841:C18841"/>
    <mergeCell ref="B18842:C18842"/>
    <mergeCell ref="B18843:C18843"/>
    <mergeCell ref="B18960:C18960"/>
    <mergeCell ref="B18961:C18961"/>
    <mergeCell ref="A18174:F18174"/>
    <mergeCell ref="B12822:C12822"/>
    <mergeCell ref="B12823:C12823"/>
    <mergeCell ref="B12824:C12824"/>
    <mergeCell ref="A12825:F12825"/>
    <mergeCell ref="A12827:G12827"/>
    <mergeCell ref="A15261:F15261"/>
    <mergeCell ref="A15263:G15263"/>
    <mergeCell ref="B15264:C15264"/>
    <mergeCell ref="B15965:C15965"/>
    <mergeCell ref="A16276:F16276"/>
    <mergeCell ref="A16392:G16392"/>
    <mergeCell ref="B16206:C16206"/>
    <mergeCell ref="B16207:C16207"/>
    <mergeCell ref="A16208:G16208"/>
    <mergeCell ref="B16209:C16209"/>
    <mergeCell ref="A16218:F16218"/>
    <mergeCell ref="A13383:G13383"/>
    <mergeCell ref="A12925:F12925"/>
    <mergeCell ref="A19660:G19660"/>
    <mergeCell ref="B19508:C19508"/>
    <mergeCell ref="B18633:C18633"/>
    <mergeCell ref="B18746:C18746"/>
    <mergeCell ref="A18747:G18747"/>
    <mergeCell ref="B18748:C18748"/>
    <mergeCell ref="A18755:F18755"/>
    <mergeCell ref="B18209:C18209"/>
    <mergeCell ref="A18210:F18210"/>
    <mergeCell ref="A18212:G18212"/>
    <mergeCell ref="A21403:G21403"/>
    <mergeCell ref="B21404:C21404"/>
    <mergeCell ref="B20325:C20325"/>
    <mergeCell ref="B20876:C20876"/>
    <mergeCell ref="B20877:C20877"/>
    <mergeCell ref="A20878:G20878"/>
    <mergeCell ref="A16429:F16429"/>
    <mergeCell ref="A16431:G16431"/>
    <mergeCell ref="B16432:C16432"/>
    <mergeCell ref="B16433:C16433"/>
    <mergeCell ref="B16434:C16434"/>
    <mergeCell ref="B16435:C16435"/>
    <mergeCell ref="B16436:C16436"/>
    <mergeCell ref="B16437:C16437"/>
    <mergeCell ref="B19953:C19953"/>
    <mergeCell ref="B16791:C16791"/>
    <mergeCell ref="B16792:C16792"/>
    <mergeCell ref="B18773:C18773"/>
    <mergeCell ref="B19803:C19803"/>
    <mergeCell ref="B19804:C19804"/>
    <mergeCell ref="B19805:C19805"/>
    <mergeCell ref="B19806:C19806"/>
    <mergeCell ref="A21445:F21445"/>
    <mergeCell ref="A21449:F21449"/>
    <mergeCell ref="A21090:F21090"/>
    <mergeCell ref="B21092:C21092"/>
    <mergeCell ref="B21093:C21093"/>
    <mergeCell ref="A21094:G21094"/>
    <mergeCell ref="B20176:C20176"/>
    <mergeCell ref="A20177:F20177"/>
    <mergeCell ref="A20179:G20179"/>
    <mergeCell ref="B20180:C20180"/>
    <mergeCell ref="A20194:F20194"/>
    <mergeCell ref="B20538:C20538"/>
    <mergeCell ref="B20539:C20539"/>
    <mergeCell ref="B20540:C20540"/>
    <mergeCell ref="B20541:C20541"/>
    <mergeCell ref="A20542:F20542"/>
    <mergeCell ref="A20544:G20544"/>
    <mergeCell ref="A20434:F20434"/>
    <mergeCell ref="A20908:F20908"/>
    <mergeCell ref="B20762:C20762"/>
    <mergeCell ref="B20733:C20733"/>
    <mergeCell ref="A20798:F20798"/>
    <mergeCell ref="B20948:C20948"/>
    <mergeCell ref="B20949:C20949"/>
    <mergeCell ref="B20763:C20763"/>
    <mergeCell ref="A20764:F20764"/>
    <mergeCell ref="B20760:C20760"/>
    <mergeCell ref="B20761:C20761"/>
    <mergeCell ref="B20904:C20904"/>
    <mergeCell ref="B21072:C21072"/>
    <mergeCell ref="A20756:G20756"/>
    <mergeCell ref="B20835:C20835"/>
    <mergeCell ref="A21437:F21437"/>
    <mergeCell ref="A21439:F21439"/>
    <mergeCell ref="B21051:C21051"/>
    <mergeCell ref="A21052:F21052"/>
    <mergeCell ref="A21054:G21054"/>
    <mergeCell ref="B21055:C21055"/>
    <mergeCell ref="A21069:F21069"/>
    <mergeCell ref="B18180:C18180"/>
    <mergeCell ref="B20104:C20104"/>
    <mergeCell ref="A20118:F20118"/>
    <mergeCell ref="B18888:C18888"/>
    <mergeCell ref="B18205:C18205"/>
    <mergeCell ref="B18206:C18206"/>
    <mergeCell ref="A19954:F19954"/>
    <mergeCell ref="A20980:F20980"/>
    <mergeCell ref="A20982:G20982"/>
    <mergeCell ref="B20983:C20983"/>
    <mergeCell ref="B20952:C20952"/>
    <mergeCell ref="A20888:F20888"/>
    <mergeCell ref="A20890:G20890"/>
    <mergeCell ref="B20901:C20901"/>
    <mergeCell ref="B20902:C20902"/>
    <mergeCell ref="B20903:C20903"/>
    <mergeCell ref="A20972:G20972"/>
    <mergeCell ref="B20545:C20545"/>
    <mergeCell ref="B20099:C20099"/>
    <mergeCell ref="A20103:G20103"/>
    <mergeCell ref="B20100:C20100"/>
    <mergeCell ref="B21023:C21023"/>
    <mergeCell ref="B21121:C21121"/>
    <mergeCell ref="B21122:C21122"/>
    <mergeCell ref="B21123:C21123"/>
    <mergeCell ref="B21931:C21931"/>
    <mergeCell ref="B21269:C21269"/>
    <mergeCell ref="A20167:F20167"/>
    <mergeCell ref="A20169:G20169"/>
    <mergeCell ref="B20170:C20170"/>
    <mergeCell ref="B20171:C20171"/>
    <mergeCell ref="B20172:C20172"/>
    <mergeCell ref="B20173:C20173"/>
    <mergeCell ref="A20255:G20255"/>
    <mergeCell ref="A20196:G20196"/>
    <mergeCell ref="B20197:C20197"/>
    <mergeCell ref="A20203:F20203"/>
    <mergeCell ref="A20205:F20205"/>
    <mergeCell ref="A20211:F20211"/>
    <mergeCell ref="B18207:C18207"/>
    <mergeCell ref="A21078:F21078"/>
    <mergeCell ref="A21080:F21080"/>
    <mergeCell ref="A21086:F21086"/>
    <mergeCell ref="A21928:F21928"/>
    <mergeCell ref="A21930:G21930"/>
    <mergeCell ref="A21752:G21752"/>
    <mergeCell ref="A21760:F21760"/>
    <mergeCell ref="A21762:G21762"/>
    <mergeCell ref="B21763:C21763"/>
    <mergeCell ref="B21764:C21764"/>
    <mergeCell ref="B21765:C21765"/>
    <mergeCell ref="B21766:C21766"/>
    <mergeCell ref="B21767:C21767"/>
    <mergeCell ref="B21768:C21768"/>
    <mergeCell ref="B21769:C21769"/>
    <mergeCell ref="A21770:F21770"/>
    <mergeCell ref="A21772:G21772"/>
    <mergeCell ref="A22595:G22595"/>
    <mergeCell ref="B22596:C22596"/>
    <mergeCell ref="A22603:F22603"/>
    <mergeCell ref="A22605:G22605"/>
    <mergeCell ref="A22224:F22224"/>
    <mergeCell ref="A22230:F22230"/>
    <mergeCell ref="A22234:F22234"/>
    <mergeCell ref="B22165:C22165"/>
    <mergeCell ref="B22166:C22166"/>
    <mergeCell ref="A22167:G22167"/>
    <mergeCell ref="B22168:C22168"/>
    <mergeCell ref="A22176:F22176"/>
    <mergeCell ref="A22178:G22178"/>
    <mergeCell ref="B22262:C22262"/>
    <mergeCell ref="A22222:F22222"/>
    <mergeCell ref="A22215:G22215"/>
    <mergeCell ref="B22216:C22216"/>
    <mergeCell ref="B22339:C22339"/>
    <mergeCell ref="B22267:C22267"/>
    <mergeCell ref="B22261:C22261"/>
    <mergeCell ref="B22406:C22406"/>
    <mergeCell ref="A22382:G22382"/>
    <mergeCell ref="B22383:C22383"/>
    <mergeCell ref="B22405:C22405"/>
    <mergeCell ref="B22335:C22335"/>
    <mergeCell ref="B22336:C22336"/>
    <mergeCell ref="B22337:C22337"/>
    <mergeCell ref="A22340:F22340"/>
    <mergeCell ref="A22342:G22342"/>
    <mergeCell ref="B22343:C22343"/>
    <mergeCell ref="B22338:C22338"/>
    <mergeCell ref="A22357:F22357"/>
    <mergeCell ref="B22311:C22311"/>
    <mergeCell ref="A22319:F22319"/>
    <mergeCell ref="A22321:G22321"/>
    <mergeCell ref="B22332:C22332"/>
    <mergeCell ref="B22333:C22333"/>
    <mergeCell ref="B22410:C22410"/>
    <mergeCell ref="B22407:C22407"/>
    <mergeCell ref="B22408:C22408"/>
    <mergeCell ref="B22409:C22409"/>
    <mergeCell ref="B22334:C22334"/>
    <mergeCell ref="A22329:F22329"/>
    <mergeCell ref="A22331:G22331"/>
    <mergeCell ref="A22579:F22579"/>
    <mergeCell ref="A22581:F22581"/>
    <mergeCell ref="A22587:F22587"/>
    <mergeCell ref="A22591:F22591"/>
    <mergeCell ref="B22594:C22594"/>
    <mergeCell ref="A22359:G22359"/>
    <mergeCell ref="B22360:C22360"/>
    <mergeCell ref="A22366:F22366"/>
    <mergeCell ref="A22368:F22368"/>
    <mergeCell ref="B22478:C22478"/>
    <mergeCell ref="B22479:C22479"/>
    <mergeCell ref="B22480:C22480"/>
    <mergeCell ref="B22481:C22481"/>
    <mergeCell ref="A22482:F22482"/>
    <mergeCell ref="A22484:G22484"/>
    <mergeCell ref="B22485:C22485"/>
    <mergeCell ref="A22390:F22390"/>
    <mergeCell ref="A22392:G22392"/>
    <mergeCell ref="B22623:C22623"/>
    <mergeCell ref="A22624:F22624"/>
    <mergeCell ref="A22626:G22626"/>
    <mergeCell ref="A22532:F22532"/>
    <mergeCell ref="A22534:G22534"/>
    <mergeCell ref="B22545:C22545"/>
    <mergeCell ref="B22546:C22546"/>
    <mergeCell ref="B22547:C22547"/>
    <mergeCell ref="B22548:C22548"/>
    <mergeCell ref="B22549:C22549"/>
    <mergeCell ref="B22550:C22550"/>
    <mergeCell ref="A22553:F22553"/>
    <mergeCell ref="A22555:G22555"/>
    <mergeCell ref="B22556:C22556"/>
    <mergeCell ref="A22570:F22570"/>
    <mergeCell ref="A22542:F22542"/>
    <mergeCell ref="A22449:F22449"/>
    <mergeCell ref="B22431:C22431"/>
    <mergeCell ref="A22524:G22524"/>
    <mergeCell ref="B22525:C22525"/>
    <mergeCell ref="A22516:F22516"/>
    <mergeCell ref="A22520:F22520"/>
    <mergeCell ref="B22617:C22617"/>
    <mergeCell ref="B22618:C22618"/>
    <mergeCell ref="A22430:G22430"/>
    <mergeCell ref="B22404:C22404"/>
    <mergeCell ref="A22411:F22411"/>
    <mergeCell ref="A22413:G22413"/>
    <mergeCell ref="B22414:C22414"/>
    <mergeCell ref="A22428:F22428"/>
    <mergeCell ref="B3890:C3890"/>
    <mergeCell ref="B3891:C3891"/>
    <mergeCell ref="A3892:G3892"/>
    <mergeCell ref="B3893:C3893"/>
    <mergeCell ref="A3897:F3897"/>
    <mergeCell ref="A3899:G3899"/>
    <mergeCell ref="A3907:F3907"/>
    <mergeCell ref="A3909:G3909"/>
    <mergeCell ref="B3910:C3910"/>
    <mergeCell ref="B3911:C3911"/>
    <mergeCell ref="B3912:C3912"/>
    <mergeCell ref="B3913:C3913"/>
    <mergeCell ref="B3914:C3914"/>
    <mergeCell ref="B3915:C3915"/>
    <mergeCell ref="B3916:C3916"/>
    <mergeCell ref="A3917:F3917"/>
    <mergeCell ref="A3919:G3919"/>
    <mergeCell ref="B3920:C3920"/>
    <mergeCell ref="A3934:F3934"/>
    <mergeCell ref="A3936:G3936"/>
    <mergeCell ref="B3937:C3937"/>
    <mergeCell ref="A3943:F3943"/>
    <mergeCell ref="A3945:F3945"/>
    <mergeCell ref="A3951:F3951"/>
    <mergeCell ref="A3955:F3955"/>
    <mergeCell ref="B3957:C3957"/>
    <mergeCell ref="B3958:C3958"/>
    <mergeCell ref="A3959:G3959"/>
    <mergeCell ref="B3960:C3960"/>
    <mergeCell ref="A3975:F3975"/>
    <mergeCell ref="A3977:G3977"/>
    <mergeCell ref="A3985:F3985"/>
    <mergeCell ref="A3987:G3987"/>
    <mergeCell ref="B3988:C3988"/>
    <mergeCell ref="B3989:C3989"/>
    <mergeCell ref="B3990:C3990"/>
    <mergeCell ref="B3991:C3991"/>
    <mergeCell ref="B3992:C3992"/>
    <mergeCell ref="B3993:C3993"/>
    <mergeCell ref="B3994:C3994"/>
    <mergeCell ref="A3995:F3995"/>
    <mergeCell ref="A3997:G3997"/>
    <mergeCell ref="B3998:C3998"/>
    <mergeCell ref="A4009:F4009"/>
    <mergeCell ref="A4011:G4011"/>
    <mergeCell ref="B4012:C4012"/>
    <mergeCell ref="A4018:F4018"/>
    <mergeCell ref="A4020:F4020"/>
    <mergeCell ref="A4026:F4026"/>
    <mergeCell ref="A4030:F4030"/>
    <mergeCell ref="B4032:C4032"/>
    <mergeCell ref="B4033:C4033"/>
    <mergeCell ref="A4034:G4034"/>
    <mergeCell ref="B4035:C4035"/>
    <mergeCell ref="A4044:F4044"/>
    <mergeCell ref="A4046:G4046"/>
    <mergeCell ref="A4054:F4054"/>
    <mergeCell ref="A4056:G4056"/>
    <mergeCell ref="B4057:C4057"/>
    <mergeCell ref="B4058:C4058"/>
    <mergeCell ref="B4059:C4059"/>
    <mergeCell ref="B4060:C4060"/>
    <mergeCell ref="B4061:C4061"/>
    <mergeCell ref="B4062:C4062"/>
    <mergeCell ref="B4063:C4063"/>
    <mergeCell ref="A4064:F4064"/>
    <mergeCell ref="A4066:G4066"/>
    <mergeCell ref="B4067:C4067"/>
    <mergeCell ref="A4081:F4081"/>
    <mergeCell ref="A4083:G4083"/>
    <mergeCell ref="B4084:C4084"/>
    <mergeCell ref="A4090:F4090"/>
    <mergeCell ref="A4092:F4092"/>
    <mergeCell ref="A4098:F4098"/>
    <mergeCell ref="A4102:F4102"/>
    <mergeCell ref="B4244:C4244"/>
    <mergeCell ref="B4245:C4245"/>
    <mergeCell ref="A4246:G4246"/>
    <mergeCell ref="B4247:C4247"/>
    <mergeCell ref="A4252:F4252"/>
    <mergeCell ref="A4254:G4254"/>
    <mergeCell ref="A4262:F4262"/>
    <mergeCell ref="A4264:G4264"/>
    <mergeCell ref="B4265:C4265"/>
    <mergeCell ref="B4266:C4266"/>
    <mergeCell ref="A4168:F4168"/>
    <mergeCell ref="A4172:F4172"/>
    <mergeCell ref="A4206:G4206"/>
    <mergeCell ref="A4242:F4242"/>
    <mergeCell ref="A4204:F4204"/>
    <mergeCell ref="B4267:C4267"/>
    <mergeCell ref="B4268:C4268"/>
    <mergeCell ref="B4269:C4269"/>
    <mergeCell ref="B4270:C4270"/>
    <mergeCell ref="B4271:C4271"/>
    <mergeCell ref="A4272:F4272"/>
    <mergeCell ref="A4274:G4274"/>
    <mergeCell ref="B4275:C4275"/>
    <mergeCell ref="A4289:F4289"/>
    <mergeCell ref="A4291:G4291"/>
    <mergeCell ref="B4292:C4292"/>
    <mergeCell ref="A4298:F4298"/>
    <mergeCell ref="A4300:F4300"/>
    <mergeCell ref="A4306:F4306"/>
    <mergeCell ref="A4310:F4310"/>
    <mergeCell ref="B4312:C4312"/>
    <mergeCell ref="B4313:C4313"/>
    <mergeCell ref="A4314:G4314"/>
    <mergeCell ref="B4315:C4315"/>
    <mergeCell ref="A4320:F4320"/>
    <mergeCell ref="A4322:G4322"/>
    <mergeCell ref="A4330:F4330"/>
    <mergeCell ref="A4332:G4332"/>
    <mergeCell ref="B4333:C4333"/>
    <mergeCell ref="B4334:C4334"/>
    <mergeCell ref="B4335:C4335"/>
    <mergeCell ref="B4336:C4336"/>
    <mergeCell ref="B4337:C4337"/>
    <mergeCell ref="B4338:C4338"/>
    <mergeCell ref="B4339:C4339"/>
    <mergeCell ref="A4340:F4340"/>
    <mergeCell ref="A4342:G4342"/>
    <mergeCell ref="B4343:C4343"/>
    <mergeCell ref="A4357:F4357"/>
    <mergeCell ref="A4359:G4359"/>
    <mergeCell ref="B4360:C4360"/>
    <mergeCell ref="A4366:F4366"/>
    <mergeCell ref="A4368:F4368"/>
    <mergeCell ref="A4374:F4374"/>
    <mergeCell ref="A4378:F4378"/>
    <mergeCell ref="B4380:C4380"/>
    <mergeCell ref="B4381:C4381"/>
    <mergeCell ref="A4382:G4382"/>
    <mergeCell ref="B4383:C4383"/>
    <mergeCell ref="A4387:F4387"/>
    <mergeCell ref="A4389:G4389"/>
    <mergeCell ref="A4397:F4397"/>
    <mergeCell ref="A4399:G4399"/>
    <mergeCell ref="B4400:C4400"/>
    <mergeCell ref="B4401:C4401"/>
    <mergeCell ref="B4402:C4402"/>
    <mergeCell ref="B4403:C4403"/>
    <mergeCell ref="B4404:C4404"/>
    <mergeCell ref="B4405:C4405"/>
    <mergeCell ref="B4406:C4406"/>
    <mergeCell ref="A4407:F4407"/>
    <mergeCell ref="A4409:G4409"/>
    <mergeCell ref="B4410:C4410"/>
    <mergeCell ref="A4424:F4424"/>
    <mergeCell ref="A4426:G4426"/>
    <mergeCell ref="B4427:C4427"/>
    <mergeCell ref="A4433:F4433"/>
    <mergeCell ref="A4435:F4435"/>
    <mergeCell ref="A4441:F4441"/>
    <mergeCell ref="A4445:F4445"/>
    <mergeCell ref="B4447:C4447"/>
    <mergeCell ref="B4448:C4448"/>
    <mergeCell ref="A4449:G4449"/>
    <mergeCell ref="B4450:C4450"/>
    <mergeCell ref="A4455:F4455"/>
    <mergeCell ref="A4457:G4457"/>
    <mergeCell ref="A4465:F4465"/>
    <mergeCell ref="A4467:G4467"/>
    <mergeCell ref="B4468:C4468"/>
    <mergeCell ref="B4469:C4469"/>
    <mergeCell ref="B4470:C4470"/>
    <mergeCell ref="B4471:C4471"/>
    <mergeCell ref="B4472:C4472"/>
    <mergeCell ref="B4473:C4473"/>
    <mergeCell ref="B4474:C4474"/>
    <mergeCell ref="A4475:F4475"/>
    <mergeCell ref="A4477:G4477"/>
    <mergeCell ref="B4478:C4478"/>
    <mergeCell ref="A4492:F4492"/>
    <mergeCell ref="A4494:G4494"/>
    <mergeCell ref="B4495:C4495"/>
    <mergeCell ref="A4501:F4501"/>
    <mergeCell ref="A4503:F4503"/>
    <mergeCell ref="A4509:F4509"/>
    <mergeCell ref="A4513:F4513"/>
    <mergeCell ref="B4515:C4515"/>
    <mergeCell ref="B4516:C4516"/>
    <mergeCell ref="A4517:G4517"/>
    <mergeCell ref="B4518:C4518"/>
    <mergeCell ref="A4523:F4523"/>
    <mergeCell ref="A4525:G4525"/>
    <mergeCell ref="A4533:F4533"/>
    <mergeCell ref="A4535:G4535"/>
    <mergeCell ref="B4536:C4536"/>
    <mergeCell ref="B4537:C4537"/>
    <mergeCell ref="B4538:C4538"/>
    <mergeCell ref="B4539:C4539"/>
    <mergeCell ref="B4540:C4540"/>
    <mergeCell ref="B4541:C4541"/>
    <mergeCell ref="B4542:C4542"/>
    <mergeCell ref="A4543:F4543"/>
    <mergeCell ref="A4545:G4545"/>
    <mergeCell ref="B4546:C4546"/>
    <mergeCell ref="A4560:F4560"/>
    <mergeCell ref="A4562:G4562"/>
    <mergeCell ref="B4563:C4563"/>
    <mergeCell ref="A4569:F4569"/>
    <mergeCell ref="A4571:F4571"/>
    <mergeCell ref="A4577:F4577"/>
    <mergeCell ref="A4581:F4581"/>
    <mergeCell ref="B4104:C4104"/>
    <mergeCell ref="B4105:C4105"/>
    <mergeCell ref="A4106:G4106"/>
    <mergeCell ref="B4107:C4107"/>
    <mergeCell ref="A4114:F4114"/>
    <mergeCell ref="A4116:G4116"/>
    <mergeCell ref="A4124:F4124"/>
    <mergeCell ref="B4130:C4130"/>
    <mergeCell ref="B4131:C4131"/>
    <mergeCell ref="B4132:C4132"/>
    <mergeCell ref="B4133:C4133"/>
    <mergeCell ref="A4134:F4134"/>
    <mergeCell ref="A4136:G4136"/>
    <mergeCell ref="B4137:C4137"/>
    <mergeCell ref="A4151:F4151"/>
    <mergeCell ref="A4153:G4153"/>
    <mergeCell ref="B4154:C4154"/>
    <mergeCell ref="A4160:F4160"/>
    <mergeCell ref="A4162:F4162"/>
    <mergeCell ref="A2271:F2271"/>
    <mergeCell ref="A2269:F2269"/>
    <mergeCell ref="B2263:C2263"/>
    <mergeCell ref="A2262:G2262"/>
    <mergeCell ref="A2260:F2260"/>
    <mergeCell ref="B2246:C2246"/>
    <mergeCell ref="A2245:G2245"/>
    <mergeCell ref="A2243:F2243"/>
    <mergeCell ref="B2242:C2242"/>
    <mergeCell ref="B2241:C2241"/>
    <mergeCell ref="B2240:C2240"/>
    <mergeCell ref="B2239:C2239"/>
    <mergeCell ref="B2238:C2238"/>
    <mergeCell ref="A4126:G4126"/>
    <mergeCell ref="B4127:C4127"/>
    <mergeCell ref="B4128:C4128"/>
    <mergeCell ref="B4129:C4129"/>
    <mergeCell ref="B2783:C2783"/>
    <mergeCell ref="B2784:C2784"/>
    <mergeCell ref="B2785:C2785"/>
    <mergeCell ref="A2786:F2786"/>
    <mergeCell ref="A2788:G2788"/>
    <mergeCell ref="B2789:C2789"/>
    <mergeCell ref="A2803:F2803"/>
    <mergeCell ref="A2805:G2805"/>
    <mergeCell ref="B2806:C2806"/>
    <mergeCell ref="A2812:F2812"/>
    <mergeCell ref="A2814:F2814"/>
    <mergeCell ref="A2820:F2820"/>
    <mergeCell ref="A2824:F2824"/>
    <mergeCell ref="B2964:C2964"/>
    <mergeCell ref="B2965:C2965"/>
    <mergeCell ref="B2237:C2237"/>
    <mergeCell ref="B2236:C2236"/>
    <mergeCell ref="A2235:G2235"/>
    <mergeCell ref="A2233:F2233"/>
    <mergeCell ref="A2225:G2225"/>
    <mergeCell ref="A2223:F2223"/>
    <mergeCell ref="B2218:C2218"/>
    <mergeCell ref="A2217:G2217"/>
    <mergeCell ref="B2216:C2216"/>
    <mergeCell ref="B2215:C2215"/>
    <mergeCell ref="B4207:C4207"/>
    <mergeCell ref="A4221:F4221"/>
    <mergeCell ref="A4223:G4223"/>
    <mergeCell ref="B4224:C4224"/>
    <mergeCell ref="A4230:F4230"/>
    <mergeCell ref="A4232:F4232"/>
    <mergeCell ref="A4238:F4238"/>
    <mergeCell ref="B4174:C4174"/>
    <mergeCell ref="B4175:C4175"/>
    <mergeCell ref="A4176:G4176"/>
    <mergeCell ref="B4177:C4177"/>
    <mergeCell ref="A4184:F4184"/>
    <mergeCell ref="A4186:G4186"/>
    <mergeCell ref="A4194:F4194"/>
    <mergeCell ref="A4196:G4196"/>
    <mergeCell ref="B4197:C4197"/>
    <mergeCell ref="B4198:C4198"/>
    <mergeCell ref="B4199:C4199"/>
    <mergeCell ref="B4200:C4200"/>
    <mergeCell ref="B4201:C4201"/>
    <mergeCell ref="B4202:C4202"/>
    <mergeCell ref="B4203:C4203"/>
    <mergeCell ref="B9509:C9509"/>
    <mergeCell ref="A9567:F9567"/>
    <mergeCell ref="A9569:F9569"/>
    <mergeCell ref="A9575:F9575"/>
    <mergeCell ref="A9579:F9579"/>
    <mergeCell ref="B9019:C9019"/>
    <mergeCell ref="B9020:C9020"/>
    <mergeCell ref="A9021:G9021"/>
    <mergeCell ref="B9022:C9022"/>
    <mergeCell ref="A9028:F9028"/>
    <mergeCell ref="A9030:G9030"/>
    <mergeCell ref="A9038:F9038"/>
    <mergeCell ref="A9040:G9040"/>
    <mergeCell ref="B9041:C9041"/>
    <mergeCell ref="B9042:C9042"/>
    <mergeCell ref="B9043:C9043"/>
    <mergeCell ref="B9044:C9044"/>
    <mergeCell ref="B9045:C9045"/>
    <mergeCell ref="B9046:C9046"/>
    <mergeCell ref="B9047:C9047"/>
    <mergeCell ref="A9048:F9048"/>
    <mergeCell ref="A9050:G9050"/>
    <mergeCell ref="B9051:C9051"/>
    <mergeCell ref="A9065:F9065"/>
    <mergeCell ref="A9067:G9067"/>
    <mergeCell ref="B9068:C9068"/>
    <mergeCell ref="A9077:F9077"/>
    <mergeCell ref="A9079:F9079"/>
    <mergeCell ref="A9085:F9085"/>
    <mergeCell ref="A9089:F9089"/>
    <mergeCell ref="B9181:C9181"/>
    <mergeCell ref="B9182:C9182"/>
    <mergeCell ref="B8947:C8947"/>
    <mergeCell ref="B8948:C8948"/>
    <mergeCell ref="A8949:G8949"/>
    <mergeCell ref="B8950:C8950"/>
    <mergeCell ref="A8956:F8956"/>
    <mergeCell ref="A8958:G8958"/>
    <mergeCell ref="A8966:F8966"/>
    <mergeCell ref="A8968:G8968"/>
    <mergeCell ref="B8969:C8969"/>
    <mergeCell ref="B8970:C8970"/>
    <mergeCell ref="B8971:C8971"/>
    <mergeCell ref="B8972:C8972"/>
    <mergeCell ref="B8973:C8973"/>
    <mergeCell ref="B8974:C8974"/>
    <mergeCell ref="B8975:C8975"/>
    <mergeCell ref="A8976:F8976"/>
    <mergeCell ref="A8978:G8978"/>
    <mergeCell ref="A9007:F9007"/>
    <mergeCell ref="A9013:F9013"/>
    <mergeCell ref="A9017:F9017"/>
    <mergeCell ref="B9158:C9158"/>
    <mergeCell ref="B9159:C9159"/>
    <mergeCell ref="A9160:G9160"/>
    <mergeCell ref="B9161:C9161"/>
    <mergeCell ref="A9167:F9167"/>
    <mergeCell ref="A9169:G9169"/>
    <mergeCell ref="A9177:F9177"/>
    <mergeCell ref="A9179:G9179"/>
    <mergeCell ref="B9180:C9180"/>
    <mergeCell ref="B9117:C9117"/>
    <mergeCell ref="A9118:F9118"/>
    <mergeCell ref="A9135:F9135"/>
    <mergeCell ref="A9137:G9137"/>
    <mergeCell ref="B9138:C9138"/>
    <mergeCell ref="A9144:F9144"/>
    <mergeCell ref="A9146:F9146"/>
    <mergeCell ref="A9152:F9152"/>
    <mergeCell ref="A9156:F9156"/>
    <mergeCell ref="B9116:C9116"/>
    <mergeCell ref="B9258:C9258"/>
    <mergeCell ref="A9259:F9259"/>
    <mergeCell ref="A9261:G9261"/>
    <mergeCell ref="B9262:C9262"/>
    <mergeCell ref="A9276:F9276"/>
    <mergeCell ref="A9278:G9278"/>
    <mergeCell ref="B9279:C9279"/>
    <mergeCell ref="A9285:F9285"/>
    <mergeCell ref="A9287:F9287"/>
    <mergeCell ref="A6084:F6084"/>
    <mergeCell ref="A6065:G6065"/>
    <mergeCell ref="B8021:C8021"/>
    <mergeCell ref="A8022:F8022"/>
    <mergeCell ref="A8024:G8024"/>
    <mergeCell ref="B8025:C8025"/>
    <mergeCell ref="A8039:F8039"/>
    <mergeCell ref="A8041:G8041"/>
    <mergeCell ref="B8042:C8042"/>
    <mergeCell ref="A8048:F8048"/>
    <mergeCell ref="A8050:F8050"/>
    <mergeCell ref="A8056:F8056"/>
    <mergeCell ref="A8060:F8060"/>
    <mergeCell ref="B8335:C8335"/>
    <mergeCell ref="A8377:F8377"/>
    <mergeCell ref="B8019:C8019"/>
    <mergeCell ref="B8020:C8020"/>
    <mergeCell ref="A6162:F6162"/>
    <mergeCell ref="B6185:C6185"/>
    <mergeCell ref="A6496:G6496"/>
    <mergeCell ref="B6497:C6497"/>
    <mergeCell ref="A6199:F6199"/>
    <mergeCell ref="A6201:G6201"/>
    <mergeCell ref="B5948:C5948"/>
    <mergeCell ref="B5949:C5949"/>
    <mergeCell ref="A5950:G5950"/>
    <mergeCell ref="B5951:C5951"/>
    <mergeCell ref="A5956:F5956"/>
    <mergeCell ref="A5958:G5958"/>
    <mergeCell ref="A5966:F5966"/>
    <mergeCell ref="A5968:G5968"/>
    <mergeCell ref="B5969:C5969"/>
    <mergeCell ref="B5970:C5970"/>
    <mergeCell ref="B5971:C5971"/>
    <mergeCell ref="B5972:C5972"/>
    <mergeCell ref="B7818:C7818"/>
    <mergeCell ref="B9183:C9183"/>
    <mergeCell ref="B9184:C9184"/>
    <mergeCell ref="B9185:C9185"/>
    <mergeCell ref="B9186:C9186"/>
    <mergeCell ref="A6080:F6080"/>
    <mergeCell ref="B6176:C6176"/>
    <mergeCell ref="A6210:F6210"/>
    <mergeCell ref="B6179:C6179"/>
    <mergeCell ref="B6270:C6270"/>
    <mergeCell ref="B6858:C6858"/>
    <mergeCell ref="A6792:F6792"/>
    <mergeCell ref="B6859:C6859"/>
    <mergeCell ref="B6860:C6860"/>
    <mergeCell ref="A6220:F6220"/>
    <mergeCell ref="B8979:C8979"/>
    <mergeCell ref="A8993:F8993"/>
    <mergeCell ref="A8995:G8995"/>
    <mergeCell ref="B8996:C8996"/>
    <mergeCell ref="A9005:F9005"/>
    <mergeCell ref="A9311:G9311"/>
    <mergeCell ref="A9319:F9319"/>
    <mergeCell ref="A9321:G9321"/>
    <mergeCell ref="B9322:C9322"/>
    <mergeCell ref="B9323:C9323"/>
    <mergeCell ref="B5973:C5973"/>
    <mergeCell ref="B5974:C5974"/>
    <mergeCell ref="B5975:C5975"/>
    <mergeCell ref="A5976:F5976"/>
    <mergeCell ref="A5978:G5978"/>
    <mergeCell ref="B5979:C5979"/>
    <mergeCell ref="A5993:F5993"/>
    <mergeCell ref="A5995:G5995"/>
    <mergeCell ref="B5996:C5996"/>
    <mergeCell ref="A6002:F6002"/>
    <mergeCell ref="A6004:F6004"/>
    <mergeCell ref="A6010:F6010"/>
    <mergeCell ref="A6014:F6014"/>
    <mergeCell ref="B9229:C9229"/>
    <mergeCell ref="B9230:C9230"/>
    <mergeCell ref="A9231:G9231"/>
    <mergeCell ref="B9232:C9232"/>
    <mergeCell ref="B6066:C6066"/>
    <mergeCell ref="A6072:F6072"/>
    <mergeCell ref="A6074:F6074"/>
    <mergeCell ref="A9249:F9249"/>
    <mergeCell ref="A9251:G9251"/>
    <mergeCell ref="B6049:C6049"/>
    <mergeCell ref="A6063:F6063"/>
    <mergeCell ref="A9187:F9187"/>
    <mergeCell ref="A9189:G9189"/>
    <mergeCell ref="B9190:C9190"/>
    <mergeCell ref="A6038:G6038"/>
    <mergeCell ref="B6039:C6039"/>
    <mergeCell ref="B6040:C6040"/>
    <mergeCell ref="B6041:C6041"/>
    <mergeCell ref="B6042:C6042"/>
    <mergeCell ref="B6043:C6043"/>
    <mergeCell ref="B6044:C6044"/>
    <mergeCell ref="B6045:C6045"/>
    <mergeCell ref="A6046:F6046"/>
    <mergeCell ref="A6048:G6048"/>
    <mergeCell ref="A9239:F9239"/>
    <mergeCell ref="A9241:G9241"/>
    <mergeCell ref="B9299:C9299"/>
    <mergeCell ref="B9300:C9300"/>
    <mergeCell ref="A9301:G9301"/>
    <mergeCell ref="B9302:C9302"/>
    <mergeCell ref="A9309:F9309"/>
    <mergeCell ref="A9204:F9204"/>
    <mergeCell ref="A9206:G9206"/>
    <mergeCell ref="B9207:C9207"/>
    <mergeCell ref="A9215:F9215"/>
    <mergeCell ref="A9217:F9217"/>
    <mergeCell ref="A9223:F9223"/>
    <mergeCell ref="A9227:F9227"/>
    <mergeCell ref="A9293:F9293"/>
    <mergeCell ref="A9297:F9297"/>
    <mergeCell ref="B9252:C9252"/>
    <mergeCell ref="B9253:C9253"/>
    <mergeCell ref="B9254:C9254"/>
    <mergeCell ref="B9255:C9255"/>
    <mergeCell ref="B9256:C9256"/>
    <mergeCell ref="B9257:C9257"/>
    <mergeCell ref="A9486:F9486"/>
    <mergeCell ref="A9488:G9488"/>
    <mergeCell ref="B9489:C9489"/>
    <mergeCell ref="A9495:F9495"/>
    <mergeCell ref="A9497:F9497"/>
    <mergeCell ref="A9503:F9503"/>
    <mergeCell ref="A9507:F9507"/>
    <mergeCell ref="B2147:C2147"/>
    <mergeCell ref="B2148:C2148"/>
    <mergeCell ref="A2149:G2149"/>
    <mergeCell ref="B2150:C2150"/>
    <mergeCell ref="A2155:F2155"/>
    <mergeCell ref="A2157:G2157"/>
    <mergeCell ref="A2165:F2165"/>
    <mergeCell ref="A2167:G2167"/>
    <mergeCell ref="B2168:C2168"/>
    <mergeCell ref="B2169:C2169"/>
    <mergeCell ref="B2170:C2170"/>
    <mergeCell ref="B2171:C2171"/>
    <mergeCell ref="B2172:C2172"/>
    <mergeCell ref="B2173:C2173"/>
    <mergeCell ref="B2174:C2174"/>
    <mergeCell ref="A2175:F2175"/>
    <mergeCell ref="A2177:G2177"/>
    <mergeCell ref="B2178:C2178"/>
    <mergeCell ref="A2192:F2192"/>
    <mergeCell ref="A2194:G2194"/>
    <mergeCell ref="B2195:C2195"/>
    <mergeCell ref="A2201:F2201"/>
    <mergeCell ref="A2203:F2203"/>
    <mergeCell ref="A2209:F2209"/>
    <mergeCell ref="B9439:C9439"/>
    <mergeCell ref="B9472:C9472"/>
    <mergeCell ref="B9440:C9440"/>
    <mergeCell ref="A9441:G9441"/>
    <mergeCell ref="B9442:C9442"/>
    <mergeCell ref="A9449:F9449"/>
    <mergeCell ref="A9451:G9451"/>
    <mergeCell ref="A9459:F9459"/>
    <mergeCell ref="A9461:G9461"/>
    <mergeCell ref="B9462:C9462"/>
    <mergeCell ref="B9463:C9463"/>
    <mergeCell ref="B9464:C9464"/>
    <mergeCell ref="B9465:C9465"/>
    <mergeCell ref="B9466:C9466"/>
    <mergeCell ref="B9467:C9467"/>
    <mergeCell ref="B9468:C9468"/>
    <mergeCell ref="A9469:F9469"/>
    <mergeCell ref="B9324:C9324"/>
    <mergeCell ref="B9325:C9325"/>
    <mergeCell ref="A9471:G9471"/>
    <mergeCell ref="B9327:C9327"/>
    <mergeCell ref="B9328:C9328"/>
    <mergeCell ref="A9329:F9329"/>
    <mergeCell ref="A9331:G9331"/>
    <mergeCell ref="B9332:C9332"/>
    <mergeCell ref="A9346:F9346"/>
    <mergeCell ref="A9348:G9348"/>
    <mergeCell ref="B9349:C9349"/>
    <mergeCell ref="A9355:F9355"/>
    <mergeCell ref="A9357:F9357"/>
    <mergeCell ref="A9363:F9363"/>
    <mergeCell ref="A9367:F9367"/>
    <mergeCell ref="B9326:C9326"/>
    <mergeCell ref="B5833:C5833"/>
    <mergeCell ref="B5834:C5834"/>
    <mergeCell ref="B5835:C5835"/>
    <mergeCell ref="B5836:C5836"/>
    <mergeCell ref="B5837:C5837"/>
    <mergeCell ref="A5838:F5838"/>
    <mergeCell ref="B8016:C8016"/>
    <mergeCell ref="B8017:C8017"/>
    <mergeCell ref="A5840:G5840"/>
    <mergeCell ref="B7747:C7747"/>
    <mergeCell ref="A7752:F7752"/>
    <mergeCell ref="A7754:G7754"/>
    <mergeCell ref="B5841:C5841"/>
    <mergeCell ref="A5818:F5818"/>
    <mergeCell ref="A5820:G5820"/>
    <mergeCell ref="A5828:F5828"/>
    <mergeCell ref="A5830:G5830"/>
    <mergeCell ref="B5831:C5831"/>
    <mergeCell ref="B5905:C5905"/>
    <mergeCell ref="B5906:C5906"/>
    <mergeCell ref="B5907:C5907"/>
    <mergeCell ref="A5908:F5908"/>
    <mergeCell ref="A5910:G5910"/>
    <mergeCell ref="A5866:F5866"/>
    <mergeCell ref="A5872:F5872"/>
    <mergeCell ref="B6016:C6016"/>
    <mergeCell ref="B6017:C6017"/>
    <mergeCell ref="A6018:G6018"/>
    <mergeCell ref="B6019:C6019"/>
    <mergeCell ref="A6026:F6026"/>
    <mergeCell ref="A6028:G6028"/>
    <mergeCell ref="A6036:F6036"/>
    <mergeCell ref="A8287:G8287"/>
    <mergeCell ref="B8288:C8288"/>
    <mergeCell ref="B8289:C8289"/>
    <mergeCell ref="A7771:G7771"/>
    <mergeCell ref="A5696:G5696"/>
    <mergeCell ref="B5697:C5697"/>
    <mergeCell ref="B5698:C5698"/>
    <mergeCell ref="A5732:F5732"/>
    <mergeCell ref="A8263:F8263"/>
    <mergeCell ref="A8267:F8267"/>
    <mergeCell ref="B8228:C8228"/>
    <mergeCell ref="B8062:C8062"/>
    <mergeCell ref="B8063:C8063"/>
    <mergeCell ref="A8064:G8064"/>
    <mergeCell ref="B8065:C8065"/>
    <mergeCell ref="A5738:F5738"/>
    <mergeCell ref="B7725:C7725"/>
    <mergeCell ref="A7726:G7726"/>
    <mergeCell ref="A7734:G7734"/>
    <mergeCell ref="A5876:F5876"/>
    <mergeCell ref="B5878:C5878"/>
    <mergeCell ref="B5879:C5879"/>
    <mergeCell ref="A5880:G5880"/>
    <mergeCell ref="B5881:C5881"/>
    <mergeCell ref="A5888:F5888"/>
    <mergeCell ref="A5890:G5890"/>
    <mergeCell ref="B8018:C8018"/>
    <mergeCell ref="A5742:F5742"/>
    <mergeCell ref="B7724:C7724"/>
    <mergeCell ref="B7772:C7772"/>
    <mergeCell ref="A7780:F7780"/>
    <mergeCell ref="A7786:F7786"/>
    <mergeCell ref="B5858:C5858"/>
    <mergeCell ref="A5864:F5864"/>
    <mergeCell ref="B7333:C7333"/>
    <mergeCell ref="B7334:C7334"/>
    <mergeCell ref="K8075:L8075"/>
    <mergeCell ref="A8082:F8082"/>
    <mergeCell ref="A8084:G8084"/>
    <mergeCell ref="B8085:C8085"/>
    <mergeCell ref="B8086:C8086"/>
    <mergeCell ref="A5130:F5130"/>
    <mergeCell ref="B8269:C8269"/>
    <mergeCell ref="B8270:C8270"/>
    <mergeCell ref="A8271:G8271"/>
    <mergeCell ref="B8272:C8272"/>
    <mergeCell ref="A8275:F8275"/>
    <mergeCell ref="A8277:G8277"/>
    <mergeCell ref="A8285:F8285"/>
    <mergeCell ref="B5677:C5677"/>
    <mergeCell ref="A7742:F7742"/>
    <mergeCell ref="A7744:G7744"/>
    <mergeCell ref="B7745:C7745"/>
    <mergeCell ref="B7746:C7746"/>
    <mergeCell ref="B7748:C7748"/>
    <mergeCell ref="B7749:C7749"/>
    <mergeCell ref="B7750:C7750"/>
    <mergeCell ref="B7751:C7751"/>
    <mergeCell ref="A5704:F5704"/>
    <mergeCell ref="B5633:C5633"/>
    <mergeCell ref="A5612:G5612"/>
    <mergeCell ref="B5613:C5613"/>
    <mergeCell ref="A5617:F5617"/>
    <mergeCell ref="B7727:C7727"/>
    <mergeCell ref="B8090:C8090"/>
    <mergeCell ref="B8091:C8091"/>
    <mergeCell ref="A8092:F8092"/>
    <mergeCell ref="A8094:G8094"/>
    <mergeCell ref="B8095:C8095"/>
    <mergeCell ref="A8109:F8109"/>
    <mergeCell ref="A8111:G8111"/>
    <mergeCell ref="B7338:C7338"/>
    <mergeCell ref="B7339:C7339"/>
    <mergeCell ref="A7340:F7340"/>
    <mergeCell ref="A7342:G7342"/>
    <mergeCell ref="B7343:C7343"/>
    <mergeCell ref="A7357:F7357"/>
    <mergeCell ref="A7359:G7359"/>
    <mergeCell ref="B7360:C7360"/>
    <mergeCell ref="A7366:F7366"/>
    <mergeCell ref="A7368:F7368"/>
    <mergeCell ref="A7374:F7374"/>
    <mergeCell ref="A7378:F7378"/>
    <mergeCell ref="B7380:C7380"/>
    <mergeCell ref="B7381:C7381"/>
    <mergeCell ref="A7382:G7382"/>
    <mergeCell ref="B8087:C8087"/>
    <mergeCell ref="A7732:F7732"/>
    <mergeCell ref="B7792:C7792"/>
    <mergeCell ref="B7793:C7793"/>
    <mergeCell ref="A7794:G7794"/>
    <mergeCell ref="B7795:C7795"/>
    <mergeCell ref="A7800:F7800"/>
    <mergeCell ref="A7802:G7802"/>
    <mergeCell ref="A7810:F7810"/>
    <mergeCell ref="A7812:G7812"/>
    <mergeCell ref="B5064:C5064"/>
    <mergeCell ref="B5065:C5065"/>
    <mergeCell ref="A5066:G5066"/>
    <mergeCell ref="B5067:C5067"/>
    <mergeCell ref="A5072:F5072"/>
    <mergeCell ref="A5074:G5074"/>
    <mergeCell ref="A5082:F5082"/>
    <mergeCell ref="A5084:G5084"/>
    <mergeCell ref="B5085:C5085"/>
    <mergeCell ref="B5086:C5086"/>
    <mergeCell ref="B5087:C5087"/>
    <mergeCell ref="B5088:C5088"/>
    <mergeCell ref="B5089:C5089"/>
    <mergeCell ref="B5495:C5495"/>
    <mergeCell ref="B5522:C5522"/>
    <mergeCell ref="A5855:F5855"/>
    <mergeCell ref="A5857:G5857"/>
    <mergeCell ref="B5498:C5498"/>
    <mergeCell ref="B5472:C5472"/>
    <mergeCell ref="B5473:C5473"/>
    <mergeCell ref="A5474:G5474"/>
    <mergeCell ref="B5475:C5475"/>
    <mergeCell ref="B5090:C5090"/>
    <mergeCell ref="B5091:C5091"/>
    <mergeCell ref="A5092:F5092"/>
    <mergeCell ref="A5706:G5706"/>
    <mergeCell ref="B5707:C5707"/>
    <mergeCell ref="A5721:F5721"/>
    <mergeCell ref="A5723:G5723"/>
    <mergeCell ref="B5724:C5724"/>
    <mergeCell ref="A5730:F5730"/>
    <mergeCell ref="B5832:C5832"/>
    <mergeCell ref="A12708:F12708"/>
    <mergeCell ref="A12714:F12714"/>
    <mergeCell ref="A12718:F12718"/>
    <mergeCell ref="B12720:C12720"/>
    <mergeCell ref="B12721:C12721"/>
    <mergeCell ref="B12647:C12647"/>
    <mergeCell ref="B12648:C12648"/>
    <mergeCell ref="A12649:G12649"/>
    <mergeCell ref="A11575:F11575"/>
    <mergeCell ref="A11577:G11577"/>
    <mergeCell ref="A11586:F11586"/>
    <mergeCell ref="B11443:C11443"/>
    <mergeCell ref="B11444:C11444"/>
    <mergeCell ref="A8130:F8130"/>
    <mergeCell ref="A10059:G10059"/>
    <mergeCell ref="B8089:C8089"/>
    <mergeCell ref="B11659:C11659"/>
    <mergeCell ref="B11660:C11660"/>
    <mergeCell ref="A11661:F11661"/>
    <mergeCell ref="A11663:G11663"/>
    <mergeCell ref="B11664:C11664"/>
    <mergeCell ref="A11678:F11678"/>
    <mergeCell ref="A11680:G11680"/>
    <mergeCell ref="B11681:C11681"/>
    <mergeCell ref="A11684:F11684"/>
    <mergeCell ref="A11686:F11686"/>
    <mergeCell ref="A11692:F11692"/>
    <mergeCell ref="A11696:F11696"/>
    <mergeCell ref="B10010:C10010"/>
    <mergeCell ref="B10011:C10011"/>
    <mergeCell ref="A10012:G10012"/>
    <mergeCell ref="A12672:G12672"/>
    <mergeCell ref="A10208:F10208"/>
    <mergeCell ref="A10214:F10214"/>
    <mergeCell ref="A10218:F10218"/>
    <mergeCell ref="B10220:C10220"/>
    <mergeCell ref="B10221:C10221"/>
    <mergeCell ref="A10222:G10222"/>
    <mergeCell ref="B10223:C10223"/>
    <mergeCell ref="A10226:F10226"/>
    <mergeCell ref="A10228:G10228"/>
    <mergeCell ref="A10236:F10236"/>
    <mergeCell ref="A10238:G10238"/>
    <mergeCell ref="B10239:C10239"/>
    <mergeCell ref="B10240:C10240"/>
    <mergeCell ref="B10241:C10241"/>
    <mergeCell ref="B10242:C10242"/>
    <mergeCell ref="B10243:C10243"/>
    <mergeCell ref="B10244:C10244"/>
    <mergeCell ref="B10245:C10245"/>
    <mergeCell ref="A10246:F10246"/>
    <mergeCell ref="A10248:G10248"/>
    <mergeCell ref="B10249:C10249"/>
    <mergeCell ref="A10263:F10263"/>
    <mergeCell ref="A10265:G10265"/>
    <mergeCell ref="B11400:C11400"/>
    <mergeCell ref="B11401:C11401"/>
    <mergeCell ref="A11502:F11502"/>
    <mergeCell ref="A11506:F11506"/>
    <mergeCell ref="B11490:C11490"/>
    <mergeCell ref="A11494:F11494"/>
    <mergeCell ref="B11880:C11880"/>
    <mergeCell ref="A11884:F11884"/>
    <mergeCell ref="B12099:C12099"/>
    <mergeCell ref="B12100:C12100"/>
    <mergeCell ref="A12017:F12017"/>
    <mergeCell ref="B11989:C11989"/>
    <mergeCell ref="B11990:C11990"/>
    <mergeCell ref="A11991:F11991"/>
    <mergeCell ref="A11993:G11993"/>
    <mergeCell ref="B11994:C11994"/>
    <mergeCell ref="A12008:F12008"/>
    <mergeCell ref="A12010:G12010"/>
    <mergeCell ref="B12011:C12011"/>
    <mergeCell ref="B10429:C10429"/>
    <mergeCell ref="B10430:C10430"/>
    <mergeCell ref="B11381:C11381"/>
    <mergeCell ref="B11447:C11447"/>
    <mergeCell ref="B11512:C11512"/>
    <mergeCell ref="B10431:C10431"/>
    <mergeCell ref="B10432:C10432"/>
    <mergeCell ref="B10036:C10036"/>
    <mergeCell ref="B10037:C10037"/>
    <mergeCell ref="B10038:C10038"/>
    <mergeCell ref="B10039:C10039"/>
    <mergeCell ref="A10040:F10040"/>
    <mergeCell ref="A10042:G10042"/>
    <mergeCell ref="B10043:C10043"/>
    <mergeCell ref="A10057:F10057"/>
    <mergeCell ref="A10129:G10129"/>
    <mergeCell ref="B10130:C10130"/>
    <mergeCell ref="A10136:F10136"/>
    <mergeCell ref="A10138:F10138"/>
    <mergeCell ref="A10144:F10144"/>
    <mergeCell ref="A10148:F10148"/>
    <mergeCell ref="B10150:C10150"/>
    <mergeCell ref="B10151:C10151"/>
    <mergeCell ref="A10152:G10152"/>
    <mergeCell ref="A10112:G10112"/>
    <mergeCell ref="B10113:C10113"/>
    <mergeCell ref="A10127:F10127"/>
    <mergeCell ref="B10103:C10103"/>
    <mergeCell ref="B10104:C10104"/>
    <mergeCell ref="B10105:C10105"/>
    <mergeCell ref="B10106:C10106"/>
    <mergeCell ref="B10107:C10107"/>
    <mergeCell ref="B10108:C10108"/>
    <mergeCell ref="B10177:C10177"/>
    <mergeCell ref="B10178:C10178"/>
    <mergeCell ref="B13154:C13154"/>
    <mergeCell ref="B13155:C13155"/>
    <mergeCell ref="A13156:G13156"/>
    <mergeCell ref="B13157:C13157"/>
    <mergeCell ref="A13172:F13172"/>
    <mergeCell ref="A13174:G13174"/>
    <mergeCell ref="A13182:F13182"/>
    <mergeCell ref="A13184:G13184"/>
    <mergeCell ref="B13185:C13185"/>
    <mergeCell ref="B13186:C13186"/>
    <mergeCell ref="B13187:C13187"/>
    <mergeCell ref="B13188:C13188"/>
    <mergeCell ref="B13189:C13189"/>
    <mergeCell ref="B10266:C10266"/>
    <mergeCell ref="A10272:F10272"/>
    <mergeCell ref="A10274:F10274"/>
    <mergeCell ref="A10280:F10280"/>
    <mergeCell ref="A10284:F10284"/>
    <mergeCell ref="B11810:C11810"/>
    <mergeCell ref="A11813:F11813"/>
    <mergeCell ref="A11815:F11815"/>
    <mergeCell ref="A11821:F11821"/>
    <mergeCell ref="A11825:F11825"/>
    <mergeCell ref="B10365:C10365"/>
    <mergeCell ref="A13118:F13118"/>
    <mergeCell ref="A13120:G13120"/>
    <mergeCell ref="B13121:C13121"/>
    <mergeCell ref="A13135:F13135"/>
    <mergeCell ref="A13137:G13137"/>
    <mergeCell ref="B13138:C13138"/>
    <mergeCell ref="B12120:C12120"/>
    <mergeCell ref="A12097:F12097"/>
    <mergeCell ref="A23231:G23231"/>
    <mergeCell ref="B23232:C23232"/>
    <mergeCell ref="A23240:F23240"/>
    <mergeCell ref="A23242:G23242"/>
    <mergeCell ref="A23250:F23250"/>
    <mergeCell ref="A23252:G23252"/>
    <mergeCell ref="B23229:C23229"/>
    <mergeCell ref="B23230:C23230"/>
    <mergeCell ref="A13226:F13226"/>
    <mergeCell ref="B21737:C21737"/>
    <mergeCell ref="A21787:F21787"/>
    <mergeCell ref="A21789:G21789"/>
    <mergeCell ref="B21790:C21790"/>
    <mergeCell ref="A21796:F21796"/>
    <mergeCell ref="A21798:F21798"/>
    <mergeCell ref="A21804:F21804"/>
    <mergeCell ref="A21808:F21808"/>
    <mergeCell ref="B21738:C21738"/>
    <mergeCell ref="A21739:G21739"/>
    <mergeCell ref="B21740:C21740"/>
    <mergeCell ref="A21750:F21750"/>
    <mergeCell ref="A22374:F22374"/>
    <mergeCell ref="A22378:F22378"/>
    <mergeCell ref="B22380:C22380"/>
    <mergeCell ref="B22381:C22381"/>
    <mergeCell ref="A23018:F23018"/>
    <mergeCell ref="A22961:G22961"/>
    <mergeCell ref="A22969:F22969"/>
    <mergeCell ref="A22971:G22971"/>
    <mergeCell ref="B22972:C22972"/>
    <mergeCell ref="B22973:C22973"/>
    <mergeCell ref="B22974:C22974"/>
    <mergeCell ref="A23280:G23280"/>
    <mergeCell ref="B23281:C23281"/>
    <mergeCell ref="A23287:F23287"/>
    <mergeCell ref="A23289:F23289"/>
    <mergeCell ref="A23295:F23295"/>
    <mergeCell ref="A23299:F23299"/>
    <mergeCell ref="B23259:C23259"/>
    <mergeCell ref="B23260:C23260"/>
    <mergeCell ref="A23261:F23261"/>
    <mergeCell ref="A23263:G23263"/>
    <mergeCell ref="B23264:C23264"/>
    <mergeCell ref="A23278:F23278"/>
    <mergeCell ref="B23253:C23253"/>
    <mergeCell ref="B23254:C23254"/>
    <mergeCell ref="B23255:C23255"/>
    <mergeCell ref="B23256:C23256"/>
    <mergeCell ref="B23257:C23257"/>
    <mergeCell ref="B23258:C23258"/>
    <mergeCell ref="B22975:C22975"/>
    <mergeCell ref="B22976:C22976"/>
    <mergeCell ref="B22977:C22977"/>
    <mergeCell ref="B22978:C22978"/>
    <mergeCell ref="B22979:C22979"/>
    <mergeCell ref="A22980:F22980"/>
    <mergeCell ref="A22982:G22982"/>
    <mergeCell ref="B22983:C22983"/>
    <mergeCell ref="A22997:F22997"/>
    <mergeCell ref="A22999:G22999"/>
    <mergeCell ref="B23000:C23000"/>
    <mergeCell ref="A23142:G23142"/>
    <mergeCell ref="A23306:F23306"/>
    <mergeCell ref="A23308:G23308"/>
    <mergeCell ref="A23316:F23316"/>
    <mergeCell ref="A23318:G23318"/>
    <mergeCell ref="B23319:C23319"/>
    <mergeCell ref="B23320:C23320"/>
    <mergeCell ref="B23301:C23301"/>
    <mergeCell ref="B23302:C23302"/>
    <mergeCell ref="A23303:G23303"/>
    <mergeCell ref="B23304:C23304"/>
    <mergeCell ref="A23355:F23355"/>
    <mergeCell ref="A23361:F23361"/>
    <mergeCell ref="A23365:F23365"/>
    <mergeCell ref="A23328:G23328"/>
    <mergeCell ref="B23329:C23329"/>
    <mergeCell ref="A23343:F23343"/>
    <mergeCell ref="A23345:G23345"/>
    <mergeCell ref="B23346:C23346"/>
    <mergeCell ref="A23353:F23353"/>
    <mergeCell ref="B23321:C23321"/>
    <mergeCell ref="B23322:C23322"/>
    <mergeCell ref="B23323:C23323"/>
    <mergeCell ref="B23324:C23324"/>
    <mergeCell ref="B23325:C23325"/>
    <mergeCell ref="A23326:F23326"/>
    <mergeCell ref="B23368:C23368"/>
    <mergeCell ref="A23369:G23369"/>
    <mergeCell ref="B23370:C23370"/>
    <mergeCell ref="A23378:F23378"/>
    <mergeCell ref="A23380:G23380"/>
    <mergeCell ref="A23388:F23388"/>
    <mergeCell ref="B23367:C23367"/>
    <mergeCell ref="A23417:G23417"/>
    <mergeCell ref="B23418:C23418"/>
    <mergeCell ref="A23424:F23424"/>
    <mergeCell ref="A23426:F23426"/>
    <mergeCell ref="A23432:F23432"/>
    <mergeCell ref="A23436:F23436"/>
    <mergeCell ref="B23396:C23396"/>
    <mergeCell ref="B23397:C23397"/>
    <mergeCell ref="A23398:F23398"/>
    <mergeCell ref="A23400:G23400"/>
    <mergeCell ref="B23401:C23401"/>
    <mergeCell ref="A23415:F23415"/>
    <mergeCell ref="A23390:G23390"/>
    <mergeCell ref="B23391:C23391"/>
    <mergeCell ref="B23392:C23392"/>
    <mergeCell ref="B23393:C23393"/>
    <mergeCell ref="B23394:C23394"/>
    <mergeCell ref="B23395:C23395"/>
    <mergeCell ref="B23466:C23466"/>
    <mergeCell ref="B23467:C23467"/>
    <mergeCell ref="B23468:C23468"/>
    <mergeCell ref="A23469:F23469"/>
    <mergeCell ref="A23471:G23471"/>
    <mergeCell ref="B23472:C23472"/>
    <mergeCell ref="A23459:F23459"/>
    <mergeCell ref="A23461:G23461"/>
    <mergeCell ref="B23462:C23462"/>
    <mergeCell ref="B23463:C23463"/>
    <mergeCell ref="B23464:C23464"/>
    <mergeCell ref="B23465:C23465"/>
    <mergeCell ref="B23438:C23438"/>
    <mergeCell ref="B23439:C23439"/>
    <mergeCell ref="A23440:G23440"/>
    <mergeCell ref="B23441:C23441"/>
    <mergeCell ref="A23449:F23449"/>
    <mergeCell ref="A23451:G23451"/>
    <mergeCell ref="A23525:G23525"/>
    <mergeCell ref="A23533:F23533"/>
    <mergeCell ref="A23535:G23535"/>
    <mergeCell ref="B23536:C23536"/>
    <mergeCell ref="B23537:C23537"/>
    <mergeCell ref="B23538:C23538"/>
    <mergeCell ref="A23507:F23507"/>
    <mergeCell ref="B23509:C23509"/>
    <mergeCell ref="B23510:C23510"/>
    <mergeCell ref="A23511:G23511"/>
    <mergeCell ref="B23512:C23512"/>
    <mergeCell ref="A23523:F23523"/>
    <mergeCell ref="A23486:F23486"/>
    <mergeCell ref="A23488:G23488"/>
    <mergeCell ref="B23489:C23489"/>
    <mergeCell ref="A23495:F23495"/>
    <mergeCell ref="A23497:F23497"/>
    <mergeCell ref="A23503:F23503"/>
    <mergeCell ref="B23515:C23515"/>
    <mergeCell ref="A23577:F23577"/>
    <mergeCell ref="A23581:F23581"/>
    <mergeCell ref="B23583:C23583"/>
    <mergeCell ref="B23584:C23584"/>
    <mergeCell ref="A23585:G23585"/>
    <mergeCell ref="B23586:C23586"/>
    <mergeCell ref="B23546:C23546"/>
    <mergeCell ref="A23560:F23560"/>
    <mergeCell ref="A23562:G23562"/>
    <mergeCell ref="B23563:C23563"/>
    <mergeCell ref="A23569:F23569"/>
    <mergeCell ref="A23571:F23571"/>
    <mergeCell ref="B23539:C23539"/>
    <mergeCell ref="B23540:C23540"/>
    <mergeCell ref="B23541:C23541"/>
    <mergeCell ref="B23542:C23542"/>
    <mergeCell ref="A23543:F23543"/>
    <mergeCell ref="A23545:G23545"/>
    <mergeCell ref="B23657:C23657"/>
    <mergeCell ref="B23658:C23658"/>
    <mergeCell ref="A23659:G23659"/>
    <mergeCell ref="A23622:G23622"/>
    <mergeCell ref="B23623:C23623"/>
    <mergeCell ref="A23637:F23637"/>
    <mergeCell ref="A23639:G23639"/>
    <mergeCell ref="B23640:C23640"/>
    <mergeCell ref="A23643:F23643"/>
    <mergeCell ref="B23615:C23615"/>
    <mergeCell ref="B23616:C23616"/>
    <mergeCell ref="B23617:C23617"/>
    <mergeCell ref="B23618:C23618"/>
    <mergeCell ref="B23619:C23619"/>
    <mergeCell ref="A23620:F23620"/>
    <mergeCell ref="A23600:F23600"/>
    <mergeCell ref="A23602:G23602"/>
    <mergeCell ref="A23610:F23610"/>
    <mergeCell ref="A23612:G23612"/>
    <mergeCell ref="B23613:C23613"/>
    <mergeCell ref="B23614:C23614"/>
    <mergeCell ref="A23710:F23710"/>
    <mergeCell ref="A23712:F23712"/>
    <mergeCell ref="A23718:F23718"/>
    <mergeCell ref="A23722:F23722"/>
    <mergeCell ref="A23684:F23684"/>
    <mergeCell ref="A23686:G23686"/>
    <mergeCell ref="B23687:C23687"/>
    <mergeCell ref="A23701:F23701"/>
    <mergeCell ref="A23703:G23703"/>
    <mergeCell ref="B23704:C23704"/>
    <mergeCell ref="B23678:C23678"/>
    <mergeCell ref="B23679:C23679"/>
    <mergeCell ref="B23680:C23680"/>
    <mergeCell ref="B11069:C11069"/>
    <mergeCell ref="B11070:C11070"/>
    <mergeCell ref="A11071:F11071"/>
    <mergeCell ref="A11073:G11073"/>
    <mergeCell ref="B11074:C11074"/>
    <mergeCell ref="B23681:C23681"/>
    <mergeCell ref="B23682:C23682"/>
    <mergeCell ref="B23683:C23683"/>
    <mergeCell ref="B23660:C23660"/>
    <mergeCell ref="A23664:F23664"/>
    <mergeCell ref="A23666:G23666"/>
    <mergeCell ref="A23674:F23674"/>
    <mergeCell ref="A23676:G23676"/>
    <mergeCell ref="A11088:F11088"/>
    <mergeCell ref="A11090:G11090"/>
    <mergeCell ref="B23677:C23677"/>
    <mergeCell ref="A23645:F23645"/>
    <mergeCell ref="A23651:F23651"/>
    <mergeCell ref="A23655:F23655"/>
    <mergeCell ref="B21773:C21773"/>
    <mergeCell ref="B11658:C11658"/>
    <mergeCell ref="B487:C487"/>
    <mergeCell ref="B488:C488"/>
    <mergeCell ref="A489:G489"/>
    <mergeCell ref="B490:C490"/>
    <mergeCell ref="A506:F506"/>
    <mergeCell ref="A508:G508"/>
    <mergeCell ref="A516:F516"/>
    <mergeCell ref="A518:G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A527:F527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21523:C21523"/>
    <mergeCell ref="B21524:C21524"/>
    <mergeCell ref="A21525:G21525"/>
    <mergeCell ref="B21526:C21526"/>
    <mergeCell ref="A21535:F21535"/>
    <mergeCell ref="A21537:G21537"/>
    <mergeCell ref="A21545:F21545"/>
    <mergeCell ref="A21547:G21547"/>
    <mergeCell ref="B21548:C21548"/>
    <mergeCell ref="B21549:C21549"/>
    <mergeCell ref="B21550:C21550"/>
    <mergeCell ref="B21551:C21551"/>
    <mergeCell ref="B21552:C21552"/>
    <mergeCell ref="B21553:C21553"/>
    <mergeCell ref="B21554:C21554"/>
    <mergeCell ref="B12865:C12865"/>
    <mergeCell ref="B15370:C15370"/>
    <mergeCell ref="B13514:C13514"/>
    <mergeCell ref="B13515:C13515"/>
    <mergeCell ref="A13516:G13516"/>
    <mergeCell ref="B13517:C13517"/>
    <mergeCell ref="B13518:C13518"/>
    <mergeCell ref="A13525:F13525"/>
    <mergeCell ref="A13527:G13527"/>
    <mergeCell ref="A13535:F13535"/>
    <mergeCell ref="A13537:G13537"/>
    <mergeCell ref="B13538:C13538"/>
    <mergeCell ref="B13539:C13539"/>
    <mergeCell ref="B13540:C13540"/>
    <mergeCell ref="B13541:C13541"/>
    <mergeCell ref="B15397:C15397"/>
    <mergeCell ref="A15398:F15398"/>
    <mergeCell ref="B12869:C12869"/>
    <mergeCell ref="A12876:F12876"/>
    <mergeCell ref="B12894:C12894"/>
    <mergeCell ref="A12878:G12878"/>
    <mergeCell ref="B12889:C12889"/>
    <mergeCell ref="B12890:C12890"/>
    <mergeCell ref="B13371:C13371"/>
    <mergeCell ref="B13548:C13548"/>
    <mergeCell ref="A13562:F13562"/>
    <mergeCell ref="A13564:G13564"/>
    <mergeCell ref="B13565:C13565"/>
    <mergeCell ref="B13190:C13190"/>
    <mergeCell ref="B13191:C13191"/>
    <mergeCell ref="A13192:F13192"/>
    <mergeCell ref="A13194:G13194"/>
    <mergeCell ref="B13195:C13195"/>
    <mergeCell ref="A13209:F13209"/>
    <mergeCell ref="A13211:G13211"/>
    <mergeCell ref="B13212:C13212"/>
    <mergeCell ref="A13214:F13214"/>
    <mergeCell ref="A13216:F13216"/>
    <mergeCell ref="A13222:F13222"/>
    <mergeCell ref="A13140:F13140"/>
    <mergeCell ref="A13142:F13142"/>
    <mergeCell ref="A13148:F13148"/>
    <mergeCell ref="A13152:F13152"/>
    <mergeCell ref="A12886:F12886"/>
    <mergeCell ref="A12888:G12888"/>
    <mergeCell ref="B12895:C12895"/>
    <mergeCell ref="A12897:F12897"/>
    <mergeCell ref="A12899:G12899"/>
    <mergeCell ref="B12900:C12900"/>
    <mergeCell ref="B21406:C21406"/>
    <mergeCell ref="B17823:C17823"/>
    <mergeCell ref="B17824:C17824"/>
    <mergeCell ref="A17825:G17825"/>
    <mergeCell ref="B17826:C17826"/>
    <mergeCell ref="A17835:F17835"/>
    <mergeCell ref="A17837:G17837"/>
    <mergeCell ref="A17846:F17846"/>
    <mergeCell ref="A17848:G17848"/>
    <mergeCell ref="B17849:C17849"/>
    <mergeCell ref="B17850:C17850"/>
    <mergeCell ref="B17851:C17851"/>
    <mergeCell ref="B17852:C17852"/>
    <mergeCell ref="B17853:C17853"/>
    <mergeCell ref="B17854:C17854"/>
    <mergeCell ref="B17855:C17855"/>
    <mergeCell ref="A13583:F13583"/>
    <mergeCell ref="B17859:C17859"/>
    <mergeCell ref="A17873:F17873"/>
    <mergeCell ref="A17875:G17875"/>
    <mergeCell ref="B16416:C16416"/>
    <mergeCell ref="A16419:F16419"/>
    <mergeCell ref="B16120:C16120"/>
    <mergeCell ref="A15181:F15181"/>
    <mergeCell ref="B15350:C15350"/>
    <mergeCell ref="A15349:G15349"/>
    <mergeCell ref="B21020:C21020"/>
    <mergeCell ref="B21021:C21021"/>
    <mergeCell ref="A21022:G21022"/>
    <mergeCell ref="A16280:G16280"/>
    <mergeCell ref="A19658:F19658"/>
    <mergeCell ref="A18112:G18112"/>
    <mergeCell ref="B9581:C9581"/>
    <mergeCell ref="B9582:C9582"/>
    <mergeCell ref="A9583:G9583"/>
    <mergeCell ref="B9584:C9584"/>
    <mergeCell ref="A9593:F9593"/>
    <mergeCell ref="A9595:G9595"/>
    <mergeCell ref="A9603:F9603"/>
    <mergeCell ref="A9605:G9605"/>
    <mergeCell ref="B9606:C9606"/>
    <mergeCell ref="B9607:C9607"/>
    <mergeCell ref="B9608:C9608"/>
    <mergeCell ref="B9609:C9609"/>
    <mergeCell ref="B9610:C9610"/>
    <mergeCell ref="B9611:C9611"/>
    <mergeCell ref="B9612:C9612"/>
    <mergeCell ref="A9613:F9613"/>
    <mergeCell ref="A9615:G9615"/>
    <mergeCell ref="B21558:C21558"/>
    <mergeCell ref="A21572:F21572"/>
    <mergeCell ref="B13542:C13542"/>
    <mergeCell ref="B13543:C13543"/>
    <mergeCell ref="B13544:C13544"/>
    <mergeCell ref="A13545:F13545"/>
    <mergeCell ref="A13547:G13547"/>
    <mergeCell ref="B18774:C18774"/>
    <mergeCell ref="A18775:F18775"/>
    <mergeCell ref="A18777:G18777"/>
    <mergeCell ref="B18778:C18778"/>
    <mergeCell ref="A18792:F18792"/>
    <mergeCell ref="A18794:G18794"/>
    <mergeCell ref="B18606:C18606"/>
    <mergeCell ref="B9616:C9616"/>
    <mergeCell ref="A21114:F21114"/>
    <mergeCell ref="A21116:G21116"/>
    <mergeCell ref="B21117:C21117"/>
    <mergeCell ref="B21118:C21118"/>
    <mergeCell ref="B21309:C21309"/>
    <mergeCell ref="B21310:C21310"/>
    <mergeCell ref="A21311:G21311"/>
    <mergeCell ref="B20395:C20395"/>
    <mergeCell ref="B21347:C21347"/>
    <mergeCell ref="A21325:G21325"/>
    <mergeCell ref="A21334:F21334"/>
    <mergeCell ref="A21336:G21336"/>
    <mergeCell ref="B21337:C21337"/>
    <mergeCell ref="B21338:C21338"/>
    <mergeCell ref="B21120:C21120"/>
    <mergeCell ref="A13571:F13571"/>
    <mergeCell ref="A13573:F13573"/>
    <mergeCell ref="A21581:F21581"/>
    <mergeCell ref="A21583:F21583"/>
    <mergeCell ref="A21589:F21589"/>
    <mergeCell ref="A21593:F21593"/>
    <mergeCell ref="B21381:C21381"/>
    <mergeCell ref="B21382:C21382"/>
    <mergeCell ref="A21383:G21383"/>
    <mergeCell ref="B21384:C21384"/>
    <mergeCell ref="A21391:F21391"/>
    <mergeCell ref="A21393:G21393"/>
    <mergeCell ref="A21401:F21401"/>
    <mergeCell ref="A9630:F9630"/>
    <mergeCell ref="A9632:G9632"/>
    <mergeCell ref="B9633:C9633"/>
    <mergeCell ref="A9639:F9639"/>
    <mergeCell ref="A9641:F9641"/>
    <mergeCell ref="A9647:F9647"/>
    <mergeCell ref="A9651:F9651"/>
    <mergeCell ref="A15368:F15368"/>
    <mergeCell ref="A15364:F15364"/>
    <mergeCell ref="A15358:F15358"/>
    <mergeCell ref="A15356:F15356"/>
    <mergeCell ref="A20215:F20215"/>
    <mergeCell ref="B20617:C20617"/>
    <mergeCell ref="B20616:C20616"/>
    <mergeCell ref="A21071:G21071"/>
    <mergeCell ref="B21095:C21095"/>
    <mergeCell ref="B21096:C21096"/>
    <mergeCell ref="A21104:F21104"/>
    <mergeCell ref="A21106:G21106"/>
    <mergeCell ref="A21555:F21555"/>
    <mergeCell ref="A21557:G21557"/>
    <mergeCell ref="A21953:G21953"/>
    <mergeCell ref="A21295:F21295"/>
    <mergeCell ref="A21297:F21297"/>
    <mergeCell ref="A21303:F21303"/>
    <mergeCell ref="A21307:F21307"/>
    <mergeCell ref="B21908:C21908"/>
    <mergeCell ref="B21909:C21909"/>
    <mergeCell ref="B21910:C21910"/>
    <mergeCell ref="A21290:G21290"/>
    <mergeCell ref="B21291:C21291"/>
    <mergeCell ref="A21874:F21874"/>
    <mergeCell ref="B21312:C21312"/>
    <mergeCell ref="A21323:F21323"/>
    <mergeCell ref="B21339:C21339"/>
    <mergeCell ref="B21340:C21340"/>
    <mergeCell ref="A21124:F21124"/>
    <mergeCell ref="A21126:G21126"/>
    <mergeCell ref="B21127:C21127"/>
    <mergeCell ref="A21141:F21141"/>
    <mergeCell ref="A21143:G21143"/>
    <mergeCell ref="B21144:C21144"/>
    <mergeCell ref="A21150:F21150"/>
    <mergeCell ref="A21152:F21152"/>
    <mergeCell ref="A21158:F21158"/>
    <mergeCell ref="A21162:F21162"/>
    <mergeCell ref="A21263:G21263"/>
    <mergeCell ref="B21265:C21265"/>
    <mergeCell ref="B21266:C21266"/>
    <mergeCell ref="B21264:C21264"/>
    <mergeCell ref="B21168:C21168"/>
    <mergeCell ref="A21574:G21574"/>
    <mergeCell ref="B21575:C21575"/>
    <mergeCell ref="B22096:C22096"/>
    <mergeCell ref="B22023:C22023"/>
    <mergeCell ref="B22024:C22024"/>
    <mergeCell ref="A22025:G22025"/>
    <mergeCell ref="B22026:C22026"/>
    <mergeCell ref="A22037:F22037"/>
    <mergeCell ref="A22039:G22039"/>
    <mergeCell ref="A22048:F22048"/>
    <mergeCell ref="A22050:G22050"/>
    <mergeCell ref="B22051:C22051"/>
    <mergeCell ref="B22052:C22052"/>
    <mergeCell ref="B22053:C22053"/>
    <mergeCell ref="B22054:C22054"/>
    <mergeCell ref="B22055:C22055"/>
    <mergeCell ref="B22056:C22056"/>
    <mergeCell ref="B22057:C22057"/>
    <mergeCell ref="A22058:F22058"/>
    <mergeCell ref="A22075:F22075"/>
    <mergeCell ref="A22077:G22077"/>
    <mergeCell ref="B22078:C22078"/>
    <mergeCell ref="A22082:F22082"/>
    <mergeCell ref="A22084:F22084"/>
    <mergeCell ref="A22090:F22090"/>
    <mergeCell ref="A22060:G22060"/>
    <mergeCell ref="B22061:C22061"/>
    <mergeCell ref="B18113:C18113"/>
    <mergeCell ref="A18120:F18120"/>
    <mergeCell ref="B18110:C18110"/>
    <mergeCell ref="B18111:C18111"/>
    <mergeCell ref="A18130:F18130"/>
    <mergeCell ref="A18159:G18159"/>
    <mergeCell ref="B22128:C22128"/>
    <mergeCell ref="A22142:F22142"/>
    <mergeCell ref="A22144:G22144"/>
    <mergeCell ref="B22145:C22145"/>
    <mergeCell ref="A22151:F22151"/>
    <mergeCell ref="A22153:F22153"/>
    <mergeCell ref="A22159:F22159"/>
    <mergeCell ref="A22163:F22163"/>
    <mergeCell ref="B22097:C22097"/>
    <mergeCell ref="A22098:G22098"/>
    <mergeCell ref="B22099:C22099"/>
    <mergeCell ref="A22105:F22105"/>
    <mergeCell ref="A22107:G22107"/>
    <mergeCell ref="A22115:F22115"/>
    <mergeCell ref="A22117:G22117"/>
    <mergeCell ref="A18178:F18178"/>
    <mergeCell ref="B22118:C22118"/>
    <mergeCell ref="B22119:C22119"/>
    <mergeCell ref="B22120:C22120"/>
    <mergeCell ref="B22121:C22121"/>
    <mergeCell ref="B22122:C22122"/>
    <mergeCell ref="B22123:C22123"/>
    <mergeCell ref="B22124:C22124"/>
    <mergeCell ref="A22125:F22125"/>
    <mergeCell ref="A22127:G22127"/>
    <mergeCell ref="A22094:F22094"/>
    <mergeCell ref="B2:C2"/>
    <mergeCell ref="A3:G3"/>
    <mergeCell ref="B4:C4"/>
    <mergeCell ref="A6:F6"/>
    <mergeCell ref="A8:G8"/>
    <mergeCell ref="A16:F16"/>
    <mergeCell ref="A18:G18"/>
    <mergeCell ref="B19:C19"/>
    <mergeCell ref="B20:C20"/>
    <mergeCell ref="B21:C21"/>
    <mergeCell ref="B22:C22"/>
    <mergeCell ref="B23:C23"/>
    <mergeCell ref="B24:C24"/>
    <mergeCell ref="B25:C25"/>
    <mergeCell ref="A26:F26"/>
    <mergeCell ref="A28:G28"/>
    <mergeCell ref="B29:C29"/>
    <mergeCell ref="B5:C5"/>
    <mergeCell ref="B165:C165"/>
    <mergeCell ref="A183:F183"/>
    <mergeCell ref="A43:F43"/>
    <mergeCell ref="A45:G45"/>
    <mergeCell ref="B46:C46"/>
    <mergeCell ref="A52:F52"/>
    <mergeCell ref="A54:F54"/>
    <mergeCell ref="A60:F60"/>
    <mergeCell ref="A64:F64"/>
    <mergeCell ref="B66:C66"/>
    <mergeCell ref="B67:C67"/>
    <mergeCell ref="A68:G68"/>
    <mergeCell ref="B69:C69"/>
    <mergeCell ref="A77:F77"/>
    <mergeCell ref="A79:G79"/>
    <mergeCell ref="A87:F87"/>
    <mergeCell ref="A89:G89"/>
    <mergeCell ref="B90:C90"/>
    <mergeCell ref="B91:C91"/>
    <mergeCell ref="A2037:F2037"/>
    <mergeCell ref="A2039:G2039"/>
    <mergeCell ref="B92:C92"/>
    <mergeCell ref="B93:C93"/>
    <mergeCell ref="B94:C94"/>
    <mergeCell ref="B95:C95"/>
    <mergeCell ref="B96:C96"/>
    <mergeCell ref="A97:F97"/>
    <mergeCell ref="A99:G99"/>
    <mergeCell ref="B100:C100"/>
    <mergeCell ref="A114:F114"/>
    <mergeCell ref="A116:G116"/>
    <mergeCell ref="B117:C117"/>
    <mergeCell ref="A123:F123"/>
    <mergeCell ref="A125:F125"/>
    <mergeCell ref="A131:F131"/>
    <mergeCell ref="A135:F135"/>
    <mergeCell ref="B206:C206"/>
    <mergeCell ref="B207:C207"/>
    <mergeCell ref="A146:F146"/>
    <mergeCell ref="A148:G148"/>
    <mergeCell ref="A156:F156"/>
    <mergeCell ref="A158:G158"/>
    <mergeCell ref="B159:C159"/>
    <mergeCell ref="B160:C160"/>
    <mergeCell ref="B161:C161"/>
    <mergeCell ref="A166:F166"/>
    <mergeCell ref="A168:G168"/>
    <mergeCell ref="B169:C169"/>
    <mergeCell ref="B162:C162"/>
    <mergeCell ref="B163:C163"/>
    <mergeCell ref="B164:C164"/>
    <mergeCell ref="B2040:C2040"/>
    <mergeCell ref="A2054:F2054"/>
    <mergeCell ref="A2056:G2056"/>
    <mergeCell ref="B2057:C2057"/>
    <mergeCell ref="B1703:C1703"/>
    <mergeCell ref="A1717:F1717"/>
    <mergeCell ref="A1719:G1719"/>
    <mergeCell ref="B1720:C1720"/>
    <mergeCell ref="A1726:F1726"/>
    <mergeCell ref="A1728:F1728"/>
    <mergeCell ref="A1734:F1734"/>
    <mergeCell ref="A1738:F1738"/>
    <mergeCell ref="A1761:G1761"/>
    <mergeCell ref="B1762:C1762"/>
    <mergeCell ref="A2063:F2063"/>
    <mergeCell ref="A2065:F2065"/>
    <mergeCell ref="A2071:F2071"/>
    <mergeCell ref="B2009:C2009"/>
    <mergeCell ref="B2010:C2010"/>
    <mergeCell ref="A2011:G2011"/>
    <mergeCell ref="B2012:C2012"/>
    <mergeCell ref="A2017:F2017"/>
    <mergeCell ref="A2019:G2019"/>
    <mergeCell ref="A2027:F2027"/>
    <mergeCell ref="A2029:G2029"/>
    <mergeCell ref="B2030:C2030"/>
    <mergeCell ref="B2031:C2031"/>
    <mergeCell ref="B2032:C2032"/>
    <mergeCell ref="B2033:C2033"/>
    <mergeCell ref="B2034:C2034"/>
    <mergeCell ref="B2035:C2035"/>
    <mergeCell ref="B2036:C2036"/>
    <mergeCell ref="A2075:F2075"/>
    <mergeCell ref="B2760:C2760"/>
    <mergeCell ref="B2761:C2761"/>
    <mergeCell ref="A2762:G2762"/>
    <mergeCell ref="B2763:C2763"/>
    <mergeCell ref="A2766:F2766"/>
    <mergeCell ref="A8229:F8229"/>
    <mergeCell ref="A8231:G8231"/>
    <mergeCell ref="B8232:C8232"/>
    <mergeCell ref="A8246:F8246"/>
    <mergeCell ref="A8248:G8248"/>
    <mergeCell ref="B8249:C8249"/>
    <mergeCell ref="B7242:C7242"/>
    <mergeCell ref="B7243:C7243"/>
    <mergeCell ref="A7244:G7244"/>
    <mergeCell ref="B7245:C7245"/>
    <mergeCell ref="A7251:F7251"/>
    <mergeCell ref="A7253:G7253"/>
    <mergeCell ref="A7261:F7261"/>
    <mergeCell ref="A7263:G7263"/>
    <mergeCell ref="B7264:C7264"/>
    <mergeCell ref="B7265:C7265"/>
    <mergeCell ref="B7266:C7266"/>
    <mergeCell ref="A7309:F7309"/>
    <mergeCell ref="B7311:C7311"/>
    <mergeCell ref="B7312:C7312"/>
    <mergeCell ref="A7313:G7313"/>
    <mergeCell ref="B7314:C7314"/>
    <mergeCell ref="A7320:F7320"/>
    <mergeCell ref="A7322:G7322"/>
    <mergeCell ref="A7330:F7330"/>
    <mergeCell ref="A7332:G7332"/>
    <mergeCell ref="B1671:C1671"/>
    <mergeCell ref="B1672:C1672"/>
    <mergeCell ref="A1673:G1673"/>
    <mergeCell ref="B1674:C1674"/>
    <mergeCell ref="A1680:F1680"/>
    <mergeCell ref="A1682:G1682"/>
    <mergeCell ref="A1690:F1690"/>
    <mergeCell ref="A1692:G1692"/>
    <mergeCell ref="B1693:C1693"/>
    <mergeCell ref="B1694:C1694"/>
    <mergeCell ref="B1695:C1695"/>
    <mergeCell ref="B1696:C1696"/>
    <mergeCell ref="B1697:C1697"/>
    <mergeCell ref="B1698:C1698"/>
    <mergeCell ref="B1699:C1699"/>
    <mergeCell ref="A1700:F1700"/>
    <mergeCell ref="A1702:G1702"/>
    <mergeCell ref="B7404:C7404"/>
    <mergeCell ref="B7405:C7405"/>
    <mergeCell ref="B7406:C7406"/>
    <mergeCell ref="B7407:C7407"/>
    <mergeCell ref="B7408:C7408"/>
    <mergeCell ref="A7409:F7409"/>
    <mergeCell ref="A7411:G7411"/>
    <mergeCell ref="B7412:C7412"/>
    <mergeCell ref="A7426:F7426"/>
    <mergeCell ref="A7428:G7428"/>
    <mergeCell ref="B7429:C7429"/>
    <mergeCell ref="A7435:F7435"/>
    <mergeCell ref="A7437:F7437"/>
    <mergeCell ref="A7443:F7443"/>
    <mergeCell ref="A7447:F7447"/>
    <mergeCell ref="B7449:C7449"/>
    <mergeCell ref="B7450:C7450"/>
    <mergeCell ref="B7678:C7678"/>
    <mergeCell ref="B7679:C7679"/>
    <mergeCell ref="B7680:C7680"/>
    <mergeCell ref="A7451:G7451"/>
    <mergeCell ref="B7452:C7452"/>
    <mergeCell ref="A7456:F7456"/>
    <mergeCell ref="A7458:G7458"/>
    <mergeCell ref="A7466:F7466"/>
    <mergeCell ref="A7468:G7468"/>
    <mergeCell ref="B7469:C7469"/>
    <mergeCell ref="B7470:C7470"/>
    <mergeCell ref="B7471:C7471"/>
    <mergeCell ref="B7472:C7472"/>
    <mergeCell ref="B7473:C7473"/>
    <mergeCell ref="B7474:C7474"/>
    <mergeCell ref="B7475:C7475"/>
    <mergeCell ref="A7476:F7476"/>
    <mergeCell ref="A7478:G7478"/>
    <mergeCell ref="B7479:C7479"/>
    <mergeCell ref="A7493:F7493"/>
    <mergeCell ref="B7612:C7612"/>
    <mergeCell ref="B7613:C7613"/>
    <mergeCell ref="A7614:F7614"/>
    <mergeCell ref="A7616:G7616"/>
    <mergeCell ref="B7617:C7617"/>
    <mergeCell ref="A7631:F7631"/>
    <mergeCell ref="A7633:G7633"/>
    <mergeCell ref="B7634:C7634"/>
    <mergeCell ref="A7640:F7640"/>
    <mergeCell ref="A7642:F7642"/>
    <mergeCell ref="A7648:F7648"/>
    <mergeCell ref="A7652:F7652"/>
    <mergeCell ref="B7654:C7654"/>
    <mergeCell ref="B7655:C7655"/>
    <mergeCell ref="A7656:G7656"/>
    <mergeCell ref="B7657:C7657"/>
    <mergeCell ref="A7664:F7664"/>
    <mergeCell ref="B7041:C7041"/>
    <mergeCell ref="A7046:F7046"/>
    <mergeCell ref="A7048:G7048"/>
    <mergeCell ref="B7681:C7681"/>
    <mergeCell ref="B7682:C7682"/>
    <mergeCell ref="B7683:C7683"/>
    <mergeCell ref="A7684:F7684"/>
    <mergeCell ref="A7686:G7686"/>
    <mergeCell ref="A7543:F7543"/>
    <mergeCell ref="A7545:G7545"/>
    <mergeCell ref="B7546:C7546"/>
    <mergeCell ref="A7560:F7560"/>
    <mergeCell ref="A7562:G7562"/>
    <mergeCell ref="B7563:C7563"/>
    <mergeCell ref="A7569:F7569"/>
    <mergeCell ref="A7571:F7571"/>
    <mergeCell ref="A7577:F7577"/>
    <mergeCell ref="A7581:F7581"/>
    <mergeCell ref="A7666:G7666"/>
    <mergeCell ref="A7674:F7674"/>
    <mergeCell ref="A7676:G7676"/>
    <mergeCell ref="B7677:C7677"/>
    <mergeCell ref="A7495:G7495"/>
    <mergeCell ref="B7496:C7496"/>
    <mergeCell ref="A7502:F7502"/>
    <mergeCell ref="A7504:F7504"/>
    <mergeCell ref="A7510:F7510"/>
    <mergeCell ref="A7514:F7514"/>
    <mergeCell ref="B7583:C7583"/>
    <mergeCell ref="B7584:C7584"/>
    <mergeCell ref="A7585:G7585"/>
    <mergeCell ref="B7586:C7586"/>
    <mergeCell ref="B6904:C6904"/>
    <mergeCell ref="A6910:F6910"/>
    <mergeCell ref="A6912:G6912"/>
    <mergeCell ref="A6920:F6920"/>
    <mergeCell ref="A6922:G6922"/>
    <mergeCell ref="B6923:C6923"/>
    <mergeCell ref="B6924:C6924"/>
    <mergeCell ref="B6925:C6925"/>
    <mergeCell ref="B6926:C6926"/>
    <mergeCell ref="B6927:C6927"/>
    <mergeCell ref="B6928:C6928"/>
    <mergeCell ref="B6929:C6929"/>
    <mergeCell ref="A6930:F6930"/>
    <mergeCell ref="A6932:G6932"/>
    <mergeCell ref="B7038:C7038"/>
    <mergeCell ref="B7039:C7039"/>
    <mergeCell ref="A7040:G7040"/>
    <mergeCell ref="A7712:F7712"/>
    <mergeCell ref="A7718:F7718"/>
    <mergeCell ref="A7722:F7722"/>
    <mergeCell ref="B7516:C7516"/>
    <mergeCell ref="B7517:C7517"/>
    <mergeCell ref="A7518:G7518"/>
    <mergeCell ref="B7519:C7519"/>
    <mergeCell ref="A7523:F7523"/>
    <mergeCell ref="A7525:G7525"/>
    <mergeCell ref="A7533:F7533"/>
    <mergeCell ref="A7535:G7535"/>
    <mergeCell ref="B7536:C7536"/>
    <mergeCell ref="B7537:C7537"/>
    <mergeCell ref="B7538:C7538"/>
    <mergeCell ref="B7539:C7539"/>
    <mergeCell ref="B7540:C7540"/>
    <mergeCell ref="B7541:C7541"/>
    <mergeCell ref="B7542:C7542"/>
    <mergeCell ref="B7687:C7687"/>
    <mergeCell ref="A7701:F7701"/>
    <mergeCell ref="A7703:G7703"/>
    <mergeCell ref="A7594:F7594"/>
    <mergeCell ref="A7596:G7596"/>
    <mergeCell ref="A7604:F7604"/>
    <mergeCell ref="A7606:G7606"/>
    <mergeCell ref="B7607:C7607"/>
    <mergeCell ref="B7608:C7608"/>
    <mergeCell ref="B7609:C7609"/>
    <mergeCell ref="B7610:C7610"/>
    <mergeCell ref="B7611:C7611"/>
    <mergeCell ref="B7704:C7704"/>
    <mergeCell ref="A7710:F7710"/>
    <mergeCell ref="A7056:F7056"/>
    <mergeCell ref="A7058:G7058"/>
    <mergeCell ref="B7059:C7059"/>
    <mergeCell ref="B7001:C7001"/>
    <mergeCell ref="A7015:F7015"/>
    <mergeCell ref="A7017:G7017"/>
    <mergeCell ref="B7018:C7018"/>
    <mergeCell ref="A7024:F7024"/>
    <mergeCell ref="A7026:F7026"/>
    <mergeCell ref="A7032:F7032"/>
    <mergeCell ref="A7036:F7036"/>
    <mergeCell ref="B7060:C7060"/>
    <mergeCell ref="B7061:C7061"/>
    <mergeCell ref="B7062:C7062"/>
    <mergeCell ref="B7063:C7063"/>
    <mergeCell ref="B7064:C7064"/>
    <mergeCell ref="A7163:F7163"/>
    <mergeCell ref="B7065:C7065"/>
    <mergeCell ref="A7066:F7066"/>
    <mergeCell ref="A7068:G7068"/>
    <mergeCell ref="B7069:C7069"/>
    <mergeCell ref="A7083:F7083"/>
    <mergeCell ref="A7085:G7085"/>
    <mergeCell ref="B7086:C7086"/>
    <mergeCell ref="A7092:F7092"/>
    <mergeCell ref="A7094:F7094"/>
    <mergeCell ref="A7100:F7100"/>
    <mergeCell ref="A7104:F7104"/>
    <mergeCell ref="B7106:C7106"/>
    <mergeCell ref="B7107:C7107"/>
    <mergeCell ref="A7108:G7108"/>
    <mergeCell ref="B7109:C7109"/>
    <mergeCell ref="A7115:F7115"/>
    <mergeCell ref="A7117:G7117"/>
    <mergeCell ref="A7184:G7184"/>
    <mergeCell ref="A7192:F7192"/>
    <mergeCell ref="A7194:G7194"/>
    <mergeCell ref="B7195:C7195"/>
    <mergeCell ref="B7196:C7196"/>
    <mergeCell ref="B7197:C7197"/>
    <mergeCell ref="B7198:C7198"/>
    <mergeCell ref="B7199:C7199"/>
    <mergeCell ref="B7200:C7200"/>
    <mergeCell ref="B7201:C7201"/>
    <mergeCell ref="A7125:F7125"/>
    <mergeCell ref="A7127:G7127"/>
    <mergeCell ref="B7128:C7128"/>
    <mergeCell ref="B7129:C7129"/>
    <mergeCell ref="B7130:C7130"/>
    <mergeCell ref="B7131:C7131"/>
    <mergeCell ref="B7132:C7132"/>
    <mergeCell ref="B7133:C7133"/>
    <mergeCell ref="B7134:C7134"/>
    <mergeCell ref="A7135:F7135"/>
    <mergeCell ref="A7137:G7137"/>
    <mergeCell ref="B7138:C7138"/>
    <mergeCell ref="A7152:F7152"/>
    <mergeCell ref="A7154:G7154"/>
    <mergeCell ref="B7155:C7155"/>
    <mergeCell ref="A7161:F7161"/>
    <mergeCell ref="A2966:G2966"/>
    <mergeCell ref="B2967:C2967"/>
    <mergeCell ref="A3779:G3779"/>
    <mergeCell ref="B3780:C3780"/>
    <mergeCell ref="A3794:F3794"/>
    <mergeCell ref="A3796:G3796"/>
    <mergeCell ref="B3797:C3797"/>
    <mergeCell ref="A3803:F3803"/>
    <mergeCell ref="A3805:F3805"/>
    <mergeCell ref="A3811:F3811"/>
    <mergeCell ref="A3815:F3815"/>
    <mergeCell ref="B3532:C3532"/>
    <mergeCell ref="B3533:C3533"/>
    <mergeCell ref="A3534:G3534"/>
    <mergeCell ref="B3535:C3535"/>
    <mergeCell ref="A3544:F3544"/>
    <mergeCell ref="A3546:G3546"/>
    <mergeCell ref="A3022:F3022"/>
    <mergeCell ref="A3028:F3028"/>
    <mergeCell ref="A3032:F3032"/>
    <mergeCell ref="B3748:C3748"/>
    <mergeCell ref="B3749:C3749"/>
    <mergeCell ref="A3750:G3750"/>
    <mergeCell ref="B3751:C3751"/>
    <mergeCell ref="A3757:F3757"/>
    <mergeCell ref="A3759:G3759"/>
    <mergeCell ref="A3767:F3767"/>
    <mergeCell ref="A3769:G3769"/>
    <mergeCell ref="B3770:C3770"/>
    <mergeCell ref="B3771:C3771"/>
    <mergeCell ref="B3772:C3772"/>
    <mergeCell ref="B3773:C3773"/>
    <mergeCell ref="A7202:F7202"/>
    <mergeCell ref="A7204:G7204"/>
    <mergeCell ref="B7205:C7205"/>
    <mergeCell ref="A7219:F7219"/>
    <mergeCell ref="A7221:G7221"/>
    <mergeCell ref="B7222:C7222"/>
    <mergeCell ref="A7228:F7228"/>
    <mergeCell ref="A7230:F7230"/>
    <mergeCell ref="A7236:F7236"/>
    <mergeCell ref="A7240:F7240"/>
    <mergeCell ref="B6970:C6970"/>
    <mergeCell ref="B6971:C6971"/>
    <mergeCell ref="A6972:G6972"/>
    <mergeCell ref="A6980:G6980"/>
    <mergeCell ref="A6988:F6988"/>
    <mergeCell ref="A6990:G6990"/>
    <mergeCell ref="B6991:C6991"/>
    <mergeCell ref="B6992:C6992"/>
    <mergeCell ref="B6993:C6993"/>
    <mergeCell ref="B6994:C6994"/>
    <mergeCell ref="B6995:C6995"/>
    <mergeCell ref="B6996:C6996"/>
    <mergeCell ref="B6997:C6997"/>
    <mergeCell ref="A6998:F6998"/>
    <mergeCell ref="A7000:G7000"/>
    <mergeCell ref="A7169:F7169"/>
    <mergeCell ref="A7173:F7173"/>
    <mergeCell ref="B7175:C7175"/>
    <mergeCell ref="B7176:C7176"/>
    <mergeCell ref="A7177:G7177"/>
    <mergeCell ref="B7178:C7178"/>
    <mergeCell ref="A7182:F7182"/>
    <mergeCell ref="A3598:F3598"/>
    <mergeCell ref="A3602:F3602"/>
    <mergeCell ref="B2988:C2988"/>
    <mergeCell ref="B2989:C2989"/>
    <mergeCell ref="B2990:C2990"/>
    <mergeCell ref="B2991:C2991"/>
    <mergeCell ref="B2992:C2992"/>
    <mergeCell ref="B2993:C2993"/>
    <mergeCell ref="A2994:F2994"/>
    <mergeCell ref="A2996:G2996"/>
    <mergeCell ref="B2997:C2997"/>
    <mergeCell ref="A3011:F3011"/>
    <mergeCell ref="A3013:G3013"/>
    <mergeCell ref="B3014:C3014"/>
    <mergeCell ref="A3020:F3020"/>
    <mergeCell ref="B6973:C6973"/>
    <mergeCell ref="A6978:F6978"/>
    <mergeCell ref="B3774:C3774"/>
    <mergeCell ref="B3775:C3775"/>
    <mergeCell ref="B3776:C3776"/>
    <mergeCell ref="A3777:F3777"/>
    <mergeCell ref="B6933:C6933"/>
    <mergeCell ref="A6947:F6947"/>
    <mergeCell ref="A6949:G6949"/>
    <mergeCell ref="B6950:C6950"/>
    <mergeCell ref="A6956:F6956"/>
    <mergeCell ref="A6958:F6958"/>
    <mergeCell ref="A6964:F6964"/>
    <mergeCell ref="A6968:F6968"/>
    <mergeCell ref="B6901:C6901"/>
    <mergeCell ref="B6902:C6902"/>
    <mergeCell ref="A6903:G6903"/>
    <mergeCell ref="A11450:F11450"/>
    <mergeCell ref="A11452:G11452"/>
    <mergeCell ref="A11462:F11462"/>
    <mergeCell ref="A11464:G11464"/>
    <mergeCell ref="B11465:C11465"/>
    <mergeCell ref="B11466:C11466"/>
    <mergeCell ref="B11467:C11467"/>
    <mergeCell ref="B10872:C10872"/>
    <mergeCell ref="A10873:F10873"/>
    <mergeCell ref="A10875:G10875"/>
    <mergeCell ref="B10433:C10433"/>
    <mergeCell ref="B10434:C10434"/>
    <mergeCell ref="B10435:C10435"/>
    <mergeCell ref="B10436:C10436"/>
    <mergeCell ref="B10437:C10437"/>
    <mergeCell ref="B10500:C10500"/>
    <mergeCell ref="B10501:C10501"/>
    <mergeCell ref="B10502:C10502"/>
    <mergeCell ref="B10503:C10503"/>
    <mergeCell ref="B10504:C10504"/>
    <mergeCell ref="B10569:C10569"/>
    <mergeCell ref="B10573:C10573"/>
    <mergeCell ref="B10917:C10917"/>
    <mergeCell ref="B10983:C10983"/>
    <mergeCell ref="B11048:C11048"/>
    <mergeCell ref="A11445:G11445"/>
    <mergeCell ref="B11446:C11446"/>
    <mergeCell ref="A10892:G10892"/>
    <mergeCell ref="B10893:C10893"/>
    <mergeCell ref="A10899:F10899"/>
    <mergeCell ref="A10901:F10901"/>
    <mergeCell ref="A10907:F10907"/>
  </mergeCells>
  <phoneticPr fontId="15" type="noConversion"/>
  <pageMargins left="0.7" right="0.7" top="0.75" bottom="0.75" header="0.3" footer="0.3"/>
  <pageSetup scale="60" orientation="portrait" r:id="rId1"/>
  <rowBreaks count="295" manualBreakCount="295">
    <brk id="65" max="16383" man="1"/>
    <brk id="136" max="16383" man="1"/>
    <brk id="205" max="16383" man="1"/>
    <brk id="274" max="16383" man="1"/>
    <brk id="343" max="16383" man="1"/>
    <brk id="411" max="16383" man="1"/>
    <brk id="486" max="16383" man="1"/>
    <brk id="703" max="16383" man="1"/>
    <brk id="771" max="16383" man="1"/>
    <brk id="840" max="16383" man="1"/>
    <brk id="907" max="16383" man="1"/>
    <brk id="976" max="16383" man="1"/>
    <brk id="1045" max="16383" man="1"/>
    <brk id="1113" max="16383" man="1"/>
    <brk id="1181" max="16383" man="1"/>
    <brk id="1250" max="16383" man="1"/>
    <brk id="1321" max="16383" man="1"/>
    <brk id="1392" max="16383" man="1"/>
    <brk id="1461" max="16383" man="1"/>
    <brk id="1530" max="16383" man="1"/>
    <brk id="1601" max="16383" man="1"/>
    <brk id="1670" max="16383" man="1"/>
    <brk id="1739" max="16383" man="1"/>
    <brk id="1808" max="16383" man="1"/>
    <brk id="1874" max="16383" man="1"/>
    <brk id="1939" max="16383" man="1"/>
    <brk id="2008" max="16383" man="1"/>
    <brk id="2076" max="16383" man="1"/>
    <brk id="2146" max="16383" man="1"/>
    <brk id="2214" max="16383" man="1"/>
    <brk id="2282" max="16383" man="1"/>
    <brk id="2349" max="16383" man="1"/>
    <brk id="2416" max="16383" man="1"/>
    <brk id="2483" max="16383" man="1"/>
    <brk id="2555" max="11" man="1"/>
    <brk id="2693" max="16383" man="1"/>
    <brk id="2759" max="16383" man="1"/>
    <brk id="2825" max="16383" man="1"/>
    <brk id="2893" max="16383" man="1"/>
    <brk id="2963" max="16383" man="1"/>
    <brk id="3033" max="16383" man="1"/>
    <brk id="3105" max="16383" man="1"/>
    <brk id="3177" max="16383" man="1"/>
    <brk id="3249" max="16383" man="1"/>
    <brk id="3321" max="16383" man="1"/>
    <brk id="3393" max="16383" man="1"/>
    <brk id="3459" max="16383" man="1"/>
    <brk id="3531" max="16383" man="1"/>
    <brk id="3603" max="16383" man="1"/>
    <brk id="3675" max="16383" man="1"/>
    <brk id="3747" max="16383" man="1"/>
    <brk id="3816" max="16383" man="1"/>
    <brk id="3889" max="16383" man="1"/>
    <brk id="3956" max="16383" man="1"/>
    <brk id="4103" max="16383" man="1"/>
    <brk id="4173" max="16383" man="1"/>
    <brk id="4243" max="16383" man="1"/>
    <brk id="4311" max="16383" man="1"/>
    <brk id="4379" max="16383" man="1"/>
    <brk id="4446" max="16383" man="1"/>
    <brk id="4514" max="16383" man="1"/>
    <brk id="4582" max="16383" man="1"/>
    <brk id="4655" max="16383" man="1"/>
    <brk id="4723" max="16383" man="1"/>
    <brk id="4790" max="16383" man="1"/>
    <brk id="4859" max="16383" man="1"/>
    <brk id="4928" max="16383" man="1"/>
    <brk id="4997" max="16383" man="1"/>
    <brk id="5063" max="16383" man="1"/>
    <brk id="5131" max="16383" man="1"/>
    <brk id="5199" max="16383" man="1"/>
    <brk id="5267" max="16383" man="1"/>
    <brk id="5335" max="16383" man="1"/>
    <brk id="5403" max="16383" man="1"/>
    <brk id="5471" max="16383" man="1"/>
    <brk id="5541" max="16383" man="1"/>
    <brk id="5609" max="16383" man="1"/>
    <brk id="5676" max="16383" man="1"/>
    <brk id="5743" max="16383" man="1"/>
    <brk id="5810" max="16383" man="1"/>
    <brk id="5877" max="16383" man="1"/>
    <brk id="5947" max="16383" man="1"/>
    <brk id="6015" max="16383" man="1"/>
    <brk id="6085" max="16383" man="1"/>
    <brk id="6153" max="16383" man="1"/>
    <brk id="6221" max="16383" man="1"/>
    <brk id="6289" max="16383" man="1"/>
    <brk id="6357" max="16383" man="1"/>
    <brk id="6425" max="16383" man="1"/>
    <brk id="6493" max="16383" man="1"/>
    <brk id="6562" max="16383" man="1"/>
    <brk id="6628" max="16383" man="1"/>
    <brk id="6694" max="16383" man="1"/>
    <brk id="6762" max="16383" man="1"/>
    <brk id="6831" max="16383" man="1"/>
    <brk id="6900" max="16383" man="1"/>
    <brk id="6969" max="16383" man="1"/>
    <brk id="7037" max="16383" man="1"/>
    <brk id="7105" max="16383" man="1"/>
    <brk id="7174" max="16383" man="1"/>
    <brk id="7241" max="16383" man="1"/>
    <brk id="7310" max="16383" man="1"/>
    <brk id="7379" max="16383" man="1"/>
    <brk id="7448" max="16383" man="1"/>
    <brk id="7515" max="16383" man="1"/>
    <brk id="7582" max="16383" man="1"/>
    <brk id="7723" max="16383" man="1"/>
    <brk id="7791" max="16383" man="1"/>
    <brk id="7859" max="16383" man="1"/>
    <brk id="7926" max="16383" man="1"/>
    <brk id="7993" max="16383" man="1"/>
    <brk id="8061" max="16383" man="1"/>
    <brk id="8131" max="16383" man="1"/>
    <brk id="8201" max="16383" man="1"/>
    <brk id="8268" max="16383" man="1"/>
    <brk id="8334" max="16383" man="1"/>
    <brk id="8399" max="16383" man="1"/>
    <brk id="8466" max="16383" man="1"/>
    <brk id="8602" max="16383" man="1"/>
    <brk id="8673" max="16383" man="1"/>
    <brk id="8740" max="16383" man="1"/>
    <brk id="8810" max="16383" man="1"/>
    <brk id="8946" max="16383" man="1"/>
    <brk id="9018" max="16383" man="1"/>
    <brk id="9090" max="16383" man="1"/>
    <brk id="9157" max="16383" man="1"/>
    <brk id="9228" max="16383" man="1"/>
    <brk id="9298" max="16383" man="1"/>
    <brk id="9438" max="16383" man="1"/>
    <brk id="9508" max="16383" man="1"/>
    <brk id="9652" max="16383" man="1"/>
    <brk id="9723" max="16383" man="1"/>
    <brk id="9794" max="16383" man="1"/>
    <brk id="9865" max="16383" man="1"/>
    <brk id="9937" max="16383" man="1"/>
    <brk id="10009" max="16383" man="1"/>
    <brk id="10079" max="16383" man="1"/>
    <brk id="10149" max="16383" man="1"/>
    <brk id="10219" max="16383" man="1"/>
    <brk id="10285" max="16383" man="1"/>
    <brk id="10355" max="16383" man="1"/>
    <brk id="10564" max="16383" man="1"/>
    <brk id="10636" max="16383" man="1"/>
    <brk id="10702" max="16383" man="1"/>
    <brk id="10775" max="16383" man="1"/>
    <brk id="10846" max="16383" man="1"/>
    <brk id="10912" max="16383" man="1"/>
    <brk id="11043" max="16383" man="1"/>
    <brk id="11110" max="16383" man="1"/>
    <brk id="11177" max="16383" man="1"/>
    <brk id="11244" max="16383" man="1"/>
    <brk id="11310" max="16383" man="1"/>
    <brk id="11376" max="16383" man="1"/>
    <brk id="11442" max="16383" man="1"/>
    <brk id="11507" max="16383" man="1"/>
    <brk id="11569" max="16383" man="1"/>
    <brk id="11963" max="16383" man="1"/>
    <brk id="12030" max="16383" man="1"/>
    <brk id="12098" max="16383" man="1"/>
    <brk id="12165" max="16383" man="1"/>
    <brk id="12233" max="16383" man="1"/>
    <brk id="12301" max="16383" man="1"/>
    <brk id="12578" max="16383" man="1"/>
    <brk id="12646" max="16383" man="1"/>
    <brk id="12864" max="16383" man="1"/>
    <brk id="12936" max="16383" man="1"/>
    <brk id="13008" max="16383" man="1"/>
    <brk id="13079" max="16383" man="1"/>
    <brk id="13153" max="16383" man="1"/>
    <brk id="13298" max="16383" man="1"/>
    <brk id="13369" max="16383" man="1"/>
    <brk id="13440" max="16383" man="1"/>
    <brk id="13513" max="16383" man="1"/>
    <brk id="13584" max="16383" man="1"/>
    <brk id="13655" max="16383" man="1"/>
    <brk id="13727" max="16383" man="1"/>
    <brk id="13799" max="16383" man="1"/>
    <brk id="13868" max="16383" man="1"/>
    <brk id="14077" max="16383" man="1"/>
    <brk id="14149" max="16383" man="1"/>
    <brk id="14220" max="16383" man="1"/>
    <brk id="14353" max="16383" man="1"/>
    <brk id="14421" max="16383" man="1"/>
    <brk id="14492" max="16383" man="1"/>
    <brk id="14749" max="16383" man="1"/>
    <brk id="14816" max="16383" man="1"/>
    <brk id="14884" max="16383" man="1"/>
    <brk id="14956" max="16383" man="1"/>
    <brk id="15091" max="16383" man="1"/>
    <brk id="15160" max="16383" man="1"/>
    <brk id="15230" max="16383" man="1"/>
    <brk id="15300" max="16383" man="1"/>
    <brk id="15369" max="16383" man="1"/>
    <brk id="15437" max="16383" man="1"/>
    <brk id="15654" max="16383" man="1"/>
    <brk id="15726" max="16383" man="1"/>
    <brk id="15794" max="16383" man="1"/>
    <brk id="15866" max="16383" man="1"/>
    <brk id="15933" max="16383" man="1"/>
    <brk id="16005" max="16383" man="1"/>
    <brk id="16073" max="16383" man="1"/>
    <brk id="16139" max="16383" man="1"/>
    <brk id="16205" max="16383" man="1"/>
    <brk id="16277" max="16383" man="1"/>
    <brk id="16347" max="16383" man="1"/>
    <brk id="16421" max="16383" man="1"/>
    <brk id="16489" max="16383" man="1"/>
    <brk id="16551" max="16383" man="1"/>
    <brk id="16624" max="16383" man="1"/>
    <brk id="16690" max="16383" man="1"/>
    <brk id="16764" max="16383" man="1"/>
    <brk id="16834" max="16383" man="1"/>
    <brk id="16906" max="16383" man="1"/>
    <brk id="16976" max="16383" man="1"/>
    <brk id="17044" max="16383" man="1"/>
    <brk id="17115" max="16383" man="1"/>
    <brk id="17183" max="16383" man="1"/>
    <brk id="17255" max="16383" man="1"/>
    <brk id="17327" max="16383" man="1"/>
    <brk id="17543" max="16383" man="1"/>
    <brk id="17612" max="16383" man="1"/>
    <brk id="17684" max="16383" man="1"/>
    <brk id="17752" max="16383" man="1"/>
    <brk id="17822" max="16383" man="1"/>
    <brk id="17964" max="16383" man="1"/>
    <brk id="18036" max="16383" man="1"/>
    <brk id="18109" max="16383" man="1"/>
    <brk id="18179" max="16383" man="1"/>
    <brk id="18249" max="16383" man="1"/>
    <brk id="18319" max="16383" man="1"/>
    <brk id="18389" max="16383" man="1"/>
    <brk id="18455" max="16383" man="1"/>
    <brk id="18530" max="16383" man="1"/>
    <brk id="18602" max="16383" man="1"/>
    <brk id="18674" max="16383" man="1"/>
    <brk id="18744" max="16383" man="1"/>
    <brk id="18814" max="16383" man="1"/>
    <brk id="18887" max="16383" man="1"/>
    <brk id="18959" max="16383" man="1"/>
    <brk id="19104" max="16383" man="1"/>
    <brk id="19177" max="16383" man="1"/>
    <brk id="19252" max="16383" man="1"/>
    <brk id="19476" max="16383" man="1"/>
    <brk id="19549" max="16383" man="1"/>
    <brk id="19622" max="16383" man="1"/>
    <brk id="19773" max="16383" man="1"/>
    <brk id="19848" max="16383" man="1"/>
    <brk id="19923" max="16383" man="1"/>
    <brk id="19993" max="16383" man="1"/>
    <brk id="20065" max="16383" man="1"/>
    <brk id="20140" max="16383" man="1"/>
    <brk id="20365" max="16383" man="1"/>
    <brk id="20439" max="16383" man="1"/>
    <brk id="20511" max="16383" man="1"/>
    <brk id="20581" max="16383" man="1"/>
    <brk id="20656" max="11" man="1"/>
    <brk id="20803" max="16383" man="1"/>
    <brk id="21019" max="16383" man="1"/>
    <brk id="21091" max="16383" man="1"/>
    <brk id="21163" max="16383" man="1"/>
    <brk id="21236" max="11" man="1"/>
    <brk id="21450" max="16383" man="1"/>
    <brk id="21522" max="16383" man="1"/>
    <brk id="21594" max="16383" man="1"/>
    <brk id="21664" max="16383" man="1"/>
    <brk id="21736" max="16383" man="1"/>
    <brk id="21809" max="16383" man="1"/>
    <brk id="21879" max="16383" man="1"/>
    <brk id="21950" max="16383" man="1"/>
    <brk id="22022" max="16383" man="1"/>
    <brk id="22164" max="16383" man="1"/>
    <brk id="22235" max="16383" man="1"/>
    <brk id="22307" max="16383" man="1"/>
    <brk id="22379" max="16383" man="1"/>
    <brk id="22450" max="16383" man="1"/>
    <brk id="22521" max="16383" man="1"/>
    <brk id="22592" max="16383" man="1"/>
    <brk id="22663" max="16383" man="1"/>
    <brk id="22734" max="16383" man="1"/>
    <brk id="22806" max="16383" man="1"/>
    <brk id="22877" max="16383" man="1"/>
    <brk id="22948" max="16383" man="1"/>
    <brk id="23019" max="16383" man="1"/>
    <brk id="23091" max="16383" man="1"/>
    <brk id="23162" max="16383" man="1"/>
    <brk id="23228" max="16383" man="1"/>
    <brk id="23300" max="16383" man="1"/>
    <brk id="23366" max="16383" man="1"/>
    <brk id="23437" max="16383" man="1"/>
    <brk id="23508" max="16383" man="1"/>
    <brk id="23723" max="16383" man="1"/>
    <brk id="23792" max="16383" man="1"/>
    <brk id="23861" max="16383" man="1"/>
    <brk id="23928" max="16383" man="1"/>
    <brk id="23995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B155-7B5C-4FC0-890C-B05FCE1EE10B}">
  <sheetPr codeName="Hoja24">
    <tabColor rgb="FFFF9999"/>
  </sheetPr>
  <dimension ref="A1:S472"/>
  <sheetViews>
    <sheetView tabSelected="1" workbookViewId="0">
      <selection activeCell="C187" sqref="C187"/>
    </sheetView>
  </sheetViews>
  <sheetFormatPr baseColWidth="10" defaultRowHeight="15" outlineLevelRow="4" outlineLevelCol="1" x14ac:dyDescent="0.25"/>
  <cols>
    <col min="1" max="1" width="4" bestFit="1" customWidth="1"/>
    <col min="2" max="2" width="8.85546875" customWidth="1"/>
    <col min="3" max="3" width="66.5703125" customWidth="1" outlineLevel="1"/>
    <col min="4" max="4" width="8.28515625" bestFit="1" customWidth="1"/>
    <col min="5" max="5" width="7.85546875" bestFit="1" customWidth="1"/>
    <col min="6" max="6" width="8" bestFit="1" customWidth="1"/>
    <col min="7" max="7" width="10.28515625" bestFit="1" customWidth="1"/>
    <col min="8" max="8" width="9" bestFit="1" customWidth="1"/>
    <col min="9" max="9" width="9.28515625" bestFit="1" customWidth="1"/>
    <col min="10" max="10" width="16.42578125" bestFit="1" customWidth="1"/>
    <col min="11" max="12" width="17" bestFit="1" customWidth="1"/>
    <col min="13" max="14" width="18.28515625" bestFit="1" customWidth="1"/>
    <col min="15" max="15" width="17" bestFit="1" customWidth="1"/>
    <col min="16" max="16" width="14.140625" bestFit="1" customWidth="1"/>
    <col min="17" max="17" width="13.140625" bestFit="1" customWidth="1"/>
    <col min="18" max="18" width="13.5703125" bestFit="1" customWidth="1"/>
    <col min="19" max="19" width="12" bestFit="1" customWidth="1"/>
  </cols>
  <sheetData>
    <row r="1" spans="1:17" x14ac:dyDescent="0.25">
      <c r="A1" s="46"/>
      <c r="B1" s="131"/>
      <c r="C1" s="256" t="s">
        <v>4</v>
      </c>
      <c r="D1" s="256" t="s">
        <v>2</v>
      </c>
      <c r="E1" s="46"/>
      <c r="F1" s="46"/>
      <c r="G1" s="256" t="s">
        <v>1</v>
      </c>
      <c r="H1" s="46"/>
      <c r="I1" s="46"/>
      <c r="J1" s="257" t="s">
        <v>3</v>
      </c>
      <c r="K1" s="258"/>
      <c r="L1" s="258"/>
      <c r="M1" s="258"/>
      <c r="N1" s="258"/>
      <c r="O1" s="258"/>
    </row>
    <row r="2" spans="1:17" x14ac:dyDescent="0.25">
      <c r="A2" s="46"/>
      <c r="B2" s="131"/>
      <c r="C2" s="256"/>
      <c r="D2" s="256"/>
      <c r="E2" s="46"/>
      <c r="F2" s="46"/>
      <c r="G2" s="256"/>
      <c r="H2" s="46"/>
      <c r="I2" s="46"/>
      <c r="J2" s="11" t="s">
        <v>0</v>
      </c>
      <c r="K2" s="11" t="s">
        <v>2342</v>
      </c>
      <c r="L2" s="11" t="s">
        <v>2343</v>
      </c>
      <c r="M2" s="11" t="s">
        <v>2344</v>
      </c>
      <c r="N2" s="11" t="s">
        <v>2345</v>
      </c>
      <c r="O2" s="11" t="s">
        <v>2346</v>
      </c>
    </row>
    <row r="3" spans="1:17" x14ac:dyDescent="0.25">
      <c r="A3" s="134"/>
      <c r="B3" s="135"/>
      <c r="C3" s="134"/>
      <c r="D3" s="134"/>
      <c r="E3" s="134" t="s">
        <v>2272</v>
      </c>
      <c r="F3" s="134" t="s">
        <v>2273</v>
      </c>
      <c r="G3" s="134" t="s">
        <v>2246</v>
      </c>
      <c r="H3" s="134" t="s">
        <v>2247</v>
      </c>
      <c r="I3" s="134" t="s">
        <v>2248</v>
      </c>
      <c r="J3" s="136"/>
      <c r="K3" s="136"/>
      <c r="L3" s="136"/>
      <c r="M3" s="136"/>
      <c r="N3" s="136"/>
      <c r="O3" s="136"/>
    </row>
    <row r="4" spans="1:17" x14ac:dyDescent="0.25">
      <c r="A4" s="23"/>
      <c r="B4" s="23"/>
      <c r="C4" s="8" t="s">
        <v>21</v>
      </c>
      <c r="D4" s="9"/>
      <c r="E4" s="9"/>
      <c r="F4" s="9"/>
      <c r="G4" s="9"/>
      <c r="H4" s="9"/>
      <c r="I4" s="9"/>
      <c r="J4" s="10"/>
      <c r="K4" s="84">
        <f>K15+K5+K22+K45+K94+K144+K162</f>
        <v>1747653106.0749998</v>
      </c>
      <c r="L4" s="84">
        <f>L15+L5+L22+L45+L94+L144+L162</f>
        <v>1480385670.9150002</v>
      </c>
      <c r="M4" s="84">
        <f>M15+M5+M22+M45+M94+M144+M162</f>
        <v>2664002150.612</v>
      </c>
      <c r="N4" s="84">
        <f>N15+N5+N22+N45+N94+N144+N162</f>
        <v>2720105201.04</v>
      </c>
      <c r="O4" s="84">
        <f>O15+O5+O22+O45+O94+O144+O162</f>
        <v>2172842002.7400002</v>
      </c>
    </row>
    <row r="5" spans="1:17" outlineLevel="1" x14ac:dyDescent="0.25">
      <c r="A5" s="44"/>
      <c r="B5" s="31"/>
      <c r="C5" s="172" t="s">
        <v>2550</v>
      </c>
      <c r="D5" s="173"/>
      <c r="E5" s="173"/>
      <c r="F5" s="173"/>
      <c r="G5" s="173"/>
      <c r="H5" s="173"/>
      <c r="I5" s="173"/>
      <c r="J5" s="174"/>
      <c r="K5" s="175">
        <f>SUM(K6:K14)</f>
        <v>296489541.60000002</v>
      </c>
      <c r="L5" s="175">
        <f t="shared" ref="L5:O5" si="0">SUM(L6:L14)</f>
        <v>253570692.19999999</v>
      </c>
      <c r="M5" s="175">
        <f t="shared" si="0"/>
        <v>271268408.28200001</v>
      </c>
      <c r="N5" s="175">
        <f t="shared" si="0"/>
        <v>317386991.80000001</v>
      </c>
      <c r="O5" s="175">
        <f t="shared" si="0"/>
        <v>218529450.40000001</v>
      </c>
    </row>
    <row r="6" spans="1:17" hidden="1" outlineLevel="2" x14ac:dyDescent="0.25">
      <c r="A6" s="44" t="s">
        <v>226</v>
      </c>
      <c r="B6" s="31" t="str">
        <f t="shared" ref="B6:B14" si="1">A6&amp;"_OC"</f>
        <v>001_OC</v>
      </c>
      <c r="C6" s="165" t="s">
        <v>2551</v>
      </c>
      <c r="D6" s="4" t="s">
        <v>2552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201">
        <f>APUs!G54</f>
        <v>20800000</v>
      </c>
      <c r="K6" s="5">
        <f t="shared" ref="K6:K14" si="2">$J6*E6</f>
        <v>20800000</v>
      </c>
      <c r="L6" s="5">
        <f t="shared" ref="L6:L14" si="3">$J6*F6</f>
        <v>20800000</v>
      </c>
      <c r="M6" s="5">
        <f t="shared" ref="M6:M14" si="4">$J6*G6</f>
        <v>20800000</v>
      </c>
      <c r="N6" s="5">
        <f t="shared" ref="N6:N14" si="5">$J6*H6</f>
        <v>20800000</v>
      </c>
      <c r="O6" s="5">
        <f t="shared" ref="O6:O14" si="6">$J6*I6</f>
        <v>20800000</v>
      </c>
    </row>
    <row r="7" spans="1:17" hidden="1" outlineLevel="2" x14ac:dyDescent="0.25">
      <c r="A7" s="44" t="s">
        <v>227</v>
      </c>
      <c r="B7" s="31" t="str">
        <f t="shared" si="1"/>
        <v>002_OC</v>
      </c>
      <c r="C7" s="165" t="s">
        <v>2554</v>
      </c>
      <c r="D7" s="4" t="s">
        <v>113</v>
      </c>
      <c r="E7" s="4">
        <f>E16</f>
        <v>3117</v>
      </c>
      <c r="F7" s="4">
        <f>F16</f>
        <v>2524</v>
      </c>
      <c r="G7" s="159">
        <f>G16</f>
        <v>2763.79</v>
      </c>
      <c r="H7" s="4">
        <f>H16</f>
        <v>3401</v>
      </c>
      <c r="I7" s="4">
        <f>I16</f>
        <v>2043</v>
      </c>
      <c r="J7" s="47">
        <f>APUs!G125</f>
        <v>35055</v>
      </c>
      <c r="K7" s="5">
        <f t="shared" si="2"/>
        <v>109266435</v>
      </c>
      <c r="L7" s="5">
        <f t="shared" si="3"/>
        <v>88478820</v>
      </c>
      <c r="M7" s="5">
        <f t="shared" si="4"/>
        <v>96884658.450000003</v>
      </c>
      <c r="N7" s="5">
        <f t="shared" si="5"/>
        <v>119222055</v>
      </c>
      <c r="O7" s="5">
        <f t="shared" si="6"/>
        <v>71617365</v>
      </c>
    </row>
    <row r="8" spans="1:17" hidden="1" outlineLevel="2" x14ac:dyDescent="0.25">
      <c r="A8" s="44" t="s">
        <v>228</v>
      </c>
      <c r="B8" s="31" t="str">
        <f t="shared" si="1"/>
        <v>003_OC</v>
      </c>
      <c r="C8" s="165" t="s">
        <v>1719</v>
      </c>
      <c r="D8" s="4" t="s">
        <v>8</v>
      </c>
      <c r="E8" s="4">
        <v>1</v>
      </c>
      <c r="F8" s="4">
        <v>1</v>
      </c>
      <c r="G8" s="4" t="s">
        <v>224</v>
      </c>
      <c r="H8" s="4">
        <v>1</v>
      </c>
      <c r="I8" s="4">
        <v>1</v>
      </c>
      <c r="J8" s="47">
        <f>APUs!G194</f>
        <v>5491990</v>
      </c>
      <c r="K8" s="5">
        <f t="shared" si="2"/>
        <v>5491990</v>
      </c>
      <c r="L8" s="5">
        <f t="shared" si="3"/>
        <v>5491990</v>
      </c>
      <c r="M8" s="5">
        <f t="shared" si="4"/>
        <v>5491990</v>
      </c>
      <c r="N8" s="5">
        <f t="shared" si="5"/>
        <v>5491990</v>
      </c>
      <c r="O8" s="5">
        <f t="shared" si="6"/>
        <v>5491990</v>
      </c>
    </row>
    <row r="9" spans="1:17" hidden="1" outlineLevel="2" x14ac:dyDescent="0.25">
      <c r="A9" s="44" t="s">
        <v>229</v>
      </c>
      <c r="B9" s="31" t="str">
        <f t="shared" si="1"/>
        <v>004_OC</v>
      </c>
      <c r="C9" s="165" t="s">
        <v>2555</v>
      </c>
      <c r="D9" s="4" t="s">
        <v>113</v>
      </c>
      <c r="E9" s="4">
        <f>E7</f>
        <v>3117</v>
      </c>
      <c r="F9" s="4">
        <f t="shared" ref="F9:I9" si="7">F7</f>
        <v>2524</v>
      </c>
      <c r="G9" s="159">
        <f t="shared" si="7"/>
        <v>2763.79</v>
      </c>
      <c r="H9" s="4">
        <f t="shared" si="7"/>
        <v>3401</v>
      </c>
      <c r="I9" s="4">
        <f t="shared" si="7"/>
        <v>2043</v>
      </c>
      <c r="J9" s="47">
        <f>APUs!G263</f>
        <v>34153</v>
      </c>
      <c r="K9" s="5">
        <f t="shared" si="2"/>
        <v>106454901</v>
      </c>
      <c r="L9" s="5">
        <f t="shared" si="3"/>
        <v>86202172</v>
      </c>
      <c r="M9" s="5">
        <f t="shared" si="4"/>
        <v>94391719.870000005</v>
      </c>
      <c r="N9" s="5">
        <f t="shared" si="5"/>
        <v>116154353</v>
      </c>
      <c r="O9" s="5">
        <f t="shared" si="6"/>
        <v>69774579</v>
      </c>
    </row>
    <row r="10" spans="1:17" hidden="1" outlineLevel="2" x14ac:dyDescent="0.25">
      <c r="A10" s="44" t="s">
        <v>230</v>
      </c>
      <c r="B10" s="31" t="str">
        <f t="shared" si="1"/>
        <v>005_OC</v>
      </c>
      <c r="C10" s="165" t="s">
        <v>2556</v>
      </c>
      <c r="D10" s="4" t="s">
        <v>8</v>
      </c>
      <c r="E10" s="4">
        <v>2</v>
      </c>
      <c r="F10" s="4">
        <v>2</v>
      </c>
      <c r="G10" s="4">
        <v>5</v>
      </c>
      <c r="H10" s="4">
        <v>5</v>
      </c>
      <c r="I10" s="4">
        <v>0</v>
      </c>
      <c r="J10" s="47">
        <f>APUs!G332</f>
        <v>114241</v>
      </c>
      <c r="K10" s="5">
        <f t="shared" si="2"/>
        <v>228482</v>
      </c>
      <c r="L10" s="5">
        <f t="shared" si="3"/>
        <v>228482</v>
      </c>
      <c r="M10" s="5">
        <f t="shared" si="4"/>
        <v>571205</v>
      </c>
      <c r="N10" s="5">
        <f t="shared" si="5"/>
        <v>571205</v>
      </c>
      <c r="O10" s="5">
        <f t="shared" si="6"/>
        <v>0</v>
      </c>
    </row>
    <row r="11" spans="1:17" hidden="1" outlineLevel="2" x14ac:dyDescent="0.25">
      <c r="A11" s="205" t="s">
        <v>231</v>
      </c>
      <c r="B11" s="206" t="str">
        <f t="shared" si="1"/>
        <v>006_OC</v>
      </c>
      <c r="C11" s="165" t="s">
        <v>2561</v>
      </c>
      <c r="D11" s="4" t="s">
        <v>114</v>
      </c>
      <c r="E11" s="159">
        <f>E16*0.2</f>
        <v>623.40000000000009</v>
      </c>
      <c r="F11" s="159">
        <f>F16*0.2</f>
        <v>504.8</v>
      </c>
      <c r="G11" s="159">
        <f>G16*0.2</f>
        <v>552.75800000000004</v>
      </c>
      <c r="H11" s="159">
        <f>H16*0.2</f>
        <v>680.2</v>
      </c>
      <c r="I11" s="159">
        <f>I16*0.2</f>
        <v>408.6</v>
      </c>
      <c r="J11" s="47">
        <f>APUs!G400</f>
        <v>15839</v>
      </c>
      <c r="K11" s="5">
        <f t="shared" si="2"/>
        <v>9874032.6000000015</v>
      </c>
      <c r="L11" s="5">
        <f t="shared" si="3"/>
        <v>7995527.2000000002</v>
      </c>
      <c r="M11" s="5">
        <f t="shared" si="4"/>
        <v>8755133.9620000012</v>
      </c>
      <c r="N11" s="5">
        <f t="shared" si="5"/>
        <v>10773687.800000001</v>
      </c>
      <c r="O11" s="5">
        <f t="shared" si="6"/>
        <v>6471815.4000000004</v>
      </c>
    </row>
    <row r="12" spans="1:17" hidden="1" outlineLevel="2" x14ac:dyDescent="0.25">
      <c r="A12" s="44" t="s">
        <v>232</v>
      </c>
      <c r="B12" s="31" t="str">
        <f t="shared" si="1"/>
        <v>007_OC</v>
      </c>
      <c r="C12" s="165" t="s">
        <v>1720</v>
      </c>
      <c r="D12" s="4" t="s">
        <v>113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7">
        <f>APUs!G475</f>
        <v>291240</v>
      </c>
      <c r="K12" s="5">
        <f t="shared" si="2"/>
        <v>14562000</v>
      </c>
      <c r="L12" s="5">
        <f t="shared" si="3"/>
        <v>14562000</v>
      </c>
      <c r="M12" s="5">
        <f t="shared" si="4"/>
        <v>14562000</v>
      </c>
      <c r="N12" s="5">
        <f t="shared" si="5"/>
        <v>14562000</v>
      </c>
      <c r="O12" s="5">
        <f t="shared" si="6"/>
        <v>14562000</v>
      </c>
      <c r="Q12" s="66"/>
    </row>
    <row r="13" spans="1:17" hidden="1" outlineLevel="2" x14ac:dyDescent="0.25">
      <c r="A13" s="44" t="s">
        <v>233</v>
      </c>
      <c r="B13" s="31" t="str">
        <f t="shared" si="1"/>
        <v>008_OC</v>
      </c>
      <c r="C13" s="165" t="s">
        <v>2347</v>
      </c>
      <c r="D13" s="4" t="s">
        <v>8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7">
        <f>APUs!G555</f>
        <v>27431501</v>
      </c>
      <c r="K13" s="5">
        <f t="shared" si="2"/>
        <v>27431501</v>
      </c>
      <c r="L13" s="5">
        <f t="shared" si="3"/>
        <v>27431501</v>
      </c>
      <c r="M13" s="5">
        <f t="shared" si="4"/>
        <v>27431501</v>
      </c>
      <c r="N13" s="5">
        <f t="shared" si="5"/>
        <v>27431501</v>
      </c>
      <c r="O13" s="5">
        <f t="shared" si="6"/>
        <v>27431501</v>
      </c>
    </row>
    <row r="14" spans="1:17" hidden="1" outlineLevel="2" x14ac:dyDescent="0.25">
      <c r="A14" s="44" t="s">
        <v>234</v>
      </c>
      <c r="B14" s="31" t="str">
        <f t="shared" si="1"/>
        <v>009_OC</v>
      </c>
      <c r="C14" s="165" t="s">
        <v>2348</v>
      </c>
      <c r="D14" s="4" t="s">
        <v>8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7">
        <f>APUs!G627</f>
        <v>2380200</v>
      </c>
      <c r="K14" s="5">
        <f t="shared" si="2"/>
        <v>2380200</v>
      </c>
      <c r="L14" s="5">
        <f t="shared" si="3"/>
        <v>2380200</v>
      </c>
      <c r="M14" s="5">
        <f t="shared" si="4"/>
        <v>2380200</v>
      </c>
      <c r="N14" s="5">
        <f t="shared" si="5"/>
        <v>2380200</v>
      </c>
      <c r="O14" s="5">
        <f t="shared" si="6"/>
        <v>2380200</v>
      </c>
    </row>
    <row r="15" spans="1:17" outlineLevel="1" collapsed="1" x14ac:dyDescent="0.25">
      <c r="C15" s="172" t="s">
        <v>22</v>
      </c>
      <c r="D15" s="173"/>
      <c r="E15" s="173"/>
      <c r="F15" s="173"/>
      <c r="G15" s="173"/>
      <c r="H15" s="173"/>
      <c r="I15" s="173"/>
      <c r="J15" s="173"/>
      <c r="K15" s="151">
        <f>SUM(K16:K21)</f>
        <v>471951301</v>
      </c>
      <c r="L15" s="151">
        <f t="shared" ref="L15:O15" si="8">SUM(L16:L21)</f>
        <v>229484629</v>
      </c>
      <c r="M15" s="151">
        <f t="shared" si="8"/>
        <v>474802220.54000002</v>
      </c>
      <c r="N15" s="151">
        <f t="shared" si="8"/>
        <v>204436087</v>
      </c>
      <c r="O15" s="151">
        <f t="shared" si="8"/>
        <v>79919649.200000003</v>
      </c>
    </row>
    <row r="16" spans="1:17" hidden="1" outlineLevel="2" x14ac:dyDescent="0.25">
      <c r="A16" s="44" t="s">
        <v>235</v>
      </c>
      <c r="B16" s="31" t="str">
        <f t="shared" ref="B16:B21" si="9">A16&amp;"_OC"</f>
        <v>010_OC</v>
      </c>
      <c r="C16" s="165" t="s">
        <v>1718</v>
      </c>
      <c r="D16" s="4" t="s">
        <v>113</v>
      </c>
      <c r="E16" s="4">
        <f>2194+424+499</f>
        <v>3117</v>
      </c>
      <c r="F16" s="4">
        <v>2524</v>
      </c>
      <c r="G16" s="159">
        <f>2763.79</f>
        <v>2763.79</v>
      </c>
      <c r="H16" s="4">
        <v>3401</v>
      </c>
      <c r="I16" s="4">
        <v>2043</v>
      </c>
      <c r="J16" s="47">
        <f>APUs!G692</f>
        <v>4226</v>
      </c>
      <c r="K16" s="5">
        <f t="shared" ref="K16:L21" si="10">$J16*E16</f>
        <v>13172442</v>
      </c>
      <c r="L16" s="5">
        <f t="shared" si="10"/>
        <v>10666424</v>
      </c>
      <c r="M16" s="5">
        <f t="shared" ref="M16:O21" si="11">$J16*G16</f>
        <v>11679776.539999999</v>
      </c>
      <c r="N16" s="5">
        <f t="shared" si="11"/>
        <v>14372626</v>
      </c>
      <c r="O16" s="5">
        <f t="shared" si="11"/>
        <v>8633718</v>
      </c>
    </row>
    <row r="17" spans="1:17" hidden="1" outlineLevel="2" x14ac:dyDescent="0.25">
      <c r="A17" s="44" t="s">
        <v>236</v>
      </c>
      <c r="B17" s="31" t="str">
        <f t="shared" si="9"/>
        <v>011_OC</v>
      </c>
      <c r="C17" s="165" t="s">
        <v>1721</v>
      </c>
      <c r="D17" s="4" t="s">
        <v>114</v>
      </c>
      <c r="E17" s="4">
        <v>5629</v>
      </c>
      <c r="F17" s="4">
        <v>1660</v>
      </c>
      <c r="G17" s="4">
        <v>48</v>
      </c>
      <c r="H17" s="4">
        <v>1205</v>
      </c>
      <c r="I17" s="4">
        <v>958</v>
      </c>
      <c r="J17" s="47">
        <f>APUs!G760</f>
        <v>41291</v>
      </c>
      <c r="K17" s="5">
        <f t="shared" ref="K17:O19" si="12">$J17*E17</f>
        <v>232427039</v>
      </c>
      <c r="L17" s="5">
        <f t="shared" si="12"/>
        <v>68543060</v>
      </c>
      <c r="M17" s="5">
        <f t="shared" si="12"/>
        <v>1981968</v>
      </c>
      <c r="N17" s="5">
        <f t="shared" si="12"/>
        <v>49755655</v>
      </c>
      <c r="O17" s="5">
        <f t="shared" si="12"/>
        <v>39556778</v>
      </c>
    </row>
    <row r="18" spans="1:17" hidden="1" outlineLevel="2" x14ac:dyDescent="0.25">
      <c r="A18" s="205" t="s">
        <v>231</v>
      </c>
      <c r="B18" s="206" t="str">
        <f t="shared" si="9"/>
        <v>006_OC</v>
      </c>
      <c r="C18" s="165" t="s">
        <v>2561</v>
      </c>
      <c r="D18" s="4" t="s">
        <v>114</v>
      </c>
      <c r="E18" s="4">
        <f>E17-49</f>
        <v>5580</v>
      </c>
      <c r="F18" s="4">
        <f>1660-474</f>
        <v>1186</v>
      </c>
      <c r="G18" s="161">
        <v>0</v>
      </c>
      <c r="H18" s="4">
        <f>1205-689</f>
        <v>516</v>
      </c>
      <c r="I18" s="4">
        <f>958-190</f>
        <v>768</v>
      </c>
      <c r="J18" s="47">
        <f>APUs!G400</f>
        <v>15839</v>
      </c>
      <c r="K18" s="5">
        <f t="shared" si="12"/>
        <v>88381620</v>
      </c>
      <c r="L18" s="5">
        <f t="shared" si="12"/>
        <v>18785054</v>
      </c>
      <c r="M18" s="5">
        <f t="shared" si="12"/>
        <v>0</v>
      </c>
      <c r="N18" s="5">
        <f t="shared" si="12"/>
        <v>8172924</v>
      </c>
      <c r="O18" s="5">
        <f t="shared" si="12"/>
        <v>12164352</v>
      </c>
    </row>
    <row r="19" spans="1:17" hidden="1" outlineLevel="2" x14ac:dyDescent="0.25">
      <c r="A19" s="44" t="s">
        <v>237</v>
      </c>
      <c r="B19" s="31" t="str">
        <f t="shared" si="9"/>
        <v>013_OC</v>
      </c>
      <c r="C19" s="165" t="s">
        <v>2570</v>
      </c>
      <c r="D19" s="4" t="s">
        <v>114</v>
      </c>
      <c r="E19" s="161">
        <v>0</v>
      </c>
      <c r="F19" s="161">
        <v>0</v>
      </c>
      <c r="G19" s="4">
        <f>3450-G17</f>
        <v>3402</v>
      </c>
      <c r="H19" s="161">
        <v>0</v>
      </c>
      <c r="I19" s="161">
        <v>0</v>
      </c>
      <c r="J19" s="47">
        <f>APUs!G829</f>
        <v>79977</v>
      </c>
      <c r="K19" s="5">
        <f t="shared" si="12"/>
        <v>0</v>
      </c>
      <c r="L19" s="5">
        <f t="shared" si="12"/>
        <v>0</v>
      </c>
      <c r="M19" s="5">
        <f t="shared" si="12"/>
        <v>272081754</v>
      </c>
      <c r="N19" s="5">
        <f t="shared" si="12"/>
        <v>0</v>
      </c>
      <c r="O19" s="5">
        <f t="shared" si="12"/>
        <v>0</v>
      </c>
    </row>
    <row r="20" spans="1:17" hidden="1" outlineLevel="2" x14ac:dyDescent="0.25">
      <c r="A20" s="44" t="s">
        <v>238</v>
      </c>
      <c r="B20" s="31" t="str">
        <f t="shared" si="9"/>
        <v>014_OC</v>
      </c>
      <c r="C20" s="165" t="s">
        <v>2575</v>
      </c>
      <c r="D20" s="4" t="s">
        <v>114</v>
      </c>
      <c r="E20" s="4">
        <f>(700+500*2)*0.2</f>
        <v>340</v>
      </c>
      <c r="F20" s="4">
        <v>307</v>
      </c>
      <c r="G20" s="159">
        <f>(1108+322+850-440)*0.2</f>
        <v>368</v>
      </c>
      <c r="H20" s="159">
        <f>(2642-130-44-203-64-133-64-434)*0.2</f>
        <v>314</v>
      </c>
      <c r="I20" s="159">
        <f>(460+250+802-450)*0.2</f>
        <v>212.4</v>
      </c>
      <c r="J20" s="47">
        <f>APUs!G896</f>
        <v>92113</v>
      </c>
      <c r="K20" s="5">
        <f>$J20*E20</f>
        <v>31318420</v>
      </c>
      <c r="L20" s="5">
        <f t="shared" ref="L20:N21" si="13">$J20*F20</f>
        <v>28278691</v>
      </c>
      <c r="M20" s="5">
        <f t="shared" si="13"/>
        <v>33897584</v>
      </c>
      <c r="N20" s="5">
        <f t="shared" si="13"/>
        <v>28923482</v>
      </c>
      <c r="O20" s="5">
        <f>$J20*I20</f>
        <v>19564801.199999999</v>
      </c>
      <c r="P20" s="66"/>
    </row>
    <row r="21" spans="1:17" hidden="1" outlineLevel="2" x14ac:dyDescent="0.25">
      <c r="A21" s="44" t="s">
        <v>239</v>
      </c>
      <c r="B21" s="31" t="str">
        <f t="shared" si="9"/>
        <v>015_OC</v>
      </c>
      <c r="C21" s="165" t="s">
        <v>1727</v>
      </c>
      <c r="D21" s="4" t="s">
        <v>113</v>
      </c>
      <c r="E21" s="4">
        <v>310</v>
      </c>
      <c r="F21" s="4">
        <v>300</v>
      </c>
      <c r="G21" s="159">
        <f>61+300+90</f>
        <v>451</v>
      </c>
      <c r="H21" s="159">
        <v>300</v>
      </c>
      <c r="I21" s="161">
        <v>0</v>
      </c>
      <c r="J21" s="47">
        <f>APUs!G965</f>
        <v>344038</v>
      </c>
      <c r="K21" s="5">
        <f t="shared" si="10"/>
        <v>106651780</v>
      </c>
      <c r="L21" s="5">
        <f t="shared" si="13"/>
        <v>103211400</v>
      </c>
      <c r="M21" s="5">
        <f t="shared" si="13"/>
        <v>155161138</v>
      </c>
      <c r="N21" s="5">
        <f t="shared" si="11"/>
        <v>103211400</v>
      </c>
      <c r="O21" s="5">
        <f>$J21*I21</f>
        <v>0</v>
      </c>
      <c r="P21" s="66"/>
    </row>
    <row r="22" spans="1:17" outlineLevel="1" collapsed="1" x14ac:dyDescent="0.25">
      <c r="C22" s="172" t="s">
        <v>200</v>
      </c>
      <c r="D22" s="173"/>
      <c r="E22" s="173"/>
      <c r="F22" s="173"/>
      <c r="G22" s="173"/>
      <c r="H22" s="173"/>
      <c r="I22" s="173"/>
      <c r="J22" s="174"/>
      <c r="K22" s="175">
        <f>K23+K37</f>
        <v>292715309</v>
      </c>
      <c r="L22" s="175">
        <f>L23+L37</f>
        <v>292194955</v>
      </c>
      <c r="M22" s="175">
        <f>M23+M37</f>
        <v>523874980</v>
      </c>
      <c r="N22" s="175">
        <f>N23+N37</f>
        <v>543367941</v>
      </c>
      <c r="O22" s="175">
        <f>O23+O37</f>
        <v>498946163</v>
      </c>
    </row>
    <row r="23" spans="1:17" hidden="1" outlineLevel="2" x14ac:dyDescent="0.25">
      <c r="C23" s="207" t="s">
        <v>220</v>
      </c>
      <c r="D23" s="208"/>
      <c r="E23" s="208"/>
      <c r="F23" s="208"/>
      <c r="G23" s="208"/>
      <c r="H23" s="208"/>
      <c r="I23" s="208"/>
      <c r="J23" s="208"/>
      <c r="K23" s="209">
        <f>SUM(K24:K36)</f>
        <v>93435491</v>
      </c>
      <c r="L23" s="209">
        <f t="shared" ref="L23:O23" si="14">SUM(L24:L36)</f>
        <v>92915137</v>
      </c>
      <c r="M23" s="209">
        <f t="shared" si="14"/>
        <v>285560110</v>
      </c>
      <c r="N23" s="209">
        <f t="shared" si="14"/>
        <v>331076439</v>
      </c>
      <c r="O23" s="209">
        <f t="shared" si="14"/>
        <v>280148819</v>
      </c>
    </row>
    <row r="24" spans="1:17" hidden="1" outlineLevel="3" x14ac:dyDescent="0.25">
      <c r="A24" s="44" t="s">
        <v>240</v>
      </c>
      <c r="B24" s="31" t="str">
        <f t="shared" ref="B24:B36" si="15">A24&amp;"_OC"</f>
        <v>016_OC</v>
      </c>
      <c r="C24" s="163" t="s">
        <v>2813</v>
      </c>
      <c r="D24" s="4" t="s">
        <v>108</v>
      </c>
      <c r="E24" s="4">
        <f>10*2+22*2+7+13+5</f>
        <v>89</v>
      </c>
      <c r="F24" s="4">
        <f>10*2+22*2+7+13+5</f>
        <v>89</v>
      </c>
      <c r="G24" s="159">
        <f>26+10+24+7+10</f>
        <v>77</v>
      </c>
      <c r="H24" s="159">
        <f t="shared" ref="H24:I24" si="16">26+10+24+7+10</f>
        <v>77</v>
      </c>
      <c r="I24" s="159">
        <f t="shared" si="16"/>
        <v>77</v>
      </c>
      <c r="J24" s="47">
        <f>APUs!G1034</f>
        <v>528081</v>
      </c>
      <c r="K24" s="5">
        <f t="shared" ref="K24:L36" si="17">$J24*E24</f>
        <v>46999209</v>
      </c>
      <c r="L24" s="5">
        <f t="shared" si="17"/>
        <v>46999209</v>
      </c>
      <c r="M24" s="5">
        <f t="shared" ref="M24:M36" si="18">$J24*G24</f>
        <v>40662237</v>
      </c>
      <c r="N24" s="5">
        <f t="shared" ref="N24:N36" si="19">$J24*H24</f>
        <v>40662237</v>
      </c>
      <c r="O24" s="5">
        <f t="shared" ref="O24:O36" si="20">$J24*I24</f>
        <v>40662237</v>
      </c>
    </row>
    <row r="25" spans="1:17" hidden="1" outlineLevel="3" x14ac:dyDescent="0.25">
      <c r="A25" s="44" t="s">
        <v>241</v>
      </c>
      <c r="B25" s="31" t="str">
        <f t="shared" si="15"/>
        <v>017_OC</v>
      </c>
      <c r="C25" s="163" t="s">
        <v>2814</v>
      </c>
      <c r="D25" s="4" t="s">
        <v>8</v>
      </c>
      <c r="E25" s="161">
        <v>0</v>
      </c>
      <c r="F25" s="161">
        <v>0</v>
      </c>
      <c r="G25" s="159">
        <v>1</v>
      </c>
      <c r="H25" s="159">
        <v>1</v>
      </c>
      <c r="I25" s="159">
        <v>1</v>
      </c>
      <c r="J25" s="47">
        <f>APUs!G1102</f>
        <v>40226556</v>
      </c>
      <c r="K25" s="5">
        <f t="shared" si="17"/>
        <v>0</v>
      </c>
      <c r="L25" s="5">
        <f t="shared" si="17"/>
        <v>0</v>
      </c>
      <c r="M25" s="5">
        <f t="shared" si="18"/>
        <v>40226556</v>
      </c>
      <c r="N25" s="5">
        <f t="shared" si="19"/>
        <v>40226556</v>
      </c>
      <c r="O25" s="5">
        <f t="shared" si="20"/>
        <v>40226556</v>
      </c>
    </row>
    <row r="26" spans="1:17" hidden="1" outlineLevel="3" x14ac:dyDescent="0.25">
      <c r="A26" s="44" t="s">
        <v>242</v>
      </c>
      <c r="B26" s="31" t="str">
        <f t="shared" si="15"/>
        <v>018_OC</v>
      </c>
      <c r="C26" s="163" t="s">
        <v>2815</v>
      </c>
      <c r="D26" s="4" t="s">
        <v>8</v>
      </c>
      <c r="E26" s="161">
        <v>0</v>
      </c>
      <c r="F26" s="161">
        <v>0</v>
      </c>
      <c r="G26" s="159">
        <v>1</v>
      </c>
      <c r="H26" s="159">
        <v>1</v>
      </c>
      <c r="I26" s="159">
        <v>1</v>
      </c>
      <c r="J26" s="47">
        <f>APUs!G1170</f>
        <v>24818083</v>
      </c>
      <c r="K26" s="5">
        <f t="shared" si="17"/>
        <v>0</v>
      </c>
      <c r="L26" s="5">
        <f t="shared" si="17"/>
        <v>0</v>
      </c>
      <c r="M26" s="5">
        <f t="shared" si="18"/>
        <v>24818083</v>
      </c>
      <c r="N26" s="5">
        <f t="shared" si="19"/>
        <v>24818083</v>
      </c>
      <c r="O26" s="5">
        <f t="shared" si="20"/>
        <v>24818083</v>
      </c>
    </row>
    <row r="27" spans="1:17" hidden="1" outlineLevel="3" x14ac:dyDescent="0.25">
      <c r="A27" s="44" t="s">
        <v>243</v>
      </c>
      <c r="B27" s="31" t="str">
        <f t="shared" si="15"/>
        <v>019_OC</v>
      </c>
      <c r="C27" s="163" t="s">
        <v>2614</v>
      </c>
      <c r="D27" s="4" t="s">
        <v>108</v>
      </c>
      <c r="E27" s="161">
        <v>0</v>
      </c>
      <c r="F27" s="161">
        <v>0</v>
      </c>
      <c r="G27" s="159">
        <v>22</v>
      </c>
      <c r="H27" s="159">
        <v>22</v>
      </c>
      <c r="I27" s="159">
        <v>22</v>
      </c>
      <c r="J27" s="47">
        <f>APUs!G1239</f>
        <v>567987</v>
      </c>
      <c r="K27" s="5">
        <f t="shared" si="17"/>
        <v>0</v>
      </c>
      <c r="L27" s="5">
        <f t="shared" si="17"/>
        <v>0</v>
      </c>
      <c r="M27" s="5">
        <f t="shared" si="18"/>
        <v>12495714</v>
      </c>
      <c r="N27" s="5">
        <f t="shared" si="19"/>
        <v>12495714</v>
      </c>
      <c r="O27" s="5">
        <f t="shared" si="20"/>
        <v>12495714</v>
      </c>
    </row>
    <row r="28" spans="1:17" hidden="1" outlineLevel="3" x14ac:dyDescent="0.25">
      <c r="A28" s="44" t="s">
        <v>244</v>
      </c>
      <c r="B28" s="31" t="str">
        <f t="shared" si="15"/>
        <v>020_OC</v>
      </c>
      <c r="C28" s="163" t="s">
        <v>2616</v>
      </c>
      <c r="D28" s="4" t="s">
        <v>108</v>
      </c>
      <c r="E28" s="161">
        <v>0</v>
      </c>
      <c r="F28" s="161">
        <v>0</v>
      </c>
      <c r="G28" s="159">
        <f>13</f>
        <v>13</v>
      </c>
      <c r="H28" s="159">
        <f>13</f>
        <v>13</v>
      </c>
      <c r="I28" s="159">
        <f>13</f>
        <v>13</v>
      </c>
      <c r="J28" s="47">
        <f>APUs!G1310</f>
        <v>531632</v>
      </c>
      <c r="K28" s="5">
        <f t="shared" si="17"/>
        <v>0</v>
      </c>
      <c r="L28" s="5">
        <f t="shared" si="17"/>
        <v>0</v>
      </c>
      <c r="M28" s="5">
        <f t="shared" si="18"/>
        <v>6911216</v>
      </c>
      <c r="N28" s="5">
        <f t="shared" si="19"/>
        <v>6911216</v>
      </c>
      <c r="O28" s="5">
        <f t="shared" si="20"/>
        <v>6911216</v>
      </c>
    </row>
    <row r="29" spans="1:17" hidden="1" outlineLevel="3" x14ac:dyDescent="0.25">
      <c r="A29" s="44" t="s">
        <v>245</v>
      </c>
      <c r="B29" s="31" t="str">
        <f t="shared" si="15"/>
        <v>021_OC</v>
      </c>
      <c r="C29" s="163" t="s">
        <v>2615</v>
      </c>
      <c r="D29" s="4" t="s">
        <v>108</v>
      </c>
      <c r="E29" s="171">
        <f>7+13</f>
        <v>20</v>
      </c>
      <c r="F29" s="171">
        <f>7+13</f>
        <v>20</v>
      </c>
      <c r="G29" s="159">
        <f>G24</f>
        <v>77</v>
      </c>
      <c r="H29" s="159">
        <f t="shared" ref="H29:I29" si="21">H24</f>
        <v>77</v>
      </c>
      <c r="I29" s="159">
        <f t="shared" si="21"/>
        <v>77</v>
      </c>
      <c r="J29" s="47">
        <f>APUs!G1381</f>
        <v>458924</v>
      </c>
      <c r="K29" s="5">
        <f t="shared" si="17"/>
        <v>9178480</v>
      </c>
      <c r="L29" s="5">
        <f t="shared" si="17"/>
        <v>9178480</v>
      </c>
      <c r="M29" s="5">
        <f t="shared" si="18"/>
        <v>35337148</v>
      </c>
      <c r="N29" s="5">
        <f t="shared" si="19"/>
        <v>35337148</v>
      </c>
      <c r="O29" s="5">
        <f t="shared" si="20"/>
        <v>35337148</v>
      </c>
    </row>
    <row r="30" spans="1:17" hidden="1" outlineLevel="3" x14ac:dyDescent="0.25">
      <c r="A30" s="44" t="s">
        <v>246</v>
      </c>
      <c r="B30" s="31" t="str">
        <f t="shared" si="15"/>
        <v>022_OC</v>
      </c>
      <c r="C30" s="163" t="s">
        <v>1855</v>
      </c>
      <c r="D30" s="4" t="s">
        <v>8</v>
      </c>
      <c r="E30" s="4">
        <v>118</v>
      </c>
      <c r="F30" s="4">
        <v>117</v>
      </c>
      <c r="G30" s="161">
        <v>0</v>
      </c>
      <c r="H30" s="161">
        <v>0</v>
      </c>
      <c r="I30" s="161">
        <v>0</v>
      </c>
      <c r="J30" s="47">
        <f>APUs!G1450</f>
        <v>100919</v>
      </c>
      <c r="K30" s="5">
        <f t="shared" si="17"/>
        <v>11908442</v>
      </c>
      <c r="L30" s="5">
        <f t="shared" si="17"/>
        <v>11807523</v>
      </c>
      <c r="M30" s="5">
        <f t="shared" si="18"/>
        <v>0</v>
      </c>
      <c r="N30" s="5">
        <f t="shared" si="19"/>
        <v>0</v>
      </c>
      <c r="O30" s="5">
        <f t="shared" si="20"/>
        <v>0</v>
      </c>
    </row>
    <row r="31" spans="1:17" hidden="1" outlineLevel="3" x14ac:dyDescent="0.25">
      <c r="A31" s="44" t="s">
        <v>247</v>
      </c>
      <c r="B31" s="31" t="str">
        <f t="shared" si="15"/>
        <v>023_OC</v>
      </c>
      <c r="C31" s="163" t="s">
        <v>219</v>
      </c>
      <c r="D31" s="4" t="s">
        <v>8</v>
      </c>
      <c r="E31" s="4">
        <v>8</v>
      </c>
      <c r="F31" s="4">
        <v>8</v>
      </c>
      <c r="G31" s="161">
        <v>0</v>
      </c>
      <c r="H31" s="161">
        <v>0</v>
      </c>
      <c r="I31" s="161">
        <v>0</v>
      </c>
      <c r="J31" s="47">
        <f>APUs!G1519</f>
        <v>100919</v>
      </c>
      <c r="K31" s="5">
        <f t="shared" si="17"/>
        <v>807352</v>
      </c>
      <c r="L31" s="5">
        <f t="shared" si="17"/>
        <v>807352</v>
      </c>
      <c r="M31" s="5">
        <f t="shared" si="18"/>
        <v>0</v>
      </c>
      <c r="N31" s="5">
        <f t="shared" si="19"/>
        <v>0</v>
      </c>
      <c r="O31" s="5">
        <f t="shared" si="20"/>
        <v>0</v>
      </c>
      <c r="P31" s="66"/>
      <c r="Q31" s="94"/>
    </row>
    <row r="32" spans="1:17" hidden="1" outlineLevel="3" x14ac:dyDescent="0.25">
      <c r="A32" s="44" t="s">
        <v>248</v>
      </c>
      <c r="B32" s="31" t="str">
        <f t="shared" si="15"/>
        <v>024_OC</v>
      </c>
      <c r="C32" s="163" t="s">
        <v>222</v>
      </c>
      <c r="D32" s="4" t="s">
        <v>8</v>
      </c>
      <c r="E32" s="4">
        <v>4</v>
      </c>
      <c r="F32" s="4">
        <v>4</v>
      </c>
      <c r="G32" s="161">
        <v>0</v>
      </c>
      <c r="H32" s="161">
        <v>0</v>
      </c>
      <c r="I32" s="161">
        <v>0</v>
      </c>
      <c r="J32" s="47">
        <f>APUs!G1590</f>
        <v>105844</v>
      </c>
      <c r="K32" s="5">
        <f t="shared" si="17"/>
        <v>423376</v>
      </c>
      <c r="L32" s="5">
        <f t="shared" si="17"/>
        <v>423376</v>
      </c>
      <c r="M32" s="5">
        <f t="shared" si="18"/>
        <v>0</v>
      </c>
      <c r="N32" s="5">
        <f t="shared" si="19"/>
        <v>0</v>
      </c>
      <c r="O32" s="5">
        <f t="shared" si="20"/>
        <v>0</v>
      </c>
    </row>
    <row r="33" spans="1:16" hidden="1" outlineLevel="3" x14ac:dyDescent="0.25">
      <c r="A33" s="44" t="s">
        <v>249</v>
      </c>
      <c r="B33" s="31" t="str">
        <f t="shared" si="15"/>
        <v>025_OC</v>
      </c>
      <c r="C33" s="163" t="s">
        <v>2816</v>
      </c>
      <c r="D33" s="4" t="s">
        <v>8</v>
      </c>
      <c r="E33" s="4">
        <v>7</v>
      </c>
      <c r="F33" s="4">
        <v>7</v>
      </c>
      <c r="G33" s="4">
        <v>1</v>
      </c>
      <c r="H33" s="4">
        <v>1</v>
      </c>
      <c r="I33" s="4">
        <v>1</v>
      </c>
      <c r="J33" s="47">
        <f>APUs!G1659</f>
        <v>3014100</v>
      </c>
      <c r="K33" s="5">
        <f t="shared" si="17"/>
        <v>21098700</v>
      </c>
      <c r="L33" s="5">
        <f t="shared" si="17"/>
        <v>21098700</v>
      </c>
      <c r="M33" s="5">
        <f t="shared" si="18"/>
        <v>3014100</v>
      </c>
      <c r="N33" s="5">
        <f t="shared" si="19"/>
        <v>3014100</v>
      </c>
      <c r="O33" s="5">
        <f t="shared" si="20"/>
        <v>3014100</v>
      </c>
    </row>
    <row r="34" spans="1:16" hidden="1" outlineLevel="3" x14ac:dyDescent="0.25">
      <c r="A34" s="44" t="s">
        <v>250</v>
      </c>
      <c r="B34" s="31" t="str">
        <f t="shared" si="15"/>
        <v>026_OC</v>
      </c>
      <c r="C34" s="163" t="s">
        <v>2817</v>
      </c>
      <c r="D34" s="4" t="s">
        <v>8</v>
      </c>
      <c r="E34" s="4"/>
      <c r="F34" s="4"/>
      <c r="G34" s="4">
        <v>11</v>
      </c>
      <c r="H34" s="4">
        <v>15</v>
      </c>
      <c r="I34" s="159">
        <v>12</v>
      </c>
      <c r="J34" s="47">
        <f>APUs!G1728</f>
        <v>4714065</v>
      </c>
      <c r="K34" s="5">
        <f t="shared" ref="K34" si="22">$J34*E34</f>
        <v>0</v>
      </c>
      <c r="L34" s="5">
        <f t="shared" ref="L34" si="23">$J34*F34</f>
        <v>0</v>
      </c>
      <c r="M34" s="5">
        <f t="shared" ref="M34" si="24">$J34*G34</f>
        <v>51854715</v>
      </c>
      <c r="N34" s="5">
        <f t="shared" ref="N34" si="25">$J34*H34</f>
        <v>70710975</v>
      </c>
      <c r="O34" s="5">
        <f t="shared" ref="O34" si="26">$J34*I34</f>
        <v>56568780</v>
      </c>
    </row>
    <row r="35" spans="1:16" hidden="1" outlineLevel="3" x14ac:dyDescent="0.25">
      <c r="A35" s="44" t="s">
        <v>251</v>
      </c>
      <c r="B35" s="31" t="str">
        <f t="shared" si="15"/>
        <v>027_OC</v>
      </c>
      <c r="C35" s="163" t="s">
        <v>2818</v>
      </c>
      <c r="D35" s="4" t="s">
        <v>8</v>
      </c>
      <c r="E35" s="4"/>
      <c r="F35" s="4"/>
      <c r="G35" s="159">
        <v>9</v>
      </c>
      <c r="H35" s="159">
        <v>13</v>
      </c>
      <c r="I35" s="159">
        <v>8</v>
      </c>
      <c r="J35" s="47">
        <f>APUs!G1797</f>
        <v>7357085</v>
      </c>
      <c r="K35" s="5">
        <f t="shared" si="17"/>
        <v>0</v>
      </c>
      <c r="L35" s="5">
        <f t="shared" si="17"/>
        <v>0</v>
      </c>
      <c r="M35" s="5">
        <f t="shared" si="18"/>
        <v>66213765</v>
      </c>
      <c r="N35" s="5">
        <f t="shared" si="19"/>
        <v>95642105</v>
      </c>
      <c r="O35" s="5">
        <f t="shared" si="20"/>
        <v>58856680</v>
      </c>
    </row>
    <row r="36" spans="1:16" hidden="1" outlineLevel="3" x14ac:dyDescent="0.25">
      <c r="A36" s="44" t="s">
        <v>252</v>
      </c>
      <c r="B36" s="31" t="str">
        <f t="shared" si="15"/>
        <v>028_OC</v>
      </c>
      <c r="C36" s="163" t="s">
        <v>2619</v>
      </c>
      <c r="D36" s="4" t="s">
        <v>108</v>
      </c>
      <c r="E36" s="159">
        <f>12+14+10</f>
        <v>36</v>
      </c>
      <c r="F36" s="159">
        <f>6+5+5+15</f>
        <v>31</v>
      </c>
      <c r="G36" s="159">
        <f>6*8</f>
        <v>48</v>
      </c>
      <c r="H36" s="159">
        <f>6+9</f>
        <v>15</v>
      </c>
      <c r="I36" s="159">
        <f>6+9</f>
        <v>15</v>
      </c>
      <c r="J36" s="47">
        <f>APUs!G1863</f>
        <v>83887</v>
      </c>
      <c r="K36" s="5">
        <f t="shared" si="17"/>
        <v>3019932</v>
      </c>
      <c r="L36" s="5">
        <f t="shared" si="17"/>
        <v>2600497</v>
      </c>
      <c r="M36" s="5">
        <f t="shared" si="18"/>
        <v>4026576</v>
      </c>
      <c r="N36" s="5">
        <f t="shared" si="19"/>
        <v>1258305</v>
      </c>
      <c r="O36" s="5">
        <f t="shared" si="20"/>
        <v>1258305</v>
      </c>
    </row>
    <row r="37" spans="1:16" hidden="1" outlineLevel="2" collapsed="1" x14ac:dyDescent="0.25">
      <c r="C37" s="207" t="s">
        <v>216</v>
      </c>
      <c r="D37" s="208"/>
      <c r="E37" s="208"/>
      <c r="F37" s="208"/>
      <c r="G37" s="208"/>
      <c r="H37" s="208"/>
      <c r="I37" s="208"/>
      <c r="J37" s="208"/>
      <c r="K37" s="209">
        <f>SUM(K38:K43)</f>
        <v>199279818</v>
      </c>
      <c r="L37" s="209">
        <f>SUM(L38:L43)</f>
        <v>199279818</v>
      </c>
      <c r="M37" s="209">
        <f>SUM(M38:M43)</f>
        <v>238314870</v>
      </c>
      <c r="N37" s="209">
        <f>SUM(N38:N43)</f>
        <v>212291502</v>
      </c>
      <c r="O37" s="209">
        <f>SUM(O38:O43)</f>
        <v>218797344</v>
      </c>
    </row>
    <row r="38" spans="1:16" hidden="1" outlineLevel="3" x14ac:dyDescent="0.25">
      <c r="A38" s="205" t="s">
        <v>253</v>
      </c>
      <c r="B38" s="206" t="str">
        <f t="shared" ref="B38:B42" si="27">A38&amp;"_OC"</f>
        <v>029_OC</v>
      </c>
      <c r="C38" s="202" t="s">
        <v>2906</v>
      </c>
      <c r="D38" s="4" t="s">
        <v>114</v>
      </c>
      <c r="E38" s="188">
        <f>25*2+0.5*E40+27*4</f>
        <v>170</v>
      </c>
      <c r="F38" s="188">
        <f t="shared" ref="F38:I38" si="28">25*2+0.5*F40+27*4</f>
        <v>170</v>
      </c>
      <c r="G38" s="188">
        <f t="shared" si="28"/>
        <v>182</v>
      </c>
      <c r="H38" s="188">
        <f t="shared" si="28"/>
        <v>174</v>
      </c>
      <c r="I38" s="188">
        <f t="shared" si="28"/>
        <v>176</v>
      </c>
      <c r="J38" s="47">
        <f>APUs!G1928</f>
        <v>38345</v>
      </c>
      <c r="K38" s="5">
        <f t="shared" ref="K38:L42" si="29">$J38*E38</f>
        <v>6518650</v>
      </c>
      <c r="L38" s="5">
        <f t="shared" si="29"/>
        <v>6518650</v>
      </c>
      <c r="M38" s="5">
        <f t="shared" ref="M38:O42" si="30">$J38*G38</f>
        <v>6978790</v>
      </c>
      <c r="N38" s="5">
        <f t="shared" si="30"/>
        <v>6672030</v>
      </c>
      <c r="O38" s="5">
        <f t="shared" si="30"/>
        <v>6748720</v>
      </c>
    </row>
    <row r="39" spans="1:16" hidden="1" outlineLevel="3" x14ac:dyDescent="0.25">
      <c r="A39" s="44" t="s">
        <v>254</v>
      </c>
      <c r="B39" s="31" t="str">
        <f t="shared" si="27"/>
        <v>030_OC</v>
      </c>
      <c r="C39" s="165" t="s">
        <v>2612</v>
      </c>
      <c r="D39" s="4" t="s">
        <v>8</v>
      </c>
      <c r="E39" s="4">
        <v>2</v>
      </c>
      <c r="F39" s="4">
        <v>2</v>
      </c>
      <c r="G39" s="4">
        <v>2</v>
      </c>
      <c r="H39" s="4">
        <v>2</v>
      </c>
      <c r="I39" s="4">
        <v>2</v>
      </c>
      <c r="J39" s="47">
        <f>APUs!G1997</f>
        <v>42138921</v>
      </c>
      <c r="K39" s="5">
        <f t="shared" si="29"/>
        <v>84277842</v>
      </c>
      <c r="L39" s="5">
        <f t="shared" si="29"/>
        <v>84277842</v>
      </c>
      <c r="M39" s="5">
        <f t="shared" si="30"/>
        <v>84277842</v>
      </c>
      <c r="N39" s="5">
        <f t="shared" si="30"/>
        <v>84277842</v>
      </c>
      <c r="O39" s="5">
        <f t="shared" si="30"/>
        <v>84277842</v>
      </c>
    </row>
    <row r="40" spans="1:16" hidden="1" outlineLevel="3" x14ac:dyDescent="0.25">
      <c r="A40" s="44" t="s">
        <v>255</v>
      </c>
      <c r="B40" s="31" t="str">
        <f t="shared" si="27"/>
        <v>031_OC</v>
      </c>
      <c r="C40" s="165" t="s">
        <v>2611</v>
      </c>
      <c r="D40" s="4" t="s">
        <v>108</v>
      </c>
      <c r="E40" s="4">
        <f>6*4</f>
        <v>24</v>
      </c>
      <c r="F40" s="4">
        <f>6*4</f>
        <v>24</v>
      </c>
      <c r="G40" s="4">
        <f>12*4</f>
        <v>48</v>
      </c>
      <c r="H40" s="4">
        <f>8*4</f>
        <v>32</v>
      </c>
      <c r="I40" s="4">
        <f>9*4</f>
        <v>36</v>
      </c>
      <c r="J40" s="47">
        <f>APUs!G2065</f>
        <v>1607288</v>
      </c>
      <c r="K40" s="5">
        <f t="shared" ref="K40" si="31">$J40*E40</f>
        <v>38574912</v>
      </c>
      <c r="L40" s="5">
        <f t="shared" ref="L40" si="32">$J40*F40</f>
        <v>38574912</v>
      </c>
      <c r="M40" s="5">
        <f t="shared" ref="M40" si="33">$J40*G40</f>
        <v>77149824</v>
      </c>
      <c r="N40" s="5">
        <f t="shared" ref="N40" si="34">$J40*H40</f>
        <v>51433216</v>
      </c>
      <c r="O40" s="5">
        <f t="shared" ref="O40" si="35">$J40*I40</f>
        <v>57862368</v>
      </c>
    </row>
    <row r="41" spans="1:16" hidden="1" outlineLevel="3" x14ac:dyDescent="0.25">
      <c r="A41" s="44" t="s">
        <v>256</v>
      </c>
      <c r="B41" s="31" t="str">
        <f t="shared" si="27"/>
        <v>032_OC</v>
      </c>
      <c r="C41" s="165" t="s">
        <v>221</v>
      </c>
      <c r="D41" s="4" t="s">
        <v>8</v>
      </c>
      <c r="E41" s="4">
        <v>2</v>
      </c>
      <c r="F41" s="4">
        <v>2</v>
      </c>
      <c r="G41" s="4">
        <v>2</v>
      </c>
      <c r="H41" s="4">
        <v>2</v>
      </c>
      <c r="I41" s="4">
        <v>2</v>
      </c>
      <c r="J41" s="47">
        <f>APUs!G2135</f>
        <v>27777038</v>
      </c>
      <c r="K41" s="5">
        <f t="shared" si="29"/>
        <v>55554076</v>
      </c>
      <c r="L41" s="5">
        <f t="shared" si="29"/>
        <v>55554076</v>
      </c>
      <c r="M41" s="5">
        <f t="shared" si="30"/>
        <v>55554076</v>
      </c>
      <c r="N41" s="5">
        <f t="shared" si="30"/>
        <v>55554076</v>
      </c>
      <c r="O41" s="5">
        <f t="shared" si="30"/>
        <v>55554076</v>
      </c>
    </row>
    <row r="42" spans="1:16" hidden="1" outlineLevel="3" x14ac:dyDescent="0.25">
      <c r="A42" s="44" t="s">
        <v>257</v>
      </c>
      <c r="B42" s="31" t="str">
        <f t="shared" si="27"/>
        <v>033_OC</v>
      </c>
      <c r="C42" s="165" t="s">
        <v>217</v>
      </c>
      <c r="D42" s="4" t="s">
        <v>8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7">
        <f>APUs!G2203</f>
        <v>10437316</v>
      </c>
      <c r="K42" s="5">
        <f t="shared" si="29"/>
        <v>10437316</v>
      </c>
      <c r="L42" s="5">
        <f t="shared" si="29"/>
        <v>10437316</v>
      </c>
      <c r="M42" s="5">
        <f t="shared" si="30"/>
        <v>10437316</v>
      </c>
      <c r="N42" s="5">
        <f t="shared" si="30"/>
        <v>10437316</v>
      </c>
      <c r="O42" s="5">
        <f t="shared" si="30"/>
        <v>10437316</v>
      </c>
    </row>
    <row r="43" spans="1:16" hidden="1" outlineLevel="3" x14ac:dyDescent="0.25">
      <c r="A43" s="44" t="s">
        <v>258</v>
      </c>
      <c r="B43" s="31" t="str">
        <f t="shared" ref="B43" si="36">A43&amp;"_OC"</f>
        <v>034_OC</v>
      </c>
      <c r="C43" s="153" t="str">
        <f>UPPER("Solado en concreto premezclado de 2000 psi  incluye suministro y colocacion")</f>
        <v>SOLADO EN CONCRETO PREMEZCLADO DE 2000 PSI  INCLUYE SUMINISTRO Y COLOCACION</v>
      </c>
      <c r="D43" s="4" t="s">
        <v>114</v>
      </c>
      <c r="E43" s="4">
        <f>E41*2+4*0.5</f>
        <v>6</v>
      </c>
      <c r="F43" s="4">
        <f t="shared" ref="F43:I43" si="37">F41*2+4*0.5</f>
        <v>6</v>
      </c>
      <c r="G43" s="4">
        <f t="shared" si="37"/>
        <v>6</v>
      </c>
      <c r="H43" s="4">
        <f t="shared" si="37"/>
        <v>6</v>
      </c>
      <c r="I43" s="4">
        <f t="shared" si="37"/>
        <v>6</v>
      </c>
      <c r="J43" s="47">
        <f>APUs!G2271</f>
        <v>652837</v>
      </c>
      <c r="K43" s="5">
        <f t="shared" ref="K43" si="38">$J43*E43</f>
        <v>3917022</v>
      </c>
      <c r="L43" s="5">
        <f t="shared" ref="L43" si="39">$J43*F43</f>
        <v>3917022</v>
      </c>
      <c r="M43" s="5">
        <f t="shared" ref="M43" si="40">$J43*G43</f>
        <v>3917022</v>
      </c>
      <c r="N43" s="5">
        <f t="shared" ref="N43" si="41">$J43*H43</f>
        <v>3917022</v>
      </c>
      <c r="O43" s="5">
        <f t="shared" ref="O43" si="42">$J43*I43</f>
        <v>3917022</v>
      </c>
    </row>
    <row r="44" spans="1:16" hidden="1" outlineLevel="2" collapsed="1" x14ac:dyDescent="0.25">
      <c r="A44" s="44"/>
      <c r="B44" s="31"/>
      <c r="C44" s="165"/>
      <c r="D44" s="4"/>
      <c r="E44" s="4"/>
      <c r="F44" s="4"/>
      <c r="G44" s="4"/>
      <c r="H44" s="4"/>
      <c r="I44" s="4"/>
      <c r="J44" s="6"/>
      <c r="K44" s="5"/>
      <c r="L44" s="5"/>
      <c r="M44" s="5"/>
      <c r="N44" s="5"/>
      <c r="O44" s="5"/>
    </row>
    <row r="45" spans="1:16" ht="14.25" customHeight="1" outlineLevel="1" collapsed="1" x14ac:dyDescent="0.25">
      <c r="C45" s="172" t="s">
        <v>23</v>
      </c>
      <c r="D45" s="173"/>
      <c r="E45" s="173"/>
      <c r="F45" s="173"/>
      <c r="G45" s="173"/>
      <c r="H45" s="173"/>
      <c r="I45" s="173"/>
      <c r="J45" s="174"/>
      <c r="K45" s="175">
        <f>K46+K57+K67+K79</f>
        <v>211919116.75</v>
      </c>
      <c r="L45" s="175">
        <f>L46+L57+L67+L79</f>
        <v>199011485.75</v>
      </c>
      <c r="M45" s="175">
        <f>M46+M57+M67+M79</f>
        <v>238377353.09999999</v>
      </c>
      <c r="N45" s="175">
        <f>N46+N57+N67+N79</f>
        <v>327991803.64999998</v>
      </c>
      <c r="O45" s="175">
        <f>O46+O57+O67+O79</f>
        <v>248317556.44999999</v>
      </c>
      <c r="P45" s="98"/>
    </row>
    <row r="46" spans="1:16" hidden="1" outlineLevel="2" x14ac:dyDescent="0.25">
      <c r="C46" s="210" t="s">
        <v>208</v>
      </c>
      <c r="D46" s="208"/>
      <c r="E46" s="208"/>
      <c r="F46" s="208"/>
      <c r="G46" s="208"/>
      <c r="H46" s="208"/>
      <c r="I46" s="208"/>
      <c r="J46" s="208"/>
      <c r="K46" s="209">
        <f>SUM(K47:K56)</f>
        <v>109177437</v>
      </c>
      <c r="L46" s="209">
        <f t="shared" ref="L46:O46" si="43">SUM(L47:L56)</f>
        <v>92524929.25</v>
      </c>
      <c r="M46" s="209">
        <f t="shared" si="43"/>
        <v>115423377.59999999</v>
      </c>
      <c r="N46" s="209">
        <f t="shared" si="43"/>
        <v>171284888.65000001</v>
      </c>
      <c r="O46" s="209">
        <f t="shared" si="43"/>
        <v>93661172.200000003</v>
      </c>
    </row>
    <row r="47" spans="1:16" hidden="1" outlineLevel="3" x14ac:dyDescent="0.25">
      <c r="A47" s="205" t="s">
        <v>253</v>
      </c>
      <c r="B47" s="206" t="str">
        <f t="shared" ref="B47" si="44">A47&amp;"_OC"</f>
        <v>029_OC</v>
      </c>
      <c r="C47" s="202" t="s">
        <v>2906</v>
      </c>
      <c r="D47" s="196" t="s">
        <v>114</v>
      </c>
      <c r="E47" s="196">
        <f>180*0.5*1.5</f>
        <v>135</v>
      </c>
      <c r="F47" s="196">
        <f>145*0.5*1.5</f>
        <v>108.75</v>
      </c>
      <c r="G47" s="196">
        <f>(46+130)*0.5*1.5</f>
        <v>132</v>
      </c>
      <c r="H47" s="196">
        <f>(32+120+44+88+11+14)*0.5*1.5</f>
        <v>231.75</v>
      </c>
      <c r="I47" s="196">
        <f>(120+32)*0.5*1.5</f>
        <v>114</v>
      </c>
      <c r="J47" s="86">
        <f>APUs!G1928</f>
        <v>38345</v>
      </c>
      <c r="K47" s="5">
        <f t="shared" ref="K47:L55" si="45">$J47*E47</f>
        <v>5176575</v>
      </c>
      <c r="L47" s="5">
        <f t="shared" si="45"/>
        <v>4170018.75</v>
      </c>
      <c r="M47" s="5">
        <f t="shared" ref="M47:O55" si="46">$J47*G47</f>
        <v>5061540</v>
      </c>
      <c r="N47" s="5">
        <f t="shared" si="46"/>
        <v>8886453.75</v>
      </c>
      <c r="O47" s="5">
        <f t="shared" si="46"/>
        <v>4371330</v>
      </c>
    </row>
    <row r="48" spans="1:16" hidden="1" outlineLevel="3" x14ac:dyDescent="0.25">
      <c r="A48" s="44" t="s">
        <v>260</v>
      </c>
      <c r="B48" s="31" t="str">
        <f t="shared" ref="B48:B56" si="47">A48&amp;"_OC"</f>
        <v>036_OC</v>
      </c>
      <c r="C48" s="202" t="s">
        <v>2175</v>
      </c>
      <c r="D48" s="196" t="s">
        <v>108</v>
      </c>
      <c r="E48" s="196">
        <v>180</v>
      </c>
      <c r="F48" s="196">
        <v>145</v>
      </c>
      <c r="G48" s="196">
        <f>46+130</f>
        <v>176</v>
      </c>
      <c r="H48" s="196">
        <f>32+120+44+88+11+14</f>
        <v>309</v>
      </c>
      <c r="I48" s="196">
        <f>120+32</f>
        <v>152</v>
      </c>
      <c r="J48" s="47">
        <f>APUs!G2405</f>
        <v>200006</v>
      </c>
      <c r="K48" s="5">
        <f t="shared" si="45"/>
        <v>36001080</v>
      </c>
      <c r="L48" s="5">
        <f t="shared" si="45"/>
        <v>29000870</v>
      </c>
      <c r="M48" s="5">
        <f t="shared" si="46"/>
        <v>35201056</v>
      </c>
      <c r="N48" s="5">
        <f t="shared" si="46"/>
        <v>61801854</v>
      </c>
      <c r="O48" s="5">
        <f t="shared" si="46"/>
        <v>30400912</v>
      </c>
    </row>
    <row r="49" spans="1:19" hidden="1" outlineLevel="3" x14ac:dyDescent="0.25">
      <c r="A49" s="44" t="s">
        <v>261</v>
      </c>
      <c r="B49" s="31" t="str">
        <f t="shared" si="47"/>
        <v>037_OC</v>
      </c>
      <c r="C49" s="202" t="s">
        <v>1586</v>
      </c>
      <c r="D49" s="196" t="s">
        <v>114</v>
      </c>
      <c r="E49" s="196">
        <f>180*0.5*0.9</f>
        <v>81</v>
      </c>
      <c r="F49" s="196">
        <f>145*0.5*0.9</f>
        <v>65.25</v>
      </c>
      <c r="G49" s="196">
        <f>(46+130)*0.5*0.9</f>
        <v>79.2</v>
      </c>
      <c r="H49" s="196">
        <f>(32+120+44+88+11+14)*0.5*0.9</f>
        <v>139.05000000000001</v>
      </c>
      <c r="I49" s="196">
        <f>(120+32)*0.5*0.9</f>
        <v>68.400000000000006</v>
      </c>
      <c r="J49" s="47">
        <f>APUs!G2472</f>
        <v>106938</v>
      </c>
      <c r="K49" s="5">
        <f t="shared" si="45"/>
        <v>8661978</v>
      </c>
      <c r="L49" s="5">
        <f t="shared" si="45"/>
        <v>6977704.5</v>
      </c>
      <c r="M49" s="5">
        <f t="shared" si="46"/>
        <v>8469489.5999999996</v>
      </c>
      <c r="N49" s="5">
        <f t="shared" si="46"/>
        <v>14869728.9</v>
      </c>
      <c r="O49" s="5">
        <f t="shared" si="46"/>
        <v>7314559.2000000002</v>
      </c>
    </row>
    <row r="50" spans="1:19" hidden="1" outlineLevel="3" x14ac:dyDescent="0.25">
      <c r="A50" s="44" t="s">
        <v>262</v>
      </c>
      <c r="B50" s="31" t="str">
        <f t="shared" si="47"/>
        <v>038_OC</v>
      </c>
      <c r="C50" s="202" t="s">
        <v>1646</v>
      </c>
      <c r="D50" s="196" t="s">
        <v>8</v>
      </c>
      <c r="E50" s="196">
        <v>12</v>
      </c>
      <c r="F50" s="196">
        <v>11</v>
      </c>
      <c r="G50" s="196">
        <v>17</v>
      </c>
      <c r="H50" s="196">
        <v>24</v>
      </c>
      <c r="I50" s="196">
        <v>14</v>
      </c>
      <c r="J50" s="47">
        <f>APUs!G2544</f>
        <v>1126658</v>
      </c>
      <c r="K50" s="5">
        <f t="shared" si="45"/>
        <v>13519896</v>
      </c>
      <c r="L50" s="5">
        <f t="shared" si="45"/>
        <v>12393238</v>
      </c>
      <c r="M50" s="5">
        <f t="shared" si="46"/>
        <v>19153186</v>
      </c>
      <c r="N50" s="5">
        <f t="shared" si="46"/>
        <v>27039792</v>
      </c>
      <c r="O50" s="5">
        <f t="shared" si="46"/>
        <v>15773212</v>
      </c>
    </row>
    <row r="51" spans="1:19" hidden="1" outlineLevel="3" x14ac:dyDescent="0.25">
      <c r="A51" s="44" t="s">
        <v>263</v>
      </c>
      <c r="B51" s="31" t="str">
        <f t="shared" si="47"/>
        <v>039_OC</v>
      </c>
      <c r="C51" s="202" t="s">
        <v>1647</v>
      </c>
      <c r="D51" s="196" t="s">
        <v>8</v>
      </c>
      <c r="E51" s="203">
        <v>0</v>
      </c>
      <c r="F51" s="203">
        <v>0</v>
      </c>
      <c r="G51" s="203">
        <v>0</v>
      </c>
      <c r="H51" s="196">
        <v>3</v>
      </c>
      <c r="I51" s="203">
        <v>0</v>
      </c>
      <c r="J51" s="47">
        <f>APUs!G2616</f>
        <v>1349870</v>
      </c>
      <c r="K51" s="5">
        <f t="shared" si="45"/>
        <v>0</v>
      </c>
      <c r="L51" s="5">
        <f t="shared" si="45"/>
        <v>0</v>
      </c>
      <c r="M51" s="5">
        <f t="shared" si="46"/>
        <v>0</v>
      </c>
      <c r="N51" s="5">
        <f t="shared" si="46"/>
        <v>4049610</v>
      </c>
      <c r="O51" s="5">
        <f t="shared" si="46"/>
        <v>0</v>
      </c>
    </row>
    <row r="52" spans="1:19" hidden="1" outlineLevel="3" x14ac:dyDescent="0.25">
      <c r="A52" s="44" t="s">
        <v>264</v>
      </c>
      <c r="B52" s="31" t="str">
        <f t="shared" si="47"/>
        <v>040_OC</v>
      </c>
      <c r="C52" s="202" t="s">
        <v>2801</v>
      </c>
      <c r="D52" s="196" t="s">
        <v>8</v>
      </c>
      <c r="E52" s="196">
        <v>4</v>
      </c>
      <c r="F52" s="196">
        <v>2</v>
      </c>
      <c r="G52" s="196">
        <v>3</v>
      </c>
      <c r="H52" s="196">
        <v>5</v>
      </c>
      <c r="I52" s="196">
        <v>1</v>
      </c>
      <c r="J52" s="47">
        <f>APUs!G2682</f>
        <v>677631</v>
      </c>
      <c r="K52" s="5">
        <f>$J52*E52</f>
        <v>2710524</v>
      </c>
      <c r="L52" s="5">
        <f>$J52*F52</f>
        <v>1355262</v>
      </c>
      <c r="M52" s="5">
        <f>$J52*G52</f>
        <v>2032893</v>
      </c>
      <c r="N52" s="5">
        <f>$J52*H52</f>
        <v>3388155</v>
      </c>
      <c r="O52" s="5">
        <f>$J52*I52</f>
        <v>677631</v>
      </c>
    </row>
    <row r="53" spans="1:19" hidden="1" outlineLevel="3" x14ac:dyDescent="0.25">
      <c r="A53" s="44" t="s">
        <v>265</v>
      </c>
      <c r="B53" s="31" t="str">
        <f t="shared" si="47"/>
        <v>041_OC</v>
      </c>
      <c r="C53" s="202" t="s">
        <v>2802</v>
      </c>
      <c r="D53" s="196" t="s">
        <v>114</v>
      </c>
      <c r="E53" s="196">
        <v>4</v>
      </c>
      <c r="F53" s="196">
        <v>2</v>
      </c>
      <c r="G53" s="196">
        <v>3</v>
      </c>
      <c r="H53" s="196">
        <v>5</v>
      </c>
      <c r="I53" s="196">
        <v>1</v>
      </c>
      <c r="J53" s="47">
        <f>APUs!G2748</f>
        <v>1147838</v>
      </c>
      <c r="K53" s="5">
        <f t="shared" si="45"/>
        <v>4591352</v>
      </c>
      <c r="L53" s="5">
        <f t="shared" si="45"/>
        <v>2295676</v>
      </c>
      <c r="M53" s="5">
        <f t="shared" si="46"/>
        <v>3443514</v>
      </c>
      <c r="N53" s="5">
        <f t="shared" si="46"/>
        <v>5739190</v>
      </c>
      <c r="O53" s="5">
        <f t="shared" si="46"/>
        <v>1147838</v>
      </c>
      <c r="S53" s="66"/>
    </row>
    <row r="54" spans="1:19" hidden="1" outlineLevel="3" x14ac:dyDescent="0.25">
      <c r="A54" s="44" t="s">
        <v>266</v>
      </c>
      <c r="B54" s="31" t="str">
        <f t="shared" si="47"/>
        <v>042_OC</v>
      </c>
      <c r="C54" s="202" t="s">
        <v>2809</v>
      </c>
      <c r="D54" s="196" t="s">
        <v>8</v>
      </c>
      <c r="E54" s="196">
        <v>4</v>
      </c>
      <c r="F54" s="196">
        <v>2</v>
      </c>
      <c r="G54" s="196">
        <v>3</v>
      </c>
      <c r="H54" s="196">
        <v>5</v>
      </c>
      <c r="I54" s="196">
        <v>1</v>
      </c>
      <c r="J54" s="47">
        <f>APUs!G2814</f>
        <v>1091936</v>
      </c>
      <c r="K54" s="5">
        <f t="shared" ref="K54" si="48">$J54*E54</f>
        <v>4367744</v>
      </c>
      <c r="L54" s="5">
        <f t="shared" ref="L54" si="49">$J54*F54</f>
        <v>2183872</v>
      </c>
      <c r="M54" s="5">
        <f t="shared" ref="M54" si="50">$J54*G54</f>
        <v>3275808</v>
      </c>
      <c r="N54" s="5">
        <f t="shared" ref="N54" si="51">$J54*H54</f>
        <v>5459680</v>
      </c>
      <c r="O54" s="5">
        <f t="shared" ref="O54" si="52">$J54*I54</f>
        <v>1091936</v>
      </c>
      <c r="S54" s="66"/>
    </row>
    <row r="55" spans="1:19" hidden="1" outlineLevel="3" x14ac:dyDescent="0.25">
      <c r="A55" s="44" t="s">
        <v>267</v>
      </c>
      <c r="B55" s="31" t="str">
        <f t="shared" si="47"/>
        <v>043_OC</v>
      </c>
      <c r="C55" s="202" t="s">
        <v>2546</v>
      </c>
      <c r="D55" s="196" t="s">
        <v>8</v>
      </c>
      <c r="E55" s="196">
        <v>1</v>
      </c>
      <c r="F55" s="196">
        <v>1</v>
      </c>
      <c r="G55" s="4">
        <v>2</v>
      </c>
      <c r="H55" s="196">
        <v>1</v>
      </c>
      <c r="I55" s="196">
        <v>2</v>
      </c>
      <c r="J55" s="47">
        <f>APUs!G2882</f>
        <v>10539740</v>
      </c>
      <c r="K55" s="5">
        <f t="shared" si="45"/>
        <v>10539740</v>
      </c>
      <c r="L55" s="5">
        <f t="shared" si="45"/>
        <v>10539740</v>
      </c>
      <c r="M55" s="5">
        <f t="shared" si="46"/>
        <v>21079480</v>
      </c>
      <c r="N55" s="5">
        <f t="shared" si="46"/>
        <v>10539740</v>
      </c>
      <c r="O55" s="5">
        <f t="shared" si="46"/>
        <v>21079480</v>
      </c>
    </row>
    <row r="56" spans="1:19" hidden="1" outlineLevel="3" x14ac:dyDescent="0.25">
      <c r="A56" s="44" t="s">
        <v>268</v>
      </c>
      <c r="B56" s="31" t="str">
        <f t="shared" si="47"/>
        <v>044_OC</v>
      </c>
      <c r="C56" s="202" t="s">
        <v>214</v>
      </c>
      <c r="D56" s="196" t="s">
        <v>8</v>
      </c>
      <c r="E56" s="196">
        <v>4</v>
      </c>
      <c r="F56" s="196">
        <v>4</v>
      </c>
      <c r="G56" s="196">
        <v>3</v>
      </c>
      <c r="H56" s="196">
        <v>5</v>
      </c>
      <c r="I56" s="196">
        <v>2</v>
      </c>
      <c r="J56" s="47">
        <f>APUs!G2952</f>
        <v>5902137</v>
      </c>
      <c r="K56" s="86">
        <f>$J56*E56</f>
        <v>23608548</v>
      </c>
      <c r="L56" s="86">
        <f>$J56*F56</f>
        <v>23608548</v>
      </c>
      <c r="M56" s="86">
        <f>$J56*G56</f>
        <v>17706411</v>
      </c>
      <c r="N56" s="86">
        <f>$J56*H56</f>
        <v>29510685</v>
      </c>
      <c r="O56" s="86">
        <f>$J56*I56</f>
        <v>11804274</v>
      </c>
    </row>
    <row r="57" spans="1:19" hidden="1" outlineLevel="2" collapsed="1" x14ac:dyDescent="0.25">
      <c r="C57" s="210" t="s">
        <v>215</v>
      </c>
      <c r="D57" s="208"/>
      <c r="E57" s="208"/>
      <c r="F57" s="208"/>
      <c r="G57" s="208"/>
      <c r="H57" s="208"/>
      <c r="I57" s="208"/>
      <c r="J57" s="208"/>
      <c r="K57" s="209">
        <f>SUM(K58:K65)</f>
        <v>72581562</v>
      </c>
      <c r="L57" s="209">
        <f t="shared" ref="L57:O57" si="53">SUM(L58:L65)</f>
        <v>71049284</v>
      </c>
      <c r="M57" s="209">
        <f t="shared" si="53"/>
        <v>82319631</v>
      </c>
      <c r="N57" s="209">
        <f t="shared" si="53"/>
        <v>113079400.5</v>
      </c>
      <c r="O57" s="209">
        <f t="shared" si="53"/>
        <v>113479240.75</v>
      </c>
    </row>
    <row r="58" spans="1:19" hidden="1" outlineLevel="3" x14ac:dyDescent="0.25">
      <c r="A58" s="205" t="s">
        <v>253</v>
      </c>
      <c r="B58" s="206" t="str">
        <f t="shared" ref="B58" si="54">A58&amp;"_OC"</f>
        <v>029_OC</v>
      </c>
      <c r="C58" s="153" t="s">
        <v>2824</v>
      </c>
      <c r="D58" s="196" t="s">
        <v>114</v>
      </c>
      <c r="E58" s="194">
        <f>SUM(E60:E64)*0.5*1.5</f>
        <v>135</v>
      </c>
      <c r="F58" s="194">
        <f t="shared" ref="F58:I58" si="55">SUM(F60:F64)*0.5*1.5</f>
        <v>135</v>
      </c>
      <c r="G58" s="194">
        <f t="shared" si="55"/>
        <v>207</v>
      </c>
      <c r="H58" s="194">
        <f t="shared" si="55"/>
        <v>280.5</v>
      </c>
      <c r="I58" s="194">
        <f t="shared" si="55"/>
        <v>315.75</v>
      </c>
      <c r="J58" s="154">
        <f>APUs!G1928</f>
        <v>38345</v>
      </c>
      <c r="K58" s="86">
        <f t="shared" ref="K58:K59" si="56">$J58*E58</f>
        <v>5176575</v>
      </c>
      <c r="L58" s="86">
        <f t="shared" ref="L58:L59" si="57">$J58*F58</f>
        <v>5176575</v>
      </c>
      <c r="M58" s="86">
        <f t="shared" ref="M58:M59" si="58">$J58*G58</f>
        <v>7937415</v>
      </c>
      <c r="N58" s="86">
        <f t="shared" ref="N58:N59" si="59">$J58*H58</f>
        <v>10755772.5</v>
      </c>
      <c r="O58" s="86">
        <f t="shared" ref="O58:O59" si="60">$J58*I58</f>
        <v>12107433.75</v>
      </c>
      <c r="P58" s="98"/>
      <c r="Q58" s="128"/>
    </row>
    <row r="59" spans="1:19" hidden="1" outlineLevel="3" x14ac:dyDescent="0.25">
      <c r="A59" s="44" t="s">
        <v>270</v>
      </c>
      <c r="B59" s="31" t="str">
        <f t="shared" ref="B59" si="61">A59&amp;"_OC"</f>
        <v>046_OC</v>
      </c>
      <c r="C59" s="153" t="s">
        <v>2825</v>
      </c>
      <c r="D59" s="196" t="s">
        <v>108</v>
      </c>
      <c r="E59" s="194">
        <f>SUM(E60:E64)</f>
        <v>180</v>
      </c>
      <c r="F59" s="194">
        <f t="shared" ref="F59:I59" si="62">SUM(F60:F64)</f>
        <v>180</v>
      </c>
      <c r="G59" s="194">
        <f t="shared" si="62"/>
        <v>276</v>
      </c>
      <c r="H59" s="194">
        <f t="shared" si="62"/>
        <v>374</v>
      </c>
      <c r="I59" s="194">
        <f t="shared" si="62"/>
        <v>421</v>
      </c>
      <c r="J59" s="154">
        <f>APUs!G3022</f>
        <v>118227</v>
      </c>
      <c r="K59" s="86">
        <f t="shared" si="56"/>
        <v>21280860</v>
      </c>
      <c r="L59" s="86">
        <f t="shared" si="57"/>
        <v>21280860</v>
      </c>
      <c r="M59" s="86">
        <f t="shared" si="58"/>
        <v>32630652</v>
      </c>
      <c r="N59" s="86">
        <f t="shared" si="59"/>
        <v>44216898</v>
      </c>
      <c r="O59" s="86">
        <f t="shared" si="60"/>
        <v>49773567</v>
      </c>
      <c r="P59" s="98"/>
      <c r="Q59" s="128"/>
    </row>
    <row r="60" spans="1:19" hidden="1" outlineLevel="3" x14ac:dyDescent="0.25">
      <c r="A60" s="44" t="s">
        <v>271</v>
      </c>
      <c r="B60" s="31" t="str">
        <f t="shared" ref="B60" si="63">A60&amp;"_OC"</f>
        <v>047_OC</v>
      </c>
      <c r="C60" s="202" t="s">
        <v>2826</v>
      </c>
      <c r="D60" s="196" t="s">
        <v>108</v>
      </c>
      <c r="E60" s="196">
        <v>15</v>
      </c>
      <c r="F60" s="196">
        <v>15</v>
      </c>
      <c r="G60" s="196">
        <v>5</v>
      </c>
      <c r="H60" s="196">
        <f>10</f>
        <v>10</v>
      </c>
      <c r="I60" s="196">
        <f>10</f>
        <v>10</v>
      </c>
      <c r="J60" s="154">
        <f>APUs!G3094</f>
        <v>133163</v>
      </c>
      <c r="K60" s="86">
        <f t="shared" ref="K60:L63" si="64">$J60*E60</f>
        <v>1997445</v>
      </c>
      <c r="L60" s="86">
        <f t="shared" si="64"/>
        <v>1997445</v>
      </c>
      <c r="M60" s="86">
        <f t="shared" ref="M60:M63" si="65">$J60*G60</f>
        <v>665815</v>
      </c>
      <c r="N60" s="86">
        <f t="shared" ref="N60:N63" si="66">$J60*H60</f>
        <v>1331630</v>
      </c>
      <c r="O60" s="86">
        <f t="shared" ref="O60:O63" si="67">$J60*I60</f>
        <v>1331630</v>
      </c>
      <c r="P60" s="66"/>
      <c r="Q60" s="98"/>
    </row>
    <row r="61" spans="1:19" hidden="1" outlineLevel="3" x14ac:dyDescent="0.25">
      <c r="A61" s="44" t="s">
        <v>272</v>
      </c>
      <c r="B61" s="31" t="str">
        <f t="shared" ref="B61" si="68">A61&amp;"_OC"</f>
        <v>048_OC</v>
      </c>
      <c r="C61" s="202" t="s">
        <v>2827</v>
      </c>
      <c r="D61" s="196" t="s">
        <v>108</v>
      </c>
      <c r="E61" s="203">
        <v>0</v>
      </c>
      <c r="F61" s="203">
        <v>0</v>
      </c>
      <c r="G61" s="196">
        <f>60+8*7</f>
        <v>116</v>
      </c>
      <c r="H61" s="196">
        <f>70+8*7</f>
        <v>126</v>
      </c>
      <c r="I61" s="196">
        <f>210+8*7</f>
        <v>266</v>
      </c>
      <c r="J61" s="154">
        <f>APUs!G3166</f>
        <v>54757</v>
      </c>
      <c r="K61" s="86">
        <f t="shared" si="64"/>
        <v>0</v>
      </c>
      <c r="L61" s="86">
        <f t="shared" si="64"/>
        <v>0</v>
      </c>
      <c r="M61" s="86">
        <f t="shared" si="65"/>
        <v>6351812</v>
      </c>
      <c r="N61" s="86">
        <f t="shared" si="66"/>
        <v>6899382</v>
      </c>
      <c r="O61" s="86">
        <f t="shared" si="67"/>
        <v>14565362</v>
      </c>
      <c r="P61" s="66"/>
    </row>
    <row r="62" spans="1:19" hidden="1" outlineLevel="3" x14ac:dyDescent="0.25">
      <c r="A62" s="44" t="s">
        <v>273</v>
      </c>
      <c r="B62" s="31" t="str">
        <f t="shared" ref="B62" si="69">A62&amp;"_OC"</f>
        <v>049_OC</v>
      </c>
      <c r="C62" s="202" t="s">
        <v>2828</v>
      </c>
      <c r="D62" s="196" t="s">
        <v>108</v>
      </c>
      <c r="E62" s="203">
        <v>0</v>
      </c>
      <c r="F62" s="203">
        <v>0</v>
      </c>
      <c r="G62" s="196">
        <v>60</v>
      </c>
      <c r="H62" s="196">
        <f>90+5+30</f>
        <v>125</v>
      </c>
      <c r="I62" s="196">
        <f>50+10</f>
        <v>60</v>
      </c>
      <c r="J62" s="154">
        <f>APUs!G3238</f>
        <v>175804</v>
      </c>
      <c r="K62" s="86">
        <f t="shared" si="64"/>
        <v>0</v>
      </c>
      <c r="L62" s="86">
        <f t="shared" si="64"/>
        <v>0</v>
      </c>
      <c r="M62" s="86">
        <f t="shared" si="65"/>
        <v>10548240</v>
      </c>
      <c r="N62" s="86">
        <f t="shared" si="66"/>
        <v>21975500</v>
      </c>
      <c r="O62" s="86">
        <f t="shared" si="67"/>
        <v>10548240</v>
      </c>
      <c r="Q62" s="98"/>
    </row>
    <row r="63" spans="1:19" hidden="1" outlineLevel="3" x14ac:dyDescent="0.25">
      <c r="A63" s="44" t="s">
        <v>274</v>
      </c>
      <c r="B63" s="31" t="str">
        <f t="shared" ref="B63:B64" si="70">A63&amp;"_OC"</f>
        <v>050_OC</v>
      </c>
      <c r="C63" s="202" t="s">
        <v>2829</v>
      </c>
      <c r="D63" s="196" t="s">
        <v>108</v>
      </c>
      <c r="E63" s="196">
        <f>115+35</f>
        <v>150</v>
      </c>
      <c r="F63" s="196">
        <v>150</v>
      </c>
      <c r="G63" s="196">
        <f>40+15</f>
        <v>55</v>
      </c>
      <c r="H63" s="196">
        <v>98</v>
      </c>
      <c r="I63" s="196">
        <v>50</v>
      </c>
      <c r="J63" s="154">
        <f>APUs!G3310</f>
        <v>247756</v>
      </c>
      <c r="K63" s="86">
        <f t="shared" si="64"/>
        <v>37163400</v>
      </c>
      <c r="L63" s="86">
        <f t="shared" si="64"/>
        <v>37163400</v>
      </c>
      <c r="M63" s="86">
        <f t="shared" si="65"/>
        <v>13626580</v>
      </c>
      <c r="N63" s="86">
        <f t="shared" si="66"/>
        <v>24280088</v>
      </c>
      <c r="O63" s="86">
        <f t="shared" si="67"/>
        <v>12387800</v>
      </c>
      <c r="Q63" s="66"/>
    </row>
    <row r="64" spans="1:19" hidden="1" outlineLevel="3" x14ac:dyDescent="0.25">
      <c r="A64" s="44" t="s">
        <v>275</v>
      </c>
      <c r="B64" s="31" t="str">
        <f t="shared" si="70"/>
        <v>051_OC</v>
      </c>
      <c r="C64" s="202" t="s">
        <v>2830</v>
      </c>
      <c r="D64" s="196" t="s">
        <v>108</v>
      </c>
      <c r="E64" s="196">
        <v>15</v>
      </c>
      <c r="F64" s="196">
        <v>15</v>
      </c>
      <c r="G64" s="196">
        <v>40</v>
      </c>
      <c r="H64" s="196">
        <v>15</v>
      </c>
      <c r="I64" s="196">
        <v>35</v>
      </c>
      <c r="J64" s="154">
        <f>APUs!G3382</f>
        <v>241342</v>
      </c>
      <c r="K64" s="86">
        <f t="shared" ref="K64:L64" si="71">$J64*E64</f>
        <v>3620130</v>
      </c>
      <c r="L64" s="86">
        <f t="shared" si="71"/>
        <v>3620130</v>
      </c>
      <c r="M64" s="86">
        <f t="shared" ref="M64:O64" si="72">$J64*G64</f>
        <v>9653680</v>
      </c>
      <c r="N64" s="86">
        <f t="shared" si="72"/>
        <v>3620130</v>
      </c>
      <c r="O64" s="86">
        <f t="shared" si="72"/>
        <v>8446970</v>
      </c>
    </row>
    <row r="65" spans="1:17" hidden="1" outlineLevel="3" x14ac:dyDescent="0.25">
      <c r="A65" s="44" t="s">
        <v>276</v>
      </c>
      <c r="B65" s="31" t="str">
        <f>A65&amp;"_OC"</f>
        <v>052_OC</v>
      </c>
      <c r="C65" s="202" t="s">
        <v>2841</v>
      </c>
      <c r="D65" s="196" t="s">
        <v>108</v>
      </c>
      <c r="E65" s="196">
        <f>10+6+6+10+16</f>
        <v>48</v>
      </c>
      <c r="F65" s="196">
        <f>10+10+6</f>
        <v>26</v>
      </c>
      <c r="G65" s="196">
        <v>13</v>
      </c>
      <c r="H65" s="203">
        <v>0</v>
      </c>
      <c r="I65" s="196">
        <f>10+12+8+8+8+8+8</f>
        <v>62</v>
      </c>
      <c r="J65" s="154">
        <f>APUs!G3448</f>
        <v>69649</v>
      </c>
      <c r="K65" s="5">
        <f>$J65*E65</f>
        <v>3343152</v>
      </c>
      <c r="L65" s="5">
        <f>$J65*F65</f>
        <v>1810874</v>
      </c>
      <c r="M65" s="5">
        <f>$J65*G65</f>
        <v>905437</v>
      </c>
      <c r="N65" s="5">
        <f>$J65*H65</f>
        <v>0</v>
      </c>
      <c r="O65" s="5">
        <f>$J65*I65</f>
        <v>4318238</v>
      </c>
    </row>
    <row r="66" spans="1:17" hidden="1" outlineLevel="3" x14ac:dyDescent="0.25">
      <c r="A66" s="44"/>
      <c r="B66" s="31"/>
      <c r="C66" s="162"/>
      <c r="D66" s="4"/>
      <c r="E66" s="4"/>
      <c r="F66" s="4"/>
      <c r="G66" s="191"/>
      <c r="H66" s="191"/>
      <c r="I66" s="191"/>
      <c r="J66" s="47"/>
      <c r="K66" s="86"/>
      <c r="L66" s="86"/>
      <c r="M66" s="86"/>
      <c r="N66" s="86"/>
      <c r="O66" s="86"/>
    </row>
    <row r="67" spans="1:17" hidden="1" outlineLevel="2" collapsed="1" x14ac:dyDescent="0.25">
      <c r="C67" s="210" t="s">
        <v>207</v>
      </c>
      <c r="D67" s="208"/>
      <c r="E67" s="208"/>
      <c r="F67" s="208"/>
      <c r="G67" s="208"/>
      <c r="H67" s="208"/>
      <c r="I67" s="208"/>
      <c r="J67" s="208"/>
      <c r="K67" s="209">
        <f>SUM(K68:K78)</f>
        <v>14063097.75</v>
      </c>
      <c r="L67" s="209">
        <f t="shared" ref="L67:O67" si="73">SUM(L68:L78)</f>
        <v>15878782.5</v>
      </c>
      <c r="M67" s="209">
        <f t="shared" si="73"/>
        <v>22371837.5</v>
      </c>
      <c r="N67" s="209">
        <f t="shared" si="73"/>
        <v>22371837.5</v>
      </c>
      <c r="O67" s="209">
        <f t="shared" si="73"/>
        <v>21418051.5</v>
      </c>
      <c r="Q67" s="92"/>
    </row>
    <row r="68" spans="1:17" hidden="1" outlineLevel="3" x14ac:dyDescent="0.25">
      <c r="A68" s="205" t="s">
        <v>253</v>
      </c>
      <c r="B68" s="206" t="str">
        <f t="shared" ref="B68:B69" si="74">A68&amp;"_OC"</f>
        <v>029_OC</v>
      </c>
      <c r="C68" s="153" t="s">
        <v>2824</v>
      </c>
      <c r="D68" s="196" t="s">
        <v>114</v>
      </c>
      <c r="E68" s="194">
        <f t="shared" ref="E68:F68" si="75">E76*0.5*1.5</f>
        <v>9.75</v>
      </c>
      <c r="F68" s="194">
        <f t="shared" si="75"/>
        <v>16.5</v>
      </c>
      <c r="G68" s="194">
        <f>G76*0.5*1.5</f>
        <v>37.5</v>
      </c>
      <c r="H68" s="194">
        <f t="shared" ref="H68:I68" si="76">H76*0.5*1.5</f>
        <v>37.5</v>
      </c>
      <c r="I68" s="194">
        <f t="shared" si="76"/>
        <v>37.5</v>
      </c>
      <c r="J68" s="154">
        <f>APUs!G1928</f>
        <v>38345</v>
      </c>
      <c r="K68" s="86">
        <f t="shared" ref="K68" si="77">$J68*E68</f>
        <v>373863.75</v>
      </c>
      <c r="L68" s="86">
        <f t="shared" ref="L68" si="78">$J68*F68</f>
        <v>632692.5</v>
      </c>
      <c r="M68" s="86">
        <f t="shared" ref="M68" si="79">$J68*G68</f>
        <v>1437937.5</v>
      </c>
      <c r="N68" s="86">
        <f t="shared" ref="N68" si="80">$J68*H68</f>
        <v>1437937.5</v>
      </c>
      <c r="O68" s="86">
        <f t="shared" ref="O68" si="81">$J68*I68</f>
        <v>1437937.5</v>
      </c>
      <c r="P68" s="98"/>
      <c r="Q68" s="128"/>
    </row>
    <row r="69" spans="1:17" hidden="1" outlineLevel="3" x14ac:dyDescent="0.25">
      <c r="A69" s="205" t="s">
        <v>270</v>
      </c>
      <c r="B69" s="206" t="str">
        <f t="shared" si="74"/>
        <v>046_OC</v>
      </c>
      <c r="C69" s="153" t="s">
        <v>2825</v>
      </c>
      <c r="D69" s="196" t="s">
        <v>108</v>
      </c>
      <c r="E69" s="194">
        <f t="shared" ref="E69:F69" si="82">E76</f>
        <v>13</v>
      </c>
      <c r="F69" s="194">
        <f t="shared" si="82"/>
        <v>22</v>
      </c>
      <c r="G69" s="194">
        <f>G76</f>
        <v>50</v>
      </c>
      <c r="H69" s="194">
        <f t="shared" ref="H69:I69" si="83">H76</f>
        <v>50</v>
      </c>
      <c r="I69" s="194">
        <f t="shared" si="83"/>
        <v>50</v>
      </c>
      <c r="J69" s="154">
        <f>APUs!G3022</f>
        <v>118227</v>
      </c>
      <c r="K69" s="86">
        <f t="shared" ref="K69:K78" si="84">$J69*E69</f>
        <v>1536951</v>
      </c>
      <c r="L69" s="86">
        <f t="shared" ref="L69:L78" si="85">$J69*F69</f>
        <v>2600994</v>
      </c>
      <c r="M69" s="86">
        <f t="shared" ref="M69:M78" si="86">$J69*G69</f>
        <v>5911350</v>
      </c>
      <c r="N69" s="86">
        <f t="shared" ref="N69:N78" si="87">$J69*H69</f>
        <v>5911350</v>
      </c>
      <c r="O69" s="86">
        <f t="shared" ref="O69:O78" si="88">$J69*I69</f>
        <v>5911350</v>
      </c>
      <c r="P69" s="98"/>
      <c r="Q69" s="128"/>
    </row>
    <row r="70" spans="1:17" hidden="1" outlineLevel="3" x14ac:dyDescent="0.25">
      <c r="A70" s="44" t="s">
        <v>279</v>
      </c>
      <c r="B70" s="31" t="str">
        <f>A70&amp;"_OC"</f>
        <v>055_OC</v>
      </c>
      <c r="C70" s="202" t="s">
        <v>1950</v>
      </c>
      <c r="D70" s="196" t="s">
        <v>8</v>
      </c>
      <c r="E70" s="196">
        <v>1</v>
      </c>
      <c r="F70" s="196">
        <v>1</v>
      </c>
      <c r="G70" s="196">
        <v>1</v>
      </c>
      <c r="H70" s="196">
        <v>1</v>
      </c>
      <c r="I70" s="196">
        <v>1</v>
      </c>
      <c r="J70" s="154">
        <f>APUs!G3520</f>
        <v>243999</v>
      </c>
      <c r="K70" s="86">
        <f t="shared" si="84"/>
        <v>243999</v>
      </c>
      <c r="L70" s="86">
        <f t="shared" si="85"/>
        <v>243999</v>
      </c>
      <c r="M70" s="86">
        <f t="shared" si="86"/>
        <v>243999</v>
      </c>
      <c r="N70" s="86">
        <f t="shared" si="87"/>
        <v>243999</v>
      </c>
      <c r="O70" s="86">
        <f t="shared" si="88"/>
        <v>243999</v>
      </c>
    </row>
    <row r="71" spans="1:17" hidden="1" outlineLevel="3" x14ac:dyDescent="0.25">
      <c r="A71" s="44" t="s">
        <v>280</v>
      </c>
      <c r="B71" s="31" t="str">
        <f>A71&amp;"_OC"</f>
        <v>056_OC</v>
      </c>
      <c r="C71" s="202" t="s">
        <v>2839</v>
      </c>
      <c r="D71" s="196" t="s">
        <v>8</v>
      </c>
      <c r="E71" s="196">
        <v>1</v>
      </c>
      <c r="F71" s="196">
        <v>1</v>
      </c>
      <c r="G71" s="196">
        <v>2</v>
      </c>
      <c r="H71" s="196">
        <v>2</v>
      </c>
      <c r="I71" s="196">
        <v>2</v>
      </c>
      <c r="J71" s="154">
        <f>APUs!G3592</f>
        <v>193431</v>
      </c>
      <c r="K71" s="86">
        <f t="shared" ref="K71" si="89">$J71*E71</f>
        <v>193431</v>
      </c>
      <c r="L71" s="86">
        <f t="shared" ref="L71" si="90">$J71*F71</f>
        <v>193431</v>
      </c>
      <c r="M71" s="86">
        <f t="shared" ref="M71" si="91">$J71*G71</f>
        <v>386862</v>
      </c>
      <c r="N71" s="86">
        <f t="shared" ref="N71" si="92">$J71*H71</f>
        <v>386862</v>
      </c>
      <c r="O71" s="86">
        <f t="shared" ref="O71" si="93">$J71*I71</f>
        <v>386862</v>
      </c>
    </row>
    <row r="72" spans="1:17" hidden="1" outlineLevel="3" x14ac:dyDescent="0.25">
      <c r="A72" s="44" t="s">
        <v>281</v>
      </c>
      <c r="B72" s="31" t="str">
        <f>A72&amp;"_OC"</f>
        <v>057_OC</v>
      </c>
      <c r="C72" s="202" t="s">
        <v>2833</v>
      </c>
      <c r="D72" s="196" t="s">
        <v>8</v>
      </c>
      <c r="E72" s="196">
        <v>1</v>
      </c>
      <c r="F72" s="196">
        <v>1</v>
      </c>
      <c r="G72" s="196">
        <v>1</v>
      </c>
      <c r="H72" s="196">
        <v>1</v>
      </c>
      <c r="I72" s="196">
        <v>1</v>
      </c>
      <c r="J72" s="154">
        <f>APUs!G3664</f>
        <v>906527</v>
      </c>
      <c r="K72" s="86">
        <f t="shared" si="84"/>
        <v>906527</v>
      </c>
      <c r="L72" s="86">
        <f t="shared" si="85"/>
        <v>906527</v>
      </c>
      <c r="M72" s="86">
        <f t="shared" si="86"/>
        <v>906527</v>
      </c>
      <c r="N72" s="86">
        <f t="shared" si="87"/>
        <v>906527</v>
      </c>
      <c r="O72" s="86">
        <f t="shared" si="88"/>
        <v>906527</v>
      </c>
    </row>
    <row r="73" spans="1:17" hidden="1" outlineLevel="3" x14ac:dyDescent="0.25">
      <c r="A73" s="44" t="s">
        <v>282</v>
      </c>
      <c r="B73" s="31" t="str">
        <f>A73&amp;"_OC"</f>
        <v>058_OC</v>
      </c>
      <c r="C73" s="202" t="s">
        <v>2177</v>
      </c>
      <c r="D73" s="196" t="s">
        <v>8</v>
      </c>
      <c r="E73" s="196">
        <v>2</v>
      </c>
      <c r="F73" s="196">
        <v>2</v>
      </c>
      <c r="G73" s="196">
        <v>4</v>
      </c>
      <c r="H73" s="196">
        <v>4</v>
      </c>
      <c r="I73" s="196">
        <v>3</v>
      </c>
      <c r="J73" s="154">
        <f>APUs!G3736</f>
        <v>953786</v>
      </c>
      <c r="K73" s="86">
        <f t="shared" si="84"/>
        <v>1907572</v>
      </c>
      <c r="L73" s="86">
        <f t="shared" si="85"/>
        <v>1907572</v>
      </c>
      <c r="M73" s="86">
        <f t="shared" si="86"/>
        <v>3815144</v>
      </c>
      <c r="N73" s="86">
        <f t="shared" si="87"/>
        <v>3815144</v>
      </c>
      <c r="O73" s="86">
        <f t="shared" si="88"/>
        <v>2861358</v>
      </c>
    </row>
    <row r="74" spans="1:17" hidden="1" outlineLevel="3" x14ac:dyDescent="0.25">
      <c r="A74" s="44" t="s">
        <v>283</v>
      </c>
      <c r="B74" s="31" t="str">
        <f>A74&amp;"_OC"</f>
        <v>059_OC</v>
      </c>
      <c r="C74" s="202" t="s">
        <v>2274</v>
      </c>
      <c r="D74" s="196" t="s">
        <v>8</v>
      </c>
      <c r="E74" s="196">
        <v>1</v>
      </c>
      <c r="F74" s="196">
        <v>1</v>
      </c>
      <c r="G74" s="203">
        <v>0</v>
      </c>
      <c r="H74" s="203">
        <v>0</v>
      </c>
      <c r="I74" s="203">
        <v>0</v>
      </c>
      <c r="J74" s="154">
        <f>APUs!G3805</f>
        <v>7178909</v>
      </c>
      <c r="K74" s="86">
        <f t="shared" si="84"/>
        <v>7178909</v>
      </c>
      <c r="L74" s="86">
        <f t="shared" si="85"/>
        <v>7178909</v>
      </c>
      <c r="M74" s="86">
        <f t="shared" si="86"/>
        <v>0</v>
      </c>
      <c r="N74" s="86">
        <f t="shared" si="87"/>
        <v>0</v>
      </c>
      <c r="O74" s="86">
        <f t="shared" si="88"/>
        <v>0</v>
      </c>
    </row>
    <row r="75" spans="1:17" hidden="1" outlineLevel="3" x14ac:dyDescent="0.25">
      <c r="A75" s="205" t="s">
        <v>271</v>
      </c>
      <c r="B75" s="206" t="s">
        <v>2907</v>
      </c>
      <c r="C75" s="202" t="s">
        <v>2826</v>
      </c>
      <c r="D75" s="196" t="s">
        <v>108</v>
      </c>
      <c r="E75" s="196">
        <v>3</v>
      </c>
      <c r="F75" s="196">
        <v>3</v>
      </c>
      <c r="G75" s="196">
        <v>40</v>
      </c>
      <c r="H75" s="196">
        <v>40</v>
      </c>
      <c r="I75" s="196">
        <v>40</v>
      </c>
      <c r="J75" s="154">
        <f>APUs!G3094</f>
        <v>133163</v>
      </c>
      <c r="K75" s="86">
        <f t="shared" si="84"/>
        <v>399489</v>
      </c>
      <c r="L75" s="86">
        <f t="shared" si="85"/>
        <v>399489</v>
      </c>
      <c r="M75" s="86">
        <f t="shared" si="86"/>
        <v>5326520</v>
      </c>
      <c r="N75" s="86">
        <f t="shared" si="87"/>
        <v>5326520</v>
      </c>
      <c r="O75" s="86">
        <f t="shared" si="88"/>
        <v>5326520</v>
      </c>
      <c r="P75" s="98"/>
      <c r="Q75" s="98"/>
    </row>
    <row r="76" spans="1:17" hidden="1" outlineLevel="3" x14ac:dyDescent="0.25">
      <c r="A76" s="205" t="s">
        <v>272</v>
      </c>
      <c r="B76" s="206" t="s">
        <v>2908</v>
      </c>
      <c r="C76" s="202" t="s">
        <v>2827</v>
      </c>
      <c r="D76" s="196" t="s">
        <v>108</v>
      </c>
      <c r="E76" s="196">
        <f>10+3</f>
        <v>13</v>
      </c>
      <c r="F76" s="196">
        <f>10+3+9</f>
        <v>22</v>
      </c>
      <c r="G76" s="196">
        <v>50</v>
      </c>
      <c r="H76" s="196">
        <v>50</v>
      </c>
      <c r="I76" s="196">
        <v>50</v>
      </c>
      <c r="J76" s="154">
        <f>APUs!G3166</f>
        <v>54757</v>
      </c>
      <c r="K76" s="86">
        <f t="shared" si="84"/>
        <v>711841</v>
      </c>
      <c r="L76" s="86">
        <f t="shared" si="85"/>
        <v>1204654</v>
      </c>
      <c r="M76" s="86">
        <f t="shared" si="86"/>
        <v>2737850</v>
      </c>
      <c r="N76" s="86">
        <f t="shared" si="87"/>
        <v>2737850</v>
      </c>
      <c r="O76" s="86">
        <f t="shared" si="88"/>
        <v>2737850</v>
      </c>
    </row>
    <row r="77" spans="1:17" hidden="1" outlineLevel="3" x14ac:dyDescent="0.25">
      <c r="A77" s="44" t="s">
        <v>286</v>
      </c>
      <c r="B77" s="31" t="str">
        <f>A77&amp;"_OC"</f>
        <v>062_OC</v>
      </c>
      <c r="C77" s="202" t="s">
        <v>1588</v>
      </c>
      <c r="D77" s="196" t="s">
        <v>8</v>
      </c>
      <c r="E77" s="196">
        <v>5</v>
      </c>
      <c r="F77" s="196">
        <v>5</v>
      </c>
      <c r="G77" s="196">
        <v>11</v>
      </c>
      <c r="H77" s="196">
        <v>11</v>
      </c>
      <c r="I77" s="196">
        <v>11</v>
      </c>
      <c r="J77" s="47">
        <f>APUs!G3878</f>
        <v>122103</v>
      </c>
      <c r="K77" s="86">
        <f>$J77*E77</f>
        <v>610515</v>
      </c>
      <c r="L77" s="86">
        <f>$J77*F77</f>
        <v>610515</v>
      </c>
      <c r="M77" s="86">
        <f>$J77*G77</f>
        <v>1343133</v>
      </c>
      <c r="N77" s="86">
        <f>$J77*H77</f>
        <v>1343133</v>
      </c>
      <c r="O77" s="86">
        <f>$J77*I77</f>
        <v>1343133</v>
      </c>
      <c r="P77" s="98"/>
      <c r="Q77" s="98"/>
    </row>
    <row r="78" spans="1:17" hidden="1" outlineLevel="3" x14ac:dyDescent="0.25">
      <c r="A78" s="44" t="s">
        <v>287</v>
      </c>
      <c r="B78" s="31" t="str">
        <f>A78&amp;"_OC"</f>
        <v>063_OC</v>
      </c>
      <c r="C78" s="202" t="s">
        <v>1587</v>
      </c>
      <c r="D78" s="196" t="s">
        <v>8</v>
      </c>
      <c r="E78" s="203">
        <v>0</v>
      </c>
      <c r="F78" s="203">
        <v>0</v>
      </c>
      <c r="G78" s="196">
        <v>5</v>
      </c>
      <c r="H78" s="194">
        <v>5</v>
      </c>
      <c r="I78" s="194">
        <v>5</v>
      </c>
      <c r="J78" s="47">
        <f>APUs!G3945</f>
        <v>52503</v>
      </c>
      <c r="K78" s="86">
        <f t="shared" si="84"/>
        <v>0</v>
      </c>
      <c r="L78" s="86">
        <f t="shared" si="85"/>
        <v>0</v>
      </c>
      <c r="M78" s="86">
        <f t="shared" si="86"/>
        <v>262515</v>
      </c>
      <c r="N78" s="86">
        <f t="shared" si="87"/>
        <v>262515</v>
      </c>
      <c r="O78" s="86">
        <f t="shared" si="88"/>
        <v>262515</v>
      </c>
    </row>
    <row r="79" spans="1:17" hidden="1" outlineLevel="2" collapsed="1" x14ac:dyDescent="0.25">
      <c r="C79" s="210" t="s">
        <v>209</v>
      </c>
      <c r="D79" s="208"/>
      <c r="E79" s="208"/>
      <c r="F79" s="208"/>
      <c r="G79" s="208"/>
      <c r="H79" s="208"/>
      <c r="I79" s="208"/>
      <c r="J79" s="208"/>
      <c r="K79" s="209">
        <f>SUM(K80:K92)</f>
        <v>16097020</v>
      </c>
      <c r="L79" s="209">
        <f t="shared" ref="L79:O79" si="94">SUM(L80:L92)</f>
        <v>19558490</v>
      </c>
      <c r="M79" s="209">
        <f t="shared" si="94"/>
        <v>18262507</v>
      </c>
      <c r="N79" s="209">
        <f t="shared" si="94"/>
        <v>21255677</v>
      </c>
      <c r="O79" s="209">
        <f t="shared" si="94"/>
        <v>19759092</v>
      </c>
    </row>
    <row r="80" spans="1:17" hidden="1" outlineLevel="3" x14ac:dyDescent="0.25">
      <c r="A80" s="205" t="s">
        <v>253</v>
      </c>
      <c r="B80" s="206" t="s">
        <v>2909</v>
      </c>
      <c r="C80" s="153" t="s">
        <v>2824</v>
      </c>
      <c r="D80" s="196" t="s">
        <v>114</v>
      </c>
      <c r="E80" s="194">
        <f>(E85+E84)*0.5*1</f>
        <v>30</v>
      </c>
      <c r="F80" s="194">
        <f t="shared" ref="F80:I80" si="95">(F85+F84)*0.5*1</f>
        <v>40</v>
      </c>
      <c r="G80" s="194">
        <f t="shared" si="95"/>
        <v>25</v>
      </c>
      <c r="H80" s="194">
        <f t="shared" si="95"/>
        <v>35</v>
      </c>
      <c r="I80" s="194">
        <f t="shared" si="95"/>
        <v>30</v>
      </c>
      <c r="J80" s="154">
        <f>APUs!G1928</f>
        <v>38345</v>
      </c>
      <c r="K80" s="86">
        <f t="shared" ref="K80:K81" si="96">$J80*E80</f>
        <v>1150350</v>
      </c>
      <c r="L80" s="86">
        <f t="shared" ref="L80:L81" si="97">$J80*F80</f>
        <v>1533800</v>
      </c>
      <c r="M80" s="86">
        <f t="shared" ref="M80:M81" si="98">$J80*G80</f>
        <v>958625</v>
      </c>
      <c r="N80" s="86">
        <f t="shared" ref="N80:N81" si="99">$J80*H80</f>
        <v>1342075</v>
      </c>
      <c r="O80" s="86">
        <f t="shared" ref="O80:O81" si="100">$J80*I80</f>
        <v>1150350</v>
      </c>
      <c r="P80" s="98"/>
      <c r="Q80" s="128"/>
    </row>
    <row r="81" spans="1:17" hidden="1" outlineLevel="3" x14ac:dyDescent="0.25">
      <c r="A81" s="205" t="s">
        <v>270</v>
      </c>
      <c r="B81" s="206" t="s">
        <v>2910</v>
      </c>
      <c r="C81" s="153" t="s">
        <v>2825</v>
      </c>
      <c r="D81" s="196" t="s">
        <v>108</v>
      </c>
      <c r="E81" s="194">
        <f>E85+E84</f>
        <v>60</v>
      </c>
      <c r="F81" s="194">
        <f t="shared" ref="F81:I81" si="101">F85+F84</f>
        <v>80</v>
      </c>
      <c r="G81" s="194">
        <f t="shared" si="101"/>
        <v>50</v>
      </c>
      <c r="H81" s="194">
        <f t="shared" si="101"/>
        <v>70</v>
      </c>
      <c r="I81" s="194">
        <f t="shared" si="101"/>
        <v>60</v>
      </c>
      <c r="J81" s="154">
        <f>APUs!G3022</f>
        <v>118227</v>
      </c>
      <c r="K81" s="86">
        <f t="shared" si="96"/>
        <v>7093620</v>
      </c>
      <c r="L81" s="86">
        <f t="shared" si="97"/>
        <v>9458160</v>
      </c>
      <c r="M81" s="86">
        <f t="shared" si="98"/>
        <v>5911350</v>
      </c>
      <c r="N81" s="86">
        <f t="shared" si="99"/>
        <v>8275890</v>
      </c>
      <c r="O81" s="86">
        <f t="shared" si="100"/>
        <v>7093620</v>
      </c>
      <c r="P81" s="98"/>
      <c r="Q81" s="128"/>
    </row>
    <row r="82" spans="1:17" hidden="1" outlineLevel="3" x14ac:dyDescent="0.25">
      <c r="A82" s="44" t="s">
        <v>290</v>
      </c>
      <c r="B82" s="31" t="str">
        <f t="shared" ref="B82:B92" si="102">A82&amp;"_OC"</f>
        <v>066_OC</v>
      </c>
      <c r="C82" s="202" t="s">
        <v>211</v>
      </c>
      <c r="D82" s="196" t="s">
        <v>8</v>
      </c>
      <c r="E82" s="196">
        <v>1</v>
      </c>
      <c r="F82" s="196">
        <v>1</v>
      </c>
      <c r="G82" s="196">
        <v>1</v>
      </c>
      <c r="H82" s="196">
        <v>1</v>
      </c>
      <c r="I82" s="196">
        <v>1</v>
      </c>
      <c r="J82" s="154">
        <f>APUs!G4020</f>
        <v>1401163</v>
      </c>
      <c r="K82" s="5">
        <f t="shared" ref="K82:L92" si="103">$J82*E82</f>
        <v>1401163</v>
      </c>
      <c r="L82" s="5">
        <f t="shared" si="103"/>
        <v>1401163</v>
      </c>
      <c r="M82" s="5">
        <f t="shared" ref="M82:M92" si="104">$J82*G82</f>
        <v>1401163</v>
      </c>
      <c r="N82" s="5">
        <f t="shared" ref="N82:N92" si="105">$J82*H82</f>
        <v>1401163</v>
      </c>
      <c r="O82" s="5">
        <f t="shared" ref="O82:O92" si="106">$J82*I82</f>
        <v>1401163</v>
      </c>
    </row>
    <row r="83" spans="1:17" hidden="1" outlineLevel="3" x14ac:dyDescent="0.25">
      <c r="A83" s="44" t="s">
        <v>291</v>
      </c>
      <c r="B83" s="31" t="str">
        <f t="shared" si="102"/>
        <v>067_OC</v>
      </c>
      <c r="C83" s="202" t="s">
        <v>1977</v>
      </c>
      <c r="D83" s="196" t="s">
        <v>8</v>
      </c>
      <c r="E83" s="196">
        <v>3</v>
      </c>
      <c r="F83" s="196">
        <v>3</v>
      </c>
      <c r="G83" s="196">
        <v>6</v>
      </c>
      <c r="H83" s="196">
        <v>6</v>
      </c>
      <c r="I83" s="196">
        <v>6</v>
      </c>
      <c r="J83" s="154">
        <f>APUs!G4092</f>
        <v>186434</v>
      </c>
      <c r="K83" s="5">
        <f t="shared" si="103"/>
        <v>559302</v>
      </c>
      <c r="L83" s="5">
        <f t="shared" si="103"/>
        <v>559302</v>
      </c>
      <c r="M83" s="5">
        <f t="shared" si="104"/>
        <v>1118604</v>
      </c>
      <c r="N83" s="5">
        <f t="shared" si="105"/>
        <v>1118604</v>
      </c>
      <c r="O83" s="5">
        <f t="shared" si="106"/>
        <v>1118604</v>
      </c>
    </row>
    <row r="84" spans="1:17" hidden="1" outlineLevel="3" x14ac:dyDescent="0.25">
      <c r="A84" s="44" t="s">
        <v>292</v>
      </c>
      <c r="B84" s="31" t="str">
        <f t="shared" si="102"/>
        <v>068_OC</v>
      </c>
      <c r="C84" s="202" t="s">
        <v>1645</v>
      </c>
      <c r="D84" s="196" t="s">
        <v>108</v>
      </c>
      <c r="E84" s="203">
        <v>0</v>
      </c>
      <c r="F84" s="203">
        <v>0</v>
      </c>
      <c r="G84" s="196">
        <v>50</v>
      </c>
      <c r="H84" s="196">
        <v>70</v>
      </c>
      <c r="I84" s="196">
        <v>60</v>
      </c>
      <c r="J84" s="154">
        <f>APUs!G4162</f>
        <v>12259</v>
      </c>
      <c r="K84" s="5">
        <f t="shared" ref="K84:O85" si="107">$J84*E84</f>
        <v>0</v>
      </c>
      <c r="L84" s="5">
        <f t="shared" si="107"/>
        <v>0</v>
      </c>
      <c r="M84" s="5">
        <f t="shared" si="107"/>
        <v>612950</v>
      </c>
      <c r="N84" s="5">
        <f t="shared" si="107"/>
        <v>858130</v>
      </c>
      <c r="O84" s="5">
        <f t="shared" si="107"/>
        <v>735540</v>
      </c>
    </row>
    <row r="85" spans="1:17" hidden="1" outlineLevel="3" x14ac:dyDescent="0.25">
      <c r="A85" s="44" t="s">
        <v>293</v>
      </c>
      <c r="B85" s="31" t="str">
        <f t="shared" si="102"/>
        <v>069_OC</v>
      </c>
      <c r="C85" s="202" t="s">
        <v>2844</v>
      </c>
      <c r="D85" s="196" t="s">
        <v>108</v>
      </c>
      <c r="E85" s="196">
        <v>60</v>
      </c>
      <c r="F85" s="196">
        <v>80</v>
      </c>
      <c r="G85" s="203">
        <v>0</v>
      </c>
      <c r="H85" s="203">
        <v>0</v>
      </c>
      <c r="I85" s="203">
        <v>0</v>
      </c>
      <c r="J85" s="154">
        <f>APUs!G4232</f>
        <v>35674</v>
      </c>
      <c r="K85" s="5">
        <f t="shared" si="107"/>
        <v>2140440</v>
      </c>
      <c r="L85" s="5">
        <f t="shared" si="107"/>
        <v>2853920</v>
      </c>
      <c r="M85" s="5">
        <f t="shared" si="107"/>
        <v>0</v>
      </c>
      <c r="N85" s="5">
        <f t="shared" si="107"/>
        <v>0</v>
      </c>
      <c r="O85" s="5">
        <f t="shared" si="107"/>
        <v>0</v>
      </c>
      <c r="Q85" s="91"/>
    </row>
    <row r="86" spans="1:17" hidden="1" outlineLevel="3" x14ac:dyDescent="0.25">
      <c r="A86" s="44" t="s">
        <v>294</v>
      </c>
      <c r="B86" s="31" t="str">
        <f t="shared" si="102"/>
        <v>070_OC</v>
      </c>
      <c r="C86" s="202" t="s">
        <v>2243</v>
      </c>
      <c r="D86" s="196" t="s">
        <v>8</v>
      </c>
      <c r="E86" s="196">
        <v>1</v>
      </c>
      <c r="F86" s="196">
        <v>1</v>
      </c>
      <c r="G86" s="196">
        <v>1</v>
      </c>
      <c r="H86" s="196">
        <v>1</v>
      </c>
      <c r="I86" s="196">
        <v>1</v>
      </c>
      <c r="J86" s="154">
        <f>APUs!G4300</f>
        <v>990662</v>
      </c>
      <c r="K86" s="5">
        <f t="shared" si="103"/>
        <v>990662</v>
      </c>
      <c r="L86" s="5">
        <f t="shared" si="103"/>
        <v>990662</v>
      </c>
      <c r="M86" s="5">
        <f t="shared" si="104"/>
        <v>990662</v>
      </c>
      <c r="N86" s="5">
        <f t="shared" si="105"/>
        <v>990662</v>
      </c>
      <c r="O86" s="5">
        <f t="shared" si="106"/>
        <v>990662</v>
      </c>
    </row>
    <row r="87" spans="1:17" hidden="1" outlineLevel="3" x14ac:dyDescent="0.25">
      <c r="A87" s="44" t="s">
        <v>295</v>
      </c>
      <c r="B87" s="31" t="str">
        <f t="shared" si="102"/>
        <v>071_OC</v>
      </c>
      <c r="C87" s="202" t="s">
        <v>2860</v>
      </c>
      <c r="D87" s="196" t="s">
        <v>8</v>
      </c>
      <c r="E87" s="203">
        <v>0</v>
      </c>
      <c r="F87" s="203">
        <v>0</v>
      </c>
      <c r="G87" s="196">
        <v>1</v>
      </c>
      <c r="H87" s="196">
        <v>1</v>
      </c>
      <c r="I87" s="196">
        <v>1</v>
      </c>
      <c r="J87" s="154">
        <f>APUs!G4368</f>
        <v>2548979</v>
      </c>
      <c r="K87" s="5">
        <f t="shared" si="103"/>
        <v>0</v>
      </c>
      <c r="L87" s="5">
        <f t="shared" si="103"/>
        <v>0</v>
      </c>
      <c r="M87" s="5">
        <f t="shared" si="104"/>
        <v>2548979</v>
      </c>
      <c r="N87" s="5">
        <f t="shared" si="105"/>
        <v>2548979</v>
      </c>
      <c r="O87" s="5">
        <f t="shared" si="106"/>
        <v>2548979</v>
      </c>
    </row>
    <row r="88" spans="1:17" hidden="1" outlineLevel="3" x14ac:dyDescent="0.25">
      <c r="A88" s="44" t="s">
        <v>296</v>
      </c>
      <c r="B88" s="31" t="str">
        <f t="shared" si="102"/>
        <v>072_OC</v>
      </c>
      <c r="C88" s="202" t="s">
        <v>2863</v>
      </c>
      <c r="D88" s="196" t="s">
        <v>8</v>
      </c>
      <c r="E88" s="203">
        <v>0</v>
      </c>
      <c r="F88" s="203">
        <v>0</v>
      </c>
      <c r="G88" s="196">
        <v>1</v>
      </c>
      <c r="H88" s="196">
        <v>1</v>
      </c>
      <c r="I88" s="196">
        <v>1</v>
      </c>
      <c r="J88" s="154">
        <f>APUs!G4435</f>
        <v>341341</v>
      </c>
      <c r="K88" s="5">
        <f t="shared" si="103"/>
        <v>0</v>
      </c>
      <c r="L88" s="5">
        <f t="shared" si="103"/>
        <v>0</v>
      </c>
      <c r="M88" s="5">
        <f t="shared" si="104"/>
        <v>341341</v>
      </c>
      <c r="N88" s="5">
        <f t="shared" si="105"/>
        <v>341341</v>
      </c>
      <c r="O88" s="5">
        <f t="shared" si="106"/>
        <v>341341</v>
      </c>
    </row>
    <row r="89" spans="1:17" hidden="1" outlineLevel="3" x14ac:dyDescent="0.25">
      <c r="A89" s="44" t="s">
        <v>297</v>
      </c>
      <c r="B89" s="31" t="str">
        <f t="shared" si="102"/>
        <v>073_OC</v>
      </c>
      <c r="C89" s="202" t="s">
        <v>2139</v>
      </c>
      <c r="D89" s="196" t="s">
        <v>8</v>
      </c>
      <c r="E89" s="203">
        <v>0</v>
      </c>
      <c r="F89" s="203">
        <v>0</v>
      </c>
      <c r="G89" s="196">
        <v>1</v>
      </c>
      <c r="H89" s="196">
        <v>1</v>
      </c>
      <c r="I89" s="196">
        <v>1</v>
      </c>
      <c r="J89" s="154">
        <f>APUs!G4503</f>
        <v>1617350</v>
      </c>
      <c r="K89" s="5">
        <f t="shared" si="103"/>
        <v>0</v>
      </c>
      <c r="L89" s="5">
        <f t="shared" si="103"/>
        <v>0</v>
      </c>
      <c r="M89" s="5">
        <f t="shared" si="104"/>
        <v>1617350</v>
      </c>
      <c r="N89" s="5">
        <f t="shared" si="105"/>
        <v>1617350</v>
      </c>
      <c r="O89" s="5">
        <f t="shared" si="106"/>
        <v>1617350</v>
      </c>
    </row>
    <row r="90" spans="1:17" hidden="1" outlineLevel="3" x14ac:dyDescent="0.25">
      <c r="A90" s="44" t="s">
        <v>298</v>
      </c>
      <c r="B90" s="31" t="str">
        <f t="shared" si="102"/>
        <v>074_OC</v>
      </c>
      <c r="C90" s="202" t="s">
        <v>210</v>
      </c>
      <c r="D90" s="196" t="s">
        <v>8</v>
      </c>
      <c r="E90" s="196">
        <v>4</v>
      </c>
      <c r="F90" s="196">
        <v>4</v>
      </c>
      <c r="G90" s="196">
        <v>4</v>
      </c>
      <c r="H90" s="196">
        <v>4</v>
      </c>
      <c r="I90" s="196">
        <v>4</v>
      </c>
      <c r="J90" s="154">
        <f>APUs!G4571</f>
        <v>150829</v>
      </c>
      <c r="K90" s="5">
        <f t="shared" si="103"/>
        <v>603316</v>
      </c>
      <c r="L90" s="5">
        <f t="shared" si="103"/>
        <v>603316</v>
      </c>
      <c r="M90" s="5">
        <f t="shared" si="104"/>
        <v>603316</v>
      </c>
      <c r="N90" s="5">
        <f t="shared" si="105"/>
        <v>603316</v>
      </c>
      <c r="O90" s="5">
        <f t="shared" si="106"/>
        <v>603316</v>
      </c>
    </row>
    <row r="91" spans="1:17" hidden="1" outlineLevel="3" x14ac:dyDescent="0.25">
      <c r="A91" s="44" t="s">
        <v>299</v>
      </c>
      <c r="B91" s="31" t="str">
        <f t="shared" si="102"/>
        <v>075_OC</v>
      </c>
      <c r="C91" s="202" t="s">
        <v>212</v>
      </c>
      <c r="D91" s="196" t="s">
        <v>8</v>
      </c>
      <c r="E91" s="196">
        <v>1</v>
      </c>
      <c r="F91" s="196">
        <v>1</v>
      </c>
      <c r="G91" s="196">
        <v>1</v>
      </c>
      <c r="H91" s="196">
        <v>1</v>
      </c>
      <c r="I91" s="196">
        <v>1</v>
      </c>
      <c r="J91" s="154">
        <f>APUs!G4644</f>
        <v>1758495</v>
      </c>
      <c r="K91" s="5">
        <f t="shared" si="103"/>
        <v>1758495</v>
      </c>
      <c r="L91" s="5">
        <f t="shared" si="103"/>
        <v>1758495</v>
      </c>
      <c r="M91" s="5">
        <f t="shared" si="104"/>
        <v>1758495</v>
      </c>
      <c r="N91" s="5">
        <f t="shared" si="105"/>
        <v>1758495</v>
      </c>
      <c r="O91" s="5">
        <f t="shared" si="106"/>
        <v>1758495</v>
      </c>
    </row>
    <row r="92" spans="1:17" hidden="1" outlineLevel="3" x14ac:dyDescent="0.25">
      <c r="A92" s="44" t="s">
        <v>300</v>
      </c>
      <c r="B92" s="31" t="str">
        <f t="shared" si="102"/>
        <v>076_OC</v>
      </c>
      <c r="C92" s="202" t="s">
        <v>213</v>
      </c>
      <c r="D92" s="196" t="s">
        <v>8</v>
      </c>
      <c r="E92" s="196">
        <v>1</v>
      </c>
      <c r="F92" s="196">
        <v>1</v>
      </c>
      <c r="G92" s="196">
        <v>1</v>
      </c>
      <c r="H92" s="196">
        <v>1</v>
      </c>
      <c r="I92" s="196">
        <v>1</v>
      </c>
      <c r="J92" s="154">
        <f>APUs!G4712</f>
        <v>399672</v>
      </c>
      <c r="K92" s="5">
        <f t="shared" si="103"/>
        <v>399672</v>
      </c>
      <c r="L92" s="5">
        <f t="shared" si="103"/>
        <v>399672</v>
      </c>
      <c r="M92" s="5">
        <f t="shared" si="104"/>
        <v>399672</v>
      </c>
      <c r="N92" s="5">
        <f t="shared" si="105"/>
        <v>399672</v>
      </c>
      <c r="O92" s="5">
        <f t="shared" si="106"/>
        <v>399672</v>
      </c>
    </row>
    <row r="93" spans="1:17" hidden="1" outlineLevel="2" collapsed="1" x14ac:dyDescent="0.25">
      <c r="C93" s="165"/>
      <c r="D93" s="7"/>
      <c r="E93" s="7"/>
      <c r="F93" s="7"/>
      <c r="G93" s="12"/>
      <c r="H93" s="12"/>
      <c r="I93" s="12"/>
      <c r="J93" s="47"/>
      <c r="K93" s="3"/>
      <c r="L93" s="3"/>
      <c r="M93" s="3"/>
      <c r="N93" s="3"/>
      <c r="O93" s="3"/>
    </row>
    <row r="94" spans="1:17" outlineLevel="1" collapsed="1" x14ac:dyDescent="0.25">
      <c r="C94" s="172" t="s">
        <v>117</v>
      </c>
      <c r="D94" s="173"/>
      <c r="E94" s="173"/>
      <c r="F94" s="173"/>
      <c r="G94" s="173"/>
      <c r="H94" s="173"/>
      <c r="I94" s="173"/>
      <c r="J94" s="174"/>
      <c r="K94" s="175">
        <f>K95+K117+K126</f>
        <v>142344328.76499999</v>
      </c>
      <c r="L94" s="175">
        <f>L95+L117+L126</f>
        <v>142344328.76499999</v>
      </c>
      <c r="M94" s="175">
        <f>M95+M117+M126</f>
        <v>818226635.29000008</v>
      </c>
      <c r="N94" s="175">
        <f>N95+N117+N126</f>
        <v>818226635.29000008</v>
      </c>
      <c r="O94" s="175">
        <f>O95+O117+O126</f>
        <v>818226635.29000008</v>
      </c>
    </row>
    <row r="95" spans="1:17" hidden="1" outlineLevel="2" x14ac:dyDescent="0.25">
      <c r="C95" s="210" t="s">
        <v>2549</v>
      </c>
      <c r="D95" s="208"/>
      <c r="E95" s="208"/>
      <c r="F95" s="208"/>
      <c r="G95" s="208"/>
      <c r="H95" s="208"/>
      <c r="I95" s="208"/>
      <c r="J95" s="208"/>
      <c r="K95" s="209">
        <f>SUM(K96:K116)</f>
        <v>55647330.844999999</v>
      </c>
      <c r="L95" s="209">
        <f t="shared" ref="L95:O95" si="108">SUM(L96:L116)</f>
        <v>55647330.844999999</v>
      </c>
      <c r="M95" s="209">
        <f t="shared" si="108"/>
        <v>537748621.06000006</v>
      </c>
      <c r="N95" s="209">
        <f t="shared" si="108"/>
        <v>537748621.06000006</v>
      </c>
      <c r="O95" s="209">
        <f t="shared" si="108"/>
        <v>537748621.06000006</v>
      </c>
    </row>
    <row r="96" spans="1:17" hidden="1" outlineLevel="3" x14ac:dyDescent="0.25">
      <c r="A96" s="44" t="s">
        <v>1919</v>
      </c>
      <c r="B96" s="31" t="str">
        <f t="shared" ref="B96:B116" si="109">A96&amp;"_OC"</f>
        <v>077_OC</v>
      </c>
      <c r="C96" s="153" t="s">
        <v>2661</v>
      </c>
      <c r="D96" s="4" t="s">
        <v>113</v>
      </c>
      <c r="E96" s="196">
        <f>5*4+1.3*4+1.2*4+1.85*4+5.3+3.1</f>
        <v>45.8</v>
      </c>
      <c r="F96" s="196">
        <f>5*4+1.3*4+1.2*4+1.85*4+5.3+3.1</f>
        <v>45.8</v>
      </c>
      <c r="G96" s="203">
        <v>0</v>
      </c>
      <c r="H96" s="203">
        <v>0</v>
      </c>
      <c r="I96" s="203">
        <v>0</v>
      </c>
      <c r="J96" s="47">
        <f>APUs!G4785</f>
        <v>195467.50000000003</v>
      </c>
      <c r="K96" s="5">
        <f t="shared" ref="K96" si="110">$J96*E96</f>
        <v>8952411.5</v>
      </c>
      <c r="L96" s="5">
        <f t="shared" ref="L96" si="111">$J96*F96</f>
        <v>8952411.5</v>
      </c>
      <c r="M96" s="5">
        <f t="shared" ref="M96" si="112">$J96*G96</f>
        <v>0</v>
      </c>
      <c r="N96" s="5">
        <f t="shared" ref="N96" si="113">$J96*H96</f>
        <v>0</v>
      </c>
      <c r="O96" s="5">
        <f t="shared" ref="O96" si="114">$J96*I96</f>
        <v>0</v>
      </c>
    </row>
    <row r="97" spans="1:15" hidden="1" outlineLevel="3" x14ac:dyDescent="0.25">
      <c r="A97" s="44" t="s">
        <v>301</v>
      </c>
      <c r="B97" s="31" t="str">
        <f t="shared" si="109"/>
        <v>078_OC</v>
      </c>
      <c r="C97" s="153" t="s">
        <v>2660</v>
      </c>
      <c r="D97" s="4" t="s">
        <v>113</v>
      </c>
      <c r="E97" s="203">
        <v>0</v>
      </c>
      <c r="F97" s="203">
        <v>0</v>
      </c>
      <c r="G97" s="196">
        <f>74*(6.1-0.4-0.4-0.12)-0.6*20-3*6-6.2*2-9.3*1+12+12+15.3+12+9.7*5+15.3+4.2*5*3+2.5*5*1</f>
        <v>522.22</v>
      </c>
      <c r="H97" s="196">
        <f t="shared" ref="H97:I97" si="115">74*(6.1-0.4-0.4-0.12)-0.6*20-3*6-6.2*2-9.3*1+12+12+15.3+12+9.7*5+15.3+4.2*5*3+2.5*5*1</f>
        <v>522.22</v>
      </c>
      <c r="I97" s="196">
        <f t="shared" si="115"/>
        <v>522.22</v>
      </c>
      <c r="J97" s="47">
        <f>APUs!G4848</f>
        <v>325670</v>
      </c>
      <c r="K97" s="5">
        <f t="shared" ref="K97" si="116">$J97*E97</f>
        <v>0</v>
      </c>
      <c r="L97" s="5">
        <f t="shared" ref="L97" si="117">$J97*F97</f>
        <v>0</v>
      </c>
      <c r="M97" s="5">
        <f t="shared" ref="M97" si="118">$J97*G97</f>
        <v>170071387.40000001</v>
      </c>
      <c r="N97" s="5">
        <f t="shared" ref="N97" si="119">$J97*H97</f>
        <v>170071387.40000001</v>
      </c>
      <c r="O97" s="5">
        <f t="shared" ref="O97" si="120">$J97*I97</f>
        <v>170071387.40000001</v>
      </c>
    </row>
    <row r="98" spans="1:15" hidden="1" outlineLevel="3" x14ac:dyDescent="0.25">
      <c r="A98" s="44" t="s">
        <v>302</v>
      </c>
      <c r="B98" s="31" t="str">
        <f t="shared" si="109"/>
        <v>079_OC</v>
      </c>
      <c r="C98" s="153" t="s">
        <v>2625</v>
      </c>
      <c r="D98" s="4" t="s">
        <v>113</v>
      </c>
      <c r="E98" s="196">
        <f>12+2.4+2.5+2.5+2.4+8.4+0.93</f>
        <v>31.129999999999995</v>
      </c>
      <c r="F98" s="196">
        <f>12+2.4+2.5+2.5+2.4+8.4+0.93</f>
        <v>31.129999999999995</v>
      </c>
      <c r="G98" s="196">
        <f>434-0.4*0.4*18-38-20-28-6-5.5-4</f>
        <v>329.62</v>
      </c>
      <c r="H98" s="196">
        <f t="shared" ref="H98:I98" si="121">434-0.4*0.4*18-38-20-28-6-5.5-4</f>
        <v>329.62</v>
      </c>
      <c r="I98" s="196">
        <f t="shared" si="121"/>
        <v>329.62</v>
      </c>
      <c r="J98" s="47">
        <f>APUs!G4917</f>
        <v>167115</v>
      </c>
      <c r="K98" s="5">
        <f t="shared" ref="K98:K113" si="122">$J98*E98</f>
        <v>5202289.9499999993</v>
      </c>
      <c r="L98" s="5">
        <f t="shared" ref="L98:L113" si="123">$J98*F98</f>
        <v>5202289.9499999993</v>
      </c>
      <c r="M98" s="5">
        <f t="shared" ref="M98:M113" si="124">$J98*G98</f>
        <v>55084446.300000004</v>
      </c>
      <c r="N98" s="5">
        <f t="shared" ref="N98:N113" si="125">$J98*H98</f>
        <v>55084446.300000004</v>
      </c>
      <c r="O98" s="5">
        <f t="shared" ref="O98:O113" si="126">$J98*I98</f>
        <v>55084446.300000004</v>
      </c>
    </row>
    <row r="99" spans="1:15" hidden="1" outlineLevel="3" x14ac:dyDescent="0.25">
      <c r="A99" s="44" t="s">
        <v>303</v>
      </c>
      <c r="B99" s="31" t="str">
        <f t="shared" si="109"/>
        <v>080_OC</v>
      </c>
      <c r="C99" s="153" t="s">
        <v>2626</v>
      </c>
      <c r="D99" s="4" t="s">
        <v>113</v>
      </c>
      <c r="E99" s="196">
        <v>4</v>
      </c>
      <c r="F99" s="196">
        <v>4</v>
      </c>
      <c r="G99" s="196">
        <v>349</v>
      </c>
      <c r="H99" s="196">
        <v>349</v>
      </c>
      <c r="I99" s="196">
        <v>349</v>
      </c>
      <c r="J99" s="47">
        <f>APUs!G4986</f>
        <v>135532</v>
      </c>
      <c r="K99" s="5">
        <f t="shared" si="122"/>
        <v>542128</v>
      </c>
      <c r="L99" s="5">
        <f t="shared" si="123"/>
        <v>542128</v>
      </c>
      <c r="M99" s="5">
        <f t="shared" si="124"/>
        <v>47300668</v>
      </c>
      <c r="N99" s="5">
        <f t="shared" si="125"/>
        <v>47300668</v>
      </c>
      <c r="O99" s="5">
        <f t="shared" si="126"/>
        <v>47300668</v>
      </c>
    </row>
    <row r="100" spans="1:15" hidden="1" outlineLevel="3" x14ac:dyDescent="0.25">
      <c r="A100" s="44" t="s">
        <v>304</v>
      </c>
      <c r="B100" s="31" t="str">
        <f t="shared" si="109"/>
        <v>081_OC</v>
      </c>
      <c r="C100" s="153" t="s">
        <v>1474</v>
      </c>
      <c r="D100" s="4" t="s">
        <v>114</v>
      </c>
      <c r="E100" s="196">
        <f>(0.8*0.8*0.3)*6</f>
        <v>1.1520000000000001</v>
      </c>
      <c r="F100" s="196">
        <f>(0.8*0.8*0.3)*6</f>
        <v>1.1520000000000001</v>
      </c>
      <c r="G100" s="196">
        <f>(1.4*1.4*0.4)*12+(1.5*1.5*0.4)*6</f>
        <v>14.808</v>
      </c>
      <c r="H100" s="196">
        <f t="shared" ref="H100:I100" si="127">(1.4*1.4*0.4)*12+(1.5*1.5*0.4)*6</f>
        <v>14.808</v>
      </c>
      <c r="I100" s="196">
        <f t="shared" si="127"/>
        <v>14.808</v>
      </c>
      <c r="J100" s="47">
        <f>APUs!G5052</f>
        <v>786070</v>
      </c>
      <c r="K100" s="5">
        <f t="shared" si="122"/>
        <v>905552.64000000013</v>
      </c>
      <c r="L100" s="5">
        <f t="shared" si="123"/>
        <v>905552.64000000013</v>
      </c>
      <c r="M100" s="5">
        <f t="shared" si="124"/>
        <v>11640124.560000001</v>
      </c>
      <c r="N100" s="5">
        <f t="shared" si="125"/>
        <v>11640124.560000001</v>
      </c>
      <c r="O100" s="5">
        <f t="shared" si="126"/>
        <v>11640124.560000001</v>
      </c>
    </row>
    <row r="101" spans="1:15" hidden="1" outlineLevel="3" x14ac:dyDescent="0.25">
      <c r="A101" s="44" t="s">
        <v>253</v>
      </c>
      <c r="B101" s="31" t="s">
        <v>2909</v>
      </c>
      <c r="C101" s="153" t="s">
        <v>2906</v>
      </c>
      <c r="D101" s="4" t="s">
        <v>114</v>
      </c>
      <c r="E101" s="196">
        <f>(10+8.6+5*3+2.7+1.6)*0.3*0.7+(0.8*0.8*1)*6</f>
        <v>11.799000000000001</v>
      </c>
      <c r="F101" s="196">
        <f>(10+8.6+5*3+2.7+1.6)*0.3*0.7+(0.8*0.8*1)*6</f>
        <v>11.799000000000001</v>
      </c>
      <c r="G101" s="196">
        <f>0.5*1.3*G103+0.5*0.5*G104</f>
        <v>106</v>
      </c>
      <c r="H101" s="196">
        <f t="shared" ref="H101:I101" si="128">0.5*1.3*H103+0.5*0.5*H104</f>
        <v>106</v>
      </c>
      <c r="I101" s="196">
        <f t="shared" si="128"/>
        <v>106</v>
      </c>
      <c r="J101" s="47">
        <f>APUs!G1928</f>
        <v>38345</v>
      </c>
      <c r="K101" s="5">
        <f t="shared" si="122"/>
        <v>452432.65500000003</v>
      </c>
      <c r="L101" s="5">
        <f t="shared" si="123"/>
        <v>452432.65500000003</v>
      </c>
      <c r="M101" s="5">
        <f t="shared" si="124"/>
        <v>4064570</v>
      </c>
      <c r="N101" s="5">
        <f t="shared" si="125"/>
        <v>4064570</v>
      </c>
      <c r="O101" s="5">
        <f t="shared" si="126"/>
        <v>4064570</v>
      </c>
    </row>
    <row r="102" spans="1:15" hidden="1" outlineLevel="3" x14ac:dyDescent="0.25">
      <c r="A102" s="44" t="s">
        <v>1921</v>
      </c>
      <c r="B102" s="31" t="str">
        <f t="shared" si="109"/>
        <v>083_OC</v>
      </c>
      <c r="C102" s="153" t="s">
        <v>2620</v>
      </c>
      <c r="D102" s="4" t="s">
        <v>108</v>
      </c>
      <c r="E102" s="196">
        <f>10+8.6+5*3+2.7+1.6+8.6*3+5*3</f>
        <v>78.7</v>
      </c>
      <c r="F102" s="196">
        <f>10+8.6+5*3+2.7+1.6+8.6*3+5*3</f>
        <v>78.7</v>
      </c>
      <c r="G102" s="203">
        <v>0</v>
      </c>
      <c r="H102" s="203">
        <v>0</v>
      </c>
      <c r="I102" s="203">
        <v>0</v>
      </c>
      <c r="J102" s="47">
        <f>APUs!G5120</f>
        <v>232826</v>
      </c>
      <c r="K102" s="5">
        <f t="shared" si="122"/>
        <v>18323406.199999999</v>
      </c>
      <c r="L102" s="5">
        <f t="shared" si="123"/>
        <v>18323406.199999999</v>
      </c>
      <c r="M102" s="5">
        <f t="shared" si="124"/>
        <v>0</v>
      </c>
      <c r="N102" s="5">
        <f t="shared" si="125"/>
        <v>0</v>
      </c>
      <c r="O102" s="5">
        <f t="shared" si="126"/>
        <v>0</v>
      </c>
    </row>
    <row r="103" spans="1:15" hidden="1" outlineLevel="3" x14ac:dyDescent="0.25">
      <c r="A103" s="44" t="s">
        <v>1922</v>
      </c>
      <c r="B103" s="31" t="str">
        <f t="shared" si="109"/>
        <v>084_OC</v>
      </c>
      <c r="C103" s="153" t="s">
        <v>2631</v>
      </c>
      <c r="D103" s="4" t="s">
        <v>108</v>
      </c>
      <c r="E103" s="203">
        <v>0</v>
      </c>
      <c r="F103" s="203">
        <v>0</v>
      </c>
      <c r="G103" s="196">
        <v>160</v>
      </c>
      <c r="H103" s="196">
        <v>160</v>
      </c>
      <c r="I103" s="196">
        <v>160</v>
      </c>
      <c r="J103" s="47">
        <f>APUs!G5188</f>
        <v>304033</v>
      </c>
      <c r="K103" s="5">
        <f t="shared" ref="K103:K107" si="129">$J103*E103</f>
        <v>0</v>
      </c>
      <c r="L103" s="5">
        <f t="shared" ref="L103:L107" si="130">$J103*F103</f>
        <v>0</v>
      </c>
      <c r="M103" s="5">
        <f t="shared" ref="M103:M107" si="131">$J103*G103</f>
        <v>48645280</v>
      </c>
      <c r="N103" s="5">
        <f t="shared" ref="N103:N107" si="132">$J103*H103</f>
        <v>48645280</v>
      </c>
      <c r="O103" s="5">
        <f t="shared" ref="O103:O107" si="133">$J103*I103</f>
        <v>48645280</v>
      </c>
    </row>
    <row r="104" spans="1:15" hidden="1" outlineLevel="3" x14ac:dyDescent="0.25">
      <c r="A104" s="44" t="s">
        <v>305</v>
      </c>
      <c r="B104" s="31" t="str">
        <f t="shared" si="109"/>
        <v>085_OC</v>
      </c>
      <c r="C104" s="153" t="s">
        <v>2633</v>
      </c>
      <c r="D104" s="4" t="s">
        <v>108</v>
      </c>
      <c r="E104" s="203">
        <v>0</v>
      </c>
      <c r="F104" s="203">
        <v>0</v>
      </c>
      <c r="G104" s="196">
        <v>8</v>
      </c>
      <c r="H104" s="196">
        <v>8</v>
      </c>
      <c r="I104" s="196">
        <v>8</v>
      </c>
      <c r="J104" s="47">
        <f>APUs!G5256</f>
        <v>195957</v>
      </c>
      <c r="K104" s="5">
        <f t="shared" si="129"/>
        <v>0</v>
      </c>
      <c r="L104" s="5">
        <f t="shared" si="130"/>
        <v>0</v>
      </c>
      <c r="M104" s="5">
        <f t="shared" si="131"/>
        <v>1567656</v>
      </c>
      <c r="N104" s="5">
        <f t="shared" si="132"/>
        <v>1567656</v>
      </c>
      <c r="O104" s="5">
        <f t="shared" si="133"/>
        <v>1567656</v>
      </c>
    </row>
    <row r="105" spans="1:15" hidden="1" outlineLevel="3" x14ac:dyDescent="0.25">
      <c r="A105" s="44" t="s">
        <v>306</v>
      </c>
      <c r="B105" s="31" t="str">
        <f t="shared" si="109"/>
        <v>086_OC</v>
      </c>
      <c r="C105" s="153" t="s">
        <v>2634</v>
      </c>
      <c r="D105" s="4" t="s">
        <v>108</v>
      </c>
      <c r="E105" s="203">
        <v>0</v>
      </c>
      <c r="F105" s="203">
        <v>0</v>
      </c>
      <c r="G105" s="196">
        <v>240</v>
      </c>
      <c r="H105" s="196">
        <v>240</v>
      </c>
      <c r="I105" s="196">
        <v>240</v>
      </c>
      <c r="J105" s="47">
        <f>APUs!G5324</f>
        <v>354644</v>
      </c>
      <c r="K105" s="5">
        <f t="shared" si="129"/>
        <v>0</v>
      </c>
      <c r="L105" s="5">
        <f t="shared" si="130"/>
        <v>0</v>
      </c>
      <c r="M105" s="5">
        <f t="shared" si="131"/>
        <v>85114560</v>
      </c>
      <c r="N105" s="5">
        <f t="shared" si="132"/>
        <v>85114560</v>
      </c>
      <c r="O105" s="5">
        <f t="shared" si="133"/>
        <v>85114560</v>
      </c>
    </row>
    <row r="106" spans="1:15" hidden="1" outlineLevel="3" x14ac:dyDescent="0.25">
      <c r="A106" s="44" t="s">
        <v>307</v>
      </c>
      <c r="B106" s="31" t="str">
        <f t="shared" si="109"/>
        <v>087_OC</v>
      </c>
      <c r="C106" s="153" t="s">
        <v>2635</v>
      </c>
      <c r="D106" s="4" t="s">
        <v>108</v>
      </c>
      <c r="E106" s="203">
        <v>0</v>
      </c>
      <c r="F106" s="203">
        <v>0</v>
      </c>
      <c r="G106" s="196">
        <v>10</v>
      </c>
      <c r="H106" s="196">
        <v>10</v>
      </c>
      <c r="I106" s="196">
        <v>10</v>
      </c>
      <c r="J106" s="47">
        <f>APUs!G5392</f>
        <v>103809</v>
      </c>
      <c r="K106" s="5">
        <f t="shared" si="129"/>
        <v>0</v>
      </c>
      <c r="L106" s="5">
        <f t="shared" si="130"/>
        <v>0</v>
      </c>
      <c r="M106" s="5">
        <f t="shared" si="131"/>
        <v>1038090</v>
      </c>
      <c r="N106" s="5">
        <f t="shared" si="132"/>
        <v>1038090</v>
      </c>
      <c r="O106" s="5">
        <f t="shared" si="133"/>
        <v>1038090</v>
      </c>
    </row>
    <row r="107" spans="1:15" hidden="1" outlineLevel="3" x14ac:dyDescent="0.25">
      <c r="A107" s="44" t="s">
        <v>308</v>
      </c>
      <c r="B107" s="31" t="str">
        <f t="shared" si="109"/>
        <v>088_OC</v>
      </c>
      <c r="C107" s="153" t="s">
        <v>2632</v>
      </c>
      <c r="D107" s="4" t="s">
        <v>108</v>
      </c>
      <c r="E107" s="203">
        <v>0</v>
      </c>
      <c r="F107" s="203">
        <v>0</v>
      </c>
      <c r="G107" s="196">
        <f>12.1*10</f>
        <v>121</v>
      </c>
      <c r="H107" s="196">
        <f t="shared" ref="H107:I107" si="134">12.1*10</f>
        <v>121</v>
      </c>
      <c r="I107" s="196">
        <f t="shared" si="134"/>
        <v>121</v>
      </c>
      <c r="J107" s="47">
        <f>APUs!G5460</f>
        <v>243018</v>
      </c>
      <c r="K107" s="5">
        <f t="shared" si="129"/>
        <v>0</v>
      </c>
      <c r="L107" s="5">
        <f t="shared" si="130"/>
        <v>0</v>
      </c>
      <c r="M107" s="5">
        <f t="shared" si="131"/>
        <v>29405178</v>
      </c>
      <c r="N107" s="5">
        <f t="shared" si="132"/>
        <v>29405178</v>
      </c>
      <c r="O107" s="5">
        <f t="shared" si="133"/>
        <v>29405178</v>
      </c>
    </row>
    <row r="108" spans="1:15" hidden="1" outlineLevel="3" x14ac:dyDescent="0.25">
      <c r="A108" s="44" t="s">
        <v>309</v>
      </c>
      <c r="B108" s="31" t="str">
        <f t="shared" si="109"/>
        <v>089_OC</v>
      </c>
      <c r="C108" s="153" t="s">
        <v>2621</v>
      </c>
      <c r="D108" s="4" t="s">
        <v>108</v>
      </c>
      <c r="E108" s="196">
        <f>8.6*2+5*3+1.4*2+2.7</f>
        <v>37.700000000000003</v>
      </c>
      <c r="F108" s="196">
        <f>8.6*2+5*3+1.4*2+2.7</f>
        <v>37.700000000000003</v>
      </c>
      <c r="G108" s="203">
        <v>0</v>
      </c>
      <c r="H108" s="203">
        <v>0</v>
      </c>
      <c r="I108" s="203">
        <v>0</v>
      </c>
      <c r="J108" s="47">
        <f>APUs!G5530</f>
        <v>264158</v>
      </c>
      <c r="K108" s="5">
        <f t="shared" si="122"/>
        <v>9958756.6000000015</v>
      </c>
      <c r="L108" s="5">
        <f t="shared" si="123"/>
        <v>9958756.6000000015</v>
      </c>
      <c r="M108" s="5">
        <f t="shared" si="124"/>
        <v>0</v>
      </c>
      <c r="N108" s="5">
        <f t="shared" si="125"/>
        <v>0</v>
      </c>
      <c r="O108" s="5">
        <f t="shared" si="126"/>
        <v>0</v>
      </c>
    </row>
    <row r="109" spans="1:15" hidden="1" outlineLevel="3" x14ac:dyDescent="0.25">
      <c r="A109" s="44" t="s">
        <v>310</v>
      </c>
      <c r="B109" s="31" t="str">
        <f t="shared" si="109"/>
        <v>090_OC</v>
      </c>
      <c r="C109" s="153" t="s">
        <v>2627</v>
      </c>
      <c r="D109" s="4" t="s">
        <v>108</v>
      </c>
      <c r="E109" s="196">
        <f>8.6*2+5*2</f>
        <v>27.2</v>
      </c>
      <c r="F109" s="196">
        <f>8.6*2+5*2</f>
        <v>27.2</v>
      </c>
      <c r="G109" s="196">
        <f>28*2+12.5*2</f>
        <v>81</v>
      </c>
      <c r="H109" s="196">
        <f t="shared" ref="H109:I109" si="135">28*2+12.5*2</f>
        <v>81</v>
      </c>
      <c r="I109" s="196">
        <f t="shared" si="135"/>
        <v>81</v>
      </c>
      <c r="J109" s="47">
        <f>APUs!G5598</f>
        <v>60560</v>
      </c>
      <c r="K109" s="5">
        <f t="shared" si="122"/>
        <v>1647232</v>
      </c>
      <c r="L109" s="5">
        <f t="shared" si="123"/>
        <v>1647232</v>
      </c>
      <c r="M109" s="5">
        <f t="shared" si="124"/>
        <v>4905360</v>
      </c>
      <c r="N109" s="5">
        <f t="shared" si="125"/>
        <v>4905360</v>
      </c>
      <c r="O109" s="5">
        <f t="shared" si="126"/>
        <v>4905360</v>
      </c>
    </row>
    <row r="110" spans="1:15" hidden="1" outlineLevel="3" x14ac:dyDescent="0.25">
      <c r="A110" s="44" t="s">
        <v>311</v>
      </c>
      <c r="B110" s="31" t="str">
        <f t="shared" si="109"/>
        <v>091_OC</v>
      </c>
      <c r="C110" s="153" t="s">
        <v>1487</v>
      </c>
      <c r="D110" s="4" t="s">
        <v>108</v>
      </c>
      <c r="E110" s="196">
        <f>3.45*3</f>
        <v>10.350000000000001</v>
      </c>
      <c r="F110" s="196">
        <f>3.45*3</f>
        <v>10.350000000000001</v>
      </c>
      <c r="G110" s="203">
        <v>0</v>
      </c>
      <c r="H110" s="203">
        <v>0</v>
      </c>
      <c r="I110" s="203">
        <v>0</v>
      </c>
      <c r="J110" s="47">
        <f>APUs!G5665</f>
        <v>114348</v>
      </c>
      <c r="K110" s="5">
        <f t="shared" si="122"/>
        <v>1183501.8</v>
      </c>
      <c r="L110" s="5">
        <f t="shared" si="123"/>
        <v>1183501.8</v>
      </c>
      <c r="M110" s="5">
        <f t="shared" si="124"/>
        <v>0</v>
      </c>
      <c r="N110" s="5">
        <f t="shared" si="125"/>
        <v>0</v>
      </c>
      <c r="O110" s="5">
        <f t="shared" si="126"/>
        <v>0</v>
      </c>
    </row>
    <row r="111" spans="1:15" hidden="1" outlineLevel="3" x14ac:dyDescent="0.25">
      <c r="A111" s="44" t="s">
        <v>312</v>
      </c>
      <c r="B111" s="31" t="str">
        <f t="shared" si="109"/>
        <v>092_OC</v>
      </c>
      <c r="C111" s="153" t="s">
        <v>1488</v>
      </c>
      <c r="D111" s="4" t="s">
        <v>108</v>
      </c>
      <c r="E111" s="196">
        <f>3.75*6+0.63*4+1.03*2</f>
        <v>27.08</v>
      </c>
      <c r="F111" s="196">
        <f>3.75*6+0.63*4+1.03*2</f>
        <v>27.08</v>
      </c>
      <c r="G111" s="203">
        <v>0</v>
      </c>
      <c r="H111" s="203">
        <v>0</v>
      </c>
      <c r="I111" s="203">
        <v>0</v>
      </c>
      <c r="J111" s="47">
        <f>APUs!G5738</f>
        <v>303297.50000000006</v>
      </c>
      <c r="K111" s="5">
        <f t="shared" si="122"/>
        <v>8213296.3000000007</v>
      </c>
      <c r="L111" s="5">
        <f t="shared" si="123"/>
        <v>8213296.3000000007</v>
      </c>
      <c r="M111" s="5">
        <f t="shared" si="124"/>
        <v>0</v>
      </c>
      <c r="N111" s="5">
        <f t="shared" si="125"/>
        <v>0</v>
      </c>
      <c r="O111" s="5">
        <f t="shared" si="126"/>
        <v>0</v>
      </c>
    </row>
    <row r="112" spans="1:15" hidden="1" outlineLevel="3" x14ac:dyDescent="0.25">
      <c r="A112" s="44" t="s">
        <v>313</v>
      </c>
      <c r="B112" s="31" t="str">
        <f t="shared" si="109"/>
        <v>093_OC</v>
      </c>
      <c r="C112" s="153" t="s">
        <v>2636</v>
      </c>
      <c r="D112" s="4" t="s">
        <v>108</v>
      </c>
      <c r="E112" s="203">
        <v>0</v>
      </c>
      <c r="F112" s="203">
        <v>0</v>
      </c>
      <c r="G112" s="196">
        <f>18*7</f>
        <v>126</v>
      </c>
      <c r="H112" s="196">
        <f t="shared" ref="H112:I112" si="136">18*7</f>
        <v>126</v>
      </c>
      <c r="I112" s="196">
        <f t="shared" si="136"/>
        <v>126</v>
      </c>
      <c r="J112" s="47">
        <f>APUs!G5799</f>
        <v>410628</v>
      </c>
      <c r="K112" s="5">
        <f t="shared" ref="K112" si="137">$J112*E112</f>
        <v>0</v>
      </c>
      <c r="L112" s="5">
        <f t="shared" ref="L112" si="138">$J112*F112</f>
        <v>0</v>
      </c>
      <c r="M112" s="5">
        <f t="shared" ref="M112" si="139">$J112*G112</f>
        <v>51739128</v>
      </c>
      <c r="N112" s="5">
        <f t="shared" ref="N112" si="140">$J112*H112</f>
        <v>51739128</v>
      </c>
      <c r="O112" s="5">
        <f t="shared" ref="O112" si="141">$J112*I112</f>
        <v>51739128</v>
      </c>
    </row>
    <row r="113" spans="1:15" hidden="1" outlineLevel="3" x14ac:dyDescent="0.25">
      <c r="A113" s="44" t="s">
        <v>314</v>
      </c>
      <c r="B113" s="31" t="str">
        <f t="shared" si="109"/>
        <v>094_OC</v>
      </c>
      <c r="C113" s="153" t="s">
        <v>2628</v>
      </c>
      <c r="D113" s="4" t="s">
        <v>108</v>
      </c>
      <c r="E113" s="196">
        <f>0.8*4</f>
        <v>3.2</v>
      </c>
      <c r="F113" s="196">
        <f>0.8*4</f>
        <v>3.2</v>
      </c>
      <c r="G113" s="196">
        <f>1.2*12*2+1.2*5*2</f>
        <v>40.799999999999997</v>
      </c>
      <c r="H113" s="196">
        <f t="shared" ref="H113:I113" si="142">1.2*12*2+1.2*5*2</f>
        <v>40.799999999999997</v>
      </c>
      <c r="I113" s="196">
        <f t="shared" si="142"/>
        <v>40.799999999999997</v>
      </c>
      <c r="J113" s="47">
        <f>APUs!G5866</f>
        <v>83226</v>
      </c>
      <c r="K113" s="5">
        <f t="shared" si="122"/>
        <v>266323.20000000001</v>
      </c>
      <c r="L113" s="5">
        <f t="shared" si="123"/>
        <v>266323.20000000001</v>
      </c>
      <c r="M113" s="5">
        <f t="shared" si="124"/>
        <v>3395620.8</v>
      </c>
      <c r="N113" s="5">
        <f t="shared" si="125"/>
        <v>3395620.8</v>
      </c>
      <c r="O113" s="5">
        <f t="shared" si="126"/>
        <v>3395620.8</v>
      </c>
    </row>
    <row r="114" spans="1:15" hidden="1" outlineLevel="3" x14ac:dyDescent="0.25">
      <c r="A114" s="44" t="s">
        <v>1923</v>
      </c>
      <c r="B114" s="31" t="str">
        <f t="shared" si="109"/>
        <v>095_OC</v>
      </c>
      <c r="C114" s="153" t="s">
        <v>2648</v>
      </c>
      <c r="D114" s="4" t="s">
        <v>108</v>
      </c>
      <c r="E114" s="203">
        <v>0</v>
      </c>
      <c r="F114" s="203">
        <v>0</v>
      </c>
      <c r="G114" s="196">
        <f>G109</f>
        <v>81</v>
      </c>
      <c r="H114" s="196">
        <f t="shared" ref="H114:I114" si="143">H109</f>
        <v>81</v>
      </c>
      <c r="I114" s="196">
        <f t="shared" si="143"/>
        <v>81</v>
      </c>
      <c r="J114" s="47">
        <f>APUs!G5936</f>
        <v>82641</v>
      </c>
      <c r="K114" s="5">
        <f t="shared" ref="K114" si="144">$J114*E114</f>
        <v>0</v>
      </c>
      <c r="L114" s="5">
        <f t="shared" ref="L114" si="145">$J114*F114</f>
        <v>0</v>
      </c>
      <c r="M114" s="5">
        <f t="shared" ref="M114" si="146">$J114*G114</f>
        <v>6693921</v>
      </c>
      <c r="N114" s="5">
        <f t="shared" ref="N114" si="147">$J114*H114</f>
        <v>6693921</v>
      </c>
      <c r="O114" s="5">
        <f t="shared" ref="O114" si="148">$J114*I114</f>
        <v>6693921</v>
      </c>
    </row>
    <row r="115" spans="1:15" hidden="1" outlineLevel="3" x14ac:dyDescent="0.25">
      <c r="A115" s="44" t="s">
        <v>1924</v>
      </c>
      <c r="B115" s="31" t="str">
        <f t="shared" si="109"/>
        <v>096_OC</v>
      </c>
      <c r="C115" s="165" t="s">
        <v>2778</v>
      </c>
      <c r="D115" s="4" t="s">
        <v>8</v>
      </c>
      <c r="E115" s="203">
        <v>0</v>
      </c>
      <c r="F115" s="203">
        <v>0</v>
      </c>
      <c r="G115" s="196">
        <v>1</v>
      </c>
      <c r="H115" s="196">
        <v>1</v>
      </c>
      <c r="I115" s="196">
        <v>1</v>
      </c>
      <c r="J115" s="47">
        <f>APUs!G6004</f>
        <v>10336877</v>
      </c>
      <c r="K115" s="5">
        <f>$J115*E114</f>
        <v>0</v>
      </c>
      <c r="L115" s="5">
        <f>$J115*F114</f>
        <v>0</v>
      </c>
      <c r="M115" s="5">
        <f t="shared" ref="M115:O116" si="149">$J115*G115</f>
        <v>10336877</v>
      </c>
      <c r="N115" s="5">
        <f t="shared" si="149"/>
        <v>10336877</v>
      </c>
      <c r="O115" s="5">
        <f t="shared" si="149"/>
        <v>10336877</v>
      </c>
    </row>
    <row r="116" spans="1:15" hidden="1" outlineLevel="3" x14ac:dyDescent="0.25">
      <c r="A116" s="44" t="s">
        <v>1925</v>
      </c>
      <c r="B116" s="31" t="str">
        <f t="shared" si="109"/>
        <v>097_OC</v>
      </c>
      <c r="C116" s="165" t="s">
        <v>2779</v>
      </c>
      <c r="D116" s="4" t="s">
        <v>8</v>
      </c>
      <c r="E116" s="203">
        <v>0</v>
      </c>
      <c r="F116" s="203">
        <v>0</v>
      </c>
      <c r="G116" s="196">
        <v>1</v>
      </c>
      <c r="H116" s="196">
        <v>1</v>
      </c>
      <c r="I116" s="196">
        <v>1</v>
      </c>
      <c r="J116" s="47">
        <f>APUs!G6074</f>
        <v>6745754</v>
      </c>
      <c r="K116" s="5">
        <f>$J116*E115</f>
        <v>0</v>
      </c>
      <c r="L116" s="5">
        <f>$J116*F115</f>
        <v>0</v>
      </c>
      <c r="M116" s="5">
        <f t="shared" si="149"/>
        <v>6745754</v>
      </c>
      <c r="N116" s="5">
        <f t="shared" si="149"/>
        <v>6745754</v>
      </c>
      <c r="O116" s="5">
        <f t="shared" si="149"/>
        <v>6745754</v>
      </c>
    </row>
    <row r="117" spans="1:15" hidden="1" outlineLevel="2" collapsed="1" x14ac:dyDescent="0.25">
      <c r="C117" s="210" t="s">
        <v>2547</v>
      </c>
      <c r="D117" s="208"/>
      <c r="E117" s="208"/>
      <c r="F117" s="208"/>
      <c r="G117" s="208"/>
      <c r="H117" s="208"/>
      <c r="I117" s="208"/>
      <c r="J117" s="208"/>
      <c r="K117" s="209">
        <f>SUM(K118:K125)</f>
        <v>72284103</v>
      </c>
      <c r="L117" s="209">
        <f t="shared" ref="L117:O117" si="150">SUM(L118:L125)</f>
        <v>72284103</v>
      </c>
      <c r="M117" s="209">
        <f t="shared" si="150"/>
        <v>59215506.200000003</v>
      </c>
      <c r="N117" s="209">
        <f t="shared" si="150"/>
        <v>59215506.200000003</v>
      </c>
      <c r="O117" s="209">
        <f t="shared" si="150"/>
        <v>59215506.200000003</v>
      </c>
    </row>
    <row r="118" spans="1:15" hidden="1" outlineLevel="3" x14ac:dyDescent="0.25">
      <c r="A118" s="44" t="s">
        <v>1926</v>
      </c>
      <c r="B118" s="31" t="str">
        <f>A118&amp;"_OC"</f>
        <v>098_OC</v>
      </c>
      <c r="C118" s="153" t="s">
        <v>2666</v>
      </c>
      <c r="D118" s="4" t="s">
        <v>8</v>
      </c>
      <c r="E118" s="4">
        <v>4</v>
      </c>
      <c r="F118" s="4">
        <v>4</v>
      </c>
      <c r="G118" s="161">
        <v>0</v>
      </c>
      <c r="H118" s="161">
        <v>0</v>
      </c>
      <c r="I118" s="161">
        <v>0</v>
      </c>
      <c r="J118" s="47">
        <f>APUs!G6142</f>
        <v>12684105</v>
      </c>
      <c r="K118" s="5">
        <f t="shared" ref="K118:O124" si="151">$J118*E118</f>
        <v>50736420</v>
      </c>
      <c r="L118" s="5">
        <f t="shared" si="151"/>
        <v>50736420</v>
      </c>
      <c r="M118" s="5">
        <f t="shared" si="151"/>
        <v>0</v>
      </c>
      <c r="N118" s="5">
        <f t="shared" si="151"/>
        <v>0</v>
      </c>
      <c r="O118" s="5">
        <f t="shared" si="151"/>
        <v>0</v>
      </c>
    </row>
    <row r="119" spans="1:15" hidden="1" outlineLevel="3" x14ac:dyDescent="0.25">
      <c r="A119" s="44" t="s">
        <v>1927</v>
      </c>
      <c r="B119" s="31" t="str">
        <f t="shared" ref="B119:B125" si="152">A119&amp;"_OC"</f>
        <v>099_OC</v>
      </c>
      <c r="C119" s="153" t="s">
        <v>2667</v>
      </c>
      <c r="D119" s="4" t="s">
        <v>8</v>
      </c>
      <c r="E119" s="4">
        <v>1</v>
      </c>
      <c r="F119" s="4">
        <v>1</v>
      </c>
      <c r="G119" s="161">
        <v>0</v>
      </c>
      <c r="H119" s="161">
        <v>0</v>
      </c>
      <c r="I119" s="161">
        <v>0</v>
      </c>
      <c r="J119" s="47">
        <f>APUs!G6210</f>
        <v>4111449</v>
      </c>
      <c r="K119" s="5">
        <f t="shared" si="151"/>
        <v>4111449</v>
      </c>
      <c r="L119" s="5">
        <f t="shared" si="151"/>
        <v>4111449</v>
      </c>
      <c r="M119" s="5">
        <f t="shared" si="151"/>
        <v>0</v>
      </c>
      <c r="N119" s="5">
        <f t="shared" si="151"/>
        <v>0</v>
      </c>
      <c r="O119" s="5">
        <f t="shared" si="151"/>
        <v>0</v>
      </c>
    </row>
    <row r="120" spans="1:15" hidden="1" outlineLevel="3" x14ac:dyDescent="0.25">
      <c r="A120" s="44" t="s">
        <v>1928</v>
      </c>
      <c r="B120" s="31" t="str">
        <f t="shared" si="152"/>
        <v>100_OC</v>
      </c>
      <c r="C120" s="153" t="s">
        <v>2673</v>
      </c>
      <c r="D120" s="4" t="s">
        <v>8</v>
      </c>
      <c r="E120" s="161">
        <v>0</v>
      </c>
      <c r="F120" s="161">
        <v>0</v>
      </c>
      <c r="G120" s="4">
        <v>7</v>
      </c>
      <c r="H120" s="4">
        <v>7</v>
      </c>
      <c r="I120" s="4">
        <v>7</v>
      </c>
      <c r="J120" s="47">
        <f>APUs!G6278</f>
        <v>3354966</v>
      </c>
      <c r="K120" s="5">
        <f t="shared" ref="K120:K123" si="153">$J120*E120</f>
        <v>0</v>
      </c>
      <c r="L120" s="5">
        <f t="shared" ref="L120:L123" si="154">$J120*F120</f>
        <v>0</v>
      </c>
      <c r="M120" s="5">
        <f t="shared" ref="M120:M123" si="155">$J120*G120</f>
        <v>23484762</v>
      </c>
      <c r="N120" s="5">
        <f t="shared" ref="N120:N123" si="156">$J120*H120</f>
        <v>23484762</v>
      </c>
      <c r="O120" s="5">
        <f t="shared" ref="O120:O123" si="157">$J120*I120</f>
        <v>23484762</v>
      </c>
    </row>
    <row r="121" spans="1:15" hidden="1" outlineLevel="3" x14ac:dyDescent="0.25">
      <c r="A121" s="44" t="s">
        <v>1929</v>
      </c>
      <c r="B121" s="31" t="str">
        <f t="shared" si="152"/>
        <v>101_OC</v>
      </c>
      <c r="C121" s="153" t="s">
        <v>2672</v>
      </c>
      <c r="D121" s="4" t="s">
        <v>8</v>
      </c>
      <c r="E121" s="161">
        <v>0</v>
      </c>
      <c r="F121" s="161">
        <v>0</v>
      </c>
      <c r="G121" s="4">
        <v>2</v>
      </c>
      <c r="H121" s="4">
        <v>2</v>
      </c>
      <c r="I121" s="4">
        <v>2</v>
      </c>
      <c r="J121" s="47">
        <f>APUs!G6346</f>
        <v>3548341</v>
      </c>
      <c r="K121" s="5">
        <f t="shared" si="153"/>
        <v>0</v>
      </c>
      <c r="L121" s="5">
        <f t="shared" si="154"/>
        <v>0</v>
      </c>
      <c r="M121" s="5">
        <f t="shared" si="155"/>
        <v>7096682</v>
      </c>
      <c r="N121" s="5">
        <f t="shared" si="156"/>
        <v>7096682</v>
      </c>
      <c r="O121" s="5">
        <f t="shared" si="157"/>
        <v>7096682</v>
      </c>
    </row>
    <row r="122" spans="1:15" hidden="1" outlineLevel="3" x14ac:dyDescent="0.25">
      <c r="A122" s="44" t="s">
        <v>1930</v>
      </c>
      <c r="B122" s="31" t="str">
        <f t="shared" si="152"/>
        <v>102_OC</v>
      </c>
      <c r="C122" s="153" t="s">
        <v>2671</v>
      </c>
      <c r="D122" s="4" t="s">
        <v>8</v>
      </c>
      <c r="E122" s="161">
        <v>0</v>
      </c>
      <c r="F122" s="161">
        <v>0</v>
      </c>
      <c r="G122" s="4">
        <v>2</v>
      </c>
      <c r="H122" s="4">
        <v>2</v>
      </c>
      <c r="I122" s="4">
        <v>2</v>
      </c>
      <c r="J122" s="47">
        <f>APUs!G6414</f>
        <v>6750631</v>
      </c>
      <c r="K122" s="5">
        <f t="shared" si="153"/>
        <v>0</v>
      </c>
      <c r="L122" s="5">
        <f t="shared" si="154"/>
        <v>0</v>
      </c>
      <c r="M122" s="5">
        <f t="shared" si="155"/>
        <v>13501262</v>
      </c>
      <c r="N122" s="5">
        <f t="shared" si="156"/>
        <v>13501262</v>
      </c>
      <c r="O122" s="5">
        <f t="shared" si="157"/>
        <v>13501262</v>
      </c>
    </row>
    <row r="123" spans="1:15" hidden="1" outlineLevel="3" x14ac:dyDescent="0.25">
      <c r="A123" s="44" t="s">
        <v>1931</v>
      </c>
      <c r="B123" s="31" t="str">
        <f t="shared" si="152"/>
        <v>103_OC</v>
      </c>
      <c r="C123" s="153" t="s">
        <v>2670</v>
      </c>
      <c r="D123" s="4" t="s">
        <v>8</v>
      </c>
      <c r="E123" s="4"/>
      <c r="F123" s="4"/>
      <c r="G123" s="4">
        <v>1</v>
      </c>
      <c r="H123" s="4">
        <v>1</v>
      </c>
      <c r="I123" s="4">
        <v>1</v>
      </c>
      <c r="J123" s="47">
        <f>APUs!G6482</f>
        <v>9847150</v>
      </c>
      <c r="K123" s="5">
        <f t="shared" si="153"/>
        <v>0</v>
      </c>
      <c r="L123" s="5">
        <f t="shared" si="154"/>
        <v>0</v>
      </c>
      <c r="M123" s="5">
        <f t="shared" si="155"/>
        <v>9847150</v>
      </c>
      <c r="N123" s="5">
        <f t="shared" si="156"/>
        <v>9847150</v>
      </c>
      <c r="O123" s="5">
        <f t="shared" si="157"/>
        <v>9847150</v>
      </c>
    </row>
    <row r="124" spans="1:15" hidden="1" outlineLevel="3" x14ac:dyDescent="0.25">
      <c r="A124" s="44" t="s">
        <v>1932</v>
      </c>
      <c r="B124" s="31" t="str">
        <f t="shared" si="152"/>
        <v>104_OC</v>
      </c>
      <c r="C124" s="153" t="s">
        <v>2677</v>
      </c>
      <c r="D124" s="4" t="s">
        <v>113</v>
      </c>
      <c r="E124" s="4">
        <v>82</v>
      </c>
      <c r="F124" s="4">
        <v>82</v>
      </c>
      <c r="G124" s="161">
        <v>0</v>
      </c>
      <c r="H124" s="161">
        <v>0</v>
      </c>
      <c r="I124" s="161">
        <v>0</v>
      </c>
      <c r="J124" s="47">
        <f>APUs!G6551</f>
        <v>212637</v>
      </c>
      <c r="K124" s="5">
        <f t="shared" si="151"/>
        <v>17436234</v>
      </c>
      <c r="L124" s="5">
        <f t="shared" si="151"/>
        <v>17436234</v>
      </c>
      <c r="M124" s="5">
        <f t="shared" si="151"/>
        <v>0</v>
      </c>
      <c r="N124" s="5">
        <f t="shared" si="151"/>
        <v>0</v>
      </c>
      <c r="O124" s="5">
        <f t="shared" si="151"/>
        <v>0</v>
      </c>
    </row>
    <row r="125" spans="1:15" hidden="1" outlineLevel="3" x14ac:dyDescent="0.25">
      <c r="A125" s="44" t="s">
        <v>1933</v>
      </c>
      <c r="B125" s="31" t="str">
        <f t="shared" si="152"/>
        <v>105_OC</v>
      </c>
      <c r="C125" s="153" t="s">
        <v>2662</v>
      </c>
      <c r="D125" s="4" t="s">
        <v>113</v>
      </c>
      <c r="E125" s="161">
        <v>0</v>
      </c>
      <c r="F125" s="161">
        <v>0</v>
      </c>
      <c r="G125" s="4">
        <f>0.6*(4+10+5+7+3)</f>
        <v>17.399999999999999</v>
      </c>
      <c r="H125" s="4">
        <f t="shared" ref="H125:I125" si="158">0.6*(4+10+5+7+3)</f>
        <v>17.399999999999999</v>
      </c>
      <c r="I125" s="4">
        <f t="shared" si="158"/>
        <v>17.399999999999999</v>
      </c>
      <c r="J125" s="47">
        <f>APUs!G6617</f>
        <v>303773</v>
      </c>
      <c r="K125" s="5">
        <f t="shared" ref="K125" si="159">$J125*E125</f>
        <v>0</v>
      </c>
      <c r="L125" s="5">
        <f t="shared" ref="L125" si="160">$J125*F125</f>
        <v>0</v>
      </c>
      <c r="M125" s="5">
        <f t="shared" ref="M125" si="161">$J125*G125</f>
        <v>5285650.1999999993</v>
      </c>
      <c r="N125" s="5">
        <f t="shared" ref="N125" si="162">$J125*H125</f>
        <v>5285650.1999999993</v>
      </c>
      <c r="O125" s="5">
        <f t="shared" ref="O125" si="163">$J125*I125</f>
        <v>5285650.1999999993</v>
      </c>
    </row>
    <row r="126" spans="1:15" hidden="1" outlineLevel="2" collapsed="1" x14ac:dyDescent="0.25">
      <c r="C126" s="210" t="s">
        <v>2548</v>
      </c>
      <c r="D126" s="208"/>
      <c r="E126" s="208"/>
      <c r="F126" s="208"/>
      <c r="G126" s="208"/>
      <c r="H126" s="208"/>
      <c r="I126" s="208"/>
      <c r="J126" s="208"/>
      <c r="K126" s="209">
        <f>SUM(K127:K142)</f>
        <v>14412894.920000002</v>
      </c>
      <c r="L126" s="209">
        <f>SUM(L127:L142)</f>
        <v>14412894.920000002</v>
      </c>
      <c r="M126" s="209">
        <f>SUM(M127:M142)</f>
        <v>221262508.03</v>
      </c>
      <c r="N126" s="209">
        <f>SUM(N127:N142)</f>
        <v>221262508.03</v>
      </c>
      <c r="O126" s="209">
        <f>SUM(O127:O142)</f>
        <v>221262508.03</v>
      </c>
    </row>
    <row r="127" spans="1:15" hidden="1" outlineLevel="3" x14ac:dyDescent="0.25">
      <c r="A127" s="44" t="s">
        <v>1934</v>
      </c>
      <c r="B127" s="31" t="str">
        <f>A127&amp;"_OC"</f>
        <v>106_OC</v>
      </c>
      <c r="C127" s="153" t="s">
        <v>2678</v>
      </c>
      <c r="D127" s="4" t="s">
        <v>113</v>
      </c>
      <c r="E127" s="171">
        <f>3+40</f>
        <v>43</v>
      </c>
      <c r="F127" s="171">
        <f>3+40</f>
        <v>43</v>
      </c>
      <c r="G127" s="159">
        <f>6.25+6.8+52.2+24+27+202+12</f>
        <v>330.25</v>
      </c>
      <c r="H127" s="159">
        <f t="shared" ref="H127:I127" si="164">6.25+6.8+52.2+24+27+202+12</f>
        <v>330.25</v>
      </c>
      <c r="I127" s="159">
        <f t="shared" si="164"/>
        <v>330.25</v>
      </c>
      <c r="J127" s="47">
        <f>APUs!G6683</f>
        <v>97891</v>
      </c>
      <c r="K127" s="5">
        <f t="shared" ref="K127" si="165">$J127*E127</f>
        <v>4209313</v>
      </c>
      <c r="L127" s="5">
        <f t="shared" ref="L127" si="166">$J127*F127</f>
        <v>4209313</v>
      </c>
      <c r="M127" s="5">
        <f t="shared" ref="M127" si="167">$J127*G127</f>
        <v>32328502.75</v>
      </c>
      <c r="N127" s="5">
        <f t="shared" ref="N127" si="168">$J127*H127</f>
        <v>32328502.75</v>
      </c>
      <c r="O127" s="5">
        <f t="shared" ref="O127" si="169">$J127*I127</f>
        <v>32328502.75</v>
      </c>
    </row>
    <row r="128" spans="1:15" hidden="1" outlineLevel="3" x14ac:dyDescent="0.25">
      <c r="A128" s="44" t="s">
        <v>1726</v>
      </c>
      <c r="B128" s="31" t="str">
        <f>A128&amp;"_OC"</f>
        <v>107_OC</v>
      </c>
      <c r="C128" s="153" t="s">
        <v>1722</v>
      </c>
      <c r="D128" s="4" t="s">
        <v>113</v>
      </c>
      <c r="E128" s="4">
        <v>0.4</v>
      </c>
      <c r="F128" s="4">
        <v>0.4</v>
      </c>
      <c r="G128" s="4">
        <f>0.5*0.8</f>
        <v>0.4</v>
      </c>
      <c r="H128" s="4">
        <f t="shared" ref="H128:I128" si="170">0.5*0.8</f>
        <v>0.4</v>
      </c>
      <c r="I128" s="4">
        <f t="shared" si="170"/>
        <v>0.4</v>
      </c>
      <c r="J128" s="47">
        <f>APUs!G6751</f>
        <v>100702</v>
      </c>
      <c r="K128" s="5">
        <f t="shared" ref="K128:K142" si="171">$J128*E128</f>
        <v>40280.800000000003</v>
      </c>
      <c r="L128" s="5">
        <f t="shared" ref="L128:L142" si="172">$J128*F128</f>
        <v>40280.800000000003</v>
      </c>
      <c r="M128" s="5">
        <f t="shared" ref="M128:M142" si="173">$J128*G128</f>
        <v>40280.800000000003</v>
      </c>
      <c r="N128" s="5">
        <f t="shared" ref="N128:N142" si="174">$J128*H128</f>
        <v>40280.800000000003</v>
      </c>
      <c r="O128" s="5">
        <f t="shared" ref="O128:O142" si="175">$J128*I128</f>
        <v>40280.800000000003</v>
      </c>
    </row>
    <row r="129" spans="1:15" hidden="1" outlineLevel="3" x14ac:dyDescent="0.25">
      <c r="A129" s="44" t="s">
        <v>1935</v>
      </c>
      <c r="B129" s="31" t="str">
        <f>A129&amp;"_OC"</f>
        <v>108_OC</v>
      </c>
      <c r="C129" s="153" t="s">
        <v>218</v>
      </c>
      <c r="D129" s="4" t="s">
        <v>113</v>
      </c>
      <c r="E129" s="4">
        <f>E140</f>
        <v>17</v>
      </c>
      <c r="F129" s="4">
        <f t="shared" ref="F129:I129" si="176">F140</f>
        <v>17</v>
      </c>
      <c r="G129" s="4">
        <f t="shared" si="176"/>
        <v>189</v>
      </c>
      <c r="H129" s="4">
        <f t="shared" si="176"/>
        <v>189</v>
      </c>
      <c r="I129" s="4">
        <f t="shared" si="176"/>
        <v>189</v>
      </c>
      <c r="J129" s="47">
        <f>APUs!G6820</f>
        <v>21058</v>
      </c>
      <c r="K129" s="5">
        <f t="shared" si="171"/>
        <v>357986</v>
      </c>
      <c r="L129" s="5">
        <f t="shared" si="172"/>
        <v>357986</v>
      </c>
      <c r="M129" s="5">
        <f t="shared" si="173"/>
        <v>3979962</v>
      </c>
      <c r="N129" s="5">
        <f t="shared" si="174"/>
        <v>3979962</v>
      </c>
      <c r="O129" s="5">
        <f t="shared" si="175"/>
        <v>3979962</v>
      </c>
    </row>
    <row r="130" spans="1:15" hidden="1" outlineLevel="3" x14ac:dyDescent="0.25">
      <c r="A130" s="44" t="s">
        <v>1936</v>
      </c>
      <c r="B130" s="31" t="str">
        <f>A130&amp;"_OC"</f>
        <v>109_OC</v>
      </c>
      <c r="C130" s="153" t="s">
        <v>1723</v>
      </c>
      <c r="D130" s="4" t="s">
        <v>108</v>
      </c>
      <c r="E130" s="4">
        <f>5*2</f>
        <v>10</v>
      </c>
      <c r="F130" s="4">
        <f>5*2</f>
        <v>10</v>
      </c>
      <c r="G130" s="4">
        <f>11+21+17+21+65</f>
        <v>135</v>
      </c>
      <c r="H130" s="4">
        <f t="shared" ref="H130:I130" si="177">11+21+17+21+65</f>
        <v>135</v>
      </c>
      <c r="I130" s="4">
        <f t="shared" si="177"/>
        <v>135</v>
      </c>
      <c r="J130" s="47">
        <f>APUs!G6889</f>
        <v>13091</v>
      </c>
      <c r="K130" s="5">
        <f t="shared" si="171"/>
        <v>130910</v>
      </c>
      <c r="L130" s="5">
        <f t="shared" si="172"/>
        <v>130910</v>
      </c>
      <c r="M130" s="5">
        <f t="shared" si="173"/>
        <v>1767285</v>
      </c>
      <c r="N130" s="5">
        <f t="shared" si="174"/>
        <v>1767285</v>
      </c>
      <c r="O130" s="5">
        <f t="shared" si="175"/>
        <v>1767285</v>
      </c>
    </row>
    <row r="131" spans="1:15" hidden="1" outlineLevel="3" x14ac:dyDescent="0.25">
      <c r="A131" s="44" t="s">
        <v>1937</v>
      </c>
      <c r="B131" s="31" t="str">
        <f t="shared" ref="B131:B142" si="178">A131&amp;"_OC"</f>
        <v>110_OC</v>
      </c>
      <c r="C131" s="153" t="s">
        <v>2742</v>
      </c>
      <c r="D131" s="4" t="s">
        <v>113</v>
      </c>
      <c r="E131" s="4">
        <f>E140</f>
        <v>17</v>
      </c>
      <c r="F131" s="4">
        <f t="shared" ref="F131:I131" si="179">F140</f>
        <v>17</v>
      </c>
      <c r="G131" s="4">
        <f t="shared" si="179"/>
        <v>189</v>
      </c>
      <c r="H131" s="4">
        <f t="shared" si="179"/>
        <v>189</v>
      </c>
      <c r="I131" s="4">
        <f t="shared" si="179"/>
        <v>189</v>
      </c>
      <c r="J131" s="47">
        <f>APUs!G6958</f>
        <v>212968</v>
      </c>
      <c r="K131" s="5">
        <f t="shared" si="171"/>
        <v>3620456</v>
      </c>
      <c r="L131" s="5">
        <f t="shared" si="172"/>
        <v>3620456</v>
      </c>
      <c r="M131" s="5">
        <f t="shared" si="173"/>
        <v>40250952</v>
      </c>
      <c r="N131" s="5">
        <f t="shared" si="174"/>
        <v>40250952</v>
      </c>
      <c r="O131" s="5">
        <f t="shared" si="175"/>
        <v>40250952</v>
      </c>
    </row>
    <row r="132" spans="1:15" hidden="1" outlineLevel="3" x14ac:dyDescent="0.25">
      <c r="A132" s="44" t="s">
        <v>2350</v>
      </c>
      <c r="B132" s="31" t="str">
        <f t="shared" si="178"/>
        <v>111_OC</v>
      </c>
      <c r="C132" s="153" t="s">
        <v>2767</v>
      </c>
      <c r="D132" s="4" t="s">
        <v>113</v>
      </c>
      <c r="E132" s="161">
        <v>0</v>
      </c>
      <c r="F132" s="161">
        <v>0</v>
      </c>
      <c r="G132" s="4">
        <v>350</v>
      </c>
      <c r="H132" s="4">
        <v>350</v>
      </c>
      <c r="I132" s="4">
        <v>350</v>
      </c>
      <c r="J132" s="171">
        <f>APUs!G7026</f>
        <v>80027</v>
      </c>
      <c r="K132" s="5">
        <f t="shared" si="171"/>
        <v>0</v>
      </c>
      <c r="L132" s="5">
        <f t="shared" si="172"/>
        <v>0</v>
      </c>
      <c r="M132" s="5">
        <f t="shared" si="173"/>
        <v>28009450</v>
      </c>
      <c r="N132" s="5">
        <f t="shared" si="174"/>
        <v>28009450</v>
      </c>
      <c r="O132" s="5">
        <f t="shared" si="175"/>
        <v>28009450</v>
      </c>
    </row>
    <row r="133" spans="1:15" hidden="1" outlineLevel="3" x14ac:dyDescent="0.25">
      <c r="A133" s="44" t="s">
        <v>1938</v>
      </c>
      <c r="B133" s="31" t="str">
        <f t="shared" si="178"/>
        <v>112_OC</v>
      </c>
      <c r="C133" s="153" t="s">
        <v>2750</v>
      </c>
      <c r="D133" s="4" t="s">
        <v>113</v>
      </c>
      <c r="E133" s="161">
        <v>0</v>
      </c>
      <c r="F133" s="161">
        <v>0</v>
      </c>
      <c r="G133" s="4">
        <f>5+15+14+68+42+78</f>
        <v>222</v>
      </c>
      <c r="H133" s="4">
        <f t="shared" ref="H133:I133" si="180">5+15+14+68+42+78</f>
        <v>222</v>
      </c>
      <c r="I133" s="4">
        <f t="shared" si="180"/>
        <v>222</v>
      </c>
      <c r="J133" s="47">
        <f>APUs!G7094</f>
        <v>50261</v>
      </c>
      <c r="K133" s="5">
        <f t="shared" si="171"/>
        <v>0</v>
      </c>
      <c r="L133" s="5">
        <f t="shared" si="172"/>
        <v>0</v>
      </c>
      <c r="M133" s="5">
        <f t="shared" si="173"/>
        <v>11157942</v>
      </c>
      <c r="N133" s="5">
        <f t="shared" si="174"/>
        <v>11157942</v>
      </c>
      <c r="O133" s="5">
        <f t="shared" si="175"/>
        <v>11157942</v>
      </c>
    </row>
    <row r="134" spans="1:15" hidden="1" outlineLevel="3" x14ac:dyDescent="0.25">
      <c r="A134" s="44" t="s">
        <v>2351</v>
      </c>
      <c r="B134" s="31" t="str">
        <f t="shared" si="178"/>
        <v>113_OC</v>
      </c>
      <c r="C134" s="153" t="s">
        <v>2751</v>
      </c>
      <c r="D134" s="4" t="s">
        <v>113</v>
      </c>
      <c r="E134" s="161">
        <v>0</v>
      </c>
      <c r="F134" s="161">
        <v>0</v>
      </c>
      <c r="G134" s="4">
        <f>(11+21+17+21+65)*4.2</f>
        <v>567</v>
      </c>
      <c r="H134" s="4">
        <f t="shared" ref="H134:I134" si="181">(11+21+17+21+65)*4.2</f>
        <v>567</v>
      </c>
      <c r="I134" s="4">
        <f t="shared" si="181"/>
        <v>567</v>
      </c>
      <c r="J134" s="47">
        <f>APUs!G7163</f>
        <v>40832</v>
      </c>
      <c r="K134" s="5">
        <f t="shared" si="171"/>
        <v>0</v>
      </c>
      <c r="L134" s="5">
        <f t="shared" si="172"/>
        <v>0</v>
      </c>
      <c r="M134" s="5">
        <f t="shared" si="173"/>
        <v>23151744</v>
      </c>
      <c r="N134" s="5">
        <f t="shared" si="174"/>
        <v>23151744</v>
      </c>
      <c r="O134" s="5">
        <f t="shared" si="175"/>
        <v>23151744</v>
      </c>
    </row>
    <row r="135" spans="1:15" hidden="1" outlineLevel="3" x14ac:dyDescent="0.25">
      <c r="A135" s="44" t="s">
        <v>2193</v>
      </c>
      <c r="B135" s="31" t="str">
        <f t="shared" si="178"/>
        <v>114_OC</v>
      </c>
      <c r="C135" s="153" t="s">
        <v>2762</v>
      </c>
      <c r="D135" s="4" t="s">
        <v>113</v>
      </c>
      <c r="E135" s="4">
        <f>17*2+14*2</f>
        <v>62</v>
      </c>
      <c r="F135" s="4">
        <f>17*2+14*2</f>
        <v>62</v>
      </c>
      <c r="G135" s="4">
        <f>24+12+52+52+12+24+56+39</f>
        <v>271</v>
      </c>
      <c r="H135" s="4">
        <f t="shared" ref="H135:I135" si="182">24+12+52+52+12+24+56+39</f>
        <v>271</v>
      </c>
      <c r="I135" s="4">
        <f t="shared" si="182"/>
        <v>271</v>
      </c>
      <c r="J135" s="47">
        <f>APUs!G7230</f>
        <v>46928</v>
      </c>
      <c r="K135" s="5">
        <f t="shared" si="171"/>
        <v>2909536</v>
      </c>
      <c r="L135" s="5">
        <f t="shared" si="172"/>
        <v>2909536</v>
      </c>
      <c r="M135" s="5">
        <f t="shared" si="173"/>
        <v>12717488</v>
      </c>
      <c r="N135" s="5">
        <f t="shared" si="174"/>
        <v>12717488</v>
      </c>
      <c r="O135" s="5">
        <f t="shared" si="175"/>
        <v>12717488</v>
      </c>
    </row>
    <row r="136" spans="1:15" hidden="1" outlineLevel="3" x14ac:dyDescent="0.25">
      <c r="A136" s="44" t="s">
        <v>2352</v>
      </c>
      <c r="B136" s="31" t="str">
        <f t="shared" si="178"/>
        <v>115_OC</v>
      </c>
      <c r="C136" s="153" t="s">
        <v>2679</v>
      </c>
      <c r="D136" s="4" t="s">
        <v>113</v>
      </c>
      <c r="E136" s="197">
        <f>E134</f>
        <v>0</v>
      </c>
      <c r="F136" s="197">
        <f>F134</f>
        <v>0</v>
      </c>
      <c r="G136" s="4">
        <f t="shared" ref="G136:I137" si="183">(11+21+17+21+65)*4.2</f>
        <v>567</v>
      </c>
      <c r="H136" s="4">
        <f t="shared" si="183"/>
        <v>567</v>
      </c>
      <c r="I136" s="4">
        <f t="shared" si="183"/>
        <v>567</v>
      </c>
      <c r="J136" s="47">
        <f>APUs!G7299</f>
        <v>17352</v>
      </c>
      <c r="K136" s="5">
        <f t="shared" si="171"/>
        <v>0</v>
      </c>
      <c r="L136" s="5">
        <f t="shared" si="172"/>
        <v>0</v>
      </c>
      <c r="M136" s="5">
        <f t="shared" si="173"/>
        <v>9838584</v>
      </c>
      <c r="N136" s="5">
        <f t="shared" si="174"/>
        <v>9838584</v>
      </c>
      <c r="O136" s="5">
        <f t="shared" si="175"/>
        <v>9838584</v>
      </c>
    </row>
    <row r="137" spans="1:15" hidden="1" outlineLevel="3" x14ac:dyDescent="0.25">
      <c r="A137" s="44" t="s">
        <v>2231</v>
      </c>
      <c r="B137" s="31" t="str">
        <f t="shared" si="178"/>
        <v>116_OC</v>
      </c>
      <c r="C137" s="153" t="s">
        <v>2680</v>
      </c>
      <c r="D137" s="4" t="s">
        <v>113</v>
      </c>
      <c r="E137" s="197">
        <f>E134</f>
        <v>0</v>
      </c>
      <c r="F137" s="197">
        <f>F134</f>
        <v>0</v>
      </c>
      <c r="G137" s="4">
        <f t="shared" si="183"/>
        <v>567</v>
      </c>
      <c r="H137" s="4">
        <f t="shared" si="183"/>
        <v>567</v>
      </c>
      <c r="I137" s="4">
        <f t="shared" si="183"/>
        <v>567</v>
      </c>
      <c r="J137" s="47">
        <f>APUs!G7368</f>
        <v>23873</v>
      </c>
      <c r="K137" s="5">
        <f t="shared" si="171"/>
        <v>0</v>
      </c>
      <c r="L137" s="5">
        <f t="shared" si="172"/>
        <v>0</v>
      </c>
      <c r="M137" s="5">
        <f t="shared" si="173"/>
        <v>13535991</v>
      </c>
      <c r="N137" s="5">
        <f t="shared" si="174"/>
        <v>13535991</v>
      </c>
      <c r="O137" s="5">
        <f t="shared" si="175"/>
        <v>13535991</v>
      </c>
    </row>
    <row r="138" spans="1:15" hidden="1" outlineLevel="3" x14ac:dyDescent="0.25">
      <c r="A138" s="44" t="s">
        <v>2353</v>
      </c>
      <c r="B138" s="31" t="str">
        <f t="shared" si="178"/>
        <v>117_OC</v>
      </c>
      <c r="C138" s="153" t="s">
        <v>2681</v>
      </c>
      <c r="D138" s="4" t="s">
        <v>113</v>
      </c>
      <c r="E138" s="197">
        <v>0</v>
      </c>
      <c r="F138" s="197">
        <v>0</v>
      </c>
      <c r="G138" s="4">
        <f t="shared" ref="G138:I138" si="184">G133</f>
        <v>222</v>
      </c>
      <c r="H138" s="4">
        <f t="shared" si="184"/>
        <v>222</v>
      </c>
      <c r="I138" s="4">
        <f t="shared" si="184"/>
        <v>222</v>
      </c>
      <c r="J138" s="47">
        <f>APUs!G7437</f>
        <v>59054</v>
      </c>
      <c r="K138" s="5">
        <f t="shared" si="171"/>
        <v>0</v>
      </c>
      <c r="L138" s="5">
        <f t="shared" si="172"/>
        <v>0</v>
      </c>
      <c r="M138" s="5">
        <f t="shared" si="173"/>
        <v>13109988</v>
      </c>
      <c r="N138" s="5">
        <f t="shared" si="174"/>
        <v>13109988</v>
      </c>
      <c r="O138" s="5">
        <f t="shared" si="175"/>
        <v>13109988</v>
      </c>
    </row>
    <row r="139" spans="1:15" hidden="1" outlineLevel="3" x14ac:dyDescent="0.25">
      <c r="A139" s="44" t="s">
        <v>2232</v>
      </c>
      <c r="B139" s="31" t="str">
        <f t="shared" si="178"/>
        <v>118_OC</v>
      </c>
      <c r="C139" s="153" t="s">
        <v>2725</v>
      </c>
      <c r="D139" s="4" t="s">
        <v>113</v>
      </c>
      <c r="E139" s="4">
        <f>3+4</f>
        <v>7</v>
      </c>
      <c r="F139" s="4">
        <f>3+4</f>
        <v>7</v>
      </c>
      <c r="G139" s="4">
        <f>7+24+350</f>
        <v>381</v>
      </c>
      <c r="H139" s="4">
        <f t="shared" ref="H139:I139" si="185">7+24+350</f>
        <v>381</v>
      </c>
      <c r="I139" s="4">
        <f t="shared" si="185"/>
        <v>381</v>
      </c>
      <c r="J139" s="47">
        <f>APUs!G7504</f>
        <v>44911</v>
      </c>
      <c r="K139" s="5">
        <f t="shared" si="171"/>
        <v>314377</v>
      </c>
      <c r="L139" s="5">
        <f t="shared" si="172"/>
        <v>314377</v>
      </c>
      <c r="M139" s="5">
        <f t="shared" si="173"/>
        <v>17111091</v>
      </c>
      <c r="N139" s="5">
        <f t="shared" si="174"/>
        <v>17111091</v>
      </c>
      <c r="O139" s="5">
        <f t="shared" si="175"/>
        <v>17111091</v>
      </c>
    </row>
    <row r="140" spans="1:15" hidden="1" outlineLevel="3" x14ac:dyDescent="0.25">
      <c r="A140" s="44" t="s">
        <v>2354</v>
      </c>
      <c r="B140" s="31" t="str">
        <f t="shared" si="178"/>
        <v>119_OC</v>
      </c>
      <c r="C140" s="153" t="s">
        <v>2741</v>
      </c>
      <c r="D140" s="4" t="s">
        <v>113</v>
      </c>
      <c r="E140" s="4">
        <f>10+7</f>
        <v>17</v>
      </c>
      <c r="F140" s="4">
        <f>10+7</f>
        <v>17</v>
      </c>
      <c r="G140" s="4">
        <f>7+31+41+4.5+18+11+6.5+16+26+5+15+6+2</f>
        <v>189</v>
      </c>
      <c r="H140" s="4">
        <f t="shared" ref="H140:I140" si="186">7+31+41+4.5+18+11+6.5+16+26+5+15+6+2</f>
        <v>189</v>
      </c>
      <c r="I140" s="4">
        <f t="shared" si="186"/>
        <v>189</v>
      </c>
      <c r="J140" s="47">
        <f>APUs!G7571</f>
        <v>4460</v>
      </c>
      <c r="K140" s="5">
        <f t="shared" si="171"/>
        <v>75820</v>
      </c>
      <c r="L140" s="5">
        <f t="shared" si="172"/>
        <v>75820</v>
      </c>
      <c r="M140" s="5">
        <f t="shared" si="173"/>
        <v>842940</v>
      </c>
      <c r="N140" s="5">
        <f t="shared" si="174"/>
        <v>842940</v>
      </c>
      <c r="O140" s="5">
        <f t="shared" si="175"/>
        <v>842940</v>
      </c>
    </row>
    <row r="141" spans="1:15" hidden="1" outlineLevel="3" x14ac:dyDescent="0.25">
      <c r="A141" s="44" t="s">
        <v>2233</v>
      </c>
      <c r="B141" s="31" t="str">
        <f t="shared" si="178"/>
        <v>120_OC</v>
      </c>
      <c r="C141" s="153" t="s">
        <v>2726</v>
      </c>
      <c r="D141" s="4" t="s">
        <v>113</v>
      </c>
      <c r="E141" s="198">
        <f>2.4*7.4</f>
        <v>17.760000000000002</v>
      </c>
      <c r="F141" s="198">
        <f>2.4*7.4</f>
        <v>17.760000000000002</v>
      </c>
      <c r="G141" s="4">
        <f>10*2.4+19.6*2.4</f>
        <v>71.039999999999992</v>
      </c>
      <c r="H141" s="4">
        <f t="shared" ref="H141:I141" si="187">10*2.4+19.6*2.4</f>
        <v>71.039999999999992</v>
      </c>
      <c r="I141" s="4">
        <f t="shared" si="187"/>
        <v>71.039999999999992</v>
      </c>
      <c r="J141" s="47">
        <f>APUs!G7642</f>
        <v>133712</v>
      </c>
      <c r="K141" s="5">
        <f t="shared" si="171"/>
        <v>2374725.12</v>
      </c>
      <c r="L141" s="5">
        <f t="shared" si="172"/>
        <v>2374725.12</v>
      </c>
      <c r="M141" s="5">
        <f t="shared" si="173"/>
        <v>9498900.4799999986</v>
      </c>
      <c r="N141" s="5">
        <f t="shared" si="174"/>
        <v>9498900.4799999986</v>
      </c>
      <c r="O141" s="5">
        <f t="shared" si="175"/>
        <v>9498900.4799999986</v>
      </c>
    </row>
    <row r="142" spans="1:15" hidden="1" outlineLevel="3" x14ac:dyDescent="0.25">
      <c r="A142" s="44" t="s">
        <v>2355</v>
      </c>
      <c r="B142" s="31" t="str">
        <f t="shared" si="178"/>
        <v>121_OC</v>
      </c>
      <c r="C142" s="153" t="s">
        <v>2727</v>
      </c>
      <c r="D142" s="4" t="s">
        <v>113</v>
      </c>
      <c r="E142" s="4">
        <v>3</v>
      </c>
      <c r="F142" s="4">
        <v>3</v>
      </c>
      <c r="G142" s="4">
        <f>7+24</f>
        <v>31</v>
      </c>
      <c r="H142" s="4">
        <f t="shared" ref="H142:I142" si="188">7+24</f>
        <v>31</v>
      </c>
      <c r="I142" s="4">
        <f t="shared" si="188"/>
        <v>31</v>
      </c>
      <c r="J142" s="47">
        <f>APUs!G7712</f>
        <v>126497</v>
      </c>
      <c r="K142" s="5">
        <f t="shared" si="171"/>
        <v>379491</v>
      </c>
      <c r="L142" s="5">
        <f t="shared" si="172"/>
        <v>379491</v>
      </c>
      <c r="M142" s="5">
        <f t="shared" si="173"/>
        <v>3921407</v>
      </c>
      <c r="N142" s="5">
        <f t="shared" si="174"/>
        <v>3921407</v>
      </c>
      <c r="O142" s="5">
        <f t="shared" si="175"/>
        <v>3921407</v>
      </c>
    </row>
    <row r="143" spans="1:15" hidden="1" outlineLevel="2" collapsed="1" x14ac:dyDescent="0.25">
      <c r="A143" s="44"/>
      <c r="B143" s="31"/>
      <c r="C143" s="153"/>
      <c r="D143" s="4"/>
      <c r="E143" s="4"/>
      <c r="F143" s="4"/>
      <c r="G143" s="4"/>
      <c r="H143" s="4"/>
      <c r="I143" s="4"/>
      <c r="J143" s="6"/>
      <c r="K143" s="5"/>
      <c r="L143" s="5"/>
      <c r="M143" s="5"/>
      <c r="N143" s="5"/>
      <c r="O143" s="5"/>
    </row>
    <row r="144" spans="1:15" outlineLevel="1" collapsed="1" x14ac:dyDescent="0.25">
      <c r="C144" s="172" t="s">
        <v>201</v>
      </c>
      <c r="D144" s="173"/>
      <c r="E144" s="173"/>
      <c r="F144" s="173"/>
      <c r="G144" s="173"/>
      <c r="H144" s="173"/>
      <c r="I144" s="173"/>
      <c r="J144" s="174"/>
      <c r="K144" s="175">
        <f>SUM(K145:K161)</f>
        <v>112775008</v>
      </c>
      <c r="L144" s="175">
        <f t="shared" ref="L144:O144" si="189">SUM(L145:L161)</f>
        <v>148558641.39999998</v>
      </c>
      <c r="M144" s="175">
        <f t="shared" si="189"/>
        <v>177787203.33999997</v>
      </c>
      <c r="N144" s="175">
        <f t="shared" si="189"/>
        <v>283565969.5</v>
      </c>
      <c r="O144" s="175">
        <f t="shared" si="189"/>
        <v>100345242</v>
      </c>
    </row>
    <row r="145" spans="1:19" hidden="1" outlineLevel="2" x14ac:dyDescent="0.25">
      <c r="A145" s="205" t="s">
        <v>253</v>
      </c>
      <c r="B145" s="206" t="s">
        <v>2909</v>
      </c>
      <c r="C145" s="162" t="s">
        <v>2906</v>
      </c>
      <c r="D145" s="4" t="s">
        <v>114</v>
      </c>
      <c r="E145" s="159">
        <f>E150*0.3*0.6</f>
        <v>36</v>
      </c>
      <c r="F145" s="159">
        <f>F150*0.3*0.6</f>
        <v>37.44</v>
      </c>
      <c r="G145" s="159">
        <f>G146*0.45*1</f>
        <v>64.89</v>
      </c>
      <c r="H145" s="159">
        <f>H146*0.45*1</f>
        <v>108</v>
      </c>
      <c r="I145" s="159">
        <f>I146*0.45*1</f>
        <v>36</v>
      </c>
      <c r="J145" s="47">
        <f>APUs!G1928</f>
        <v>38345</v>
      </c>
      <c r="K145" s="5">
        <f t="shared" ref="K145:L145" si="190">$J145*E145</f>
        <v>1380420</v>
      </c>
      <c r="L145" s="5">
        <f t="shared" si="190"/>
        <v>1435636.7999999998</v>
      </c>
      <c r="M145" s="5">
        <f t="shared" ref="M145:O145" si="191">$J145*G145</f>
        <v>2488207.0499999998</v>
      </c>
      <c r="N145" s="5">
        <f t="shared" si="191"/>
        <v>4141260</v>
      </c>
      <c r="O145" s="5">
        <f t="shared" si="191"/>
        <v>1380420</v>
      </c>
      <c r="P145" s="66"/>
    </row>
    <row r="146" spans="1:19" hidden="1" outlineLevel="2" x14ac:dyDescent="0.25">
      <c r="A146" s="44" t="s">
        <v>2886</v>
      </c>
      <c r="B146" s="31" t="str">
        <f t="shared" ref="B146:B161" si="192">A146&amp;"_OC"</f>
        <v>123_OC</v>
      </c>
      <c r="C146" s="162" t="s">
        <v>1590</v>
      </c>
      <c r="D146" s="4" t="s">
        <v>108</v>
      </c>
      <c r="E146" s="161">
        <v>0</v>
      </c>
      <c r="F146" s="161">
        <v>0</v>
      </c>
      <c r="G146" s="159">
        <f>144.2</f>
        <v>144.19999999999999</v>
      </c>
      <c r="H146" s="159">
        <v>240</v>
      </c>
      <c r="I146" s="159">
        <v>80</v>
      </c>
      <c r="J146" s="47">
        <f>APUs!G7780</f>
        <v>224673</v>
      </c>
      <c r="K146" s="5">
        <f t="shared" ref="K146:K155" si="193">$J146*E146</f>
        <v>0</v>
      </c>
      <c r="L146" s="5">
        <f t="shared" ref="L146:L155" si="194">$J146*F146</f>
        <v>0</v>
      </c>
      <c r="M146" s="5">
        <f t="shared" ref="M146:M155" si="195">$J146*G146</f>
        <v>32397846.599999998</v>
      </c>
      <c r="N146" s="5">
        <f t="shared" ref="N146:N155" si="196">$J146*H146</f>
        <v>53921520</v>
      </c>
      <c r="O146" s="5">
        <f t="shared" ref="O146:O155" si="197">$J146*I146</f>
        <v>17973840</v>
      </c>
      <c r="P146" s="66"/>
      <c r="R146" s="66"/>
    </row>
    <row r="147" spans="1:19" hidden="1" outlineLevel="2" x14ac:dyDescent="0.25">
      <c r="A147" s="44" t="s">
        <v>2356</v>
      </c>
      <c r="B147" s="31" t="str">
        <f t="shared" si="192"/>
        <v>124_OC</v>
      </c>
      <c r="C147" s="162" t="s">
        <v>2585</v>
      </c>
      <c r="D147" s="4" t="s">
        <v>108</v>
      </c>
      <c r="E147" s="161">
        <v>0</v>
      </c>
      <c r="F147" s="161">
        <v>0</v>
      </c>
      <c r="G147" s="159">
        <f>G146</f>
        <v>144.19999999999999</v>
      </c>
      <c r="H147" s="159">
        <f t="shared" ref="H147:I147" si="198">H146</f>
        <v>240</v>
      </c>
      <c r="I147" s="159">
        <f t="shared" si="198"/>
        <v>80</v>
      </c>
      <c r="J147" s="47">
        <f>APUs!G7848</f>
        <v>128588</v>
      </c>
      <c r="K147" s="5">
        <f t="shared" si="193"/>
        <v>0</v>
      </c>
      <c r="L147" s="5">
        <f t="shared" si="194"/>
        <v>0</v>
      </c>
      <c r="M147" s="5">
        <f t="shared" si="195"/>
        <v>18542389.599999998</v>
      </c>
      <c r="N147" s="5">
        <f t="shared" si="196"/>
        <v>30861120</v>
      </c>
      <c r="O147" s="5">
        <f t="shared" si="197"/>
        <v>10287040</v>
      </c>
    </row>
    <row r="148" spans="1:19" hidden="1" outlineLevel="2" x14ac:dyDescent="0.25">
      <c r="A148" s="44" t="s">
        <v>2357</v>
      </c>
      <c r="B148" s="31" t="str">
        <f t="shared" si="192"/>
        <v>125_OC</v>
      </c>
      <c r="C148" s="162" t="s">
        <v>2911</v>
      </c>
      <c r="D148" s="4" t="s">
        <v>108</v>
      </c>
      <c r="E148" s="161">
        <v>0</v>
      </c>
      <c r="F148" s="161">
        <v>0</v>
      </c>
      <c r="G148" s="159">
        <f>3.85*55</f>
        <v>211.75</v>
      </c>
      <c r="H148" s="159">
        <f>99*3.85</f>
        <v>381.15000000000003</v>
      </c>
      <c r="I148" s="159">
        <f>3.85*24</f>
        <v>92.4</v>
      </c>
      <c r="J148" s="47">
        <f>APUs!G7915</f>
        <v>163810</v>
      </c>
      <c r="K148" s="5">
        <f t="shared" si="193"/>
        <v>0</v>
      </c>
      <c r="L148" s="5">
        <f t="shared" si="194"/>
        <v>0</v>
      </c>
      <c r="M148" s="5">
        <f t="shared" si="195"/>
        <v>34686767.5</v>
      </c>
      <c r="N148" s="5">
        <f t="shared" si="196"/>
        <v>62436181.500000007</v>
      </c>
      <c r="O148" s="5">
        <f t="shared" si="197"/>
        <v>15136044</v>
      </c>
      <c r="Q148" s="98"/>
    </row>
    <row r="149" spans="1:19" hidden="1" outlineLevel="2" x14ac:dyDescent="0.25">
      <c r="A149" s="44" t="s">
        <v>2358</v>
      </c>
      <c r="B149" s="31" t="str">
        <f t="shared" si="192"/>
        <v>126_OC</v>
      </c>
      <c r="C149" s="162" t="s">
        <v>1786</v>
      </c>
      <c r="D149" s="4" t="s">
        <v>8</v>
      </c>
      <c r="E149" s="161">
        <v>0</v>
      </c>
      <c r="F149" s="161">
        <v>0</v>
      </c>
      <c r="G149" s="159">
        <v>55</v>
      </c>
      <c r="H149" s="159">
        <f>99</f>
        <v>99</v>
      </c>
      <c r="I149" s="159">
        <v>24</v>
      </c>
      <c r="J149" s="47">
        <f>APUs!G7982</f>
        <v>45835</v>
      </c>
      <c r="K149" s="5">
        <f t="shared" si="193"/>
        <v>0</v>
      </c>
      <c r="L149" s="5">
        <f t="shared" si="194"/>
        <v>0</v>
      </c>
      <c r="M149" s="5">
        <f t="shared" si="195"/>
        <v>2520925</v>
      </c>
      <c r="N149" s="5">
        <f t="shared" si="196"/>
        <v>4537665</v>
      </c>
      <c r="O149" s="5">
        <f t="shared" si="197"/>
        <v>1100040</v>
      </c>
      <c r="S149" s="98"/>
    </row>
    <row r="150" spans="1:19" hidden="1" outlineLevel="2" x14ac:dyDescent="0.25">
      <c r="A150" s="44" t="s">
        <v>2359</v>
      </c>
      <c r="B150" s="31" t="str">
        <f t="shared" si="192"/>
        <v>127_OC</v>
      </c>
      <c r="C150" s="162" t="s">
        <v>2586</v>
      </c>
      <c r="D150" s="4" t="s">
        <v>108</v>
      </c>
      <c r="E150" s="4">
        <f>E152</f>
        <v>200</v>
      </c>
      <c r="F150" s="4">
        <f t="shared" ref="F150" si="199">F152</f>
        <v>208</v>
      </c>
      <c r="G150" s="161">
        <v>0</v>
      </c>
      <c r="H150" s="161">
        <v>0</v>
      </c>
      <c r="I150" s="161">
        <v>0</v>
      </c>
      <c r="J150" s="47">
        <f>APUs!G8050</f>
        <v>128588</v>
      </c>
      <c r="K150" s="5">
        <f t="shared" si="193"/>
        <v>25717600</v>
      </c>
      <c r="L150" s="5">
        <f t="shared" si="194"/>
        <v>26746304</v>
      </c>
      <c r="M150" s="5">
        <f t="shared" si="195"/>
        <v>0</v>
      </c>
      <c r="N150" s="5">
        <f t="shared" si="196"/>
        <v>0</v>
      </c>
      <c r="O150" s="5">
        <f t="shared" si="197"/>
        <v>0</v>
      </c>
      <c r="P150" s="66"/>
      <c r="Q150" s="137"/>
      <c r="R150" s="138"/>
    </row>
    <row r="151" spans="1:19" hidden="1" outlineLevel="2" x14ac:dyDescent="0.25">
      <c r="A151" s="44" t="s">
        <v>2360</v>
      </c>
      <c r="B151" s="31" t="str">
        <f t="shared" si="192"/>
        <v>128_OC</v>
      </c>
      <c r="C151" s="162" t="s">
        <v>2912</v>
      </c>
      <c r="D151" s="4" t="s">
        <v>108</v>
      </c>
      <c r="E151" s="159">
        <f>1.25*63</f>
        <v>78.75</v>
      </c>
      <c r="F151" s="159">
        <f>1.25*81</f>
        <v>101.25</v>
      </c>
      <c r="G151" s="161">
        <v>0</v>
      </c>
      <c r="H151" s="161">
        <v>0</v>
      </c>
      <c r="I151" s="161">
        <v>0</v>
      </c>
      <c r="J151" s="47">
        <f>APUs!G8120</f>
        <v>76348</v>
      </c>
      <c r="K151" s="5">
        <f t="shared" si="193"/>
        <v>6012405</v>
      </c>
      <c r="L151" s="5">
        <f t="shared" si="194"/>
        <v>7730235</v>
      </c>
      <c r="M151" s="5">
        <f t="shared" si="195"/>
        <v>0</v>
      </c>
      <c r="N151" s="5">
        <f t="shared" si="196"/>
        <v>0</v>
      </c>
      <c r="O151" s="5">
        <f t="shared" si="197"/>
        <v>0</v>
      </c>
    </row>
    <row r="152" spans="1:19" hidden="1" outlineLevel="2" x14ac:dyDescent="0.25">
      <c r="A152" s="44" t="s">
        <v>2361</v>
      </c>
      <c r="B152" s="31" t="str">
        <f t="shared" si="192"/>
        <v>129_OC</v>
      </c>
      <c r="C152" s="162" t="s">
        <v>2587</v>
      </c>
      <c r="D152" s="4" t="s">
        <v>108</v>
      </c>
      <c r="E152" s="4">
        <v>200</v>
      </c>
      <c r="F152" s="4">
        <v>208</v>
      </c>
      <c r="G152" s="161">
        <v>0</v>
      </c>
      <c r="H152" s="161">
        <v>0</v>
      </c>
      <c r="I152" s="161">
        <v>0</v>
      </c>
      <c r="J152" s="47">
        <f>APUs!G8190</f>
        <v>76348</v>
      </c>
      <c r="K152" s="5">
        <f t="shared" si="193"/>
        <v>15269600</v>
      </c>
      <c r="L152" s="5">
        <f t="shared" si="194"/>
        <v>15880384</v>
      </c>
      <c r="M152" s="5">
        <f t="shared" si="195"/>
        <v>0</v>
      </c>
      <c r="N152" s="5">
        <f t="shared" si="196"/>
        <v>0</v>
      </c>
      <c r="O152" s="5">
        <f t="shared" si="197"/>
        <v>0</v>
      </c>
    </row>
    <row r="153" spans="1:19" hidden="1" outlineLevel="2" x14ac:dyDescent="0.25">
      <c r="A153" s="44" t="s">
        <v>2887</v>
      </c>
      <c r="B153" s="31" t="str">
        <f t="shared" si="192"/>
        <v>130_OC</v>
      </c>
      <c r="C153" s="162" t="s">
        <v>2588</v>
      </c>
      <c r="D153" s="4" t="s">
        <v>8</v>
      </c>
      <c r="E153" s="4">
        <v>63</v>
      </c>
      <c r="F153" s="4">
        <v>81</v>
      </c>
      <c r="G153" s="161">
        <v>0</v>
      </c>
      <c r="H153" s="161">
        <v>0</v>
      </c>
      <c r="I153" s="161">
        <v>0</v>
      </c>
      <c r="J153" s="47">
        <f>APUs!G8257</f>
        <v>87391</v>
      </c>
      <c r="K153" s="5">
        <f t="shared" si="193"/>
        <v>5505633</v>
      </c>
      <c r="L153" s="5">
        <f t="shared" si="194"/>
        <v>7078671</v>
      </c>
      <c r="M153" s="5">
        <f t="shared" si="195"/>
        <v>0</v>
      </c>
      <c r="N153" s="5">
        <f t="shared" si="196"/>
        <v>0</v>
      </c>
      <c r="O153" s="5">
        <f t="shared" si="197"/>
        <v>0</v>
      </c>
      <c r="S153" s="98"/>
    </row>
    <row r="154" spans="1:19" hidden="1" outlineLevel="2" x14ac:dyDescent="0.25">
      <c r="A154" s="44" t="s">
        <v>2888</v>
      </c>
      <c r="B154" s="31" t="str">
        <f t="shared" si="192"/>
        <v>131_OC</v>
      </c>
      <c r="C154" s="162" t="s">
        <v>2597</v>
      </c>
      <c r="D154" s="4" t="s">
        <v>108</v>
      </c>
      <c r="E154" s="4">
        <f>E150</f>
        <v>200</v>
      </c>
      <c r="F154" s="4">
        <f>F150</f>
        <v>208</v>
      </c>
      <c r="G154" s="161">
        <v>0</v>
      </c>
      <c r="H154" s="161">
        <v>0</v>
      </c>
      <c r="I154" s="161">
        <v>0</v>
      </c>
      <c r="J154" s="47">
        <f>APUs!G8323</f>
        <v>68424</v>
      </c>
      <c r="K154" s="5">
        <f t="shared" si="193"/>
        <v>13684800</v>
      </c>
      <c r="L154" s="5">
        <f t="shared" si="194"/>
        <v>14232192</v>
      </c>
      <c r="M154" s="5">
        <f t="shared" si="195"/>
        <v>0</v>
      </c>
      <c r="N154" s="5">
        <f t="shared" si="196"/>
        <v>0</v>
      </c>
      <c r="O154" s="5">
        <f t="shared" si="197"/>
        <v>0</v>
      </c>
      <c r="P154" s="98"/>
    </row>
    <row r="155" spans="1:19" hidden="1" outlineLevel="2" x14ac:dyDescent="0.25">
      <c r="A155" s="44" t="s">
        <v>2889</v>
      </c>
      <c r="B155" s="31" t="str">
        <f t="shared" si="192"/>
        <v>132_OC</v>
      </c>
      <c r="C155" s="162" t="s">
        <v>2599</v>
      </c>
      <c r="D155" s="4" t="s">
        <v>108</v>
      </c>
      <c r="E155" s="4">
        <f>E150*0.5*0.3</f>
        <v>30</v>
      </c>
      <c r="F155" s="4">
        <f>F150*0.5*0.3</f>
        <v>31.2</v>
      </c>
      <c r="G155" s="159">
        <f>G146*0.5*0.3</f>
        <v>21.63</v>
      </c>
      <c r="H155" s="159">
        <f>H146*0.5*0.3</f>
        <v>36</v>
      </c>
      <c r="I155" s="159">
        <f>I146*0.5*0.3</f>
        <v>12</v>
      </c>
      <c r="J155" s="47">
        <f>APUs!G8388</f>
        <v>468973</v>
      </c>
      <c r="K155" s="5">
        <f t="shared" si="193"/>
        <v>14069190</v>
      </c>
      <c r="L155" s="5">
        <f t="shared" si="194"/>
        <v>14631957.6</v>
      </c>
      <c r="M155" s="5">
        <f t="shared" si="195"/>
        <v>10143885.99</v>
      </c>
      <c r="N155" s="5">
        <f t="shared" si="196"/>
        <v>16883028</v>
      </c>
      <c r="O155" s="5">
        <f t="shared" si="197"/>
        <v>5627676</v>
      </c>
    </row>
    <row r="156" spans="1:19" hidden="1" outlineLevel="2" x14ac:dyDescent="0.25">
      <c r="A156" s="205" t="s">
        <v>304</v>
      </c>
      <c r="B156" s="206" t="str">
        <f t="shared" si="192"/>
        <v>081_OC</v>
      </c>
      <c r="C156" s="153" t="s">
        <v>1474</v>
      </c>
      <c r="D156" s="4" t="s">
        <v>114</v>
      </c>
      <c r="E156" s="4">
        <v>2</v>
      </c>
      <c r="F156" s="4">
        <v>2</v>
      </c>
      <c r="G156" s="4">
        <v>2</v>
      </c>
      <c r="H156" s="4">
        <v>2</v>
      </c>
      <c r="I156" s="4">
        <v>2</v>
      </c>
      <c r="J156" s="47">
        <f>APUs!G5052</f>
        <v>786070</v>
      </c>
      <c r="K156" s="5">
        <f t="shared" ref="K156:K160" si="200">$J156*E156</f>
        <v>1572140</v>
      </c>
      <c r="L156" s="5">
        <f t="shared" ref="L156:L160" si="201">$J156*F156</f>
        <v>1572140</v>
      </c>
      <c r="M156" s="5">
        <f t="shared" ref="M156:M160" si="202">$J156*G156</f>
        <v>1572140</v>
      </c>
      <c r="N156" s="5">
        <f t="shared" ref="N156:N160" si="203">$J156*H156</f>
        <v>1572140</v>
      </c>
      <c r="O156" s="5">
        <f t="shared" ref="O156:O160" si="204">$J156*I156</f>
        <v>1572140</v>
      </c>
    </row>
    <row r="157" spans="1:19" hidden="1" outlineLevel="2" x14ac:dyDescent="0.25">
      <c r="A157" s="44" t="s">
        <v>2890</v>
      </c>
      <c r="B157" s="31" t="str">
        <f t="shared" si="192"/>
        <v>134_OC</v>
      </c>
      <c r="C157" s="162" t="s">
        <v>223</v>
      </c>
      <c r="D157" s="4" t="s">
        <v>108</v>
      </c>
      <c r="E157" s="4">
        <f>3.5*2</f>
        <v>7</v>
      </c>
      <c r="F157" s="4">
        <f>3.5*2</f>
        <v>7</v>
      </c>
      <c r="G157" s="4">
        <f>3.5*4</f>
        <v>14</v>
      </c>
      <c r="H157" s="4">
        <f>3.5*2</f>
        <v>7</v>
      </c>
      <c r="I157" s="4">
        <f>3.5*2</f>
        <v>7</v>
      </c>
      <c r="J157" s="47">
        <f>APUs!G8455</f>
        <v>163810</v>
      </c>
      <c r="K157" s="5">
        <f>$J157*E157</f>
        <v>1146670</v>
      </c>
      <c r="L157" s="5">
        <f>$J157*F157</f>
        <v>1146670</v>
      </c>
      <c r="M157" s="5">
        <f>$J157*G157</f>
        <v>2293340</v>
      </c>
      <c r="N157" s="5">
        <f>$J157*H157</f>
        <v>1146670</v>
      </c>
      <c r="O157" s="5">
        <f>$J157*I157</f>
        <v>1146670</v>
      </c>
      <c r="S157" s="98"/>
    </row>
    <row r="158" spans="1:19" hidden="1" outlineLevel="2" x14ac:dyDescent="0.25">
      <c r="A158" s="44" t="s">
        <v>2891</v>
      </c>
      <c r="B158" s="31" t="str">
        <f t="shared" si="192"/>
        <v>135_OC</v>
      </c>
      <c r="C158" s="162" t="s">
        <v>1534</v>
      </c>
      <c r="D158" s="4" t="s">
        <v>8</v>
      </c>
      <c r="E158" s="4">
        <v>1</v>
      </c>
      <c r="F158" s="4">
        <v>1</v>
      </c>
      <c r="G158" s="4">
        <v>2</v>
      </c>
      <c r="H158" s="4">
        <v>1</v>
      </c>
      <c r="I158" s="4">
        <v>2</v>
      </c>
      <c r="J158" s="47">
        <f>APUs!G8524</f>
        <v>5591242</v>
      </c>
      <c r="K158" s="5">
        <f t="shared" si="200"/>
        <v>5591242</v>
      </c>
      <c r="L158" s="5">
        <f t="shared" si="201"/>
        <v>5591242</v>
      </c>
      <c r="M158" s="5">
        <f t="shared" si="202"/>
        <v>11182484</v>
      </c>
      <c r="N158" s="5">
        <f t="shared" si="203"/>
        <v>5591242</v>
      </c>
      <c r="O158" s="5">
        <f t="shared" si="204"/>
        <v>11182484</v>
      </c>
    </row>
    <row r="159" spans="1:19" hidden="1" outlineLevel="2" x14ac:dyDescent="0.25">
      <c r="A159" s="44" t="s">
        <v>2892</v>
      </c>
      <c r="B159" s="31" t="str">
        <f t="shared" si="192"/>
        <v>136_OC</v>
      </c>
      <c r="C159" s="162" t="e">
        <f>#REF!</f>
        <v>#REF!</v>
      </c>
      <c r="D159" s="4" t="s">
        <v>108</v>
      </c>
      <c r="E159" s="4">
        <f>E150</f>
        <v>200</v>
      </c>
      <c r="F159" s="4">
        <f>F150</f>
        <v>208</v>
      </c>
      <c r="G159" s="159">
        <f>G146</f>
        <v>144.19999999999999</v>
      </c>
      <c r="H159" s="159">
        <f t="shared" ref="H159:I159" si="205">H146</f>
        <v>240</v>
      </c>
      <c r="I159" s="159">
        <f t="shared" si="205"/>
        <v>80</v>
      </c>
      <c r="J159" s="47">
        <f>APUs!G8591</f>
        <v>29138</v>
      </c>
      <c r="K159" s="5">
        <f t="shared" si="200"/>
        <v>5827600</v>
      </c>
      <c r="L159" s="5">
        <f t="shared" si="201"/>
        <v>6060704</v>
      </c>
      <c r="M159" s="5">
        <f t="shared" si="202"/>
        <v>4201699.5999999996</v>
      </c>
      <c r="N159" s="5">
        <f t="shared" si="203"/>
        <v>6993120</v>
      </c>
      <c r="O159" s="5">
        <f t="shared" si="204"/>
        <v>2331040</v>
      </c>
    </row>
    <row r="160" spans="1:19" hidden="1" outlineLevel="2" x14ac:dyDescent="0.25">
      <c r="A160" s="44" t="s">
        <v>2893</v>
      </c>
      <c r="B160" s="31" t="str">
        <f t="shared" si="192"/>
        <v>137_OC</v>
      </c>
      <c r="C160" s="162" t="s">
        <v>2589</v>
      </c>
      <c r="D160" s="4" t="s">
        <v>113</v>
      </c>
      <c r="E160" s="159">
        <f>0.7*E150-(0.2*E153)</f>
        <v>127.4</v>
      </c>
      <c r="F160" s="159">
        <f>0.7*F150-(0.2*F153)</f>
        <v>129.4</v>
      </c>
      <c r="G160" s="159">
        <f>(G146-(0.2*G149))*3.25</f>
        <v>432.9</v>
      </c>
      <c r="H160" s="159">
        <f>(H146-(0.2*H149))*3.25</f>
        <v>715.65</v>
      </c>
      <c r="I160" s="159">
        <f>(I146-(0.2*I149))*3.25</f>
        <v>244.4</v>
      </c>
      <c r="J160" s="47">
        <f>APUs!G8662</f>
        <v>133420</v>
      </c>
      <c r="K160" s="5">
        <f t="shared" si="200"/>
        <v>16997708</v>
      </c>
      <c r="L160" s="5">
        <f t="shared" si="201"/>
        <v>17264548</v>
      </c>
      <c r="M160" s="5">
        <f t="shared" si="202"/>
        <v>57757518</v>
      </c>
      <c r="N160" s="5">
        <f t="shared" si="203"/>
        <v>95482023</v>
      </c>
      <c r="O160" s="5">
        <f t="shared" si="204"/>
        <v>32607848</v>
      </c>
    </row>
    <row r="161" spans="1:15" hidden="1" outlineLevel="2" x14ac:dyDescent="0.25">
      <c r="A161" s="44" t="s">
        <v>2894</v>
      </c>
      <c r="B161" s="31" t="str">
        <f t="shared" si="192"/>
        <v>138_OC</v>
      </c>
      <c r="C161" s="162" t="s">
        <v>2798</v>
      </c>
      <c r="D161" s="4" t="s">
        <v>108</v>
      </c>
      <c r="E161" s="161">
        <v>0</v>
      </c>
      <c r="F161" s="159">
        <v>93</v>
      </c>
      <c r="G161" s="161">
        <v>0</v>
      </c>
      <c r="H161" s="161">
        <v>0</v>
      </c>
      <c r="I161" s="161">
        <v>0</v>
      </c>
      <c r="J161" s="47">
        <f>APUs!G8729</f>
        <v>313849</v>
      </c>
      <c r="K161" s="5">
        <f t="shared" ref="K161" si="206">$J161*E161</f>
        <v>0</v>
      </c>
      <c r="L161" s="5">
        <f t="shared" ref="L161" si="207">$J161*F161</f>
        <v>29187957</v>
      </c>
      <c r="M161" s="5">
        <f t="shared" ref="M161" si="208">$J161*G161</f>
        <v>0</v>
      </c>
      <c r="N161" s="5">
        <f t="shared" ref="N161" si="209">$J161*H161</f>
        <v>0</v>
      </c>
      <c r="O161" s="5">
        <f t="shared" ref="O161" si="210">$J161*I161</f>
        <v>0</v>
      </c>
    </row>
    <row r="162" spans="1:15" ht="15.75" customHeight="1" outlineLevel="1" collapsed="1" x14ac:dyDescent="0.25">
      <c r="C162" s="172" t="s">
        <v>116</v>
      </c>
      <c r="D162" s="173"/>
      <c r="E162" s="173"/>
      <c r="F162" s="173"/>
      <c r="G162" s="173"/>
      <c r="H162" s="173"/>
      <c r="I162" s="173"/>
      <c r="J162" s="173"/>
      <c r="K162" s="151">
        <f>SUM(K163:K174)</f>
        <v>219458500.95999998</v>
      </c>
      <c r="L162" s="151">
        <f>SUM(L163:L174)</f>
        <v>215220938.80000001</v>
      </c>
      <c r="M162" s="151">
        <f>SUM(M163:M174)</f>
        <v>159665350.06000003</v>
      </c>
      <c r="N162" s="151">
        <f>SUM(N163:N174)</f>
        <v>225129772.80000001</v>
      </c>
      <c r="O162" s="151">
        <f>SUM(O163:O174)</f>
        <v>208557306.40000001</v>
      </c>
    </row>
    <row r="163" spans="1:15" hidden="1" outlineLevel="2" x14ac:dyDescent="0.25">
      <c r="A163" s="205" t="s">
        <v>253</v>
      </c>
      <c r="B163" s="206" t="s">
        <v>2909</v>
      </c>
      <c r="C163" s="165" t="s">
        <v>2906</v>
      </c>
      <c r="D163" s="4" t="s">
        <v>114</v>
      </c>
      <c r="E163" s="159">
        <f>(1341-675)*(0.08+0.1+0.3+0.3)</f>
        <v>519.48</v>
      </c>
      <c r="F163" s="159">
        <f>(1323-675)*(0.08+0.1+0.3+0.3)</f>
        <v>505.44</v>
      </c>
      <c r="G163" s="159">
        <f>469*(0.08+0.1+0.3+0.3)</f>
        <v>365.82</v>
      </c>
      <c r="H163" s="159">
        <f>678*(0.08+0.1+0.3+0.3)</f>
        <v>528.84</v>
      </c>
      <c r="I163" s="159">
        <f>640*(0.08+0.1+0.3+0.3)</f>
        <v>499.20000000000005</v>
      </c>
      <c r="J163" s="199">
        <f>APUs!G1928</f>
        <v>38345</v>
      </c>
      <c r="K163" s="2">
        <f t="shared" ref="K163:L174" si="211">$J163*E163</f>
        <v>19919460.600000001</v>
      </c>
      <c r="L163" s="2">
        <f t="shared" si="211"/>
        <v>19381096.800000001</v>
      </c>
      <c r="M163" s="2">
        <f t="shared" ref="M163:M174" si="212">$J163*G163</f>
        <v>14027367.9</v>
      </c>
      <c r="N163" s="2">
        <f t="shared" ref="N163:N174" si="213">$J163*H163</f>
        <v>20278369.800000001</v>
      </c>
      <c r="O163" s="2">
        <f t="shared" ref="O163:O174" si="214">$J163*I163</f>
        <v>19141824</v>
      </c>
    </row>
    <row r="164" spans="1:15" hidden="1" outlineLevel="2" x14ac:dyDescent="0.25">
      <c r="A164" s="44" t="s">
        <v>2895</v>
      </c>
      <c r="B164" s="31" t="str">
        <f t="shared" ref="B164:B174" si="215">A164&amp;"_OC"</f>
        <v>140_OC</v>
      </c>
      <c r="C164" s="165" t="s">
        <v>2797</v>
      </c>
      <c r="D164" s="4" t="s">
        <v>108</v>
      </c>
      <c r="E164" s="4">
        <v>131</v>
      </c>
      <c r="F164" s="4">
        <v>130</v>
      </c>
      <c r="G164" s="159">
        <f>57+65</f>
        <v>122</v>
      </c>
      <c r="H164" s="159">
        <f>92+39</f>
        <v>131</v>
      </c>
      <c r="I164" s="159">
        <f>61+55</f>
        <v>116</v>
      </c>
      <c r="J164" s="47">
        <f>APUs!G8799</f>
        <v>184873</v>
      </c>
      <c r="K164" s="2">
        <f t="shared" si="211"/>
        <v>24218363</v>
      </c>
      <c r="L164" s="2">
        <f t="shared" si="211"/>
        <v>24033490</v>
      </c>
      <c r="M164" s="2">
        <f t="shared" si="212"/>
        <v>22554506</v>
      </c>
      <c r="N164" s="2">
        <f t="shared" si="213"/>
        <v>24218363</v>
      </c>
      <c r="O164" s="2">
        <f t="shared" si="214"/>
        <v>21445268</v>
      </c>
    </row>
    <row r="165" spans="1:15" hidden="1" outlineLevel="2" x14ac:dyDescent="0.25">
      <c r="A165" s="44" t="s">
        <v>2896</v>
      </c>
      <c r="B165" s="31" t="str">
        <f t="shared" si="215"/>
        <v>141_OC</v>
      </c>
      <c r="C165" s="165" t="s">
        <v>2783</v>
      </c>
      <c r="D165" s="4" t="s">
        <v>8</v>
      </c>
      <c r="E165" s="200">
        <f>(131+99)/0.8</f>
        <v>287.5</v>
      </c>
      <c r="F165" s="4">
        <f>(130+99)/0.8</f>
        <v>286.25</v>
      </c>
      <c r="G165" s="159">
        <f>(G164+42)/0.8</f>
        <v>205</v>
      </c>
      <c r="H165" s="159">
        <f>(H164+113)/0.8</f>
        <v>305</v>
      </c>
      <c r="I165" s="200">
        <f>(61+55+103)/0.8</f>
        <v>273.75</v>
      </c>
      <c r="J165" s="47">
        <f>APUs!G8868</f>
        <v>230008</v>
      </c>
      <c r="K165" s="2">
        <f t="shared" si="211"/>
        <v>66127300</v>
      </c>
      <c r="L165" s="2">
        <f t="shared" si="211"/>
        <v>65839790</v>
      </c>
      <c r="M165" s="2">
        <f t="shared" si="212"/>
        <v>47151640</v>
      </c>
      <c r="N165" s="2">
        <f t="shared" si="213"/>
        <v>70152440</v>
      </c>
      <c r="O165" s="2">
        <f t="shared" si="214"/>
        <v>62964690</v>
      </c>
    </row>
    <row r="166" spans="1:15" hidden="1" outlineLevel="2" x14ac:dyDescent="0.25">
      <c r="A166" s="44" t="s">
        <v>2897</v>
      </c>
      <c r="B166" s="31" t="str">
        <f t="shared" si="215"/>
        <v>142_OC</v>
      </c>
      <c r="C166" s="165" t="s">
        <v>2203</v>
      </c>
      <c r="D166" s="4" t="s">
        <v>114</v>
      </c>
      <c r="E166" s="159">
        <f>(1283-690)*0.08</f>
        <v>47.44</v>
      </c>
      <c r="F166" s="159">
        <f>(1265-690)*0.08</f>
        <v>46</v>
      </c>
      <c r="G166" s="159">
        <f>408*0.08</f>
        <v>32.64</v>
      </c>
      <c r="H166" s="159">
        <f>600*0.08</f>
        <v>48</v>
      </c>
      <c r="I166" s="159">
        <f>(570)*0.08</f>
        <v>45.6</v>
      </c>
      <c r="J166" s="47">
        <f>APUs!G8935</f>
        <v>805179</v>
      </c>
      <c r="K166" s="2">
        <f t="shared" si="211"/>
        <v>38197691.759999998</v>
      </c>
      <c r="L166" s="2">
        <f t="shared" si="211"/>
        <v>37038234</v>
      </c>
      <c r="M166" s="2">
        <f t="shared" si="212"/>
        <v>26281042.559999999</v>
      </c>
      <c r="N166" s="2">
        <f t="shared" si="213"/>
        <v>38648592</v>
      </c>
      <c r="O166" s="2">
        <f t="shared" si="214"/>
        <v>36716162.399999999</v>
      </c>
    </row>
    <row r="167" spans="1:15" hidden="1" outlineLevel="2" x14ac:dyDescent="0.25">
      <c r="A167" s="44" t="s">
        <v>2898</v>
      </c>
      <c r="B167" s="31" t="str">
        <f t="shared" si="215"/>
        <v>143_OC</v>
      </c>
      <c r="C167" s="165" t="s">
        <v>2212</v>
      </c>
      <c r="D167" s="4" t="s">
        <v>114</v>
      </c>
      <c r="E167" s="159">
        <f>(1283-690)*0.1</f>
        <v>59.300000000000004</v>
      </c>
      <c r="F167" s="159">
        <f>(1265-690)*0.1</f>
        <v>57.5</v>
      </c>
      <c r="G167" s="159">
        <f>408*0.1</f>
        <v>40.800000000000004</v>
      </c>
      <c r="H167" s="159">
        <f>600*0.1</f>
        <v>60</v>
      </c>
      <c r="I167" s="159">
        <f>570*0.1</f>
        <v>57</v>
      </c>
      <c r="J167" s="47">
        <f>APUs!G9007</f>
        <v>164154</v>
      </c>
      <c r="K167" s="2">
        <f>$J167*E167</f>
        <v>9734332.2000000011</v>
      </c>
      <c r="L167" s="2">
        <f>$J167*F167</f>
        <v>9438855</v>
      </c>
      <c r="M167" s="2">
        <f>$J167*G167</f>
        <v>6697483.2000000011</v>
      </c>
      <c r="N167" s="2">
        <f>$J167*H167</f>
        <v>9849240</v>
      </c>
      <c r="O167" s="2">
        <f>$J167*I167</f>
        <v>9356778</v>
      </c>
    </row>
    <row r="168" spans="1:15" hidden="1" outlineLevel="2" x14ac:dyDescent="0.25">
      <c r="A168" s="44" t="s">
        <v>2899</v>
      </c>
      <c r="B168" s="31" t="str">
        <f t="shared" si="215"/>
        <v>144_OC</v>
      </c>
      <c r="C168" s="165" t="s">
        <v>2204</v>
      </c>
      <c r="D168" s="4" t="s">
        <v>114</v>
      </c>
      <c r="E168" s="159">
        <f>(1283-690)*0.3</f>
        <v>177.9</v>
      </c>
      <c r="F168" s="159">
        <f>(1265-690)*0.3</f>
        <v>172.5</v>
      </c>
      <c r="G168" s="159">
        <f>408*0.3</f>
        <v>122.39999999999999</v>
      </c>
      <c r="H168" s="159">
        <f>600*0.3</f>
        <v>180</v>
      </c>
      <c r="I168" s="159">
        <f>570*0.3</f>
        <v>171</v>
      </c>
      <c r="J168" s="47">
        <f>APUs!G9079</f>
        <v>159174</v>
      </c>
      <c r="K168" s="2">
        <f t="shared" si="211"/>
        <v>28317054.600000001</v>
      </c>
      <c r="L168" s="2">
        <f t="shared" si="211"/>
        <v>27457515</v>
      </c>
      <c r="M168" s="2">
        <f t="shared" si="212"/>
        <v>19482897.599999998</v>
      </c>
      <c r="N168" s="2">
        <f t="shared" si="213"/>
        <v>28651320</v>
      </c>
      <c r="O168" s="2">
        <f t="shared" si="214"/>
        <v>27218754</v>
      </c>
    </row>
    <row r="169" spans="1:15" hidden="1" outlineLevel="2" x14ac:dyDescent="0.25">
      <c r="A169" s="44" t="s">
        <v>2900</v>
      </c>
      <c r="B169" s="31" t="str">
        <f t="shared" si="215"/>
        <v>145_OC</v>
      </c>
      <c r="C169" s="165" t="s">
        <v>2792</v>
      </c>
      <c r="D169" s="4" t="s">
        <v>114</v>
      </c>
      <c r="E169" s="159">
        <f>(1283-690)*0.3</f>
        <v>177.9</v>
      </c>
      <c r="F169" s="159">
        <f>(1265-690)*0.3</f>
        <v>172.5</v>
      </c>
      <c r="G169" s="159">
        <f>408*0.3</f>
        <v>122.39999999999999</v>
      </c>
      <c r="H169" s="159">
        <f>600*0.3</f>
        <v>180</v>
      </c>
      <c r="I169" s="159">
        <f>570*0.3</f>
        <v>171</v>
      </c>
      <c r="J169" s="47">
        <f>APUs!G9146</f>
        <v>128962</v>
      </c>
      <c r="K169" s="2">
        <f>$J169*E169</f>
        <v>22942339.800000001</v>
      </c>
      <c r="L169" s="2">
        <f>$J169*F169</f>
        <v>22245945</v>
      </c>
      <c r="M169" s="2">
        <f>$J169*G169</f>
        <v>15784948.799999999</v>
      </c>
      <c r="N169" s="2">
        <f>$J169*H169</f>
        <v>23213160</v>
      </c>
      <c r="O169" s="2">
        <f>$J169*I169</f>
        <v>22052502</v>
      </c>
    </row>
    <row r="170" spans="1:15" hidden="1" outlineLevel="2" x14ac:dyDescent="0.25">
      <c r="A170" s="44" t="s">
        <v>2901</v>
      </c>
      <c r="B170" s="31" t="str">
        <f t="shared" si="215"/>
        <v>146_OC</v>
      </c>
      <c r="C170" s="165" t="s">
        <v>2213</v>
      </c>
      <c r="D170" s="4" t="s">
        <v>113</v>
      </c>
      <c r="E170" s="159">
        <f>1283-690</f>
        <v>593</v>
      </c>
      <c r="F170" s="159">
        <f>1265-690</f>
        <v>575</v>
      </c>
      <c r="G170" s="159">
        <v>408</v>
      </c>
      <c r="H170" s="159">
        <v>600</v>
      </c>
      <c r="I170" s="159">
        <v>570</v>
      </c>
      <c r="J170" s="47">
        <f>APUs!G9217</f>
        <v>11997</v>
      </c>
      <c r="K170" s="2">
        <f t="shared" si="211"/>
        <v>7114221</v>
      </c>
      <c r="L170" s="2">
        <f t="shared" si="211"/>
        <v>6898275</v>
      </c>
      <c r="M170" s="2">
        <f t="shared" si="212"/>
        <v>4894776</v>
      </c>
      <c r="N170" s="2">
        <f t="shared" si="213"/>
        <v>7198200</v>
      </c>
      <c r="O170" s="2">
        <f t="shared" si="214"/>
        <v>6838290</v>
      </c>
    </row>
    <row r="171" spans="1:15" hidden="1" outlineLevel="2" x14ac:dyDescent="0.25">
      <c r="A171" s="44" t="s">
        <v>2902</v>
      </c>
      <c r="B171" s="31" t="str">
        <f t="shared" si="215"/>
        <v>147_OC</v>
      </c>
      <c r="C171" s="165" t="s">
        <v>2795</v>
      </c>
      <c r="D171" s="4" t="s">
        <v>108</v>
      </c>
      <c r="E171" s="4">
        <v>130</v>
      </c>
      <c r="F171" s="4">
        <v>130</v>
      </c>
      <c r="G171" s="159">
        <v>100</v>
      </c>
      <c r="H171" s="159">
        <v>140</v>
      </c>
      <c r="I171" s="159">
        <v>110</v>
      </c>
      <c r="J171" s="47">
        <f>APUs!G9287</f>
        <v>3235</v>
      </c>
      <c r="K171" s="2">
        <f t="shared" si="211"/>
        <v>420550</v>
      </c>
      <c r="L171" s="2">
        <f t="shared" si="211"/>
        <v>420550</v>
      </c>
      <c r="M171" s="2">
        <f t="shared" si="212"/>
        <v>323500</v>
      </c>
      <c r="N171" s="2">
        <f t="shared" si="213"/>
        <v>452900</v>
      </c>
      <c r="O171" s="2">
        <f t="shared" si="214"/>
        <v>355850</v>
      </c>
    </row>
    <row r="172" spans="1:15" hidden="1" outlineLevel="2" x14ac:dyDescent="0.25">
      <c r="A172" s="44" t="s">
        <v>2903</v>
      </c>
      <c r="B172" s="31" t="str">
        <f t="shared" si="215"/>
        <v>148_OC</v>
      </c>
      <c r="C172" s="165" t="s">
        <v>1724</v>
      </c>
      <c r="D172" s="4" t="s">
        <v>8</v>
      </c>
      <c r="E172" s="4" t="s">
        <v>225</v>
      </c>
      <c r="F172" s="4" t="s">
        <v>225</v>
      </c>
      <c r="G172" s="4" t="s">
        <v>225</v>
      </c>
      <c r="H172" s="4">
        <v>4</v>
      </c>
      <c r="I172" s="4">
        <v>4</v>
      </c>
      <c r="J172" s="47">
        <f>APUs!G9357</f>
        <v>492057</v>
      </c>
      <c r="K172" s="2">
        <f t="shared" si="211"/>
        <v>1968228</v>
      </c>
      <c r="L172" s="2">
        <f t="shared" si="211"/>
        <v>1968228</v>
      </c>
      <c r="M172" s="2">
        <f t="shared" si="212"/>
        <v>1968228</v>
      </c>
      <c r="N172" s="2">
        <f t="shared" si="213"/>
        <v>1968228</v>
      </c>
      <c r="O172" s="2">
        <f t="shared" si="214"/>
        <v>1968228</v>
      </c>
    </row>
    <row r="173" spans="1:15" hidden="1" outlineLevel="2" x14ac:dyDescent="0.25">
      <c r="A173" s="44" t="s">
        <v>2904</v>
      </c>
      <c r="B173" s="31" t="str">
        <f t="shared" si="215"/>
        <v>149_OC</v>
      </c>
      <c r="C173" s="165" t="s">
        <v>1725</v>
      </c>
      <c r="D173" s="4" t="s">
        <v>113</v>
      </c>
      <c r="E173" s="4">
        <f>2*2*2</f>
        <v>8</v>
      </c>
      <c r="F173" s="4">
        <f>2*2*2</f>
        <v>8</v>
      </c>
      <c r="G173" s="4">
        <f>2*2*2</f>
        <v>8</v>
      </c>
      <c r="H173" s="4">
        <f t="shared" ref="H173:I173" si="216">2*2*2</f>
        <v>8</v>
      </c>
      <c r="I173" s="4">
        <f t="shared" si="216"/>
        <v>8</v>
      </c>
      <c r="J173" s="47">
        <f>APUs!G9427</f>
        <v>24948</v>
      </c>
      <c r="K173" s="2">
        <f t="shared" si="211"/>
        <v>199584</v>
      </c>
      <c r="L173" s="2">
        <f t="shared" si="211"/>
        <v>199584</v>
      </c>
      <c r="M173" s="2">
        <f t="shared" si="212"/>
        <v>199584</v>
      </c>
      <c r="N173" s="2">
        <f t="shared" si="213"/>
        <v>199584</v>
      </c>
      <c r="O173" s="2">
        <f t="shared" si="214"/>
        <v>199584</v>
      </c>
    </row>
    <row r="174" spans="1:15" hidden="1" outlineLevel="2" x14ac:dyDescent="0.25">
      <c r="A174" s="44" t="s">
        <v>2905</v>
      </c>
      <c r="B174" s="31" t="str">
        <f t="shared" si="215"/>
        <v>150_OC</v>
      </c>
      <c r="C174" s="165" t="s">
        <v>2796</v>
      </c>
      <c r="D174" s="4" t="s">
        <v>113</v>
      </c>
      <c r="E174" s="4">
        <f>1.5*2*4</f>
        <v>12</v>
      </c>
      <c r="F174" s="4">
        <f>1.5*2*4</f>
        <v>12</v>
      </c>
      <c r="G174" s="4">
        <f>1.5*2*4</f>
        <v>12</v>
      </c>
      <c r="H174" s="4">
        <f t="shared" ref="H174:I174" si="217">1.5*2*4</f>
        <v>12</v>
      </c>
      <c r="I174" s="4">
        <f t="shared" si="217"/>
        <v>12</v>
      </c>
      <c r="J174" s="47">
        <f>APUs!G9497</f>
        <v>24948</v>
      </c>
      <c r="K174" s="2">
        <f t="shared" si="211"/>
        <v>299376</v>
      </c>
      <c r="L174" s="2">
        <f t="shared" si="211"/>
        <v>299376</v>
      </c>
      <c r="M174" s="2">
        <f t="shared" si="212"/>
        <v>299376</v>
      </c>
      <c r="N174" s="2">
        <f t="shared" si="213"/>
        <v>299376</v>
      </c>
      <c r="O174" s="2">
        <f t="shared" si="214"/>
        <v>299376</v>
      </c>
    </row>
    <row r="175" spans="1:15" outlineLevel="1" collapsed="1" x14ac:dyDescent="0.25">
      <c r="B175" s="48"/>
      <c r="C175" s="165"/>
      <c r="D175" s="4"/>
      <c r="E175" s="4"/>
      <c r="F175" s="4"/>
      <c r="G175" s="4"/>
      <c r="H175" s="4"/>
      <c r="I175" s="4"/>
      <c r="J175" s="6"/>
      <c r="K175" s="2"/>
      <c r="L175" s="2"/>
      <c r="M175" s="2"/>
      <c r="N175" s="2"/>
      <c r="O175" s="2"/>
    </row>
    <row r="176" spans="1:15" x14ac:dyDescent="0.25">
      <c r="A176" s="23"/>
      <c r="B176" s="23"/>
      <c r="C176" s="8" t="s">
        <v>199</v>
      </c>
      <c r="D176" s="9"/>
      <c r="E176" s="9"/>
      <c r="F176" s="9"/>
      <c r="G176" s="9"/>
      <c r="H176" s="9"/>
      <c r="I176" s="9"/>
      <c r="J176" s="10"/>
      <c r="K176" s="84">
        <f>SUM(K177:K186)</f>
        <v>75608120</v>
      </c>
      <c r="L176" s="84">
        <f>SUM(L177:L186)</f>
        <v>75608120</v>
      </c>
      <c r="M176" s="84">
        <f>SUM(M177:M186)</f>
        <v>86129388</v>
      </c>
      <c r="N176" s="84">
        <f>SUM(N177:N186)</f>
        <v>86129388</v>
      </c>
      <c r="O176" s="84">
        <f>SUM(O177:O186)</f>
        <v>86129388</v>
      </c>
    </row>
    <row r="177" spans="1:15" outlineLevel="1" x14ac:dyDescent="0.25">
      <c r="A177" s="44" t="s">
        <v>226</v>
      </c>
      <c r="B177" s="121" t="str">
        <f>A177&amp;"_CA"</f>
        <v>001_CA</v>
      </c>
      <c r="C177" s="153" t="s">
        <v>2417</v>
      </c>
      <c r="D177" s="7" t="s">
        <v>108</v>
      </c>
      <c r="E177" s="7">
        <v>30</v>
      </c>
      <c r="F177" s="7">
        <v>30</v>
      </c>
      <c r="G177" s="7"/>
      <c r="H177" s="7"/>
      <c r="I177" s="7"/>
      <c r="J177" s="86">
        <f>APUs!G9641</f>
        <v>645401</v>
      </c>
      <c r="K177" s="86">
        <f t="shared" ref="K177" si="218">$J177*E177</f>
        <v>19362030</v>
      </c>
      <c r="L177" s="86">
        <f t="shared" ref="L177" si="219">$J177*F177</f>
        <v>19362030</v>
      </c>
      <c r="M177" s="86">
        <f t="shared" ref="M177" si="220">$J177*G177</f>
        <v>0</v>
      </c>
      <c r="N177" s="86">
        <f t="shared" ref="N177" si="221">$J177*H177</f>
        <v>0</v>
      </c>
      <c r="O177" s="86">
        <f t="shared" ref="O177" si="222">$J177*I177</f>
        <v>0</v>
      </c>
    </row>
    <row r="178" spans="1:15" s="48" customFormat="1" outlineLevel="1" x14ac:dyDescent="0.25">
      <c r="A178" s="44" t="s">
        <v>227</v>
      </c>
      <c r="B178" s="121" t="str">
        <f t="shared" ref="B178:B186" si="223">A178&amp;"_CA"</f>
        <v>002_CA</v>
      </c>
      <c r="C178" s="153" t="s">
        <v>1662</v>
      </c>
      <c r="D178" s="122" t="s">
        <v>108</v>
      </c>
      <c r="E178" s="158">
        <v>0</v>
      </c>
      <c r="F178" s="158">
        <v>0</v>
      </c>
      <c r="G178" s="159">
        <v>100</v>
      </c>
      <c r="H178" s="159">
        <v>100</v>
      </c>
      <c r="I178" s="159">
        <v>100</v>
      </c>
      <c r="J178" s="86">
        <f>APUs!G9712</f>
        <v>206581</v>
      </c>
      <c r="K178" s="86">
        <f t="shared" ref="K178:L182" si="224">$J178*E178</f>
        <v>0</v>
      </c>
      <c r="L178" s="86">
        <f t="shared" si="224"/>
        <v>0</v>
      </c>
      <c r="M178" s="86">
        <f t="shared" ref="M178:O182" si="225">$J178*G178</f>
        <v>20658100</v>
      </c>
      <c r="N178" s="86">
        <f t="shared" si="225"/>
        <v>20658100</v>
      </c>
      <c r="O178" s="86">
        <f t="shared" si="225"/>
        <v>20658100</v>
      </c>
    </row>
    <row r="179" spans="1:15" s="2" customFormat="1" outlineLevel="1" x14ac:dyDescent="0.25">
      <c r="A179" s="44" t="s">
        <v>228</v>
      </c>
      <c r="B179" s="121" t="str">
        <f t="shared" si="223"/>
        <v>003_CA</v>
      </c>
      <c r="C179" s="153" t="s">
        <v>1596</v>
      </c>
      <c r="D179" s="122" t="s">
        <v>108</v>
      </c>
      <c r="E179" s="158">
        <v>0</v>
      </c>
      <c r="F179" s="158">
        <v>0</v>
      </c>
      <c r="G179" s="159">
        <v>100</v>
      </c>
      <c r="H179" s="159">
        <v>100</v>
      </c>
      <c r="I179" s="159">
        <v>100</v>
      </c>
      <c r="J179" s="86">
        <f>APUs!G9783</f>
        <v>216900</v>
      </c>
      <c r="K179" s="86">
        <f t="shared" si="224"/>
        <v>0</v>
      </c>
      <c r="L179" s="86">
        <f t="shared" si="224"/>
        <v>0</v>
      </c>
      <c r="M179" s="86">
        <f t="shared" si="225"/>
        <v>21690000</v>
      </c>
      <c r="N179" s="86">
        <f t="shared" si="225"/>
        <v>21690000</v>
      </c>
      <c r="O179" s="86">
        <f t="shared" si="225"/>
        <v>21690000</v>
      </c>
    </row>
    <row r="180" spans="1:15" s="2" customFormat="1" outlineLevel="1" x14ac:dyDescent="0.25">
      <c r="A180" s="44" t="s">
        <v>229</v>
      </c>
      <c r="B180" s="121" t="str">
        <f t="shared" si="223"/>
        <v>004_CA</v>
      </c>
      <c r="C180" s="153" t="s">
        <v>2406</v>
      </c>
      <c r="D180" s="122" t="s">
        <v>108</v>
      </c>
      <c r="E180" s="158">
        <v>0</v>
      </c>
      <c r="F180" s="158">
        <v>0</v>
      </c>
      <c r="G180" s="159">
        <v>100</v>
      </c>
      <c r="H180" s="159">
        <v>100</v>
      </c>
      <c r="I180" s="159">
        <v>100</v>
      </c>
      <c r="J180" s="86">
        <f>APUs!G9854</f>
        <v>223140</v>
      </c>
      <c r="K180" s="86">
        <f t="shared" si="224"/>
        <v>0</v>
      </c>
      <c r="L180" s="86">
        <f t="shared" si="224"/>
        <v>0</v>
      </c>
      <c r="M180" s="86">
        <f t="shared" si="225"/>
        <v>22314000</v>
      </c>
      <c r="N180" s="86">
        <f t="shared" si="225"/>
        <v>22314000</v>
      </c>
      <c r="O180" s="86">
        <f t="shared" si="225"/>
        <v>22314000</v>
      </c>
    </row>
    <row r="181" spans="1:15" s="2" customFormat="1" outlineLevel="1" x14ac:dyDescent="0.25">
      <c r="A181" s="44" t="s">
        <v>230</v>
      </c>
      <c r="B181" s="121" t="str">
        <f t="shared" si="223"/>
        <v>005_CA</v>
      </c>
      <c r="C181" s="153" t="s">
        <v>1769</v>
      </c>
      <c r="D181" s="4" t="s">
        <v>8</v>
      </c>
      <c r="E181" s="158">
        <v>0</v>
      </c>
      <c r="F181" s="158">
        <v>0</v>
      </c>
      <c r="G181" s="4">
        <v>2</v>
      </c>
      <c r="H181" s="4">
        <v>2</v>
      </c>
      <c r="I181" s="4">
        <v>2</v>
      </c>
      <c r="J181" s="86">
        <f>APUs!G9926</f>
        <v>5312807</v>
      </c>
      <c r="K181" s="86">
        <f t="shared" si="224"/>
        <v>0</v>
      </c>
      <c r="L181" s="86">
        <f t="shared" si="224"/>
        <v>0</v>
      </c>
      <c r="M181" s="86">
        <f t="shared" si="225"/>
        <v>10625614</v>
      </c>
      <c r="N181" s="86">
        <f t="shared" si="225"/>
        <v>10625614</v>
      </c>
      <c r="O181" s="86">
        <f t="shared" si="225"/>
        <v>10625614</v>
      </c>
    </row>
    <row r="182" spans="1:15" s="2" customFormat="1" outlineLevel="1" x14ac:dyDescent="0.25">
      <c r="A182" s="44" t="s">
        <v>231</v>
      </c>
      <c r="B182" s="121" t="str">
        <f t="shared" si="223"/>
        <v>006_CA</v>
      </c>
      <c r="C182" s="153" t="s">
        <v>1768</v>
      </c>
      <c r="D182" s="4" t="s">
        <v>8</v>
      </c>
      <c r="E182" s="158">
        <v>0</v>
      </c>
      <c r="F182" s="158">
        <v>0</v>
      </c>
      <c r="G182" s="4">
        <v>2</v>
      </c>
      <c r="H182" s="4">
        <v>2</v>
      </c>
      <c r="I182" s="4">
        <v>2</v>
      </c>
      <c r="J182" s="86">
        <f>APUs!G9998</f>
        <v>5420837</v>
      </c>
      <c r="K182" s="86">
        <f t="shared" si="224"/>
        <v>0</v>
      </c>
      <c r="L182" s="86">
        <f t="shared" si="224"/>
        <v>0</v>
      </c>
      <c r="M182" s="86">
        <f t="shared" si="225"/>
        <v>10841674</v>
      </c>
      <c r="N182" s="86">
        <f t="shared" si="225"/>
        <v>10841674</v>
      </c>
      <c r="O182" s="86">
        <f t="shared" si="225"/>
        <v>10841674</v>
      </c>
    </row>
    <row r="183" spans="1:15" s="2" customFormat="1" outlineLevel="1" x14ac:dyDescent="0.25">
      <c r="A183" s="44" t="s">
        <v>232</v>
      </c>
      <c r="B183" s="121" t="str">
        <f t="shared" si="223"/>
        <v>007_CA</v>
      </c>
      <c r="C183" s="153" t="s">
        <v>2275</v>
      </c>
      <c r="D183" s="122" t="s">
        <v>108</v>
      </c>
      <c r="E183" s="160">
        <v>110</v>
      </c>
      <c r="F183" s="160">
        <v>110</v>
      </c>
      <c r="G183" s="158">
        <v>0</v>
      </c>
      <c r="H183" s="158">
        <v>0</v>
      </c>
      <c r="I183" s="158">
        <v>0</v>
      </c>
      <c r="J183" s="86">
        <f>APUs!G10068</f>
        <v>237966</v>
      </c>
      <c r="K183" s="86">
        <f t="shared" ref="K183:K186" si="226">$J183*E183</f>
        <v>26176260</v>
      </c>
      <c r="L183" s="86">
        <f t="shared" ref="L183:L186" si="227">$J183*F183</f>
        <v>26176260</v>
      </c>
      <c r="M183" s="86">
        <f t="shared" ref="M183:M186" si="228">$J183*G183</f>
        <v>0</v>
      </c>
      <c r="N183" s="86">
        <f t="shared" ref="N183:N186" si="229">$J183*H183</f>
        <v>0</v>
      </c>
      <c r="O183" s="86">
        <f t="shared" ref="O183:O186" si="230">$J183*I183</f>
        <v>0</v>
      </c>
    </row>
    <row r="184" spans="1:15" s="2" customFormat="1" outlineLevel="1" x14ac:dyDescent="0.25">
      <c r="A184" s="44" t="s">
        <v>233</v>
      </c>
      <c r="B184" s="121" t="str">
        <f t="shared" si="223"/>
        <v>008_CA</v>
      </c>
      <c r="C184" s="153" t="s">
        <v>2276</v>
      </c>
      <c r="D184" s="122" t="s">
        <v>108</v>
      </c>
      <c r="E184" s="160">
        <v>110</v>
      </c>
      <c r="F184" s="160">
        <v>110</v>
      </c>
      <c r="G184" s="158">
        <v>0</v>
      </c>
      <c r="H184" s="158">
        <v>0</v>
      </c>
      <c r="I184" s="158">
        <v>0</v>
      </c>
      <c r="J184" s="86">
        <f>APUs!G10138</f>
        <v>215222</v>
      </c>
      <c r="K184" s="86">
        <f t="shared" si="226"/>
        <v>23674420</v>
      </c>
      <c r="L184" s="86">
        <f t="shared" si="227"/>
        <v>23674420</v>
      </c>
      <c r="M184" s="86">
        <f t="shared" si="228"/>
        <v>0</v>
      </c>
      <c r="N184" s="86">
        <f t="shared" si="229"/>
        <v>0</v>
      </c>
      <c r="O184" s="86">
        <f t="shared" si="230"/>
        <v>0</v>
      </c>
    </row>
    <row r="185" spans="1:15" s="2" customFormat="1" outlineLevel="1" x14ac:dyDescent="0.25">
      <c r="A185" s="44" t="s">
        <v>234</v>
      </c>
      <c r="B185" s="121" t="str">
        <f t="shared" si="223"/>
        <v>009_CA</v>
      </c>
      <c r="C185" s="153" t="s">
        <v>2277</v>
      </c>
      <c r="D185" s="122" t="s">
        <v>108</v>
      </c>
      <c r="E185" s="160">
        <v>20</v>
      </c>
      <c r="F185" s="160">
        <v>20</v>
      </c>
      <c r="G185" s="158">
        <v>0</v>
      </c>
      <c r="H185" s="158">
        <v>0</v>
      </c>
      <c r="I185" s="158">
        <v>0</v>
      </c>
      <c r="J185" s="86">
        <f>APUs!G10208</f>
        <v>215297</v>
      </c>
      <c r="K185" s="86">
        <f t="shared" si="226"/>
        <v>4305940</v>
      </c>
      <c r="L185" s="86">
        <f t="shared" si="227"/>
        <v>4305940</v>
      </c>
      <c r="M185" s="86">
        <f t="shared" si="228"/>
        <v>0</v>
      </c>
      <c r="N185" s="86">
        <f t="shared" si="229"/>
        <v>0</v>
      </c>
      <c r="O185" s="86">
        <f t="shared" si="230"/>
        <v>0</v>
      </c>
    </row>
    <row r="186" spans="1:15" s="2" customFormat="1" outlineLevel="1" x14ac:dyDescent="0.25">
      <c r="A186" s="44" t="s">
        <v>235</v>
      </c>
      <c r="B186" s="121" t="str">
        <f t="shared" si="223"/>
        <v>010_CA</v>
      </c>
      <c r="C186" s="153" t="s">
        <v>2410</v>
      </c>
      <c r="D186" s="122" t="s">
        <v>108</v>
      </c>
      <c r="E186" s="160">
        <v>30</v>
      </c>
      <c r="F186" s="160">
        <v>30</v>
      </c>
      <c r="G186" s="158">
        <v>0</v>
      </c>
      <c r="H186" s="158">
        <v>0</v>
      </c>
      <c r="I186" s="158">
        <v>0</v>
      </c>
      <c r="J186" s="86">
        <f>APUs!G10274</f>
        <v>69649</v>
      </c>
      <c r="K186" s="86">
        <f t="shared" si="226"/>
        <v>2089470</v>
      </c>
      <c r="L186" s="86">
        <f t="shared" si="227"/>
        <v>2089470</v>
      </c>
      <c r="M186" s="86">
        <f t="shared" si="228"/>
        <v>0</v>
      </c>
      <c r="N186" s="86">
        <f t="shared" si="229"/>
        <v>0</v>
      </c>
      <c r="O186" s="86">
        <f t="shared" si="230"/>
        <v>0</v>
      </c>
    </row>
    <row r="187" spans="1:15" x14ac:dyDescent="0.25">
      <c r="A187" s="23"/>
      <c r="B187" s="23"/>
      <c r="C187" s="8" t="s">
        <v>19</v>
      </c>
      <c r="D187" s="9"/>
      <c r="E187" s="9"/>
      <c r="F187" s="9"/>
      <c r="G187" s="9"/>
      <c r="H187" s="9"/>
      <c r="I187" s="9"/>
      <c r="J187" s="10"/>
      <c r="K187" s="84">
        <f>K206+K216+K225+K229+K198+K188</f>
        <v>3192749166.6999998</v>
      </c>
      <c r="L187" s="84">
        <f>L206+L216+L225+L229+L198+L188</f>
        <v>2716074759.6999998</v>
      </c>
      <c r="M187" s="84">
        <f>M206+M216+M225+M229+M198+M188</f>
        <v>4317914275</v>
      </c>
      <c r="N187" s="84">
        <f>N206+N216+N225+N229+N198+N188</f>
        <v>5393425237</v>
      </c>
      <c r="O187" s="84">
        <f>O206+O216+O225+O229+O198+O188</f>
        <v>4160343798.3499999</v>
      </c>
    </row>
    <row r="188" spans="1:15" outlineLevel="1" x14ac:dyDescent="0.25">
      <c r="A188" s="44"/>
      <c r="B188" s="85"/>
      <c r="C188" s="172" t="s">
        <v>2280</v>
      </c>
      <c r="D188" s="173"/>
      <c r="E188" s="173"/>
      <c r="F188" s="174"/>
      <c r="G188" s="174"/>
      <c r="H188" s="174"/>
      <c r="I188" s="174"/>
      <c r="J188" s="174"/>
      <c r="K188" s="175">
        <f>SUM(K189:K197)</f>
        <v>193355369.19999999</v>
      </c>
      <c r="L188" s="175">
        <f t="shared" ref="L188" si="231">SUM(L189:L197)</f>
        <v>193355369.19999999</v>
      </c>
      <c r="M188" s="175">
        <f>SUM(M189:M197)</f>
        <v>0</v>
      </c>
      <c r="N188" s="175">
        <f>SUM(N189:N197)</f>
        <v>0</v>
      </c>
      <c r="O188" s="175">
        <f>SUM(O189:O197)</f>
        <v>0</v>
      </c>
    </row>
    <row r="189" spans="1:15" hidden="1" outlineLevel="2" x14ac:dyDescent="0.25">
      <c r="A189" s="44" t="s">
        <v>226</v>
      </c>
      <c r="B189" s="121" t="str">
        <f>A189&amp;"_N3"</f>
        <v>001_N3</v>
      </c>
      <c r="C189" s="153" t="s">
        <v>2283</v>
      </c>
      <c r="D189" s="4" t="s">
        <v>18</v>
      </c>
      <c r="E189" s="4">
        <v>1</v>
      </c>
      <c r="F189" s="4">
        <v>1</v>
      </c>
      <c r="G189" s="161">
        <v>0</v>
      </c>
      <c r="H189" s="161">
        <v>0</v>
      </c>
      <c r="I189" s="161">
        <v>0</v>
      </c>
      <c r="J189" s="86">
        <f>APUs!G10344</f>
        <v>67359913</v>
      </c>
      <c r="K189" s="5">
        <f t="shared" ref="K189:L197" si="232">$J189*E189</f>
        <v>67359913</v>
      </c>
      <c r="L189" s="5">
        <f t="shared" si="232"/>
        <v>67359913</v>
      </c>
      <c r="M189" s="5">
        <f t="shared" ref="M189:O197" si="233">$J189*G189</f>
        <v>0</v>
      </c>
      <c r="N189" s="5">
        <f t="shared" si="233"/>
        <v>0</v>
      </c>
      <c r="O189" s="5">
        <f t="shared" si="233"/>
        <v>0</v>
      </c>
    </row>
    <row r="190" spans="1:15" hidden="1" outlineLevel="2" x14ac:dyDescent="0.25">
      <c r="A190" s="44" t="s">
        <v>227</v>
      </c>
      <c r="B190" s="121" t="str">
        <f t="shared" ref="B190:B197" si="234">A190&amp;"_N3"</f>
        <v>002_N3</v>
      </c>
      <c r="C190" s="153" t="s">
        <v>2284</v>
      </c>
      <c r="D190" s="4" t="s">
        <v>18</v>
      </c>
      <c r="E190" s="4">
        <v>3</v>
      </c>
      <c r="F190" s="4">
        <v>3</v>
      </c>
      <c r="G190" s="161">
        <v>0</v>
      </c>
      <c r="H190" s="161">
        <v>0</v>
      </c>
      <c r="I190" s="161">
        <v>0</v>
      </c>
      <c r="J190" s="86">
        <f>APUs!G10413</f>
        <v>8956775</v>
      </c>
      <c r="K190" s="5">
        <f t="shared" si="232"/>
        <v>26870325</v>
      </c>
      <c r="L190" s="5">
        <f t="shared" si="232"/>
        <v>26870325</v>
      </c>
      <c r="M190" s="5">
        <f t="shared" si="233"/>
        <v>0</v>
      </c>
      <c r="N190" s="5">
        <f t="shared" si="233"/>
        <v>0</v>
      </c>
      <c r="O190" s="5">
        <f t="shared" si="233"/>
        <v>0</v>
      </c>
    </row>
    <row r="191" spans="1:15" hidden="1" outlineLevel="2" x14ac:dyDescent="0.25">
      <c r="A191" s="44" t="s">
        <v>228</v>
      </c>
      <c r="B191" s="121" t="str">
        <f t="shared" si="234"/>
        <v>003_N3</v>
      </c>
      <c r="C191" s="153" t="s">
        <v>2285</v>
      </c>
      <c r="D191" s="4" t="s">
        <v>18</v>
      </c>
      <c r="E191" s="4">
        <v>1</v>
      </c>
      <c r="F191" s="4">
        <v>1</v>
      </c>
      <c r="G191" s="161">
        <v>0</v>
      </c>
      <c r="H191" s="161">
        <v>0</v>
      </c>
      <c r="I191" s="161">
        <v>0</v>
      </c>
      <c r="J191" s="86">
        <f>APUs!G10484</f>
        <v>7362926.4000000004</v>
      </c>
      <c r="K191" s="5">
        <f t="shared" si="232"/>
        <v>7362926.4000000004</v>
      </c>
      <c r="L191" s="5">
        <f t="shared" si="232"/>
        <v>7362926.4000000004</v>
      </c>
      <c r="M191" s="5">
        <f t="shared" si="233"/>
        <v>0</v>
      </c>
      <c r="N191" s="5">
        <f t="shared" si="233"/>
        <v>0</v>
      </c>
      <c r="O191" s="5">
        <f t="shared" si="233"/>
        <v>0</v>
      </c>
    </row>
    <row r="192" spans="1:15" hidden="1" outlineLevel="2" x14ac:dyDescent="0.25">
      <c r="A192" s="44" t="s">
        <v>229</v>
      </c>
      <c r="B192" s="121" t="str">
        <f t="shared" si="234"/>
        <v>004_N3</v>
      </c>
      <c r="C192" s="153" t="s">
        <v>2374</v>
      </c>
      <c r="D192" s="4" t="s">
        <v>18</v>
      </c>
      <c r="E192" s="4">
        <v>1</v>
      </c>
      <c r="F192" s="4">
        <v>1</v>
      </c>
      <c r="G192" s="161">
        <v>0</v>
      </c>
      <c r="H192" s="161">
        <v>0</v>
      </c>
      <c r="I192" s="161">
        <v>0</v>
      </c>
      <c r="J192" s="86">
        <f>APUs!G10553</f>
        <v>9452335.8000000007</v>
      </c>
      <c r="K192" s="5">
        <f t="shared" ref="K192" si="235">$J192*E192</f>
        <v>9452335.8000000007</v>
      </c>
      <c r="L192" s="5">
        <f t="shared" ref="L192" si="236">$J192*F192</f>
        <v>9452335.8000000007</v>
      </c>
      <c r="M192" s="5">
        <f t="shared" ref="M192" si="237">$J192*G192</f>
        <v>0</v>
      </c>
      <c r="N192" s="5">
        <f t="shared" ref="N192" si="238">$J192*H192</f>
        <v>0</v>
      </c>
      <c r="O192" s="5">
        <f t="shared" ref="O192" si="239">$J192*I192</f>
        <v>0</v>
      </c>
    </row>
    <row r="193" spans="1:15" hidden="1" outlineLevel="2" x14ac:dyDescent="0.25">
      <c r="A193" s="44" t="s">
        <v>230</v>
      </c>
      <c r="B193" s="121" t="str">
        <f t="shared" si="234"/>
        <v>005_N3</v>
      </c>
      <c r="C193" s="153" t="s">
        <v>2286</v>
      </c>
      <c r="D193" s="4" t="s">
        <v>18</v>
      </c>
      <c r="E193" s="4">
        <v>4</v>
      </c>
      <c r="F193" s="4">
        <v>4</v>
      </c>
      <c r="G193" s="161">
        <v>0</v>
      </c>
      <c r="H193" s="161">
        <v>0</v>
      </c>
      <c r="I193" s="161">
        <v>0</v>
      </c>
      <c r="J193" s="86">
        <f>APUs!G10625</f>
        <v>7091159</v>
      </c>
      <c r="K193" s="5">
        <f t="shared" si="232"/>
        <v>28364636</v>
      </c>
      <c r="L193" s="5">
        <f t="shared" si="232"/>
        <v>28364636</v>
      </c>
      <c r="M193" s="5">
        <f t="shared" si="233"/>
        <v>0</v>
      </c>
      <c r="N193" s="5">
        <f t="shared" si="233"/>
        <v>0</v>
      </c>
      <c r="O193" s="5">
        <f t="shared" si="233"/>
        <v>0</v>
      </c>
    </row>
    <row r="194" spans="1:15" hidden="1" outlineLevel="2" x14ac:dyDescent="0.25">
      <c r="A194" s="44" t="s">
        <v>231</v>
      </c>
      <c r="B194" s="121" t="str">
        <f t="shared" si="234"/>
        <v>006_N3</v>
      </c>
      <c r="C194" s="153" t="s">
        <v>2287</v>
      </c>
      <c r="D194" s="4" t="s">
        <v>18</v>
      </c>
      <c r="E194" s="4">
        <v>9</v>
      </c>
      <c r="F194" s="4">
        <v>9</v>
      </c>
      <c r="G194" s="161">
        <v>0</v>
      </c>
      <c r="H194" s="161">
        <v>0</v>
      </c>
      <c r="I194" s="161">
        <v>0</v>
      </c>
      <c r="J194" s="47">
        <f>APUs!G10691</f>
        <v>3037071</v>
      </c>
      <c r="K194" s="5">
        <f t="shared" si="232"/>
        <v>27333639</v>
      </c>
      <c r="L194" s="5">
        <f t="shared" si="232"/>
        <v>27333639</v>
      </c>
      <c r="M194" s="5">
        <f t="shared" si="233"/>
        <v>0</v>
      </c>
      <c r="N194" s="5">
        <f t="shared" si="233"/>
        <v>0</v>
      </c>
      <c r="O194" s="5">
        <f t="shared" si="233"/>
        <v>0</v>
      </c>
    </row>
    <row r="195" spans="1:15" hidden="1" outlineLevel="2" x14ac:dyDescent="0.25">
      <c r="A195" s="44" t="s">
        <v>232</v>
      </c>
      <c r="B195" s="121" t="str">
        <f t="shared" si="234"/>
        <v>007_N3</v>
      </c>
      <c r="C195" s="153" t="s">
        <v>2288</v>
      </c>
      <c r="D195" s="4" t="s">
        <v>18</v>
      </c>
      <c r="E195" s="4">
        <v>9</v>
      </c>
      <c r="F195" s="4">
        <v>9</v>
      </c>
      <c r="G195" s="161">
        <v>0</v>
      </c>
      <c r="H195" s="161">
        <v>0</v>
      </c>
      <c r="I195" s="161">
        <v>0</v>
      </c>
      <c r="J195" s="47">
        <f>APUs!G10764</f>
        <v>957166</v>
      </c>
      <c r="K195" s="5">
        <f t="shared" si="232"/>
        <v>8614494</v>
      </c>
      <c r="L195" s="5">
        <f t="shared" si="232"/>
        <v>8614494</v>
      </c>
      <c r="M195" s="5">
        <f t="shared" si="233"/>
        <v>0</v>
      </c>
      <c r="N195" s="5">
        <f t="shared" si="233"/>
        <v>0</v>
      </c>
      <c r="O195" s="5">
        <f t="shared" si="233"/>
        <v>0</v>
      </c>
    </row>
    <row r="196" spans="1:15" hidden="1" outlineLevel="2" x14ac:dyDescent="0.25">
      <c r="A196" s="44" t="s">
        <v>233</v>
      </c>
      <c r="B196" s="121" t="str">
        <f t="shared" si="234"/>
        <v>008_N3</v>
      </c>
      <c r="C196" s="153" t="s">
        <v>2377</v>
      </c>
      <c r="D196" s="4" t="s">
        <v>108</v>
      </c>
      <c r="E196" s="4">
        <f>10*5</f>
        <v>50</v>
      </c>
      <c r="F196" s="4">
        <f>10*5</f>
        <v>50</v>
      </c>
      <c r="G196" s="161">
        <v>0</v>
      </c>
      <c r="H196" s="161">
        <v>0</v>
      </c>
      <c r="I196" s="161">
        <v>0</v>
      </c>
      <c r="J196" s="47">
        <f>APUs!G10835</f>
        <v>140520</v>
      </c>
      <c r="K196" s="5">
        <f t="shared" si="232"/>
        <v>7026000</v>
      </c>
      <c r="L196" s="5">
        <f t="shared" si="232"/>
        <v>7026000</v>
      </c>
      <c r="M196" s="5">
        <f t="shared" si="233"/>
        <v>0</v>
      </c>
      <c r="N196" s="5">
        <f t="shared" si="233"/>
        <v>0</v>
      </c>
      <c r="O196" s="5">
        <f t="shared" si="233"/>
        <v>0</v>
      </c>
    </row>
    <row r="197" spans="1:15" hidden="1" outlineLevel="2" x14ac:dyDescent="0.25">
      <c r="A197" s="44" t="s">
        <v>234</v>
      </c>
      <c r="B197" s="121" t="str">
        <f t="shared" si="234"/>
        <v>009_N3</v>
      </c>
      <c r="C197" s="153" t="s">
        <v>2379</v>
      </c>
      <c r="D197" s="4" t="s">
        <v>108</v>
      </c>
      <c r="E197" s="4">
        <f>12.5*4</f>
        <v>50</v>
      </c>
      <c r="F197" s="4">
        <f>12.5*4</f>
        <v>50</v>
      </c>
      <c r="G197" s="161">
        <v>0</v>
      </c>
      <c r="H197" s="161">
        <v>0</v>
      </c>
      <c r="I197" s="161">
        <v>0</v>
      </c>
      <c r="J197" s="47">
        <f>APUs!G10901</f>
        <v>219422</v>
      </c>
      <c r="K197" s="5">
        <f t="shared" si="232"/>
        <v>10971100</v>
      </c>
      <c r="L197" s="5">
        <f t="shared" si="232"/>
        <v>10971100</v>
      </c>
      <c r="M197" s="5">
        <f t="shared" si="233"/>
        <v>0</v>
      </c>
      <c r="N197" s="5">
        <f t="shared" si="233"/>
        <v>0</v>
      </c>
      <c r="O197" s="5">
        <f t="shared" si="233"/>
        <v>0</v>
      </c>
    </row>
    <row r="198" spans="1:15" outlineLevel="1" collapsed="1" x14ac:dyDescent="0.25">
      <c r="A198" s="44"/>
      <c r="B198" s="121"/>
      <c r="C198" s="172" t="s">
        <v>2281</v>
      </c>
      <c r="D198" s="173"/>
      <c r="E198" s="173"/>
      <c r="F198" s="173"/>
      <c r="G198" s="173"/>
      <c r="H198" s="173"/>
      <c r="I198" s="173"/>
      <c r="J198" s="174"/>
      <c r="K198" s="175">
        <f t="shared" ref="K198:O198" si="240">SUM(K199:K205)</f>
        <v>2111075019</v>
      </c>
      <c r="L198" s="175">
        <f t="shared" si="240"/>
        <v>1827023000</v>
      </c>
      <c r="M198" s="175">
        <f t="shared" si="240"/>
        <v>0</v>
      </c>
      <c r="N198" s="175">
        <f t="shared" si="240"/>
        <v>0</v>
      </c>
      <c r="O198" s="175">
        <f t="shared" si="240"/>
        <v>0</v>
      </c>
    </row>
    <row r="199" spans="1:15" hidden="1" outlineLevel="2" x14ac:dyDescent="0.25">
      <c r="A199" s="44" t="s">
        <v>235</v>
      </c>
      <c r="B199" s="121" t="str">
        <f>A199&amp;"_N3"</f>
        <v>010_N3</v>
      </c>
      <c r="C199" s="153" t="s">
        <v>2366</v>
      </c>
      <c r="D199" s="4" t="s">
        <v>18</v>
      </c>
      <c r="E199" s="4">
        <v>1</v>
      </c>
      <c r="F199" s="4">
        <v>1</v>
      </c>
      <c r="G199" s="161">
        <v>0</v>
      </c>
      <c r="H199" s="161">
        <v>0</v>
      </c>
      <c r="I199" s="161">
        <v>0</v>
      </c>
      <c r="J199" s="47">
        <f>APUs!G10967</f>
        <v>984733997</v>
      </c>
      <c r="K199" s="5">
        <f t="shared" ref="K199:L205" si="241">E199*$J199</f>
        <v>984733997</v>
      </c>
      <c r="L199" s="5">
        <f t="shared" si="241"/>
        <v>984733997</v>
      </c>
      <c r="M199" s="5">
        <f t="shared" ref="M199:O205" si="242">G199*$J199</f>
        <v>0</v>
      </c>
      <c r="N199" s="5">
        <f t="shared" si="242"/>
        <v>0</v>
      </c>
      <c r="O199" s="5">
        <f t="shared" si="242"/>
        <v>0</v>
      </c>
    </row>
    <row r="200" spans="1:15" hidden="1" outlineLevel="2" x14ac:dyDescent="0.25">
      <c r="A200" s="44" t="s">
        <v>236</v>
      </c>
      <c r="B200" s="121" t="str">
        <f t="shared" ref="B200:B205" si="243">A200&amp;"_N3"</f>
        <v>011_N3</v>
      </c>
      <c r="C200" s="153" t="s">
        <v>2289</v>
      </c>
      <c r="D200" s="4" t="s">
        <v>18</v>
      </c>
      <c r="E200" s="4">
        <v>4</v>
      </c>
      <c r="F200" s="176">
        <v>3</v>
      </c>
      <c r="G200" s="161">
        <v>0</v>
      </c>
      <c r="H200" s="161">
        <v>0</v>
      </c>
      <c r="I200" s="161">
        <v>0</v>
      </c>
      <c r="J200" s="47">
        <f>APUs!G11032</f>
        <v>159336312</v>
      </c>
      <c r="K200" s="5">
        <f t="shared" si="241"/>
        <v>637345248</v>
      </c>
      <c r="L200" s="5">
        <f t="shared" si="241"/>
        <v>478008936</v>
      </c>
      <c r="M200" s="5">
        <f t="shared" si="242"/>
        <v>0</v>
      </c>
      <c r="N200" s="5">
        <f t="shared" si="242"/>
        <v>0</v>
      </c>
      <c r="O200" s="5">
        <f t="shared" si="242"/>
        <v>0</v>
      </c>
    </row>
    <row r="201" spans="1:15" hidden="1" outlineLevel="2" x14ac:dyDescent="0.25">
      <c r="A201" s="44" t="s">
        <v>177</v>
      </c>
      <c r="B201" s="121" t="str">
        <f t="shared" si="243"/>
        <v>012_N3</v>
      </c>
      <c r="C201" s="153" t="s">
        <v>2349</v>
      </c>
      <c r="D201" s="4" t="s">
        <v>18</v>
      </c>
      <c r="E201" s="4">
        <f>E200</f>
        <v>4</v>
      </c>
      <c r="F201" s="176">
        <f>F200</f>
        <v>3</v>
      </c>
      <c r="G201" s="161">
        <v>0</v>
      </c>
      <c r="H201" s="161">
        <v>0</v>
      </c>
      <c r="I201" s="161">
        <v>0</v>
      </c>
      <c r="J201" s="47">
        <f>APUs!G11099</f>
        <v>8581037</v>
      </c>
      <c r="K201" s="47">
        <f>E201*$J201</f>
        <v>34324148</v>
      </c>
      <c r="L201" s="47">
        <f t="shared" si="241"/>
        <v>25743111</v>
      </c>
      <c r="M201" s="47">
        <f t="shared" si="242"/>
        <v>0</v>
      </c>
      <c r="N201" s="47">
        <f t="shared" si="242"/>
        <v>0</v>
      </c>
      <c r="O201" s="47">
        <f t="shared" si="242"/>
        <v>0</v>
      </c>
    </row>
    <row r="202" spans="1:15" hidden="1" outlineLevel="2" x14ac:dyDescent="0.25">
      <c r="A202" s="44" t="s">
        <v>237</v>
      </c>
      <c r="B202" s="121" t="str">
        <f t="shared" si="243"/>
        <v>013_N3</v>
      </c>
      <c r="C202" s="153" t="s">
        <v>2290</v>
      </c>
      <c r="D202" s="4" t="s">
        <v>18</v>
      </c>
      <c r="E202" s="4">
        <v>3</v>
      </c>
      <c r="F202" s="176">
        <v>2</v>
      </c>
      <c r="G202" s="161">
        <v>0</v>
      </c>
      <c r="H202" s="161">
        <v>0</v>
      </c>
      <c r="I202" s="161">
        <v>0</v>
      </c>
      <c r="J202" s="86">
        <f>APUs!G11166</f>
        <v>60559837</v>
      </c>
      <c r="K202" s="5">
        <f t="shared" si="241"/>
        <v>181679511</v>
      </c>
      <c r="L202" s="5">
        <f t="shared" si="241"/>
        <v>121119674</v>
      </c>
      <c r="M202" s="5">
        <f t="shared" si="242"/>
        <v>0</v>
      </c>
      <c r="N202" s="5">
        <f t="shared" si="242"/>
        <v>0</v>
      </c>
      <c r="O202" s="5">
        <f t="shared" si="242"/>
        <v>0</v>
      </c>
    </row>
    <row r="203" spans="1:15" hidden="1" outlineLevel="2" x14ac:dyDescent="0.25">
      <c r="A203" s="44" t="s">
        <v>238</v>
      </c>
      <c r="B203" s="121" t="str">
        <f t="shared" si="243"/>
        <v>014_N3</v>
      </c>
      <c r="C203" s="153" t="s">
        <v>2291</v>
      </c>
      <c r="D203" s="4" t="s">
        <v>18</v>
      </c>
      <c r="E203" s="4">
        <v>5</v>
      </c>
      <c r="F203" s="176">
        <v>4</v>
      </c>
      <c r="G203" s="161">
        <v>0</v>
      </c>
      <c r="H203" s="161">
        <v>0</v>
      </c>
      <c r="I203" s="161">
        <v>0</v>
      </c>
      <c r="J203" s="86">
        <f>APUs!G11233</f>
        <v>41090711</v>
      </c>
      <c r="K203" s="5">
        <f t="shared" si="241"/>
        <v>205453555</v>
      </c>
      <c r="L203" s="5">
        <f t="shared" si="241"/>
        <v>164362844</v>
      </c>
      <c r="M203" s="5">
        <f t="shared" si="242"/>
        <v>0</v>
      </c>
      <c r="N203" s="5">
        <f t="shared" si="242"/>
        <v>0</v>
      </c>
      <c r="O203" s="5">
        <f t="shared" si="242"/>
        <v>0</v>
      </c>
    </row>
    <row r="204" spans="1:15" hidden="1" outlineLevel="2" x14ac:dyDescent="0.25">
      <c r="A204" s="44" t="s">
        <v>239</v>
      </c>
      <c r="B204" s="121" t="str">
        <f t="shared" si="243"/>
        <v>015_N3</v>
      </c>
      <c r="C204" s="153" t="s">
        <v>2292</v>
      </c>
      <c r="D204" s="4" t="s">
        <v>18</v>
      </c>
      <c r="E204" s="4">
        <v>36</v>
      </c>
      <c r="F204" s="176">
        <v>27</v>
      </c>
      <c r="G204" s="161">
        <v>0</v>
      </c>
      <c r="H204" s="161">
        <v>0</v>
      </c>
      <c r="I204" s="161">
        <v>0</v>
      </c>
      <c r="J204" s="86">
        <f>APUs!G11299</f>
        <v>542450</v>
      </c>
      <c r="K204" s="5">
        <f t="shared" si="241"/>
        <v>19528200</v>
      </c>
      <c r="L204" s="5">
        <f t="shared" si="241"/>
        <v>14646150</v>
      </c>
      <c r="M204" s="5">
        <f t="shared" si="242"/>
        <v>0</v>
      </c>
      <c r="N204" s="5">
        <f t="shared" si="242"/>
        <v>0</v>
      </c>
      <c r="O204" s="5">
        <f t="shared" si="242"/>
        <v>0</v>
      </c>
    </row>
    <row r="205" spans="1:15" hidden="1" outlineLevel="2" x14ac:dyDescent="0.25">
      <c r="A205" s="44" t="s">
        <v>240</v>
      </c>
      <c r="B205" s="121" t="str">
        <f t="shared" si="243"/>
        <v>016_N3</v>
      </c>
      <c r="C205" s="153" t="s">
        <v>772</v>
      </c>
      <c r="D205" s="4" t="s">
        <v>18</v>
      </c>
      <c r="E205" s="4">
        <v>5</v>
      </c>
      <c r="F205" s="176">
        <v>4</v>
      </c>
      <c r="G205" s="161">
        <v>0</v>
      </c>
      <c r="H205" s="161">
        <v>0</v>
      </c>
      <c r="I205" s="161">
        <v>0</v>
      </c>
      <c r="J205" s="86">
        <f>APUs!G11365</f>
        <v>9602072</v>
      </c>
      <c r="K205" s="5">
        <f t="shared" si="241"/>
        <v>48010360</v>
      </c>
      <c r="L205" s="5">
        <f t="shared" si="241"/>
        <v>38408288</v>
      </c>
      <c r="M205" s="5">
        <f t="shared" si="242"/>
        <v>0</v>
      </c>
      <c r="N205" s="5">
        <f t="shared" si="242"/>
        <v>0</v>
      </c>
      <c r="O205" s="5">
        <f t="shared" si="242"/>
        <v>0</v>
      </c>
    </row>
    <row r="206" spans="1:15" outlineLevel="1" collapsed="1" x14ac:dyDescent="0.25">
      <c r="A206" s="44"/>
      <c r="B206" s="121"/>
      <c r="C206" s="172" t="s">
        <v>1092</v>
      </c>
      <c r="D206" s="173"/>
      <c r="E206" s="173"/>
      <c r="F206" s="173"/>
      <c r="G206" s="173"/>
      <c r="H206" s="173"/>
      <c r="I206" s="173"/>
      <c r="J206" s="174"/>
      <c r="K206" s="175">
        <f>SUM(K207:K215)</f>
        <v>0</v>
      </c>
      <c r="L206" s="175">
        <f>SUM(L207:L215)</f>
        <v>0</v>
      </c>
      <c r="M206" s="175">
        <f>SUM(M207:M215)</f>
        <v>3766699714</v>
      </c>
      <c r="N206" s="175">
        <f>SUM(N207:N215)</f>
        <v>4929949714</v>
      </c>
      <c r="O206" s="175">
        <f>SUM(O207:O215)</f>
        <v>3766699714</v>
      </c>
    </row>
    <row r="207" spans="1:15" hidden="1" outlineLevel="2" x14ac:dyDescent="0.25">
      <c r="A207" s="44" t="s">
        <v>241</v>
      </c>
      <c r="B207" s="121" t="str">
        <f>A207&amp;"_N3"</f>
        <v>017_N3</v>
      </c>
      <c r="C207" s="153" t="s">
        <v>2367</v>
      </c>
      <c r="D207" s="4" t="s">
        <v>8</v>
      </c>
      <c r="E207" s="161">
        <v>0</v>
      </c>
      <c r="F207" s="161">
        <v>0</v>
      </c>
      <c r="G207" s="4">
        <v>1</v>
      </c>
      <c r="H207" s="161">
        <v>0</v>
      </c>
      <c r="I207" s="4">
        <v>1</v>
      </c>
      <c r="J207" s="47">
        <f>APUs!G11431</f>
        <v>1448233997</v>
      </c>
      <c r="K207" s="5">
        <f t="shared" ref="K207:L215" si="244">E207*$J207</f>
        <v>0</v>
      </c>
      <c r="L207" s="5">
        <f t="shared" si="244"/>
        <v>0</v>
      </c>
      <c r="M207" s="5">
        <f t="shared" ref="M207:M215" si="245">G207*$J207</f>
        <v>1448233997</v>
      </c>
      <c r="N207" s="5">
        <f t="shared" ref="N207:N215" si="246">H207*$J207</f>
        <v>0</v>
      </c>
      <c r="O207" s="5">
        <f t="shared" ref="O207:O215" si="247">I207*$J207</f>
        <v>1448233997</v>
      </c>
    </row>
    <row r="208" spans="1:15" hidden="1" outlineLevel="2" x14ac:dyDescent="0.25">
      <c r="A208" s="44" t="s">
        <v>242</v>
      </c>
      <c r="B208" s="121" t="str">
        <f t="shared" ref="B208:B215" si="248">A208&amp;"_N3"</f>
        <v>018_N3</v>
      </c>
      <c r="C208" s="153" t="s">
        <v>2368</v>
      </c>
      <c r="D208" s="4" t="s">
        <v>8</v>
      </c>
      <c r="E208" s="161">
        <v>0</v>
      </c>
      <c r="F208" s="161">
        <v>0</v>
      </c>
      <c r="G208" s="161">
        <v>0</v>
      </c>
      <c r="H208" s="4">
        <v>1</v>
      </c>
      <c r="I208" s="161">
        <v>0</v>
      </c>
      <c r="J208" s="47">
        <f>APUs!G11496</f>
        <v>2611483997</v>
      </c>
      <c r="K208" s="5">
        <f t="shared" si="244"/>
        <v>0</v>
      </c>
      <c r="L208" s="5">
        <f t="shared" si="244"/>
        <v>0</v>
      </c>
      <c r="M208" s="5">
        <f t="shared" si="245"/>
        <v>0</v>
      </c>
      <c r="N208" s="5">
        <f t="shared" si="246"/>
        <v>2611483997</v>
      </c>
      <c r="O208" s="5">
        <f t="shared" si="247"/>
        <v>0</v>
      </c>
    </row>
    <row r="209" spans="1:15" hidden="1" outlineLevel="2" x14ac:dyDescent="0.25">
      <c r="A209" s="44" t="s">
        <v>243</v>
      </c>
      <c r="B209" s="121" t="str">
        <f t="shared" si="248"/>
        <v>019_N3</v>
      </c>
      <c r="C209" s="153" t="s">
        <v>2250</v>
      </c>
      <c r="D209" s="4" t="s">
        <v>8</v>
      </c>
      <c r="E209" s="161">
        <v>0</v>
      </c>
      <c r="F209" s="161">
        <v>0</v>
      </c>
      <c r="G209" s="4">
        <v>1</v>
      </c>
      <c r="H209" s="161">
        <v>0</v>
      </c>
      <c r="I209" s="161">
        <v>0</v>
      </c>
      <c r="J209" s="47">
        <f>APUs!G11558</f>
        <v>429316389</v>
      </c>
      <c r="K209" s="5">
        <f t="shared" si="244"/>
        <v>0</v>
      </c>
      <c r="L209" s="5">
        <f t="shared" si="244"/>
        <v>0</v>
      </c>
      <c r="M209" s="5">
        <f t="shared" si="245"/>
        <v>429316389</v>
      </c>
      <c r="N209" s="5">
        <f t="shared" si="246"/>
        <v>0</v>
      </c>
      <c r="O209" s="5">
        <f t="shared" si="247"/>
        <v>0</v>
      </c>
    </row>
    <row r="210" spans="1:15" hidden="1" outlineLevel="2" x14ac:dyDescent="0.25">
      <c r="A210" s="44" t="s">
        <v>244</v>
      </c>
      <c r="B210" s="121" t="str">
        <f t="shared" si="248"/>
        <v>020_N3</v>
      </c>
      <c r="C210" s="153" t="s">
        <v>2251</v>
      </c>
      <c r="D210" s="4" t="s">
        <v>8</v>
      </c>
      <c r="E210" s="161">
        <v>0</v>
      </c>
      <c r="F210" s="161">
        <v>0</v>
      </c>
      <c r="G210" s="4">
        <v>0</v>
      </c>
      <c r="H210" s="4">
        <v>0</v>
      </c>
      <c r="I210" s="4">
        <v>1</v>
      </c>
      <c r="J210" s="47">
        <f>APUs!G11622</f>
        <v>429316389</v>
      </c>
      <c r="K210" s="5">
        <f t="shared" si="244"/>
        <v>0</v>
      </c>
      <c r="L210" s="5">
        <f t="shared" si="244"/>
        <v>0</v>
      </c>
      <c r="M210" s="5">
        <f t="shared" si="245"/>
        <v>0</v>
      </c>
      <c r="N210" s="5">
        <f t="shared" si="246"/>
        <v>0</v>
      </c>
      <c r="O210" s="5">
        <f t="shared" si="247"/>
        <v>429316389</v>
      </c>
    </row>
    <row r="211" spans="1:15" hidden="1" outlineLevel="2" x14ac:dyDescent="0.25">
      <c r="A211" s="44" t="s">
        <v>245</v>
      </c>
      <c r="B211" s="121" t="str">
        <f t="shared" si="248"/>
        <v>021_N3</v>
      </c>
      <c r="C211" s="153" t="s">
        <v>2253</v>
      </c>
      <c r="D211" s="4" t="s">
        <v>8</v>
      </c>
      <c r="E211" s="161">
        <v>0</v>
      </c>
      <c r="F211" s="161">
        <v>0</v>
      </c>
      <c r="G211" s="4">
        <v>0</v>
      </c>
      <c r="H211" s="4">
        <v>1</v>
      </c>
      <c r="I211" s="4">
        <v>0</v>
      </c>
      <c r="J211" s="47">
        <f>APUs!G11686</f>
        <v>429316389</v>
      </c>
      <c r="K211" s="5">
        <f t="shared" si="244"/>
        <v>0</v>
      </c>
      <c r="L211" s="5">
        <f t="shared" si="244"/>
        <v>0</v>
      </c>
      <c r="M211" s="5">
        <f t="shared" si="245"/>
        <v>0</v>
      </c>
      <c r="N211" s="5">
        <f t="shared" si="246"/>
        <v>429316389</v>
      </c>
      <c r="O211" s="5">
        <f t="shared" si="247"/>
        <v>0</v>
      </c>
    </row>
    <row r="212" spans="1:15" hidden="1" outlineLevel="2" x14ac:dyDescent="0.25">
      <c r="A212" s="44" t="s">
        <v>246</v>
      </c>
      <c r="B212" s="121" t="str">
        <f t="shared" si="248"/>
        <v>022_N3</v>
      </c>
      <c r="C212" s="153" t="s">
        <v>2252</v>
      </c>
      <c r="D212" s="4" t="s">
        <v>8</v>
      </c>
      <c r="E212" s="161">
        <v>0</v>
      </c>
      <c r="F212" s="161">
        <v>0</v>
      </c>
      <c r="G212" s="4">
        <v>4</v>
      </c>
      <c r="H212" s="4">
        <v>0</v>
      </c>
      <c r="I212" s="4">
        <v>4</v>
      </c>
      <c r="J212" s="47">
        <f>APUs!G11558</f>
        <v>429316389</v>
      </c>
      <c r="K212" s="5">
        <f t="shared" si="244"/>
        <v>0</v>
      </c>
      <c r="L212" s="5">
        <f t="shared" si="244"/>
        <v>0</v>
      </c>
      <c r="M212" s="5">
        <f t="shared" si="245"/>
        <v>1717265556</v>
      </c>
      <c r="N212" s="5">
        <f t="shared" si="246"/>
        <v>0</v>
      </c>
      <c r="O212" s="5">
        <f t="shared" si="247"/>
        <v>1717265556</v>
      </c>
    </row>
    <row r="213" spans="1:15" hidden="1" outlineLevel="2" x14ac:dyDescent="0.25">
      <c r="A213" s="44" t="s">
        <v>247</v>
      </c>
      <c r="B213" s="121" t="str">
        <f t="shared" si="248"/>
        <v>023_N3</v>
      </c>
      <c r="C213" s="153" t="s">
        <v>2254</v>
      </c>
      <c r="D213" s="4" t="s">
        <v>8</v>
      </c>
      <c r="E213" s="161">
        <v>0</v>
      </c>
      <c r="F213" s="161">
        <v>0</v>
      </c>
      <c r="G213" s="4">
        <v>0</v>
      </c>
      <c r="H213" s="4">
        <v>4</v>
      </c>
      <c r="I213" s="4">
        <v>0</v>
      </c>
      <c r="J213" s="47">
        <f>APUs!G11815</f>
        <v>429316389</v>
      </c>
      <c r="K213" s="5">
        <f t="shared" si="244"/>
        <v>0</v>
      </c>
      <c r="L213" s="5">
        <f t="shared" si="244"/>
        <v>0</v>
      </c>
      <c r="M213" s="5">
        <f t="shared" si="245"/>
        <v>0</v>
      </c>
      <c r="N213" s="5">
        <f t="shared" si="246"/>
        <v>1717265556</v>
      </c>
      <c r="O213" s="5">
        <f t="shared" si="247"/>
        <v>0</v>
      </c>
    </row>
    <row r="214" spans="1:15" hidden="1" outlineLevel="2" x14ac:dyDescent="0.25">
      <c r="A214" s="44" t="s">
        <v>248</v>
      </c>
      <c r="B214" s="121" t="str">
        <f t="shared" si="248"/>
        <v>024_N3</v>
      </c>
      <c r="C214" s="153" t="s">
        <v>1582</v>
      </c>
      <c r="D214" s="4" t="s">
        <v>8</v>
      </c>
      <c r="E214" s="161">
        <v>0</v>
      </c>
      <c r="F214" s="161">
        <v>0</v>
      </c>
      <c r="G214" s="4">
        <v>1</v>
      </c>
      <c r="H214" s="4">
        <v>1</v>
      </c>
      <c r="I214" s="4">
        <v>1</v>
      </c>
      <c r="J214" s="47">
        <f>APUs!G11886</f>
        <v>123873412</v>
      </c>
      <c r="K214" s="5">
        <f t="shared" si="244"/>
        <v>0</v>
      </c>
      <c r="L214" s="5">
        <f t="shared" si="244"/>
        <v>0</v>
      </c>
      <c r="M214" s="5">
        <f t="shared" si="245"/>
        <v>123873412</v>
      </c>
      <c r="N214" s="5">
        <f t="shared" si="246"/>
        <v>123873412</v>
      </c>
      <c r="O214" s="5">
        <f t="shared" si="247"/>
        <v>123873412</v>
      </c>
    </row>
    <row r="215" spans="1:15" hidden="1" outlineLevel="2" x14ac:dyDescent="0.25">
      <c r="A215" s="44" t="s">
        <v>240</v>
      </c>
      <c r="B215" s="121" t="str">
        <f t="shared" si="248"/>
        <v>016_N3</v>
      </c>
      <c r="C215" s="153" t="s">
        <v>772</v>
      </c>
      <c r="D215" s="4" t="s">
        <v>8</v>
      </c>
      <c r="E215" s="4"/>
      <c r="F215" s="4"/>
      <c r="G215" s="4">
        <v>5</v>
      </c>
      <c r="H215" s="4">
        <v>5</v>
      </c>
      <c r="I215" s="4">
        <v>5</v>
      </c>
      <c r="J215" s="47">
        <f>APUs!G11365</f>
        <v>9602072</v>
      </c>
      <c r="K215" s="5">
        <f t="shared" si="244"/>
        <v>0</v>
      </c>
      <c r="L215" s="5">
        <f t="shared" si="244"/>
        <v>0</v>
      </c>
      <c r="M215" s="5">
        <f t="shared" si="245"/>
        <v>48010360</v>
      </c>
      <c r="N215" s="5">
        <f t="shared" si="246"/>
        <v>48010360</v>
      </c>
      <c r="O215" s="5">
        <f t="shared" si="247"/>
        <v>48010360</v>
      </c>
    </row>
    <row r="216" spans="1:15" outlineLevel="1" collapsed="1" x14ac:dyDescent="0.25">
      <c r="A216" s="44"/>
      <c r="B216" s="121"/>
      <c r="C216" s="172" t="s">
        <v>766</v>
      </c>
      <c r="D216" s="173"/>
      <c r="E216" s="173"/>
      <c r="F216" s="173"/>
      <c r="G216" s="173"/>
      <c r="H216" s="173"/>
      <c r="I216" s="173"/>
      <c r="J216" s="174"/>
      <c r="K216" s="175">
        <f>SUM(K217:K224)</f>
        <v>490655718.5</v>
      </c>
      <c r="L216" s="175">
        <f t="shared" ref="L216:O216" si="249">SUM(L217:L224)</f>
        <v>400273422.5</v>
      </c>
      <c r="M216" s="175">
        <f t="shared" si="249"/>
        <v>97421114</v>
      </c>
      <c r="N216" s="175">
        <f t="shared" si="249"/>
        <v>97421114</v>
      </c>
      <c r="O216" s="175">
        <f t="shared" si="249"/>
        <v>97421114</v>
      </c>
    </row>
    <row r="217" spans="1:15" hidden="1" outlineLevel="2" x14ac:dyDescent="0.25">
      <c r="A217" s="44" t="s">
        <v>250</v>
      </c>
      <c r="B217" s="121" t="str">
        <f>A217&amp;"_N3"</f>
        <v>026_N3</v>
      </c>
      <c r="C217" s="153" t="s">
        <v>2336</v>
      </c>
      <c r="D217" s="4" t="s">
        <v>8</v>
      </c>
      <c r="E217" s="4">
        <v>6</v>
      </c>
      <c r="F217" s="161">
        <v>0</v>
      </c>
      <c r="G217" s="161">
        <v>0</v>
      </c>
      <c r="H217" s="161">
        <v>0</v>
      </c>
      <c r="I217" s="161">
        <v>0</v>
      </c>
      <c r="J217" s="86">
        <f>APUs!G11952</f>
        <v>25511838</v>
      </c>
      <c r="K217" s="5">
        <f t="shared" ref="K217:L220" si="250">E217*$J217</f>
        <v>153071028</v>
      </c>
      <c r="L217" s="5">
        <f t="shared" si="250"/>
        <v>0</v>
      </c>
      <c r="M217" s="5">
        <f t="shared" ref="M217:O220" si="251">G217*$J217</f>
        <v>0</v>
      </c>
      <c r="N217" s="5">
        <f t="shared" si="251"/>
        <v>0</v>
      </c>
      <c r="O217" s="5">
        <f t="shared" si="251"/>
        <v>0</v>
      </c>
    </row>
    <row r="218" spans="1:15" hidden="1" outlineLevel="2" x14ac:dyDescent="0.25">
      <c r="A218" s="44" t="s">
        <v>251</v>
      </c>
      <c r="B218" s="121" t="str">
        <f t="shared" ref="B218:B224" si="252">A218&amp;"_N3"</f>
        <v>027_N3</v>
      </c>
      <c r="C218" s="153" t="s">
        <v>2339</v>
      </c>
      <c r="D218" s="4" t="s">
        <v>8</v>
      </c>
      <c r="E218" s="161">
        <v>0</v>
      </c>
      <c r="F218" s="4">
        <v>6</v>
      </c>
      <c r="G218" s="161">
        <v>0</v>
      </c>
      <c r="H218" s="161">
        <v>0</v>
      </c>
      <c r="I218" s="161">
        <v>0</v>
      </c>
      <c r="J218" s="86">
        <f>APUs!G12019</f>
        <v>24226638</v>
      </c>
      <c r="K218" s="5">
        <f t="shared" si="250"/>
        <v>0</v>
      </c>
      <c r="L218" s="5">
        <f t="shared" si="250"/>
        <v>145359828</v>
      </c>
      <c r="M218" s="5">
        <f t="shared" si="251"/>
        <v>0</v>
      </c>
      <c r="N218" s="5">
        <f t="shared" si="251"/>
        <v>0</v>
      </c>
      <c r="O218" s="5">
        <f t="shared" si="251"/>
        <v>0</v>
      </c>
    </row>
    <row r="219" spans="1:15" hidden="1" outlineLevel="2" x14ac:dyDescent="0.25">
      <c r="A219" s="44" t="s">
        <v>252</v>
      </c>
      <c r="B219" s="121" t="str">
        <f t="shared" si="252"/>
        <v>028_N3</v>
      </c>
      <c r="C219" s="153" t="s">
        <v>2337</v>
      </c>
      <c r="D219" s="4" t="s">
        <v>8</v>
      </c>
      <c r="E219" s="4">
        <v>3</v>
      </c>
      <c r="F219" s="161">
        <v>0</v>
      </c>
      <c r="G219" s="161">
        <v>0</v>
      </c>
      <c r="H219" s="161">
        <v>0</v>
      </c>
      <c r="I219" s="161">
        <v>0</v>
      </c>
      <c r="J219" s="86">
        <f>APUs!G12087</f>
        <v>24226638</v>
      </c>
      <c r="K219" s="5">
        <f t="shared" si="250"/>
        <v>72679914</v>
      </c>
      <c r="L219" s="5">
        <f t="shared" si="250"/>
        <v>0</v>
      </c>
      <c r="M219" s="5">
        <f t="shared" si="251"/>
        <v>0</v>
      </c>
      <c r="N219" s="5">
        <f t="shared" si="251"/>
        <v>0</v>
      </c>
      <c r="O219" s="5">
        <f t="shared" si="251"/>
        <v>0</v>
      </c>
    </row>
    <row r="220" spans="1:15" hidden="1" outlineLevel="2" x14ac:dyDescent="0.25">
      <c r="A220" s="44" t="s">
        <v>253</v>
      </c>
      <c r="B220" s="121" t="str">
        <f t="shared" si="252"/>
        <v>029_N3</v>
      </c>
      <c r="C220" s="153" t="s">
        <v>2338</v>
      </c>
      <c r="D220" s="4" t="s">
        <v>8</v>
      </c>
      <c r="E220" s="4">
        <v>3</v>
      </c>
      <c r="F220" s="4">
        <v>3</v>
      </c>
      <c r="G220" s="161">
        <v>0</v>
      </c>
      <c r="H220" s="161">
        <v>0</v>
      </c>
      <c r="I220" s="161">
        <v>0</v>
      </c>
      <c r="J220" s="86">
        <f>APUs!G12160</f>
        <v>30283297.499999996</v>
      </c>
      <c r="K220" s="5">
        <f t="shared" si="250"/>
        <v>90849892.499999985</v>
      </c>
      <c r="L220" s="5">
        <f t="shared" si="250"/>
        <v>90849892.499999985</v>
      </c>
      <c r="M220" s="5">
        <f t="shared" si="251"/>
        <v>0</v>
      </c>
      <c r="N220" s="5">
        <f t="shared" si="251"/>
        <v>0</v>
      </c>
      <c r="O220" s="5">
        <f t="shared" si="251"/>
        <v>0</v>
      </c>
    </row>
    <row r="221" spans="1:15" hidden="1" outlineLevel="2" x14ac:dyDescent="0.25">
      <c r="A221" s="44" t="s">
        <v>254</v>
      </c>
      <c r="B221" s="121" t="str">
        <f t="shared" si="252"/>
        <v>030_N3</v>
      </c>
      <c r="C221" s="153" t="s">
        <v>2293</v>
      </c>
      <c r="D221" s="4" t="s">
        <v>8</v>
      </c>
      <c r="E221" s="4">
        <v>1</v>
      </c>
      <c r="F221" s="4">
        <v>1</v>
      </c>
      <c r="G221" s="161">
        <v>0</v>
      </c>
      <c r="H221" s="161">
        <v>0</v>
      </c>
      <c r="I221" s="161">
        <v>0</v>
      </c>
      <c r="J221" s="86">
        <f>APUs!G12222</f>
        <v>21656238</v>
      </c>
      <c r="K221" s="5">
        <f t="shared" ref="K221:L224" si="253">E221*$J221</f>
        <v>21656238</v>
      </c>
      <c r="L221" s="5">
        <f t="shared" si="253"/>
        <v>21656238</v>
      </c>
      <c r="M221" s="5">
        <f t="shared" ref="M221:O224" si="254">G221*$J221</f>
        <v>0</v>
      </c>
      <c r="N221" s="5">
        <f t="shared" si="254"/>
        <v>0</v>
      </c>
      <c r="O221" s="5">
        <f t="shared" si="254"/>
        <v>0</v>
      </c>
    </row>
    <row r="222" spans="1:15" hidden="1" outlineLevel="2" x14ac:dyDescent="0.25">
      <c r="A222" s="44" t="s">
        <v>255</v>
      </c>
      <c r="B222" s="121" t="str">
        <f t="shared" si="252"/>
        <v>031_N3</v>
      </c>
      <c r="C222" s="153" t="s">
        <v>2294</v>
      </c>
      <c r="D222" s="4" t="s">
        <v>8</v>
      </c>
      <c r="E222" s="4">
        <v>3</v>
      </c>
      <c r="F222" s="4">
        <v>3</v>
      </c>
      <c r="G222" s="161">
        <v>0</v>
      </c>
      <c r="H222" s="161">
        <v>0</v>
      </c>
      <c r="I222" s="161">
        <v>0</v>
      </c>
      <c r="J222" s="86">
        <f>APUs!G12290</f>
        <v>21656238</v>
      </c>
      <c r="K222" s="5">
        <f t="shared" si="253"/>
        <v>64968714</v>
      </c>
      <c r="L222" s="5">
        <f t="shared" si="253"/>
        <v>64968714</v>
      </c>
      <c r="M222" s="5">
        <f t="shared" si="254"/>
        <v>0</v>
      </c>
      <c r="N222" s="5">
        <f t="shared" si="254"/>
        <v>0</v>
      </c>
      <c r="O222" s="5">
        <f t="shared" si="254"/>
        <v>0</v>
      </c>
    </row>
    <row r="223" spans="1:15" hidden="1" outlineLevel="2" x14ac:dyDescent="0.25">
      <c r="A223" s="44" t="s">
        <v>256</v>
      </c>
      <c r="B223" s="121" t="str">
        <f t="shared" si="252"/>
        <v>032_N3</v>
      </c>
      <c r="C223" s="153" t="s">
        <v>1594</v>
      </c>
      <c r="D223" s="4" t="s">
        <v>8</v>
      </c>
      <c r="E223" s="4">
        <v>4</v>
      </c>
      <c r="F223" s="4">
        <v>4</v>
      </c>
      <c r="G223" s="4">
        <v>4</v>
      </c>
      <c r="H223" s="4">
        <v>4</v>
      </c>
      <c r="I223" s="4">
        <v>4</v>
      </c>
      <c r="J223" s="86">
        <f>APUs!G12360</f>
        <v>11866301</v>
      </c>
      <c r="K223" s="5">
        <f t="shared" si="253"/>
        <v>47465204</v>
      </c>
      <c r="L223" s="5">
        <f t="shared" si="253"/>
        <v>47465204</v>
      </c>
      <c r="M223" s="5">
        <f t="shared" si="254"/>
        <v>47465204</v>
      </c>
      <c r="N223" s="5">
        <f t="shared" si="254"/>
        <v>47465204</v>
      </c>
      <c r="O223" s="5">
        <f t="shared" si="254"/>
        <v>47465204</v>
      </c>
    </row>
    <row r="224" spans="1:15" s="2" customFormat="1" hidden="1" outlineLevel="2" x14ac:dyDescent="0.25">
      <c r="A224" s="44" t="s">
        <v>257</v>
      </c>
      <c r="B224" s="121" t="str">
        <f t="shared" si="252"/>
        <v>033_N3</v>
      </c>
      <c r="C224" s="153" t="s">
        <v>1663</v>
      </c>
      <c r="D224" s="4" t="s">
        <v>8</v>
      </c>
      <c r="E224" s="4">
        <v>8</v>
      </c>
      <c r="F224" s="4">
        <v>6</v>
      </c>
      <c r="G224" s="4">
        <f>(G212+G209)*2</f>
        <v>10</v>
      </c>
      <c r="H224" s="4">
        <v>10</v>
      </c>
      <c r="I224" s="4">
        <v>10</v>
      </c>
      <c r="J224" s="123">
        <f>APUs!G12428</f>
        <v>4995591</v>
      </c>
      <c r="K224" s="5">
        <f t="shared" si="253"/>
        <v>39964728</v>
      </c>
      <c r="L224" s="5">
        <f t="shared" si="253"/>
        <v>29973546</v>
      </c>
      <c r="M224" s="5">
        <f t="shared" si="254"/>
        <v>49955910</v>
      </c>
      <c r="N224" s="5">
        <f t="shared" si="254"/>
        <v>49955910</v>
      </c>
      <c r="O224" s="5">
        <f t="shared" si="254"/>
        <v>49955910</v>
      </c>
    </row>
    <row r="225" spans="1:15" outlineLevel="1" collapsed="1" x14ac:dyDescent="0.25">
      <c r="A225" s="44"/>
      <c r="B225" s="121"/>
      <c r="C225" s="172" t="s">
        <v>105</v>
      </c>
      <c r="D225" s="173"/>
      <c r="E225" s="173"/>
      <c r="F225" s="173"/>
      <c r="G225" s="173"/>
      <c r="H225" s="173"/>
      <c r="I225" s="173"/>
      <c r="J225" s="174"/>
      <c r="K225" s="175">
        <f>SUM(K226:K228)</f>
        <v>151141781</v>
      </c>
      <c r="L225" s="175">
        <f t="shared" ref="L225:O225" si="255">SUM(L226:L228)</f>
        <v>122810183</v>
      </c>
      <c r="M225" s="175">
        <f t="shared" si="255"/>
        <v>12182075</v>
      </c>
      <c r="N225" s="175">
        <f t="shared" si="255"/>
        <v>12182075</v>
      </c>
      <c r="O225" s="175">
        <f t="shared" si="255"/>
        <v>12182075</v>
      </c>
    </row>
    <row r="226" spans="1:15" hidden="1" outlineLevel="2" x14ac:dyDescent="0.25">
      <c r="A226" s="44" t="s">
        <v>258</v>
      </c>
      <c r="B226" s="121" t="str">
        <f>A226&amp;"_N3"</f>
        <v>034_N3</v>
      </c>
      <c r="C226" s="162" t="s">
        <v>1737</v>
      </c>
      <c r="D226" s="4" t="s">
        <v>8</v>
      </c>
      <c r="E226" s="4">
        <v>1</v>
      </c>
      <c r="F226" s="4">
        <v>1</v>
      </c>
      <c r="G226" s="4">
        <v>1</v>
      </c>
      <c r="H226" s="4">
        <v>1</v>
      </c>
      <c r="I226" s="4">
        <v>1</v>
      </c>
      <c r="J226" s="86">
        <f>APUs!G12498</f>
        <v>12182075</v>
      </c>
      <c r="K226" s="5">
        <f t="shared" ref="K226:L228" si="256">E226*$J226</f>
        <v>12182075</v>
      </c>
      <c r="L226" s="5">
        <f t="shared" si="256"/>
        <v>12182075</v>
      </c>
      <c r="M226" s="5">
        <f t="shared" ref="M226:O228" si="257">G226*$J226</f>
        <v>12182075</v>
      </c>
      <c r="N226" s="5">
        <f t="shared" si="257"/>
        <v>12182075</v>
      </c>
      <c r="O226" s="5">
        <f t="shared" si="257"/>
        <v>12182075</v>
      </c>
    </row>
    <row r="227" spans="1:15" hidden="1" outlineLevel="2" x14ac:dyDescent="0.25">
      <c r="A227" s="44" t="s">
        <v>259</v>
      </c>
      <c r="B227" s="121" t="str">
        <f t="shared" ref="B227:B228" si="258">A227&amp;"_N3"</f>
        <v>035_N3</v>
      </c>
      <c r="C227" s="162" t="s">
        <v>2295</v>
      </c>
      <c r="D227" s="4" t="s">
        <v>5</v>
      </c>
      <c r="E227" s="4">
        <v>3</v>
      </c>
      <c r="F227" s="4">
        <v>2</v>
      </c>
      <c r="G227" s="161">
        <v>0</v>
      </c>
      <c r="H227" s="161">
        <v>0</v>
      </c>
      <c r="I227" s="161">
        <v>0</v>
      </c>
      <c r="J227" s="86">
        <f>APUs!G12567</f>
        <v>28331598</v>
      </c>
      <c r="K227" s="5">
        <f t="shared" si="256"/>
        <v>84994794</v>
      </c>
      <c r="L227" s="5">
        <f t="shared" si="256"/>
        <v>56663196</v>
      </c>
      <c r="M227" s="5">
        <f t="shared" si="257"/>
        <v>0</v>
      </c>
      <c r="N227" s="5">
        <f t="shared" si="257"/>
        <v>0</v>
      </c>
      <c r="O227" s="5">
        <f t="shared" si="257"/>
        <v>0</v>
      </c>
    </row>
    <row r="228" spans="1:15" hidden="1" outlineLevel="2" x14ac:dyDescent="0.25">
      <c r="A228" s="44" t="s">
        <v>260</v>
      </c>
      <c r="B228" s="121" t="str">
        <f t="shared" si="258"/>
        <v>036_N3</v>
      </c>
      <c r="C228" s="162" t="s">
        <v>2296</v>
      </c>
      <c r="D228" s="4" t="s">
        <v>5</v>
      </c>
      <c r="E228" s="4">
        <v>1</v>
      </c>
      <c r="F228" s="4">
        <v>1</v>
      </c>
      <c r="G228" s="161">
        <v>0</v>
      </c>
      <c r="H228" s="161">
        <v>0</v>
      </c>
      <c r="I228" s="161">
        <v>0</v>
      </c>
      <c r="J228" s="86">
        <f>APUs!G12635</f>
        <v>53964912</v>
      </c>
      <c r="K228" s="5">
        <f t="shared" si="256"/>
        <v>53964912</v>
      </c>
      <c r="L228" s="5">
        <f t="shared" si="256"/>
        <v>53964912</v>
      </c>
      <c r="M228" s="5">
        <f t="shared" si="257"/>
        <v>0</v>
      </c>
      <c r="N228" s="5">
        <f t="shared" si="257"/>
        <v>0</v>
      </c>
      <c r="O228" s="5">
        <f t="shared" si="257"/>
        <v>0</v>
      </c>
    </row>
    <row r="229" spans="1:15" s="2" customFormat="1" outlineLevel="1" collapsed="1" x14ac:dyDescent="0.25">
      <c r="A229" s="44"/>
      <c r="B229" s="121"/>
      <c r="C229" s="172" t="s">
        <v>2418</v>
      </c>
      <c r="D229" s="173"/>
      <c r="E229" s="173"/>
      <c r="F229" s="173"/>
      <c r="G229" s="173"/>
      <c r="H229" s="173"/>
      <c r="I229" s="173"/>
      <c r="J229" s="174"/>
      <c r="K229" s="175">
        <f>SUM(K230:K247)</f>
        <v>246521279</v>
      </c>
      <c r="L229" s="175">
        <f t="shared" ref="L229:O229" si="259">SUM(L230:L247)</f>
        <v>172612785</v>
      </c>
      <c r="M229" s="175">
        <f t="shared" si="259"/>
        <v>441611372</v>
      </c>
      <c r="N229" s="175">
        <f t="shared" si="259"/>
        <v>353872334</v>
      </c>
      <c r="O229" s="175">
        <f t="shared" si="259"/>
        <v>284040895.35000002</v>
      </c>
    </row>
    <row r="230" spans="1:15" hidden="1" outlineLevel="2" x14ac:dyDescent="0.25">
      <c r="A230" s="44" t="s">
        <v>261</v>
      </c>
      <c r="B230" s="121" t="str">
        <f>A230&amp;"_N3"</f>
        <v>037_N3</v>
      </c>
      <c r="C230" s="153" t="s">
        <v>2421</v>
      </c>
      <c r="D230" s="4" t="s">
        <v>108</v>
      </c>
      <c r="E230" s="147">
        <v>0</v>
      </c>
      <c r="F230" s="147">
        <v>0</v>
      </c>
      <c r="G230" s="148">
        <f>120+2*5+3*5*2</f>
        <v>160</v>
      </c>
      <c r="H230" s="148">
        <v>166</v>
      </c>
      <c r="I230" s="148">
        <f>80+1*5*3+3*5</f>
        <v>110</v>
      </c>
      <c r="J230" s="154">
        <f>APUs!G12708</f>
        <v>1036529</v>
      </c>
      <c r="K230" s="5">
        <f>E230*$J230</f>
        <v>0</v>
      </c>
      <c r="L230" s="5">
        <f>F230*$J230</f>
        <v>0</v>
      </c>
      <c r="M230" s="5">
        <f>G230*$J230</f>
        <v>165844640</v>
      </c>
      <c r="N230" s="5">
        <f>H230*$J230</f>
        <v>172063814</v>
      </c>
      <c r="O230" s="5">
        <f>I230*$J230</f>
        <v>114018190</v>
      </c>
    </row>
    <row r="231" spans="1:15" hidden="1" outlineLevel="2" x14ac:dyDescent="0.25">
      <c r="A231" s="44" t="s">
        <v>262</v>
      </c>
      <c r="B231" s="121" t="str">
        <f t="shared" ref="B231:B247" si="260">A231&amp;"_N3"</f>
        <v>038_N3</v>
      </c>
      <c r="C231" s="153" t="s">
        <v>2422</v>
      </c>
      <c r="D231" s="4" t="s">
        <v>108</v>
      </c>
      <c r="E231" s="147">
        <v>0</v>
      </c>
      <c r="F231" s="147">
        <v>0</v>
      </c>
      <c r="G231" s="177">
        <f>70+5+3*2</f>
        <v>81</v>
      </c>
      <c r="H231" s="177">
        <f>1*50*1</f>
        <v>50</v>
      </c>
      <c r="I231" s="177">
        <f>20+5+10+10</f>
        <v>45</v>
      </c>
      <c r="J231" s="154">
        <f>APUs!G12781</f>
        <v>2108408</v>
      </c>
      <c r="K231" s="5">
        <f t="shared" ref="K231:K247" si="261">E231*$J231</f>
        <v>0</v>
      </c>
      <c r="L231" s="5">
        <f t="shared" ref="L231:L247" si="262">F231*$J231</f>
        <v>0</v>
      </c>
      <c r="M231" s="5">
        <f t="shared" ref="M231:M247" si="263">G231*$J231</f>
        <v>170781048</v>
      </c>
      <c r="N231" s="5">
        <f t="shared" ref="N231:N247" si="264">H231*$J231</f>
        <v>105420400</v>
      </c>
      <c r="O231" s="5">
        <f t="shared" ref="O231:O247" si="265">I231*$J231</f>
        <v>94878360</v>
      </c>
    </row>
    <row r="232" spans="1:15" hidden="1" outlineLevel="2" x14ac:dyDescent="0.25">
      <c r="A232" s="205" t="s">
        <v>253</v>
      </c>
      <c r="B232" s="206" t="s">
        <v>2909</v>
      </c>
      <c r="C232" s="153" t="s">
        <v>2824</v>
      </c>
      <c r="D232" s="4" t="s">
        <v>114</v>
      </c>
      <c r="E232" s="147">
        <v>0</v>
      </c>
      <c r="F232" s="147">
        <v>0</v>
      </c>
      <c r="G232" s="148">
        <f>230*0.6*1.5</f>
        <v>207</v>
      </c>
      <c r="H232" s="148">
        <f>120*0.6*1.5</f>
        <v>108</v>
      </c>
      <c r="I232" s="148">
        <f>100*0.6*1.5</f>
        <v>90</v>
      </c>
      <c r="J232" s="193">
        <f>APUs!G1928</f>
        <v>38345</v>
      </c>
      <c r="K232" s="5">
        <f t="shared" ref="K232:K233" si="266">E232*$J232</f>
        <v>0</v>
      </c>
      <c r="L232" s="5">
        <f t="shared" ref="L232:L233" si="267">F232*$J232</f>
        <v>0</v>
      </c>
      <c r="M232" s="5">
        <f t="shared" ref="M232:M233" si="268">G232*$J232</f>
        <v>7937415</v>
      </c>
      <c r="N232" s="5">
        <f t="shared" ref="N232:N233" si="269">H232*$J232</f>
        <v>4141260</v>
      </c>
      <c r="O232" s="5">
        <f t="shared" ref="O232:O233" si="270">I232*$J232</f>
        <v>3451050</v>
      </c>
    </row>
    <row r="233" spans="1:15" hidden="1" outlineLevel="2" x14ac:dyDescent="0.25">
      <c r="A233" s="205" t="s">
        <v>270</v>
      </c>
      <c r="B233" s="206" t="s">
        <v>2910</v>
      </c>
      <c r="C233" s="153" t="s">
        <v>2825</v>
      </c>
      <c r="D233" s="4" t="s">
        <v>114</v>
      </c>
      <c r="E233" s="147">
        <v>0</v>
      </c>
      <c r="F233" s="147">
        <v>0</v>
      </c>
      <c r="G233" s="148">
        <f>230*0.6*1.5</f>
        <v>207</v>
      </c>
      <c r="H233" s="148">
        <f>120*0.6*1.5</f>
        <v>108</v>
      </c>
      <c r="I233" s="148">
        <f>100*0.6*1.5</f>
        <v>90</v>
      </c>
      <c r="J233" s="193">
        <f>APUs!G3022</f>
        <v>118227</v>
      </c>
      <c r="K233" s="5">
        <f t="shared" si="266"/>
        <v>0</v>
      </c>
      <c r="L233" s="5">
        <f t="shared" si="267"/>
        <v>0</v>
      </c>
      <c r="M233" s="5">
        <f t="shared" si="268"/>
        <v>24472989</v>
      </c>
      <c r="N233" s="5">
        <f t="shared" si="269"/>
        <v>12768516</v>
      </c>
      <c r="O233" s="5">
        <f t="shared" si="270"/>
        <v>10640430</v>
      </c>
    </row>
    <row r="234" spans="1:15" s="2" customFormat="1" hidden="1" outlineLevel="2" x14ac:dyDescent="0.25">
      <c r="A234" s="44" t="s">
        <v>265</v>
      </c>
      <c r="B234" s="121" t="str">
        <f t="shared" si="260"/>
        <v>041_N3</v>
      </c>
      <c r="C234" s="153" t="s">
        <v>2419</v>
      </c>
      <c r="D234" s="122" t="s">
        <v>108</v>
      </c>
      <c r="E234" s="155">
        <v>0</v>
      </c>
      <c r="F234" s="155">
        <v>0</v>
      </c>
      <c r="G234" s="149">
        <f>350+10</f>
        <v>360</v>
      </c>
      <c r="H234" s="149">
        <f>224</f>
        <v>224</v>
      </c>
      <c r="I234" s="149">
        <f>209*1.15</f>
        <v>240.35</v>
      </c>
      <c r="J234" s="150">
        <f>APUs!G12853</f>
        <v>96301</v>
      </c>
      <c r="K234" s="5">
        <f t="shared" si="261"/>
        <v>0</v>
      </c>
      <c r="L234" s="5">
        <f t="shared" si="262"/>
        <v>0</v>
      </c>
      <c r="M234" s="5">
        <f t="shared" si="263"/>
        <v>34668360</v>
      </c>
      <c r="N234" s="5">
        <f t="shared" si="264"/>
        <v>21571424</v>
      </c>
      <c r="O234" s="5">
        <f t="shared" si="265"/>
        <v>23145945.349999998</v>
      </c>
    </row>
    <row r="235" spans="1:15" s="2" customFormat="1" hidden="1" outlineLevel="2" x14ac:dyDescent="0.25">
      <c r="A235" s="44" t="s">
        <v>266</v>
      </c>
      <c r="B235" s="121" t="str">
        <f t="shared" si="260"/>
        <v>042_N3</v>
      </c>
      <c r="C235" s="165" t="s">
        <v>1583</v>
      </c>
      <c r="D235" s="122" t="s">
        <v>108</v>
      </c>
      <c r="E235" s="149">
        <f>63*4*1.06</f>
        <v>267.12</v>
      </c>
      <c r="F235" s="149">
        <f>63*4*1.06</f>
        <v>267.12</v>
      </c>
      <c r="G235" s="148">
        <f>5*20</f>
        <v>100</v>
      </c>
      <c r="H235" s="148">
        <f t="shared" ref="H235:I235" si="271">5*20</f>
        <v>100</v>
      </c>
      <c r="I235" s="148">
        <f t="shared" si="271"/>
        <v>100</v>
      </c>
      <c r="J235" s="150">
        <f>APUs!G12925</f>
        <v>20250</v>
      </c>
      <c r="K235" s="5">
        <f t="shared" si="261"/>
        <v>5409180</v>
      </c>
      <c r="L235" s="5">
        <f t="shared" si="262"/>
        <v>5409180</v>
      </c>
      <c r="M235" s="5">
        <f t="shared" si="263"/>
        <v>2025000</v>
      </c>
      <c r="N235" s="5">
        <f t="shared" si="264"/>
        <v>2025000</v>
      </c>
      <c r="O235" s="5">
        <f t="shared" si="265"/>
        <v>2025000</v>
      </c>
    </row>
    <row r="236" spans="1:15" hidden="1" outlineLevel="2" x14ac:dyDescent="0.25">
      <c r="A236" s="44" t="s">
        <v>267</v>
      </c>
      <c r="B236" s="121" t="str">
        <f t="shared" si="260"/>
        <v>043_N3</v>
      </c>
      <c r="C236" s="165" t="s">
        <v>2426</v>
      </c>
      <c r="D236" s="7" t="s">
        <v>108</v>
      </c>
      <c r="E236" s="7">
        <f>1*50*1</f>
        <v>50</v>
      </c>
      <c r="F236" s="7">
        <f t="shared" ref="F236:I236" si="272">1*50*1</f>
        <v>50</v>
      </c>
      <c r="G236" s="7">
        <f t="shared" si="272"/>
        <v>50</v>
      </c>
      <c r="H236" s="7">
        <f t="shared" si="272"/>
        <v>50</v>
      </c>
      <c r="I236" s="7">
        <f t="shared" si="272"/>
        <v>50</v>
      </c>
      <c r="J236" s="86">
        <f>APUs!G12997</f>
        <v>29551</v>
      </c>
      <c r="K236" s="178">
        <f t="shared" ref="K236" si="273">$J236*E236</f>
        <v>1477550</v>
      </c>
      <c r="L236" s="178">
        <f t="shared" ref="L236" si="274">$J236*F236</f>
        <v>1477550</v>
      </c>
      <c r="M236" s="178">
        <f>$J236*G236</f>
        <v>1477550</v>
      </c>
      <c r="N236" s="178">
        <f>$J236*H236</f>
        <v>1477550</v>
      </c>
      <c r="O236" s="178">
        <f>$J236*I236</f>
        <v>1477550</v>
      </c>
    </row>
    <row r="237" spans="1:15" s="2" customFormat="1" hidden="1" outlineLevel="2" x14ac:dyDescent="0.25">
      <c r="A237" s="44" t="s">
        <v>268</v>
      </c>
      <c r="B237" s="121" t="str">
        <f t="shared" si="260"/>
        <v>044_N3</v>
      </c>
      <c r="C237" s="165" t="s">
        <v>2335</v>
      </c>
      <c r="D237" s="122" t="s">
        <v>108</v>
      </c>
      <c r="E237" s="148">
        <f>(50+15+3)*4*(3+2)</f>
        <v>1360</v>
      </c>
      <c r="F237" s="148">
        <f>(50+15+3)*3*4</f>
        <v>816</v>
      </c>
      <c r="G237" s="147">
        <v>0</v>
      </c>
      <c r="H237" s="147">
        <v>0</v>
      </c>
      <c r="I237" s="147">
        <v>0</v>
      </c>
      <c r="J237" s="150">
        <f>APUs!G13068</f>
        <v>64182</v>
      </c>
      <c r="K237" s="5">
        <f t="shared" si="261"/>
        <v>87287520</v>
      </c>
      <c r="L237" s="5">
        <f t="shared" si="262"/>
        <v>52372512</v>
      </c>
      <c r="M237" s="5">
        <f t="shared" si="263"/>
        <v>0</v>
      </c>
      <c r="N237" s="5">
        <f t="shared" si="264"/>
        <v>0</v>
      </c>
      <c r="O237" s="5">
        <f t="shared" si="265"/>
        <v>0</v>
      </c>
    </row>
    <row r="238" spans="1:15" s="2" customFormat="1" hidden="1" outlineLevel="2" x14ac:dyDescent="0.25">
      <c r="A238" s="44" t="s">
        <v>269</v>
      </c>
      <c r="B238" s="121" t="str">
        <f t="shared" si="260"/>
        <v>045_N3</v>
      </c>
      <c r="C238" s="153" t="s">
        <v>2278</v>
      </c>
      <c r="D238" s="122" t="s">
        <v>18</v>
      </c>
      <c r="E238" s="156">
        <v>4</v>
      </c>
      <c r="F238" s="156">
        <v>3</v>
      </c>
      <c r="G238" s="155">
        <v>0</v>
      </c>
      <c r="H238" s="155">
        <v>0</v>
      </c>
      <c r="I238" s="155">
        <v>0</v>
      </c>
      <c r="J238" s="150">
        <f>APUs!G13142</f>
        <v>1061144</v>
      </c>
      <c r="K238" s="5">
        <f t="shared" si="261"/>
        <v>4244576</v>
      </c>
      <c r="L238" s="5">
        <f t="shared" si="262"/>
        <v>3183432</v>
      </c>
      <c r="M238" s="5">
        <f t="shared" si="263"/>
        <v>0</v>
      </c>
      <c r="N238" s="5">
        <f t="shared" si="264"/>
        <v>0</v>
      </c>
      <c r="O238" s="5">
        <f t="shared" si="265"/>
        <v>0</v>
      </c>
    </row>
    <row r="239" spans="1:15" s="2" customFormat="1" hidden="1" outlineLevel="2" x14ac:dyDescent="0.25">
      <c r="A239" s="44" t="s">
        <v>270</v>
      </c>
      <c r="B239" s="121" t="str">
        <f t="shared" si="260"/>
        <v>046_N3</v>
      </c>
      <c r="C239" s="153" t="s">
        <v>2279</v>
      </c>
      <c r="D239" s="122" t="s">
        <v>18</v>
      </c>
      <c r="E239" s="156">
        <v>1</v>
      </c>
      <c r="F239" s="156">
        <v>1</v>
      </c>
      <c r="G239" s="155">
        <v>0</v>
      </c>
      <c r="H239" s="155">
        <v>0</v>
      </c>
      <c r="I239" s="155">
        <v>0</v>
      </c>
      <c r="J239" s="150">
        <f>APUs!G13216</f>
        <v>1236773</v>
      </c>
      <c r="K239" s="5">
        <f t="shared" si="261"/>
        <v>1236773</v>
      </c>
      <c r="L239" s="5">
        <f t="shared" si="262"/>
        <v>1236773</v>
      </c>
      <c r="M239" s="5">
        <f t="shared" si="263"/>
        <v>0</v>
      </c>
      <c r="N239" s="5">
        <f t="shared" si="264"/>
        <v>0</v>
      </c>
      <c r="O239" s="5">
        <f t="shared" si="265"/>
        <v>0</v>
      </c>
    </row>
    <row r="240" spans="1:15" s="2" customFormat="1" hidden="1" outlineLevel="2" x14ac:dyDescent="0.25">
      <c r="A240" s="44" t="s">
        <v>271</v>
      </c>
      <c r="B240" s="121" t="str">
        <f t="shared" si="260"/>
        <v>047_N3</v>
      </c>
      <c r="C240" s="165" t="s">
        <v>2298</v>
      </c>
      <c r="D240" s="122" t="s">
        <v>108</v>
      </c>
      <c r="E240" s="148">
        <f>(3*3+1*2)*70</f>
        <v>770</v>
      </c>
      <c r="F240" s="148">
        <f>(2*3+1*2)*70</f>
        <v>560</v>
      </c>
      <c r="G240" s="147">
        <v>0</v>
      </c>
      <c r="H240" s="147">
        <v>0</v>
      </c>
      <c r="I240" s="147">
        <v>0</v>
      </c>
      <c r="J240" s="150">
        <f>APUs!G13287</f>
        <v>44227</v>
      </c>
      <c r="K240" s="5">
        <f t="shared" si="261"/>
        <v>34054790</v>
      </c>
      <c r="L240" s="5">
        <f t="shared" si="262"/>
        <v>24767120</v>
      </c>
      <c r="M240" s="5">
        <f t="shared" si="263"/>
        <v>0</v>
      </c>
      <c r="N240" s="5">
        <f t="shared" si="264"/>
        <v>0</v>
      </c>
      <c r="O240" s="5">
        <f t="shared" si="265"/>
        <v>0</v>
      </c>
    </row>
    <row r="241" spans="1:15" s="2" customFormat="1" hidden="1" outlineLevel="2" x14ac:dyDescent="0.25">
      <c r="A241" s="44" t="s">
        <v>272</v>
      </c>
      <c r="B241" s="121" t="str">
        <f t="shared" si="260"/>
        <v>048_N3</v>
      </c>
      <c r="C241" s="165" t="s">
        <v>2299</v>
      </c>
      <c r="D241" s="122" t="s">
        <v>108</v>
      </c>
      <c r="E241" s="148">
        <f>10*4</f>
        <v>40</v>
      </c>
      <c r="F241" s="148">
        <f>10*3</f>
        <v>30</v>
      </c>
      <c r="G241" s="147">
        <v>0</v>
      </c>
      <c r="H241" s="147">
        <v>0</v>
      </c>
      <c r="I241" s="147">
        <v>0</v>
      </c>
      <c r="J241" s="150">
        <f>APUs!G13358</f>
        <v>219229</v>
      </c>
      <c r="K241" s="5">
        <f t="shared" si="261"/>
        <v>8769160</v>
      </c>
      <c r="L241" s="5">
        <f t="shared" si="262"/>
        <v>6576870</v>
      </c>
      <c r="M241" s="5">
        <f t="shared" si="263"/>
        <v>0</v>
      </c>
      <c r="N241" s="5">
        <f t="shared" si="264"/>
        <v>0</v>
      </c>
      <c r="O241" s="5">
        <f t="shared" si="265"/>
        <v>0</v>
      </c>
    </row>
    <row r="242" spans="1:15" s="2" customFormat="1" hidden="1" outlineLevel="2" x14ac:dyDescent="0.25">
      <c r="A242" s="44" t="s">
        <v>273</v>
      </c>
      <c r="B242" s="121" t="str">
        <f t="shared" si="260"/>
        <v>049_N3</v>
      </c>
      <c r="C242" s="157" t="s">
        <v>2396</v>
      </c>
      <c r="D242" s="122" t="s">
        <v>108</v>
      </c>
      <c r="E242" s="148">
        <f>60*4+70*3*3+70*2*1</f>
        <v>1010</v>
      </c>
      <c r="F242" s="148">
        <f>60*3+70*3*2+70*2*1</f>
        <v>740</v>
      </c>
      <c r="G242" s="147">
        <v>0</v>
      </c>
      <c r="H242" s="147">
        <v>0</v>
      </c>
      <c r="I242" s="147">
        <v>0</v>
      </c>
      <c r="J242" s="150">
        <f>APUs!G13429</f>
        <v>88830</v>
      </c>
      <c r="K242" s="5">
        <f t="shared" si="261"/>
        <v>89718300</v>
      </c>
      <c r="L242" s="5">
        <f t="shared" si="262"/>
        <v>65734200</v>
      </c>
      <c r="M242" s="5">
        <f t="shared" si="263"/>
        <v>0</v>
      </c>
      <c r="N242" s="5">
        <f t="shared" si="264"/>
        <v>0</v>
      </c>
      <c r="O242" s="5">
        <f t="shared" si="265"/>
        <v>0</v>
      </c>
    </row>
    <row r="243" spans="1:15" s="2" customFormat="1" hidden="1" outlineLevel="2" x14ac:dyDescent="0.25">
      <c r="A243" s="44" t="s">
        <v>274</v>
      </c>
      <c r="B243" s="121" t="str">
        <f t="shared" si="260"/>
        <v>050_N3</v>
      </c>
      <c r="C243" s="157" t="s">
        <v>2413</v>
      </c>
      <c r="D243" s="122" t="s">
        <v>8</v>
      </c>
      <c r="E243" s="148">
        <f>3*4*2+1*3*2</f>
        <v>30</v>
      </c>
      <c r="F243" s="148">
        <f>2*4*2+1*3*2</f>
        <v>22</v>
      </c>
      <c r="G243" s="147">
        <v>0</v>
      </c>
      <c r="H243" s="147">
        <v>0</v>
      </c>
      <c r="I243" s="147">
        <v>0</v>
      </c>
      <c r="J243" s="150">
        <f>APUs!G13502</f>
        <v>138879</v>
      </c>
      <c r="K243" s="5">
        <f t="shared" si="261"/>
        <v>4166370</v>
      </c>
      <c r="L243" s="5">
        <f t="shared" si="262"/>
        <v>3055338</v>
      </c>
      <c r="M243" s="5">
        <f t="shared" si="263"/>
        <v>0</v>
      </c>
      <c r="N243" s="5">
        <f t="shared" si="264"/>
        <v>0</v>
      </c>
      <c r="O243" s="5">
        <f t="shared" si="265"/>
        <v>0</v>
      </c>
    </row>
    <row r="244" spans="1:15" s="2" customFormat="1" hidden="1" outlineLevel="2" x14ac:dyDescent="0.25">
      <c r="A244" s="44" t="s">
        <v>275</v>
      </c>
      <c r="B244" s="121" t="str">
        <f t="shared" si="260"/>
        <v>051_N3</v>
      </c>
      <c r="C244" s="165" t="s">
        <v>1595</v>
      </c>
      <c r="D244" s="122" t="s">
        <v>108</v>
      </c>
      <c r="E244" s="147">
        <v>0</v>
      </c>
      <c r="F244" s="147">
        <v>0</v>
      </c>
      <c r="G244" s="148">
        <f>20+(5*6)</f>
        <v>50</v>
      </c>
      <c r="H244" s="148">
        <f>20+(5*6)</f>
        <v>50</v>
      </c>
      <c r="I244" s="148">
        <f>20+(5*6)</f>
        <v>50</v>
      </c>
      <c r="J244" s="150">
        <f>APUs!G13573</f>
        <v>202320</v>
      </c>
      <c r="K244" s="5">
        <f t="shared" si="261"/>
        <v>0</v>
      </c>
      <c r="L244" s="5">
        <f t="shared" si="262"/>
        <v>0</v>
      </c>
      <c r="M244" s="5">
        <f t="shared" si="263"/>
        <v>10116000</v>
      </c>
      <c r="N244" s="5">
        <f t="shared" si="264"/>
        <v>10116000</v>
      </c>
      <c r="O244" s="5">
        <f t="shared" si="265"/>
        <v>10116000</v>
      </c>
    </row>
    <row r="245" spans="1:15" s="2" customFormat="1" hidden="1" outlineLevel="2" x14ac:dyDescent="0.25">
      <c r="A245" s="44" t="s">
        <v>276</v>
      </c>
      <c r="B245" s="121" t="str">
        <f t="shared" si="260"/>
        <v>052_N3</v>
      </c>
      <c r="C245" s="165" t="s">
        <v>2427</v>
      </c>
      <c r="D245" s="122" t="s">
        <v>108</v>
      </c>
      <c r="E245" s="148">
        <v>50</v>
      </c>
      <c r="F245" s="148">
        <v>50</v>
      </c>
      <c r="G245" s="148">
        <f>25*5*2+3*5*1+50</f>
        <v>315</v>
      </c>
      <c r="H245" s="148">
        <f>25*5*2+3*5*1+50</f>
        <v>315</v>
      </c>
      <c r="I245" s="148">
        <f>25*5*2+3*5*1+50</f>
        <v>315</v>
      </c>
      <c r="J245" s="150">
        <f>APUs!G13644</f>
        <v>48204</v>
      </c>
      <c r="K245" s="5">
        <f t="shared" si="261"/>
        <v>2410200</v>
      </c>
      <c r="L245" s="5">
        <f t="shared" si="262"/>
        <v>2410200</v>
      </c>
      <c r="M245" s="5">
        <f t="shared" si="263"/>
        <v>15184260</v>
      </c>
      <c r="N245" s="5">
        <f t="shared" si="264"/>
        <v>15184260</v>
      </c>
      <c r="O245" s="5">
        <f t="shared" si="265"/>
        <v>15184260</v>
      </c>
    </row>
    <row r="246" spans="1:15" s="2" customFormat="1" hidden="1" outlineLevel="2" x14ac:dyDescent="0.25">
      <c r="A246" s="44" t="s">
        <v>277</v>
      </c>
      <c r="B246" s="121" t="str">
        <f t="shared" si="260"/>
        <v>053_N3</v>
      </c>
      <c r="C246" s="165" t="s">
        <v>1685</v>
      </c>
      <c r="D246" s="4" t="s">
        <v>8</v>
      </c>
      <c r="E246" s="148">
        <v>8</v>
      </c>
      <c r="F246" s="148">
        <v>6</v>
      </c>
      <c r="G246" s="148">
        <f>5*2</f>
        <v>10</v>
      </c>
      <c r="H246" s="148">
        <f t="shared" ref="H246:I246" si="275">5*2</f>
        <v>10</v>
      </c>
      <c r="I246" s="148">
        <f t="shared" si="275"/>
        <v>10</v>
      </c>
      <c r="J246" s="150">
        <f>APUs!G13716</f>
        <v>137791</v>
      </c>
      <c r="K246" s="5">
        <f t="shared" si="261"/>
        <v>1102328</v>
      </c>
      <c r="L246" s="5">
        <f t="shared" si="262"/>
        <v>826746</v>
      </c>
      <c r="M246" s="5">
        <f t="shared" si="263"/>
        <v>1377910</v>
      </c>
      <c r="N246" s="5">
        <f t="shared" si="264"/>
        <v>1377910</v>
      </c>
      <c r="O246" s="5">
        <f t="shared" si="265"/>
        <v>1377910</v>
      </c>
    </row>
    <row r="247" spans="1:15" s="2" customFormat="1" hidden="1" outlineLevel="2" x14ac:dyDescent="0.25">
      <c r="A247" s="44" t="s">
        <v>278</v>
      </c>
      <c r="B247" s="121" t="str">
        <f t="shared" si="260"/>
        <v>054_N3</v>
      </c>
      <c r="C247" s="165" t="s">
        <v>2398</v>
      </c>
      <c r="D247" s="4" t="s">
        <v>8</v>
      </c>
      <c r="E247" s="148">
        <f>(4*7*3)*2+(1*5*3)*6</f>
        <v>258</v>
      </c>
      <c r="F247" s="148">
        <f>(3*7*3)*2+(1*5*3)*6</f>
        <v>216</v>
      </c>
      <c r="G247" s="148">
        <f>(5*7*3)*2+(1*5*3)*6</f>
        <v>300</v>
      </c>
      <c r="H247" s="148">
        <f t="shared" ref="H247:I247" si="276">(5*7*3)*2+(1*5*3)*6</f>
        <v>300</v>
      </c>
      <c r="I247" s="148">
        <f t="shared" si="276"/>
        <v>300</v>
      </c>
      <c r="J247" s="150">
        <f>APUs!G13788</f>
        <v>25754</v>
      </c>
      <c r="K247" s="5">
        <f t="shared" si="261"/>
        <v>6644532</v>
      </c>
      <c r="L247" s="5">
        <f t="shared" si="262"/>
        <v>5562864</v>
      </c>
      <c r="M247" s="5">
        <f t="shared" si="263"/>
        <v>7726200</v>
      </c>
      <c r="N247" s="5">
        <f t="shared" si="264"/>
        <v>7726200</v>
      </c>
      <c r="O247" s="5">
        <f t="shared" si="265"/>
        <v>7726200</v>
      </c>
    </row>
    <row r="248" spans="1:15" s="2" customFormat="1" outlineLevel="1" collapsed="1" x14ac:dyDescent="0.25">
      <c r="A248" s="30"/>
      <c r="B248" s="162"/>
      <c r="C248" s="165"/>
      <c r="D248" s="179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x14ac:dyDescent="0.25">
      <c r="A249" s="23"/>
      <c r="B249" s="23"/>
      <c r="C249" s="8" t="s">
        <v>20</v>
      </c>
      <c r="D249" s="9"/>
      <c r="E249" s="9"/>
      <c r="F249" s="9"/>
      <c r="G249" s="9"/>
      <c r="H249" s="9"/>
      <c r="I249" s="9"/>
      <c r="J249" s="10"/>
      <c r="K249" s="84">
        <f>K266+K272+K282+K278+K250+K260</f>
        <v>1948095107.0999999</v>
      </c>
      <c r="L249" s="84">
        <f>L266+L272+L282+L278+L250+L260</f>
        <v>1971981837.0999999</v>
      </c>
      <c r="M249" s="84">
        <f>M266+M272+M282+M278+M250+M260</f>
        <v>1981016052</v>
      </c>
      <c r="N249" s="84">
        <f>N266+N272+N282+N278+N250+N260</f>
        <v>2220680455</v>
      </c>
      <c r="O249" s="84">
        <f>O266+O272+O282+O278+O250+O260</f>
        <v>1965665519.5166667</v>
      </c>
    </row>
    <row r="250" spans="1:15" outlineLevel="1" x14ac:dyDescent="0.25">
      <c r="A250" s="44"/>
      <c r="B250" s="85"/>
      <c r="C250" s="174" t="s">
        <v>2300</v>
      </c>
      <c r="D250" s="173"/>
      <c r="E250" s="173"/>
      <c r="F250" s="174"/>
      <c r="G250" s="174"/>
      <c r="H250" s="174"/>
      <c r="I250" s="174"/>
      <c r="J250" s="174"/>
      <c r="K250" s="175">
        <f>SUM(K251:K259)</f>
        <v>181239430.09999999</v>
      </c>
      <c r="L250" s="175">
        <f t="shared" ref="L250:O250" si="277">SUM(L251:L259)</f>
        <v>205126160.09999999</v>
      </c>
      <c r="M250" s="175">
        <f t="shared" si="277"/>
        <v>0</v>
      </c>
      <c r="N250" s="175">
        <f t="shared" si="277"/>
        <v>0</v>
      </c>
      <c r="O250" s="175">
        <f t="shared" si="277"/>
        <v>0</v>
      </c>
    </row>
    <row r="251" spans="1:15" hidden="1" outlineLevel="2" x14ac:dyDescent="0.25">
      <c r="A251" s="44" t="s">
        <v>226</v>
      </c>
      <c r="B251" s="121" t="str">
        <f>A251&amp;"_N2"</f>
        <v>001_N2</v>
      </c>
      <c r="C251" s="163" t="s">
        <v>2283</v>
      </c>
      <c r="D251" s="4" t="s">
        <v>18</v>
      </c>
      <c r="E251" s="4">
        <v>1</v>
      </c>
      <c r="F251" s="4">
        <v>1</v>
      </c>
      <c r="G251" s="161">
        <v>0</v>
      </c>
      <c r="H251" s="161">
        <v>0</v>
      </c>
      <c r="I251" s="161">
        <v>0</v>
      </c>
      <c r="J251" s="47">
        <f>APUs!G13857</f>
        <v>67359913</v>
      </c>
      <c r="K251" s="5">
        <f t="shared" ref="K251:L259" si="278">$J251*E251</f>
        <v>67359913</v>
      </c>
      <c r="L251" s="5">
        <f t="shared" si="278"/>
        <v>67359913</v>
      </c>
      <c r="M251" s="5">
        <f t="shared" ref="M251:O259" si="279">$J251*G251</f>
        <v>0</v>
      </c>
      <c r="N251" s="5">
        <f t="shared" si="279"/>
        <v>0</v>
      </c>
      <c r="O251" s="5">
        <f t="shared" si="279"/>
        <v>0</v>
      </c>
    </row>
    <row r="252" spans="1:15" hidden="1" outlineLevel="2" x14ac:dyDescent="0.25">
      <c r="A252" s="44" t="s">
        <v>227</v>
      </c>
      <c r="B252" s="121" t="str">
        <f t="shared" ref="B252:B264" si="280">A252&amp;"_N2"</f>
        <v>002_N2</v>
      </c>
      <c r="C252" s="163" t="s">
        <v>2301</v>
      </c>
      <c r="D252" s="4" t="s">
        <v>18</v>
      </c>
      <c r="E252" s="4">
        <v>3</v>
      </c>
      <c r="F252" s="4">
        <v>3</v>
      </c>
      <c r="G252" s="161">
        <v>0</v>
      </c>
      <c r="H252" s="161">
        <v>0</v>
      </c>
      <c r="I252" s="161">
        <v>0</v>
      </c>
      <c r="J252" s="47">
        <f>APUs!G13927</f>
        <v>8381330</v>
      </c>
      <c r="K252" s="5">
        <f t="shared" si="278"/>
        <v>25143990</v>
      </c>
      <c r="L252" s="5">
        <f t="shared" si="278"/>
        <v>25143990</v>
      </c>
      <c r="M252" s="5">
        <f t="shared" si="279"/>
        <v>0</v>
      </c>
      <c r="N252" s="5">
        <f t="shared" si="279"/>
        <v>0</v>
      </c>
      <c r="O252" s="5">
        <f t="shared" si="279"/>
        <v>0</v>
      </c>
    </row>
    <row r="253" spans="1:15" hidden="1" outlineLevel="2" x14ac:dyDescent="0.25">
      <c r="A253" s="44" t="s">
        <v>228</v>
      </c>
      <c r="B253" s="121" t="str">
        <f t="shared" si="280"/>
        <v>003_N2</v>
      </c>
      <c r="C253" s="163" t="s">
        <v>2302</v>
      </c>
      <c r="D253" s="4" t="s">
        <v>18</v>
      </c>
      <c r="E253" s="4">
        <v>1</v>
      </c>
      <c r="F253" s="4">
        <v>1</v>
      </c>
      <c r="G253" s="161">
        <v>0</v>
      </c>
      <c r="H253" s="161">
        <v>0</v>
      </c>
      <c r="I253" s="161">
        <v>0</v>
      </c>
      <c r="J253" s="47">
        <f>APUs!G13997</f>
        <v>7115592.2999999998</v>
      </c>
      <c r="K253" s="5">
        <f t="shared" si="278"/>
        <v>7115592.2999999998</v>
      </c>
      <c r="L253" s="5">
        <f t="shared" si="278"/>
        <v>7115592.2999999998</v>
      </c>
      <c r="M253" s="5">
        <f t="shared" si="279"/>
        <v>0</v>
      </c>
      <c r="N253" s="5">
        <f t="shared" si="279"/>
        <v>0</v>
      </c>
      <c r="O253" s="5">
        <f t="shared" si="279"/>
        <v>0</v>
      </c>
    </row>
    <row r="254" spans="1:15" hidden="1" outlineLevel="2" x14ac:dyDescent="0.25">
      <c r="A254" s="44" t="s">
        <v>229</v>
      </c>
      <c r="B254" s="121" t="str">
        <f t="shared" si="280"/>
        <v>004_N2</v>
      </c>
      <c r="C254" s="163" t="s">
        <v>2373</v>
      </c>
      <c r="D254" s="4" t="s">
        <v>18</v>
      </c>
      <c r="E254" s="4">
        <v>1</v>
      </c>
      <c r="F254" s="4">
        <v>1</v>
      </c>
      <c r="G254" s="161">
        <v>0</v>
      </c>
      <c r="H254" s="161">
        <v>0</v>
      </c>
      <c r="I254" s="161">
        <v>0</v>
      </c>
      <c r="J254" s="86">
        <f>APUs!G14066</f>
        <v>9452335.8000000007</v>
      </c>
      <c r="K254" s="5">
        <f t="shared" si="278"/>
        <v>9452335.8000000007</v>
      </c>
      <c r="L254" s="5">
        <f t="shared" si="278"/>
        <v>9452335.8000000007</v>
      </c>
      <c r="M254" s="5">
        <f t="shared" si="279"/>
        <v>0</v>
      </c>
      <c r="N254" s="5">
        <f t="shared" si="279"/>
        <v>0</v>
      </c>
      <c r="O254" s="5">
        <f t="shared" si="279"/>
        <v>0</v>
      </c>
    </row>
    <row r="255" spans="1:15" hidden="1" outlineLevel="2" x14ac:dyDescent="0.25">
      <c r="A255" s="44" t="s">
        <v>230</v>
      </c>
      <c r="B255" s="121" t="str">
        <f t="shared" si="280"/>
        <v>005_N2</v>
      </c>
      <c r="C255" s="163" t="s">
        <v>2303</v>
      </c>
      <c r="D255" s="4" t="s">
        <v>18</v>
      </c>
      <c r="E255" s="4">
        <v>4</v>
      </c>
      <c r="F255" s="4">
        <v>4</v>
      </c>
      <c r="G255" s="161">
        <v>0</v>
      </c>
      <c r="H255" s="161">
        <v>0</v>
      </c>
      <c r="I255" s="161">
        <v>0</v>
      </c>
      <c r="J255" s="47">
        <f>APUs!G14138</f>
        <v>4789379</v>
      </c>
      <c r="K255" s="5">
        <f t="shared" si="278"/>
        <v>19157516</v>
      </c>
      <c r="L255" s="5">
        <f t="shared" si="278"/>
        <v>19157516</v>
      </c>
      <c r="M255" s="5">
        <f t="shared" si="279"/>
        <v>0</v>
      </c>
      <c r="N255" s="5">
        <f t="shared" si="279"/>
        <v>0</v>
      </c>
      <c r="O255" s="5">
        <f t="shared" si="279"/>
        <v>0</v>
      </c>
    </row>
    <row r="256" spans="1:15" hidden="1" outlineLevel="2" x14ac:dyDescent="0.25">
      <c r="A256" s="205" t="s">
        <v>231</v>
      </c>
      <c r="B256" s="206" t="str">
        <f t="shared" ref="B256:B257" si="281">A256&amp;"_N3"</f>
        <v>006_N3</v>
      </c>
      <c r="C256" s="163" t="s">
        <v>2287</v>
      </c>
      <c r="D256" s="4" t="s">
        <v>18</v>
      </c>
      <c r="E256" s="4">
        <v>9</v>
      </c>
      <c r="F256" s="4">
        <v>9</v>
      </c>
      <c r="G256" s="161">
        <v>0</v>
      </c>
      <c r="H256" s="161">
        <v>0</v>
      </c>
      <c r="I256" s="161">
        <v>0</v>
      </c>
      <c r="J256" s="47">
        <f>APUs!G10691</f>
        <v>3037071</v>
      </c>
      <c r="K256" s="5">
        <f t="shared" si="278"/>
        <v>27333639</v>
      </c>
      <c r="L256" s="5">
        <f t="shared" si="278"/>
        <v>27333639</v>
      </c>
      <c r="M256" s="5">
        <f t="shared" si="279"/>
        <v>0</v>
      </c>
      <c r="N256" s="5">
        <f t="shared" si="279"/>
        <v>0</v>
      </c>
      <c r="O256" s="5">
        <f t="shared" si="279"/>
        <v>0</v>
      </c>
    </row>
    <row r="257" spans="1:15" hidden="1" outlineLevel="2" x14ac:dyDescent="0.25">
      <c r="A257" s="205" t="s">
        <v>232</v>
      </c>
      <c r="B257" s="206" t="str">
        <f t="shared" si="281"/>
        <v>007_N3</v>
      </c>
      <c r="C257" s="163" t="s">
        <v>2288</v>
      </c>
      <c r="D257" s="4" t="s">
        <v>18</v>
      </c>
      <c r="E257" s="4">
        <v>9</v>
      </c>
      <c r="F257" s="4">
        <v>9</v>
      </c>
      <c r="G257" s="161">
        <v>0</v>
      </c>
      <c r="H257" s="161">
        <v>0</v>
      </c>
      <c r="I257" s="161">
        <v>0</v>
      </c>
      <c r="J257" s="47">
        <f>APUs!G10764</f>
        <v>957166</v>
      </c>
      <c r="K257" s="5">
        <f t="shared" si="278"/>
        <v>8614494</v>
      </c>
      <c r="L257" s="5">
        <f t="shared" si="278"/>
        <v>8614494</v>
      </c>
      <c r="M257" s="5">
        <f t="shared" si="279"/>
        <v>0</v>
      </c>
      <c r="N257" s="5">
        <f t="shared" si="279"/>
        <v>0</v>
      </c>
      <c r="O257" s="5">
        <f t="shared" si="279"/>
        <v>0</v>
      </c>
    </row>
    <row r="258" spans="1:15" hidden="1" outlineLevel="2" x14ac:dyDescent="0.25">
      <c r="A258" s="44" t="s">
        <v>233</v>
      </c>
      <c r="B258" s="121" t="str">
        <f t="shared" si="280"/>
        <v>008_N2</v>
      </c>
      <c r="C258" s="163" t="s">
        <v>2378</v>
      </c>
      <c r="D258" s="4" t="s">
        <v>108</v>
      </c>
      <c r="E258" s="4">
        <v>50</v>
      </c>
      <c r="F258" s="4">
        <v>120</v>
      </c>
      <c r="G258" s="161">
        <v>0</v>
      </c>
      <c r="H258" s="161">
        <v>0</v>
      </c>
      <c r="I258" s="161">
        <v>0</v>
      </c>
      <c r="J258" s="47">
        <f>APUs!G14209</f>
        <v>121817</v>
      </c>
      <c r="K258" s="5">
        <f t="shared" si="278"/>
        <v>6090850</v>
      </c>
      <c r="L258" s="5">
        <f t="shared" si="278"/>
        <v>14618040</v>
      </c>
      <c r="M258" s="5">
        <f t="shared" si="279"/>
        <v>0</v>
      </c>
      <c r="N258" s="5">
        <f t="shared" si="279"/>
        <v>0</v>
      </c>
      <c r="O258" s="5">
        <f t="shared" si="279"/>
        <v>0</v>
      </c>
    </row>
    <row r="259" spans="1:15" hidden="1" outlineLevel="2" x14ac:dyDescent="0.25">
      <c r="A259" s="205" t="s">
        <v>234</v>
      </c>
      <c r="B259" s="206" t="str">
        <f t="shared" ref="B259" si="282">A259&amp;"_N3"</f>
        <v>009_N3</v>
      </c>
      <c r="C259" s="163" t="s">
        <v>2379</v>
      </c>
      <c r="D259" s="4" t="s">
        <v>108</v>
      </c>
      <c r="E259" s="4">
        <v>50</v>
      </c>
      <c r="F259" s="4">
        <v>120</v>
      </c>
      <c r="G259" s="161">
        <v>0</v>
      </c>
      <c r="H259" s="161">
        <v>0</v>
      </c>
      <c r="I259" s="161">
        <v>0</v>
      </c>
      <c r="J259" s="47">
        <f>APUs!G10901</f>
        <v>219422</v>
      </c>
      <c r="K259" s="5">
        <f t="shared" si="278"/>
        <v>10971100</v>
      </c>
      <c r="L259" s="5">
        <f t="shared" si="278"/>
        <v>26330640</v>
      </c>
      <c r="M259" s="5">
        <f t="shared" si="279"/>
        <v>0</v>
      </c>
      <c r="N259" s="5">
        <f t="shared" si="279"/>
        <v>0</v>
      </c>
      <c r="O259" s="5">
        <f t="shared" si="279"/>
        <v>0</v>
      </c>
    </row>
    <row r="260" spans="1:15" outlineLevel="1" collapsed="1" x14ac:dyDescent="0.25">
      <c r="A260" s="44"/>
      <c r="B260" s="121"/>
      <c r="C260" s="174" t="s">
        <v>2282</v>
      </c>
      <c r="D260" s="173"/>
      <c r="E260" s="173"/>
      <c r="F260" s="174"/>
      <c r="G260" s="174"/>
      <c r="H260" s="174"/>
      <c r="I260" s="174"/>
      <c r="J260" s="174"/>
      <c r="K260" s="175">
        <f>SUM(K261:K265)</f>
        <v>958832639</v>
      </c>
      <c r="L260" s="175">
        <f t="shared" ref="L260:O260" si="283">SUM(L261:L265)</f>
        <v>958832639</v>
      </c>
      <c r="M260" s="175">
        <f t="shared" si="283"/>
        <v>0</v>
      </c>
      <c r="N260" s="175">
        <f t="shared" si="283"/>
        <v>0</v>
      </c>
      <c r="O260" s="175">
        <f t="shared" si="283"/>
        <v>0</v>
      </c>
    </row>
    <row r="261" spans="1:15" hidden="1" outlineLevel="2" x14ac:dyDescent="0.25">
      <c r="A261" s="44" t="s">
        <v>235</v>
      </c>
      <c r="B261" s="121" t="str">
        <f t="shared" si="280"/>
        <v>010_N2</v>
      </c>
      <c r="C261" s="165" t="s">
        <v>2304</v>
      </c>
      <c r="D261" s="4" t="s">
        <v>5</v>
      </c>
      <c r="E261" s="4">
        <v>4</v>
      </c>
      <c r="F261" s="4">
        <v>4</v>
      </c>
      <c r="G261" s="161">
        <v>0</v>
      </c>
      <c r="H261" s="161">
        <v>0</v>
      </c>
      <c r="I261" s="161">
        <v>0</v>
      </c>
      <c r="J261" s="47">
        <f>APUs!G14275</f>
        <v>131039884</v>
      </c>
      <c r="K261" s="5">
        <f t="shared" ref="K261:L265" si="284">$J261*E261</f>
        <v>524159536</v>
      </c>
      <c r="L261" s="5">
        <f t="shared" si="284"/>
        <v>524159536</v>
      </c>
      <c r="M261" s="5">
        <f t="shared" ref="M261:O265" si="285">$J261*G261</f>
        <v>0</v>
      </c>
      <c r="N261" s="5">
        <f t="shared" si="285"/>
        <v>0</v>
      </c>
      <c r="O261" s="5">
        <f t="shared" si="285"/>
        <v>0</v>
      </c>
    </row>
    <row r="262" spans="1:15" hidden="1" outlineLevel="2" x14ac:dyDescent="0.25">
      <c r="A262" s="44" t="s">
        <v>236</v>
      </c>
      <c r="B262" s="121" t="str">
        <f t="shared" si="280"/>
        <v>011_N2</v>
      </c>
      <c r="C262" s="165" t="s">
        <v>2305</v>
      </c>
      <c r="D262" s="4" t="s">
        <v>5</v>
      </c>
      <c r="E262" s="4">
        <v>3</v>
      </c>
      <c r="F262" s="4">
        <v>3</v>
      </c>
      <c r="G262" s="161">
        <v>0</v>
      </c>
      <c r="H262" s="161">
        <v>0</v>
      </c>
      <c r="I262" s="161">
        <v>0</v>
      </c>
      <c r="J262" s="47">
        <f>APUs!G14342</f>
        <v>57766216</v>
      </c>
      <c r="K262" s="5">
        <f t="shared" si="284"/>
        <v>173298648</v>
      </c>
      <c r="L262" s="5">
        <f t="shared" si="284"/>
        <v>173298648</v>
      </c>
      <c r="M262" s="5">
        <f t="shared" si="285"/>
        <v>0</v>
      </c>
      <c r="N262" s="5">
        <f t="shared" si="285"/>
        <v>0</v>
      </c>
      <c r="O262" s="5">
        <f t="shared" si="285"/>
        <v>0</v>
      </c>
    </row>
    <row r="263" spans="1:15" hidden="1" outlineLevel="2" x14ac:dyDescent="0.25">
      <c r="A263" s="44" t="s">
        <v>177</v>
      </c>
      <c r="B263" s="121" t="str">
        <f t="shared" si="280"/>
        <v>012_N2</v>
      </c>
      <c r="C263" s="163" t="s">
        <v>2306</v>
      </c>
      <c r="D263" s="4" t="s">
        <v>5</v>
      </c>
      <c r="E263" s="4">
        <v>5</v>
      </c>
      <c r="F263" s="4">
        <v>5</v>
      </c>
      <c r="G263" s="161">
        <v>0</v>
      </c>
      <c r="H263" s="161">
        <v>0</v>
      </c>
      <c r="I263" s="161">
        <v>0</v>
      </c>
      <c r="J263" s="47">
        <f>APUs!G14410</f>
        <v>40494099</v>
      </c>
      <c r="K263" s="5">
        <f t="shared" si="284"/>
        <v>202470495</v>
      </c>
      <c r="L263" s="5">
        <f t="shared" si="284"/>
        <v>202470495</v>
      </c>
      <c r="M263" s="5">
        <f t="shared" si="285"/>
        <v>0</v>
      </c>
      <c r="N263" s="5">
        <f t="shared" si="285"/>
        <v>0</v>
      </c>
      <c r="O263" s="5">
        <f t="shared" si="285"/>
        <v>0</v>
      </c>
    </row>
    <row r="264" spans="1:15" hidden="1" outlineLevel="2" x14ac:dyDescent="0.25">
      <c r="A264" s="44" t="s">
        <v>237</v>
      </c>
      <c r="B264" s="121" t="str">
        <f t="shared" si="280"/>
        <v>013_N2</v>
      </c>
      <c r="C264" s="165" t="s">
        <v>2307</v>
      </c>
      <c r="D264" s="4" t="s">
        <v>5</v>
      </c>
      <c r="E264" s="4">
        <f>9*4</f>
        <v>36</v>
      </c>
      <c r="F264" s="4">
        <v>36</v>
      </c>
      <c r="G264" s="161">
        <v>0</v>
      </c>
      <c r="H264" s="161">
        <v>0</v>
      </c>
      <c r="I264" s="161">
        <v>0</v>
      </c>
      <c r="J264" s="47">
        <f>APUs!G14481</f>
        <v>302600</v>
      </c>
      <c r="K264" s="5">
        <f t="shared" si="284"/>
        <v>10893600</v>
      </c>
      <c r="L264" s="5">
        <f t="shared" si="284"/>
        <v>10893600</v>
      </c>
      <c r="M264" s="5">
        <f t="shared" si="285"/>
        <v>0</v>
      </c>
      <c r="N264" s="5">
        <f t="shared" si="285"/>
        <v>0</v>
      </c>
      <c r="O264" s="5">
        <f t="shared" si="285"/>
        <v>0</v>
      </c>
    </row>
    <row r="265" spans="1:15" ht="16.5" hidden="1" customHeight="1" outlineLevel="2" x14ac:dyDescent="0.25">
      <c r="A265" s="44" t="s">
        <v>240</v>
      </c>
      <c r="B265" s="121" t="str">
        <f t="shared" ref="B265" si="286">A265&amp;"_N3"</f>
        <v>016_N3</v>
      </c>
      <c r="C265" s="163" t="s">
        <v>772</v>
      </c>
      <c r="D265" s="4" t="s">
        <v>18</v>
      </c>
      <c r="E265" s="4">
        <v>5</v>
      </c>
      <c r="F265" s="4">
        <v>5</v>
      </c>
      <c r="G265" s="161">
        <v>0</v>
      </c>
      <c r="H265" s="161">
        <v>0</v>
      </c>
      <c r="I265" s="161">
        <v>0</v>
      </c>
      <c r="J265" s="47">
        <f>APUs!G11365</f>
        <v>9602072</v>
      </c>
      <c r="K265" s="5">
        <f t="shared" si="284"/>
        <v>48010360</v>
      </c>
      <c r="L265" s="5">
        <f t="shared" si="284"/>
        <v>48010360</v>
      </c>
      <c r="M265" s="5">
        <f t="shared" si="285"/>
        <v>0</v>
      </c>
      <c r="N265" s="5">
        <f t="shared" si="285"/>
        <v>0</v>
      </c>
      <c r="O265" s="5">
        <f t="shared" si="285"/>
        <v>0</v>
      </c>
    </row>
    <row r="266" spans="1:15" outlineLevel="1" collapsed="1" x14ac:dyDescent="0.25">
      <c r="A266" s="44"/>
      <c r="B266" s="121"/>
      <c r="C266" s="174" t="s">
        <v>1580</v>
      </c>
      <c r="D266" s="173"/>
      <c r="E266" s="173"/>
      <c r="F266" s="173"/>
      <c r="G266" s="173"/>
      <c r="H266" s="173"/>
      <c r="I266" s="173"/>
      <c r="J266" s="174"/>
      <c r="K266" s="175">
        <f>SUM(K267:K271)</f>
        <v>0</v>
      </c>
      <c r="L266" s="175">
        <f>SUM(L267:L271)</f>
        <v>0</v>
      </c>
      <c r="M266" s="175">
        <f>SUM(M267:M271)</f>
        <v>1500206727</v>
      </c>
      <c r="N266" s="175">
        <f>SUM(N267:N271)</f>
        <v>1565372424</v>
      </c>
      <c r="O266" s="175">
        <f>SUM(O267:O271)</f>
        <v>1500206727</v>
      </c>
    </row>
    <row r="267" spans="1:15" hidden="1" outlineLevel="2" x14ac:dyDescent="0.25">
      <c r="A267" s="44" t="s">
        <v>239</v>
      </c>
      <c r="B267" s="85" t="str">
        <f t="shared" ref="B267:B268" si="287">A267&amp;"_N2"</f>
        <v>015_N2</v>
      </c>
      <c r="C267" s="163" t="s">
        <v>2255</v>
      </c>
      <c r="D267" s="4" t="s">
        <v>8</v>
      </c>
      <c r="E267" s="161">
        <v>0</v>
      </c>
      <c r="F267" s="161">
        <v>0</v>
      </c>
      <c r="G267" s="4">
        <v>1</v>
      </c>
      <c r="H267" s="161">
        <v>0</v>
      </c>
      <c r="I267" s="4">
        <v>1</v>
      </c>
      <c r="J267" s="164">
        <f>APUs!G14544</f>
        <v>331567844</v>
      </c>
      <c r="K267" s="5">
        <f t="shared" ref="K267:K269" si="288">$J267*E267</f>
        <v>0</v>
      </c>
      <c r="L267" s="5">
        <f t="shared" ref="L267:L269" si="289">$J267*F267</f>
        <v>0</v>
      </c>
      <c r="M267" s="5">
        <f t="shared" ref="M267:M269" si="290">$J267*G267</f>
        <v>331567844</v>
      </c>
      <c r="N267" s="5">
        <f t="shared" ref="N267:N269" si="291">$J267*H267</f>
        <v>0</v>
      </c>
      <c r="O267" s="5">
        <f t="shared" ref="O267:O269" si="292">$J267*I267</f>
        <v>331567844</v>
      </c>
    </row>
    <row r="268" spans="1:15" hidden="1" outlineLevel="2" x14ac:dyDescent="0.25">
      <c r="A268" s="44" t="s">
        <v>240</v>
      </c>
      <c r="B268" s="85" t="str">
        <f t="shared" si="287"/>
        <v>016_N2</v>
      </c>
      <c r="C268" s="163" t="s">
        <v>2256</v>
      </c>
      <c r="D268" s="4" t="s">
        <v>8</v>
      </c>
      <c r="E268" s="161">
        <v>0</v>
      </c>
      <c r="F268" s="161">
        <v>0</v>
      </c>
      <c r="G268" s="4">
        <v>3</v>
      </c>
      <c r="H268" s="4">
        <v>3</v>
      </c>
      <c r="I268" s="4">
        <v>3</v>
      </c>
      <c r="J268" s="86">
        <f>APUs!G14607</f>
        <v>331567844</v>
      </c>
      <c r="K268" s="5">
        <f t="shared" si="288"/>
        <v>0</v>
      </c>
      <c r="L268" s="5">
        <f t="shared" si="289"/>
        <v>0</v>
      </c>
      <c r="M268" s="5">
        <f t="shared" si="290"/>
        <v>994703532</v>
      </c>
      <c r="N268" s="5">
        <f t="shared" si="291"/>
        <v>994703532</v>
      </c>
      <c r="O268" s="5">
        <f t="shared" si="292"/>
        <v>994703532</v>
      </c>
    </row>
    <row r="269" spans="1:15" hidden="1" outlineLevel="2" x14ac:dyDescent="0.25">
      <c r="A269" s="44" t="s">
        <v>241</v>
      </c>
      <c r="B269" s="85" t="str">
        <f t="shared" ref="B269:B270" si="293">A269&amp;"_N2"</f>
        <v>017_N2</v>
      </c>
      <c r="C269" s="163" t="s">
        <v>2257</v>
      </c>
      <c r="D269" s="4" t="s">
        <v>8</v>
      </c>
      <c r="E269" s="161">
        <v>0</v>
      </c>
      <c r="F269" s="161">
        <v>0</v>
      </c>
      <c r="G269" s="161">
        <v>0</v>
      </c>
      <c r="H269" s="4">
        <v>1</v>
      </c>
      <c r="I269" s="161">
        <v>0</v>
      </c>
      <c r="J269" s="86">
        <f>APUs!G14669</f>
        <v>396733541</v>
      </c>
      <c r="K269" s="5">
        <f t="shared" si="288"/>
        <v>0</v>
      </c>
      <c r="L269" s="5">
        <f t="shared" si="289"/>
        <v>0</v>
      </c>
      <c r="M269" s="5">
        <f t="shared" si="290"/>
        <v>0</v>
      </c>
      <c r="N269" s="5">
        <f t="shared" si="291"/>
        <v>396733541</v>
      </c>
      <c r="O269" s="5">
        <f t="shared" si="292"/>
        <v>0</v>
      </c>
    </row>
    <row r="270" spans="1:15" hidden="1" outlineLevel="2" x14ac:dyDescent="0.25">
      <c r="A270" s="44" t="s">
        <v>242</v>
      </c>
      <c r="B270" s="85" t="str">
        <f t="shared" si="293"/>
        <v>018_N2</v>
      </c>
      <c r="C270" s="163" t="s">
        <v>1581</v>
      </c>
      <c r="D270" s="4" t="s">
        <v>8</v>
      </c>
      <c r="E270" s="161">
        <v>0</v>
      </c>
      <c r="F270" s="161">
        <v>0</v>
      </c>
      <c r="G270" s="4">
        <v>1</v>
      </c>
      <c r="H270" s="4">
        <v>1</v>
      </c>
      <c r="I270" s="4">
        <v>1</v>
      </c>
      <c r="J270" s="86">
        <f>APUs!G14738</f>
        <v>125924991</v>
      </c>
      <c r="K270" s="5">
        <f t="shared" ref="K270:L270" si="294">$J270*E270</f>
        <v>0</v>
      </c>
      <c r="L270" s="5">
        <f t="shared" si="294"/>
        <v>0</v>
      </c>
      <c r="M270" s="5">
        <f>$J270*G270</f>
        <v>125924991</v>
      </c>
      <c r="N270" s="5">
        <f>$J270*H270</f>
        <v>125924991</v>
      </c>
      <c r="O270" s="5">
        <f>$J270*I270</f>
        <v>125924991</v>
      </c>
    </row>
    <row r="271" spans="1:15" hidden="1" outlineLevel="2" x14ac:dyDescent="0.25">
      <c r="A271" s="44" t="s">
        <v>240</v>
      </c>
      <c r="B271" s="121" t="str">
        <f t="shared" ref="B271" si="295">A271&amp;"_N3"</f>
        <v>016_N3</v>
      </c>
      <c r="C271" s="163" t="s">
        <v>772</v>
      </c>
      <c r="D271" s="4" t="s">
        <v>8</v>
      </c>
      <c r="E271" s="161">
        <v>0</v>
      </c>
      <c r="F271" s="161">
        <v>0</v>
      </c>
      <c r="G271" s="4">
        <v>5</v>
      </c>
      <c r="H271" s="4">
        <v>5</v>
      </c>
      <c r="I271" s="4">
        <v>5</v>
      </c>
      <c r="J271" s="86">
        <f>APUs!G11365</f>
        <v>9602072</v>
      </c>
      <c r="K271" s="5">
        <f t="shared" ref="K271:L271" si="296">E271*$J271</f>
        <v>0</v>
      </c>
      <c r="L271" s="5">
        <f t="shared" si="296"/>
        <v>0</v>
      </c>
      <c r="M271" s="5">
        <f>G271*$J271</f>
        <v>48010360</v>
      </c>
      <c r="N271" s="5">
        <f>H271*$J271</f>
        <v>48010360</v>
      </c>
      <c r="O271" s="5">
        <f>I271*$J271</f>
        <v>48010360</v>
      </c>
    </row>
    <row r="272" spans="1:15" outlineLevel="1" collapsed="1" x14ac:dyDescent="0.25">
      <c r="C272" s="174" t="s">
        <v>109</v>
      </c>
      <c r="D272" s="173"/>
      <c r="E272" s="173"/>
      <c r="F272" s="173"/>
      <c r="G272" s="173"/>
      <c r="H272" s="173"/>
      <c r="I272" s="173"/>
      <c r="J272" s="174"/>
      <c r="K272" s="175">
        <f>SUM(K273:K277)</f>
        <v>396851102</v>
      </c>
      <c r="L272" s="175">
        <f t="shared" ref="L272:O272" si="297">SUM(L273:L277)</f>
        <v>396851102</v>
      </c>
      <c r="M272" s="175">
        <f t="shared" si="297"/>
        <v>87429932</v>
      </c>
      <c r="N272" s="175">
        <f t="shared" si="297"/>
        <v>87429932</v>
      </c>
      <c r="O272" s="175">
        <f t="shared" si="297"/>
        <v>87429932</v>
      </c>
    </row>
    <row r="273" spans="1:15" hidden="1" outlineLevel="2" x14ac:dyDescent="0.25">
      <c r="A273" s="44" t="s">
        <v>244</v>
      </c>
      <c r="B273" s="85" t="str">
        <f t="shared" ref="B273:B277" si="298">A273&amp;"_N2"</f>
        <v>020_N2</v>
      </c>
      <c r="C273" s="163" t="s">
        <v>2308</v>
      </c>
      <c r="D273" s="4" t="s">
        <v>8</v>
      </c>
      <c r="E273" s="4">
        <v>3</v>
      </c>
      <c r="F273" s="4">
        <v>3</v>
      </c>
      <c r="G273" s="161">
        <v>0</v>
      </c>
      <c r="H273" s="161">
        <v>0</v>
      </c>
      <c r="I273" s="161">
        <v>0</v>
      </c>
      <c r="J273" s="86">
        <f>APUs!G14805</f>
        <v>21013638</v>
      </c>
      <c r="K273" s="86">
        <f t="shared" ref="K273:L277" si="299">E273*$J273</f>
        <v>63040914</v>
      </c>
      <c r="L273" s="86">
        <f t="shared" si="299"/>
        <v>63040914</v>
      </c>
      <c r="M273" s="86">
        <f t="shared" ref="M273:O277" si="300">G273*$J273</f>
        <v>0</v>
      </c>
      <c r="N273" s="86">
        <f t="shared" si="300"/>
        <v>0</v>
      </c>
      <c r="O273" s="86">
        <f t="shared" si="300"/>
        <v>0</v>
      </c>
    </row>
    <row r="274" spans="1:15" hidden="1" outlineLevel="2" x14ac:dyDescent="0.25">
      <c r="A274" s="44" t="s">
        <v>245</v>
      </c>
      <c r="B274" s="85" t="str">
        <f t="shared" si="298"/>
        <v>021_N2</v>
      </c>
      <c r="C274" s="163" t="s">
        <v>2309</v>
      </c>
      <c r="D274" s="4" t="s">
        <v>8</v>
      </c>
      <c r="E274" s="4">
        <v>9</v>
      </c>
      <c r="F274" s="4">
        <v>9</v>
      </c>
      <c r="G274" s="161">
        <v>0</v>
      </c>
      <c r="H274" s="161">
        <v>0</v>
      </c>
      <c r="I274" s="161">
        <v>0</v>
      </c>
      <c r="J274" s="86">
        <f>APUs!G14873</f>
        <v>21013638</v>
      </c>
      <c r="K274" s="86">
        <f t="shared" si="299"/>
        <v>189122742</v>
      </c>
      <c r="L274" s="86">
        <f t="shared" si="299"/>
        <v>189122742</v>
      </c>
      <c r="M274" s="86">
        <f t="shared" si="300"/>
        <v>0</v>
      </c>
      <c r="N274" s="86">
        <f t="shared" si="300"/>
        <v>0</v>
      </c>
      <c r="O274" s="86">
        <f t="shared" si="300"/>
        <v>0</v>
      </c>
    </row>
    <row r="275" spans="1:15" hidden="1" outlineLevel="2" x14ac:dyDescent="0.25">
      <c r="A275" s="44" t="s">
        <v>246</v>
      </c>
      <c r="B275" s="85" t="str">
        <f t="shared" si="298"/>
        <v>022_N2</v>
      </c>
      <c r="C275" s="163" t="s">
        <v>2310</v>
      </c>
      <c r="D275" s="4" t="s">
        <v>8</v>
      </c>
      <c r="E275" s="4">
        <v>3</v>
      </c>
      <c r="F275" s="4">
        <v>3</v>
      </c>
      <c r="G275" s="161">
        <v>0</v>
      </c>
      <c r="H275" s="161">
        <v>0</v>
      </c>
      <c r="I275" s="161">
        <v>0</v>
      </c>
      <c r="J275" s="86">
        <f>APUs!G14945</f>
        <v>19085838</v>
      </c>
      <c r="K275" s="86">
        <f t="shared" si="299"/>
        <v>57257514</v>
      </c>
      <c r="L275" s="86">
        <f t="shared" si="299"/>
        <v>57257514</v>
      </c>
      <c r="M275" s="86">
        <f t="shared" si="300"/>
        <v>0</v>
      </c>
      <c r="N275" s="86">
        <f t="shared" si="300"/>
        <v>0</v>
      </c>
      <c r="O275" s="86">
        <f t="shared" si="300"/>
        <v>0</v>
      </c>
    </row>
    <row r="276" spans="1:15" hidden="1" outlineLevel="2" x14ac:dyDescent="0.25">
      <c r="A276" s="44" t="s">
        <v>247</v>
      </c>
      <c r="B276" s="85" t="str">
        <f t="shared" si="298"/>
        <v>023_N2</v>
      </c>
      <c r="C276" s="163" t="s">
        <v>1509</v>
      </c>
      <c r="D276" s="4" t="s">
        <v>8</v>
      </c>
      <c r="E276" s="4">
        <v>4</v>
      </c>
      <c r="F276" s="4">
        <v>4</v>
      </c>
      <c r="G276" s="4">
        <v>4</v>
      </c>
      <c r="H276" s="4">
        <v>4</v>
      </c>
      <c r="I276" s="4">
        <v>4</v>
      </c>
      <c r="J276" s="86">
        <f>APUs!G15014</f>
        <v>11866301</v>
      </c>
      <c r="K276" s="86">
        <f t="shared" si="299"/>
        <v>47465204</v>
      </c>
      <c r="L276" s="86">
        <f t="shared" si="299"/>
        <v>47465204</v>
      </c>
      <c r="M276" s="86">
        <f t="shared" si="300"/>
        <v>47465204</v>
      </c>
      <c r="N276" s="86">
        <f t="shared" si="300"/>
        <v>47465204</v>
      </c>
      <c r="O276" s="86">
        <f t="shared" si="300"/>
        <v>47465204</v>
      </c>
    </row>
    <row r="277" spans="1:15" s="2" customFormat="1" hidden="1" outlineLevel="2" x14ac:dyDescent="0.25">
      <c r="A277" s="44" t="s">
        <v>248</v>
      </c>
      <c r="B277" s="85" t="str">
        <f t="shared" si="298"/>
        <v>024_N2</v>
      </c>
      <c r="C277" s="163" t="s">
        <v>1826</v>
      </c>
      <c r="D277" s="4" t="s">
        <v>8</v>
      </c>
      <c r="E277" s="4">
        <f>4*2</f>
        <v>8</v>
      </c>
      <c r="F277" s="4">
        <f>4*2</f>
        <v>8</v>
      </c>
      <c r="G277" s="4">
        <f>4*2</f>
        <v>8</v>
      </c>
      <c r="H277" s="4">
        <v>8</v>
      </c>
      <c r="I277" s="4">
        <v>8</v>
      </c>
      <c r="J277" s="123">
        <f>APUs!G15080</f>
        <v>4995591</v>
      </c>
      <c r="K277" s="86">
        <f t="shared" si="299"/>
        <v>39964728</v>
      </c>
      <c r="L277" s="86">
        <f t="shared" si="299"/>
        <v>39964728</v>
      </c>
      <c r="M277" s="86">
        <f t="shared" si="300"/>
        <v>39964728</v>
      </c>
      <c r="N277" s="86">
        <f t="shared" si="300"/>
        <v>39964728</v>
      </c>
      <c r="O277" s="86">
        <f t="shared" si="300"/>
        <v>39964728</v>
      </c>
    </row>
    <row r="278" spans="1:15" s="2" customFormat="1" outlineLevel="1" collapsed="1" x14ac:dyDescent="0.25">
      <c r="A278" s="44"/>
      <c r="B278" s="85"/>
      <c r="C278" s="174" t="s">
        <v>2311</v>
      </c>
      <c r="D278" s="173"/>
      <c r="E278" s="173"/>
      <c r="F278" s="174"/>
      <c r="G278" s="174"/>
      <c r="H278" s="174"/>
      <c r="I278" s="174"/>
      <c r="J278" s="174"/>
      <c r="K278" s="175">
        <f>SUM(K279:K281)</f>
        <v>151397049</v>
      </c>
      <c r="L278" s="175">
        <f t="shared" ref="L278:O278" si="301">SUM(L279:L281)</f>
        <v>151397049</v>
      </c>
      <c r="M278" s="175">
        <f t="shared" si="301"/>
        <v>0</v>
      </c>
      <c r="N278" s="175">
        <f t="shared" si="301"/>
        <v>0</v>
      </c>
      <c r="O278" s="175">
        <f t="shared" si="301"/>
        <v>0</v>
      </c>
    </row>
    <row r="279" spans="1:15" s="2" customFormat="1" hidden="1" outlineLevel="2" x14ac:dyDescent="0.25">
      <c r="A279" s="44" t="s">
        <v>249</v>
      </c>
      <c r="B279" s="85" t="str">
        <f t="shared" ref="B279" si="302">A279&amp;"_N2"</f>
        <v>025_N2</v>
      </c>
      <c r="C279" s="165" t="s">
        <v>2312</v>
      </c>
      <c r="D279" s="4" t="s">
        <v>5</v>
      </c>
      <c r="E279" s="4">
        <v>1</v>
      </c>
      <c r="F279" s="4">
        <v>1</v>
      </c>
      <c r="G279" s="161">
        <v>0</v>
      </c>
      <c r="H279" s="161">
        <v>0</v>
      </c>
      <c r="I279" s="161">
        <v>0</v>
      </c>
      <c r="J279" s="123">
        <f>APUs!G15149</f>
        <v>12437343</v>
      </c>
      <c r="K279" s="86">
        <f t="shared" ref="K279:K281" si="303">E279*$J279</f>
        <v>12437343</v>
      </c>
      <c r="L279" s="86">
        <f t="shared" ref="L279:L281" si="304">F279*$J279</f>
        <v>12437343</v>
      </c>
      <c r="M279" s="86">
        <f t="shared" ref="M279:M281" si="305">G279*$J279</f>
        <v>0</v>
      </c>
      <c r="N279" s="86">
        <f t="shared" ref="N279:N281" si="306">H279*$J279</f>
        <v>0</v>
      </c>
      <c r="O279" s="86">
        <f t="shared" ref="O279:O281" si="307">I279*$J279</f>
        <v>0</v>
      </c>
    </row>
    <row r="280" spans="1:15" s="2" customFormat="1" hidden="1" outlineLevel="2" x14ac:dyDescent="0.25">
      <c r="A280" s="44" t="s">
        <v>259</v>
      </c>
      <c r="B280" s="121" t="str">
        <f t="shared" ref="B280:B281" si="308">A280&amp;"_N3"</f>
        <v>035_N3</v>
      </c>
      <c r="C280" s="165" t="s">
        <v>2313</v>
      </c>
      <c r="D280" s="4" t="s">
        <v>5</v>
      </c>
      <c r="E280" s="4">
        <v>3</v>
      </c>
      <c r="F280" s="4">
        <v>3</v>
      </c>
      <c r="G280" s="161">
        <v>0</v>
      </c>
      <c r="H280" s="161">
        <v>0</v>
      </c>
      <c r="I280" s="161">
        <v>0</v>
      </c>
      <c r="J280" s="123">
        <f>APUs!G12567</f>
        <v>28331598</v>
      </c>
      <c r="K280" s="86">
        <f t="shared" si="303"/>
        <v>84994794</v>
      </c>
      <c r="L280" s="86">
        <f t="shared" si="304"/>
        <v>84994794</v>
      </c>
      <c r="M280" s="86">
        <f t="shared" si="305"/>
        <v>0</v>
      </c>
      <c r="N280" s="86">
        <f t="shared" si="306"/>
        <v>0</v>
      </c>
      <c r="O280" s="86">
        <f t="shared" si="307"/>
        <v>0</v>
      </c>
    </row>
    <row r="281" spans="1:15" s="2" customFormat="1" hidden="1" outlineLevel="2" x14ac:dyDescent="0.25">
      <c r="A281" s="44" t="s">
        <v>260</v>
      </c>
      <c r="B281" s="121" t="str">
        <f t="shared" si="308"/>
        <v>036_N3</v>
      </c>
      <c r="C281" s="165" t="s">
        <v>2314</v>
      </c>
      <c r="D281" s="4" t="s">
        <v>5</v>
      </c>
      <c r="E281" s="4">
        <v>1</v>
      </c>
      <c r="F281" s="4">
        <v>1</v>
      </c>
      <c r="G281" s="161">
        <v>0</v>
      </c>
      <c r="H281" s="161">
        <v>0</v>
      </c>
      <c r="I281" s="161">
        <v>0</v>
      </c>
      <c r="J281" s="123">
        <f>APUs!G12635</f>
        <v>53964912</v>
      </c>
      <c r="K281" s="86">
        <f t="shared" si="303"/>
        <v>53964912</v>
      </c>
      <c r="L281" s="86">
        <f t="shared" si="304"/>
        <v>53964912</v>
      </c>
      <c r="M281" s="86">
        <f t="shared" si="305"/>
        <v>0</v>
      </c>
      <c r="N281" s="86">
        <f t="shared" si="306"/>
        <v>0</v>
      </c>
      <c r="O281" s="86">
        <f t="shared" si="307"/>
        <v>0</v>
      </c>
    </row>
    <row r="282" spans="1:15" s="2" customFormat="1" outlineLevel="1" collapsed="1" x14ac:dyDescent="0.25">
      <c r="A282" s="44"/>
      <c r="B282" s="31"/>
      <c r="C282" s="172" t="s">
        <v>2416</v>
      </c>
      <c r="D282" s="173"/>
      <c r="E282" s="173"/>
      <c r="F282" s="173"/>
      <c r="G282" s="173"/>
      <c r="H282" s="173"/>
      <c r="I282" s="173"/>
      <c r="J282" s="174"/>
      <c r="K282" s="175">
        <f>SUM(K283:K300)</f>
        <v>259774887</v>
      </c>
      <c r="L282" s="175">
        <f>SUM(L283:L300)</f>
        <v>259774887</v>
      </c>
      <c r="M282" s="175">
        <f>SUM(M283:M300)</f>
        <v>393379393</v>
      </c>
      <c r="N282" s="175">
        <f>SUM(N283:N300)</f>
        <v>567878099</v>
      </c>
      <c r="O282" s="175">
        <f>SUM(O283:O300)</f>
        <v>378028860.51666665</v>
      </c>
    </row>
    <row r="283" spans="1:15" hidden="1" outlineLevel="2" x14ac:dyDescent="0.25">
      <c r="A283" s="44" t="s">
        <v>252</v>
      </c>
      <c r="B283" s="85" t="str">
        <f>A283&amp;"_N2"</f>
        <v>028_N2</v>
      </c>
      <c r="C283" s="153" t="s">
        <v>2423</v>
      </c>
      <c r="D283" s="148" t="s">
        <v>108</v>
      </c>
      <c r="E283" s="147">
        <v>0</v>
      </c>
      <c r="F283" s="147">
        <v>0</v>
      </c>
      <c r="G283" s="148">
        <f>120+3*5+4*3</f>
        <v>147</v>
      </c>
      <c r="H283" s="148">
        <f>96+4+3*2+3*5</f>
        <v>121</v>
      </c>
      <c r="I283" s="148">
        <f>90+3*5+3*2*5+1*3*5+2+15</f>
        <v>167</v>
      </c>
      <c r="J283" s="154">
        <f>APUs!G15219</f>
        <v>803361</v>
      </c>
      <c r="K283" s="5">
        <f t="shared" ref="K283:O288" si="309">$J283*E283</f>
        <v>0</v>
      </c>
      <c r="L283" s="5">
        <f t="shared" si="309"/>
        <v>0</v>
      </c>
      <c r="M283" s="5">
        <f t="shared" si="309"/>
        <v>118094067</v>
      </c>
      <c r="N283" s="5">
        <f t="shared" si="309"/>
        <v>97206681</v>
      </c>
      <c r="O283" s="5">
        <f t="shared" si="309"/>
        <v>134161287</v>
      </c>
    </row>
    <row r="284" spans="1:15" hidden="1" outlineLevel="2" x14ac:dyDescent="0.25">
      <c r="A284" s="44" t="s">
        <v>253</v>
      </c>
      <c r="B284" s="85" t="str">
        <f>A284&amp;"_N2"</f>
        <v>029_N2</v>
      </c>
      <c r="C284" s="153" t="s">
        <v>2424</v>
      </c>
      <c r="D284" s="148" t="s">
        <v>108</v>
      </c>
      <c r="E284" s="147">
        <v>0</v>
      </c>
      <c r="F284" s="147">
        <v>0</v>
      </c>
      <c r="G284" s="177">
        <f>98+2*5+2*3*2</f>
        <v>120</v>
      </c>
      <c r="H284" s="177">
        <f>120+2*5*3+8*2*3+8*3*3</f>
        <v>270</v>
      </c>
      <c r="I284" s="180">
        <f>80*2/3+2*5*3+2*8+2*5</f>
        <v>109.33333333333334</v>
      </c>
      <c r="J284" s="154">
        <f>APUs!G15289</f>
        <v>1507091</v>
      </c>
      <c r="K284" s="5">
        <f t="shared" si="309"/>
        <v>0</v>
      </c>
      <c r="L284" s="5">
        <f t="shared" si="309"/>
        <v>0</v>
      </c>
      <c r="M284" s="5">
        <f t="shared" si="309"/>
        <v>180850920</v>
      </c>
      <c r="N284" s="5">
        <f t="shared" si="309"/>
        <v>406914570</v>
      </c>
      <c r="O284" s="5">
        <f t="shared" si="309"/>
        <v>164775282.66666669</v>
      </c>
    </row>
    <row r="285" spans="1:15" hidden="1" outlineLevel="2" x14ac:dyDescent="0.25">
      <c r="A285" s="205" t="s">
        <v>253</v>
      </c>
      <c r="B285" s="206" t="s">
        <v>2909</v>
      </c>
      <c r="C285" s="153" t="s">
        <v>2824</v>
      </c>
      <c r="D285" s="4" t="s">
        <v>114</v>
      </c>
      <c r="E285" s="147">
        <v>0</v>
      </c>
      <c r="F285" s="147">
        <v>0</v>
      </c>
      <c r="G285" s="177">
        <f>250*0.6*1.5</f>
        <v>225</v>
      </c>
      <c r="H285" s="148">
        <f>120*0.6*1.5</f>
        <v>108</v>
      </c>
      <c r="I285" s="180">
        <f>150*0.6*1.5</f>
        <v>135</v>
      </c>
      <c r="J285" s="154">
        <f>APUs!G1928</f>
        <v>38345</v>
      </c>
      <c r="K285" s="5">
        <f t="shared" ref="K285:K286" si="310">$J285*E285</f>
        <v>0</v>
      </c>
      <c r="L285" s="5">
        <f t="shared" ref="L285:L286" si="311">$J285*F285</f>
        <v>0</v>
      </c>
      <c r="M285" s="5">
        <f t="shared" ref="M285:M286" si="312">$J285*G285</f>
        <v>8627625</v>
      </c>
      <c r="N285" s="5">
        <f t="shared" ref="N285:N286" si="313">$J285*H285</f>
        <v>4141260</v>
      </c>
      <c r="O285" s="5">
        <f t="shared" ref="O285:O286" si="314">$J285*I285</f>
        <v>5176575</v>
      </c>
    </row>
    <row r="286" spans="1:15" hidden="1" outlineLevel="2" x14ac:dyDescent="0.25">
      <c r="A286" s="205" t="s">
        <v>270</v>
      </c>
      <c r="B286" s="206" t="s">
        <v>2910</v>
      </c>
      <c r="C286" s="153" t="s">
        <v>2825</v>
      </c>
      <c r="D286" s="4" t="s">
        <v>114</v>
      </c>
      <c r="E286" s="147">
        <v>0</v>
      </c>
      <c r="F286" s="147">
        <v>0</v>
      </c>
      <c r="G286" s="177">
        <f>250*0.6*1.5</f>
        <v>225</v>
      </c>
      <c r="H286" s="148">
        <f>120*0.6*1.5</f>
        <v>108</v>
      </c>
      <c r="I286" s="180">
        <f>150*0.6*1.5</f>
        <v>135</v>
      </c>
      <c r="J286" s="154">
        <f>APUs!G3022</f>
        <v>118227</v>
      </c>
      <c r="K286" s="5">
        <f t="shared" si="310"/>
        <v>0</v>
      </c>
      <c r="L286" s="5">
        <f t="shared" si="311"/>
        <v>0</v>
      </c>
      <c r="M286" s="5">
        <f t="shared" si="312"/>
        <v>26601075</v>
      </c>
      <c r="N286" s="5">
        <f t="shared" si="313"/>
        <v>12768516</v>
      </c>
      <c r="O286" s="5">
        <f t="shared" si="314"/>
        <v>15960645</v>
      </c>
    </row>
    <row r="287" spans="1:15" s="2" customFormat="1" hidden="1" outlineLevel="2" x14ac:dyDescent="0.25">
      <c r="A287" s="205" t="s">
        <v>265</v>
      </c>
      <c r="B287" s="217" t="s">
        <v>2918</v>
      </c>
      <c r="C287" s="192" t="s">
        <v>2419</v>
      </c>
      <c r="D287" s="181" t="s">
        <v>108</v>
      </c>
      <c r="E287" s="155">
        <v>0</v>
      </c>
      <c r="F287" s="155">
        <v>0</v>
      </c>
      <c r="G287" s="149">
        <f>160+20</f>
        <v>180</v>
      </c>
      <c r="H287" s="149">
        <f>80*3/2</f>
        <v>120</v>
      </c>
      <c r="I287" s="149">
        <f>188*1.15</f>
        <v>216.2</v>
      </c>
      <c r="J287" s="150">
        <f>APUs!G12853</f>
        <v>96301</v>
      </c>
      <c r="K287" s="86">
        <f t="shared" si="309"/>
        <v>0</v>
      </c>
      <c r="L287" s="86">
        <f t="shared" si="309"/>
        <v>0</v>
      </c>
      <c r="M287" s="86">
        <f t="shared" si="309"/>
        <v>17334180</v>
      </c>
      <c r="N287" s="86">
        <f t="shared" si="309"/>
        <v>11556120</v>
      </c>
      <c r="O287" s="86">
        <f t="shared" si="309"/>
        <v>20820276.199999999</v>
      </c>
    </row>
    <row r="288" spans="1:15" s="2" customFormat="1" hidden="1" outlineLevel="2" x14ac:dyDescent="0.25">
      <c r="A288" s="44" t="s">
        <v>257</v>
      </c>
      <c r="B288" s="85" t="str">
        <f t="shared" ref="B288:B290" si="315">A288&amp;"_N2"</f>
        <v>033_N2</v>
      </c>
      <c r="C288" s="192" t="s">
        <v>2420</v>
      </c>
      <c r="D288" s="181" t="s">
        <v>108</v>
      </c>
      <c r="E288" s="156">
        <v>168</v>
      </c>
      <c r="F288" s="156">
        <v>168</v>
      </c>
      <c r="G288" s="149">
        <f>250</f>
        <v>250</v>
      </c>
      <c r="H288" s="148">
        <f>96</f>
        <v>96</v>
      </c>
      <c r="I288" s="159">
        <f>121*1.15</f>
        <v>139.14999999999998</v>
      </c>
      <c r="J288" s="150">
        <f>APUs!G15358</f>
        <v>42731</v>
      </c>
      <c r="K288" s="86">
        <f t="shared" si="309"/>
        <v>7178808</v>
      </c>
      <c r="L288" s="86">
        <f t="shared" si="309"/>
        <v>7178808</v>
      </c>
      <c r="M288" s="86">
        <f t="shared" si="309"/>
        <v>10682750</v>
      </c>
      <c r="N288" s="86">
        <f t="shared" si="309"/>
        <v>4102176</v>
      </c>
      <c r="O288" s="86">
        <f t="shared" si="309"/>
        <v>5946018.6499999994</v>
      </c>
    </row>
    <row r="289" spans="1:15" s="48" customFormat="1" hidden="1" outlineLevel="2" x14ac:dyDescent="0.25">
      <c r="A289" s="205" t="s">
        <v>266</v>
      </c>
      <c r="B289" s="217" t="s">
        <v>2919</v>
      </c>
      <c r="C289" s="165" t="s">
        <v>1583</v>
      </c>
      <c r="D289" s="122" t="s">
        <v>108</v>
      </c>
      <c r="E289" s="4">
        <v>200</v>
      </c>
      <c r="F289" s="4">
        <v>200</v>
      </c>
      <c r="G289" s="4">
        <f>5*20</f>
        <v>100</v>
      </c>
      <c r="H289" s="4">
        <f t="shared" ref="H289:I289" si="316">5*20</f>
        <v>100</v>
      </c>
      <c r="I289" s="4">
        <f t="shared" si="316"/>
        <v>100</v>
      </c>
      <c r="J289" s="86">
        <f>APUs!G12925</f>
        <v>20250</v>
      </c>
      <c r="K289" s="86">
        <f t="shared" ref="K289:L289" si="317">E289*$J289</f>
        <v>4050000</v>
      </c>
      <c r="L289" s="86">
        <f t="shared" si="317"/>
        <v>4050000</v>
      </c>
      <c r="M289" s="86">
        <f t="shared" ref="M289:O289" si="318">G289*$J289</f>
        <v>2025000</v>
      </c>
      <c r="N289" s="86">
        <f t="shared" si="318"/>
        <v>2025000</v>
      </c>
      <c r="O289" s="86">
        <f t="shared" si="318"/>
        <v>2025000</v>
      </c>
    </row>
    <row r="290" spans="1:15" s="48" customFormat="1" hidden="1" outlineLevel="2" x14ac:dyDescent="0.25">
      <c r="A290" s="44" t="s">
        <v>259</v>
      </c>
      <c r="B290" s="85" t="str">
        <f t="shared" si="315"/>
        <v>035_N2</v>
      </c>
      <c r="C290" s="204" t="s">
        <v>2297</v>
      </c>
      <c r="D290" s="181" t="s">
        <v>108</v>
      </c>
      <c r="E290" s="148">
        <f>(50+15+3)*4*(3+2)</f>
        <v>1360</v>
      </c>
      <c r="F290" s="148">
        <f>(50+15+3)*4*(3+2)</f>
        <v>1360</v>
      </c>
      <c r="G290" s="147">
        <v>0</v>
      </c>
      <c r="H290" s="147">
        <v>0</v>
      </c>
      <c r="I290" s="147">
        <v>0</v>
      </c>
      <c r="J290" s="150">
        <f>APUs!G15426</f>
        <v>64182</v>
      </c>
      <c r="K290" s="86">
        <f t="shared" ref="K290:K299" si="319">E290*$J290</f>
        <v>87287520</v>
      </c>
      <c r="L290" s="86">
        <f t="shared" ref="L290:L299" si="320">F290*$J290</f>
        <v>87287520</v>
      </c>
      <c r="M290" s="86">
        <f t="shared" ref="M290:M299" si="321">G290*$J290</f>
        <v>0</v>
      </c>
      <c r="N290" s="86">
        <f t="shared" ref="N290:N299" si="322">H290*$J290</f>
        <v>0</v>
      </c>
      <c r="O290" s="86">
        <f t="shared" ref="O290:O299" si="323">I290*$J290</f>
        <v>0</v>
      </c>
    </row>
    <row r="291" spans="1:15" s="2" customFormat="1" hidden="1" outlineLevel="2" x14ac:dyDescent="0.25">
      <c r="A291" s="205" t="s">
        <v>269</v>
      </c>
      <c r="B291" s="217" t="s">
        <v>2920</v>
      </c>
      <c r="C291" s="192" t="s">
        <v>2278</v>
      </c>
      <c r="D291" s="181" t="s">
        <v>18</v>
      </c>
      <c r="E291" s="156">
        <v>4</v>
      </c>
      <c r="F291" s="156">
        <v>4</v>
      </c>
      <c r="G291" s="155">
        <v>0</v>
      </c>
      <c r="H291" s="155">
        <v>0</v>
      </c>
      <c r="I291" s="155">
        <v>0</v>
      </c>
      <c r="J291" s="150">
        <f>APUs!G13142</f>
        <v>1061144</v>
      </c>
      <c r="K291" s="86">
        <f>$J291*E291</f>
        <v>4244576</v>
      </c>
      <c r="L291" s="86">
        <f t="shared" ref="L291:O292" si="324">$J291*F291</f>
        <v>4244576</v>
      </c>
      <c r="M291" s="86">
        <f t="shared" si="324"/>
        <v>0</v>
      </c>
      <c r="N291" s="86">
        <f t="shared" si="324"/>
        <v>0</v>
      </c>
      <c r="O291" s="86">
        <f t="shared" si="324"/>
        <v>0</v>
      </c>
    </row>
    <row r="292" spans="1:15" s="2" customFormat="1" hidden="1" outlineLevel="2" x14ac:dyDescent="0.25">
      <c r="A292" s="205" t="s">
        <v>270</v>
      </c>
      <c r="B292" s="217" t="s">
        <v>2921</v>
      </c>
      <c r="C292" s="192" t="s">
        <v>2279</v>
      </c>
      <c r="D292" s="181" t="s">
        <v>18</v>
      </c>
      <c r="E292" s="156">
        <v>1</v>
      </c>
      <c r="F292" s="156">
        <v>1</v>
      </c>
      <c r="G292" s="155">
        <v>0</v>
      </c>
      <c r="H292" s="155">
        <v>0</v>
      </c>
      <c r="I292" s="155">
        <v>0</v>
      </c>
      <c r="J292" s="150">
        <f>APUs!G13216</f>
        <v>1236773</v>
      </c>
      <c r="K292" s="86">
        <f>$J292*E292</f>
        <v>1236773</v>
      </c>
      <c r="L292" s="86">
        <f t="shared" si="324"/>
        <v>1236773</v>
      </c>
      <c r="M292" s="86">
        <f t="shared" si="324"/>
        <v>0</v>
      </c>
      <c r="N292" s="86">
        <f t="shared" si="324"/>
        <v>0</v>
      </c>
      <c r="O292" s="86">
        <f t="shared" si="324"/>
        <v>0</v>
      </c>
    </row>
    <row r="293" spans="1:15" s="48" customFormat="1" hidden="1" outlineLevel="2" x14ac:dyDescent="0.25">
      <c r="A293" s="205" t="s">
        <v>271</v>
      </c>
      <c r="B293" s="217" t="s">
        <v>2922</v>
      </c>
      <c r="C293" s="204" t="s">
        <v>2298</v>
      </c>
      <c r="D293" s="181" t="s">
        <v>108</v>
      </c>
      <c r="E293" s="148">
        <f>(3*3+1*2)*70</f>
        <v>770</v>
      </c>
      <c r="F293" s="148">
        <f>(3*3+1*2)*70</f>
        <v>770</v>
      </c>
      <c r="G293" s="147">
        <v>0</v>
      </c>
      <c r="H293" s="147">
        <v>0</v>
      </c>
      <c r="I293" s="147">
        <v>0</v>
      </c>
      <c r="J293" s="150">
        <f>APUs!G13287</f>
        <v>44227</v>
      </c>
      <c r="K293" s="86">
        <f>E293*$J293</f>
        <v>34054790</v>
      </c>
      <c r="L293" s="86">
        <f>F293*$J293</f>
        <v>34054790</v>
      </c>
      <c r="M293" s="86">
        <f>G293*$J293</f>
        <v>0</v>
      </c>
      <c r="N293" s="86">
        <f>H293*$J293</f>
        <v>0</v>
      </c>
      <c r="O293" s="86">
        <f>I293*$J293</f>
        <v>0</v>
      </c>
    </row>
    <row r="294" spans="1:15" s="48" customFormat="1" hidden="1" outlineLevel="2" x14ac:dyDescent="0.25">
      <c r="A294" s="205" t="s">
        <v>272</v>
      </c>
      <c r="B294" s="217" t="s">
        <v>2923</v>
      </c>
      <c r="C294" s="165" t="s">
        <v>2299</v>
      </c>
      <c r="D294" s="122" t="s">
        <v>108</v>
      </c>
      <c r="E294" s="4">
        <v>40</v>
      </c>
      <c r="F294" s="4">
        <v>40</v>
      </c>
      <c r="G294" s="161">
        <v>0</v>
      </c>
      <c r="H294" s="161">
        <v>0</v>
      </c>
      <c r="I294" s="161">
        <v>0</v>
      </c>
      <c r="J294" s="86">
        <f>APUs!G13358</f>
        <v>219229</v>
      </c>
      <c r="K294" s="86">
        <f t="shared" si="319"/>
        <v>8769160</v>
      </c>
      <c r="L294" s="86">
        <f t="shared" si="320"/>
        <v>8769160</v>
      </c>
      <c r="M294" s="86">
        <f t="shared" si="321"/>
        <v>0</v>
      </c>
      <c r="N294" s="86">
        <f t="shared" si="322"/>
        <v>0</v>
      </c>
      <c r="O294" s="86">
        <f t="shared" si="323"/>
        <v>0</v>
      </c>
    </row>
    <row r="295" spans="1:15" s="48" customFormat="1" hidden="1" outlineLevel="2" x14ac:dyDescent="0.25">
      <c r="A295" s="205" t="s">
        <v>273</v>
      </c>
      <c r="B295" s="217" t="s">
        <v>2924</v>
      </c>
      <c r="C295" s="166" t="s">
        <v>2396</v>
      </c>
      <c r="D295" s="181" t="s">
        <v>108</v>
      </c>
      <c r="E295" s="148">
        <f>(60*4)+(70*4)</f>
        <v>520</v>
      </c>
      <c r="F295" s="148">
        <f>(60*4)+(70*4)</f>
        <v>520</v>
      </c>
      <c r="G295" s="147">
        <v>0</v>
      </c>
      <c r="H295" s="147">
        <v>0</v>
      </c>
      <c r="I295" s="147">
        <v>0</v>
      </c>
      <c r="J295" s="150">
        <f>APUs!G13429</f>
        <v>88830</v>
      </c>
      <c r="K295" s="86"/>
      <c r="L295" s="86"/>
      <c r="M295" s="86"/>
      <c r="N295" s="86"/>
      <c r="O295" s="86"/>
    </row>
    <row r="296" spans="1:15" s="48" customFormat="1" hidden="1" outlineLevel="2" x14ac:dyDescent="0.25">
      <c r="A296" s="205" t="s">
        <v>274</v>
      </c>
      <c r="B296" s="217" t="s">
        <v>2925</v>
      </c>
      <c r="C296" s="166" t="s">
        <v>2413</v>
      </c>
      <c r="D296" s="181" t="s">
        <v>8</v>
      </c>
      <c r="E296" s="148">
        <f>3*4*2+1*3*2</f>
        <v>30</v>
      </c>
      <c r="F296" s="148">
        <f>3*4*2+1*3*2</f>
        <v>30</v>
      </c>
      <c r="G296" s="147">
        <v>0</v>
      </c>
      <c r="H296" s="147">
        <v>0</v>
      </c>
      <c r="I296" s="147">
        <v>0</v>
      </c>
      <c r="J296" s="150">
        <f>APUs!G21798</f>
        <v>138879</v>
      </c>
      <c r="K296" s="86"/>
      <c r="L296" s="86"/>
      <c r="M296" s="86"/>
      <c r="N296" s="86"/>
      <c r="O296" s="86"/>
    </row>
    <row r="297" spans="1:15" s="48" customFormat="1" hidden="1" outlineLevel="2" x14ac:dyDescent="0.25">
      <c r="A297" s="205" t="s">
        <v>275</v>
      </c>
      <c r="B297" s="217" t="s">
        <v>2926</v>
      </c>
      <c r="C297" s="165" t="s">
        <v>1595</v>
      </c>
      <c r="D297" s="122" t="s">
        <v>108</v>
      </c>
      <c r="E297" s="4">
        <f>(60*4)+(70*4)</f>
        <v>520</v>
      </c>
      <c r="F297" s="4">
        <f>(60*4)+(70*4)</f>
        <v>520</v>
      </c>
      <c r="G297" s="4">
        <f>20+(5*6)</f>
        <v>50</v>
      </c>
      <c r="H297" s="4">
        <f>20+(5*6)</f>
        <v>50</v>
      </c>
      <c r="I297" s="4">
        <f>20+(5*6)</f>
        <v>50</v>
      </c>
      <c r="J297" s="86">
        <f>APUs!G13573</f>
        <v>202320</v>
      </c>
      <c r="K297" s="86">
        <f t="shared" si="319"/>
        <v>105206400</v>
      </c>
      <c r="L297" s="86">
        <f t="shared" si="320"/>
        <v>105206400</v>
      </c>
      <c r="M297" s="86">
        <f t="shared" si="321"/>
        <v>10116000</v>
      </c>
      <c r="N297" s="86">
        <f t="shared" si="322"/>
        <v>10116000</v>
      </c>
      <c r="O297" s="86">
        <f t="shared" si="323"/>
        <v>10116000</v>
      </c>
    </row>
    <row r="298" spans="1:15" s="48" customFormat="1" hidden="1" outlineLevel="2" x14ac:dyDescent="0.25">
      <c r="A298" s="205" t="s">
        <v>276</v>
      </c>
      <c r="B298" s="217" t="s">
        <v>2927</v>
      </c>
      <c r="C298" s="165" t="s">
        <v>2427</v>
      </c>
      <c r="D298" s="122" t="s">
        <v>108</v>
      </c>
      <c r="E298" s="161">
        <v>0</v>
      </c>
      <c r="F298" s="161">
        <v>0</v>
      </c>
      <c r="G298" s="4">
        <f>25*4*2+3*4*1</f>
        <v>212</v>
      </c>
      <c r="H298" s="4">
        <f>25*4*2+3*4*1</f>
        <v>212</v>
      </c>
      <c r="I298" s="4">
        <f>25*4*2+3*4*1</f>
        <v>212</v>
      </c>
      <c r="J298" s="86">
        <f>APUs!G13644</f>
        <v>48204</v>
      </c>
      <c r="K298" s="86">
        <f t="shared" si="319"/>
        <v>0</v>
      </c>
      <c r="L298" s="86">
        <f t="shared" si="320"/>
        <v>0</v>
      </c>
      <c r="M298" s="86">
        <f t="shared" si="321"/>
        <v>10219248</v>
      </c>
      <c r="N298" s="86">
        <f t="shared" si="322"/>
        <v>10219248</v>
      </c>
      <c r="O298" s="86">
        <f t="shared" si="323"/>
        <v>10219248</v>
      </c>
    </row>
    <row r="299" spans="1:15" s="2" customFormat="1" hidden="1" outlineLevel="2" x14ac:dyDescent="0.25">
      <c r="A299" s="205" t="s">
        <v>277</v>
      </c>
      <c r="B299" s="217" t="s">
        <v>2928</v>
      </c>
      <c r="C299" s="165" t="s">
        <v>1685</v>
      </c>
      <c r="D299" s="4" t="s">
        <v>8</v>
      </c>
      <c r="E299" s="4">
        <v>8</v>
      </c>
      <c r="F299" s="4">
        <v>8</v>
      </c>
      <c r="G299" s="4">
        <f>4*2</f>
        <v>8</v>
      </c>
      <c r="H299" s="4">
        <f t="shared" ref="H299:I299" si="325">4*2</f>
        <v>8</v>
      </c>
      <c r="I299" s="4">
        <f t="shared" si="325"/>
        <v>8</v>
      </c>
      <c r="J299" s="86">
        <f>APUs!G13716</f>
        <v>137791</v>
      </c>
      <c r="K299" s="86">
        <f t="shared" si="319"/>
        <v>1102328</v>
      </c>
      <c r="L299" s="86">
        <f t="shared" si="320"/>
        <v>1102328</v>
      </c>
      <c r="M299" s="86">
        <f t="shared" si="321"/>
        <v>1102328</v>
      </c>
      <c r="N299" s="86">
        <f t="shared" si="322"/>
        <v>1102328</v>
      </c>
      <c r="O299" s="86">
        <f t="shared" si="323"/>
        <v>1102328</v>
      </c>
    </row>
    <row r="300" spans="1:15" s="48" customFormat="1" hidden="1" outlineLevel="2" x14ac:dyDescent="0.25">
      <c r="A300" s="205" t="s">
        <v>278</v>
      </c>
      <c r="B300" s="217" t="s">
        <v>2929</v>
      </c>
      <c r="C300" s="165" t="s">
        <v>2398</v>
      </c>
      <c r="D300" s="4" t="s">
        <v>8</v>
      </c>
      <c r="E300" s="4">
        <f>(4*7*3)*2+(1*5*3)*6</f>
        <v>258</v>
      </c>
      <c r="F300" s="4">
        <f>(4*7*3)*2+(1*5*3)*6</f>
        <v>258</v>
      </c>
      <c r="G300" s="4">
        <f>(5*7*3)*2+(1*5*3)*6</f>
        <v>300</v>
      </c>
      <c r="H300" s="4">
        <f t="shared" ref="H300:I300" si="326">(5*7*3)*2+(1*5*3)*6</f>
        <v>300</v>
      </c>
      <c r="I300" s="4">
        <f t="shared" si="326"/>
        <v>300</v>
      </c>
      <c r="J300" s="86">
        <f>APUs!G13788</f>
        <v>25754</v>
      </c>
      <c r="K300" s="86">
        <f>E300*$J300</f>
        <v>6644532</v>
      </c>
      <c r="L300" s="86">
        <f>F300*$J300</f>
        <v>6644532</v>
      </c>
      <c r="M300" s="86">
        <f>G300*$J300</f>
        <v>7726200</v>
      </c>
      <c r="N300" s="86">
        <f>H300*$J300</f>
        <v>7726200</v>
      </c>
      <c r="O300" s="86">
        <f>I300*$J300</f>
        <v>7726200</v>
      </c>
    </row>
    <row r="301" spans="1:15" s="2" customFormat="1" outlineLevel="1" collapsed="1" x14ac:dyDescent="0.25">
      <c r="A301" s="30"/>
      <c r="B301" s="31"/>
      <c r="C301" s="165"/>
      <c r="D301" s="179"/>
      <c r="E301" s="4"/>
      <c r="F301" s="4"/>
      <c r="G301" s="4"/>
      <c r="H301" s="4"/>
      <c r="I301" s="4"/>
      <c r="J301" s="5"/>
      <c r="K301" s="5"/>
      <c r="L301" s="5"/>
      <c r="M301" s="5"/>
      <c r="N301" s="5"/>
      <c r="O301" s="5"/>
    </row>
    <row r="302" spans="1:15" x14ac:dyDescent="0.25">
      <c r="A302" s="23"/>
      <c r="B302" s="23"/>
      <c r="C302" s="8" t="s">
        <v>24</v>
      </c>
      <c r="D302" s="9"/>
      <c r="E302" s="9"/>
      <c r="F302" s="9"/>
      <c r="G302" s="9"/>
      <c r="H302" s="9"/>
      <c r="I302" s="9"/>
      <c r="J302" s="10"/>
      <c r="K302" s="84">
        <f t="shared" ref="K302:L302" si="327">K303+K315</f>
        <v>209670844</v>
      </c>
      <c r="L302" s="84">
        <f t="shared" si="327"/>
        <v>209482040</v>
      </c>
      <c r="M302" s="84">
        <f>M303+M315</f>
        <v>209670844</v>
      </c>
      <c r="N302" s="84">
        <f>N303+N315</f>
        <v>209670844</v>
      </c>
      <c r="O302" s="84">
        <f>O303+O315</f>
        <v>209670844</v>
      </c>
    </row>
    <row r="303" spans="1:15" outlineLevel="1" x14ac:dyDescent="0.25">
      <c r="C303" s="172" t="s">
        <v>187</v>
      </c>
      <c r="D303" s="173"/>
      <c r="E303" s="173"/>
      <c r="F303" s="173"/>
      <c r="G303" s="173"/>
      <c r="H303" s="173"/>
      <c r="I303" s="173"/>
      <c r="J303" s="174"/>
      <c r="K303" s="175">
        <f>SUM(K304:K314)</f>
        <v>197947504</v>
      </c>
      <c r="L303" s="175">
        <f t="shared" ref="L303:O303" si="328">SUM(L304:L314)</f>
        <v>197947504</v>
      </c>
      <c r="M303" s="175">
        <f t="shared" si="328"/>
        <v>197947504</v>
      </c>
      <c r="N303" s="175">
        <f t="shared" si="328"/>
        <v>197947504</v>
      </c>
      <c r="O303" s="175">
        <f t="shared" si="328"/>
        <v>197947504</v>
      </c>
    </row>
    <row r="304" spans="1:15" hidden="1" outlineLevel="2" x14ac:dyDescent="0.25">
      <c r="A304" s="44" t="s">
        <v>226</v>
      </c>
      <c r="B304" s="44" t="str">
        <f t="shared" ref="B304:B306" si="329">A304&amp;"_SC"</f>
        <v>001_SC</v>
      </c>
      <c r="C304" s="153" t="s">
        <v>2404</v>
      </c>
      <c r="D304" s="127" t="s">
        <v>8</v>
      </c>
      <c r="E304" s="127">
        <v>1</v>
      </c>
      <c r="F304" s="127">
        <v>1</v>
      </c>
      <c r="G304" s="4">
        <v>1</v>
      </c>
      <c r="H304" s="4">
        <v>1</v>
      </c>
      <c r="I304" s="4">
        <v>1</v>
      </c>
      <c r="J304" s="86">
        <f>APUs!G15500</f>
        <v>405602</v>
      </c>
      <c r="K304" s="86">
        <f t="shared" ref="K304" si="330">$J304*E304</f>
        <v>405602</v>
      </c>
      <c r="L304" s="86">
        <f t="shared" ref="L304" si="331">$J304*F304</f>
        <v>405602</v>
      </c>
      <c r="M304" s="86">
        <f t="shared" ref="M304" si="332">$J304*G304</f>
        <v>405602</v>
      </c>
      <c r="N304" s="86">
        <f t="shared" ref="N304" si="333">$J304*H304</f>
        <v>405602</v>
      </c>
      <c r="O304" s="86">
        <f t="shared" ref="O304" si="334">$J304*I304</f>
        <v>405602</v>
      </c>
    </row>
    <row r="305" spans="1:15" hidden="1" outlineLevel="2" x14ac:dyDescent="0.25">
      <c r="A305" s="44" t="s">
        <v>227</v>
      </c>
      <c r="B305" s="44" t="str">
        <f t="shared" si="329"/>
        <v>002_SC</v>
      </c>
      <c r="C305" s="162" t="s">
        <v>1593</v>
      </c>
      <c r="D305" s="7" t="s">
        <v>8</v>
      </c>
      <c r="E305" s="4">
        <v>1</v>
      </c>
      <c r="F305" s="4">
        <v>1</v>
      </c>
      <c r="G305" s="4">
        <v>1</v>
      </c>
      <c r="H305" s="4">
        <v>1</v>
      </c>
      <c r="I305" s="4">
        <v>1</v>
      </c>
      <c r="J305" s="86">
        <f>APUs!G15571</f>
        <v>11735393</v>
      </c>
      <c r="K305" s="86">
        <f t="shared" ref="K305:L314" si="335">$J305*E305</f>
        <v>11735393</v>
      </c>
      <c r="L305" s="86">
        <f t="shared" si="335"/>
        <v>11735393</v>
      </c>
      <c r="M305" s="86">
        <f t="shared" ref="M305:M314" si="336">$J305*G305</f>
        <v>11735393</v>
      </c>
      <c r="N305" s="86">
        <f t="shared" ref="N305:N314" si="337">$J305*H305</f>
        <v>11735393</v>
      </c>
      <c r="O305" s="86">
        <f t="shared" ref="O305:O314" si="338">$J305*I305</f>
        <v>11735393</v>
      </c>
    </row>
    <row r="306" spans="1:15" hidden="1" outlineLevel="2" x14ac:dyDescent="0.25">
      <c r="A306" s="44" t="s">
        <v>228</v>
      </c>
      <c r="B306" s="44" t="str">
        <f t="shared" si="329"/>
        <v>003_SC</v>
      </c>
      <c r="C306" s="162" t="s">
        <v>191</v>
      </c>
      <c r="D306" s="4" t="s">
        <v>8</v>
      </c>
      <c r="E306" s="4">
        <v>1</v>
      </c>
      <c r="F306" s="4">
        <v>1</v>
      </c>
      <c r="G306" s="4">
        <v>1</v>
      </c>
      <c r="H306" s="4">
        <v>1</v>
      </c>
      <c r="I306" s="4">
        <v>1</v>
      </c>
      <c r="J306" s="86">
        <f>APUs!G15643</f>
        <v>23029244</v>
      </c>
      <c r="K306" s="86">
        <f t="shared" si="335"/>
        <v>23029244</v>
      </c>
      <c r="L306" s="86">
        <f t="shared" si="335"/>
        <v>23029244</v>
      </c>
      <c r="M306" s="86">
        <f t="shared" si="336"/>
        <v>23029244</v>
      </c>
      <c r="N306" s="86">
        <f t="shared" si="337"/>
        <v>23029244</v>
      </c>
      <c r="O306" s="86">
        <f t="shared" si="338"/>
        <v>23029244</v>
      </c>
    </row>
    <row r="307" spans="1:15" hidden="1" outlineLevel="2" x14ac:dyDescent="0.25">
      <c r="A307" s="44" t="s">
        <v>229</v>
      </c>
      <c r="B307" s="44" t="str">
        <f t="shared" ref="B307:B314" si="339">A307&amp;"_SC"</f>
        <v>004_SC</v>
      </c>
      <c r="C307" s="162" t="s">
        <v>2244</v>
      </c>
      <c r="D307" s="4" t="s">
        <v>8</v>
      </c>
      <c r="E307" s="4">
        <v>1</v>
      </c>
      <c r="F307" s="4">
        <v>1</v>
      </c>
      <c r="G307" s="4">
        <v>1</v>
      </c>
      <c r="H307" s="4">
        <v>1</v>
      </c>
      <c r="I307" s="4">
        <v>1</v>
      </c>
      <c r="J307" s="86">
        <f>APUs!G15715</f>
        <v>19831244</v>
      </c>
      <c r="K307" s="86">
        <f t="shared" si="335"/>
        <v>19831244</v>
      </c>
      <c r="L307" s="86">
        <f t="shared" si="335"/>
        <v>19831244</v>
      </c>
      <c r="M307" s="86">
        <f t="shared" si="336"/>
        <v>19831244</v>
      </c>
      <c r="N307" s="86">
        <f t="shared" si="337"/>
        <v>19831244</v>
      </c>
      <c r="O307" s="86">
        <f t="shared" si="338"/>
        <v>19831244</v>
      </c>
    </row>
    <row r="308" spans="1:15" hidden="1" outlineLevel="2" x14ac:dyDescent="0.25">
      <c r="A308" s="44" t="s">
        <v>230</v>
      </c>
      <c r="B308" s="44" t="str">
        <f t="shared" si="339"/>
        <v>005_SC</v>
      </c>
      <c r="C308" s="162" t="s">
        <v>2245</v>
      </c>
      <c r="D308" s="4" t="s">
        <v>8</v>
      </c>
      <c r="E308" s="4">
        <v>2</v>
      </c>
      <c r="F308" s="4">
        <v>2</v>
      </c>
      <c r="G308" s="4">
        <v>2</v>
      </c>
      <c r="H308" s="4">
        <v>2</v>
      </c>
      <c r="I308" s="4">
        <v>2</v>
      </c>
      <c r="J308" s="86">
        <f>APUs!G15783</f>
        <v>27178844</v>
      </c>
      <c r="K308" s="86">
        <f t="shared" si="335"/>
        <v>54357688</v>
      </c>
      <c r="L308" s="86">
        <f t="shared" si="335"/>
        <v>54357688</v>
      </c>
      <c r="M308" s="86">
        <f t="shared" si="336"/>
        <v>54357688</v>
      </c>
      <c r="N308" s="86">
        <f t="shared" si="337"/>
        <v>54357688</v>
      </c>
      <c r="O308" s="86">
        <f t="shared" si="338"/>
        <v>54357688</v>
      </c>
    </row>
    <row r="309" spans="1:15" hidden="1" outlineLevel="2" x14ac:dyDescent="0.25">
      <c r="A309" s="44" t="s">
        <v>231</v>
      </c>
      <c r="B309" s="44" t="str">
        <f t="shared" si="339"/>
        <v>006_SC</v>
      </c>
      <c r="C309" s="162" t="s">
        <v>1592</v>
      </c>
      <c r="D309" s="4" t="s">
        <v>8</v>
      </c>
      <c r="E309" s="4">
        <v>1</v>
      </c>
      <c r="F309" s="4">
        <v>1</v>
      </c>
      <c r="G309" s="4">
        <v>1</v>
      </c>
      <c r="H309" s="4">
        <v>1</v>
      </c>
      <c r="I309" s="4">
        <v>1</v>
      </c>
      <c r="J309" s="86">
        <f>APUs!G15855</f>
        <v>7092027</v>
      </c>
      <c r="K309" s="86">
        <f t="shared" si="335"/>
        <v>7092027</v>
      </c>
      <c r="L309" s="86">
        <f t="shared" si="335"/>
        <v>7092027</v>
      </c>
      <c r="M309" s="86">
        <f t="shared" si="336"/>
        <v>7092027</v>
      </c>
      <c r="N309" s="86">
        <f t="shared" si="337"/>
        <v>7092027</v>
      </c>
      <c r="O309" s="86">
        <f t="shared" si="338"/>
        <v>7092027</v>
      </c>
    </row>
    <row r="310" spans="1:15" hidden="1" outlineLevel="2" x14ac:dyDescent="0.25">
      <c r="A310" s="44" t="s">
        <v>232</v>
      </c>
      <c r="B310" s="44" t="str">
        <f t="shared" si="339"/>
        <v>007_SC</v>
      </c>
      <c r="C310" s="162" t="s">
        <v>1188</v>
      </c>
      <c r="D310" s="4" t="s">
        <v>8</v>
      </c>
      <c r="E310" s="4">
        <v>1</v>
      </c>
      <c r="F310" s="4">
        <v>1</v>
      </c>
      <c r="G310" s="4">
        <v>1</v>
      </c>
      <c r="H310" s="4">
        <v>1</v>
      </c>
      <c r="I310" s="4">
        <v>1</v>
      </c>
      <c r="J310" s="86">
        <f>APUs!G15922</f>
        <v>11237635</v>
      </c>
      <c r="K310" s="86">
        <f t="shared" si="335"/>
        <v>11237635</v>
      </c>
      <c r="L310" s="86">
        <f t="shared" si="335"/>
        <v>11237635</v>
      </c>
      <c r="M310" s="86">
        <f t="shared" si="336"/>
        <v>11237635</v>
      </c>
      <c r="N310" s="86">
        <f t="shared" si="337"/>
        <v>11237635</v>
      </c>
      <c r="O310" s="86">
        <f t="shared" si="338"/>
        <v>11237635</v>
      </c>
    </row>
    <row r="311" spans="1:15" hidden="1" outlineLevel="2" x14ac:dyDescent="0.25">
      <c r="A311" s="44" t="s">
        <v>233</v>
      </c>
      <c r="B311" s="44" t="str">
        <f t="shared" si="339"/>
        <v>008_SC</v>
      </c>
      <c r="C311" s="162" t="s">
        <v>193</v>
      </c>
      <c r="D311" s="4" t="s">
        <v>8</v>
      </c>
      <c r="E311" s="4">
        <v>1</v>
      </c>
      <c r="F311" s="4">
        <v>1</v>
      </c>
      <c r="G311" s="4">
        <v>1</v>
      </c>
      <c r="H311" s="4">
        <v>1</v>
      </c>
      <c r="I311" s="4">
        <v>1</v>
      </c>
      <c r="J311" s="86">
        <f>APUs!G15994</f>
        <v>20463044</v>
      </c>
      <c r="K311" s="86">
        <f t="shared" si="335"/>
        <v>20463044</v>
      </c>
      <c r="L311" s="86">
        <f t="shared" si="335"/>
        <v>20463044</v>
      </c>
      <c r="M311" s="86">
        <f t="shared" si="336"/>
        <v>20463044</v>
      </c>
      <c r="N311" s="86">
        <f t="shared" si="337"/>
        <v>20463044</v>
      </c>
      <c r="O311" s="86">
        <f t="shared" si="338"/>
        <v>20463044</v>
      </c>
    </row>
    <row r="312" spans="1:15" hidden="1" outlineLevel="2" x14ac:dyDescent="0.25">
      <c r="A312" s="44" t="s">
        <v>234</v>
      </c>
      <c r="B312" s="44" t="str">
        <f t="shared" si="339"/>
        <v>009_SC</v>
      </c>
      <c r="C312" s="153" t="s">
        <v>6</v>
      </c>
      <c r="D312" s="4" t="s">
        <v>8</v>
      </c>
      <c r="E312" s="4">
        <v>1</v>
      </c>
      <c r="F312" s="4">
        <v>1</v>
      </c>
      <c r="G312" s="4">
        <v>1</v>
      </c>
      <c r="H312" s="4">
        <v>1</v>
      </c>
      <c r="I312" s="4">
        <v>1</v>
      </c>
      <c r="J312" s="123">
        <f>APUs!G16062</f>
        <v>11715878</v>
      </c>
      <c r="K312" s="86">
        <f t="shared" si="335"/>
        <v>11715878</v>
      </c>
      <c r="L312" s="86">
        <f t="shared" si="335"/>
        <v>11715878</v>
      </c>
      <c r="M312" s="86">
        <f t="shared" si="336"/>
        <v>11715878</v>
      </c>
      <c r="N312" s="86">
        <f t="shared" si="337"/>
        <v>11715878</v>
      </c>
      <c r="O312" s="86">
        <f t="shared" si="338"/>
        <v>11715878</v>
      </c>
    </row>
    <row r="313" spans="1:15" hidden="1" outlineLevel="2" x14ac:dyDescent="0.25">
      <c r="A313" s="44" t="s">
        <v>235</v>
      </c>
      <c r="B313" s="44" t="str">
        <f t="shared" si="339"/>
        <v>010_SC</v>
      </c>
      <c r="C313" s="162" t="s">
        <v>106</v>
      </c>
      <c r="D313" s="4" t="s">
        <v>8</v>
      </c>
      <c r="E313" s="4">
        <v>1</v>
      </c>
      <c r="F313" s="4">
        <v>1</v>
      </c>
      <c r="G313" s="4">
        <v>1</v>
      </c>
      <c r="H313" s="4">
        <v>1</v>
      </c>
      <c r="I313" s="4">
        <v>1</v>
      </c>
      <c r="J313" s="86">
        <f>APUs!G16128</f>
        <v>27963955</v>
      </c>
      <c r="K313" s="86">
        <f t="shared" si="335"/>
        <v>27963955</v>
      </c>
      <c r="L313" s="86">
        <f t="shared" si="335"/>
        <v>27963955</v>
      </c>
      <c r="M313" s="86">
        <f t="shared" si="336"/>
        <v>27963955</v>
      </c>
      <c r="N313" s="86">
        <f t="shared" si="337"/>
        <v>27963955</v>
      </c>
      <c r="O313" s="86">
        <f t="shared" si="338"/>
        <v>27963955</v>
      </c>
    </row>
    <row r="314" spans="1:15" ht="14.25" hidden="1" customHeight="1" outlineLevel="2" x14ac:dyDescent="0.25">
      <c r="A314" s="44" t="s">
        <v>236</v>
      </c>
      <c r="B314" s="44" t="str">
        <f t="shared" si="339"/>
        <v>011_SC</v>
      </c>
      <c r="C314" s="162" t="s">
        <v>315</v>
      </c>
      <c r="D314" s="4" t="s">
        <v>8</v>
      </c>
      <c r="E314" s="4">
        <v>1</v>
      </c>
      <c r="F314" s="4">
        <v>1</v>
      </c>
      <c r="G314" s="4">
        <v>1</v>
      </c>
      <c r="H314" s="4">
        <v>1</v>
      </c>
      <c r="I314" s="4">
        <v>1</v>
      </c>
      <c r="J314" s="86">
        <f>APUs!G16194</f>
        <v>10115794</v>
      </c>
      <c r="K314" s="86">
        <f t="shared" si="335"/>
        <v>10115794</v>
      </c>
      <c r="L314" s="86">
        <f t="shared" si="335"/>
        <v>10115794</v>
      </c>
      <c r="M314" s="86">
        <f t="shared" si="336"/>
        <v>10115794</v>
      </c>
      <c r="N314" s="86">
        <f t="shared" si="337"/>
        <v>10115794</v>
      </c>
      <c r="O314" s="86">
        <f t="shared" si="338"/>
        <v>10115794</v>
      </c>
    </row>
    <row r="315" spans="1:15" outlineLevel="1" collapsed="1" x14ac:dyDescent="0.25">
      <c r="C315" s="172" t="s">
        <v>188</v>
      </c>
      <c r="D315" s="173"/>
      <c r="E315" s="173"/>
      <c r="F315" s="173"/>
      <c r="G315" s="173"/>
      <c r="H315" s="173"/>
      <c r="I315" s="173"/>
      <c r="J315" s="174"/>
      <c r="K315" s="175">
        <f>SUM(K316:K321)</f>
        <v>11723340</v>
      </c>
      <c r="L315" s="175">
        <f t="shared" ref="L315:O315" si="340">SUM(L316:L321)</f>
        <v>11534536</v>
      </c>
      <c r="M315" s="175">
        <f t="shared" si="340"/>
        <v>11723340</v>
      </c>
      <c r="N315" s="175">
        <f t="shared" si="340"/>
        <v>11723340</v>
      </c>
      <c r="O315" s="175">
        <f t="shared" si="340"/>
        <v>11723340</v>
      </c>
    </row>
    <row r="316" spans="1:15" hidden="1" outlineLevel="2" x14ac:dyDescent="0.25">
      <c r="A316" s="44" t="s">
        <v>177</v>
      </c>
      <c r="B316" s="44" t="str">
        <f t="shared" ref="B316:B321" si="341">A316&amp;"_SC"</f>
        <v>012_SC</v>
      </c>
      <c r="C316" s="165" t="s">
        <v>2425</v>
      </c>
      <c r="D316" s="7" t="s">
        <v>108</v>
      </c>
      <c r="E316" s="7">
        <f t="shared" ref="E316:F316" si="342">9*15*2</f>
        <v>270</v>
      </c>
      <c r="F316" s="7">
        <f t="shared" si="342"/>
        <v>270</v>
      </c>
      <c r="G316" s="7">
        <f>9*15*2</f>
        <v>270</v>
      </c>
      <c r="H316" s="7">
        <f t="shared" ref="H316:I316" si="343">9*15*2</f>
        <v>270</v>
      </c>
      <c r="I316" s="7">
        <f t="shared" si="343"/>
        <v>270</v>
      </c>
      <c r="J316" s="86">
        <f>APUs!G16266</f>
        <v>29551</v>
      </c>
      <c r="K316" s="178">
        <f t="shared" ref="K316:L316" si="344">$J316*E316</f>
        <v>7978770</v>
      </c>
      <c r="L316" s="178">
        <f t="shared" si="344"/>
        <v>7978770</v>
      </c>
      <c r="M316" s="178">
        <f>$J316*G316</f>
        <v>7978770</v>
      </c>
      <c r="N316" s="178">
        <f>$J316*H316</f>
        <v>7978770</v>
      </c>
      <c r="O316" s="178">
        <f>$J316*I316</f>
        <v>7978770</v>
      </c>
    </row>
    <row r="317" spans="1:15" hidden="1" outlineLevel="2" x14ac:dyDescent="0.25">
      <c r="A317" s="44" t="s">
        <v>237</v>
      </c>
      <c r="B317" s="44" t="str">
        <f t="shared" si="341"/>
        <v>013_SC</v>
      </c>
      <c r="C317" s="165" t="s">
        <v>1210</v>
      </c>
      <c r="D317" s="7" t="s">
        <v>8</v>
      </c>
      <c r="E317" s="158">
        <v>0</v>
      </c>
      <c r="F317" s="158">
        <v>0</v>
      </c>
      <c r="G317" s="7">
        <v>3</v>
      </c>
      <c r="H317" s="7"/>
      <c r="I317" s="7"/>
      <c r="J317" s="86">
        <f>APUs!G16336</f>
        <v>673393</v>
      </c>
      <c r="K317" s="178"/>
      <c r="L317" s="178"/>
      <c r="M317" s="178"/>
      <c r="N317" s="178"/>
      <c r="O317" s="178"/>
    </row>
    <row r="318" spans="1:15" hidden="1" outlineLevel="2" x14ac:dyDescent="0.25">
      <c r="A318" s="44" t="s">
        <v>238</v>
      </c>
      <c r="B318" s="44" t="str">
        <f t="shared" si="341"/>
        <v>014_SC</v>
      </c>
      <c r="C318" s="165" t="s">
        <v>1190</v>
      </c>
      <c r="D318" s="4" t="s">
        <v>8</v>
      </c>
      <c r="E318" s="7">
        <v>14</v>
      </c>
      <c r="F318" s="7">
        <v>14</v>
      </c>
      <c r="G318" s="7">
        <v>14</v>
      </c>
      <c r="H318" s="7">
        <v>14</v>
      </c>
      <c r="I318" s="7">
        <v>14</v>
      </c>
      <c r="J318" s="86">
        <f>APUs!G16401</f>
        <v>71544</v>
      </c>
      <c r="K318" s="86">
        <f t="shared" ref="K318:L321" si="345">E318*$J318</f>
        <v>1001616</v>
      </c>
      <c r="L318" s="86">
        <f t="shared" si="345"/>
        <v>1001616</v>
      </c>
      <c r="M318" s="86">
        <f t="shared" ref="M318:O321" si="346">G318*$J318</f>
        <v>1001616</v>
      </c>
      <c r="N318" s="86">
        <f t="shared" si="346"/>
        <v>1001616</v>
      </c>
      <c r="O318" s="86">
        <f t="shared" si="346"/>
        <v>1001616</v>
      </c>
    </row>
    <row r="319" spans="1:15" s="48" customFormat="1" hidden="1" outlineLevel="2" x14ac:dyDescent="0.25">
      <c r="A319" s="44" t="s">
        <v>266</v>
      </c>
      <c r="B319" s="121" t="str">
        <f t="shared" ref="B319" si="347">A319&amp;"_N3"</f>
        <v>042_N3</v>
      </c>
      <c r="C319" s="165" t="s">
        <v>1583</v>
      </c>
      <c r="D319" s="122" t="s">
        <v>108</v>
      </c>
      <c r="E319" s="7">
        <v>15</v>
      </c>
      <c r="F319" s="7">
        <v>15</v>
      </c>
      <c r="G319" s="7">
        <v>15</v>
      </c>
      <c r="H319" s="7">
        <v>15</v>
      </c>
      <c r="I319" s="7">
        <v>15</v>
      </c>
      <c r="J319" s="86">
        <f>APUs!G12925</f>
        <v>20250</v>
      </c>
      <c r="K319" s="86">
        <f t="shared" si="345"/>
        <v>303750</v>
      </c>
      <c r="L319" s="86">
        <f t="shared" si="345"/>
        <v>303750</v>
      </c>
      <c r="M319" s="86">
        <f t="shared" si="346"/>
        <v>303750</v>
      </c>
      <c r="N319" s="86">
        <f t="shared" si="346"/>
        <v>303750</v>
      </c>
      <c r="O319" s="86">
        <f t="shared" si="346"/>
        <v>303750</v>
      </c>
    </row>
    <row r="320" spans="1:15" s="48" customFormat="1" hidden="1" outlineLevel="2" x14ac:dyDescent="0.25">
      <c r="A320" s="205" t="s">
        <v>277</v>
      </c>
      <c r="B320" s="217" t="s">
        <v>2928</v>
      </c>
      <c r="C320" s="165" t="s">
        <v>1685</v>
      </c>
      <c r="D320" s="4" t="s">
        <v>8</v>
      </c>
      <c r="E320" s="4">
        <v>4</v>
      </c>
      <c r="F320" s="4">
        <v>4</v>
      </c>
      <c r="G320" s="4">
        <v>4</v>
      </c>
      <c r="H320" s="4">
        <v>4</v>
      </c>
      <c r="I320" s="4">
        <v>4</v>
      </c>
      <c r="J320" s="86">
        <f>APUs!G13716</f>
        <v>137791</v>
      </c>
      <c r="K320" s="86">
        <f t="shared" si="345"/>
        <v>551164</v>
      </c>
      <c r="L320" s="86">
        <f t="shared" si="345"/>
        <v>551164</v>
      </c>
      <c r="M320" s="86">
        <f t="shared" si="346"/>
        <v>551164</v>
      </c>
      <c r="N320" s="86">
        <f t="shared" si="346"/>
        <v>551164</v>
      </c>
      <c r="O320" s="86">
        <f t="shared" si="346"/>
        <v>551164</v>
      </c>
    </row>
    <row r="321" spans="1:15" s="48" customFormat="1" hidden="1" outlineLevel="2" x14ac:dyDescent="0.25">
      <c r="A321" s="44" t="s">
        <v>241</v>
      </c>
      <c r="B321" s="44" t="str">
        <f t="shared" si="341"/>
        <v>017_SC</v>
      </c>
      <c r="C321" s="165" t="s">
        <v>1597</v>
      </c>
      <c r="D321" s="4" t="s">
        <v>8</v>
      </c>
      <c r="E321" s="4">
        <f>(9+1)*2*2</f>
        <v>40</v>
      </c>
      <c r="F321" s="4">
        <f>(9)*2*2</f>
        <v>36</v>
      </c>
      <c r="G321" s="4">
        <f>(9+1)*2*2</f>
        <v>40</v>
      </c>
      <c r="H321" s="4">
        <f t="shared" ref="H321:I321" si="348">(9+1)*2*2</f>
        <v>40</v>
      </c>
      <c r="I321" s="4">
        <f t="shared" si="348"/>
        <v>40</v>
      </c>
      <c r="J321" s="86">
        <f>APUs!G16467</f>
        <v>47201</v>
      </c>
      <c r="K321" s="86">
        <f t="shared" si="345"/>
        <v>1888040</v>
      </c>
      <c r="L321" s="86">
        <f t="shared" si="345"/>
        <v>1699236</v>
      </c>
      <c r="M321" s="86">
        <f t="shared" si="346"/>
        <v>1888040</v>
      </c>
      <c r="N321" s="86">
        <f t="shared" si="346"/>
        <v>1888040</v>
      </c>
      <c r="O321" s="86">
        <f t="shared" si="346"/>
        <v>1888040</v>
      </c>
    </row>
    <row r="322" spans="1:15" s="48" customFormat="1" outlineLevel="1" collapsed="1" x14ac:dyDescent="0.25">
      <c r="A322" s="44"/>
      <c r="B322" s="44"/>
      <c r="C322" s="165"/>
      <c r="D322" s="4"/>
      <c r="E322" s="4"/>
      <c r="F322" s="4"/>
      <c r="G322" s="4"/>
      <c r="H322" s="4"/>
      <c r="I322" s="4"/>
      <c r="J322" s="86"/>
      <c r="K322" s="86"/>
      <c r="L322" s="86"/>
      <c r="M322" s="86"/>
      <c r="N322" s="86"/>
      <c r="O322" s="86"/>
    </row>
    <row r="323" spans="1:15" x14ac:dyDescent="0.25">
      <c r="A323" s="23"/>
      <c r="B323" s="23"/>
      <c r="C323" s="8" t="s">
        <v>7</v>
      </c>
      <c r="D323" s="9"/>
      <c r="E323" s="9"/>
      <c r="F323" s="9"/>
      <c r="G323" s="9"/>
      <c r="H323" s="9"/>
      <c r="I323" s="9"/>
      <c r="J323" s="10"/>
      <c r="K323" s="84">
        <f>K324+K329+K333+K339+K346+K351+K395+K404+K418+K425+K442</f>
        <v>592999656.13999999</v>
      </c>
      <c r="L323" s="84">
        <f>L324+L329+L333+L339+L346+L351+L395+L404+L418+L425+L442</f>
        <v>617900908.35000002</v>
      </c>
      <c r="M323" s="84">
        <f>M324+M329+M333+M339+M346+M351+M395+M404+M418+M425+M442</f>
        <v>952122934.78999996</v>
      </c>
      <c r="N323" s="84">
        <f>N324+N329+N333+N339+N346+N351+N395+N404+N418+N425+N442</f>
        <v>990490483.65799999</v>
      </c>
      <c r="O323" s="84">
        <f>O324+O329+O333+O339+O346+O351+O395+O404+O418+O425+O442</f>
        <v>827363826.46000004</v>
      </c>
    </row>
    <row r="324" spans="1:15" outlineLevel="1" x14ac:dyDescent="0.25">
      <c r="C324" s="172" t="s">
        <v>2372</v>
      </c>
      <c r="D324" s="173"/>
      <c r="E324" s="173"/>
      <c r="F324" s="173"/>
      <c r="G324" s="173"/>
      <c r="H324" s="173"/>
      <c r="I324" s="173"/>
      <c r="J324" s="173"/>
      <c r="K324" s="151">
        <f t="shared" ref="K324:O324" si="349">SUM(K325:K328)</f>
        <v>63218387</v>
      </c>
      <c r="L324" s="151">
        <f t="shared" si="349"/>
        <v>59810102</v>
      </c>
      <c r="M324" s="151">
        <f t="shared" si="349"/>
        <v>0</v>
      </c>
      <c r="N324" s="151">
        <f t="shared" si="349"/>
        <v>0</v>
      </c>
      <c r="O324" s="151">
        <f t="shared" si="349"/>
        <v>0</v>
      </c>
    </row>
    <row r="325" spans="1:15" hidden="1" outlineLevel="2" x14ac:dyDescent="0.25">
      <c r="A325" s="44" t="s">
        <v>226</v>
      </c>
      <c r="B325" s="44" t="str">
        <f>A325&amp;"_AUX"</f>
        <v>001_AUX</v>
      </c>
      <c r="C325" s="162" t="s">
        <v>2315</v>
      </c>
      <c r="D325" s="4" t="s">
        <v>8</v>
      </c>
      <c r="E325" s="4">
        <v>1</v>
      </c>
      <c r="F325" s="4">
        <v>1</v>
      </c>
      <c r="G325" s="161">
        <v>0</v>
      </c>
      <c r="H325" s="161">
        <v>0</v>
      </c>
      <c r="I325" s="161">
        <v>0</v>
      </c>
      <c r="J325" s="86">
        <f>APUs!G16540</f>
        <v>16662259</v>
      </c>
      <c r="K325" s="86">
        <f t="shared" ref="K325:L328" si="350">E325*$J325</f>
        <v>16662259</v>
      </c>
      <c r="L325" s="86">
        <f t="shared" si="350"/>
        <v>16662259</v>
      </c>
      <c r="M325" s="86">
        <f t="shared" ref="M325:O328" si="351">G325*$J325</f>
        <v>0</v>
      </c>
      <c r="N325" s="86">
        <f t="shared" si="351"/>
        <v>0</v>
      </c>
      <c r="O325" s="86">
        <f t="shared" si="351"/>
        <v>0</v>
      </c>
    </row>
    <row r="326" spans="1:15" hidden="1" outlineLevel="2" x14ac:dyDescent="0.25">
      <c r="A326" s="44" t="s">
        <v>227</v>
      </c>
      <c r="B326" s="44" t="str">
        <f t="shared" ref="B326:B328" si="352">A326&amp;"_AUX"</f>
        <v>002_AUX</v>
      </c>
      <c r="C326" s="162" t="s">
        <v>2316</v>
      </c>
      <c r="D326" s="4" t="s">
        <v>8</v>
      </c>
      <c r="E326" s="4">
        <v>1</v>
      </c>
      <c r="F326" s="4">
        <v>1</v>
      </c>
      <c r="G326" s="161">
        <v>0</v>
      </c>
      <c r="H326" s="161">
        <v>0</v>
      </c>
      <c r="I326" s="161">
        <v>0</v>
      </c>
      <c r="J326" s="86">
        <f>APUs!G16613</f>
        <v>21315836</v>
      </c>
      <c r="K326" s="86">
        <f t="shared" si="350"/>
        <v>21315836</v>
      </c>
      <c r="L326" s="86">
        <f t="shared" si="350"/>
        <v>21315836</v>
      </c>
      <c r="M326" s="86">
        <f t="shared" si="351"/>
        <v>0</v>
      </c>
      <c r="N326" s="86">
        <f t="shared" si="351"/>
        <v>0</v>
      </c>
      <c r="O326" s="86">
        <f t="shared" si="351"/>
        <v>0</v>
      </c>
    </row>
    <row r="327" spans="1:15" hidden="1" outlineLevel="2" x14ac:dyDescent="0.25">
      <c r="A327" s="44" t="s">
        <v>228</v>
      </c>
      <c r="B327" s="44" t="str">
        <f t="shared" si="352"/>
        <v>003_AUX</v>
      </c>
      <c r="C327" s="153" t="s">
        <v>2317</v>
      </c>
      <c r="D327" s="4" t="s">
        <v>108</v>
      </c>
      <c r="E327" s="4">
        <f>60+40</f>
        <v>100</v>
      </c>
      <c r="F327" s="4">
        <f>35+50</f>
        <v>85</v>
      </c>
      <c r="G327" s="161">
        <v>0</v>
      </c>
      <c r="H327" s="161">
        <v>0</v>
      </c>
      <c r="I327" s="161">
        <v>0</v>
      </c>
      <c r="J327" s="86">
        <f>APUs!G16679</f>
        <v>227219</v>
      </c>
      <c r="K327" s="86">
        <f t="shared" si="350"/>
        <v>22721900</v>
      </c>
      <c r="L327" s="86">
        <f t="shared" si="350"/>
        <v>19313615</v>
      </c>
      <c r="M327" s="86">
        <f t="shared" si="351"/>
        <v>0</v>
      </c>
      <c r="N327" s="86">
        <f t="shared" si="351"/>
        <v>0</v>
      </c>
      <c r="O327" s="86">
        <f t="shared" si="351"/>
        <v>0</v>
      </c>
    </row>
    <row r="328" spans="1:15" hidden="1" outlineLevel="2" x14ac:dyDescent="0.25">
      <c r="A328" s="44" t="s">
        <v>229</v>
      </c>
      <c r="B328" s="44" t="str">
        <f t="shared" si="352"/>
        <v>004_AUX</v>
      </c>
      <c r="C328" s="153" t="s">
        <v>2318</v>
      </c>
      <c r="D328" s="4" t="s">
        <v>8</v>
      </c>
      <c r="E328" s="4">
        <v>2</v>
      </c>
      <c r="F328" s="4">
        <v>2</v>
      </c>
      <c r="G328" s="161">
        <v>0</v>
      </c>
      <c r="H328" s="161">
        <v>0</v>
      </c>
      <c r="I328" s="161">
        <v>0</v>
      </c>
      <c r="J328" s="86">
        <f>APUs!G16753</f>
        <v>1259196</v>
      </c>
      <c r="K328" s="86">
        <f t="shared" si="350"/>
        <v>2518392</v>
      </c>
      <c r="L328" s="86">
        <f t="shared" si="350"/>
        <v>2518392</v>
      </c>
      <c r="M328" s="86">
        <f t="shared" si="351"/>
        <v>0</v>
      </c>
      <c r="N328" s="86">
        <f t="shared" si="351"/>
        <v>0</v>
      </c>
      <c r="O328" s="86">
        <f t="shared" si="351"/>
        <v>0</v>
      </c>
    </row>
    <row r="329" spans="1:15" ht="15.75" customHeight="1" outlineLevel="1" collapsed="1" x14ac:dyDescent="0.25">
      <c r="A329" s="44"/>
      <c r="B329" s="44"/>
      <c r="C329" s="172" t="s">
        <v>2371</v>
      </c>
      <c r="D329" s="173"/>
      <c r="E329" s="173"/>
      <c r="F329" s="173"/>
      <c r="G329" s="173"/>
      <c r="H329" s="173"/>
      <c r="I329" s="173"/>
      <c r="J329" s="173"/>
      <c r="K329" s="151">
        <f>SUM(K330:K332)</f>
        <v>0</v>
      </c>
      <c r="L329" s="151">
        <f t="shared" ref="L329:O329" si="353">SUM(L330:L332)</f>
        <v>0</v>
      </c>
      <c r="M329" s="151">
        <f t="shared" si="353"/>
        <v>136419355</v>
      </c>
      <c r="N329" s="151">
        <f t="shared" si="353"/>
        <v>136419355</v>
      </c>
      <c r="O329" s="151">
        <f t="shared" si="353"/>
        <v>136419355</v>
      </c>
    </row>
    <row r="330" spans="1:15" hidden="1" outlineLevel="2" x14ac:dyDescent="0.25">
      <c r="A330" s="44" t="s">
        <v>230</v>
      </c>
      <c r="B330" s="44" t="str">
        <f>A330&amp;"_AUX"</f>
        <v>005_AUX</v>
      </c>
      <c r="C330" s="153" t="s">
        <v>2258</v>
      </c>
      <c r="D330" s="4" t="s">
        <v>8</v>
      </c>
      <c r="E330" s="161">
        <v>0</v>
      </c>
      <c r="F330" s="161">
        <v>0</v>
      </c>
      <c r="G330" s="4">
        <v>1</v>
      </c>
      <c r="H330" s="4">
        <v>1</v>
      </c>
      <c r="I330" s="4">
        <v>1</v>
      </c>
      <c r="J330" s="86">
        <f>APUs!G16823</f>
        <v>54605007</v>
      </c>
      <c r="K330" s="86">
        <f t="shared" ref="K330:L332" si="354">E330*$J330</f>
        <v>0</v>
      </c>
      <c r="L330" s="86">
        <f t="shared" si="354"/>
        <v>0</v>
      </c>
      <c r="M330" s="86">
        <f t="shared" ref="M330:O332" si="355">G330*$J330</f>
        <v>54605007</v>
      </c>
      <c r="N330" s="86">
        <f t="shared" si="355"/>
        <v>54605007</v>
      </c>
      <c r="O330" s="86">
        <f t="shared" si="355"/>
        <v>54605007</v>
      </c>
    </row>
    <row r="331" spans="1:15" hidden="1" outlineLevel="2" x14ac:dyDescent="0.25">
      <c r="A331" s="44" t="s">
        <v>231</v>
      </c>
      <c r="B331" s="44" t="str">
        <f t="shared" ref="B331:B332" si="356">A331&amp;"_AUX"</f>
        <v>006_AUX</v>
      </c>
      <c r="C331" s="153" t="s">
        <v>2334</v>
      </c>
      <c r="D331" s="4" t="s">
        <v>8</v>
      </c>
      <c r="E331" s="161">
        <v>0</v>
      </c>
      <c r="F331" s="161">
        <v>0</v>
      </c>
      <c r="G331" s="4">
        <v>1</v>
      </c>
      <c r="H331" s="4">
        <v>1</v>
      </c>
      <c r="I331" s="4">
        <v>1</v>
      </c>
      <c r="J331" s="86">
        <f>APUs!G16895</f>
        <v>63315948</v>
      </c>
      <c r="K331" s="86">
        <f t="shared" si="354"/>
        <v>0</v>
      </c>
      <c r="L331" s="86">
        <f t="shared" si="354"/>
        <v>0</v>
      </c>
      <c r="M331" s="86">
        <f t="shared" si="355"/>
        <v>63315948</v>
      </c>
      <c r="N331" s="86">
        <f t="shared" si="355"/>
        <v>63315948</v>
      </c>
      <c r="O331" s="86">
        <f t="shared" si="355"/>
        <v>63315948</v>
      </c>
    </row>
    <row r="332" spans="1:15" hidden="1" outlineLevel="2" x14ac:dyDescent="0.25">
      <c r="A332" s="44" t="s">
        <v>232</v>
      </c>
      <c r="B332" s="44" t="str">
        <f t="shared" si="356"/>
        <v>007_AUX</v>
      </c>
      <c r="C332" s="153" t="s">
        <v>2385</v>
      </c>
      <c r="D332" s="4" t="s">
        <v>108</v>
      </c>
      <c r="E332" s="161">
        <v>0</v>
      </c>
      <c r="F332" s="161">
        <v>0</v>
      </c>
      <c r="G332" s="4">
        <v>20</v>
      </c>
      <c r="H332" s="4">
        <v>20</v>
      </c>
      <c r="I332" s="4">
        <v>20</v>
      </c>
      <c r="J332" s="86">
        <f>APUs!G16965</f>
        <v>924920</v>
      </c>
      <c r="K332" s="86">
        <f t="shared" si="354"/>
        <v>0</v>
      </c>
      <c r="L332" s="86">
        <f t="shared" si="354"/>
        <v>0</v>
      </c>
      <c r="M332" s="86">
        <f t="shared" si="355"/>
        <v>18498400</v>
      </c>
      <c r="N332" s="86">
        <f t="shared" si="355"/>
        <v>18498400</v>
      </c>
      <c r="O332" s="86">
        <f t="shared" si="355"/>
        <v>18498400</v>
      </c>
    </row>
    <row r="333" spans="1:15" ht="15.75" customHeight="1" outlineLevel="1" collapsed="1" x14ac:dyDescent="0.25">
      <c r="C333" s="172" t="s">
        <v>1591</v>
      </c>
      <c r="D333" s="173"/>
      <c r="E333" s="173"/>
      <c r="F333" s="173"/>
      <c r="G333" s="173"/>
      <c r="H333" s="173"/>
      <c r="I333" s="173"/>
      <c r="J333" s="173"/>
      <c r="K333" s="151">
        <f>SUM(K334:K338)</f>
        <v>7474238</v>
      </c>
      <c r="L333" s="151">
        <f t="shared" ref="L333:O333" si="357">SUM(L334:L338)</f>
        <v>7474238</v>
      </c>
      <c r="M333" s="151">
        <f t="shared" si="357"/>
        <v>4749260</v>
      </c>
      <c r="N333" s="151">
        <f t="shared" si="357"/>
        <v>4749260</v>
      </c>
      <c r="O333" s="151">
        <f t="shared" si="357"/>
        <v>4749260</v>
      </c>
    </row>
    <row r="334" spans="1:15" s="48" customFormat="1" hidden="1" outlineLevel="2" x14ac:dyDescent="0.25">
      <c r="A334" s="44" t="s">
        <v>233</v>
      </c>
      <c r="B334" s="44" t="str">
        <f>A334&amp;"_AUX"</f>
        <v>008_AUX</v>
      </c>
      <c r="C334" s="153" t="s">
        <v>194</v>
      </c>
      <c r="D334" s="4" t="s">
        <v>8</v>
      </c>
      <c r="E334" s="4">
        <v>2</v>
      </c>
      <c r="F334" s="4">
        <v>2</v>
      </c>
      <c r="G334" s="4">
        <v>1</v>
      </c>
      <c r="H334" s="4">
        <v>1</v>
      </c>
      <c r="I334" s="4">
        <v>1</v>
      </c>
      <c r="J334" s="123">
        <f>APUs!G17033</f>
        <v>2086028</v>
      </c>
      <c r="K334" s="86">
        <f t="shared" ref="K334:O338" si="358">E334*$J334</f>
        <v>4172056</v>
      </c>
      <c r="L334" s="86">
        <f t="shared" si="358"/>
        <v>4172056</v>
      </c>
      <c r="M334" s="86">
        <f t="shared" si="358"/>
        <v>2086028</v>
      </c>
      <c r="N334" s="86">
        <f t="shared" si="358"/>
        <v>2086028</v>
      </c>
      <c r="O334" s="86">
        <f t="shared" si="358"/>
        <v>2086028</v>
      </c>
    </row>
    <row r="335" spans="1:15" s="48" customFormat="1" hidden="1" outlineLevel="2" x14ac:dyDescent="0.25">
      <c r="A335" s="44" t="s">
        <v>234</v>
      </c>
      <c r="B335" s="44" t="str">
        <f t="shared" ref="B335:B338" si="359">A335&amp;"_AUX"</f>
        <v>009_AUX</v>
      </c>
      <c r="C335" s="162" t="s">
        <v>2319</v>
      </c>
      <c r="D335" s="182" t="s">
        <v>18</v>
      </c>
      <c r="E335" s="4">
        <v>6</v>
      </c>
      <c r="F335" s="4">
        <v>6</v>
      </c>
      <c r="G335" s="161">
        <v>0</v>
      </c>
      <c r="H335" s="161">
        <v>0</v>
      </c>
      <c r="I335" s="161">
        <v>0</v>
      </c>
      <c r="J335" s="123">
        <f>APUs!G17104</f>
        <v>303327</v>
      </c>
      <c r="K335" s="86">
        <f t="shared" si="358"/>
        <v>1819962</v>
      </c>
      <c r="L335" s="86">
        <f t="shared" si="358"/>
        <v>1819962</v>
      </c>
      <c r="M335" s="86">
        <f t="shared" si="358"/>
        <v>0</v>
      </c>
      <c r="N335" s="86">
        <f t="shared" si="358"/>
        <v>0</v>
      </c>
      <c r="O335" s="86">
        <f t="shared" si="358"/>
        <v>0</v>
      </c>
    </row>
    <row r="336" spans="1:15" s="48" customFormat="1" hidden="1" outlineLevel="2" x14ac:dyDescent="0.25">
      <c r="A336" s="44" t="s">
        <v>235</v>
      </c>
      <c r="B336" s="44" t="str">
        <f t="shared" si="359"/>
        <v>010_AUX</v>
      </c>
      <c r="C336" s="153" t="s">
        <v>1914</v>
      </c>
      <c r="D336" s="4" t="s">
        <v>8</v>
      </c>
      <c r="E336" s="161">
        <v>0</v>
      </c>
      <c r="F336" s="161">
        <v>0</v>
      </c>
      <c r="G336" s="4">
        <v>3</v>
      </c>
      <c r="H336" s="4">
        <v>3</v>
      </c>
      <c r="I336" s="4">
        <v>3</v>
      </c>
      <c r="J336" s="123">
        <f>APUs!G17172</f>
        <v>303327</v>
      </c>
      <c r="K336" s="86">
        <f t="shared" si="358"/>
        <v>0</v>
      </c>
      <c r="L336" s="86">
        <f t="shared" si="358"/>
        <v>0</v>
      </c>
      <c r="M336" s="86">
        <f t="shared" si="358"/>
        <v>909981</v>
      </c>
      <c r="N336" s="86">
        <f t="shared" si="358"/>
        <v>909981</v>
      </c>
      <c r="O336" s="86">
        <f t="shared" si="358"/>
        <v>909981</v>
      </c>
    </row>
    <row r="337" spans="1:15" hidden="1" outlineLevel="2" x14ac:dyDescent="0.25">
      <c r="A337" s="44" t="s">
        <v>236</v>
      </c>
      <c r="B337" s="44" t="str">
        <f t="shared" si="359"/>
        <v>011_AUX</v>
      </c>
      <c r="C337" s="153" t="s">
        <v>1915</v>
      </c>
      <c r="D337" s="4" t="s">
        <v>8</v>
      </c>
      <c r="E337" s="168">
        <v>0</v>
      </c>
      <c r="F337" s="168">
        <v>0</v>
      </c>
      <c r="G337" s="4">
        <v>1</v>
      </c>
      <c r="H337" s="4">
        <v>1</v>
      </c>
      <c r="I337" s="4">
        <v>1</v>
      </c>
      <c r="J337" s="86">
        <f>APUs!G17244</f>
        <v>1753251</v>
      </c>
      <c r="K337" s="86">
        <f t="shared" si="358"/>
        <v>0</v>
      </c>
      <c r="L337" s="86">
        <f t="shared" si="358"/>
        <v>0</v>
      </c>
      <c r="M337" s="86">
        <f t="shared" si="358"/>
        <v>1753251</v>
      </c>
      <c r="N337" s="86">
        <f t="shared" si="358"/>
        <v>1753251</v>
      </c>
      <c r="O337" s="86">
        <f t="shared" si="358"/>
        <v>1753251</v>
      </c>
    </row>
    <row r="338" spans="1:15" hidden="1" outlineLevel="2" x14ac:dyDescent="0.25">
      <c r="A338" s="44" t="s">
        <v>177</v>
      </c>
      <c r="B338" s="44" t="str">
        <f t="shared" si="359"/>
        <v>012_AUX</v>
      </c>
      <c r="C338" s="162" t="s">
        <v>1345</v>
      </c>
      <c r="D338" s="4" t="s">
        <v>18</v>
      </c>
      <c r="E338" s="4">
        <v>2</v>
      </c>
      <c r="F338" s="4">
        <v>2</v>
      </c>
      <c r="G338" s="161">
        <v>0</v>
      </c>
      <c r="H338" s="161">
        <v>0</v>
      </c>
      <c r="I338" s="161">
        <v>0</v>
      </c>
      <c r="J338" s="86">
        <f>APUs!G17316</f>
        <v>741110</v>
      </c>
      <c r="K338" s="86">
        <f t="shared" si="358"/>
        <v>1482220</v>
      </c>
      <c r="L338" s="86">
        <f t="shared" si="358"/>
        <v>1482220</v>
      </c>
      <c r="M338" s="86">
        <f t="shared" si="358"/>
        <v>0</v>
      </c>
      <c r="N338" s="86">
        <f t="shared" si="358"/>
        <v>0</v>
      </c>
      <c r="O338" s="86">
        <f t="shared" si="358"/>
        <v>0</v>
      </c>
    </row>
    <row r="339" spans="1:15" outlineLevel="1" collapsed="1" x14ac:dyDescent="0.25">
      <c r="C339" s="172" t="s">
        <v>195</v>
      </c>
      <c r="D339" s="173"/>
      <c r="E339" s="173"/>
      <c r="F339" s="173"/>
      <c r="G339" s="173"/>
      <c r="H339" s="173"/>
      <c r="I339" s="173"/>
      <c r="J339" s="174"/>
      <c r="K339" s="175">
        <f>SUM(K340:K345)</f>
        <v>184817145</v>
      </c>
      <c r="L339" s="175">
        <f t="shared" ref="L339:O339" si="360">SUM(L340:L345)</f>
        <v>184817145</v>
      </c>
      <c r="M339" s="175">
        <f t="shared" si="360"/>
        <v>248832003</v>
      </c>
      <c r="N339" s="175">
        <f t="shared" si="360"/>
        <v>248832003</v>
      </c>
      <c r="O339" s="175">
        <f t="shared" si="360"/>
        <v>248832003</v>
      </c>
    </row>
    <row r="340" spans="1:15" hidden="1" outlineLevel="2" x14ac:dyDescent="0.25">
      <c r="A340" s="44" t="s">
        <v>237</v>
      </c>
      <c r="B340" s="44" t="str">
        <f t="shared" ref="B340" si="361">A340&amp;"_AUX"</f>
        <v>013_AUX</v>
      </c>
      <c r="C340" s="153" t="s">
        <v>2380</v>
      </c>
      <c r="D340" s="4" t="s">
        <v>5</v>
      </c>
      <c r="E340" s="4">
        <v>1</v>
      </c>
      <c r="F340" s="4">
        <v>1</v>
      </c>
      <c r="G340" s="161">
        <v>0</v>
      </c>
      <c r="H340" s="161">
        <v>0</v>
      </c>
      <c r="I340" s="161">
        <v>0</v>
      </c>
      <c r="J340" s="86">
        <f>APUs!G17388</f>
        <v>133550575</v>
      </c>
      <c r="K340" s="86">
        <f t="shared" ref="K340:L345" si="362">E340*$J340</f>
        <v>133550575</v>
      </c>
      <c r="L340" s="86">
        <f t="shared" si="362"/>
        <v>133550575</v>
      </c>
      <c r="M340" s="86">
        <f t="shared" ref="M340:O345" si="363">G340*$J340</f>
        <v>0</v>
      </c>
      <c r="N340" s="86">
        <f t="shared" si="363"/>
        <v>0</v>
      </c>
      <c r="O340" s="86">
        <f t="shared" si="363"/>
        <v>0</v>
      </c>
    </row>
    <row r="341" spans="1:15" hidden="1" outlineLevel="2" x14ac:dyDescent="0.25">
      <c r="A341" s="44" t="s">
        <v>238</v>
      </c>
      <c r="B341" s="44" t="str">
        <f t="shared" ref="B341:B345" si="364">A341&amp;"_AUX"</f>
        <v>014_AUX</v>
      </c>
      <c r="C341" s="153" t="s">
        <v>2383</v>
      </c>
      <c r="D341" s="4" t="s">
        <v>5</v>
      </c>
      <c r="E341" s="4">
        <v>1</v>
      </c>
      <c r="F341" s="4">
        <v>1</v>
      </c>
      <c r="G341" s="161">
        <v>0</v>
      </c>
      <c r="H341" s="161">
        <v>0</v>
      </c>
      <c r="I341" s="161">
        <v>0</v>
      </c>
      <c r="J341" s="86">
        <f>APUs!G17460</f>
        <v>43076861</v>
      </c>
      <c r="K341" s="86">
        <f t="shared" si="362"/>
        <v>43076861</v>
      </c>
      <c r="L341" s="86">
        <f t="shared" si="362"/>
        <v>43076861</v>
      </c>
      <c r="M341" s="86">
        <f t="shared" si="363"/>
        <v>0</v>
      </c>
      <c r="N341" s="86">
        <f t="shared" si="363"/>
        <v>0</v>
      </c>
      <c r="O341" s="86">
        <f t="shared" si="363"/>
        <v>0</v>
      </c>
    </row>
    <row r="342" spans="1:15" hidden="1" outlineLevel="2" x14ac:dyDescent="0.25">
      <c r="A342" s="44" t="s">
        <v>239</v>
      </c>
      <c r="B342" s="44" t="str">
        <f t="shared" si="364"/>
        <v>015_AUX</v>
      </c>
      <c r="C342" s="153" t="s">
        <v>2320</v>
      </c>
      <c r="D342" s="4" t="s">
        <v>108</v>
      </c>
      <c r="E342" s="4">
        <v>3</v>
      </c>
      <c r="F342" s="4">
        <v>3</v>
      </c>
      <c r="G342" s="161">
        <v>0</v>
      </c>
      <c r="H342" s="161">
        <v>0</v>
      </c>
      <c r="I342" s="161">
        <v>0</v>
      </c>
      <c r="J342" s="86">
        <f>APUs!G17532</f>
        <v>2170531</v>
      </c>
      <c r="K342" s="86">
        <f t="shared" si="362"/>
        <v>6511593</v>
      </c>
      <c r="L342" s="86">
        <f t="shared" si="362"/>
        <v>6511593</v>
      </c>
      <c r="M342" s="86">
        <f t="shared" si="363"/>
        <v>0</v>
      </c>
      <c r="N342" s="86">
        <f t="shared" si="363"/>
        <v>0</v>
      </c>
      <c r="O342" s="86">
        <f t="shared" si="363"/>
        <v>0</v>
      </c>
    </row>
    <row r="343" spans="1:15" hidden="1" outlineLevel="2" x14ac:dyDescent="0.25">
      <c r="A343" s="44" t="s">
        <v>240</v>
      </c>
      <c r="B343" s="44" t="str">
        <f t="shared" si="364"/>
        <v>016_AUX</v>
      </c>
      <c r="C343" s="153" t="s">
        <v>2321</v>
      </c>
      <c r="D343" s="4" t="s">
        <v>8</v>
      </c>
      <c r="E343" s="4">
        <v>1</v>
      </c>
      <c r="F343" s="4">
        <v>1</v>
      </c>
      <c r="G343" s="161">
        <v>0</v>
      </c>
      <c r="H343" s="161">
        <v>0</v>
      </c>
      <c r="I343" s="161">
        <v>0</v>
      </c>
      <c r="J343" s="86">
        <f>APUs!G17601</f>
        <v>1678116</v>
      </c>
      <c r="K343" s="86">
        <f t="shared" si="362"/>
        <v>1678116</v>
      </c>
      <c r="L343" s="86">
        <f t="shared" si="362"/>
        <v>1678116</v>
      </c>
      <c r="M343" s="86">
        <f t="shared" si="363"/>
        <v>0</v>
      </c>
      <c r="N343" s="86">
        <f t="shared" si="363"/>
        <v>0</v>
      </c>
      <c r="O343" s="86">
        <f t="shared" si="363"/>
        <v>0</v>
      </c>
    </row>
    <row r="344" spans="1:15" hidden="1" outlineLevel="2" x14ac:dyDescent="0.25">
      <c r="A344" s="44" t="s">
        <v>241</v>
      </c>
      <c r="B344" s="44" t="str">
        <f t="shared" si="364"/>
        <v>017_AUX</v>
      </c>
      <c r="C344" s="153" t="s">
        <v>2380</v>
      </c>
      <c r="D344" s="4" t="s">
        <v>8</v>
      </c>
      <c r="E344" s="161">
        <v>0</v>
      </c>
      <c r="F344" s="161">
        <v>0</v>
      </c>
      <c r="G344" s="4">
        <v>1</v>
      </c>
      <c r="H344" s="4">
        <v>1</v>
      </c>
      <c r="I344" s="4">
        <v>1</v>
      </c>
      <c r="J344" s="86">
        <f>APUs!G17673</f>
        <v>133550575</v>
      </c>
      <c r="K344" s="86">
        <f t="shared" si="362"/>
        <v>0</v>
      </c>
      <c r="L344" s="86">
        <f t="shared" si="362"/>
        <v>0</v>
      </c>
      <c r="M344" s="86">
        <f t="shared" si="363"/>
        <v>133550575</v>
      </c>
      <c r="N344" s="86">
        <f t="shared" si="363"/>
        <v>133550575</v>
      </c>
      <c r="O344" s="86">
        <f t="shared" si="363"/>
        <v>133550575</v>
      </c>
    </row>
    <row r="345" spans="1:15" hidden="1" outlineLevel="2" x14ac:dyDescent="0.25">
      <c r="A345" s="44" t="s">
        <v>242</v>
      </c>
      <c r="B345" s="44" t="str">
        <f t="shared" si="364"/>
        <v>018_AUX</v>
      </c>
      <c r="C345" s="153" t="s">
        <v>1795</v>
      </c>
      <c r="D345" s="4" t="s">
        <v>8</v>
      </c>
      <c r="E345" s="161">
        <v>0</v>
      </c>
      <c r="F345" s="161">
        <v>0</v>
      </c>
      <c r="G345" s="4">
        <v>1</v>
      </c>
      <c r="H345" s="4">
        <v>1</v>
      </c>
      <c r="I345" s="4">
        <v>1</v>
      </c>
      <c r="J345" s="86">
        <f>APUs!G17741</f>
        <v>115281428</v>
      </c>
      <c r="K345" s="86">
        <f t="shared" si="362"/>
        <v>0</v>
      </c>
      <c r="L345" s="86">
        <f t="shared" si="362"/>
        <v>0</v>
      </c>
      <c r="M345" s="86">
        <f t="shared" si="363"/>
        <v>115281428</v>
      </c>
      <c r="N345" s="86">
        <f t="shared" si="363"/>
        <v>115281428</v>
      </c>
      <c r="O345" s="86">
        <f t="shared" si="363"/>
        <v>115281428</v>
      </c>
    </row>
    <row r="346" spans="1:15" outlineLevel="1" collapsed="1" x14ac:dyDescent="0.25">
      <c r="C346" s="172" t="s">
        <v>196</v>
      </c>
      <c r="D346" s="173"/>
      <c r="E346" s="173"/>
      <c r="F346" s="173"/>
      <c r="G346" s="173"/>
      <c r="H346" s="173"/>
      <c r="I346" s="173"/>
      <c r="J346" s="174"/>
      <c r="K346" s="183">
        <f>SUM(K347:K350)</f>
        <v>23024151</v>
      </c>
      <c r="L346" s="183">
        <f t="shared" ref="L346:O346" si="365">SUM(L347:L350)</f>
        <v>23024151</v>
      </c>
      <c r="M346" s="183">
        <f t="shared" si="365"/>
        <v>36841821</v>
      </c>
      <c r="N346" s="183">
        <f t="shared" si="365"/>
        <v>36841821</v>
      </c>
      <c r="O346" s="183">
        <f t="shared" si="365"/>
        <v>36841821</v>
      </c>
    </row>
    <row r="347" spans="1:15" hidden="1" outlineLevel="2" x14ac:dyDescent="0.25">
      <c r="A347" s="44" t="s">
        <v>243</v>
      </c>
      <c r="B347" s="44" t="str">
        <f>A347&amp;"_AUX"</f>
        <v>019_AUX</v>
      </c>
      <c r="C347" s="153" t="s">
        <v>925</v>
      </c>
      <c r="D347" s="4" t="s">
        <v>8</v>
      </c>
      <c r="E347" s="4">
        <v>1</v>
      </c>
      <c r="F347" s="4">
        <v>1</v>
      </c>
      <c r="G347" s="4"/>
      <c r="H347" s="4"/>
      <c r="I347" s="4"/>
      <c r="J347" s="86">
        <f>APUs!G17811</f>
        <v>20751961</v>
      </c>
      <c r="K347" s="86">
        <f t="shared" ref="K347:L350" si="366">E347*$J347</f>
        <v>20751961</v>
      </c>
      <c r="L347" s="86">
        <f t="shared" si="366"/>
        <v>20751961</v>
      </c>
      <c r="M347" s="86">
        <f t="shared" ref="M347:O350" si="367">G347*$J347</f>
        <v>0</v>
      </c>
      <c r="N347" s="86">
        <f t="shared" si="367"/>
        <v>0</v>
      </c>
      <c r="O347" s="86">
        <f t="shared" si="367"/>
        <v>0</v>
      </c>
    </row>
    <row r="348" spans="1:15" hidden="1" outlineLevel="2" x14ac:dyDescent="0.25">
      <c r="A348" s="44" t="s">
        <v>244</v>
      </c>
      <c r="B348" s="44" t="str">
        <f t="shared" ref="B348:B350" si="368">A348&amp;"_AUX"</f>
        <v>020_AUX</v>
      </c>
      <c r="C348" s="153" t="s">
        <v>2470</v>
      </c>
      <c r="D348" s="4" t="s">
        <v>8</v>
      </c>
      <c r="E348" s="4"/>
      <c r="F348" s="4"/>
      <c r="G348" s="4">
        <v>1</v>
      </c>
      <c r="H348" s="4">
        <v>1</v>
      </c>
      <c r="I348" s="4">
        <v>1</v>
      </c>
      <c r="J348" s="86">
        <f>APUs!G17883</f>
        <v>27251961</v>
      </c>
      <c r="K348" s="86">
        <f t="shared" ref="K348" si="369">E348*$J348</f>
        <v>0</v>
      </c>
      <c r="L348" s="86">
        <f t="shared" ref="L348" si="370">F348*$J348</f>
        <v>0</v>
      </c>
      <c r="M348" s="86">
        <f t="shared" ref="M348" si="371">G348*$J348</f>
        <v>27251961</v>
      </c>
      <c r="N348" s="86">
        <f t="shared" ref="N348" si="372">H348*$J348</f>
        <v>27251961</v>
      </c>
      <c r="O348" s="86">
        <f t="shared" ref="O348" si="373">I348*$J348</f>
        <v>27251961</v>
      </c>
    </row>
    <row r="349" spans="1:15" hidden="1" outlineLevel="2" x14ac:dyDescent="0.25">
      <c r="A349" s="205" t="s">
        <v>228</v>
      </c>
      <c r="B349" s="205" t="str">
        <f t="shared" si="368"/>
        <v>003_AUX</v>
      </c>
      <c r="C349" s="153" t="s">
        <v>2433</v>
      </c>
      <c r="D349" s="4" t="s">
        <v>108</v>
      </c>
      <c r="E349" s="4">
        <v>10</v>
      </c>
      <c r="F349" s="4">
        <v>10</v>
      </c>
      <c r="G349" s="161">
        <v>0</v>
      </c>
      <c r="H349" s="161">
        <v>0</v>
      </c>
      <c r="I349" s="161">
        <v>0</v>
      </c>
      <c r="J349" s="86">
        <f>APUs!G16679</f>
        <v>227219</v>
      </c>
      <c r="K349" s="86">
        <f t="shared" ref="K349" si="374">E349*$J349</f>
        <v>2272190</v>
      </c>
      <c r="L349" s="86">
        <f t="shared" ref="L349" si="375">F349*$J349</f>
        <v>2272190</v>
      </c>
      <c r="M349" s="86">
        <f t="shared" ref="M349" si="376">G349*$J349</f>
        <v>0</v>
      </c>
      <c r="N349" s="86">
        <f t="shared" ref="N349" si="377">H349*$J349</f>
        <v>0</v>
      </c>
      <c r="O349" s="86">
        <f t="shared" ref="O349" si="378">I349*$J349</f>
        <v>0</v>
      </c>
    </row>
    <row r="350" spans="1:15" hidden="1" outlineLevel="2" x14ac:dyDescent="0.25">
      <c r="A350" s="44" t="s">
        <v>246</v>
      </c>
      <c r="B350" s="44" t="str">
        <f t="shared" si="368"/>
        <v>022_AUX</v>
      </c>
      <c r="C350" s="162" t="s">
        <v>1832</v>
      </c>
      <c r="D350" s="127" t="s">
        <v>108</v>
      </c>
      <c r="E350" s="161">
        <v>0</v>
      </c>
      <c r="F350" s="161">
        <v>0</v>
      </c>
      <c r="G350" s="7">
        <v>10</v>
      </c>
      <c r="H350" s="7">
        <v>10</v>
      </c>
      <c r="I350" s="7">
        <v>10</v>
      </c>
      <c r="J350" s="86">
        <f>APUs!G17953</f>
        <v>958986</v>
      </c>
      <c r="K350" s="86">
        <f t="shared" si="366"/>
        <v>0</v>
      </c>
      <c r="L350" s="86">
        <f t="shared" si="366"/>
        <v>0</v>
      </c>
      <c r="M350" s="86">
        <f t="shared" si="367"/>
        <v>9589860</v>
      </c>
      <c r="N350" s="86">
        <f t="shared" si="367"/>
        <v>9589860</v>
      </c>
      <c r="O350" s="86">
        <f t="shared" si="367"/>
        <v>9589860</v>
      </c>
    </row>
    <row r="351" spans="1:15" outlineLevel="1" collapsed="1" x14ac:dyDescent="0.25">
      <c r="C351" s="172" t="s">
        <v>1089</v>
      </c>
      <c r="D351" s="173"/>
      <c r="E351" s="173"/>
      <c r="F351" s="173"/>
      <c r="G351" s="173"/>
      <c r="H351" s="173"/>
      <c r="I351" s="173"/>
      <c r="J351" s="174"/>
      <c r="K351" s="151">
        <f>SUM(K352:K357)+K358+K369+K382+K391</f>
        <v>108983437</v>
      </c>
      <c r="L351" s="151">
        <f>SUM(L352:L357)+L358+L369+L382+L391</f>
        <v>107200167</v>
      </c>
      <c r="M351" s="151">
        <f>SUM(M352:M357)+M358+M369+M382+M391</f>
        <v>164958249</v>
      </c>
      <c r="N351" s="151">
        <f>SUM(N352:N357)+N358+N369+N382+N391</f>
        <v>166382116</v>
      </c>
      <c r="O351" s="151">
        <f>SUM(O352:O357)+O358+O369+O382+O391</f>
        <v>109152528</v>
      </c>
    </row>
    <row r="352" spans="1:15" hidden="1" outlineLevel="2" x14ac:dyDescent="0.25">
      <c r="A352" s="44" t="s">
        <v>247</v>
      </c>
      <c r="B352" s="167" t="str">
        <f>A352&amp;"_AUX"</f>
        <v>023_AUX</v>
      </c>
      <c r="C352" s="153" t="s">
        <v>2483</v>
      </c>
      <c r="D352" s="7" t="s">
        <v>18</v>
      </c>
      <c r="E352" s="7">
        <v>1</v>
      </c>
      <c r="F352" s="7">
        <v>1</v>
      </c>
      <c r="G352" s="161">
        <v>0</v>
      </c>
      <c r="H352" s="161">
        <v>0</v>
      </c>
      <c r="I352" s="161">
        <v>0</v>
      </c>
      <c r="J352" s="86">
        <f>APUs!G18025</f>
        <v>3330756</v>
      </c>
      <c r="K352" s="86">
        <f t="shared" ref="K352:L352" si="379">E352*$J352</f>
        <v>3330756</v>
      </c>
      <c r="L352" s="86">
        <f t="shared" si="379"/>
        <v>3330756</v>
      </c>
      <c r="M352" s="86">
        <f t="shared" ref="M352:O352" si="380">G352*$J352</f>
        <v>0</v>
      </c>
      <c r="N352" s="86">
        <f t="shared" si="380"/>
        <v>0</v>
      </c>
      <c r="O352" s="86">
        <f t="shared" si="380"/>
        <v>0</v>
      </c>
    </row>
    <row r="353" spans="1:15" hidden="1" outlineLevel="2" x14ac:dyDescent="0.25">
      <c r="A353" s="44" t="s">
        <v>248</v>
      </c>
      <c r="B353" s="167" t="str">
        <f t="shared" ref="B353:B357" si="381">A353&amp;"_AUX"</f>
        <v>024_AUX</v>
      </c>
      <c r="C353" s="153" t="s">
        <v>1671</v>
      </c>
      <c r="D353" s="4" t="s">
        <v>8</v>
      </c>
      <c r="E353" s="161">
        <v>0</v>
      </c>
      <c r="F353" s="161">
        <v>0</v>
      </c>
      <c r="G353" s="7">
        <v>1</v>
      </c>
      <c r="H353" s="7">
        <v>1</v>
      </c>
      <c r="I353" s="7">
        <v>1</v>
      </c>
      <c r="J353" s="86">
        <f>APUs!G18098</f>
        <v>3680196</v>
      </c>
      <c r="K353" s="86">
        <f t="shared" ref="K353:K357" si="382">E353*$J353</f>
        <v>0</v>
      </c>
      <c r="L353" s="86">
        <f t="shared" ref="L353:L357" si="383">F353*$J353</f>
        <v>0</v>
      </c>
      <c r="M353" s="86">
        <f t="shared" ref="M353:M357" si="384">G353*$J353</f>
        <v>3680196</v>
      </c>
      <c r="N353" s="86">
        <f t="shared" ref="N353:N357" si="385">H353*$J353</f>
        <v>3680196</v>
      </c>
      <c r="O353" s="86">
        <f t="shared" ref="O353:O357" si="386">I353*$J353</f>
        <v>3680196</v>
      </c>
    </row>
    <row r="354" spans="1:15" hidden="1" outlineLevel="2" x14ac:dyDescent="0.25">
      <c r="A354" s="44" t="s">
        <v>249</v>
      </c>
      <c r="B354" s="167" t="str">
        <f t="shared" si="381"/>
        <v>025_AUX</v>
      </c>
      <c r="C354" s="153" t="s">
        <v>2490</v>
      </c>
      <c r="D354" s="127" t="s">
        <v>108</v>
      </c>
      <c r="E354" s="127">
        <v>8</v>
      </c>
      <c r="F354" s="127">
        <v>8</v>
      </c>
      <c r="G354" s="158">
        <v>0</v>
      </c>
      <c r="H354" s="158">
        <v>0</v>
      </c>
      <c r="I354" s="158">
        <v>0</v>
      </c>
      <c r="J354" s="86">
        <f>APUs!G18168</f>
        <v>57961</v>
      </c>
      <c r="K354" s="86">
        <f t="shared" si="382"/>
        <v>463688</v>
      </c>
      <c r="L354" s="86">
        <f t="shared" si="383"/>
        <v>463688</v>
      </c>
      <c r="M354" s="86">
        <f t="shared" si="384"/>
        <v>0</v>
      </c>
      <c r="N354" s="86">
        <f t="shared" si="385"/>
        <v>0</v>
      </c>
      <c r="O354" s="86">
        <f t="shared" si="386"/>
        <v>0</v>
      </c>
    </row>
    <row r="355" spans="1:15" hidden="1" outlineLevel="2" x14ac:dyDescent="0.25">
      <c r="A355" s="44" t="s">
        <v>250</v>
      </c>
      <c r="B355" s="167" t="str">
        <f t="shared" si="381"/>
        <v>026_AUX</v>
      </c>
      <c r="C355" s="153" t="s">
        <v>2510</v>
      </c>
      <c r="D355" s="127" t="s">
        <v>108</v>
      </c>
      <c r="E355" s="127">
        <v>8</v>
      </c>
      <c r="F355" s="127">
        <v>8</v>
      </c>
      <c r="G355" s="158">
        <v>0</v>
      </c>
      <c r="H355" s="158">
        <v>0</v>
      </c>
      <c r="I355" s="158">
        <v>0</v>
      </c>
      <c r="J355" s="86">
        <f>APUs!G18238</f>
        <v>37170</v>
      </c>
      <c r="K355" s="86">
        <f t="shared" si="382"/>
        <v>297360</v>
      </c>
      <c r="L355" s="86">
        <f t="shared" si="383"/>
        <v>297360</v>
      </c>
      <c r="M355" s="86">
        <f t="shared" si="384"/>
        <v>0</v>
      </c>
      <c r="N355" s="86">
        <f t="shared" si="385"/>
        <v>0</v>
      </c>
      <c r="O355" s="86">
        <f t="shared" si="386"/>
        <v>0</v>
      </c>
    </row>
    <row r="356" spans="1:15" hidden="1" outlineLevel="2" x14ac:dyDescent="0.25">
      <c r="A356" s="44" t="s">
        <v>251</v>
      </c>
      <c r="B356" s="167" t="str">
        <f t="shared" si="381"/>
        <v>027_AUX</v>
      </c>
      <c r="C356" s="153" t="s">
        <v>2491</v>
      </c>
      <c r="D356" s="127" t="s">
        <v>108</v>
      </c>
      <c r="E356" s="158">
        <v>0</v>
      </c>
      <c r="F356" s="158">
        <v>0</v>
      </c>
      <c r="G356" s="7">
        <v>8</v>
      </c>
      <c r="H356" s="7">
        <v>8</v>
      </c>
      <c r="I356" s="7">
        <v>8</v>
      </c>
      <c r="J356" s="86">
        <f>APUs!G18308</f>
        <v>154242</v>
      </c>
      <c r="K356" s="86">
        <f t="shared" si="382"/>
        <v>0</v>
      </c>
      <c r="L356" s="86">
        <f t="shared" si="383"/>
        <v>0</v>
      </c>
      <c r="M356" s="86">
        <f t="shared" si="384"/>
        <v>1233936</v>
      </c>
      <c r="N356" s="86">
        <f t="shared" si="385"/>
        <v>1233936</v>
      </c>
      <c r="O356" s="86">
        <f t="shared" si="386"/>
        <v>1233936</v>
      </c>
    </row>
    <row r="357" spans="1:15" hidden="1" outlineLevel="2" x14ac:dyDescent="0.25">
      <c r="A357" s="44" t="s">
        <v>252</v>
      </c>
      <c r="B357" s="167" t="str">
        <f t="shared" si="381"/>
        <v>028_AUX</v>
      </c>
      <c r="C357" s="153" t="s">
        <v>2511</v>
      </c>
      <c r="D357" s="127" t="s">
        <v>108</v>
      </c>
      <c r="E357" s="158">
        <v>0</v>
      </c>
      <c r="F357" s="158">
        <v>0</v>
      </c>
      <c r="G357" s="7">
        <v>8</v>
      </c>
      <c r="H357" s="7">
        <v>8</v>
      </c>
      <c r="I357" s="7">
        <v>8</v>
      </c>
      <c r="J357" s="86">
        <f>APUs!G18378</f>
        <v>112412</v>
      </c>
      <c r="K357" s="86">
        <f t="shared" si="382"/>
        <v>0</v>
      </c>
      <c r="L357" s="86">
        <f t="shared" si="383"/>
        <v>0</v>
      </c>
      <c r="M357" s="86">
        <f t="shared" si="384"/>
        <v>899296</v>
      </c>
      <c r="N357" s="86">
        <f t="shared" si="385"/>
        <v>899296</v>
      </c>
      <c r="O357" s="86">
        <f t="shared" si="386"/>
        <v>899296</v>
      </c>
    </row>
    <row r="358" spans="1:15" hidden="1" outlineLevel="2" collapsed="1" x14ac:dyDescent="0.25">
      <c r="C358" s="184" t="s">
        <v>2249</v>
      </c>
      <c r="D358" s="185"/>
      <c r="E358" s="185"/>
      <c r="F358" s="185"/>
      <c r="G358" s="185"/>
      <c r="H358" s="185"/>
      <c r="I358" s="185"/>
      <c r="J358" s="185"/>
      <c r="K358" s="186">
        <f>SUM(K359:K368)</f>
        <v>80564619</v>
      </c>
      <c r="L358" s="186">
        <f>SUM(L359:L368)</f>
        <v>79396969</v>
      </c>
      <c r="M358" s="186">
        <f>SUM(M359:M368)</f>
        <v>92368443</v>
      </c>
      <c r="N358" s="186">
        <f>SUM(N359:N368)</f>
        <v>102270170</v>
      </c>
      <c r="O358" s="186">
        <f>SUM(O359:O368)</f>
        <v>45040582</v>
      </c>
    </row>
    <row r="359" spans="1:15" hidden="1" outlineLevel="3" x14ac:dyDescent="0.25">
      <c r="A359" s="44" t="s">
        <v>253</v>
      </c>
      <c r="B359" s="44" t="str">
        <f>A359&amp;"_AUX"</f>
        <v>029_AUX</v>
      </c>
      <c r="C359" s="163" t="s">
        <v>2322</v>
      </c>
      <c r="D359" s="7" t="s">
        <v>18</v>
      </c>
      <c r="E359" s="7">
        <v>8</v>
      </c>
      <c r="F359" s="7">
        <v>8</v>
      </c>
      <c r="G359" s="7">
        <v>1</v>
      </c>
      <c r="H359" s="7">
        <v>4</v>
      </c>
      <c r="I359" s="158">
        <v>0</v>
      </c>
      <c r="J359" s="86">
        <f>APUs!G18444</f>
        <v>2801326</v>
      </c>
      <c r="K359" s="86">
        <f t="shared" ref="K359:L368" si="387">E359*$J359</f>
        <v>22410608</v>
      </c>
      <c r="L359" s="86">
        <f t="shared" si="387"/>
        <v>22410608</v>
      </c>
      <c r="M359" s="86">
        <f t="shared" ref="M359:M368" si="388">G359*$J359</f>
        <v>2801326</v>
      </c>
      <c r="N359" s="86">
        <f t="shared" ref="N359:N368" si="389">H359*$J359</f>
        <v>11205304</v>
      </c>
      <c r="O359" s="86">
        <f t="shared" ref="O359:O368" si="390">I359*$J359</f>
        <v>0</v>
      </c>
    </row>
    <row r="360" spans="1:15" hidden="1" outlineLevel="3" x14ac:dyDescent="0.25">
      <c r="A360" s="44" t="s">
        <v>254</v>
      </c>
      <c r="B360" s="44" t="str">
        <f t="shared" ref="B360:B368" si="391">A360&amp;"_AUX"</f>
        <v>030_AUX</v>
      </c>
      <c r="C360" s="163" t="s">
        <v>2386</v>
      </c>
      <c r="D360" s="7" t="s">
        <v>18</v>
      </c>
      <c r="E360" s="7">
        <v>8</v>
      </c>
      <c r="F360" s="7">
        <v>8</v>
      </c>
      <c r="G360" s="7">
        <v>1</v>
      </c>
      <c r="H360" s="7">
        <v>4</v>
      </c>
      <c r="I360" s="158">
        <v>0</v>
      </c>
      <c r="J360" s="86">
        <f>APUs!G18519</f>
        <v>792913</v>
      </c>
      <c r="K360" s="86">
        <f t="shared" ref="K360" si="392">E360*$J360</f>
        <v>6343304</v>
      </c>
      <c r="L360" s="86">
        <f t="shared" ref="L360" si="393">F360*$J360</f>
        <v>6343304</v>
      </c>
      <c r="M360" s="86">
        <f t="shared" ref="M360" si="394">G360*$J360</f>
        <v>792913</v>
      </c>
      <c r="N360" s="86">
        <f t="shared" ref="N360" si="395">H360*$J360</f>
        <v>3171652</v>
      </c>
      <c r="O360" s="86">
        <f t="shared" ref="O360" si="396">I360*$J360</f>
        <v>0</v>
      </c>
    </row>
    <row r="361" spans="1:15" hidden="1" outlineLevel="3" x14ac:dyDescent="0.25">
      <c r="A361" s="44" t="s">
        <v>255</v>
      </c>
      <c r="B361" s="44" t="str">
        <f t="shared" si="391"/>
        <v>031_AUX</v>
      </c>
      <c r="C361" s="163" t="s">
        <v>2323</v>
      </c>
      <c r="D361" s="7" t="s">
        <v>18</v>
      </c>
      <c r="E361" s="4">
        <v>26</v>
      </c>
      <c r="F361" s="4">
        <v>24</v>
      </c>
      <c r="G361" s="161">
        <v>0</v>
      </c>
      <c r="H361" s="7">
        <v>11</v>
      </c>
      <c r="I361" s="161">
        <v>0</v>
      </c>
      <c r="J361" s="86">
        <f>APUs!G18591</f>
        <v>583825</v>
      </c>
      <c r="K361" s="86">
        <f t="shared" si="387"/>
        <v>15179450</v>
      </c>
      <c r="L361" s="86">
        <f t="shared" si="387"/>
        <v>14011800</v>
      </c>
      <c r="M361" s="86">
        <f t="shared" si="388"/>
        <v>0</v>
      </c>
      <c r="N361" s="86">
        <f t="shared" si="389"/>
        <v>6422075</v>
      </c>
      <c r="O361" s="86">
        <f t="shared" si="390"/>
        <v>0</v>
      </c>
    </row>
    <row r="362" spans="1:15" hidden="1" outlineLevel="3" x14ac:dyDescent="0.25">
      <c r="A362" s="44" t="s">
        <v>256</v>
      </c>
      <c r="B362" s="44" t="str">
        <f t="shared" si="391"/>
        <v>032_AUX</v>
      </c>
      <c r="C362" s="163" t="s">
        <v>1796</v>
      </c>
      <c r="D362" s="4" t="s">
        <v>8</v>
      </c>
      <c r="E362" s="161">
        <v>0</v>
      </c>
      <c r="F362" s="161">
        <v>0</v>
      </c>
      <c r="G362" s="4">
        <v>36</v>
      </c>
      <c r="H362" s="7">
        <v>28</v>
      </c>
      <c r="I362" s="4">
        <v>18</v>
      </c>
      <c r="J362" s="86">
        <f>APUs!G18663</f>
        <v>420395</v>
      </c>
      <c r="K362" s="86">
        <f>E362*$J362</f>
        <v>0</v>
      </c>
      <c r="L362" s="86">
        <f>F362*$J362</f>
        <v>0</v>
      </c>
      <c r="M362" s="86">
        <f>G362*$J362</f>
        <v>15134220</v>
      </c>
      <c r="N362" s="86">
        <f>H362*$J362</f>
        <v>11771060</v>
      </c>
      <c r="O362" s="86">
        <f>I362*$J362</f>
        <v>7567110</v>
      </c>
    </row>
    <row r="363" spans="1:15" hidden="1" outlineLevel="3" x14ac:dyDescent="0.25">
      <c r="A363" s="44" t="s">
        <v>257</v>
      </c>
      <c r="B363" s="44" t="str">
        <f t="shared" si="391"/>
        <v>033_AUX</v>
      </c>
      <c r="C363" s="163" t="s">
        <v>2387</v>
      </c>
      <c r="D363" s="7" t="s">
        <v>108</v>
      </c>
      <c r="E363" s="4">
        <v>175</v>
      </c>
      <c r="F363" s="4">
        <v>175</v>
      </c>
      <c r="G363" s="4">
        <f>180*2</f>
        <v>360</v>
      </c>
      <c r="H363" s="4">
        <v>250</v>
      </c>
      <c r="I363" s="4">
        <v>70</v>
      </c>
      <c r="J363" s="86">
        <f>APUs!G18733</f>
        <v>41730</v>
      </c>
      <c r="K363" s="86">
        <f t="shared" si="387"/>
        <v>7302750</v>
      </c>
      <c r="L363" s="86">
        <f t="shared" si="387"/>
        <v>7302750</v>
      </c>
      <c r="M363" s="86">
        <f t="shared" si="388"/>
        <v>15022800</v>
      </c>
      <c r="N363" s="86">
        <f t="shared" si="389"/>
        <v>10432500</v>
      </c>
      <c r="O363" s="86">
        <f t="shared" si="390"/>
        <v>2921100</v>
      </c>
    </row>
    <row r="364" spans="1:15" hidden="1" outlineLevel="3" x14ac:dyDescent="0.25">
      <c r="A364" s="44" t="s">
        <v>258</v>
      </c>
      <c r="B364" s="44" t="str">
        <f t="shared" si="391"/>
        <v>034_AUX</v>
      </c>
      <c r="C364" s="163" t="s">
        <v>2512</v>
      </c>
      <c r="D364" s="7" t="s">
        <v>8</v>
      </c>
      <c r="E364" s="161">
        <v>0</v>
      </c>
      <c r="F364" s="161">
        <v>0</v>
      </c>
      <c r="G364" s="4">
        <v>32</v>
      </c>
      <c r="H364" s="4">
        <f>39-H365</f>
        <v>23</v>
      </c>
      <c r="I364" s="4">
        <v>18</v>
      </c>
      <c r="J364" s="86">
        <f>APUs!G18803</f>
        <v>1178360</v>
      </c>
      <c r="K364" s="86">
        <f t="shared" si="387"/>
        <v>0</v>
      </c>
      <c r="L364" s="86">
        <f t="shared" si="387"/>
        <v>0</v>
      </c>
      <c r="M364" s="86">
        <f t="shared" si="388"/>
        <v>37707520</v>
      </c>
      <c r="N364" s="86">
        <f t="shared" si="389"/>
        <v>27102280</v>
      </c>
      <c r="O364" s="86">
        <f t="shared" si="390"/>
        <v>21210480</v>
      </c>
    </row>
    <row r="365" spans="1:15" hidden="1" outlineLevel="3" x14ac:dyDescent="0.25">
      <c r="A365" s="44" t="s">
        <v>259</v>
      </c>
      <c r="B365" s="44" t="str">
        <f t="shared" si="391"/>
        <v>035_AUX</v>
      </c>
      <c r="C365" s="163" t="s">
        <v>2513</v>
      </c>
      <c r="D365" s="4" t="s">
        <v>8</v>
      </c>
      <c r="E365" s="4">
        <v>8</v>
      </c>
      <c r="F365" s="4">
        <v>8</v>
      </c>
      <c r="G365" s="4">
        <v>4</v>
      </c>
      <c r="H365" s="4">
        <v>16</v>
      </c>
      <c r="I365" s="158">
        <v>0</v>
      </c>
      <c r="J365" s="86">
        <f>APUs!G18876</f>
        <v>706102</v>
      </c>
      <c r="K365" s="86">
        <f t="shared" si="387"/>
        <v>5648816</v>
      </c>
      <c r="L365" s="86">
        <f t="shared" si="387"/>
        <v>5648816</v>
      </c>
      <c r="M365" s="86">
        <f t="shared" si="388"/>
        <v>2824408</v>
      </c>
      <c r="N365" s="86">
        <f t="shared" si="389"/>
        <v>11297632</v>
      </c>
      <c r="O365" s="86">
        <f t="shared" si="390"/>
        <v>0</v>
      </c>
    </row>
    <row r="366" spans="1:15" hidden="1" outlineLevel="3" x14ac:dyDescent="0.25">
      <c r="A366" s="44" t="s">
        <v>260</v>
      </c>
      <c r="B366" s="44" t="str">
        <f t="shared" si="391"/>
        <v>036_AUX</v>
      </c>
      <c r="C366" s="163" t="s">
        <v>197</v>
      </c>
      <c r="D366" s="4" t="s">
        <v>8</v>
      </c>
      <c r="E366" s="4">
        <v>8</v>
      </c>
      <c r="F366" s="4">
        <v>8</v>
      </c>
      <c r="G366" s="7">
        <f>G359</f>
        <v>1</v>
      </c>
      <c r="H366" s="7">
        <f t="shared" ref="H366:I366" si="397">H359</f>
        <v>4</v>
      </c>
      <c r="I366" s="158">
        <f t="shared" si="397"/>
        <v>0</v>
      </c>
      <c r="J366" s="86">
        <f>APUs!G18948</f>
        <v>703006</v>
      </c>
      <c r="K366" s="86">
        <f t="shared" si="387"/>
        <v>5624048</v>
      </c>
      <c r="L366" s="86">
        <f t="shared" si="387"/>
        <v>5624048</v>
      </c>
      <c r="M366" s="86">
        <f t="shared" si="388"/>
        <v>703006</v>
      </c>
      <c r="N366" s="86">
        <f t="shared" si="389"/>
        <v>2812024</v>
      </c>
      <c r="O366" s="86">
        <f t="shared" si="390"/>
        <v>0</v>
      </c>
    </row>
    <row r="367" spans="1:15" hidden="1" outlineLevel="3" x14ac:dyDescent="0.25">
      <c r="A367" s="205" t="s">
        <v>237</v>
      </c>
      <c r="B367" s="205" t="str">
        <f t="shared" ref="B367" si="398">A367&amp;"_SC"</f>
        <v>013_SC</v>
      </c>
      <c r="C367" s="163" t="s">
        <v>1210</v>
      </c>
      <c r="D367" s="4" t="s">
        <v>8</v>
      </c>
      <c r="E367" s="7">
        <v>10</v>
      </c>
      <c r="F367" s="7">
        <v>10</v>
      </c>
      <c r="G367" s="4">
        <v>9</v>
      </c>
      <c r="H367" s="4">
        <v>10</v>
      </c>
      <c r="I367" s="4">
        <v>3</v>
      </c>
      <c r="J367" s="86">
        <f>APUs!G16336</f>
        <v>673393</v>
      </c>
      <c r="K367" s="86">
        <f t="shared" si="387"/>
        <v>6733930</v>
      </c>
      <c r="L367" s="86">
        <f t="shared" si="387"/>
        <v>6733930</v>
      </c>
      <c r="M367" s="86">
        <f t="shared" si="388"/>
        <v>6060537</v>
      </c>
      <c r="N367" s="86">
        <f t="shared" si="389"/>
        <v>6733930</v>
      </c>
      <c r="O367" s="86">
        <f t="shared" si="390"/>
        <v>2020179</v>
      </c>
    </row>
    <row r="368" spans="1:15" hidden="1" outlineLevel="3" x14ac:dyDescent="0.25">
      <c r="A368" s="44" t="s">
        <v>262</v>
      </c>
      <c r="B368" s="44" t="str">
        <f t="shared" si="391"/>
        <v>038_AUX</v>
      </c>
      <c r="C368" s="163" t="s">
        <v>1827</v>
      </c>
      <c r="D368" s="7" t="s">
        <v>8</v>
      </c>
      <c r="E368" s="7">
        <v>1</v>
      </c>
      <c r="F368" s="7">
        <v>1</v>
      </c>
      <c r="G368" s="4">
        <v>1</v>
      </c>
      <c r="H368" s="4">
        <v>1</v>
      </c>
      <c r="I368" s="4">
        <v>1</v>
      </c>
      <c r="J368" s="86">
        <f>APUs!G19022</f>
        <v>11321713</v>
      </c>
      <c r="K368" s="86">
        <f t="shared" si="387"/>
        <v>11321713</v>
      </c>
      <c r="L368" s="86">
        <f t="shared" si="387"/>
        <v>11321713</v>
      </c>
      <c r="M368" s="86">
        <f t="shared" si="388"/>
        <v>11321713</v>
      </c>
      <c r="N368" s="86">
        <f t="shared" si="389"/>
        <v>11321713</v>
      </c>
      <c r="O368" s="86">
        <f t="shared" si="390"/>
        <v>11321713</v>
      </c>
    </row>
    <row r="369" spans="1:15" hidden="1" outlineLevel="2" collapsed="1" x14ac:dyDescent="0.25">
      <c r="A369" s="44"/>
      <c r="B369" s="44"/>
      <c r="C369" s="184" t="s">
        <v>1673</v>
      </c>
      <c r="D369" s="185"/>
      <c r="E369" s="185"/>
      <c r="F369" s="185"/>
      <c r="G369" s="185"/>
      <c r="H369" s="185"/>
      <c r="I369" s="185"/>
      <c r="J369" s="185"/>
      <c r="K369" s="186">
        <f>SUM(K370:K381)</f>
        <v>8002841</v>
      </c>
      <c r="L369" s="186">
        <f>SUM(L370:L381)</f>
        <v>8002841</v>
      </c>
      <c r="M369" s="186">
        <f>SUM(M370:M381)</f>
        <v>41351264</v>
      </c>
      <c r="N369" s="186">
        <f>SUM(N370:N381)</f>
        <v>41351264</v>
      </c>
      <c r="O369" s="186">
        <f>SUM(O370:O381)</f>
        <v>41351264</v>
      </c>
    </row>
    <row r="370" spans="1:15" hidden="1" outlineLevel="3" x14ac:dyDescent="0.25">
      <c r="A370" s="44" t="s">
        <v>263</v>
      </c>
      <c r="B370" s="44" t="str">
        <f>A370&amp;"_AUX"</f>
        <v>039_AUX</v>
      </c>
      <c r="C370" s="153" t="s">
        <v>2325</v>
      </c>
      <c r="D370" s="7" t="s">
        <v>8</v>
      </c>
      <c r="E370" s="4">
        <v>6</v>
      </c>
      <c r="F370" s="4">
        <v>6</v>
      </c>
      <c r="G370" s="161">
        <v>0</v>
      </c>
      <c r="H370" s="161">
        <v>0</v>
      </c>
      <c r="I370" s="161">
        <v>0</v>
      </c>
      <c r="J370" s="86">
        <f>APUs!G19093</f>
        <v>102849</v>
      </c>
      <c r="K370" s="86">
        <f t="shared" ref="K370:L370" si="399">E370*$J370</f>
        <v>617094</v>
      </c>
      <c r="L370" s="86">
        <f t="shared" si="399"/>
        <v>617094</v>
      </c>
      <c r="M370" s="86">
        <f t="shared" ref="M370:O371" si="400">G370*$J370</f>
        <v>0</v>
      </c>
      <c r="N370" s="86">
        <f t="shared" si="400"/>
        <v>0</v>
      </c>
      <c r="O370" s="86">
        <f t="shared" si="400"/>
        <v>0</v>
      </c>
    </row>
    <row r="371" spans="1:15" hidden="1" outlineLevel="3" x14ac:dyDescent="0.25">
      <c r="A371" s="44" t="s">
        <v>264</v>
      </c>
      <c r="B371" s="44" t="str">
        <f t="shared" ref="B371:B381" si="401">A371&amp;"_AUX"</f>
        <v>040_AUX</v>
      </c>
      <c r="C371" s="153" t="s">
        <v>2326</v>
      </c>
      <c r="D371" s="7" t="s">
        <v>8</v>
      </c>
      <c r="E371" s="4">
        <v>2</v>
      </c>
      <c r="F371" s="4">
        <v>2</v>
      </c>
      <c r="G371" s="161">
        <v>0</v>
      </c>
      <c r="H371" s="161">
        <v>0</v>
      </c>
      <c r="I371" s="161">
        <v>0</v>
      </c>
      <c r="J371" s="86">
        <f>APUs!G19166</f>
        <v>88809</v>
      </c>
      <c r="K371" s="86">
        <f t="shared" ref="K371" si="402">E371*$J371</f>
        <v>177618</v>
      </c>
      <c r="L371" s="86">
        <f t="shared" ref="L371" si="403">F371*$J371</f>
        <v>177618</v>
      </c>
      <c r="M371" s="86">
        <f t="shared" si="400"/>
        <v>0</v>
      </c>
      <c r="N371" s="86">
        <f t="shared" si="400"/>
        <v>0</v>
      </c>
      <c r="O371" s="86">
        <f t="shared" si="400"/>
        <v>0</v>
      </c>
    </row>
    <row r="372" spans="1:15" hidden="1" outlineLevel="3" x14ac:dyDescent="0.25">
      <c r="A372" s="44" t="s">
        <v>265</v>
      </c>
      <c r="B372" s="44" t="str">
        <f t="shared" si="401"/>
        <v>041_AUX</v>
      </c>
      <c r="C372" s="153" t="s">
        <v>2819</v>
      </c>
      <c r="D372" s="7" t="s">
        <v>8</v>
      </c>
      <c r="E372" s="4">
        <f>E373+E374+E375+E376+E377+E371+E370</f>
        <v>15</v>
      </c>
      <c r="F372" s="4">
        <f>F373+F374+F375+F376+F377+F371+F370</f>
        <v>15</v>
      </c>
      <c r="G372" s="4">
        <f t="shared" ref="G372:I372" si="404">G373+G374+G375+G376+G377+G371+G370</f>
        <v>65</v>
      </c>
      <c r="H372" s="4">
        <f t="shared" si="404"/>
        <v>65</v>
      </c>
      <c r="I372" s="4">
        <f t="shared" si="404"/>
        <v>65</v>
      </c>
      <c r="J372" s="86">
        <f>APUs!G19241</f>
        <v>191498</v>
      </c>
      <c r="K372" s="86">
        <f t="shared" ref="K372:L381" si="405">E372*$J372</f>
        <v>2872470</v>
      </c>
      <c r="L372" s="86">
        <f t="shared" si="405"/>
        <v>2872470</v>
      </c>
      <c r="M372" s="86">
        <f t="shared" ref="M372:M381" si="406">G372*$J372</f>
        <v>12447370</v>
      </c>
      <c r="N372" s="86">
        <f t="shared" ref="N372:N381" si="407">H372*$J372</f>
        <v>12447370</v>
      </c>
      <c r="O372" s="86">
        <f t="shared" ref="O372:O381" si="408">I372*$J372</f>
        <v>12447370</v>
      </c>
    </row>
    <row r="373" spans="1:15" hidden="1" outlineLevel="3" x14ac:dyDescent="0.25">
      <c r="A373" s="44" t="s">
        <v>266</v>
      </c>
      <c r="B373" s="44" t="str">
        <f t="shared" si="401"/>
        <v>042_AUX</v>
      </c>
      <c r="C373" s="153" t="s">
        <v>1797</v>
      </c>
      <c r="D373" s="7" t="s">
        <v>8</v>
      </c>
      <c r="E373" s="161">
        <v>0</v>
      </c>
      <c r="F373" s="161">
        <v>0</v>
      </c>
      <c r="G373" s="4">
        <v>10</v>
      </c>
      <c r="H373" s="4">
        <v>10</v>
      </c>
      <c r="I373" s="4">
        <v>10</v>
      </c>
      <c r="J373" s="86">
        <f>APUs!G19317</f>
        <v>231652</v>
      </c>
      <c r="K373" s="86">
        <f t="shared" si="405"/>
        <v>0</v>
      </c>
      <c r="L373" s="86">
        <f t="shared" si="405"/>
        <v>0</v>
      </c>
      <c r="M373" s="86">
        <f t="shared" si="406"/>
        <v>2316520</v>
      </c>
      <c r="N373" s="86">
        <f t="shared" si="407"/>
        <v>2316520</v>
      </c>
      <c r="O373" s="86">
        <f t="shared" si="408"/>
        <v>2316520</v>
      </c>
    </row>
    <row r="374" spans="1:15" hidden="1" outlineLevel="3" x14ac:dyDescent="0.25">
      <c r="A374" s="44" t="s">
        <v>267</v>
      </c>
      <c r="B374" s="44" t="str">
        <f t="shared" si="401"/>
        <v>043_AUX</v>
      </c>
      <c r="C374" s="153" t="s">
        <v>1798</v>
      </c>
      <c r="D374" s="7" t="s">
        <v>8</v>
      </c>
      <c r="E374" s="4">
        <v>4</v>
      </c>
      <c r="F374" s="4">
        <v>4</v>
      </c>
      <c r="G374" s="4">
        <f>6+23</f>
        <v>29</v>
      </c>
      <c r="H374" s="4">
        <v>29</v>
      </c>
      <c r="I374" s="4">
        <v>29</v>
      </c>
      <c r="J374" s="86">
        <f>APUs!G19392</f>
        <v>271693</v>
      </c>
      <c r="K374" s="86">
        <f t="shared" si="405"/>
        <v>1086772</v>
      </c>
      <c r="L374" s="86">
        <f t="shared" si="405"/>
        <v>1086772</v>
      </c>
      <c r="M374" s="86">
        <f t="shared" si="406"/>
        <v>7879097</v>
      </c>
      <c r="N374" s="86">
        <f t="shared" si="407"/>
        <v>7879097</v>
      </c>
      <c r="O374" s="86">
        <f t="shared" si="408"/>
        <v>7879097</v>
      </c>
    </row>
    <row r="375" spans="1:15" hidden="1" outlineLevel="3" x14ac:dyDescent="0.25">
      <c r="A375" s="44" t="s">
        <v>268</v>
      </c>
      <c r="B375" s="44" t="str">
        <f t="shared" si="401"/>
        <v>044_AUX</v>
      </c>
      <c r="C375" s="153" t="s">
        <v>1799</v>
      </c>
      <c r="D375" s="7" t="s">
        <v>8</v>
      </c>
      <c r="E375" s="161">
        <v>0</v>
      </c>
      <c r="F375" s="161">
        <v>0</v>
      </c>
      <c r="G375" s="4">
        <v>1</v>
      </c>
      <c r="H375" s="4">
        <v>1</v>
      </c>
      <c r="I375" s="4">
        <v>1</v>
      </c>
      <c r="J375" s="86">
        <f>APUs!G19465</f>
        <v>5397426</v>
      </c>
      <c r="K375" s="86">
        <f t="shared" si="405"/>
        <v>0</v>
      </c>
      <c r="L375" s="86">
        <f t="shared" si="405"/>
        <v>0</v>
      </c>
      <c r="M375" s="86">
        <f t="shared" si="406"/>
        <v>5397426</v>
      </c>
      <c r="N375" s="86">
        <f t="shared" si="407"/>
        <v>5397426</v>
      </c>
      <c r="O375" s="86">
        <f t="shared" si="408"/>
        <v>5397426</v>
      </c>
    </row>
    <row r="376" spans="1:15" hidden="1" outlineLevel="3" x14ac:dyDescent="0.25">
      <c r="A376" s="44" t="s">
        <v>269</v>
      </c>
      <c r="B376" s="44" t="str">
        <f t="shared" si="401"/>
        <v>045_AUX</v>
      </c>
      <c r="C376" s="153" t="s">
        <v>1800</v>
      </c>
      <c r="D376" s="7" t="s">
        <v>8</v>
      </c>
      <c r="E376" s="4">
        <v>3</v>
      </c>
      <c r="F376" s="4">
        <v>3</v>
      </c>
      <c r="G376" s="4">
        <v>15</v>
      </c>
      <c r="H376" s="4">
        <v>15</v>
      </c>
      <c r="I376" s="4">
        <v>15</v>
      </c>
      <c r="J376" s="86">
        <f>APUs!G19538</f>
        <v>172411</v>
      </c>
      <c r="K376" s="86">
        <f t="shared" si="405"/>
        <v>517233</v>
      </c>
      <c r="L376" s="86">
        <f t="shared" si="405"/>
        <v>517233</v>
      </c>
      <c r="M376" s="86">
        <f t="shared" si="406"/>
        <v>2586165</v>
      </c>
      <c r="N376" s="86">
        <f t="shared" si="407"/>
        <v>2586165</v>
      </c>
      <c r="O376" s="86">
        <f t="shared" si="408"/>
        <v>2586165</v>
      </c>
    </row>
    <row r="377" spans="1:15" hidden="1" outlineLevel="3" x14ac:dyDescent="0.25">
      <c r="A377" s="44" t="s">
        <v>270</v>
      </c>
      <c r="B377" s="44" t="str">
        <f t="shared" si="401"/>
        <v>046_AUX</v>
      </c>
      <c r="C377" s="153" t="s">
        <v>1801</v>
      </c>
      <c r="D377" s="7" t="s">
        <v>8</v>
      </c>
      <c r="E377" s="161">
        <v>0</v>
      </c>
      <c r="F377" s="161">
        <v>0</v>
      </c>
      <c r="G377" s="4">
        <v>10</v>
      </c>
      <c r="H377" s="4">
        <v>10</v>
      </c>
      <c r="I377" s="4">
        <v>10</v>
      </c>
      <c r="J377" s="86">
        <f>APUs!G19611</f>
        <v>168499</v>
      </c>
      <c r="K377" s="86">
        <f t="shared" si="405"/>
        <v>0</v>
      </c>
      <c r="L377" s="86">
        <f t="shared" si="405"/>
        <v>0</v>
      </c>
      <c r="M377" s="86">
        <f t="shared" si="406"/>
        <v>1684990</v>
      </c>
      <c r="N377" s="86">
        <f t="shared" si="407"/>
        <v>1684990</v>
      </c>
      <c r="O377" s="86">
        <f t="shared" si="408"/>
        <v>1684990</v>
      </c>
    </row>
    <row r="378" spans="1:15" hidden="1" outlineLevel="3" x14ac:dyDescent="0.25">
      <c r="A378" s="44" t="s">
        <v>271</v>
      </c>
      <c r="B378" s="44" t="str">
        <f t="shared" si="401"/>
        <v>047_AUX</v>
      </c>
      <c r="C378" s="153" t="s">
        <v>2520</v>
      </c>
      <c r="D378" s="7" t="s">
        <v>8</v>
      </c>
      <c r="E378" s="4">
        <v>2</v>
      </c>
      <c r="F378" s="4">
        <v>2</v>
      </c>
      <c r="G378" s="4">
        <v>4</v>
      </c>
      <c r="H378" s="4">
        <v>4</v>
      </c>
      <c r="I378" s="4">
        <v>4</v>
      </c>
      <c r="J378" s="86">
        <f>APUs!G19686</f>
        <v>281583</v>
      </c>
      <c r="K378" s="86">
        <f t="shared" si="405"/>
        <v>563166</v>
      </c>
      <c r="L378" s="86">
        <f t="shared" si="405"/>
        <v>563166</v>
      </c>
      <c r="M378" s="86">
        <f t="shared" si="406"/>
        <v>1126332</v>
      </c>
      <c r="N378" s="86">
        <f t="shared" si="407"/>
        <v>1126332</v>
      </c>
      <c r="O378" s="86">
        <f t="shared" si="408"/>
        <v>1126332</v>
      </c>
    </row>
    <row r="379" spans="1:15" hidden="1" outlineLevel="3" x14ac:dyDescent="0.25">
      <c r="A379" s="44" t="s">
        <v>272</v>
      </c>
      <c r="B379" s="44" t="str">
        <f t="shared" si="401"/>
        <v>048_AUX</v>
      </c>
      <c r="C379" s="153" t="s">
        <v>2521</v>
      </c>
      <c r="D379" s="7" t="s">
        <v>8</v>
      </c>
      <c r="E379" s="4">
        <v>4</v>
      </c>
      <c r="F379" s="4">
        <v>4</v>
      </c>
      <c r="G379" s="4">
        <v>3</v>
      </c>
      <c r="H379" s="4">
        <v>3</v>
      </c>
      <c r="I379" s="4">
        <v>3</v>
      </c>
      <c r="J379" s="86">
        <f>APUs!G19762</f>
        <v>542122</v>
      </c>
      <c r="K379" s="86">
        <f t="shared" si="405"/>
        <v>2168488</v>
      </c>
      <c r="L379" s="86">
        <f t="shared" si="405"/>
        <v>2168488</v>
      </c>
      <c r="M379" s="86">
        <f t="shared" si="406"/>
        <v>1626366</v>
      </c>
      <c r="N379" s="86">
        <f t="shared" si="407"/>
        <v>1626366</v>
      </c>
      <c r="O379" s="86">
        <f t="shared" si="408"/>
        <v>1626366</v>
      </c>
    </row>
    <row r="380" spans="1:15" hidden="1" outlineLevel="3" x14ac:dyDescent="0.25">
      <c r="A380" s="44" t="s">
        <v>273</v>
      </c>
      <c r="B380" s="44" t="str">
        <f t="shared" si="401"/>
        <v>049_AUX</v>
      </c>
      <c r="C380" s="153" t="s">
        <v>2522</v>
      </c>
      <c r="D380" s="7" t="s">
        <v>8</v>
      </c>
      <c r="E380" s="161">
        <v>0</v>
      </c>
      <c r="F380" s="161">
        <v>0</v>
      </c>
      <c r="G380" s="4">
        <v>2</v>
      </c>
      <c r="H380" s="4">
        <v>2</v>
      </c>
      <c r="I380" s="4">
        <v>2</v>
      </c>
      <c r="J380" s="86">
        <f>APUs!G19837</f>
        <v>632466</v>
      </c>
      <c r="K380" s="86">
        <f t="shared" si="405"/>
        <v>0</v>
      </c>
      <c r="L380" s="86">
        <f t="shared" si="405"/>
        <v>0</v>
      </c>
      <c r="M380" s="86">
        <f t="shared" si="406"/>
        <v>1264932</v>
      </c>
      <c r="N380" s="86">
        <f t="shared" si="407"/>
        <v>1264932</v>
      </c>
      <c r="O380" s="86">
        <f t="shared" si="408"/>
        <v>1264932</v>
      </c>
    </row>
    <row r="381" spans="1:15" hidden="1" outlineLevel="3" x14ac:dyDescent="0.25">
      <c r="A381" s="44" t="s">
        <v>274</v>
      </c>
      <c r="B381" s="44" t="str">
        <f t="shared" si="401"/>
        <v>050_AUX</v>
      </c>
      <c r="C381" s="153" t="s">
        <v>2523</v>
      </c>
      <c r="D381" s="7" t="s">
        <v>8</v>
      </c>
      <c r="E381" s="161">
        <v>0</v>
      </c>
      <c r="F381" s="161">
        <v>0</v>
      </c>
      <c r="G381" s="4">
        <v>6</v>
      </c>
      <c r="H381" s="4">
        <v>6</v>
      </c>
      <c r="I381" s="4">
        <v>6</v>
      </c>
      <c r="J381" s="86">
        <f>APUs!G19912</f>
        <v>837011</v>
      </c>
      <c r="K381" s="86">
        <f t="shared" si="405"/>
        <v>0</v>
      </c>
      <c r="L381" s="86">
        <f t="shared" si="405"/>
        <v>0</v>
      </c>
      <c r="M381" s="86">
        <f t="shared" si="406"/>
        <v>5022066</v>
      </c>
      <c r="N381" s="86">
        <f t="shared" si="407"/>
        <v>5022066</v>
      </c>
      <c r="O381" s="86">
        <f t="shared" si="408"/>
        <v>5022066</v>
      </c>
    </row>
    <row r="382" spans="1:15" hidden="1" outlineLevel="2" collapsed="1" x14ac:dyDescent="0.25">
      <c r="A382" s="44"/>
      <c r="B382" s="44"/>
      <c r="C382" s="184" t="s">
        <v>1674</v>
      </c>
      <c r="D382" s="185"/>
      <c r="E382" s="185"/>
      <c r="F382" s="185"/>
      <c r="G382" s="185"/>
      <c r="H382" s="185"/>
      <c r="I382" s="185"/>
      <c r="J382" s="185"/>
      <c r="K382" s="186">
        <f>SUM(K383:K390)</f>
        <v>10891563</v>
      </c>
      <c r="L382" s="186">
        <f>SUM(L383:L390)</f>
        <v>10275943</v>
      </c>
      <c r="M382" s="186">
        <f>SUM(M383:M390)</f>
        <v>19992504</v>
      </c>
      <c r="N382" s="186">
        <f>SUM(N383:N390)</f>
        <v>11514644</v>
      </c>
      <c r="O382" s="186">
        <f>SUM(O383:O390)</f>
        <v>11514644</v>
      </c>
    </row>
    <row r="383" spans="1:15" hidden="1" outlineLevel="4" x14ac:dyDescent="0.25">
      <c r="A383" s="44" t="s">
        <v>275</v>
      </c>
      <c r="B383" s="44" t="str">
        <f>A383&amp;"_AUX"</f>
        <v>051_AUX</v>
      </c>
      <c r="C383" s="162" t="s">
        <v>2533</v>
      </c>
      <c r="D383" s="4" t="s">
        <v>108</v>
      </c>
      <c r="E383" s="4">
        <f>130</f>
        <v>130</v>
      </c>
      <c r="F383" s="4">
        <v>110</v>
      </c>
      <c r="G383" s="4">
        <v>250</v>
      </c>
      <c r="H383" s="4">
        <v>100</v>
      </c>
      <c r="I383" s="4">
        <v>100</v>
      </c>
      <c r="J383" s="86">
        <f>APUs!G19982</f>
        <v>30781</v>
      </c>
      <c r="K383" s="86">
        <f t="shared" ref="K383:L390" si="409">E383*$J383</f>
        <v>4001530</v>
      </c>
      <c r="L383" s="86">
        <f t="shared" si="409"/>
        <v>3385910</v>
      </c>
      <c r="M383" s="86">
        <f t="shared" ref="M383:M390" si="410">G383*$J383</f>
        <v>7695250</v>
      </c>
      <c r="N383" s="86">
        <f t="shared" ref="N383:N390" si="411">H383*$J383</f>
        <v>3078100</v>
      </c>
      <c r="O383" s="86">
        <f t="shared" ref="O383:O390" si="412">I383*$J383</f>
        <v>3078100</v>
      </c>
    </row>
    <row r="384" spans="1:15" hidden="1" outlineLevel="4" x14ac:dyDescent="0.25">
      <c r="A384" s="44" t="s">
        <v>276</v>
      </c>
      <c r="B384" s="44" t="str">
        <f t="shared" ref="B384:B390" si="413">A384&amp;"_AUX"</f>
        <v>052_AUX</v>
      </c>
      <c r="C384" s="162" t="s">
        <v>2534</v>
      </c>
      <c r="D384" s="4" t="s">
        <v>108</v>
      </c>
      <c r="E384" s="7">
        <v>100</v>
      </c>
      <c r="F384" s="7">
        <v>100</v>
      </c>
      <c r="G384" s="7">
        <v>100</v>
      </c>
      <c r="H384" s="7">
        <v>100</v>
      </c>
      <c r="I384" s="7">
        <v>100</v>
      </c>
      <c r="J384" s="86">
        <f>APUs!G20054</f>
        <v>36788</v>
      </c>
      <c r="K384" s="86">
        <f t="shared" si="409"/>
        <v>3678800</v>
      </c>
      <c r="L384" s="86">
        <f t="shared" si="409"/>
        <v>3678800</v>
      </c>
      <c r="M384" s="86">
        <f t="shared" si="410"/>
        <v>3678800</v>
      </c>
      <c r="N384" s="86">
        <f t="shared" si="411"/>
        <v>3678800</v>
      </c>
      <c r="O384" s="86">
        <f t="shared" si="412"/>
        <v>3678800</v>
      </c>
    </row>
    <row r="385" spans="1:15" hidden="1" outlineLevel="4" x14ac:dyDescent="0.25">
      <c r="A385" s="44" t="s">
        <v>277</v>
      </c>
      <c r="B385" s="44" t="str">
        <f t="shared" si="413"/>
        <v>053_AUX</v>
      </c>
      <c r="C385" s="162" t="s">
        <v>2820</v>
      </c>
      <c r="D385" s="4" t="s">
        <v>8</v>
      </c>
      <c r="E385" s="158">
        <v>0</v>
      </c>
      <c r="F385" s="158">
        <v>0</v>
      </c>
      <c r="G385" s="4">
        <v>2</v>
      </c>
      <c r="H385" s="4">
        <v>2</v>
      </c>
      <c r="I385" s="4">
        <v>2</v>
      </c>
      <c r="J385" s="86">
        <f>APUs!G20129</f>
        <v>495437</v>
      </c>
      <c r="K385" s="86">
        <f t="shared" si="409"/>
        <v>0</v>
      </c>
      <c r="L385" s="86">
        <f t="shared" si="409"/>
        <v>0</v>
      </c>
      <c r="M385" s="86">
        <f t="shared" si="410"/>
        <v>990874</v>
      </c>
      <c r="N385" s="86">
        <f t="shared" si="411"/>
        <v>990874</v>
      </c>
      <c r="O385" s="86">
        <f t="shared" si="412"/>
        <v>990874</v>
      </c>
    </row>
    <row r="386" spans="1:15" hidden="1" outlineLevel="4" x14ac:dyDescent="0.25">
      <c r="A386" s="44" t="s">
        <v>278</v>
      </c>
      <c r="B386" s="44" t="str">
        <f t="shared" si="413"/>
        <v>054_AUX</v>
      </c>
      <c r="C386" s="162" t="s">
        <v>2821</v>
      </c>
      <c r="D386" s="4" t="s">
        <v>8</v>
      </c>
      <c r="E386" s="4">
        <v>4</v>
      </c>
      <c r="F386" s="4">
        <v>4</v>
      </c>
      <c r="G386" s="4">
        <v>14</v>
      </c>
      <c r="H386" s="4">
        <v>14</v>
      </c>
      <c r="I386" s="4">
        <v>14</v>
      </c>
      <c r="J386" s="86">
        <f>APUs!G20205</f>
        <v>275765</v>
      </c>
      <c r="K386" s="86"/>
      <c r="L386" s="86"/>
      <c r="M386" s="86">
        <f t="shared" si="410"/>
        <v>3860710</v>
      </c>
      <c r="N386" s="86"/>
      <c r="O386" s="86"/>
    </row>
    <row r="387" spans="1:15" hidden="1" outlineLevel="4" x14ac:dyDescent="0.25">
      <c r="A387" s="44" t="s">
        <v>279</v>
      </c>
      <c r="B387" s="44" t="str">
        <f t="shared" si="413"/>
        <v>055_AUX</v>
      </c>
      <c r="C387" s="162" t="s">
        <v>2822</v>
      </c>
      <c r="D387" s="4" t="s">
        <v>8</v>
      </c>
      <c r="E387" s="158">
        <v>0</v>
      </c>
      <c r="F387" s="158">
        <v>0</v>
      </c>
      <c r="G387" s="4">
        <v>5</v>
      </c>
      <c r="H387" s="4">
        <v>5</v>
      </c>
      <c r="I387" s="4">
        <v>5</v>
      </c>
      <c r="J387" s="86">
        <f>APUs!G20281</f>
        <v>292795</v>
      </c>
      <c r="K387" s="86">
        <f t="shared" si="409"/>
        <v>0</v>
      </c>
      <c r="L387" s="86">
        <f t="shared" si="409"/>
        <v>0</v>
      </c>
      <c r="M387" s="86">
        <f t="shared" si="410"/>
        <v>1463975</v>
      </c>
      <c r="N387" s="86">
        <f t="shared" si="411"/>
        <v>1463975</v>
      </c>
      <c r="O387" s="86">
        <f t="shared" si="412"/>
        <v>1463975</v>
      </c>
    </row>
    <row r="388" spans="1:15" hidden="1" outlineLevel="4" x14ac:dyDescent="0.25">
      <c r="A388" s="44" t="s">
        <v>280</v>
      </c>
      <c r="B388" s="44" t="str">
        <f t="shared" si="413"/>
        <v>056_AUX</v>
      </c>
      <c r="C388" s="162" t="s">
        <v>2531</v>
      </c>
      <c r="D388" s="4" t="s">
        <v>8</v>
      </c>
      <c r="E388" s="4">
        <v>4</v>
      </c>
      <c r="F388" s="4">
        <v>4</v>
      </c>
      <c r="G388" s="4">
        <v>2</v>
      </c>
      <c r="H388" s="4">
        <v>2</v>
      </c>
      <c r="I388" s="4">
        <v>2</v>
      </c>
      <c r="J388" s="86">
        <f>APUs!G20354</f>
        <v>454169</v>
      </c>
      <c r="K388" s="86">
        <f t="shared" si="409"/>
        <v>1816676</v>
      </c>
      <c r="L388" s="86">
        <f t="shared" si="409"/>
        <v>1816676</v>
      </c>
      <c r="M388" s="86">
        <f t="shared" si="410"/>
        <v>908338</v>
      </c>
      <c r="N388" s="86">
        <f t="shared" si="411"/>
        <v>908338</v>
      </c>
      <c r="O388" s="86">
        <f t="shared" si="412"/>
        <v>908338</v>
      </c>
    </row>
    <row r="389" spans="1:15" hidden="1" outlineLevel="4" x14ac:dyDescent="0.25">
      <c r="A389" s="44" t="s">
        <v>281</v>
      </c>
      <c r="B389" s="44" t="str">
        <f t="shared" si="413"/>
        <v>057_AUX</v>
      </c>
      <c r="C389" s="162" t="s">
        <v>2532</v>
      </c>
      <c r="D389" s="4" t="s">
        <v>8</v>
      </c>
      <c r="E389" s="4">
        <v>2</v>
      </c>
      <c r="F389" s="4">
        <v>2</v>
      </c>
      <c r="G389" s="4">
        <v>2</v>
      </c>
      <c r="H389" s="4">
        <v>2</v>
      </c>
      <c r="I389" s="4">
        <v>2</v>
      </c>
      <c r="J389" s="86">
        <f>APUs!G20428</f>
        <v>583617</v>
      </c>
      <c r="K389" s="86">
        <f t="shared" si="409"/>
        <v>1167234</v>
      </c>
      <c r="L389" s="86">
        <f t="shared" si="409"/>
        <v>1167234</v>
      </c>
      <c r="M389" s="86">
        <f t="shared" si="410"/>
        <v>1167234</v>
      </c>
      <c r="N389" s="86">
        <f t="shared" si="411"/>
        <v>1167234</v>
      </c>
      <c r="O389" s="86">
        <f t="shared" si="412"/>
        <v>1167234</v>
      </c>
    </row>
    <row r="390" spans="1:15" hidden="1" outlineLevel="4" x14ac:dyDescent="0.25">
      <c r="A390" s="44" t="s">
        <v>282</v>
      </c>
      <c r="B390" s="44" t="str">
        <f t="shared" si="413"/>
        <v>058_AUX</v>
      </c>
      <c r="C390" s="153" t="s">
        <v>2530</v>
      </c>
      <c r="D390" s="4" t="s">
        <v>8</v>
      </c>
      <c r="E390" s="4">
        <v>1</v>
      </c>
      <c r="F390" s="4">
        <v>1</v>
      </c>
      <c r="G390" s="4">
        <v>1</v>
      </c>
      <c r="H390" s="4">
        <v>1</v>
      </c>
      <c r="I390" s="4">
        <v>1</v>
      </c>
      <c r="J390" s="86">
        <f>APUs!G20500</f>
        <v>227323</v>
      </c>
      <c r="K390" s="86">
        <f t="shared" si="409"/>
        <v>227323</v>
      </c>
      <c r="L390" s="86">
        <f t="shared" si="409"/>
        <v>227323</v>
      </c>
      <c r="M390" s="86">
        <f t="shared" si="410"/>
        <v>227323</v>
      </c>
      <c r="N390" s="86">
        <f t="shared" si="411"/>
        <v>227323</v>
      </c>
      <c r="O390" s="86">
        <f t="shared" si="412"/>
        <v>227323</v>
      </c>
    </row>
    <row r="391" spans="1:15" hidden="1" outlineLevel="2" collapsed="1" x14ac:dyDescent="0.25">
      <c r="A391" s="44"/>
      <c r="B391" s="44"/>
      <c r="C391" s="184" t="s">
        <v>1825</v>
      </c>
      <c r="D391" s="185"/>
      <c r="E391" s="185"/>
      <c r="F391" s="185"/>
      <c r="G391" s="185"/>
      <c r="H391" s="185"/>
      <c r="I391" s="185"/>
      <c r="J391" s="185"/>
      <c r="K391" s="186">
        <f>SUM(K392:K393)</f>
        <v>5432610</v>
      </c>
      <c r="L391" s="186">
        <f t="shared" ref="L391:O391" si="414">SUM(L392:L393)</f>
        <v>5432610</v>
      </c>
      <c r="M391" s="186">
        <f t="shared" si="414"/>
        <v>5432610</v>
      </c>
      <c r="N391" s="186">
        <f t="shared" si="414"/>
        <v>5432610</v>
      </c>
      <c r="O391" s="186">
        <f t="shared" si="414"/>
        <v>5432610</v>
      </c>
    </row>
    <row r="392" spans="1:15" hidden="1" outlineLevel="3" x14ac:dyDescent="0.25">
      <c r="A392" s="44" t="s">
        <v>283</v>
      </c>
      <c r="B392" s="44" t="str">
        <f>A392&amp;"_AUX"</f>
        <v>059_AUX</v>
      </c>
      <c r="C392" s="162" t="s">
        <v>1804</v>
      </c>
      <c r="D392" s="7" t="s">
        <v>8</v>
      </c>
      <c r="E392" s="4">
        <v>1</v>
      </c>
      <c r="F392" s="4">
        <v>1</v>
      </c>
      <c r="G392" s="4">
        <v>1</v>
      </c>
      <c r="H392" s="4">
        <v>1</v>
      </c>
      <c r="I392" s="4">
        <v>1</v>
      </c>
      <c r="J392" s="86">
        <f>APUs!G20570</f>
        <v>3327255</v>
      </c>
      <c r="K392" s="86">
        <f t="shared" ref="K392:L393" si="415">E392*$J392</f>
        <v>3327255</v>
      </c>
      <c r="L392" s="86">
        <f t="shared" si="415"/>
        <v>3327255</v>
      </c>
      <c r="M392" s="86">
        <f t="shared" ref="M392:O393" si="416">G392*$J392</f>
        <v>3327255</v>
      </c>
      <c r="N392" s="86">
        <f t="shared" si="416"/>
        <v>3327255</v>
      </c>
      <c r="O392" s="86">
        <f t="shared" si="416"/>
        <v>3327255</v>
      </c>
    </row>
    <row r="393" spans="1:15" hidden="1" outlineLevel="3" x14ac:dyDescent="0.25">
      <c r="A393" s="44" t="s">
        <v>284</v>
      </c>
      <c r="B393" s="44" t="str">
        <f>A393&amp;"_AUX"</f>
        <v>060_AUX</v>
      </c>
      <c r="C393" s="162" t="s">
        <v>2543</v>
      </c>
      <c r="D393" s="7" t="s">
        <v>8</v>
      </c>
      <c r="E393" s="4">
        <v>1</v>
      </c>
      <c r="F393" s="4">
        <v>1</v>
      </c>
      <c r="G393" s="4">
        <v>1</v>
      </c>
      <c r="H393" s="4">
        <v>1</v>
      </c>
      <c r="I393" s="4">
        <v>1</v>
      </c>
      <c r="J393" s="86">
        <f>APUs!G20645</f>
        <v>2105355</v>
      </c>
      <c r="K393" s="86">
        <f t="shared" si="415"/>
        <v>2105355</v>
      </c>
      <c r="L393" s="86">
        <f t="shared" si="415"/>
        <v>2105355</v>
      </c>
      <c r="M393" s="86">
        <f t="shared" si="416"/>
        <v>2105355</v>
      </c>
      <c r="N393" s="86">
        <f t="shared" si="416"/>
        <v>2105355</v>
      </c>
      <c r="O393" s="86">
        <f t="shared" si="416"/>
        <v>2105355</v>
      </c>
    </row>
    <row r="394" spans="1:15" hidden="1" outlineLevel="2" collapsed="1" x14ac:dyDescent="0.25">
      <c r="A394" s="44"/>
      <c r="B394" s="44"/>
      <c r="C394" s="162"/>
      <c r="D394" s="7"/>
      <c r="E394" s="7"/>
      <c r="F394" s="7"/>
      <c r="G394" s="4"/>
      <c r="H394" s="4"/>
      <c r="I394" s="4"/>
      <c r="J394" s="86"/>
      <c r="K394" s="86"/>
      <c r="L394" s="86"/>
      <c r="M394" s="86"/>
      <c r="N394" s="86"/>
      <c r="O394" s="86"/>
    </row>
    <row r="395" spans="1:15" outlineLevel="1" collapsed="1" x14ac:dyDescent="0.25">
      <c r="A395" s="44"/>
      <c r="B395" s="44"/>
      <c r="C395" s="172" t="s">
        <v>1824</v>
      </c>
      <c r="D395" s="173"/>
      <c r="E395" s="173"/>
      <c r="F395" s="173"/>
      <c r="G395" s="173"/>
      <c r="H395" s="173"/>
      <c r="I395" s="173"/>
      <c r="J395" s="174"/>
      <c r="K395" s="175">
        <f>SUM(K396:K403)</f>
        <v>7775954</v>
      </c>
      <c r="L395" s="175">
        <f t="shared" ref="L395:O395" si="417">SUM(L396:L403)</f>
        <v>7775954</v>
      </c>
      <c r="M395" s="175">
        <f t="shared" si="417"/>
        <v>109698467</v>
      </c>
      <c r="N395" s="175">
        <f t="shared" si="417"/>
        <v>109698467</v>
      </c>
      <c r="O395" s="175">
        <f t="shared" si="417"/>
        <v>109698467</v>
      </c>
    </row>
    <row r="396" spans="1:15" s="1" customFormat="1" hidden="1" outlineLevel="2" x14ac:dyDescent="0.25">
      <c r="A396" s="126" t="s">
        <v>285</v>
      </c>
      <c r="B396" s="44" t="str">
        <f>A396&amp;"_AUX"</f>
        <v>061_AUX</v>
      </c>
      <c r="C396" s="153" t="s">
        <v>2434</v>
      </c>
      <c r="D396" s="127" t="s">
        <v>108</v>
      </c>
      <c r="E396" s="127">
        <v>5</v>
      </c>
      <c r="F396" s="127">
        <v>5</v>
      </c>
      <c r="G396" s="127">
        <v>20</v>
      </c>
      <c r="H396" s="127">
        <v>20</v>
      </c>
      <c r="I396" s="127">
        <v>20</v>
      </c>
      <c r="J396" s="47">
        <f>APUs!G20720</f>
        <v>258701</v>
      </c>
      <c r="K396" s="47">
        <f t="shared" ref="K396:L400" si="418">E396*$J396</f>
        <v>1293505</v>
      </c>
      <c r="L396" s="47">
        <f t="shared" si="418"/>
        <v>1293505</v>
      </c>
      <c r="M396" s="47">
        <f t="shared" ref="M396:O400" si="419">G396*$J396</f>
        <v>5174020</v>
      </c>
      <c r="N396" s="47">
        <f t="shared" si="419"/>
        <v>5174020</v>
      </c>
      <c r="O396" s="47">
        <f t="shared" si="419"/>
        <v>5174020</v>
      </c>
    </row>
    <row r="397" spans="1:15" s="1" customFormat="1" hidden="1" outlineLevel="2" x14ac:dyDescent="0.25">
      <c r="A397" s="126" t="s">
        <v>286</v>
      </c>
      <c r="B397" s="44" t="str">
        <f t="shared" ref="B397:B403" si="420">A397&amp;"_AUX"</f>
        <v>062_AUX</v>
      </c>
      <c r="C397" s="153" t="s">
        <v>1678</v>
      </c>
      <c r="D397" s="169" t="s">
        <v>8</v>
      </c>
      <c r="E397" s="127">
        <v>1</v>
      </c>
      <c r="F397" s="127">
        <v>1</v>
      </c>
      <c r="G397" s="127">
        <v>4</v>
      </c>
      <c r="H397" s="127">
        <v>4</v>
      </c>
      <c r="I397" s="127">
        <v>4</v>
      </c>
      <c r="J397" s="47">
        <f>APUs!G20792</f>
        <v>973479</v>
      </c>
      <c r="K397" s="47">
        <f t="shared" si="418"/>
        <v>973479</v>
      </c>
      <c r="L397" s="47">
        <f t="shared" si="418"/>
        <v>973479</v>
      </c>
      <c r="M397" s="47">
        <f t="shared" si="419"/>
        <v>3893916</v>
      </c>
      <c r="N397" s="47">
        <f t="shared" si="419"/>
        <v>3893916</v>
      </c>
      <c r="O397" s="47">
        <f t="shared" si="419"/>
        <v>3893916</v>
      </c>
    </row>
    <row r="398" spans="1:15" s="1" customFormat="1" hidden="1" outlineLevel="2" x14ac:dyDescent="0.25">
      <c r="A398" s="126" t="s">
        <v>287</v>
      </c>
      <c r="B398" s="44" t="str">
        <f t="shared" si="420"/>
        <v>063_AUX</v>
      </c>
      <c r="C398" s="162" t="s">
        <v>2327</v>
      </c>
      <c r="D398" s="7" t="s">
        <v>8</v>
      </c>
      <c r="E398" s="4">
        <v>1</v>
      </c>
      <c r="F398" s="127">
        <v>1</v>
      </c>
      <c r="G398" s="170">
        <v>0</v>
      </c>
      <c r="H398" s="170">
        <v>0</v>
      </c>
      <c r="I398" s="170">
        <v>0</v>
      </c>
      <c r="J398" s="47">
        <f>APUs!G20864</f>
        <v>5508970</v>
      </c>
      <c r="K398" s="47">
        <f t="shared" si="418"/>
        <v>5508970</v>
      </c>
      <c r="L398" s="47">
        <f t="shared" si="418"/>
        <v>5508970</v>
      </c>
      <c r="M398" s="47">
        <f t="shared" si="419"/>
        <v>0</v>
      </c>
      <c r="N398" s="47">
        <f t="shared" si="419"/>
        <v>0</v>
      </c>
      <c r="O398" s="47">
        <f t="shared" si="419"/>
        <v>0</v>
      </c>
    </row>
    <row r="399" spans="1:15" s="1" customFormat="1" hidden="1" outlineLevel="2" x14ac:dyDescent="0.25">
      <c r="A399" s="126" t="s">
        <v>288</v>
      </c>
      <c r="B399" s="44" t="str">
        <f t="shared" si="420"/>
        <v>064_AUX</v>
      </c>
      <c r="C399" s="153" t="s">
        <v>2438</v>
      </c>
      <c r="D399" s="169" t="s">
        <v>8</v>
      </c>
      <c r="E399" s="170">
        <v>0</v>
      </c>
      <c r="F399" s="170">
        <v>0</v>
      </c>
      <c r="G399" s="127">
        <v>3</v>
      </c>
      <c r="H399" s="127">
        <v>3</v>
      </c>
      <c r="I399" s="127">
        <v>3</v>
      </c>
      <c r="J399" s="47">
        <f>APUs!G20936</f>
        <v>10554140</v>
      </c>
      <c r="K399" s="47">
        <f t="shared" si="418"/>
        <v>0</v>
      </c>
      <c r="L399" s="47">
        <f t="shared" si="418"/>
        <v>0</v>
      </c>
      <c r="M399" s="47">
        <f t="shared" si="419"/>
        <v>31662420</v>
      </c>
      <c r="N399" s="47">
        <f t="shared" si="419"/>
        <v>31662420</v>
      </c>
      <c r="O399" s="47">
        <f t="shared" si="419"/>
        <v>31662420</v>
      </c>
    </row>
    <row r="400" spans="1:15" s="1" customFormat="1" hidden="1" outlineLevel="2" x14ac:dyDescent="0.25">
      <c r="A400" s="126" t="s">
        <v>289</v>
      </c>
      <c r="B400" s="44" t="str">
        <f t="shared" si="420"/>
        <v>065_AUX</v>
      </c>
      <c r="C400" s="153" t="s">
        <v>2439</v>
      </c>
      <c r="D400" s="169" t="s">
        <v>8</v>
      </c>
      <c r="E400" s="170">
        <v>0</v>
      </c>
      <c r="F400" s="170">
        <v>0</v>
      </c>
      <c r="G400" s="127">
        <v>1</v>
      </c>
      <c r="H400" s="127">
        <v>1</v>
      </c>
      <c r="I400" s="127">
        <v>1</v>
      </c>
      <c r="J400" s="47">
        <f>APUs!G21008</f>
        <v>16129970</v>
      </c>
      <c r="K400" s="47">
        <f t="shared" si="418"/>
        <v>0</v>
      </c>
      <c r="L400" s="47">
        <f t="shared" si="418"/>
        <v>0</v>
      </c>
      <c r="M400" s="47">
        <f t="shared" si="419"/>
        <v>16129970</v>
      </c>
      <c r="N400" s="47">
        <f t="shared" si="419"/>
        <v>16129970</v>
      </c>
      <c r="O400" s="47">
        <f t="shared" si="419"/>
        <v>16129970</v>
      </c>
    </row>
    <row r="401" spans="1:15" s="1" customFormat="1" hidden="1" outlineLevel="2" x14ac:dyDescent="0.25">
      <c r="A401" s="126" t="s">
        <v>290</v>
      </c>
      <c r="B401" s="44" t="str">
        <f t="shared" si="420"/>
        <v>066_AUX</v>
      </c>
      <c r="C401" s="153" t="s">
        <v>2440</v>
      </c>
      <c r="D401" s="169" t="s">
        <v>8</v>
      </c>
      <c r="E401" s="170">
        <v>0</v>
      </c>
      <c r="F401" s="170">
        <v>0</v>
      </c>
      <c r="G401" s="127">
        <v>6</v>
      </c>
      <c r="H401" s="127">
        <v>6</v>
      </c>
      <c r="I401" s="127">
        <v>6</v>
      </c>
      <c r="J401" s="47">
        <f>APUs!G21080</f>
        <v>3649840</v>
      </c>
      <c r="K401" s="47">
        <f t="shared" ref="K401:K403" si="421">E401*$J401</f>
        <v>0</v>
      </c>
      <c r="L401" s="47">
        <f t="shared" ref="L401:L403" si="422">F401*$J401</f>
        <v>0</v>
      </c>
      <c r="M401" s="47">
        <f t="shared" ref="M401:M403" si="423">G401*$J401</f>
        <v>21899040</v>
      </c>
      <c r="N401" s="47">
        <f t="shared" ref="N401:N403" si="424">H401*$J401</f>
        <v>21899040</v>
      </c>
      <c r="O401" s="47">
        <f t="shared" ref="O401:O403" si="425">I401*$J401</f>
        <v>21899040</v>
      </c>
    </row>
    <row r="402" spans="1:15" s="1" customFormat="1" hidden="1" outlineLevel="2" x14ac:dyDescent="0.25">
      <c r="A402" s="126" t="s">
        <v>291</v>
      </c>
      <c r="B402" s="44" t="str">
        <f t="shared" si="420"/>
        <v>067_AUX</v>
      </c>
      <c r="C402" s="153" t="s">
        <v>2441</v>
      </c>
      <c r="D402" s="169" t="s">
        <v>8</v>
      </c>
      <c r="E402" s="170">
        <v>0</v>
      </c>
      <c r="F402" s="170">
        <v>0</v>
      </c>
      <c r="G402" s="127">
        <v>3</v>
      </c>
      <c r="H402" s="127">
        <v>3</v>
      </c>
      <c r="I402" s="127">
        <v>3</v>
      </c>
      <c r="J402" s="47">
        <f>APUs!G21152</f>
        <v>1581087</v>
      </c>
      <c r="K402" s="47">
        <f t="shared" si="421"/>
        <v>0</v>
      </c>
      <c r="L402" s="47">
        <f t="shared" si="422"/>
        <v>0</v>
      </c>
      <c r="M402" s="47">
        <f t="shared" si="423"/>
        <v>4743261</v>
      </c>
      <c r="N402" s="47">
        <f t="shared" si="424"/>
        <v>4743261</v>
      </c>
      <c r="O402" s="47">
        <f t="shared" si="425"/>
        <v>4743261</v>
      </c>
    </row>
    <row r="403" spans="1:15" s="1" customFormat="1" hidden="1" outlineLevel="2" x14ac:dyDescent="0.25">
      <c r="A403" s="126" t="s">
        <v>292</v>
      </c>
      <c r="B403" s="44" t="str">
        <f t="shared" si="420"/>
        <v>068_AUX</v>
      </c>
      <c r="C403" s="153" t="s">
        <v>2445</v>
      </c>
      <c r="D403" s="169" t="s">
        <v>108</v>
      </c>
      <c r="E403" s="170"/>
      <c r="F403" s="170"/>
      <c r="G403" s="127">
        <f>20*2*8</f>
        <v>320</v>
      </c>
      <c r="H403" s="127">
        <f>20*2*8</f>
        <v>320</v>
      </c>
      <c r="I403" s="127">
        <f>20*2*8</f>
        <v>320</v>
      </c>
      <c r="J403" s="47">
        <f>APUs!G21224</f>
        <v>81862</v>
      </c>
      <c r="K403" s="47">
        <f t="shared" si="421"/>
        <v>0</v>
      </c>
      <c r="L403" s="47">
        <f t="shared" si="422"/>
        <v>0</v>
      </c>
      <c r="M403" s="47">
        <f t="shared" si="423"/>
        <v>26195840</v>
      </c>
      <c r="N403" s="47">
        <f t="shared" si="424"/>
        <v>26195840</v>
      </c>
      <c r="O403" s="47">
        <f t="shared" si="425"/>
        <v>26195840</v>
      </c>
    </row>
    <row r="404" spans="1:15" outlineLevel="1" collapsed="1" x14ac:dyDescent="0.25">
      <c r="A404" s="44"/>
      <c r="B404" s="44"/>
      <c r="C404" s="172" t="s">
        <v>1670</v>
      </c>
      <c r="D404" s="173"/>
      <c r="E404" s="173"/>
      <c r="F404" s="173"/>
      <c r="G404" s="173"/>
      <c r="H404" s="173"/>
      <c r="I404" s="173"/>
      <c r="J404" s="174"/>
      <c r="K404" s="175">
        <f>SUM(K405:K406)+K414+K407</f>
        <v>48179041</v>
      </c>
      <c r="L404" s="175">
        <f t="shared" ref="L404:O404" si="426">SUM(L405:L406)+L414+L407</f>
        <v>48179041</v>
      </c>
      <c r="M404" s="175">
        <f t="shared" si="426"/>
        <v>39890004</v>
      </c>
      <c r="N404" s="175">
        <f t="shared" si="426"/>
        <v>39114294</v>
      </c>
      <c r="O404" s="175">
        <f t="shared" si="426"/>
        <v>39114294</v>
      </c>
    </row>
    <row r="405" spans="1:15" hidden="1" outlineLevel="2" x14ac:dyDescent="0.25">
      <c r="A405" s="44" t="s">
        <v>293</v>
      </c>
      <c r="B405" s="44" t="str">
        <f>A405&amp;"_AUX"</f>
        <v>069_AUX</v>
      </c>
      <c r="C405" s="153" t="s">
        <v>2454</v>
      </c>
      <c r="D405" s="4" t="s">
        <v>8</v>
      </c>
      <c r="E405" s="4">
        <v>1</v>
      </c>
      <c r="F405" s="4">
        <v>1</v>
      </c>
      <c r="G405" s="161">
        <v>0</v>
      </c>
      <c r="H405" s="161">
        <v>0</v>
      </c>
      <c r="I405" s="161">
        <v>0</v>
      </c>
      <c r="J405" s="86">
        <f>APUs!G21297</f>
        <v>16138243</v>
      </c>
      <c r="K405" s="86">
        <f t="shared" ref="K405:L405" si="427">E405*$J405</f>
        <v>16138243</v>
      </c>
      <c r="L405" s="86">
        <f t="shared" si="427"/>
        <v>16138243</v>
      </c>
      <c r="M405" s="86">
        <f t="shared" ref="M405:O406" si="428">G405*$J405</f>
        <v>0</v>
      </c>
      <c r="N405" s="86">
        <f t="shared" si="428"/>
        <v>0</v>
      </c>
      <c r="O405" s="86">
        <f t="shared" si="428"/>
        <v>0</v>
      </c>
    </row>
    <row r="406" spans="1:15" hidden="1" outlineLevel="2" x14ac:dyDescent="0.25">
      <c r="A406" s="44" t="s">
        <v>294</v>
      </c>
      <c r="B406" s="44" t="str">
        <f>A406&amp;"_AUX"</f>
        <v>070_AUX</v>
      </c>
      <c r="C406" s="153" t="s">
        <v>2454</v>
      </c>
      <c r="D406" s="4" t="s">
        <v>8</v>
      </c>
      <c r="E406" s="161">
        <v>0</v>
      </c>
      <c r="F406" s="161">
        <v>0</v>
      </c>
      <c r="G406" s="4">
        <v>1</v>
      </c>
      <c r="H406" s="4">
        <v>1</v>
      </c>
      <c r="I406" s="4">
        <v>1</v>
      </c>
      <c r="J406" s="86">
        <f>APUs!G21369</f>
        <v>16917160</v>
      </c>
      <c r="K406" s="86">
        <f t="shared" ref="K406" si="429">E406*$J406</f>
        <v>0</v>
      </c>
      <c r="L406" s="86">
        <f t="shared" ref="L406" si="430">F406*$J406</f>
        <v>0</v>
      </c>
      <c r="M406" s="86">
        <f t="shared" si="428"/>
        <v>16917160</v>
      </c>
      <c r="N406" s="86">
        <f t="shared" si="428"/>
        <v>16917160</v>
      </c>
      <c r="O406" s="86">
        <f t="shared" si="428"/>
        <v>16917160</v>
      </c>
    </row>
    <row r="407" spans="1:15" hidden="1" outlineLevel="2" collapsed="1" x14ac:dyDescent="0.25">
      <c r="A407" s="44"/>
      <c r="B407" s="44"/>
      <c r="C407" s="184" t="s">
        <v>2411</v>
      </c>
      <c r="D407" s="185"/>
      <c r="E407" s="185"/>
      <c r="F407" s="185"/>
      <c r="G407" s="185"/>
      <c r="H407" s="185"/>
      <c r="I407" s="185"/>
      <c r="J407" s="185"/>
      <c r="K407" s="186">
        <f>SUM(K408:K413)</f>
        <v>20602474</v>
      </c>
      <c r="L407" s="186">
        <f t="shared" ref="L407:O407" si="431">SUM(L408:L413)</f>
        <v>20602474</v>
      </c>
      <c r="M407" s="186">
        <f t="shared" si="431"/>
        <v>4040399</v>
      </c>
      <c r="N407" s="186">
        <f t="shared" si="431"/>
        <v>3264689</v>
      </c>
      <c r="O407" s="186">
        <f t="shared" si="431"/>
        <v>3264689</v>
      </c>
    </row>
    <row r="408" spans="1:15" hidden="1" outlineLevel="3" x14ac:dyDescent="0.25">
      <c r="A408" s="44" t="s">
        <v>295</v>
      </c>
      <c r="B408" s="44" t="str">
        <f>A408&amp;"_AUX"</f>
        <v>071_AUX</v>
      </c>
      <c r="C408" s="153" t="s">
        <v>2415</v>
      </c>
      <c r="D408" s="7" t="s">
        <v>108</v>
      </c>
      <c r="E408" s="7">
        <v>50</v>
      </c>
      <c r="F408" s="7">
        <v>50</v>
      </c>
      <c r="G408" s="7">
        <v>80</v>
      </c>
      <c r="H408" s="7">
        <v>50</v>
      </c>
      <c r="I408" s="7">
        <v>50</v>
      </c>
      <c r="J408" s="187">
        <f>APUs!G21439</f>
        <v>25857</v>
      </c>
      <c r="K408" s="86">
        <f t="shared" ref="K408" si="432">E408*$J408</f>
        <v>1292850</v>
      </c>
      <c r="L408" s="86">
        <f t="shared" ref="L408" si="433">F408*$J408</f>
        <v>1292850</v>
      </c>
      <c r="M408" s="86">
        <f t="shared" ref="M408" si="434">G408*$J408</f>
        <v>2068560</v>
      </c>
      <c r="N408" s="86">
        <f t="shared" ref="N408" si="435">H408*$J408</f>
        <v>1292850</v>
      </c>
      <c r="O408" s="86">
        <f t="shared" ref="O408" si="436">I408*$J408</f>
        <v>1292850</v>
      </c>
    </row>
    <row r="409" spans="1:15" s="2" customFormat="1" hidden="1" outlineLevel="3" collapsed="1" x14ac:dyDescent="0.25">
      <c r="A409" s="44" t="s">
        <v>296</v>
      </c>
      <c r="B409" s="44" t="str">
        <f t="shared" ref="B409:B413" si="437">A409&amp;"_AUX"</f>
        <v>072_AUX</v>
      </c>
      <c r="C409" s="153" t="s">
        <v>2428</v>
      </c>
      <c r="D409" s="4" t="s">
        <v>8</v>
      </c>
      <c r="E409" s="4">
        <v>1</v>
      </c>
      <c r="F409" s="4">
        <v>1</v>
      </c>
      <c r="G409" s="4">
        <v>1</v>
      </c>
      <c r="H409" s="4">
        <v>1</v>
      </c>
      <c r="I409" s="4">
        <v>1</v>
      </c>
      <c r="J409" s="86">
        <f>APUs!G21511</f>
        <v>840589</v>
      </c>
      <c r="K409" s="86">
        <f t="shared" ref="K409:O410" si="438">$J409*E409</f>
        <v>840589</v>
      </c>
      <c r="L409" s="86">
        <f t="shared" si="438"/>
        <v>840589</v>
      </c>
      <c r="M409" s="86">
        <f t="shared" si="438"/>
        <v>840589</v>
      </c>
      <c r="N409" s="86">
        <f t="shared" si="438"/>
        <v>840589</v>
      </c>
      <c r="O409" s="86">
        <f t="shared" si="438"/>
        <v>840589</v>
      </c>
    </row>
    <row r="410" spans="1:15" s="2" customFormat="1" hidden="1" outlineLevel="3" x14ac:dyDescent="0.25">
      <c r="A410" s="44" t="s">
        <v>297</v>
      </c>
      <c r="B410" s="44" t="str">
        <f t="shared" si="437"/>
        <v>073_AUX</v>
      </c>
      <c r="C410" s="153" t="s">
        <v>2432</v>
      </c>
      <c r="D410" s="122" t="s">
        <v>108</v>
      </c>
      <c r="E410" s="171">
        <v>0</v>
      </c>
      <c r="F410" s="171">
        <v>0</v>
      </c>
      <c r="G410" s="171">
        <v>50</v>
      </c>
      <c r="H410" s="171">
        <v>50</v>
      </c>
      <c r="I410" s="171">
        <v>50</v>
      </c>
      <c r="J410" s="86">
        <f>APUs!G21583</f>
        <v>22625</v>
      </c>
      <c r="K410" s="86">
        <f t="shared" si="438"/>
        <v>0</v>
      </c>
      <c r="L410" s="86">
        <f t="shared" si="438"/>
        <v>0</v>
      </c>
      <c r="M410" s="86">
        <f t="shared" si="438"/>
        <v>1131250</v>
      </c>
      <c r="N410" s="86">
        <f t="shared" si="438"/>
        <v>1131250</v>
      </c>
      <c r="O410" s="86">
        <f t="shared" si="438"/>
        <v>1131250</v>
      </c>
    </row>
    <row r="411" spans="1:15" hidden="1" outlineLevel="3" x14ac:dyDescent="0.25">
      <c r="A411" s="44" t="s">
        <v>298</v>
      </c>
      <c r="B411" s="44" t="str">
        <f t="shared" si="437"/>
        <v>074_AUX</v>
      </c>
      <c r="C411" s="153" t="s">
        <v>2414</v>
      </c>
      <c r="D411" s="7" t="s">
        <v>108</v>
      </c>
      <c r="E411" s="4">
        <v>300</v>
      </c>
      <c r="F411" s="4">
        <v>300</v>
      </c>
      <c r="G411" s="161">
        <v>0</v>
      </c>
      <c r="H411" s="161">
        <v>0</v>
      </c>
      <c r="I411" s="161">
        <v>0</v>
      </c>
      <c r="J411" s="86">
        <f>APUs!G21653</f>
        <v>41730</v>
      </c>
      <c r="K411" s="86">
        <f t="shared" ref="K411:L412" si="439">E411*$J411</f>
        <v>12519000</v>
      </c>
      <c r="L411" s="86">
        <f t="shared" si="439"/>
        <v>12519000</v>
      </c>
      <c r="M411" s="86">
        <f t="shared" ref="M411:O412" si="440">G411*$J411</f>
        <v>0</v>
      </c>
      <c r="N411" s="86">
        <f t="shared" si="440"/>
        <v>0</v>
      </c>
      <c r="O411" s="86">
        <f t="shared" si="440"/>
        <v>0</v>
      </c>
    </row>
    <row r="412" spans="1:15" hidden="1" outlineLevel="3" x14ac:dyDescent="0.25">
      <c r="A412" s="44" t="s">
        <v>299</v>
      </c>
      <c r="B412" s="44" t="str">
        <f t="shared" si="437"/>
        <v>075_AUX</v>
      </c>
      <c r="C412" s="153" t="s">
        <v>2324</v>
      </c>
      <c r="D412" s="7" t="s">
        <v>8</v>
      </c>
      <c r="E412" s="160">
        <f>3*4*1+1*3*1</f>
        <v>15</v>
      </c>
      <c r="F412" s="160">
        <f>3*4*1+1*3*1</f>
        <v>15</v>
      </c>
      <c r="G412" s="158">
        <v>0</v>
      </c>
      <c r="H412" s="158">
        <v>0</v>
      </c>
      <c r="I412" s="158">
        <v>0</v>
      </c>
      <c r="J412" s="86">
        <f>APUs!G21731</f>
        <v>257790</v>
      </c>
      <c r="K412" s="86">
        <f t="shared" si="439"/>
        <v>3866850</v>
      </c>
      <c r="L412" s="86">
        <f t="shared" si="439"/>
        <v>3866850</v>
      </c>
      <c r="M412" s="86">
        <f t="shared" si="440"/>
        <v>0</v>
      </c>
      <c r="N412" s="86">
        <f t="shared" si="440"/>
        <v>0</v>
      </c>
      <c r="O412" s="86">
        <f t="shared" si="440"/>
        <v>0</v>
      </c>
    </row>
    <row r="413" spans="1:15" s="2" customFormat="1" hidden="1" outlineLevel="3" x14ac:dyDescent="0.25">
      <c r="A413" s="44" t="s">
        <v>300</v>
      </c>
      <c r="B413" s="44" t="str">
        <f t="shared" si="437"/>
        <v>076_AUX</v>
      </c>
      <c r="C413" s="153" t="s">
        <v>2412</v>
      </c>
      <c r="D413" s="122" t="s">
        <v>18</v>
      </c>
      <c r="E413" s="160">
        <f>3*4*1+1*3*1</f>
        <v>15</v>
      </c>
      <c r="F413" s="160">
        <f>3*4*1+1*3*1</f>
        <v>15</v>
      </c>
      <c r="G413" s="158">
        <v>0</v>
      </c>
      <c r="H413" s="158">
        <v>0</v>
      </c>
      <c r="I413" s="158">
        <v>0</v>
      </c>
      <c r="J413" s="86">
        <f>APUs!G21798</f>
        <v>138879</v>
      </c>
      <c r="K413" s="86">
        <f>$J413*E413</f>
        <v>2083185</v>
      </c>
      <c r="L413" s="86">
        <f>$J413*F413</f>
        <v>2083185</v>
      </c>
      <c r="M413" s="86">
        <f>$J413*G413</f>
        <v>0</v>
      </c>
      <c r="N413" s="86">
        <f>$J413*H413</f>
        <v>0</v>
      </c>
      <c r="O413" s="86">
        <f>$J413*I413</f>
        <v>0</v>
      </c>
    </row>
    <row r="414" spans="1:15" hidden="1" outlineLevel="2" collapsed="1" x14ac:dyDescent="0.25">
      <c r="A414" s="44"/>
      <c r="B414" s="44"/>
      <c r="C414" s="184" t="s">
        <v>1672</v>
      </c>
      <c r="D414" s="185"/>
      <c r="E414" s="185"/>
      <c r="F414" s="185"/>
      <c r="G414" s="185"/>
      <c r="H414" s="185"/>
      <c r="I414" s="185"/>
      <c r="J414" s="185"/>
      <c r="K414" s="186">
        <f t="shared" ref="K414:O414" si="441">SUM(K415:K416)</f>
        <v>11438324</v>
      </c>
      <c r="L414" s="186">
        <f t="shared" si="441"/>
        <v>11438324</v>
      </c>
      <c r="M414" s="186">
        <f t="shared" si="441"/>
        <v>18932445</v>
      </c>
      <c r="N414" s="186">
        <f t="shared" si="441"/>
        <v>18932445</v>
      </c>
      <c r="O414" s="186">
        <f t="shared" si="441"/>
        <v>18932445</v>
      </c>
    </row>
    <row r="415" spans="1:15" hidden="1" outlineLevel="3" x14ac:dyDescent="0.25">
      <c r="A415" s="44" t="s">
        <v>1919</v>
      </c>
      <c r="B415" s="44" t="str">
        <f t="shared" ref="B415" si="442">A415&amp;"_AUX"</f>
        <v>077_AUX</v>
      </c>
      <c r="C415" s="162" t="s">
        <v>1833</v>
      </c>
      <c r="D415" s="4" t="s">
        <v>8</v>
      </c>
      <c r="E415" s="4">
        <v>6</v>
      </c>
      <c r="F415" s="4">
        <v>6</v>
      </c>
      <c r="G415" s="4">
        <v>16</v>
      </c>
      <c r="H415" s="4">
        <v>16</v>
      </c>
      <c r="I415" s="4">
        <v>16</v>
      </c>
      <c r="J415" s="86">
        <f>APUs!G21868</f>
        <v>467088</v>
      </c>
      <c r="K415" s="86">
        <f t="shared" ref="K415:L416" si="443">E415*$J415</f>
        <v>2802528</v>
      </c>
      <c r="L415" s="86">
        <f t="shared" si="443"/>
        <v>2802528</v>
      </c>
      <c r="M415" s="86">
        <f t="shared" ref="M415:O416" si="444">G415*$J415</f>
        <v>7473408</v>
      </c>
      <c r="N415" s="86">
        <f t="shared" si="444"/>
        <v>7473408</v>
      </c>
      <c r="O415" s="86">
        <f t="shared" si="444"/>
        <v>7473408</v>
      </c>
    </row>
    <row r="416" spans="1:15" hidden="1" outlineLevel="3" x14ac:dyDescent="0.25">
      <c r="A416" s="44" t="s">
        <v>301</v>
      </c>
      <c r="B416" s="44" t="str">
        <f t="shared" ref="B416" si="445">A416&amp;"_AUX"</f>
        <v>078_AUX</v>
      </c>
      <c r="C416" s="162" t="s">
        <v>2823</v>
      </c>
      <c r="D416" s="4" t="s">
        <v>8</v>
      </c>
      <c r="E416" s="4">
        <v>52</v>
      </c>
      <c r="F416" s="4">
        <v>52</v>
      </c>
      <c r="G416" s="4">
        <f>23+23+23</f>
        <v>69</v>
      </c>
      <c r="H416" s="4">
        <f t="shared" ref="H416:I416" si="446">23+23+23</f>
        <v>69</v>
      </c>
      <c r="I416" s="4">
        <f t="shared" si="446"/>
        <v>69</v>
      </c>
      <c r="J416" s="86">
        <f>APUs!G21939</f>
        <v>166073</v>
      </c>
      <c r="K416" s="86">
        <f t="shared" si="443"/>
        <v>8635796</v>
      </c>
      <c r="L416" s="86">
        <f t="shared" si="443"/>
        <v>8635796</v>
      </c>
      <c r="M416" s="86">
        <f t="shared" si="444"/>
        <v>11459037</v>
      </c>
      <c r="N416" s="86">
        <f t="shared" si="444"/>
        <v>11459037</v>
      </c>
      <c r="O416" s="86">
        <f t="shared" si="444"/>
        <v>11459037</v>
      </c>
    </row>
    <row r="417" spans="1:15" hidden="1" outlineLevel="2" collapsed="1" x14ac:dyDescent="0.25">
      <c r="A417" s="44"/>
      <c r="B417" s="44"/>
      <c r="C417" s="162"/>
      <c r="D417" s="4"/>
      <c r="E417" s="4"/>
      <c r="F417" s="4"/>
      <c r="G417" s="4"/>
      <c r="H417" s="4"/>
      <c r="I417" s="4"/>
      <c r="J417" s="86"/>
      <c r="K417" s="86"/>
      <c r="L417" s="86"/>
      <c r="M417" s="86"/>
      <c r="N417" s="86"/>
      <c r="O417" s="86"/>
    </row>
    <row r="418" spans="1:15" outlineLevel="1" collapsed="1" x14ac:dyDescent="0.25">
      <c r="A418" s="44"/>
      <c r="B418" s="44"/>
      <c r="C418" s="172" t="s">
        <v>198</v>
      </c>
      <c r="D418" s="173"/>
      <c r="E418" s="173"/>
      <c r="F418" s="173"/>
      <c r="G418" s="173"/>
      <c r="H418" s="173"/>
      <c r="I418" s="173"/>
      <c r="J418" s="174"/>
      <c r="K418" s="175">
        <f>SUM(K419:K424)</f>
        <v>20280386</v>
      </c>
      <c r="L418" s="175">
        <f>SUM(L419:L424)</f>
        <v>20280386</v>
      </c>
      <c r="M418" s="175">
        <f>SUM(M419:M424)</f>
        <v>24838336</v>
      </c>
      <c r="N418" s="175">
        <f>SUM(N419:N424)</f>
        <v>24838336</v>
      </c>
      <c r="O418" s="175">
        <f>SUM(O419:O424)</f>
        <v>24838336</v>
      </c>
    </row>
    <row r="419" spans="1:15" hidden="1" outlineLevel="2" x14ac:dyDescent="0.25">
      <c r="A419" s="44" t="s">
        <v>302</v>
      </c>
      <c r="B419" s="44" t="str">
        <f t="shared" ref="B419" si="447">A419&amp;"_AUX"</f>
        <v>079_AUX</v>
      </c>
      <c r="C419" s="153" t="s">
        <v>1805</v>
      </c>
      <c r="D419" s="4" t="s">
        <v>8</v>
      </c>
      <c r="E419" s="127">
        <v>1</v>
      </c>
      <c r="F419" s="127">
        <v>1</v>
      </c>
      <c r="G419" s="161">
        <v>0</v>
      </c>
      <c r="H419" s="161">
        <v>0</v>
      </c>
      <c r="I419" s="161">
        <v>0</v>
      </c>
      <c r="J419" s="86">
        <f>APUs!G22011</f>
        <v>18386491</v>
      </c>
      <c r="K419" s="86">
        <f t="shared" ref="K419:L421" si="448">E419*$J419</f>
        <v>18386491</v>
      </c>
      <c r="L419" s="86">
        <f t="shared" si="448"/>
        <v>18386491</v>
      </c>
      <c r="M419" s="86">
        <f t="shared" ref="M419:O421" si="449">G419*$J419</f>
        <v>0</v>
      </c>
      <c r="N419" s="86">
        <f t="shared" si="449"/>
        <v>0</v>
      </c>
      <c r="O419" s="86">
        <f t="shared" si="449"/>
        <v>0</v>
      </c>
    </row>
    <row r="420" spans="1:15" hidden="1" outlineLevel="2" x14ac:dyDescent="0.25">
      <c r="A420" s="44" t="s">
        <v>303</v>
      </c>
      <c r="B420" s="44" t="str">
        <f t="shared" ref="B420:B424" si="450">A420&amp;"_AUX"</f>
        <v>080_AUX</v>
      </c>
      <c r="C420" s="153" t="s">
        <v>2479</v>
      </c>
      <c r="D420" s="161">
        <v>0</v>
      </c>
      <c r="E420" s="161">
        <v>0</v>
      </c>
      <c r="F420" s="161">
        <v>0</v>
      </c>
      <c r="G420" s="4">
        <v>1</v>
      </c>
      <c r="H420" s="4">
        <v>1</v>
      </c>
      <c r="I420" s="4">
        <v>1</v>
      </c>
      <c r="J420" s="86">
        <f>APUs!G22084</f>
        <v>16956491</v>
      </c>
      <c r="K420" s="86">
        <f t="shared" ref="K420" si="451">E420*$J420</f>
        <v>0</v>
      </c>
      <c r="L420" s="86">
        <f t="shared" ref="L420" si="452">F420*$J420</f>
        <v>0</v>
      </c>
      <c r="M420" s="86">
        <f t="shared" ref="M420" si="453">G420*$J420</f>
        <v>16956491</v>
      </c>
      <c r="N420" s="86">
        <f t="shared" ref="N420" si="454">H420*$J420</f>
        <v>16956491</v>
      </c>
      <c r="O420" s="86">
        <f t="shared" ref="O420" si="455">I420*$J420</f>
        <v>16956491</v>
      </c>
    </row>
    <row r="421" spans="1:15" hidden="1" outlineLevel="2" x14ac:dyDescent="0.25">
      <c r="A421" s="205" t="s">
        <v>249</v>
      </c>
      <c r="B421" s="205" t="str">
        <f t="shared" si="450"/>
        <v>025_AUX</v>
      </c>
      <c r="C421" s="153" t="s">
        <v>2480</v>
      </c>
      <c r="D421" s="127" t="s">
        <v>108</v>
      </c>
      <c r="E421" s="4">
        <v>5</v>
      </c>
      <c r="F421" s="4">
        <v>5</v>
      </c>
      <c r="G421" s="4">
        <v>10</v>
      </c>
      <c r="H421" s="4">
        <v>10</v>
      </c>
      <c r="I421" s="4">
        <v>10</v>
      </c>
      <c r="J421" s="86">
        <f>APUs!G18168</f>
        <v>57961</v>
      </c>
      <c r="K421" s="86">
        <f t="shared" si="448"/>
        <v>289805</v>
      </c>
      <c r="L421" s="86">
        <f t="shared" si="448"/>
        <v>289805</v>
      </c>
      <c r="M421" s="86">
        <f t="shared" si="449"/>
        <v>579610</v>
      </c>
      <c r="N421" s="86">
        <f t="shared" si="449"/>
        <v>579610</v>
      </c>
      <c r="O421" s="86">
        <f t="shared" si="449"/>
        <v>579610</v>
      </c>
    </row>
    <row r="422" spans="1:15" hidden="1" outlineLevel="2" x14ac:dyDescent="0.25">
      <c r="A422" s="44" t="s">
        <v>1920</v>
      </c>
      <c r="B422" s="44" t="str">
        <f t="shared" si="450"/>
        <v>082_AUX</v>
      </c>
      <c r="C422" s="153" t="s">
        <v>2481</v>
      </c>
      <c r="D422" s="127" t="s">
        <v>108</v>
      </c>
      <c r="E422" s="4">
        <v>10</v>
      </c>
      <c r="F422" s="4">
        <v>10</v>
      </c>
      <c r="G422" s="4">
        <v>20</v>
      </c>
      <c r="H422" s="4">
        <v>20</v>
      </c>
      <c r="I422" s="4">
        <v>20</v>
      </c>
      <c r="J422" s="86">
        <f>APUs!G22153</f>
        <v>35471</v>
      </c>
      <c r="K422" s="86">
        <f t="shared" ref="K422" si="456">E422*$J422</f>
        <v>354710</v>
      </c>
      <c r="L422" s="86">
        <f t="shared" ref="L422" si="457">F422*$J422</f>
        <v>354710</v>
      </c>
      <c r="M422" s="86">
        <f t="shared" ref="M422" si="458">G422*$J422</f>
        <v>709420</v>
      </c>
      <c r="N422" s="86">
        <f t="shared" ref="N422" si="459">H422*$J422</f>
        <v>709420</v>
      </c>
      <c r="O422" s="86">
        <f t="shared" ref="O422" si="460">I422*$J422</f>
        <v>709420</v>
      </c>
    </row>
    <row r="423" spans="1:15" s="2" customFormat="1" hidden="1" outlineLevel="2" x14ac:dyDescent="0.25">
      <c r="A423" s="205" t="s">
        <v>250</v>
      </c>
      <c r="B423" s="205" t="s">
        <v>2930</v>
      </c>
      <c r="C423" s="153" t="s">
        <v>2510</v>
      </c>
      <c r="D423" s="4" t="s">
        <v>108</v>
      </c>
      <c r="E423" s="4">
        <v>5</v>
      </c>
      <c r="F423" s="4">
        <v>5</v>
      </c>
      <c r="G423" s="4">
        <v>20</v>
      </c>
      <c r="H423" s="4">
        <v>20</v>
      </c>
      <c r="I423" s="4">
        <v>20</v>
      </c>
      <c r="J423" s="86">
        <f>APUs!G18238</f>
        <v>37170</v>
      </c>
      <c r="K423" s="86">
        <f t="shared" ref="K423:L423" si="461">$J423*E423</f>
        <v>185850</v>
      </c>
      <c r="L423" s="86">
        <f t="shared" si="461"/>
        <v>185850</v>
      </c>
      <c r="M423" s="86">
        <f>$J423*G423</f>
        <v>743400</v>
      </c>
      <c r="N423" s="86">
        <f>$J423*H423</f>
        <v>743400</v>
      </c>
      <c r="O423" s="86">
        <f>$J423*I423</f>
        <v>743400</v>
      </c>
    </row>
    <row r="424" spans="1:15" hidden="1" outlineLevel="2" x14ac:dyDescent="0.25">
      <c r="A424" s="44" t="s">
        <v>1922</v>
      </c>
      <c r="B424" s="44" t="str">
        <f t="shared" si="450"/>
        <v>084_AUX</v>
      </c>
      <c r="C424" s="153" t="s">
        <v>2482</v>
      </c>
      <c r="D424" s="7" t="s">
        <v>108</v>
      </c>
      <c r="E424" s="7">
        <v>30</v>
      </c>
      <c r="F424" s="7">
        <v>30</v>
      </c>
      <c r="G424" s="4">
        <f>30+9*15</f>
        <v>165</v>
      </c>
      <c r="H424" s="4">
        <f t="shared" ref="H424:I424" si="462">30+9*15</f>
        <v>165</v>
      </c>
      <c r="I424" s="4">
        <f t="shared" si="462"/>
        <v>165</v>
      </c>
      <c r="J424" s="86">
        <f>APUs!G22224</f>
        <v>35451</v>
      </c>
      <c r="K424" s="86">
        <f t="shared" ref="K424:L424" si="463">E424*$J424</f>
        <v>1063530</v>
      </c>
      <c r="L424" s="86">
        <f t="shared" si="463"/>
        <v>1063530</v>
      </c>
      <c r="M424" s="86">
        <f t="shared" ref="M424:O424" si="464">G424*$J424</f>
        <v>5849415</v>
      </c>
      <c r="N424" s="86">
        <f t="shared" si="464"/>
        <v>5849415</v>
      </c>
      <c r="O424" s="86">
        <f t="shared" si="464"/>
        <v>5849415</v>
      </c>
    </row>
    <row r="425" spans="1:15" outlineLevel="1" collapsed="1" x14ac:dyDescent="0.25">
      <c r="A425" s="44"/>
      <c r="B425" s="44"/>
      <c r="C425" s="172" t="s">
        <v>110</v>
      </c>
      <c r="D425" s="173"/>
      <c r="E425" s="173"/>
      <c r="F425" s="173"/>
      <c r="G425" s="173"/>
      <c r="H425" s="173"/>
      <c r="I425" s="173"/>
      <c r="J425" s="174"/>
      <c r="K425" s="175">
        <f>SUM(K426:K441)</f>
        <v>98439275.140000015</v>
      </c>
      <c r="L425" s="175">
        <f>SUM(L426:L441)</f>
        <v>128532082.34999999</v>
      </c>
      <c r="M425" s="175">
        <f>SUM(M426:M441)</f>
        <v>181826843.79000002</v>
      </c>
      <c r="N425" s="175">
        <f>SUM(N426:N441)</f>
        <v>219546235.65799999</v>
      </c>
      <c r="O425" s="175">
        <f>SUM(O426:O441)</f>
        <v>113649166.46000001</v>
      </c>
    </row>
    <row r="426" spans="1:15" hidden="1" outlineLevel="2" x14ac:dyDescent="0.25">
      <c r="A426" s="44" t="s">
        <v>305</v>
      </c>
      <c r="B426" s="44" t="str">
        <f t="shared" ref="B426" si="465">A426&amp;"_AUX"</f>
        <v>085_AUX</v>
      </c>
      <c r="C426" s="153" t="s">
        <v>202</v>
      </c>
      <c r="D426" s="7" t="s">
        <v>8</v>
      </c>
      <c r="E426" s="7">
        <v>14</v>
      </c>
      <c r="F426" s="7">
        <v>25</v>
      </c>
      <c r="G426" s="7">
        <v>81</v>
      </c>
      <c r="H426" s="7">
        <v>112</v>
      </c>
      <c r="I426" s="7">
        <v>25</v>
      </c>
      <c r="J426" s="86">
        <f>APUs!G22296</f>
        <v>155456</v>
      </c>
      <c r="K426" s="86">
        <f t="shared" ref="K426:L440" si="466">E426*$J426</f>
        <v>2176384</v>
      </c>
      <c r="L426" s="86">
        <f t="shared" si="466"/>
        <v>3886400</v>
      </c>
      <c r="M426" s="86">
        <f t="shared" ref="M426:M441" si="467">G426*$J426</f>
        <v>12591936</v>
      </c>
      <c r="N426" s="86">
        <f t="shared" ref="N426:N441" si="468">H426*$J426</f>
        <v>17411072</v>
      </c>
      <c r="O426" s="86">
        <f t="shared" ref="O426:O441" si="469">I426*$J426</f>
        <v>3886400</v>
      </c>
    </row>
    <row r="427" spans="1:15" hidden="1" outlineLevel="2" x14ac:dyDescent="0.25">
      <c r="A427" s="44" t="s">
        <v>306</v>
      </c>
      <c r="B427" s="44" t="str">
        <f t="shared" ref="B427:B441" si="470">A427&amp;"_AUX"</f>
        <v>086_AUX</v>
      </c>
      <c r="C427" s="153" t="s">
        <v>203</v>
      </c>
      <c r="D427" s="7" t="s">
        <v>8</v>
      </c>
      <c r="E427" s="7">
        <v>60</v>
      </c>
      <c r="F427" s="7">
        <v>67</v>
      </c>
      <c r="G427" s="7">
        <v>24</v>
      </c>
      <c r="H427" s="7">
        <v>44</v>
      </c>
      <c r="I427" s="7">
        <v>67</v>
      </c>
      <c r="J427" s="86">
        <f>APUs!G22368</f>
        <v>150256</v>
      </c>
      <c r="K427" s="86">
        <f t="shared" si="466"/>
        <v>9015360</v>
      </c>
      <c r="L427" s="86">
        <f t="shared" si="466"/>
        <v>10067152</v>
      </c>
      <c r="M427" s="86">
        <f t="shared" si="467"/>
        <v>3606144</v>
      </c>
      <c r="N427" s="86">
        <f t="shared" si="468"/>
        <v>6611264</v>
      </c>
      <c r="O427" s="86">
        <f t="shared" si="469"/>
        <v>10067152</v>
      </c>
    </row>
    <row r="428" spans="1:15" hidden="1" outlineLevel="2" x14ac:dyDescent="0.25">
      <c r="A428" s="44" t="s">
        <v>307</v>
      </c>
      <c r="B428" s="44" t="str">
        <f t="shared" si="470"/>
        <v>087_AUX</v>
      </c>
      <c r="C428" s="153" t="s">
        <v>1658</v>
      </c>
      <c r="D428" s="7" t="s">
        <v>8</v>
      </c>
      <c r="E428" s="7">
        <v>6</v>
      </c>
      <c r="F428" s="7">
        <v>6</v>
      </c>
      <c r="G428" s="7">
        <v>6</v>
      </c>
      <c r="H428" s="7">
        <v>2</v>
      </c>
      <c r="I428" s="7">
        <v>6</v>
      </c>
      <c r="J428" s="86">
        <f>APUs!G22439</f>
        <v>142586</v>
      </c>
      <c r="K428" s="86">
        <f t="shared" si="466"/>
        <v>855516</v>
      </c>
      <c r="L428" s="86">
        <f t="shared" si="466"/>
        <v>855516</v>
      </c>
      <c r="M428" s="86">
        <f t="shared" si="467"/>
        <v>855516</v>
      </c>
      <c r="N428" s="86">
        <f t="shared" si="468"/>
        <v>285172</v>
      </c>
      <c r="O428" s="86">
        <f t="shared" si="469"/>
        <v>855516</v>
      </c>
    </row>
    <row r="429" spans="1:15" hidden="1" outlineLevel="2" x14ac:dyDescent="0.25">
      <c r="A429" s="44" t="s">
        <v>308</v>
      </c>
      <c r="B429" s="44" t="str">
        <f t="shared" si="470"/>
        <v>088_AUX</v>
      </c>
      <c r="C429" s="153" t="s">
        <v>1807</v>
      </c>
      <c r="D429" s="7" t="s">
        <v>8</v>
      </c>
      <c r="E429" s="158">
        <v>0</v>
      </c>
      <c r="F429" s="158">
        <v>0</v>
      </c>
      <c r="G429" s="7">
        <v>44</v>
      </c>
      <c r="H429" s="7">
        <v>27</v>
      </c>
      <c r="I429" s="7">
        <v>22</v>
      </c>
      <c r="J429" s="86">
        <f>APUs!G22510</f>
        <v>150256</v>
      </c>
      <c r="K429" s="86">
        <f t="shared" si="466"/>
        <v>0</v>
      </c>
      <c r="L429" s="86">
        <f t="shared" si="466"/>
        <v>0</v>
      </c>
      <c r="M429" s="86">
        <f t="shared" si="467"/>
        <v>6611264</v>
      </c>
      <c r="N429" s="86">
        <f t="shared" si="468"/>
        <v>4056912</v>
      </c>
      <c r="O429" s="86">
        <f t="shared" si="469"/>
        <v>3305632</v>
      </c>
    </row>
    <row r="430" spans="1:15" hidden="1" outlineLevel="2" x14ac:dyDescent="0.25">
      <c r="A430" s="44" t="s">
        <v>309</v>
      </c>
      <c r="B430" s="44" t="str">
        <f t="shared" si="470"/>
        <v>089_AUX</v>
      </c>
      <c r="C430" s="153" t="s">
        <v>1806</v>
      </c>
      <c r="D430" s="7" t="s">
        <v>8</v>
      </c>
      <c r="E430" s="7">
        <v>17</v>
      </c>
      <c r="F430" s="7">
        <v>27</v>
      </c>
      <c r="G430" s="7">
        <v>12</v>
      </c>
      <c r="H430" s="7">
        <v>27</v>
      </c>
      <c r="I430" s="7">
        <v>27</v>
      </c>
      <c r="J430" s="86">
        <f>APUs!G22581</f>
        <v>150256</v>
      </c>
      <c r="K430" s="86">
        <f t="shared" si="466"/>
        <v>2554352</v>
      </c>
      <c r="L430" s="86">
        <f t="shared" si="466"/>
        <v>4056912</v>
      </c>
      <c r="M430" s="86">
        <f t="shared" si="467"/>
        <v>1803072</v>
      </c>
      <c r="N430" s="86">
        <f t="shared" si="468"/>
        <v>4056912</v>
      </c>
      <c r="O430" s="86">
        <f t="shared" si="469"/>
        <v>4056912</v>
      </c>
    </row>
    <row r="431" spans="1:15" hidden="1" outlineLevel="2" x14ac:dyDescent="0.25">
      <c r="A431" s="44" t="s">
        <v>310</v>
      </c>
      <c r="B431" s="44" t="str">
        <f t="shared" si="470"/>
        <v>090_AUX</v>
      </c>
      <c r="C431" s="153" t="s">
        <v>204</v>
      </c>
      <c r="D431" s="7" t="s">
        <v>8</v>
      </c>
      <c r="E431" s="7">
        <v>20</v>
      </c>
      <c r="F431" s="7">
        <v>20</v>
      </c>
      <c r="G431" s="7">
        <v>39</v>
      </c>
      <c r="H431" s="7">
        <v>39</v>
      </c>
      <c r="I431" s="7">
        <v>39</v>
      </c>
      <c r="J431" s="86">
        <f>APUs!G22652</f>
        <v>22859</v>
      </c>
      <c r="K431" s="86">
        <f t="shared" si="466"/>
        <v>457180</v>
      </c>
      <c r="L431" s="86">
        <f t="shared" si="466"/>
        <v>457180</v>
      </c>
      <c r="M431" s="86">
        <f t="shared" si="467"/>
        <v>891501</v>
      </c>
      <c r="N431" s="86">
        <f t="shared" si="468"/>
        <v>891501</v>
      </c>
      <c r="O431" s="86">
        <f t="shared" si="469"/>
        <v>891501</v>
      </c>
    </row>
    <row r="432" spans="1:15" hidden="1" outlineLevel="2" x14ac:dyDescent="0.25">
      <c r="A432" s="44" t="s">
        <v>311</v>
      </c>
      <c r="B432" s="44" t="str">
        <f t="shared" si="470"/>
        <v>091_AUX</v>
      </c>
      <c r="C432" s="153" t="s">
        <v>1659</v>
      </c>
      <c r="D432" s="7" t="s">
        <v>8</v>
      </c>
      <c r="E432" s="7">
        <v>3</v>
      </c>
      <c r="F432" s="7">
        <v>3</v>
      </c>
      <c r="G432" s="7">
        <v>6</v>
      </c>
      <c r="H432" s="7">
        <v>6</v>
      </c>
      <c r="I432" s="7">
        <v>3</v>
      </c>
      <c r="J432" s="86">
        <f>APUs!G22723</f>
        <v>822946</v>
      </c>
      <c r="K432" s="86">
        <f t="shared" si="466"/>
        <v>2468838</v>
      </c>
      <c r="L432" s="86">
        <f t="shared" si="466"/>
        <v>2468838</v>
      </c>
      <c r="M432" s="86">
        <f t="shared" si="467"/>
        <v>4937676</v>
      </c>
      <c r="N432" s="86">
        <f t="shared" si="468"/>
        <v>4937676</v>
      </c>
      <c r="O432" s="86">
        <f t="shared" si="469"/>
        <v>2468838</v>
      </c>
    </row>
    <row r="433" spans="1:15" hidden="1" outlineLevel="2" x14ac:dyDescent="0.25">
      <c r="A433" s="44" t="s">
        <v>312</v>
      </c>
      <c r="B433" s="44" t="str">
        <f t="shared" si="470"/>
        <v>092_AUX</v>
      </c>
      <c r="C433" s="153" t="s">
        <v>1660</v>
      </c>
      <c r="D433" s="7" t="s">
        <v>8</v>
      </c>
      <c r="E433" s="7">
        <v>6</v>
      </c>
      <c r="F433" s="7">
        <v>6</v>
      </c>
      <c r="G433" s="7">
        <v>8</v>
      </c>
      <c r="H433" s="7">
        <v>6</v>
      </c>
      <c r="I433" s="7">
        <v>6</v>
      </c>
      <c r="J433" s="86">
        <f>APUs!G22795</f>
        <v>296552</v>
      </c>
      <c r="K433" s="86">
        <f t="shared" si="466"/>
        <v>1779312</v>
      </c>
      <c r="L433" s="86">
        <f t="shared" si="466"/>
        <v>1779312</v>
      </c>
      <c r="M433" s="86">
        <f t="shared" si="467"/>
        <v>2372416</v>
      </c>
      <c r="N433" s="86">
        <f t="shared" si="468"/>
        <v>1779312</v>
      </c>
      <c r="O433" s="86">
        <f t="shared" si="469"/>
        <v>1779312</v>
      </c>
    </row>
    <row r="434" spans="1:15" hidden="1" outlineLevel="2" x14ac:dyDescent="0.25">
      <c r="A434" s="44" t="s">
        <v>313</v>
      </c>
      <c r="B434" s="44" t="str">
        <f t="shared" si="470"/>
        <v>093_AUX</v>
      </c>
      <c r="C434" s="153" t="s">
        <v>205</v>
      </c>
      <c r="D434" s="7" t="s">
        <v>8</v>
      </c>
      <c r="E434" s="7">
        <v>18</v>
      </c>
      <c r="F434" s="7">
        <v>17</v>
      </c>
      <c r="G434" s="7">
        <v>6</v>
      </c>
      <c r="H434" s="7">
        <v>4</v>
      </c>
      <c r="I434" s="7">
        <v>6</v>
      </c>
      <c r="J434" s="86">
        <f>APUs!G22866</f>
        <v>21169</v>
      </c>
      <c r="K434" s="86">
        <f t="shared" si="466"/>
        <v>381042</v>
      </c>
      <c r="L434" s="86">
        <f t="shared" si="466"/>
        <v>359873</v>
      </c>
      <c r="M434" s="86">
        <f t="shared" si="467"/>
        <v>127014</v>
      </c>
      <c r="N434" s="86">
        <f t="shared" si="468"/>
        <v>84676</v>
      </c>
      <c r="O434" s="86">
        <f t="shared" si="469"/>
        <v>127014</v>
      </c>
    </row>
    <row r="435" spans="1:15" hidden="1" outlineLevel="2" x14ac:dyDescent="0.25">
      <c r="A435" s="44" t="s">
        <v>314</v>
      </c>
      <c r="B435" s="44" t="str">
        <f t="shared" si="470"/>
        <v>094_AUX</v>
      </c>
      <c r="C435" s="153" t="s">
        <v>1823</v>
      </c>
      <c r="D435" s="7" t="s">
        <v>8</v>
      </c>
      <c r="E435" s="158">
        <v>0</v>
      </c>
      <c r="F435" s="158">
        <v>0</v>
      </c>
      <c r="G435" s="7">
        <v>4</v>
      </c>
      <c r="H435" s="7">
        <v>4</v>
      </c>
      <c r="I435" s="7">
        <v>4</v>
      </c>
      <c r="J435" s="86">
        <f>APUs!G22937</f>
        <v>289817</v>
      </c>
      <c r="K435" s="86">
        <f t="shared" si="466"/>
        <v>0</v>
      </c>
      <c r="L435" s="86">
        <f t="shared" si="466"/>
        <v>0</v>
      </c>
      <c r="M435" s="86">
        <f t="shared" si="467"/>
        <v>1159268</v>
      </c>
      <c r="N435" s="86">
        <f t="shared" si="468"/>
        <v>1159268</v>
      </c>
      <c r="O435" s="86">
        <f t="shared" si="469"/>
        <v>1159268</v>
      </c>
    </row>
    <row r="436" spans="1:15" hidden="1" outlineLevel="2" x14ac:dyDescent="0.25">
      <c r="A436" s="44" t="s">
        <v>1923</v>
      </c>
      <c r="B436" s="44" t="str">
        <f t="shared" si="470"/>
        <v>095_AUX</v>
      </c>
      <c r="C436" s="153" t="s">
        <v>1661</v>
      </c>
      <c r="D436" s="7" t="s">
        <v>8</v>
      </c>
      <c r="E436" s="7">
        <f>E430+E428</f>
        <v>23</v>
      </c>
      <c r="F436" s="7">
        <v>33</v>
      </c>
      <c r="G436" s="7">
        <v>56</v>
      </c>
      <c r="H436" s="7">
        <v>56</v>
      </c>
      <c r="I436" s="7">
        <v>27</v>
      </c>
      <c r="J436" s="86">
        <f>APUs!G23008</f>
        <v>403395</v>
      </c>
      <c r="K436" s="86">
        <f t="shared" si="466"/>
        <v>9278085</v>
      </c>
      <c r="L436" s="86">
        <f t="shared" si="466"/>
        <v>13312035</v>
      </c>
      <c r="M436" s="86">
        <f t="shared" si="467"/>
        <v>22590120</v>
      </c>
      <c r="N436" s="86">
        <f t="shared" si="468"/>
        <v>22590120</v>
      </c>
      <c r="O436" s="86">
        <f t="shared" si="469"/>
        <v>10891665</v>
      </c>
    </row>
    <row r="437" spans="1:15" hidden="1" outlineLevel="2" x14ac:dyDescent="0.25">
      <c r="A437" s="44" t="s">
        <v>1924</v>
      </c>
      <c r="B437" s="44" t="str">
        <f t="shared" si="470"/>
        <v>096_AUX</v>
      </c>
      <c r="C437" s="153" t="s">
        <v>1050</v>
      </c>
      <c r="D437" s="7" t="s">
        <v>108</v>
      </c>
      <c r="E437" s="7">
        <v>15</v>
      </c>
      <c r="F437" s="7">
        <v>12</v>
      </c>
      <c r="G437" s="7">
        <f>(49+12)*1.05</f>
        <v>64.05</v>
      </c>
      <c r="H437" s="188">
        <f>(6+6+62.28)*1.05</f>
        <v>77.994</v>
      </c>
      <c r="I437" s="7">
        <f>63*1.05</f>
        <v>66.150000000000006</v>
      </c>
      <c r="J437" s="86">
        <f>APUs!G23080</f>
        <v>98722</v>
      </c>
      <c r="K437" s="86">
        <f t="shared" si="466"/>
        <v>1480830</v>
      </c>
      <c r="L437" s="86">
        <f t="shared" si="466"/>
        <v>1184664</v>
      </c>
      <c r="M437" s="86">
        <f t="shared" si="467"/>
        <v>6323144.0999999996</v>
      </c>
      <c r="N437" s="86">
        <f t="shared" si="468"/>
        <v>7699723.6679999996</v>
      </c>
      <c r="O437" s="86">
        <f t="shared" si="469"/>
        <v>6530460.3000000007</v>
      </c>
    </row>
    <row r="438" spans="1:15" hidden="1" outlineLevel="2" x14ac:dyDescent="0.25">
      <c r="A438" s="44" t="s">
        <v>1925</v>
      </c>
      <c r="B438" s="44" t="str">
        <f t="shared" si="470"/>
        <v>097_AUX</v>
      </c>
      <c r="C438" s="153" t="s">
        <v>206</v>
      </c>
      <c r="D438" s="7" t="s">
        <v>108</v>
      </c>
      <c r="E438" s="7">
        <f>746*1.05</f>
        <v>783.30000000000007</v>
      </c>
      <c r="F438" s="7">
        <f>1015*1.05</f>
        <v>1065.75</v>
      </c>
      <c r="G438" s="7">
        <f>1341*1.05</f>
        <v>1408.05</v>
      </c>
      <c r="H438" s="7">
        <f>1711*1.05</f>
        <v>1796.5500000000002</v>
      </c>
      <c r="I438" s="7">
        <f>724*1.05</f>
        <v>760.2</v>
      </c>
      <c r="J438" s="86">
        <f>APUs!G23151</f>
        <v>65666</v>
      </c>
      <c r="K438" s="86">
        <f t="shared" si="466"/>
        <v>51436177.800000004</v>
      </c>
      <c r="L438" s="86">
        <f t="shared" si="466"/>
        <v>69983539.5</v>
      </c>
      <c r="M438" s="86">
        <f t="shared" si="467"/>
        <v>92461011.299999997</v>
      </c>
      <c r="N438" s="86">
        <f t="shared" si="468"/>
        <v>117972252.30000001</v>
      </c>
      <c r="O438" s="86">
        <f t="shared" si="469"/>
        <v>49919293.200000003</v>
      </c>
    </row>
    <row r="439" spans="1:15" hidden="1" outlineLevel="2" x14ac:dyDescent="0.25">
      <c r="A439" s="44" t="s">
        <v>1926</v>
      </c>
      <c r="B439" s="44" t="str">
        <f t="shared" si="470"/>
        <v>098_AUX</v>
      </c>
      <c r="C439" s="153" t="s">
        <v>316</v>
      </c>
      <c r="D439" s="7" t="s">
        <v>108</v>
      </c>
      <c r="E439" s="7">
        <v>108</v>
      </c>
      <c r="F439" s="7">
        <v>108</v>
      </c>
      <c r="G439" s="7">
        <v>127</v>
      </c>
      <c r="H439" s="7">
        <v>120</v>
      </c>
      <c r="I439" s="7">
        <f>134</f>
        <v>134</v>
      </c>
      <c r="J439" s="86">
        <f>APUs!G23217</f>
        <v>55597</v>
      </c>
      <c r="K439" s="86">
        <f t="shared" si="466"/>
        <v>6004476</v>
      </c>
      <c r="L439" s="86">
        <f t="shared" si="466"/>
        <v>6004476</v>
      </c>
      <c r="M439" s="86">
        <f t="shared" si="467"/>
        <v>7060819</v>
      </c>
      <c r="N439" s="86">
        <f t="shared" si="468"/>
        <v>6671640</v>
      </c>
      <c r="O439" s="86">
        <f t="shared" si="469"/>
        <v>7449998</v>
      </c>
    </row>
    <row r="440" spans="1:15" hidden="1" outlineLevel="2" x14ac:dyDescent="0.25">
      <c r="A440" s="44" t="s">
        <v>1927</v>
      </c>
      <c r="B440" s="44" t="str">
        <f t="shared" si="470"/>
        <v>099_AUX</v>
      </c>
      <c r="C440" s="153" t="s">
        <v>2328</v>
      </c>
      <c r="D440" s="7" t="s">
        <v>8</v>
      </c>
      <c r="E440" s="7">
        <v>11</v>
      </c>
      <c r="F440" s="7">
        <v>11</v>
      </c>
      <c r="G440" s="7">
        <v>11</v>
      </c>
      <c r="H440" s="7">
        <v>11</v>
      </c>
      <c r="I440" s="7">
        <v>11</v>
      </c>
      <c r="J440" s="86">
        <f>APUs!G23289</f>
        <v>60603</v>
      </c>
      <c r="K440" s="86">
        <f t="shared" si="466"/>
        <v>666633</v>
      </c>
      <c r="L440" s="86">
        <f t="shared" si="466"/>
        <v>666633</v>
      </c>
      <c r="M440" s="86">
        <f t="shared" si="467"/>
        <v>666633</v>
      </c>
      <c r="N440" s="86">
        <f t="shared" si="468"/>
        <v>666633</v>
      </c>
      <c r="O440" s="86">
        <f t="shared" si="469"/>
        <v>666633</v>
      </c>
    </row>
    <row r="441" spans="1:15" hidden="1" outlineLevel="2" x14ac:dyDescent="0.25">
      <c r="A441" s="44" t="s">
        <v>1928</v>
      </c>
      <c r="B441" s="44" t="str">
        <f t="shared" si="470"/>
        <v>100_AUX</v>
      </c>
      <c r="C441" s="153" t="s">
        <v>2329</v>
      </c>
      <c r="D441" s="7" t="s">
        <v>114</v>
      </c>
      <c r="E441" s="7">
        <f>E438*0.4*0.5</f>
        <v>156.66000000000003</v>
      </c>
      <c r="F441" s="7">
        <f>F438*0.4*0.5</f>
        <v>213.15</v>
      </c>
      <c r="G441" s="7">
        <f>G438*0.4*0.5</f>
        <v>281.61</v>
      </c>
      <c r="H441" s="7">
        <f>H438*0.4*0.5</f>
        <v>359.31000000000006</v>
      </c>
      <c r="I441" s="7">
        <f>I438*0.4*0.5</f>
        <v>152.04000000000002</v>
      </c>
      <c r="J441" s="86">
        <f>APUs!G23355</f>
        <v>63099</v>
      </c>
      <c r="K441" s="86">
        <f t="shared" ref="K441:L441" si="471">E441*$J441</f>
        <v>9885089.3400000017</v>
      </c>
      <c r="L441" s="86">
        <f t="shared" si="471"/>
        <v>13449551.85</v>
      </c>
      <c r="M441" s="86">
        <f t="shared" si="467"/>
        <v>17769309.390000001</v>
      </c>
      <c r="N441" s="86">
        <f t="shared" si="468"/>
        <v>22672101.690000005</v>
      </c>
      <c r="O441" s="86">
        <f t="shared" si="469"/>
        <v>9593571.9600000009</v>
      </c>
    </row>
    <row r="442" spans="1:15" outlineLevel="1" collapsed="1" x14ac:dyDescent="0.25">
      <c r="A442" s="44"/>
      <c r="B442" s="44"/>
      <c r="C442" s="172" t="s">
        <v>2330</v>
      </c>
      <c r="D442" s="173"/>
      <c r="E442" s="173"/>
      <c r="F442" s="173"/>
      <c r="G442" s="173"/>
      <c r="H442" s="173"/>
      <c r="I442" s="173"/>
      <c r="J442" s="173"/>
      <c r="K442" s="175">
        <f>SUM(K443:K447)</f>
        <v>30807642</v>
      </c>
      <c r="L442" s="175">
        <f>SUM(L443:L447)</f>
        <v>30807642</v>
      </c>
      <c r="M442" s="175">
        <f>SUM(M443:M447)</f>
        <v>4068596</v>
      </c>
      <c r="N442" s="175">
        <f>SUM(N443:N447)</f>
        <v>4068596</v>
      </c>
      <c r="O442" s="175">
        <f>SUM(O443:O447)</f>
        <v>4068596</v>
      </c>
    </row>
    <row r="443" spans="1:15" hidden="1" outlineLevel="2" x14ac:dyDescent="0.25">
      <c r="A443" s="44" t="s">
        <v>1929</v>
      </c>
      <c r="B443" s="44" t="str">
        <f t="shared" ref="B443" si="472">A443&amp;"_AUX"</f>
        <v>101_AUX</v>
      </c>
      <c r="C443" s="162" t="s">
        <v>2331</v>
      </c>
      <c r="D443" s="127" t="s">
        <v>18</v>
      </c>
      <c r="E443" s="4">
        <v>6</v>
      </c>
      <c r="F443" s="4">
        <v>6</v>
      </c>
      <c r="G443" s="158">
        <v>0</v>
      </c>
      <c r="H443" s="158">
        <v>0</v>
      </c>
      <c r="I443" s="158">
        <v>0</v>
      </c>
      <c r="J443" s="86">
        <f>APUs!G23426</f>
        <v>303327</v>
      </c>
      <c r="K443" s="86">
        <f t="shared" ref="K443:L447" si="473">E443*$J443</f>
        <v>1819962</v>
      </c>
      <c r="L443" s="86">
        <f t="shared" si="473"/>
        <v>1819962</v>
      </c>
      <c r="M443" s="86">
        <f t="shared" ref="M443:O447" si="474">G443*$J443</f>
        <v>0</v>
      </c>
      <c r="N443" s="86">
        <f t="shared" si="474"/>
        <v>0</v>
      </c>
      <c r="O443" s="86">
        <f t="shared" si="474"/>
        <v>0</v>
      </c>
    </row>
    <row r="444" spans="1:15" hidden="1" outlineLevel="2" x14ac:dyDescent="0.25">
      <c r="A444" s="44" t="s">
        <v>1930</v>
      </c>
      <c r="B444" s="44" t="str">
        <f t="shared" ref="B444:B447" si="475">A444&amp;"_AUX"</f>
        <v>102_AUX</v>
      </c>
      <c r="C444" s="162" t="s">
        <v>2332</v>
      </c>
      <c r="D444" s="127" t="s">
        <v>108</v>
      </c>
      <c r="E444" s="4">
        <f>160*1.25</f>
        <v>200</v>
      </c>
      <c r="F444" s="4">
        <f>160*1.25</f>
        <v>200</v>
      </c>
      <c r="G444" s="158">
        <v>0</v>
      </c>
      <c r="H444" s="158">
        <v>0</v>
      </c>
      <c r="I444" s="158">
        <v>0</v>
      </c>
      <c r="J444" s="86">
        <f>APUs!G23497</f>
        <v>15617</v>
      </c>
      <c r="K444" s="86">
        <f t="shared" si="473"/>
        <v>3123400</v>
      </c>
      <c r="L444" s="86">
        <f t="shared" si="473"/>
        <v>3123400</v>
      </c>
      <c r="M444" s="86">
        <f t="shared" si="474"/>
        <v>0</v>
      </c>
      <c r="N444" s="86">
        <f t="shared" si="474"/>
        <v>0</v>
      </c>
      <c r="O444" s="86">
        <f t="shared" si="474"/>
        <v>0</v>
      </c>
    </row>
    <row r="445" spans="1:15" hidden="1" outlineLevel="2" x14ac:dyDescent="0.25">
      <c r="A445" s="44" t="s">
        <v>1931</v>
      </c>
      <c r="B445" s="44" t="str">
        <f t="shared" si="475"/>
        <v>103_AUX</v>
      </c>
      <c r="C445" s="162" t="s">
        <v>2395</v>
      </c>
      <c r="D445" s="7" t="s">
        <v>18</v>
      </c>
      <c r="E445" s="7">
        <v>4</v>
      </c>
      <c r="F445" s="7">
        <v>4</v>
      </c>
      <c r="G445" s="7">
        <v>4</v>
      </c>
      <c r="H445" s="7">
        <v>4</v>
      </c>
      <c r="I445" s="7">
        <v>4</v>
      </c>
      <c r="J445" s="86">
        <f>APUs!G23571</f>
        <v>1017149</v>
      </c>
      <c r="K445" s="86">
        <f t="shared" si="473"/>
        <v>4068596</v>
      </c>
      <c r="L445" s="86">
        <f t="shared" si="473"/>
        <v>4068596</v>
      </c>
      <c r="M445" s="86">
        <f t="shared" si="474"/>
        <v>4068596</v>
      </c>
      <c r="N445" s="86">
        <f t="shared" si="474"/>
        <v>4068596</v>
      </c>
      <c r="O445" s="86">
        <f t="shared" si="474"/>
        <v>4068596</v>
      </c>
    </row>
    <row r="446" spans="1:15" hidden="1" outlineLevel="2" x14ac:dyDescent="0.25">
      <c r="A446" s="44" t="s">
        <v>1932</v>
      </c>
      <c r="B446" s="44" t="str">
        <f t="shared" si="475"/>
        <v>104_AUX</v>
      </c>
      <c r="C446" s="162" t="s">
        <v>2333</v>
      </c>
      <c r="D446" s="127" t="s">
        <v>18</v>
      </c>
      <c r="E446" s="4">
        <v>12</v>
      </c>
      <c r="F446" s="4">
        <v>12</v>
      </c>
      <c r="G446" s="4"/>
      <c r="H446" s="4"/>
      <c r="I446" s="4"/>
      <c r="J446" s="86">
        <f>APUs!G23645</f>
        <v>1371188</v>
      </c>
      <c r="K446" s="86">
        <f t="shared" si="473"/>
        <v>16454256</v>
      </c>
      <c r="L446" s="86">
        <f t="shared" si="473"/>
        <v>16454256</v>
      </c>
      <c r="M446" s="86">
        <f t="shared" si="474"/>
        <v>0</v>
      </c>
      <c r="N446" s="86">
        <f t="shared" si="474"/>
        <v>0</v>
      </c>
      <c r="O446" s="86">
        <f t="shared" si="474"/>
        <v>0</v>
      </c>
    </row>
    <row r="447" spans="1:15" hidden="1" outlineLevel="2" x14ac:dyDescent="0.25">
      <c r="A447" s="44" t="s">
        <v>1933</v>
      </c>
      <c r="B447" s="44" t="str">
        <f t="shared" si="475"/>
        <v>105_AUX</v>
      </c>
      <c r="C447" s="162" t="s">
        <v>2041</v>
      </c>
      <c r="D447" s="127" t="s">
        <v>18</v>
      </c>
      <c r="E447" s="4">
        <v>18</v>
      </c>
      <c r="F447" s="4">
        <v>18</v>
      </c>
      <c r="G447" s="158">
        <v>0</v>
      </c>
      <c r="H447" s="158">
        <v>0</v>
      </c>
      <c r="I447" s="158">
        <v>0</v>
      </c>
      <c r="J447" s="86">
        <f>APUs!G23712</f>
        <v>296746</v>
      </c>
      <c r="K447" s="86">
        <f t="shared" si="473"/>
        <v>5341428</v>
      </c>
      <c r="L447" s="86">
        <f t="shared" si="473"/>
        <v>5341428</v>
      </c>
      <c r="M447" s="86">
        <f t="shared" si="474"/>
        <v>0</v>
      </c>
      <c r="N447" s="86">
        <f t="shared" si="474"/>
        <v>0</v>
      </c>
      <c r="O447" s="86">
        <f t="shared" si="474"/>
        <v>0</v>
      </c>
    </row>
    <row r="448" spans="1:15" outlineLevel="1" collapsed="1" x14ac:dyDescent="0.25">
      <c r="A448" s="44"/>
      <c r="B448" s="44"/>
      <c r="C448" s="165"/>
      <c r="D448" s="127"/>
      <c r="E448" s="4"/>
      <c r="F448" s="141"/>
      <c r="G448" s="141"/>
      <c r="H448" s="141"/>
      <c r="I448" s="141"/>
      <c r="J448" s="86"/>
      <c r="K448" s="86"/>
      <c r="L448" s="86"/>
      <c r="M448" s="86"/>
      <c r="N448" s="86"/>
      <c r="O448" s="86"/>
    </row>
    <row r="449" spans="1:15" x14ac:dyDescent="0.25">
      <c r="A449" s="23"/>
      <c r="B449" s="23"/>
      <c r="C449" s="8" t="s">
        <v>107</v>
      </c>
      <c r="D449" s="9"/>
      <c r="E449" s="9"/>
      <c r="F449" s="9"/>
      <c r="G449" s="9"/>
      <c r="H449" s="9"/>
      <c r="I449" s="9"/>
      <c r="J449" s="10"/>
      <c r="K449" s="84">
        <f>SUM(K450:K454)</f>
        <v>112661174</v>
      </c>
      <c r="L449" s="84">
        <f t="shared" ref="L449:O449" si="476">SUM(L450:L454)</f>
        <v>112661174</v>
      </c>
      <c r="M449" s="84">
        <f t="shared" si="476"/>
        <v>102591834</v>
      </c>
      <c r="N449" s="84">
        <f t="shared" si="476"/>
        <v>102591834</v>
      </c>
      <c r="O449" s="84">
        <f t="shared" si="476"/>
        <v>102591834</v>
      </c>
    </row>
    <row r="450" spans="1:15" outlineLevel="1" x14ac:dyDescent="0.25">
      <c r="A450" s="44" t="s">
        <v>226</v>
      </c>
      <c r="B450" s="44" t="str">
        <f>A450&amp;"_OT"</f>
        <v>001_OT</v>
      </c>
      <c r="C450" s="165" t="s">
        <v>112</v>
      </c>
      <c r="D450" s="4" t="s">
        <v>8</v>
      </c>
      <c r="E450" s="7">
        <v>1</v>
      </c>
      <c r="F450" s="7">
        <v>1</v>
      </c>
      <c r="G450" s="7">
        <v>1</v>
      </c>
      <c r="H450" s="7">
        <v>1</v>
      </c>
      <c r="I450" s="7">
        <v>1</v>
      </c>
      <c r="J450" s="5">
        <f>APUs!G23781</f>
        <v>994467</v>
      </c>
      <c r="K450" s="5">
        <f t="shared" ref="K450:L453" si="477">E450*$J450</f>
        <v>994467</v>
      </c>
      <c r="L450" s="5">
        <f t="shared" si="477"/>
        <v>994467</v>
      </c>
      <c r="M450" s="5">
        <f t="shared" ref="M450:O453" si="478">G450*$J450</f>
        <v>994467</v>
      </c>
      <c r="N450" s="5">
        <f t="shared" si="478"/>
        <v>994467</v>
      </c>
      <c r="O450" s="5">
        <f t="shared" si="478"/>
        <v>994467</v>
      </c>
    </row>
    <row r="451" spans="1:15" outlineLevel="1" x14ac:dyDescent="0.25">
      <c r="A451" s="44" t="s">
        <v>227</v>
      </c>
      <c r="B451" s="44" t="str">
        <f t="shared" ref="B451:B454" si="479">A451&amp;"_OT"</f>
        <v>002_OT</v>
      </c>
      <c r="C451" s="165" t="s">
        <v>1361</v>
      </c>
      <c r="D451" s="7" t="s">
        <v>1360</v>
      </c>
      <c r="E451" s="7">
        <v>50</v>
      </c>
      <c r="F451" s="7">
        <v>50</v>
      </c>
      <c r="G451" s="7">
        <v>30</v>
      </c>
      <c r="H451" s="7">
        <v>30</v>
      </c>
      <c r="I451" s="7">
        <v>30</v>
      </c>
      <c r="J451" s="86">
        <f>APUs!G23850</f>
        <v>503467</v>
      </c>
      <c r="K451" s="86">
        <f t="shared" si="477"/>
        <v>25173350</v>
      </c>
      <c r="L451" s="86">
        <f t="shared" si="477"/>
        <v>25173350</v>
      </c>
      <c r="M451" s="86">
        <f t="shared" si="478"/>
        <v>15104010</v>
      </c>
      <c r="N451" s="86">
        <f t="shared" si="478"/>
        <v>15104010</v>
      </c>
      <c r="O451" s="86">
        <f t="shared" si="478"/>
        <v>15104010</v>
      </c>
    </row>
    <row r="452" spans="1:15" outlineLevel="1" x14ac:dyDescent="0.25">
      <c r="A452" s="44" t="s">
        <v>228</v>
      </c>
      <c r="B452" s="44" t="str">
        <f t="shared" si="479"/>
        <v>003_OT</v>
      </c>
      <c r="C452" s="165" t="s">
        <v>1097</v>
      </c>
      <c r="D452" s="4" t="s">
        <v>8</v>
      </c>
      <c r="E452" s="7">
        <v>1</v>
      </c>
      <c r="F452" s="7">
        <v>1</v>
      </c>
      <c r="G452" s="7">
        <v>1</v>
      </c>
      <c r="H452" s="7">
        <v>1</v>
      </c>
      <c r="I452" s="7">
        <v>1</v>
      </c>
      <c r="J452" s="86">
        <f>APUs!G23917</f>
        <v>45031666</v>
      </c>
      <c r="K452" s="86">
        <f t="shared" si="477"/>
        <v>45031666</v>
      </c>
      <c r="L452" s="86">
        <f t="shared" si="477"/>
        <v>45031666</v>
      </c>
      <c r="M452" s="86">
        <f t="shared" si="478"/>
        <v>45031666</v>
      </c>
      <c r="N452" s="86">
        <f t="shared" si="478"/>
        <v>45031666</v>
      </c>
      <c r="O452" s="86">
        <f t="shared" si="478"/>
        <v>45031666</v>
      </c>
    </row>
    <row r="453" spans="1:15" outlineLevel="1" x14ac:dyDescent="0.25">
      <c r="A453" s="44" t="s">
        <v>229</v>
      </c>
      <c r="B453" s="44" t="str">
        <f t="shared" si="479"/>
        <v>004_OT</v>
      </c>
      <c r="C453" s="165" t="s">
        <v>1098</v>
      </c>
      <c r="D453" s="4" t="s">
        <v>8</v>
      </c>
      <c r="E453" s="7">
        <v>1</v>
      </c>
      <c r="F453" s="7">
        <v>1</v>
      </c>
      <c r="G453" s="7">
        <v>1</v>
      </c>
      <c r="H453" s="7">
        <v>1</v>
      </c>
      <c r="I453" s="7">
        <v>1</v>
      </c>
      <c r="J453" s="5">
        <f>APUs!G23984</f>
        <v>35030844</v>
      </c>
      <c r="K453" s="5">
        <f t="shared" si="477"/>
        <v>35030844</v>
      </c>
      <c r="L453" s="5">
        <f t="shared" si="477"/>
        <v>35030844</v>
      </c>
      <c r="M453" s="5">
        <f t="shared" si="478"/>
        <v>35030844</v>
      </c>
      <c r="N453" s="5">
        <f t="shared" si="478"/>
        <v>35030844</v>
      </c>
      <c r="O453" s="5">
        <f t="shared" si="478"/>
        <v>35030844</v>
      </c>
    </row>
    <row r="454" spans="1:15" outlineLevel="1" x14ac:dyDescent="0.25">
      <c r="A454" s="44" t="s">
        <v>230</v>
      </c>
      <c r="B454" s="44" t="str">
        <f t="shared" si="479"/>
        <v>005_OT</v>
      </c>
      <c r="C454" s="165" t="s">
        <v>2885</v>
      </c>
      <c r="D454" s="4" t="s">
        <v>8</v>
      </c>
      <c r="E454" s="7">
        <v>1</v>
      </c>
      <c r="F454" s="7">
        <v>1</v>
      </c>
      <c r="G454" s="7">
        <v>1</v>
      </c>
      <c r="H454" s="7">
        <v>1</v>
      </c>
      <c r="I454" s="7">
        <v>1</v>
      </c>
      <c r="J454" s="195">
        <f>APUs!G24051</f>
        <v>6430847</v>
      </c>
      <c r="K454" s="5">
        <f t="shared" ref="K454" si="480">E454*$J454</f>
        <v>6430847</v>
      </c>
      <c r="L454" s="5">
        <f t="shared" ref="L454" si="481">F454*$J454</f>
        <v>6430847</v>
      </c>
      <c r="M454" s="5">
        <f t="shared" ref="M454" si="482">G454*$J454</f>
        <v>6430847</v>
      </c>
      <c r="N454" s="5">
        <f t="shared" ref="N454" si="483">H454*$J454</f>
        <v>6430847</v>
      </c>
      <c r="O454" s="5">
        <f t="shared" ref="O454" si="484">I454*$J454</f>
        <v>6430847</v>
      </c>
    </row>
    <row r="455" spans="1:15" x14ac:dyDescent="0.25">
      <c r="C455" s="3"/>
      <c r="D455" s="7"/>
      <c r="E455" s="7"/>
      <c r="F455" s="7"/>
      <c r="G455" s="4"/>
      <c r="H455" s="4"/>
      <c r="I455" s="4"/>
      <c r="J455" s="5"/>
      <c r="K455" s="87">
        <f>K323+K302+K249+K187+K176+K4+K449</f>
        <v>7879437174.0149994</v>
      </c>
      <c r="L455" s="87">
        <f>L323+L302+L249+L187+L176+L4+L449</f>
        <v>7184094510.0649996</v>
      </c>
      <c r="M455" s="87">
        <f>M323+M302+M249+M187+M176+M4+M449</f>
        <v>10313447478.402</v>
      </c>
      <c r="N455" s="87">
        <f>N323+N302+N249+N187+N176+N4+N449</f>
        <v>11723093442.698002</v>
      </c>
      <c r="O455" s="87">
        <f>O323+O302+O249+O187+O176+O4+O449</f>
        <v>9524607213.0666656</v>
      </c>
    </row>
    <row r="456" spans="1:15" x14ac:dyDescent="0.25">
      <c r="C456" s="92"/>
      <c r="M456" s="66"/>
    </row>
    <row r="457" spans="1:15" x14ac:dyDescent="0.25">
      <c r="D457" s="91"/>
    </row>
    <row r="458" spans="1:15" x14ac:dyDescent="0.25">
      <c r="K458" s="66"/>
      <c r="L458" s="66"/>
      <c r="M458" s="13"/>
    </row>
    <row r="459" spans="1:15" x14ac:dyDescent="0.25">
      <c r="M459" s="14"/>
    </row>
    <row r="460" spans="1:15" x14ac:dyDescent="0.25">
      <c r="M460" s="14"/>
    </row>
    <row r="461" spans="1:15" x14ac:dyDescent="0.25">
      <c r="M461" s="14"/>
    </row>
    <row r="462" spans="1:15" x14ac:dyDescent="0.25">
      <c r="M462" s="14"/>
    </row>
    <row r="463" spans="1:15" x14ac:dyDescent="0.25">
      <c r="C463" s="66"/>
      <c r="M463" s="14"/>
    </row>
    <row r="464" spans="1:15" x14ac:dyDescent="0.25">
      <c r="M464" s="14"/>
    </row>
    <row r="465" spans="13:13" x14ac:dyDescent="0.25">
      <c r="M465" s="14"/>
    </row>
    <row r="466" spans="13:13" x14ac:dyDescent="0.25">
      <c r="M466" s="14"/>
    </row>
    <row r="467" spans="13:13" x14ac:dyDescent="0.25">
      <c r="M467" s="14"/>
    </row>
    <row r="468" spans="13:13" x14ac:dyDescent="0.25">
      <c r="M468" s="14"/>
    </row>
    <row r="469" spans="13:13" x14ac:dyDescent="0.25">
      <c r="M469" s="14"/>
    </row>
    <row r="470" spans="13:13" x14ac:dyDescent="0.25">
      <c r="M470" s="14"/>
    </row>
    <row r="471" spans="13:13" x14ac:dyDescent="0.25">
      <c r="M471" s="14"/>
    </row>
    <row r="472" spans="13:13" x14ac:dyDescent="0.25">
      <c r="M472" s="14"/>
    </row>
  </sheetData>
  <mergeCells count="4">
    <mergeCell ref="C1:C2"/>
    <mergeCell ref="G1:G2"/>
    <mergeCell ref="D1:D2"/>
    <mergeCell ref="J1:O1"/>
  </mergeCells>
  <phoneticPr fontId="15" type="noConversion"/>
  <conditionalFormatting sqref="A6:A14">
    <cfRule type="duplicateValues" dxfId="542" priority="359"/>
  </conditionalFormatting>
  <conditionalFormatting sqref="A18">
    <cfRule type="duplicateValues" dxfId="541" priority="97"/>
  </conditionalFormatting>
  <conditionalFormatting sqref="A70:A78">
    <cfRule type="duplicateValues" dxfId="540" priority="221"/>
  </conditionalFormatting>
  <conditionalFormatting sqref="A80:A92">
    <cfRule type="duplicateValues" dxfId="539" priority="108"/>
  </conditionalFormatting>
  <conditionalFormatting sqref="A145">
    <cfRule type="duplicateValues" dxfId="538" priority="76"/>
  </conditionalFormatting>
  <conditionalFormatting sqref="A163">
    <cfRule type="duplicateValues" dxfId="537" priority="70"/>
  </conditionalFormatting>
  <conditionalFormatting sqref="A232">
    <cfRule type="duplicateValues" dxfId="536" priority="60"/>
  </conditionalFormatting>
  <conditionalFormatting sqref="A233">
    <cfRule type="duplicateValues" dxfId="535" priority="54"/>
  </conditionalFormatting>
  <conditionalFormatting sqref="A285">
    <cfRule type="duplicateValues" dxfId="534" priority="33"/>
  </conditionalFormatting>
  <conditionalFormatting sqref="A286">
    <cfRule type="duplicateValues" dxfId="533" priority="27"/>
  </conditionalFormatting>
  <conditionalFormatting sqref="A68:B68">
    <cfRule type="duplicateValues" dxfId="532" priority="87"/>
  </conditionalFormatting>
  <conditionalFormatting sqref="A69:B69">
    <cfRule type="duplicateValues" dxfId="531" priority="79"/>
  </conditionalFormatting>
  <conditionalFormatting sqref="A95:B95">
    <cfRule type="duplicateValues" dxfId="530" priority="370"/>
  </conditionalFormatting>
  <conditionalFormatting sqref="A117:B117">
    <cfRule type="duplicateValues" dxfId="529" priority="386"/>
  </conditionalFormatting>
  <conditionalFormatting sqref="A126:B126">
    <cfRule type="duplicateValues" dxfId="528" priority="9553"/>
  </conditionalFormatting>
  <conditionalFormatting sqref="A176:B176">
    <cfRule type="duplicateValues" dxfId="527" priority="445"/>
  </conditionalFormatting>
  <conditionalFormatting sqref="A187:B187">
    <cfRule type="duplicateValues" dxfId="526" priority="437"/>
  </conditionalFormatting>
  <conditionalFormatting sqref="A249:B249">
    <cfRule type="duplicateValues" dxfId="525" priority="429"/>
  </conditionalFormatting>
  <conditionalFormatting sqref="A302:B302">
    <cfRule type="duplicateValues" dxfId="524" priority="421"/>
  </conditionalFormatting>
  <conditionalFormatting sqref="A320:B320">
    <cfRule type="duplicateValues" dxfId="523" priority="9"/>
  </conditionalFormatting>
  <conditionalFormatting sqref="A323:B323">
    <cfRule type="duplicateValues" dxfId="522" priority="413"/>
  </conditionalFormatting>
  <conditionalFormatting sqref="A358:B358 A369:B369 A1:B5 A66:B67 A79:B79 A93:B94 B6:B14 A177:B186 B59:B64 A15:B17 A59:A65 A96:B116 A118:B125 A19:B58 A127:B144 A146:B162 A164:B175 A324:B339 A382:B441 A450:B1048576 A234:B247 A188:B231 A248 A250:B284 A287:B301 A303:B319 A321:B322 A346:B351">
    <cfRule type="duplicateValues" dxfId="521" priority="9252"/>
  </conditionalFormatting>
  <conditionalFormatting sqref="A367:B367">
    <cfRule type="duplicateValues" dxfId="520" priority="17"/>
  </conditionalFormatting>
  <conditionalFormatting sqref="A449:B449">
    <cfRule type="duplicateValues" dxfId="519" priority="405"/>
  </conditionalFormatting>
  <conditionalFormatting sqref="B18">
    <cfRule type="duplicateValues" dxfId="518" priority="101"/>
    <cfRule type="duplicateValues" dxfId="517" priority="102"/>
    <cfRule type="duplicateValues" dxfId="516" priority="99"/>
    <cfRule type="duplicateValues" dxfId="515" priority="98"/>
    <cfRule type="duplicateValues" dxfId="514" priority="100"/>
  </conditionalFormatting>
  <conditionalFormatting sqref="B31">
    <cfRule type="duplicateValues" dxfId="513" priority="643"/>
    <cfRule type="duplicateValues" dxfId="512" priority="644"/>
    <cfRule type="duplicateValues" dxfId="511" priority="645"/>
    <cfRule type="duplicateValues" dxfId="510" priority="662"/>
    <cfRule type="duplicateValues" dxfId="509" priority="663"/>
    <cfRule type="duplicateValues" dxfId="508" priority="664"/>
    <cfRule type="duplicateValues" dxfId="507" priority="665"/>
    <cfRule type="duplicateValues" dxfId="506" priority="646"/>
  </conditionalFormatting>
  <conditionalFormatting sqref="B37">
    <cfRule type="duplicateValues" dxfId="505" priority="870"/>
  </conditionalFormatting>
  <conditionalFormatting sqref="B46">
    <cfRule type="duplicateValues" dxfId="504" priority="867"/>
  </conditionalFormatting>
  <conditionalFormatting sqref="B51">
    <cfRule type="duplicateValues" dxfId="503" priority="741"/>
    <cfRule type="duplicateValues" dxfId="502" priority="740"/>
    <cfRule type="duplicateValues" dxfId="501" priority="739"/>
  </conditionalFormatting>
  <conditionalFormatting sqref="B57">
    <cfRule type="duplicateValues" dxfId="500" priority="864"/>
  </conditionalFormatting>
  <conditionalFormatting sqref="B58">
    <cfRule type="duplicateValues" dxfId="499" priority="92"/>
    <cfRule type="duplicateValues" dxfId="498" priority="94"/>
    <cfRule type="duplicateValues" dxfId="497" priority="93"/>
  </conditionalFormatting>
  <conditionalFormatting sqref="B58:B60">
    <cfRule type="duplicateValues" dxfId="496" priority="11434"/>
    <cfRule type="duplicateValues" dxfId="495" priority="11435"/>
    <cfRule type="duplicateValues" dxfId="494" priority="11436"/>
  </conditionalFormatting>
  <conditionalFormatting sqref="B61">
    <cfRule type="duplicateValues" dxfId="493" priority="11440"/>
    <cfRule type="duplicateValues" dxfId="492" priority="11441"/>
    <cfRule type="duplicateValues" dxfId="491" priority="11439"/>
  </conditionalFormatting>
  <conditionalFormatting sqref="B62">
    <cfRule type="duplicateValues" dxfId="490" priority="11444"/>
    <cfRule type="duplicateValues" dxfId="489" priority="11446"/>
    <cfRule type="duplicateValues" dxfId="488" priority="11445"/>
  </conditionalFormatting>
  <conditionalFormatting sqref="B65">
    <cfRule type="duplicateValues" dxfId="487" priority="314"/>
    <cfRule type="duplicateValues" dxfId="486" priority="313"/>
    <cfRule type="duplicateValues" dxfId="485" priority="315"/>
    <cfRule type="duplicateValues" dxfId="484" priority="316"/>
    <cfRule type="duplicateValues" dxfId="483" priority="317"/>
  </conditionalFormatting>
  <conditionalFormatting sqref="B67">
    <cfRule type="duplicateValues" dxfId="482" priority="858"/>
  </conditionalFormatting>
  <conditionalFormatting sqref="B68">
    <cfRule type="duplicateValues" dxfId="481" priority="91"/>
    <cfRule type="duplicateValues" dxfId="480" priority="90"/>
    <cfRule type="duplicateValues" dxfId="479" priority="89"/>
    <cfRule type="duplicateValues" dxfId="478" priority="88"/>
    <cfRule type="duplicateValues" dxfId="477" priority="86"/>
    <cfRule type="duplicateValues" dxfId="476" priority="85"/>
    <cfRule type="duplicateValues" dxfId="475" priority="84"/>
  </conditionalFormatting>
  <conditionalFormatting sqref="B69">
    <cfRule type="duplicateValues" dxfId="474" priority="83"/>
    <cfRule type="duplicateValues" dxfId="473" priority="82"/>
    <cfRule type="duplicateValues" dxfId="472" priority="81"/>
    <cfRule type="duplicateValues" dxfId="471" priority="80"/>
  </conditionalFormatting>
  <conditionalFormatting sqref="B70:B78">
    <cfRule type="duplicateValues" dxfId="470" priority="113"/>
    <cfRule type="duplicateValues" dxfId="469" priority="112"/>
    <cfRule type="duplicateValues" dxfId="468" priority="111"/>
    <cfRule type="duplicateValues" dxfId="467" priority="110"/>
    <cfRule type="duplicateValues" dxfId="466" priority="109"/>
  </conditionalFormatting>
  <conditionalFormatting sqref="B79">
    <cfRule type="duplicateValues" dxfId="465" priority="12437"/>
  </conditionalFormatting>
  <conditionalFormatting sqref="B80:B92">
    <cfRule type="duplicateValues" dxfId="464" priority="105"/>
    <cfRule type="duplicateValues" dxfId="463" priority="106"/>
    <cfRule type="duplicateValues" dxfId="462" priority="107"/>
    <cfRule type="duplicateValues" dxfId="461" priority="104"/>
    <cfRule type="duplicateValues" dxfId="460" priority="103"/>
  </conditionalFormatting>
  <conditionalFormatting sqref="B95">
    <cfRule type="duplicateValues" dxfId="459" priority="367"/>
    <cfRule type="duplicateValues" dxfId="458" priority="371"/>
    <cfRule type="duplicateValues" dxfId="457" priority="372"/>
  </conditionalFormatting>
  <conditionalFormatting sqref="B117">
    <cfRule type="duplicateValues" dxfId="456" priority="383"/>
    <cfRule type="duplicateValues" dxfId="455" priority="388"/>
    <cfRule type="duplicateValues" dxfId="454" priority="389"/>
  </conditionalFormatting>
  <conditionalFormatting sqref="B126">
    <cfRule type="duplicateValues" dxfId="453" priority="9555"/>
    <cfRule type="duplicateValues" dxfId="452" priority="9552"/>
    <cfRule type="duplicateValues" dxfId="451" priority="9554"/>
  </conditionalFormatting>
  <conditionalFormatting sqref="B145">
    <cfRule type="duplicateValues" dxfId="450" priority="73"/>
    <cfRule type="duplicateValues" dxfId="449" priority="74"/>
    <cfRule type="duplicateValues" dxfId="448" priority="72"/>
    <cfRule type="duplicateValues" dxfId="447" priority="71"/>
    <cfRule type="duplicateValues" dxfId="446" priority="75"/>
  </conditionalFormatting>
  <conditionalFormatting sqref="B160:B161 B154:B156 B152 B147:B148">
    <cfRule type="duplicateValues" dxfId="445" priority="7564"/>
    <cfRule type="duplicateValues" dxfId="444" priority="7565"/>
  </conditionalFormatting>
  <conditionalFormatting sqref="B163">
    <cfRule type="duplicateValues" dxfId="443" priority="67"/>
    <cfRule type="duplicateValues" dxfId="442" priority="69"/>
    <cfRule type="duplicateValues" dxfId="441" priority="68"/>
    <cfRule type="duplicateValues" dxfId="440" priority="65"/>
    <cfRule type="duplicateValues" dxfId="439" priority="66"/>
  </conditionalFormatting>
  <conditionalFormatting sqref="B176">
    <cfRule type="duplicateValues" dxfId="438" priority="446"/>
    <cfRule type="duplicateValues" dxfId="437" priority="448"/>
    <cfRule type="duplicateValues" dxfId="436" priority="449"/>
    <cfRule type="duplicateValues" dxfId="435" priority="447"/>
  </conditionalFormatting>
  <conditionalFormatting sqref="B177:B186 B234:B247 B189:B231">
    <cfRule type="duplicateValues" dxfId="434" priority="6606"/>
  </conditionalFormatting>
  <conditionalFormatting sqref="B177:B186">
    <cfRule type="duplicateValues" dxfId="433" priority="402"/>
  </conditionalFormatting>
  <conditionalFormatting sqref="B187">
    <cfRule type="duplicateValues" dxfId="432" priority="438"/>
    <cfRule type="duplicateValues" dxfId="431" priority="441"/>
    <cfRule type="duplicateValues" dxfId="430" priority="440"/>
    <cfRule type="duplicateValues" dxfId="429" priority="439"/>
  </conditionalFormatting>
  <conditionalFormatting sqref="B188">
    <cfRule type="duplicateValues" dxfId="428" priority="504"/>
    <cfRule type="duplicateValues" dxfId="427" priority="505"/>
    <cfRule type="duplicateValues" dxfId="426" priority="506"/>
  </conditionalFormatting>
  <conditionalFormatting sqref="B232">
    <cfRule type="duplicateValues" dxfId="425" priority="55"/>
    <cfRule type="duplicateValues" dxfId="424" priority="56"/>
    <cfRule type="duplicateValues" dxfId="423" priority="57"/>
    <cfRule type="duplicateValues" dxfId="422" priority="59"/>
    <cfRule type="duplicateValues" dxfId="421" priority="58"/>
  </conditionalFormatting>
  <conditionalFormatting sqref="B233">
    <cfRule type="duplicateValues" dxfId="420" priority="52"/>
    <cfRule type="duplicateValues" dxfId="419" priority="49"/>
    <cfRule type="duplicateValues" dxfId="418" priority="50"/>
    <cfRule type="duplicateValues" dxfId="417" priority="51"/>
    <cfRule type="duplicateValues" dxfId="416" priority="53"/>
  </conditionalFormatting>
  <conditionalFormatting sqref="B248">
    <cfRule type="duplicateValues" dxfId="415" priority="39"/>
    <cfRule type="duplicateValues" dxfId="414" priority="40"/>
    <cfRule type="duplicateValues" dxfId="413" priority="42"/>
    <cfRule type="duplicateValues" dxfId="412" priority="41"/>
    <cfRule type="duplicateValues" dxfId="411" priority="38"/>
  </conditionalFormatting>
  <conditionalFormatting sqref="B249">
    <cfRule type="duplicateValues" dxfId="410" priority="430"/>
    <cfRule type="duplicateValues" dxfId="409" priority="432"/>
    <cfRule type="duplicateValues" dxfId="408" priority="431"/>
    <cfRule type="duplicateValues" dxfId="407" priority="433"/>
  </conditionalFormatting>
  <conditionalFormatting sqref="B251:B266">
    <cfRule type="duplicateValues" dxfId="406" priority="64"/>
  </conditionalFormatting>
  <conditionalFormatting sqref="B254">
    <cfRule type="duplicateValues" dxfId="405" priority="509"/>
  </conditionalFormatting>
  <conditionalFormatting sqref="B256">
    <cfRule type="duplicateValues" dxfId="404" priority="48"/>
  </conditionalFormatting>
  <conditionalFormatting sqref="B257">
    <cfRule type="duplicateValues" dxfId="403" priority="47"/>
  </conditionalFormatting>
  <conditionalFormatting sqref="B259">
    <cfRule type="duplicateValues" dxfId="402" priority="46"/>
  </conditionalFormatting>
  <conditionalFormatting sqref="B265">
    <cfRule type="duplicateValues" dxfId="401" priority="45"/>
  </conditionalFormatting>
  <conditionalFormatting sqref="B271">
    <cfRule type="duplicateValues" dxfId="400" priority="43"/>
    <cfRule type="duplicateValues" dxfId="399" priority="44"/>
  </conditionalFormatting>
  <conditionalFormatting sqref="B280">
    <cfRule type="duplicateValues" dxfId="398" priority="35"/>
  </conditionalFormatting>
  <conditionalFormatting sqref="B281">
    <cfRule type="duplicateValues" dxfId="397" priority="34"/>
  </conditionalFormatting>
  <conditionalFormatting sqref="B285">
    <cfRule type="duplicateValues" dxfId="396" priority="30"/>
    <cfRule type="duplicateValues" dxfId="395" priority="28"/>
    <cfRule type="duplicateValues" dxfId="394" priority="29"/>
    <cfRule type="duplicateValues" dxfId="393" priority="31"/>
    <cfRule type="duplicateValues" dxfId="392" priority="32"/>
  </conditionalFormatting>
  <conditionalFormatting sqref="B286">
    <cfRule type="duplicateValues" dxfId="391" priority="23"/>
    <cfRule type="duplicateValues" dxfId="390" priority="24"/>
    <cfRule type="duplicateValues" dxfId="389" priority="26"/>
    <cfRule type="duplicateValues" dxfId="388" priority="25"/>
    <cfRule type="duplicateValues" dxfId="387" priority="22"/>
  </conditionalFormatting>
  <conditionalFormatting sqref="B299">
    <cfRule type="duplicateValues" dxfId="386" priority="683"/>
  </conditionalFormatting>
  <conditionalFormatting sqref="B300">
    <cfRule type="duplicateValues" dxfId="385" priority="684"/>
  </conditionalFormatting>
  <conditionalFormatting sqref="B302">
    <cfRule type="duplicateValues" dxfId="384" priority="422"/>
    <cfRule type="duplicateValues" dxfId="383" priority="425"/>
    <cfRule type="duplicateValues" dxfId="382" priority="424"/>
    <cfRule type="duplicateValues" dxfId="381" priority="423"/>
  </conditionalFormatting>
  <conditionalFormatting sqref="B319">
    <cfRule type="duplicateValues" dxfId="380" priority="16"/>
  </conditionalFormatting>
  <conditionalFormatting sqref="B320">
    <cfRule type="duplicateValues" dxfId="379" priority="12"/>
    <cfRule type="duplicateValues" dxfId="378" priority="8"/>
    <cfRule type="duplicateValues" dxfId="377" priority="10"/>
    <cfRule type="duplicateValues" dxfId="376" priority="11"/>
    <cfRule type="duplicateValues" dxfId="375" priority="13"/>
  </conditionalFormatting>
  <conditionalFormatting sqref="B323">
    <cfRule type="duplicateValues" dxfId="374" priority="417"/>
    <cfRule type="duplicateValues" dxfId="373" priority="416"/>
    <cfRule type="duplicateValues" dxfId="372" priority="415"/>
    <cfRule type="duplicateValues" dxfId="371" priority="414"/>
  </conditionalFormatting>
  <conditionalFormatting sqref="B325:B329">
    <cfRule type="duplicateValues" dxfId="370" priority="61"/>
    <cfRule type="duplicateValues" dxfId="369" priority="5412"/>
    <cfRule type="duplicateValues" dxfId="368" priority="62"/>
    <cfRule type="duplicateValues" dxfId="367" priority="5411"/>
    <cfRule type="duplicateValues" dxfId="366" priority="63"/>
  </conditionalFormatting>
  <conditionalFormatting sqref="B329 B369 B63:B64 B66 B93:B94 B324 B38:B45 B1:B17 B96:B116 B118:B125 B19:B36 B47:B56 B127:B144 B146:B162 B164:B175 B303:B319 B331:B338 B346:B351 B383:B390 B392:B394 B396:B403 B405:B441 B450:B1048576 B250:B284 B287:B301 B321:B322">
    <cfRule type="duplicateValues" dxfId="365" priority="11136"/>
  </conditionalFormatting>
  <conditionalFormatting sqref="B330:B332">
    <cfRule type="duplicateValues" dxfId="364" priority="670"/>
    <cfRule type="duplicateValues" dxfId="363" priority="779"/>
  </conditionalFormatting>
  <conditionalFormatting sqref="B340:B345">
    <cfRule type="duplicateValues" dxfId="362" priority="585"/>
    <cfRule type="duplicateValues" dxfId="361" priority="587"/>
    <cfRule type="duplicateValues" dxfId="360" priority="586"/>
  </conditionalFormatting>
  <conditionalFormatting sqref="B349">
    <cfRule type="duplicateValues" dxfId="359" priority="1"/>
    <cfRule type="duplicateValues" dxfId="358" priority="3"/>
    <cfRule type="duplicateValues" dxfId="357" priority="5"/>
    <cfRule type="duplicateValues" dxfId="356" priority="4"/>
    <cfRule type="duplicateValues" dxfId="355" priority="2"/>
  </conditionalFormatting>
  <conditionalFormatting sqref="B352:B357">
    <cfRule type="duplicateValues" dxfId="354" priority="581"/>
    <cfRule type="duplicateValues" dxfId="353" priority="582"/>
    <cfRule type="duplicateValues" dxfId="352" priority="580"/>
  </conditionalFormatting>
  <conditionalFormatting sqref="B358 B369 B63:B64 B66:B67 B79 B93:B94 B1:B17 B96:B116 B118:B125 B19:B57 B127:B144 B146:B162 B164:B175 B303:B319 B324:B339 B383:B390 B392:B394 B396:B403 B405:B441 B450:B1048576 B250:B284 B287:B301 B321:B322 B346:B351">
    <cfRule type="duplicateValues" dxfId="351" priority="11172"/>
    <cfRule type="duplicateValues" dxfId="350" priority="11173"/>
  </conditionalFormatting>
  <conditionalFormatting sqref="B358 B369 B66:B67 B79 B93:B94 B96:B116 B118:B125 B177:B186 B1:B17 B19:B64 B127:B144 B146:B162 B164:B175 B324:B339 B382:B441 B450:B1048576 B234:B247 B188:B231 B250:B284 B287:B301 B303:B319 B321:B322 B346:B351">
    <cfRule type="duplicateValues" dxfId="349" priority="9284"/>
  </conditionalFormatting>
  <conditionalFormatting sqref="B359:B366 B368">
    <cfRule type="duplicateValues" dxfId="348" priority="577"/>
    <cfRule type="duplicateValues" dxfId="347" priority="575"/>
    <cfRule type="duplicateValues" dxfId="346" priority="576"/>
  </conditionalFormatting>
  <conditionalFormatting sqref="B367">
    <cfRule type="duplicateValues" dxfId="345" priority="20"/>
    <cfRule type="duplicateValues" dxfId="344" priority="19"/>
    <cfRule type="duplicateValues" dxfId="343" priority="18"/>
    <cfRule type="duplicateValues" dxfId="342" priority="21"/>
  </conditionalFormatting>
  <conditionalFormatting sqref="B370:B381">
    <cfRule type="duplicateValues" dxfId="341" priority="557"/>
    <cfRule type="duplicateValues" dxfId="340" priority="556"/>
    <cfRule type="duplicateValues" dxfId="339" priority="555"/>
  </conditionalFormatting>
  <conditionalFormatting sqref="B382">
    <cfRule type="duplicateValues" dxfId="338" priority="712"/>
  </conditionalFormatting>
  <conditionalFormatting sqref="B391">
    <cfRule type="duplicateValues" dxfId="337" priority="710"/>
  </conditionalFormatting>
  <conditionalFormatting sqref="B395">
    <cfRule type="duplicateValues" dxfId="336" priority="674"/>
  </conditionalFormatting>
  <conditionalFormatting sqref="B404">
    <cfRule type="duplicateValues" dxfId="335" priority="717"/>
  </conditionalFormatting>
  <conditionalFormatting sqref="B442">
    <cfRule type="duplicateValues" dxfId="334" priority="6605"/>
  </conditionalFormatting>
  <conditionalFormatting sqref="B443:B448">
    <cfRule type="duplicateValues" dxfId="333" priority="5522"/>
    <cfRule type="duplicateValues" dxfId="332" priority="5520"/>
    <cfRule type="duplicateValues" dxfId="331" priority="5521"/>
  </conditionalFormatting>
  <conditionalFormatting sqref="B449">
    <cfRule type="duplicateValues" dxfId="330" priority="407"/>
    <cfRule type="duplicateValues" dxfId="329" priority="406"/>
    <cfRule type="duplicateValues" dxfId="328" priority="409"/>
    <cfRule type="duplicateValues" dxfId="327" priority="408"/>
  </conditionalFormatting>
  <conditionalFormatting sqref="C5">
    <cfRule type="duplicateValues" dxfId="326" priority="400"/>
  </conditionalFormatting>
  <conditionalFormatting sqref="C5:C319 C321:C454">
    <cfRule type="duplicateValues" dxfId="325" priority="96"/>
  </conditionalFormatting>
  <conditionalFormatting sqref="C6:C7">
    <cfRule type="duplicateValues" dxfId="324" priority="364"/>
    <cfRule type="duplicateValues" dxfId="323" priority="365"/>
  </conditionalFormatting>
  <conditionalFormatting sqref="C16:C18">
    <cfRule type="duplicateValues" dxfId="322" priority="348"/>
    <cfRule type="duplicateValues" dxfId="321" priority="349"/>
  </conditionalFormatting>
  <conditionalFormatting sqref="C37">
    <cfRule type="duplicateValues" dxfId="320" priority="871"/>
    <cfRule type="duplicateValues" dxfId="319" priority="872"/>
  </conditionalFormatting>
  <conditionalFormatting sqref="C43">
    <cfRule type="duplicateValues" dxfId="318" priority="333"/>
    <cfRule type="duplicateValues" dxfId="317" priority="326"/>
    <cfRule type="duplicateValues" dxfId="316" priority="332"/>
  </conditionalFormatting>
  <conditionalFormatting sqref="C46">
    <cfRule type="duplicateValues" dxfId="315" priority="868"/>
    <cfRule type="duplicateValues" dxfId="314" priority="869"/>
  </conditionalFormatting>
  <conditionalFormatting sqref="C51">
    <cfRule type="duplicateValues" dxfId="313" priority="742"/>
    <cfRule type="duplicateValues" dxfId="312" priority="743"/>
  </conditionalFormatting>
  <conditionalFormatting sqref="C55">
    <cfRule type="duplicateValues" dxfId="311" priority="267"/>
    <cfRule type="duplicateValues" dxfId="310" priority="268"/>
    <cfRule type="duplicateValues" dxfId="309" priority="269"/>
  </conditionalFormatting>
  <conditionalFormatting sqref="C56">
    <cfRule type="duplicateValues" dxfId="308" priority="115"/>
    <cfRule type="duplicateValues" dxfId="307" priority="114"/>
    <cfRule type="duplicateValues" dxfId="306" priority="117"/>
    <cfRule type="duplicateValues" dxfId="305" priority="116"/>
  </conditionalFormatting>
  <conditionalFormatting sqref="C57">
    <cfRule type="duplicateValues" dxfId="304" priority="866"/>
    <cfRule type="duplicateValues" dxfId="303" priority="175"/>
    <cfRule type="duplicateValues" dxfId="302" priority="865"/>
    <cfRule type="duplicateValues" dxfId="301" priority="176"/>
  </conditionalFormatting>
  <conditionalFormatting sqref="C58:C59">
    <cfRule type="duplicateValues" dxfId="300" priority="247"/>
    <cfRule type="duplicateValues" dxfId="299" priority="243"/>
    <cfRule type="duplicateValues" dxfId="298" priority="244"/>
  </conditionalFormatting>
  <conditionalFormatting sqref="C60">
    <cfRule type="duplicateValues" dxfId="297" priority="11438"/>
    <cfRule type="duplicateValues" dxfId="296" priority="11437"/>
  </conditionalFormatting>
  <conditionalFormatting sqref="C61">
    <cfRule type="duplicateValues" dxfId="295" priority="11443"/>
    <cfRule type="duplicateValues" dxfId="294" priority="11442"/>
  </conditionalFormatting>
  <conditionalFormatting sqref="C62">
    <cfRule type="duplicateValues" dxfId="293" priority="11448"/>
    <cfRule type="duplicateValues" dxfId="292" priority="11447"/>
  </conditionalFormatting>
  <conditionalFormatting sqref="C65">
    <cfRule type="duplicateValues" dxfId="291" priority="319"/>
    <cfRule type="duplicateValues" dxfId="290" priority="320"/>
    <cfRule type="duplicateValues" dxfId="289" priority="172"/>
    <cfRule type="duplicateValues" dxfId="288" priority="171"/>
    <cfRule type="duplicateValues" dxfId="287" priority="170"/>
    <cfRule type="duplicateValues" dxfId="286" priority="321"/>
  </conditionalFormatting>
  <conditionalFormatting sqref="C67">
    <cfRule type="duplicateValues" dxfId="285" priority="859"/>
    <cfRule type="duplicateValues" dxfId="284" priority="860"/>
  </conditionalFormatting>
  <conditionalFormatting sqref="C68:C69">
    <cfRule type="duplicateValues" dxfId="283" priority="212"/>
    <cfRule type="duplicateValues" dxfId="282" priority="216"/>
    <cfRule type="duplicateValues" dxfId="281" priority="213"/>
  </conditionalFormatting>
  <conditionalFormatting sqref="C70 C72:C74">
    <cfRule type="duplicateValues" dxfId="280" priority="194"/>
    <cfRule type="duplicateValues" dxfId="279" priority="191"/>
    <cfRule type="duplicateValues" dxfId="278" priority="192"/>
    <cfRule type="duplicateValues" dxfId="277" priority="193"/>
  </conditionalFormatting>
  <conditionalFormatting sqref="C71">
    <cfRule type="duplicateValues" dxfId="276" priority="185"/>
    <cfRule type="duplicateValues" dxfId="275" priority="186"/>
    <cfRule type="duplicateValues" dxfId="274" priority="187"/>
    <cfRule type="duplicateValues" dxfId="273" priority="188"/>
  </conditionalFormatting>
  <conditionalFormatting sqref="C75">
    <cfRule type="duplicateValues" dxfId="272" priority="146"/>
    <cfRule type="duplicateValues" dxfId="271" priority="144"/>
    <cfRule type="duplicateValues" dxfId="270" priority="147"/>
    <cfRule type="duplicateValues" dxfId="269" priority="145"/>
  </conditionalFormatting>
  <conditionalFormatting sqref="C76">
    <cfRule type="duplicateValues" dxfId="268" priority="208"/>
    <cfRule type="duplicateValues" dxfId="267" priority="210"/>
    <cfRule type="duplicateValues" dxfId="266" priority="209"/>
  </conditionalFormatting>
  <conditionalFormatting sqref="C77">
    <cfRule type="duplicateValues" dxfId="265" priority="183"/>
    <cfRule type="duplicateValues" dxfId="264" priority="182"/>
    <cfRule type="duplicateValues" dxfId="263" priority="184"/>
  </conditionalFormatting>
  <conditionalFormatting sqref="C78">
    <cfRule type="duplicateValues" dxfId="262" priority="179"/>
    <cfRule type="duplicateValues" dxfId="261" priority="181"/>
    <cfRule type="duplicateValues" dxfId="260" priority="180"/>
  </conditionalFormatting>
  <conditionalFormatting sqref="C79 C57:C69 C1:C55 C93:C319 C321:C449">
    <cfRule type="duplicateValues" dxfId="259" priority="13099"/>
  </conditionalFormatting>
  <conditionalFormatting sqref="C79">
    <cfRule type="duplicateValues" dxfId="258" priority="12439"/>
    <cfRule type="duplicateValues" dxfId="257" priority="12438"/>
  </conditionalFormatting>
  <conditionalFormatting sqref="C80:C81">
    <cfRule type="duplicateValues" dxfId="256" priority="169"/>
    <cfRule type="duplicateValues" dxfId="255" priority="162"/>
    <cfRule type="duplicateValues" dxfId="254" priority="159"/>
    <cfRule type="duplicateValues" dxfId="253" priority="158"/>
  </conditionalFormatting>
  <conditionalFormatting sqref="C82">
    <cfRule type="duplicateValues" dxfId="252" priority="150"/>
    <cfRule type="duplicateValues" dxfId="251" priority="153"/>
    <cfRule type="duplicateValues" dxfId="250" priority="152"/>
    <cfRule type="duplicateValues" dxfId="249" priority="151"/>
  </conditionalFormatting>
  <conditionalFormatting sqref="C83:C92">
    <cfRule type="duplicateValues" dxfId="248" priority="119"/>
    <cfRule type="duplicateValues" dxfId="247" priority="118"/>
    <cfRule type="duplicateValues" dxfId="246" priority="120"/>
    <cfRule type="duplicateValues" dxfId="245" priority="121"/>
  </conditionalFormatting>
  <conditionalFormatting sqref="C95">
    <cfRule type="duplicateValues" dxfId="244" priority="369"/>
    <cfRule type="duplicateValues" dxfId="243" priority="368"/>
  </conditionalFormatting>
  <conditionalFormatting sqref="C103">
    <cfRule type="duplicateValues" dxfId="242" priority="305"/>
    <cfRule type="duplicateValues" dxfId="241" priority="306"/>
    <cfRule type="duplicateValues" dxfId="240" priority="304"/>
  </conditionalFormatting>
  <conditionalFormatting sqref="C104">
    <cfRule type="duplicateValues" dxfId="239" priority="277"/>
    <cfRule type="duplicateValues" dxfId="238" priority="275"/>
    <cfRule type="duplicateValues" dxfId="237" priority="276"/>
  </conditionalFormatting>
  <conditionalFormatting sqref="C105">
    <cfRule type="duplicateValues" dxfId="236" priority="295"/>
    <cfRule type="duplicateValues" dxfId="235" priority="294"/>
    <cfRule type="duplicateValues" dxfId="234" priority="293"/>
  </conditionalFormatting>
  <conditionalFormatting sqref="C106">
    <cfRule type="duplicateValues" dxfId="233" priority="290"/>
    <cfRule type="duplicateValues" dxfId="232" priority="288"/>
    <cfRule type="duplicateValues" dxfId="231" priority="289"/>
  </conditionalFormatting>
  <conditionalFormatting sqref="C107">
    <cfRule type="duplicateValues" dxfId="230" priority="285"/>
    <cfRule type="duplicateValues" dxfId="229" priority="283"/>
    <cfRule type="duplicateValues" dxfId="228" priority="284"/>
  </conditionalFormatting>
  <conditionalFormatting sqref="C109">
    <cfRule type="duplicateValues" dxfId="227" priority="8603"/>
  </conditionalFormatting>
  <conditionalFormatting sqref="C110:C111 C108 C113:C120 C44:C54 C60:C64 C66:C67 C79 C57 C93:C102 C4:C42 C124:C231 C234:C319 C321:C453">
    <cfRule type="duplicateValues" dxfId="226" priority="11433"/>
  </conditionalFormatting>
  <conditionalFormatting sqref="C112">
    <cfRule type="duplicateValues" dxfId="225" priority="279"/>
    <cfRule type="duplicateValues" dxfId="224" priority="281"/>
    <cfRule type="duplicateValues" dxfId="223" priority="280"/>
  </conditionalFormatting>
  <conditionalFormatting sqref="C116">
    <cfRule type="duplicateValues" dxfId="222" priority="655"/>
    <cfRule type="duplicateValues" dxfId="221" priority="654"/>
  </conditionalFormatting>
  <conditionalFormatting sqref="C117">
    <cfRule type="duplicateValues" dxfId="220" priority="384"/>
    <cfRule type="duplicateValues" dxfId="219" priority="385"/>
  </conditionalFormatting>
  <conditionalFormatting sqref="C121:C123">
    <cfRule type="duplicateValues" dxfId="218" priority="273"/>
    <cfRule type="duplicateValues" dxfId="217" priority="272"/>
    <cfRule type="duplicateValues" dxfId="216" priority="271"/>
  </conditionalFormatting>
  <conditionalFormatting sqref="C126">
    <cfRule type="duplicateValues" dxfId="215" priority="377"/>
    <cfRule type="duplicateValues" dxfId="214" priority="378"/>
  </conditionalFormatting>
  <conditionalFormatting sqref="C153">
    <cfRule type="duplicateValues" dxfId="213" priority="642"/>
    <cfRule type="duplicateValues" dxfId="212" priority="641"/>
  </conditionalFormatting>
  <conditionalFormatting sqref="C155">
    <cfRule type="duplicateValues" dxfId="211" priority="7768"/>
    <cfRule type="duplicateValues" dxfId="210" priority="7769"/>
  </conditionalFormatting>
  <conditionalFormatting sqref="C156">
    <cfRule type="duplicateValues" dxfId="209" priority="78"/>
    <cfRule type="duplicateValues" dxfId="208" priority="7566"/>
    <cfRule type="duplicateValues" dxfId="207" priority="7567"/>
    <cfRule type="duplicateValues" dxfId="206" priority="77"/>
  </conditionalFormatting>
  <conditionalFormatting sqref="C176">
    <cfRule type="duplicateValues" dxfId="205" priority="444"/>
    <cfRule type="duplicateValues" dxfId="204" priority="443"/>
  </conditionalFormatting>
  <conditionalFormatting sqref="C177">
    <cfRule type="duplicateValues" dxfId="203" priority="494"/>
    <cfRule type="duplicateValues" dxfId="202" priority="495"/>
  </conditionalFormatting>
  <conditionalFormatting sqref="C178">
    <cfRule type="duplicateValues" dxfId="201" priority="777"/>
    <cfRule type="duplicateValues" dxfId="200" priority="778"/>
  </conditionalFormatting>
  <conditionalFormatting sqref="C187">
    <cfRule type="duplicateValues" dxfId="199" priority="436"/>
    <cfRule type="duplicateValues" dxfId="198" priority="435"/>
  </conditionalFormatting>
  <conditionalFormatting sqref="C188">
    <cfRule type="duplicateValues" dxfId="197" priority="502"/>
    <cfRule type="duplicateValues" dxfId="196" priority="503"/>
  </conditionalFormatting>
  <conditionalFormatting sqref="C189:C197">
    <cfRule type="duplicateValues" dxfId="195" priority="639"/>
    <cfRule type="duplicateValues" dxfId="194" priority="640"/>
  </conditionalFormatting>
  <conditionalFormatting sqref="C198:C204">
    <cfRule type="duplicateValues" dxfId="193" priority="634"/>
    <cfRule type="duplicateValues" dxfId="192" priority="635"/>
  </conditionalFormatting>
  <conditionalFormatting sqref="C205">
    <cfRule type="duplicateValues" dxfId="191" priority="632"/>
    <cfRule type="duplicateValues" dxfId="190" priority="633"/>
  </conditionalFormatting>
  <conditionalFormatting sqref="C206">
    <cfRule type="duplicateValues" dxfId="189" priority="794"/>
    <cfRule type="duplicateValues" dxfId="188" priority="795"/>
  </conditionalFormatting>
  <conditionalFormatting sqref="C209:C213">
    <cfRule type="duplicateValues" dxfId="187" priority="793"/>
  </conditionalFormatting>
  <conditionalFormatting sqref="C214">
    <cfRule type="duplicateValues" dxfId="186" priority="786"/>
  </conditionalFormatting>
  <conditionalFormatting sqref="C215">
    <cfRule type="duplicateValues" dxfId="185" priority="791"/>
    <cfRule type="duplicateValues" dxfId="184" priority="791"/>
  </conditionalFormatting>
  <conditionalFormatting sqref="C217:C224">
    <cfRule type="duplicateValues" dxfId="183" priority="5507"/>
  </conditionalFormatting>
  <conditionalFormatting sqref="C225">
    <cfRule type="duplicateValues" dxfId="182" priority="738"/>
    <cfRule type="duplicateValues" dxfId="181" priority="737"/>
  </conditionalFormatting>
  <conditionalFormatting sqref="C226">
    <cfRule type="duplicateValues" dxfId="180" priority="5416"/>
    <cfRule type="duplicateValues" dxfId="179" priority="5415"/>
  </conditionalFormatting>
  <conditionalFormatting sqref="C227:C228">
    <cfRule type="duplicateValues" dxfId="178" priority="612"/>
    <cfRule type="duplicateValues" dxfId="177" priority="611"/>
  </conditionalFormatting>
  <conditionalFormatting sqref="C230:C231 C207:C208">
    <cfRule type="duplicateValues" dxfId="176" priority="5867"/>
    <cfRule type="duplicateValues" dxfId="175" priority="5866"/>
  </conditionalFormatting>
  <conditionalFormatting sqref="C232:C233">
    <cfRule type="duplicateValues" dxfId="174" priority="259"/>
    <cfRule type="duplicateValues" dxfId="173" priority="260"/>
    <cfRule type="duplicateValues" dxfId="172" priority="266"/>
  </conditionalFormatting>
  <conditionalFormatting sqref="C236">
    <cfRule type="duplicateValues" dxfId="171" priority="469"/>
    <cfRule type="duplicateValues" dxfId="170" priority="470"/>
  </conditionalFormatting>
  <conditionalFormatting sqref="C237">
    <cfRule type="duplicateValues" dxfId="169" priority="628"/>
    <cfRule type="duplicateValues" dxfId="168" priority="627"/>
  </conditionalFormatting>
  <conditionalFormatting sqref="C240">
    <cfRule type="duplicateValues" dxfId="167" priority="625"/>
    <cfRule type="duplicateValues" dxfId="166" priority="626"/>
  </conditionalFormatting>
  <conditionalFormatting sqref="C241">
    <cfRule type="duplicateValues" dxfId="165" priority="624"/>
    <cfRule type="duplicateValues" dxfId="164" priority="623"/>
  </conditionalFormatting>
  <conditionalFormatting sqref="C246:C247">
    <cfRule type="duplicateValues" dxfId="163" priority="1872"/>
  </conditionalFormatting>
  <conditionalFormatting sqref="C248">
    <cfRule type="duplicateValues" dxfId="162" priority="36"/>
    <cfRule type="duplicateValues" dxfId="161" priority="37"/>
  </conditionalFormatting>
  <conditionalFormatting sqref="C249">
    <cfRule type="duplicateValues" dxfId="160" priority="428"/>
    <cfRule type="duplicateValues" dxfId="159" priority="427"/>
  </conditionalFormatting>
  <conditionalFormatting sqref="C250">
    <cfRule type="duplicateValues" dxfId="158" priority="619"/>
    <cfRule type="duplicateValues" dxfId="157" priority="620"/>
  </conditionalFormatting>
  <conditionalFormatting sqref="C251:C253 C255:C259">
    <cfRule type="duplicateValues" dxfId="156" priority="5414"/>
    <cfRule type="duplicateValues" dxfId="155" priority="5413"/>
  </conditionalFormatting>
  <conditionalFormatting sqref="C254">
    <cfRule type="duplicateValues" dxfId="154" priority="507"/>
    <cfRule type="duplicateValues" dxfId="153" priority="508"/>
  </conditionalFormatting>
  <conditionalFormatting sqref="C260">
    <cfRule type="duplicateValues" dxfId="152" priority="617"/>
    <cfRule type="duplicateValues" dxfId="151" priority="618"/>
  </conditionalFormatting>
  <conditionalFormatting sqref="C261:C264">
    <cfRule type="duplicateValues" dxfId="150" priority="609"/>
    <cfRule type="duplicateValues" dxfId="149" priority="610"/>
  </conditionalFormatting>
  <conditionalFormatting sqref="C265">
    <cfRule type="duplicateValues" dxfId="148" priority="614"/>
    <cfRule type="duplicateValues" dxfId="147" priority="613"/>
  </conditionalFormatting>
  <conditionalFormatting sqref="C267">
    <cfRule type="duplicateValues" dxfId="146" priority="785"/>
  </conditionalFormatting>
  <conditionalFormatting sqref="C268:C269">
    <cfRule type="duplicateValues" dxfId="145" priority="784"/>
  </conditionalFormatting>
  <conditionalFormatting sqref="C270">
    <cfRule type="duplicateValues" dxfId="144" priority="783"/>
  </conditionalFormatting>
  <conditionalFormatting sqref="C271">
    <cfRule type="duplicateValues" dxfId="143" priority="847"/>
    <cfRule type="duplicateValues" dxfId="142" priority="848"/>
  </conditionalFormatting>
  <conditionalFormatting sqref="C278">
    <cfRule type="duplicateValues" dxfId="141" priority="608"/>
    <cfRule type="duplicateValues" dxfId="140" priority="607"/>
  </conditionalFormatting>
  <conditionalFormatting sqref="C279:C281">
    <cfRule type="duplicateValues" dxfId="139" priority="605"/>
    <cfRule type="duplicateValues" dxfId="138" priority="606"/>
  </conditionalFormatting>
  <conditionalFormatting sqref="C282">
    <cfRule type="duplicateValues" dxfId="137" priority="11324"/>
  </conditionalFormatting>
  <conditionalFormatting sqref="C283:C286">
    <cfRule type="duplicateValues" dxfId="136" priority="478"/>
    <cfRule type="duplicateValues" dxfId="135" priority="477"/>
  </conditionalFormatting>
  <conditionalFormatting sqref="C287">
    <cfRule type="duplicateValues" dxfId="134" priority="6402"/>
  </conditionalFormatting>
  <conditionalFormatting sqref="C288">
    <cfRule type="duplicateValues" dxfId="133" priority="483"/>
  </conditionalFormatting>
  <conditionalFormatting sqref="C291:C292">
    <cfRule type="duplicateValues" dxfId="132" priority="493"/>
  </conditionalFormatting>
  <conditionalFormatting sqref="C293">
    <cfRule type="duplicateValues" dxfId="131" priority="603"/>
    <cfRule type="duplicateValues" dxfId="130" priority="604"/>
  </conditionalFormatting>
  <conditionalFormatting sqref="C294">
    <cfRule type="duplicateValues" dxfId="129" priority="601"/>
    <cfRule type="duplicateValues" dxfId="128" priority="602"/>
  </conditionalFormatting>
  <conditionalFormatting sqref="C295:C296">
    <cfRule type="duplicateValues" dxfId="127" priority="499"/>
    <cfRule type="duplicateValues" dxfId="126" priority="500"/>
  </conditionalFormatting>
  <conditionalFormatting sqref="C298">
    <cfRule type="duplicateValues" dxfId="125" priority="3171"/>
  </conditionalFormatting>
  <conditionalFormatting sqref="C299:C300">
    <cfRule type="duplicateValues" dxfId="124" priority="682"/>
  </conditionalFormatting>
  <conditionalFormatting sqref="C301 C266 C272:C277 C289:C290 C282 C297:C298">
    <cfRule type="duplicateValues" dxfId="123" priority="2560"/>
  </conditionalFormatting>
  <conditionalFormatting sqref="C302">
    <cfRule type="duplicateValues" dxfId="122" priority="419"/>
    <cfRule type="duplicateValues" dxfId="121" priority="420"/>
  </conditionalFormatting>
  <conditionalFormatting sqref="C320">
    <cfRule type="duplicateValues" dxfId="120" priority="15"/>
    <cfRule type="duplicateValues" dxfId="119" priority="14"/>
    <cfRule type="duplicateValues" dxfId="118" priority="7"/>
    <cfRule type="duplicateValues" dxfId="117" priority="6"/>
  </conditionalFormatting>
  <conditionalFormatting sqref="C321:C322">
    <cfRule type="duplicateValues" dxfId="116" priority="764"/>
  </conditionalFormatting>
  <conditionalFormatting sqref="C323">
    <cfRule type="duplicateValues" dxfId="115" priority="411"/>
    <cfRule type="duplicateValues" dxfId="114" priority="412"/>
  </conditionalFormatting>
  <conditionalFormatting sqref="C325:C328">
    <cfRule type="duplicateValues" dxfId="113" priority="596"/>
    <cfRule type="duplicateValues" dxfId="112" priority="597"/>
  </conditionalFormatting>
  <conditionalFormatting sqref="C330">
    <cfRule type="duplicateValues" dxfId="111" priority="780"/>
  </conditionalFormatting>
  <conditionalFormatting sqref="C335">
    <cfRule type="duplicateValues" dxfId="110" priority="593"/>
    <cfRule type="duplicateValues" dxfId="109" priority="592"/>
  </conditionalFormatting>
  <conditionalFormatting sqref="C338">
    <cfRule type="duplicateValues" dxfId="108" priority="590"/>
    <cfRule type="duplicateValues" dxfId="107" priority="591"/>
  </conditionalFormatting>
  <conditionalFormatting sqref="C340:C344">
    <cfRule type="duplicateValues" dxfId="106" priority="588"/>
    <cfRule type="duplicateValues" dxfId="105" priority="589"/>
  </conditionalFormatting>
  <conditionalFormatting sqref="C349">
    <cfRule type="duplicateValues" dxfId="104" priority="467"/>
    <cfRule type="duplicateValues" dxfId="103" priority="468"/>
  </conditionalFormatting>
  <conditionalFormatting sqref="C359:C361">
    <cfRule type="duplicateValues" dxfId="102" priority="578"/>
    <cfRule type="duplicateValues" dxfId="101" priority="579"/>
  </conditionalFormatting>
  <conditionalFormatting sqref="C363">
    <cfRule type="duplicateValues" dxfId="100" priority="574"/>
    <cfRule type="duplicateValues" dxfId="99" priority="573"/>
  </conditionalFormatting>
  <conditionalFormatting sqref="C370">
    <cfRule type="duplicateValues" dxfId="98" priority="559"/>
    <cfRule type="duplicateValues" dxfId="97" priority="558"/>
  </conditionalFormatting>
  <conditionalFormatting sqref="C371">
    <cfRule type="duplicateValues" dxfId="96" priority="554"/>
    <cfRule type="duplicateValues" dxfId="95" priority="553"/>
  </conditionalFormatting>
  <conditionalFormatting sqref="C382">
    <cfRule type="duplicateValues" dxfId="94" priority="716"/>
  </conditionalFormatting>
  <conditionalFormatting sqref="C383">
    <cfRule type="duplicateValues" dxfId="93" priority="806"/>
    <cfRule type="duplicateValues" dxfId="92" priority="807"/>
  </conditionalFormatting>
  <conditionalFormatting sqref="C384">
    <cfRule type="duplicateValues" dxfId="91" priority="700"/>
    <cfRule type="duplicateValues" dxfId="90" priority="701"/>
  </conditionalFormatting>
  <conditionalFormatting sqref="C390">
    <cfRule type="duplicateValues" dxfId="89" priority="530"/>
    <cfRule type="duplicateValues" dxfId="88" priority="529"/>
  </conditionalFormatting>
  <conditionalFormatting sqref="C391">
    <cfRule type="duplicateValues" dxfId="87" priority="711"/>
  </conditionalFormatting>
  <conditionalFormatting sqref="C395">
    <cfRule type="duplicateValues" dxfId="86" priority="675"/>
  </conditionalFormatting>
  <conditionalFormatting sqref="C398">
    <cfRule type="duplicateValues" dxfId="85" priority="549"/>
    <cfRule type="duplicateValues" dxfId="84" priority="548"/>
  </conditionalFormatting>
  <conditionalFormatting sqref="C404">
    <cfRule type="duplicateValues" dxfId="83" priority="721"/>
  </conditionalFormatting>
  <conditionalFormatting sqref="C407">
    <cfRule type="duplicateValues" dxfId="82" priority="527"/>
    <cfRule type="duplicateValues" dxfId="81" priority="526"/>
  </conditionalFormatting>
  <conditionalFormatting sqref="C408">
    <cfRule type="duplicateValues" dxfId="80" priority="497"/>
    <cfRule type="duplicateValues" dxfId="79" priority="498"/>
  </conditionalFormatting>
  <conditionalFormatting sqref="C411">
    <cfRule type="duplicateValues" dxfId="78" priority="568"/>
    <cfRule type="duplicateValues" dxfId="77" priority="569"/>
  </conditionalFormatting>
  <conditionalFormatting sqref="C412">
    <cfRule type="duplicateValues" dxfId="76" priority="563"/>
    <cfRule type="duplicateValues" dxfId="75" priority="564"/>
  </conditionalFormatting>
  <conditionalFormatting sqref="C422">
    <cfRule type="duplicateValues" dxfId="74" priority="451"/>
    <cfRule type="duplicateValues" dxfId="73" priority="452"/>
  </conditionalFormatting>
  <conditionalFormatting sqref="C423 C181:C186 C409:C410 C238:C239 C234 C413">
    <cfRule type="duplicateValues" dxfId="72" priority="6203"/>
  </conditionalFormatting>
  <conditionalFormatting sqref="C442">
    <cfRule type="duplicateValues" dxfId="71" priority="511"/>
    <cfRule type="duplicateValues" dxfId="70" priority="510"/>
  </conditionalFormatting>
  <conditionalFormatting sqref="C443:C448">
    <cfRule type="duplicateValues" dxfId="69" priority="5634"/>
    <cfRule type="duplicateValues" dxfId="68" priority="5633"/>
  </conditionalFormatting>
  <conditionalFormatting sqref="C449">
    <cfRule type="duplicateValues" dxfId="67" priority="404"/>
    <cfRule type="duplicateValues" dxfId="66" priority="403"/>
  </conditionalFormatting>
  <conditionalFormatting sqref="C450:C451 C216 C248 C179:C180 C229 C235 C266 C392:C394 C396:C397 C301 C63:C64 C66 C242:C245 C272:C277 C297:C298 C336:C337 C339 C362 C364:C369 C372:C381 C424:C441 C324 C329:C334 C289:C290 C282 C399:C403 C345:C348 C414:C421 C350:C358 C385:C389 C1:C4 C8:C15 C44:C45 C154 C19:C36 C110:C111 C108 C96:C102 C118:C120 C124:C125 C127:C152 C157:C175 C113:C116 C47:C54 C93:C94 C38:C42 C303:C319">
    <cfRule type="duplicateValues" dxfId="65" priority="11269"/>
  </conditionalFormatting>
  <conditionalFormatting sqref="C450:C1048576 C216 C248 C179:C180 C229 C235 C392:C394 C396:C397 C63:C64 C66 C242:C245 C336:C337 C339 C362 C364:C369 C372:C381 C424:C441 C324 C329:C334 C399:C403 C345:C348 C414:C421 C350:C358 C385:C389 C1:C4 C8:C15 C44:C45 C154 C19:C36 C110:C111 C108 C96:C102 C118:C120 C124:C125 C127:C152 C157:C175 C113:C116 C47:C54 C93:C94 C38:C42 C303:C319">
    <cfRule type="duplicateValues" dxfId="64" priority="11318"/>
  </conditionalFormatting>
  <conditionalFormatting sqref="J4:J454">
    <cfRule type="duplicateValues" dxfId="63" priority="95"/>
  </conditionalFormatting>
  <conditionalFormatting sqref="J5">
    <cfRule type="duplicateValues" dxfId="62" priority="401"/>
  </conditionalFormatting>
  <conditionalFormatting sqref="J6:J7">
    <cfRule type="duplicateValues" dxfId="61" priority="366"/>
  </conditionalFormatting>
  <conditionalFormatting sqref="J16:J18">
    <cfRule type="duplicateValues" dxfId="60" priority="350"/>
  </conditionalFormatting>
  <conditionalFormatting sqref="J43">
    <cfRule type="duplicateValues" dxfId="59" priority="334"/>
    <cfRule type="duplicateValues" dxfId="58" priority="335"/>
  </conditionalFormatting>
  <conditionalFormatting sqref="J44:J57 J110:J111 J108 J113:J120 J124:J131 J5:J42 J234:J453 J66:J67 J77:J79 J93:J103 J133:J231">
    <cfRule type="duplicateValues" dxfId="57" priority="11423"/>
  </conditionalFormatting>
  <conditionalFormatting sqref="J58">
    <cfRule type="duplicateValues" dxfId="56" priority="245"/>
    <cfRule type="duplicateValues" dxfId="55" priority="246"/>
  </conditionalFormatting>
  <conditionalFormatting sqref="J59:J65">
    <cfRule type="duplicateValues" dxfId="54" priority="174"/>
    <cfRule type="duplicateValues" dxfId="53" priority="173"/>
  </conditionalFormatting>
  <conditionalFormatting sqref="J68">
    <cfRule type="duplicateValues" dxfId="52" priority="214"/>
    <cfRule type="duplicateValues" dxfId="51" priority="215"/>
  </conditionalFormatting>
  <conditionalFormatting sqref="J69:J70 J72:J74">
    <cfRule type="duplicateValues" dxfId="50" priority="197"/>
    <cfRule type="duplicateValues" dxfId="49" priority="198"/>
  </conditionalFormatting>
  <conditionalFormatting sqref="J71">
    <cfRule type="duplicateValues" dxfId="48" priority="190"/>
    <cfRule type="duplicateValues" dxfId="47" priority="189"/>
  </conditionalFormatting>
  <conditionalFormatting sqref="J75">
    <cfRule type="duplicateValues" dxfId="46" priority="148"/>
    <cfRule type="duplicateValues" dxfId="45" priority="149"/>
  </conditionalFormatting>
  <conditionalFormatting sqref="J76">
    <cfRule type="duplicateValues" dxfId="44" priority="195"/>
  </conditionalFormatting>
  <conditionalFormatting sqref="J80">
    <cfRule type="duplicateValues" dxfId="43" priority="160"/>
    <cfRule type="duplicateValues" dxfId="42" priority="161"/>
  </conditionalFormatting>
  <conditionalFormatting sqref="J81">
    <cfRule type="duplicateValues" dxfId="41" priority="156"/>
    <cfRule type="duplicateValues" dxfId="40" priority="157"/>
  </conditionalFormatting>
  <conditionalFormatting sqref="J82">
    <cfRule type="duplicateValues" dxfId="39" priority="155"/>
    <cfRule type="duplicateValues" dxfId="38" priority="154"/>
  </conditionalFormatting>
  <conditionalFormatting sqref="J83:J92">
    <cfRule type="duplicateValues" dxfId="37" priority="123"/>
    <cfRule type="duplicateValues" dxfId="36" priority="122"/>
  </conditionalFormatting>
  <conditionalFormatting sqref="J95">
    <cfRule type="duplicateValues" dxfId="35" priority="373"/>
  </conditionalFormatting>
  <conditionalFormatting sqref="J104">
    <cfRule type="duplicateValues" dxfId="34" priority="302"/>
    <cfRule type="duplicateValues" dxfId="33" priority="301"/>
  </conditionalFormatting>
  <conditionalFormatting sqref="J105">
    <cfRule type="duplicateValues" dxfId="32" priority="297"/>
    <cfRule type="duplicateValues" dxfId="31" priority="296"/>
  </conditionalFormatting>
  <conditionalFormatting sqref="J106">
    <cfRule type="duplicateValues" dxfId="30" priority="292"/>
    <cfRule type="duplicateValues" dxfId="29" priority="291"/>
  </conditionalFormatting>
  <conditionalFormatting sqref="J107">
    <cfRule type="duplicateValues" dxfId="28" priority="287"/>
    <cfRule type="duplicateValues" dxfId="27" priority="286"/>
  </conditionalFormatting>
  <conditionalFormatting sqref="J109">
    <cfRule type="duplicateValues" dxfId="26" priority="8602"/>
  </conditionalFormatting>
  <conditionalFormatting sqref="J112">
    <cfRule type="duplicateValues" dxfId="25" priority="278"/>
    <cfRule type="duplicateValues" dxfId="24" priority="282"/>
  </conditionalFormatting>
  <conditionalFormatting sqref="J115:J116">
    <cfRule type="duplicateValues" dxfId="23" priority="647"/>
  </conditionalFormatting>
  <conditionalFormatting sqref="J117">
    <cfRule type="duplicateValues" dxfId="22" priority="390"/>
  </conditionalFormatting>
  <conditionalFormatting sqref="J121:J123">
    <cfRule type="duplicateValues" dxfId="21" priority="274"/>
    <cfRule type="duplicateValues" dxfId="20" priority="270"/>
  </conditionalFormatting>
  <conditionalFormatting sqref="J126">
    <cfRule type="duplicateValues" dxfId="19" priority="9556"/>
  </conditionalFormatting>
  <conditionalFormatting sqref="J176">
    <cfRule type="duplicateValues" dxfId="18" priority="450"/>
  </conditionalFormatting>
  <conditionalFormatting sqref="J187">
    <cfRule type="duplicateValues" dxfId="17" priority="442"/>
  </conditionalFormatting>
  <conditionalFormatting sqref="J232:J233">
    <cfRule type="duplicateValues" dxfId="16" priority="265"/>
    <cfRule type="duplicateValues" dxfId="15" priority="264"/>
  </conditionalFormatting>
  <conditionalFormatting sqref="J236">
    <cfRule type="duplicateValues" dxfId="14" priority="476"/>
  </conditionalFormatting>
  <conditionalFormatting sqref="J249">
    <cfRule type="duplicateValues" dxfId="13" priority="434"/>
  </conditionalFormatting>
  <conditionalFormatting sqref="J287">
    <cfRule type="duplicateValues" dxfId="12" priority="6401"/>
  </conditionalFormatting>
  <conditionalFormatting sqref="J288">
    <cfRule type="duplicateValues" dxfId="11" priority="482"/>
  </conditionalFormatting>
  <conditionalFormatting sqref="J291:J292">
    <cfRule type="duplicateValues" dxfId="10" priority="492"/>
  </conditionalFormatting>
  <conditionalFormatting sqref="J302">
    <cfRule type="duplicateValues" dxfId="9" priority="426"/>
  </conditionalFormatting>
  <conditionalFormatting sqref="J323">
    <cfRule type="duplicateValues" dxfId="8" priority="418"/>
  </conditionalFormatting>
  <conditionalFormatting sqref="J395">
    <cfRule type="duplicateValues" dxfId="7" priority="676"/>
  </conditionalFormatting>
  <conditionalFormatting sqref="J406">
    <cfRule type="duplicateValues" dxfId="6" priority="464"/>
  </conditionalFormatting>
  <conditionalFormatting sqref="J410">
    <cfRule type="duplicateValues" dxfId="5" priority="501"/>
  </conditionalFormatting>
  <conditionalFormatting sqref="J422">
    <cfRule type="duplicateValues" dxfId="4" priority="458"/>
  </conditionalFormatting>
  <conditionalFormatting sqref="J449">
    <cfRule type="duplicateValues" dxfId="3" priority="410"/>
  </conditionalFormatting>
  <conditionalFormatting sqref="J456:L1048576 J2:L3 J251:J253 J261:J277 J443:J448 J1 J255:J259 J279:J286 J293:J301 J289:J290 J237:J248 J396:J405 J407:J409 J411:J421 J423:J441 J325:J394 J177:J186 J303:J322 J450:J455 J118:J120 J8:J15 J4 J44:J57 J110:J111 J96:J103 J108 J113:J114 J124:J125 J127:J131 J133:J175 J19:J42 J206:J231 J234:J235 J66:J67 J77:J79 J93:J94">
    <cfRule type="duplicateValues" dxfId="2" priority="9416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0E61-4D47-4034-98A4-302326141A47}">
  <sheetPr codeName="Hoja21"/>
  <dimension ref="A1:C313"/>
  <sheetViews>
    <sheetView workbookViewId="0"/>
  </sheetViews>
  <sheetFormatPr baseColWidth="10" defaultColWidth="9.140625" defaultRowHeight="15" x14ac:dyDescent="0.25"/>
  <cols>
    <col min="1" max="2" width="20.140625" customWidth="1"/>
  </cols>
  <sheetData>
    <row r="1" spans="1:2" x14ac:dyDescent="0.25">
      <c r="A1" t="s">
        <v>189</v>
      </c>
      <c r="B1" t="s">
        <v>435</v>
      </c>
    </row>
    <row r="2" spans="1:2" x14ac:dyDescent="0.25">
      <c r="A2" t="s">
        <v>436</v>
      </c>
      <c r="B2" t="s">
        <v>437</v>
      </c>
    </row>
    <row r="3" spans="1:2" x14ac:dyDescent="0.25">
      <c r="A3" t="s">
        <v>438</v>
      </c>
      <c r="B3" s="80">
        <v>43.87</v>
      </c>
    </row>
    <row r="4" spans="1:2" x14ac:dyDescent="0.25">
      <c r="A4" t="s">
        <v>439</v>
      </c>
      <c r="B4" s="80">
        <v>44.59</v>
      </c>
    </row>
    <row r="5" spans="1:2" x14ac:dyDescent="0.25">
      <c r="A5" t="s">
        <v>440</v>
      </c>
      <c r="B5" s="80">
        <v>45.24</v>
      </c>
    </row>
    <row r="6" spans="1:2" x14ac:dyDescent="0.25">
      <c r="A6" t="s">
        <v>441</v>
      </c>
      <c r="B6" s="80">
        <v>45.71</v>
      </c>
    </row>
    <row r="7" spans="1:2" x14ac:dyDescent="0.25">
      <c r="A7" t="s">
        <v>442</v>
      </c>
      <c r="B7" s="80">
        <v>46.27</v>
      </c>
    </row>
    <row r="8" spans="1:2" x14ac:dyDescent="0.25">
      <c r="A8" t="s">
        <v>443</v>
      </c>
      <c r="B8" s="80">
        <v>46.89</v>
      </c>
    </row>
    <row r="9" spans="1:2" x14ac:dyDescent="0.25">
      <c r="A9" t="s">
        <v>444</v>
      </c>
      <c r="B9" s="80">
        <v>47.41</v>
      </c>
    </row>
    <row r="10" spans="1:2" x14ac:dyDescent="0.25">
      <c r="A10" t="s">
        <v>445</v>
      </c>
      <c r="B10" s="80">
        <v>48.07</v>
      </c>
    </row>
    <row r="11" spans="1:2" x14ac:dyDescent="0.25">
      <c r="A11" t="s">
        <v>446</v>
      </c>
      <c r="B11" s="80">
        <v>49.19</v>
      </c>
    </row>
    <row r="12" spans="1:2" x14ac:dyDescent="0.25">
      <c r="A12" t="s">
        <v>447</v>
      </c>
      <c r="B12" s="80">
        <v>49.87</v>
      </c>
    </row>
    <row r="13" spans="1:2" x14ac:dyDescent="0.25">
      <c r="A13" t="s">
        <v>448</v>
      </c>
      <c r="B13" s="80">
        <v>50.36</v>
      </c>
    </row>
    <row r="14" spans="1:2" x14ac:dyDescent="0.25">
      <c r="A14" t="s">
        <v>449</v>
      </c>
      <c r="B14" s="80">
        <v>50.83</v>
      </c>
    </row>
    <row r="15" spans="1:2" x14ac:dyDescent="0.25">
      <c r="A15" t="s">
        <v>450</v>
      </c>
      <c r="B15" s="80">
        <v>51.1</v>
      </c>
    </row>
    <row r="16" spans="1:2" x14ac:dyDescent="0.25">
      <c r="A16" t="s">
        <v>451</v>
      </c>
      <c r="B16" s="80">
        <v>51.5</v>
      </c>
    </row>
    <row r="17" spans="1:2" x14ac:dyDescent="0.25">
      <c r="A17" t="s">
        <v>452</v>
      </c>
      <c r="B17" s="80">
        <v>51.68</v>
      </c>
    </row>
    <row r="18" spans="1:2" x14ac:dyDescent="0.25">
      <c r="A18" t="s">
        <v>453</v>
      </c>
      <c r="B18" s="80">
        <v>52.27</v>
      </c>
    </row>
    <row r="19" spans="1:2" x14ac:dyDescent="0.25">
      <c r="A19" t="s">
        <v>454</v>
      </c>
      <c r="B19" s="80">
        <v>52.05</v>
      </c>
    </row>
    <row r="20" spans="1:2" x14ac:dyDescent="0.25">
      <c r="A20" t="s">
        <v>455</v>
      </c>
      <c r="B20" s="80">
        <v>52.01</v>
      </c>
    </row>
    <row r="21" spans="1:2" x14ac:dyDescent="0.25">
      <c r="A21" t="s">
        <v>456</v>
      </c>
      <c r="B21" s="80">
        <v>52.09</v>
      </c>
    </row>
    <row r="22" spans="1:2" x14ac:dyDescent="0.25">
      <c r="A22" t="s">
        <v>457</v>
      </c>
      <c r="B22" s="80">
        <v>53.01</v>
      </c>
    </row>
    <row r="23" spans="1:2" x14ac:dyDescent="0.25">
      <c r="A23" t="s">
        <v>458</v>
      </c>
      <c r="B23" s="80">
        <v>53.99</v>
      </c>
    </row>
    <row r="24" spans="1:2" x14ac:dyDescent="0.25">
      <c r="A24" t="s">
        <v>459</v>
      </c>
      <c r="B24" s="80">
        <v>54.43</v>
      </c>
    </row>
    <row r="25" spans="1:2" x14ac:dyDescent="0.25">
      <c r="A25" t="s">
        <v>460</v>
      </c>
      <c r="B25" s="80">
        <v>55.37</v>
      </c>
    </row>
    <row r="26" spans="1:2" x14ac:dyDescent="0.25">
      <c r="A26" t="s">
        <v>461</v>
      </c>
      <c r="B26" s="80">
        <v>55.97</v>
      </c>
    </row>
    <row r="27" spans="1:2" x14ac:dyDescent="0.25">
      <c r="A27" t="s">
        <v>462</v>
      </c>
      <c r="B27" s="80">
        <v>55.57</v>
      </c>
    </row>
    <row r="28" spans="1:2" x14ac:dyDescent="0.25">
      <c r="A28" t="s">
        <v>463</v>
      </c>
      <c r="B28" s="80">
        <v>55.37</v>
      </c>
    </row>
    <row r="29" spans="1:2" x14ac:dyDescent="0.25">
      <c r="A29" t="s">
        <v>464</v>
      </c>
      <c r="B29" s="80">
        <v>55.37</v>
      </c>
    </row>
    <row r="30" spans="1:2" x14ac:dyDescent="0.25">
      <c r="A30" t="s">
        <v>465</v>
      </c>
      <c r="B30" s="80">
        <v>55.48</v>
      </c>
    </row>
    <row r="31" spans="1:2" x14ac:dyDescent="0.25">
      <c r="A31" t="s">
        <v>466</v>
      </c>
      <c r="B31" s="80">
        <v>54.91</v>
      </c>
    </row>
    <row r="32" spans="1:2" x14ac:dyDescent="0.25">
      <c r="A32" t="s">
        <v>467</v>
      </c>
      <c r="B32" s="80">
        <v>54.67</v>
      </c>
    </row>
    <row r="33" spans="1:2" x14ac:dyDescent="0.25">
      <c r="A33" t="s">
        <v>468</v>
      </c>
      <c r="B33" s="80">
        <v>54.78</v>
      </c>
    </row>
    <row r="34" spans="1:2" x14ac:dyDescent="0.25">
      <c r="A34" t="s">
        <v>469</v>
      </c>
      <c r="B34" s="80">
        <v>55.1</v>
      </c>
    </row>
    <row r="35" spans="1:2" x14ac:dyDescent="0.25">
      <c r="A35" t="s">
        <v>470</v>
      </c>
      <c r="B35" s="80">
        <v>55.32</v>
      </c>
    </row>
    <row r="36" spans="1:2" x14ac:dyDescent="0.25">
      <c r="A36" t="s">
        <v>471</v>
      </c>
      <c r="B36" s="80">
        <v>55.86</v>
      </c>
    </row>
    <row r="37" spans="1:2" x14ac:dyDescent="0.25">
      <c r="A37" t="s">
        <v>472</v>
      </c>
      <c r="B37" s="80">
        <v>56.29</v>
      </c>
    </row>
    <row r="38" spans="1:2" x14ac:dyDescent="0.25">
      <c r="A38" t="s">
        <v>473</v>
      </c>
      <c r="B38" s="80">
        <v>56.78</v>
      </c>
    </row>
    <row r="39" spans="1:2" x14ac:dyDescent="0.25">
      <c r="A39" t="s">
        <v>474</v>
      </c>
      <c r="B39" s="80">
        <v>56.96</v>
      </c>
    </row>
    <row r="40" spans="1:2" x14ac:dyDescent="0.25">
      <c r="A40" t="s">
        <v>475</v>
      </c>
      <c r="B40" s="80">
        <v>57.32</v>
      </c>
    </row>
    <row r="41" spans="1:2" x14ac:dyDescent="0.25">
      <c r="A41" t="s">
        <v>476</v>
      </c>
      <c r="B41" s="80">
        <v>58.09</v>
      </c>
    </row>
    <row r="42" spans="1:2" x14ac:dyDescent="0.25">
      <c r="A42" t="s">
        <v>477</v>
      </c>
      <c r="B42" s="80">
        <v>59.37</v>
      </c>
    </row>
    <row r="43" spans="1:2" x14ac:dyDescent="0.25">
      <c r="A43" t="s">
        <v>478</v>
      </c>
      <c r="B43" s="80">
        <v>60.16</v>
      </c>
    </row>
    <row r="44" spans="1:2" x14ac:dyDescent="0.25">
      <c r="A44" t="s">
        <v>479</v>
      </c>
      <c r="B44" s="80">
        <v>59.78</v>
      </c>
    </row>
    <row r="45" spans="1:2" x14ac:dyDescent="0.25">
      <c r="A45" t="s">
        <v>480</v>
      </c>
      <c r="B45" s="80">
        <v>60.34</v>
      </c>
    </row>
    <row r="46" spans="1:2" x14ac:dyDescent="0.25">
      <c r="A46" t="s">
        <v>481</v>
      </c>
      <c r="B46" s="80">
        <v>61.33</v>
      </c>
    </row>
    <row r="47" spans="1:2" x14ac:dyDescent="0.25">
      <c r="A47" t="s">
        <v>482</v>
      </c>
      <c r="B47" s="80">
        <v>62.29</v>
      </c>
    </row>
    <row r="48" spans="1:2" x14ac:dyDescent="0.25">
      <c r="A48" t="s">
        <v>483</v>
      </c>
      <c r="B48" s="80">
        <v>62.58</v>
      </c>
    </row>
    <row r="49" spans="1:2" x14ac:dyDescent="0.25">
      <c r="A49" t="s">
        <v>484</v>
      </c>
      <c r="B49" s="80">
        <v>62.96</v>
      </c>
    </row>
    <row r="50" spans="1:2" x14ac:dyDescent="0.25">
      <c r="A50" t="s">
        <v>485</v>
      </c>
      <c r="B50" s="80">
        <v>62.86</v>
      </c>
    </row>
    <row r="51" spans="1:2" x14ac:dyDescent="0.25">
      <c r="A51" t="s">
        <v>486</v>
      </c>
      <c r="B51" s="80">
        <v>62.72</v>
      </c>
    </row>
    <row r="52" spans="1:2" x14ac:dyDescent="0.25">
      <c r="A52" t="s">
        <v>487</v>
      </c>
      <c r="B52" s="80">
        <v>62.92</v>
      </c>
    </row>
    <row r="53" spans="1:2" x14ac:dyDescent="0.25">
      <c r="A53" t="s">
        <v>488</v>
      </c>
      <c r="B53" s="80">
        <v>63.1</v>
      </c>
    </row>
    <row r="54" spans="1:2" x14ac:dyDescent="0.25">
      <c r="A54" t="s">
        <v>489</v>
      </c>
      <c r="B54" s="80">
        <v>62.93</v>
      </c>
    </row>
    <row r="55" spans="1:2" x14ac:dyDescent="0.25">
      <c r="A55" t="s">
        <v>490</v>
      </c>
      <c r="B55" s="80">
        <v>63.02</v>
      </c>
    </row>
    <row r="56" spans="1:2" x14ac:dyDescent="0.25">
      <c r="A56" t="s">
        <v>491</v>
      </c>
      <c r="B56" s="80">
        <v>63.42</v>
      </c>
    </row>
    <row r="57" spans="1:2" x14ac:dyDescent="0.25">
      <c r="A57" t="s">
        <v>492</v>
      </c>
      <c r="B57" s="80">
        <v>63.69</v>
      </c>
    </row>
    <row r="58" spans="1:2" x14ac:dyDescent="0.25">
      <c r="A58" t="s">
        <v>493</v>
      </c>
      <c r="B58" s="80">
        <v>64.41</v>
      </c>
    </row>
    <row r="59" spans="1:2" x14ac:dyDescent="0.25">
      <c r="A59" t="s">
        <v>494</v>
      </c>
      <c r="B59" s="80">
        <v>65.03</v>
      </c>
    </row>
    <row r="60" spans="1:2" x14ac:dyDescent="0.25">
      <c r="A60" t="s">
        <v>495</v>
      </c>
      <c r="B60" s="80">
        <v>65.430000000000007</v>
      </c>
    </row>
    <row r="61" spans="1:2" x14ac:dyDescent="0.25">
      <c r="A61" t="s">
        <v>496</v>
      </c>
      <c r="B61" s="80">
        <v>65.92</v>
      </c>
    </row>
    <row r="62" spans="1:2" x14ac:dyDescent="0.25">
      <c r="A62" t="s">
        <v>497</v>
      </c>
      <c r="B62" s="80">
        <v>66.95</v>
      </c>
    </row>
    <row r="63" spans="1:2" x14ac:dyDescent="0.25">
      <c r="A63" t="s">
        <v>498</v>
      </c>
      <c r="B63" s="80">
        <v>67.180000000000007</v>
      </c>
    </row>
    <row r="64" spans="1:2" x14ac:dyDescent="0.25">
      <c r="A64" t="s">
        <v>499</v>
      </c>
      <c r="B64" s="80">
        <v>66.849999999999994</v>
      </c>
    </row>
    <row r="65" spans="1:2" x14ac:dyDescent="0.25">
      <c r="A65" t="s">
        <v>500</v>
      </c>
      <c r="B65" s="80">
        <v>66.97</v>
      </c>
    </row>
    <row r="66" spans="1:2" x14ac:dyDescent="0.25">
      <c r="A66" t="s">
        <v>501</v>
      </c>
      <c r="B66" s="80">
        <v>67.25</v>
      </c>
    </row>
    <row r="67" spans="1:2" x14ac:dyDescent="0.25">
      <c r="A67" t="s">
        <v>502</v>
      </c>
      <c r="B67" s="80">
        <v>68</v>
      </c>
    </row>
    <row r="68" spans="1:2" x14ac:dyDescent="0.25">
      <c r="A68" t="s">
        <v>503</v>
      </c>
      <c r="B68" s="80">
        <v>67.83</v>
      </c>
    </row>
    <row r="69" spans="1:2" x14ac:dyDescent="0.25">
      <c r="A69" t="s">
        <v>504</v>
      </c>
      <c r="B69" s="80">
        <v>67.239999999999995</v>
      </c>
    </row>
    <row r="70" spans="1:2" x14ac:dyDescent="0.25">
      <c r="A70" t="s">
        <v>505</v>
      </c>
      <c r="B70" s="80">
        <v>67.849999999999994</v>
      </c>
    </row>
    <row r="71" spans="1:2" x14ac:dyDescent="0.25">
      <c r="A71" t="s">
        <v>506</v>
      </c>
      <c r="B71" s="80">
        <v>68.7</v>
      </c>
    </row>
    <row r="72" spans="1:2" x14ac:dyDescent="0.25">
      <c r="A72" t="s">
        <v>507</v>
      </c>
      <c r="B72" s="80">
        <v>69.95</v>
      </c>
    </row>
    <row r="73" spans="1:2" x14ac:dyDescent="0.25">
      <c r="A73" t="s">
        <v>508</v>
      </c>
      <c r="B73" s="80">
        <v>69.75</v>
      </c>
    </row>
    <row r="74" spans="1:2" x14ac:dyDescent="0.25">
      <c r="A74" t="s">
        <v>509</v>
      </c>
      <c r="B74" s="80">
        <v>69.75</v>
      </c>
    </row>
    <row r="75" spans="1:2" x14ac:dyDescent="0.25">
      <c r="A75" t="s">
        <v>510</v>
      </c>
      <c r="B75" s="80">
        <v>70.099999999999994</v>
      </c>
    </row>
    <row r="76" spans="1:2" x14ac:dyDescent="0.25">
      <c r="A76" t="s">
        <v>511</v>
      </c>
      <c r="B76" s="80">
        <v>69.989999999999995</v>
      </c>
    </row>
    <row r="77" spans="1:2" x14ac:dyDescent="0.25">
      <c r="A77" t="s">
        <v>512</v>
      </c>
      <c r="B77" s="80">
        <v>70.180000000000007</v>
      </c>
    </row>
    <row r="78" spans="1:2" x14ac:dyDescent="0.25">
      <c r="A78" t="s">
        <v>513</v>
      </c>
      <c r="B78" s="80">
        <v>69.83</v>
      </c>
    </row>
    <row r="79" spans="1:2" x14ac:dyDescent="0.25">
      <c r="A79" t="s">
        <v>514</v>
      </c>
      <c r="B79" s="80">
        <v>70.16</v>
      </c>
    </row>
    <row r="80" spans="1:2" x14ac:dyDescent="0.25">
      <c r="A80" t="s">
        <v>515</v>
      </c>
      <c r="B80" s="80">
        <v>69.84</v>
      </c>
    </row>
    <row r="81" spans="1:2" x14ac:dyDescent="0.25">
      <c r="A81" t="s">
        <v>516</v>
      </c>
      <c r="B81" s="80">
        <v>69.739999999999995</v>
      </c>
    </row>
    <row r="82" spans="1:2" x14ac:dyDescent="0.25">
      <c r="A82" t="s">
        <v>517</v>
      </c>
      <c r="B82" s="80">
        <v>70.569999999999993</v>
      </c>
    </row>
    <row r="83" spans="1:2" x14ac:dyDescent="0.25">
      <c r="A83" t="s">
        <v>518</v>
      </c>
      <c r="B83" s="80">
        <v>70.61</v>
      </c>
    </row>
    <row r="84" spans="1:2" x14ac:dyDescent="0.25">
      <c r="A84" t="s">
        <v>519</v>
      </c>
      <c r="B84" s="80">
        <v>71.430000000000007</v>
      </c>
    </row>
    <row r="85" spans="1:2" x14ac:dyDescent="0.25">
      <c r="A85" t="s">
        <v>520</v>
      </c>
      <c r="B85" s="80">
        <v>73.16</v>
      </c>
    </row>
    <row r="86" spans="1:2" x14ac:dyDescent="0.25">
      <c r="A86" t="s">
        <v>521</v>
      </c>
      <c r="B86" s="80">
        <v>73.95</v>
      </c>
    </row>
    <row r="87" spans="1:2" x14ac:dyDescent="0.25">
      <c r="A87" t="s">
        <v>522</v>
      </c>
      <c r="B87" s="80">
        <v>74.53</v>
      </c>
    </row>
    <row r="88" spans="1:2" x14ac:dyDescent="0.25">
      <c r="A88" t="s">
        <v>523</v>
      </c>
      <c r="B88" s="80">
        <v>75.2</v>
      </c>
    </row>
    <row r="89" spans="1:2" x14ac:dyDescent="0.25">
      <c r="A89" t="s">
        <v>524</v>
      </c>
      <c r="B89" s="80">
        <v>74.959999999999994</v>
      </c>
    </row>
    <row r="90" spans="1:2" x14ac:dyDescent="0.25">
      <c r="A90" t="s">
        <v>525</v>
      </c>
      <c r="B90" s="80">
        <v>74.69</v>
      </c>
    </row>
    <row r="91" spans="1:2" x14ac:dyDescent="0.25">
      <c r="A91" t="s">
        <v>526</v>
      </c>
      <c r="B91" s="80">
        <v>74.400000000000006</v>
      </c>
    </row>
    <row r="92" spans="1:2" x14ac:dyDescent="0.25">
      <c r="A92" t="s">
        <v>527</v>
      </c>
      <c r="B92" s="80">
        <v>74.08</v>
      </c>
    </row>
    <row r="93" spans="1:2" x14ac:dyDescent="0.25">
      <c r="A93" t="s">
        <v>528</v>
      </c>
      <c r="B93" s="80">
        <v>74.37</v>
      </c>
    </row>
    <row r="94" spans="1:2" x14ac:dyDescent="0.25">
      <c r="A94" t="s">
        <v>529</v>
      </c>
      <c r="B94" s="80">
        <v>74.72</v>
      </c>
    </row>
    <row r="95" spans="1:2" x14ac:dyDescent="0.25">
      <c r="A95" t="s">
        <v>530</v>
      </c>
      <c r="B95" s="80">
        <v>74.790000000000006</v>
      </c>
    </row>
    <row r="96" spans="1:2" x14ac:dyDescent="0.25">
      <c r="A96" t="s">
        <v>531</v>
      </c>
      <c r="B96" s="80">
        <v>74.98</v>
      </c>
    </row>
    <row r="97" spans="1:2" x14ac:dyDescent="0.25">
      <c r="A97" t="s">
        <v>532</v>
      </c>
      <c r="B97" s="80">
        <v>74.94</v>
      </c>
    </row>
    <row r="98" spans="1:2" x14ac:dyDescent="0.25">
      <c r="A98" t="s">
        <v>533</v>
      </c>
      <c r="B98" s="80">
        <v>74.37</v>
      </c>
    </row>
    <row r="99" spans="1:2" x14ac:dyDescent="0.25">
      <c r="A99" t="s">
        <v>534</v>
      </c>
      <c r="B99" s="80">
        <v>73.88</v>
      </c>
    </row>
    <row r="100" spans="1:2" x14ac:dyDescent="0.25">
      <c r="A100" t="s">
        <v>535</v>
      </c>
      <c r="B100" s="80">
        <v>74.09</v>
      </c>
    </row>
    <row r="101" spans="1:2" x14ac:dyDescent="0.25">
      <c r="A101" t="s">
        <v>536</v>
      </c>
      <c r="B101" s="80">
        <v>74.97</v>
      </c>
    </row>
    <row r="102" spans="1:2" x14ac:dyDescent="0.25">
      <c r="A102" t="s">
        <v>537</v>
      </c>
      <c r="B102" s="80">
        <v>75.91</v>
      </c>
    </row>
    <row r="103" spans="1:2" x14ac:dyDescent="0.25">
      <c r="A103" t="s">
        <v>538</v>
      </c>
      <c r="B103" s="80">
        <v>75.83</v>
      </c>
    </row>
    <row r="104" spans="1:2" x14ac:dyDescent="0.25">
      <c r="A104" t="s">
        <v>539</v>
      </c>
      <c r="B104" s="80">
        <v>77.010000000000005</v>
      </c>
    </row>
    <row r="105" spans="1:2" x14ac:dyDescent="0.25">
      <c r="A105" t="s">
        <v>540</v>
      </c>
      <c r="B105" s="80">
        <v>77.92</v>
      </c>
    </row>
    <row r="106" spans="1:2" x14ac:dyDescent="0.25">
      <c r="A106" t="s">
        <v>541</v>
      </c>
      <c r="B106" s="80">
        <v>79.010000000000005</v>
      </c>
    </row>
    <row r="107" spans="1:2" x14ac:dyDescent="0.25">
      <c r="A107" t="s">
        <v>542</v>
      </c>
      <c r="B107" s="80">
        <v>79.92</v>
      </c>
    </row>
    <row r="108" spans="1:2" x14ac:dyDescent="0.25">
      <c r="A108" t="s">
        <v>543</v>
      </c>
      <c r="B108" s="80">
        <v>79.69</v>
      </c>
    </row>
    <row r="109" spans="1:2" x14ac:dyDescent="0.25">
      <c r="A109" t="s">
        <v>544</v>
      </c>
      <c r="B109" s="80">
        <v>80</v>
      </c>
    </row>
    <row r="110" spans="1:2" x14ac:dyDescent="0.25">
      <c r="A110" t="s">
        <v>545</v>
      </c>
      <c r="B110" s="80">
        <v>81.12</v>
      </c>
    </row>
    <row r="111" spans="1:2" x14ac:dyDescent="0.25">
      <c r="A111" t="s">
        <v>546</v>
      </c>
      <c r="B111" s="80">
        <v>82.26</v>
      </c>
    </row>
    <row r="112" spans="1:2" x14ac:dyDescent="0.25">
      <c r="A112" t="s">
        <v>547</v>
      </c>
      <c r="B112" s="80">
        <v>84.91</v>
      </c>
    </row>
    <row r="113" spans="1:2" x14ac:dyDescent="0.25">
      <c r="A113" t="s">
        <v>548</v>
      </c>
      <c r="B113" s="80">
        <v>84.8</v>
      </c>
    </row>
    <row r="114" spans="1:2" x14ac:dyDescent="0.25">
      <c r="A114" t="s">
        <v>549</v>
      </c>
      <c r="B114" s="80">
        <v>86.99</v>
      </c>
    </row>
    <row r="115" spans="1:2" x14ac:dyDescent="0.25">
      <c r="A115" t="s">
        <v>550</v>
      </c>
      <c r="B115" s="80">
        <v>88.36</v>
      </c>
    </row>
    <row r="116" spans="1:2" x14ac:dyDescent="0.25">
      <c r="A116" t="s">
        <v>551</v>
      </c>
      <c r="B116" s="80">
        <v>87.42</v>
      </c>
    </row>
    <row r="117" spans="1:2" x14ac:dyDescent="0.25">
      <c r="A117" t="s">
        <v>552</v>
      </c>
      <c r="B117" s="80">
        <v>84.5</v>
      </c>
    </row>
    <row r="118" spans="1:2" x14ac:dyDescent="0.25">
      <c r="A118" t="s">
        <v>553</v>
      </c>
      <c r="B118" s="80">
        <v>82.22</v>
      </c>
    </row>
    <row r="119" spans="1:2" x14ac:dyDescent="0.25">
      <c r="A119" t="s">
        <v>554</v>
      </c>
      <c r="B119" s="80">
        <v>85.18</v>
      </c>
    </row>
    <row r="120" spans="1:2" x14ac:dyDescent="0.25">
      <c r="A120" t="s">
        <v>555</v>
      </c>
      <c r="B120" s="80">
        <v>85.29</v>
      </c>
    </row>
    <row r="121" spans="1:2" x14ac:dyDescent="0.25">
      <c r="A121" t="s">
        <v>556</v>
      </c>
      <c r="B121" s="80">
        <v>86.81</v>
      </c>
    </row>
    <row r="122" spans="1:2" x14ac:dyDescent="0.25">
      <c r="A122" t="s">
        <v>557</v>
      </c>
      <c r="B122" s="80">
        <v>85.89</v>
      </c>
    </row>
    <row r="123" spans="1:2" x14ac:dyDescent="0.25">
      <c r="A123" t="s">
        <v>558</v>
      </c>
      <c r="B123" s="80">
        <v>85.57</v>
      </c>
    </row>
    <row r="124" spans="1:2" x14ac:dyDescent="0.25">
      <c r="A124" t="s">
        <v>559</v>
      </c>
      <c r="B124" s="80">
        <v>86.14</v>
      </c>
    </row>
    <row r="125" spans="1:2" x14ac:dyDescent="0.25">
      <c r="A125" t="s">
        <v>560</v>
      </c>
      <c r="B125" s="80">
        <v>85.46</v>
      </c>
    </row>
    <row r="126" spans="1:2" x14ac:dyDescent="0.25">
      <c r="A126" t="s">
        <v>561</v>
      </c>
      <c r="B126" s="80">
        <v>84.99</v>
      </c>
    </row>
    <row r="127" spans="1:2" x14ac:dyDescent="0.25">
      <c r="A127" t="s">
        <v>562</v>
      </c>
      <c r="B127" s="80">
        <v>84.12</v>
      </c>
    </row>
    <row r="128" spans="1:2" x14ac:dyDescent="0.25">
      <c r="A128" t="s">
        <v>563</v>
      </c>
      <c r="B128" s="80">
        <v>85.02</v>
      </c>
    </row>
    <row r="129" spans="1:2" x14ac:dyDescent="0.25">
      <c r="A129" t="s">
        <v>564</v>
      </c>
      <c r="B129" s="80">
        <v>86.34</v>
      </c>
    </row>
    <row r="130" spans="1:2" x14ac:dyDescent="0.25">
      <c r="A130" t="s">
        <v>565</v>
      </c>
      <c r="B130" s="80">
        <v>88.13</v>
      </c>
    </row>
    <row r="131" spans="1:2" x14ac:dyDescent="0.25">
      <c r="A131" t="s">
        <v>566</v>
      </c>
      <c r="B131" s="80">
        <v>88.05</v>
      </c>
    </row>
    <row r="132" spans="1:2" x14ac:dyDescent="0.25">
      <c r="A132" t="s">
        <v>567</v>
      </c>
      <c r="B132" s="80">
        <v>88.28</v>
      </c>
    </row>
    <row r="133" spans="1:2" x14ac:dyDescent="0.25">
      <c r="A133" t="s">
        <v>568</v>
      </c>
      <c r="B133" s="80">
        <v>88.94</v>
      </c>
    </row>
    <row r="134" spans="1:2" x14ac:dyDescent="0.25">
      <c r="A134" t="s">
        <v>569</v>
      </c>
      <c r="B134" s="80">
        <v>89.96</v>
      </c>
    </row>
    <row r="135" spans="1:2" x14ac:dyDescent="0.25">
      <c r="A135" t="s">
        <v>570</v>
      </c>
      <c r="B135" s="80">
        <v>88.74</v>
      </c>
    </row>
    <row r="136" spans="1:2" x14ac:dyDescent="0.25">
      <c r="A136" t="s">
        <v>571</v>
      </c>
      <c r="B136" s="80">
        <v>88.06</v>
      </c>
    </row>
    <row r="137" spans="1:2" x14ac:dyDescent="0.25">
      <c r="A137" t="s">
        <v>572</v>
      </c>
      <c r="B137" s="80">
        <v>87.63</v>
      </c>
    </row>
    <row r="138" spans="1:2" x14ac:dyDescent="0.25">
      <c r="A138" t="s">
        <v>573</v>
      </c>
      <c r="B138" s="80">
        <v>87</v>
      </c>
    </row>
    <row r="139" spans="1:2" x14ac:dyDescent="0.25">
      <c r="A139" t="s">
        <v>574</v>
      </c>
      <c r="B139" s="80">
        <v>87.01</v>
      </c>
    </row>
    <row r="140" spans="1:2" x14ac:dyDescent="0.25">
      <c r="A140" t="s">
        <v>575</v>
      </c>
      <c r="B140" s="80">
        <v>89.02</v>
      </c>
    </row>
    <row r="141" spans="1:2" x14ac:dyDescent="0.25">
      <c r="A141" t="s">
        <v>576</v>
      </c>
      <c r="B141" s="80">
        <v>91.31</v>
      </c>
    </row>
    <row r="142" spans="1:2" x14ac:dyDescent="0.25">
      <c r="A142" t="s">
        <v>577</v>
      </c>
      <c r="B142" s="80">
        <v>92.46</v>
      </c>
    </row>
    <row r="143" spans="1:2" x14ac:dyDescent="0.25">
      <c r="A143" t="s">
        <v>578</v>
      </c>
      <c r="B143" s="80">
        <v>93.94</v>
      </c>
    </row>
    <row r="144" spans="1:2" x14ac:dyDescent="0.25">
      <c r="A144" t="s">
        <v>579</v>
      </c>
      <c r="B144" s="80">
        <v>95.53</v>
      </c>
    </row>
    <row r="145" spans="1:2" x14ac:dyDescent="0.25">
      <c r="A145" t="s">
        <v>580</v>
      </c>
      <c r="B145" s="80">
        <v>96.22</v>
      </c>
    </row>
    <row r="146" spans="1:2" x14ac:dyDescent="0.25">
      <c r="A146" t="s">
        <v>581</v>
      </c>
      <c r="B146" s="80">
        <v>97.67</v>
      </c>
    </row>
    <row r="147" spans="1:2" x14ac:dyDescent="0.25">
      <c r="A147" t="s">
        <v>582</v>
      </c>
      <c r="B147" s="80">
        <v>96.34</v>
      </c>
    </row>
    <row r="148" spans="1:2" x14ac:dyDescent="0.25">
      <c r="A148" t="s">
        <v>583</v>
      </c>
      <c r="B148" s="80">
        <v>95.43</v>
      </c>
    </row>
    <row r="149" spans="1:2" x14ac:dyDescent="0.25">
      <c r="A149" t="s">
        <v>584</v>
      </c>
      <c r="B149" s="80">
        <v>95.74</v>
      </c>
    </row>
    <row r="150" spans="1:2" x14ac:dyDescent="0.25">
      <c r="A150" t="s">
        <v>585</v>
      </c>
      <c r="B150" s="80">
        <v>96.38</v>
      </c>
    </row>
    <row r="151" spans="1:2" x14ac:dyDescent="0.25">
      <c r="A151" t="s">
        <v>586</v>
      </c>
      <c r="B151" s="80">
        <v>98.18</v>
      </c>
    </row>
    <row r="152" spans="1:2" x14ac:dyDescent="0.25">
      <c r="A152" t="s">
        <v>587</v>
      </c>
      <c r="B152" s="80">
        <v>98.83</v>
      </c>
    </row>
    <row r="153" spans="1:2" x14ac:dyDescent="0.25">
      <c r="A153" t="s">
        <v>588</v>
      </c>
      <c r="B153" s="80">
        <v>99.21</v>
      </c>
    </row>
    <row r="154" spans="1:2" x14ac:dyDescent="0.25">
      <c r="A154" t="s">
        <v>589</v>
      </c>
      <c r="B154" s="80">
        <v>97.67</v>
      </c>
    </row>
    <row r="155" spans="1:2" x14ac:dyDescent="0.25">
      <c r="A155" t="s">
        <v>590</v>
      </c>
      <c r="B155" s="80">
        <v>97.81</v>
      </c>
    </row>
    <row r="156" spans="1:2" x14ac:dyDescent="0.25">
      <c r="A156" t="s">
        <v>591</v>
      </c>
      <c r="B156" s="80">
        <v>97.66</v>
      </c>
    </row>
    <row r="157" spans="1:2" x14ac:dyDescent="0.25">
      <c r="A157" t="s">
        <v>592</v>
      </c>
      <c r="B157" s="80">
        <v>98.1</v>
      </c>
    </row>
    <row r="158" spans="1:2" x14ac:dyDescent="0.25">
      <c r="A158" t="s">
        <v>593</v>
      </c>
      <c r="B158" s="80">
        <v>97.68</v>
      </c>
    </row>
    <row r="159" spans="1:2" x14ac:dyDescent="0.25">
      <c r="A159" t="s">
        <v>594</v>
      </c>
      <c r="B159" s="80">
        <v>95.12</v>
      </c>
    </row>
    <row r="160" spans="1:2" x14ac:dyDescent="0.25">
      <c r="A160" t="s">
        <v>595</v>
      </c>
      <c r="B160" s="80">
        <v>93.55</v>
      </c>
    </row>
    <row r="161" spans="1:2" x14ac:dyDescent="0.25">
      <c r="A161" t="s">
        <v>596</v>
      </c>
      <c r="B161" s="80">
        <v>94.89</v>
      </c>
    </row>
    <row r="162" spans="1:2" x14ac:dyDescent="0.25">
      <c r="A162" t="s">
        <v>597</v>
      </c>
      <c r="B162" s="80">
        <v>96.39</v>
      </c>
    </row>
    <row r="163" spans="1:2" x14ac:dyDescent="0.25">
      <c r="A163" t="s">
        <v>598</v>
      </c>
      <c r="B163" s="80">
        <v>96.26</v>
      </c>
    </row>
    <row r="164" spans="1:2" x14ac:dyDescent="0.25">
      <c r="A164" t="s">
        <v>599</v>
      </c>
      <c r="B164" s="80">
        <v>95.5</v>
      </c>
    </row>
    <row r="165" spans="1:2" x14ac:dyDescent="0.25">
      <c r="A165" t="s">
        <v>600</v>
      </c>
      <c r="B165" s="80">
        <v>94.39</v>
      </c>
    </row>
    <row r="166" spans="1:2" x14ac:dyDescent="0.25">
      <c r="A166" t="s">
        <v>601</v>
      </c>
      <c r="B166" s="80">
        <v>94.24</v>
      </c>
    </row>
    <row r="167" spans="1:2" x14ac:dyDescent="0.25">
      <c r="A167" t="s">
        <v>602</v>
      </c>
      <c r="B167" s="80">
        <v>94.77</v>
      </c>
    </row>
    <row r="168" spans="1:2" x14ac:dyDescent="0.25">
      <c r="A168" t="s">
        <v>603</v>
      </c>
      <c r="B168" s="80">
        <v>95.69</v>
      </c>
    </row>
    <row r="169" spans="1:2" x14ac:dyDescent="0.25">
      <c r="A169" t="s">
        <v>604</v>
      </c>
      <c r="B169" s="80">
        <v>95.02</v>
      </c>
    </row>
    <row r="170" spans="1:2" x14ac:dyDescent="0.25">
      <c r="A170" t="s">
        <v>605</v>
      </c>
      <c r="B170" s="80">
        <v>94.77</v>
      </c>
    </row>
    <row r="171" spans="1:2" x14ac:dyDescent="0.25">
      <c r="A171" t="s">
        <v>606</v>
      </c>
      <c r="B171" s="80">
        <v>95.5</v>
      </c>
    </row>
    <row r="172" spans="1:2" x14ac:dyDescent="0.25">
      <c r="A172" t="s">
        <v>607</v>
      </c>
      <c r="B172" s="80">
        <v>95.21</v>
      </c>
    </row>
    <row r="173" spans="1:2" x14ac:dyDescent="0.25">
      <c r="A173" t="s">
        <v>608</v>
      </c>
      <c r="B173" s="80">
        <v>95.48</v>
      </c>
    </row>
    <row r="174" spans="1:2" x14ac:dyDescent="0.25">
      <c r="A174" t="s">
        <v>609</v>
      </c>
      <c r="B174" s="80">
        <v>95.93</v>
      </c>
    </row>
    <row r="175" spans="1:2" x14ac:dyDescent="0.25">
      <c r="A175" t="s">
        <v>610</v>
      </c>
      <c r="B175" s="80">
        <v>94.73</v>
      </c>
    </row>
    <row r="176" spans="1:2" x14ac:dyDescent="0.25">
      <c r="A176" t="s">
        <v>611</v>
      </c>
      <c r="B176" s="80">
        <v>94.53</v>
      </c>
    </row>
    <row r="177" spans="1:2" x14ac:dyDescent="0.25">
      <c r="A177" t="s">
        <v>612</v>
      </c>
      <c r="B177" s="80">
        <v>94.32</v>
      </c>
    </row>
    <row r="178" spans="1:2" x14ac:dyDescent="0.25">
      <c r="A178" t="s">
        <v>613</v>
      </c>
      <c r="B178" s="80">
        <v>95.18</v>
      </c>
    </row>
    <row r="179" spans="1:2" x14ac:dyDescent="0.25">
      <c r="A179" t="s">
        <v>614</v>
      </c>
      <c r="B179" s="80">
        <v>96.57</v>
      </c>
    </row>
    <row r="180" spans="1:2" x14ac:dyDescent="0.25">
      <c r="A180" t="s">
        <v>615</v>
      </c>
      <c r="B180" s="80">
        <v>98.16</v>
      </c>
    </row>
    <row r="181" spans="1:2" x14ac:dyDescent="0.25">
      <c r="A181" t="s">
        <v>616</v>
      </c>
      <c r="B181" s="80">
        <v>98.04</v>
      </c>
    </row>
    <row r="182" spans="1:2" x14ac:dyDescent="0.25">
      <c r="A182" t="s">
        <v>617</v>
      </c>
      <c r="B182" s="80">
        <v>97.86</v>
      </c>
    </row>
    <row r="183" spans="1:2" x14ac:dyDescent="0.25">
      <c r="A183" t="s">
        <v>618</v>
      </c>
      <c r="B183" s="80">
        <v>97.4</v>
      </c>
    </row>
    <row r="184" spans="1:2" x14ac:dyDescent="0.25">
      <c r="A184" t="s">
        <v>619</v>
      </c>
      <c r="B184" s="80">
        <v>97.08</v>
      </c>
    </row>
    <row r="185" spans="1:2" x14ac:dyDescent="0.25">
      <c r="A185" t="s">
        <v>620</v>
      </c>
      <c r="B185" s="80">
        <v>97.82</v>
      </c>
    </row>
    <row r="186" spans="1:2" x14ac:dyDescent="0.25">
      <c r="A186" t="s">
        <v>621</v>
      </c>
      <c r="B186" s="80">
        <v>98.45</v>
      </c>
    </row>
    <row r="187" spans="1:2" x14ac:dyDescent="0.25">
      <c r="A187" t="s">
        <v>622</v>
      </c>
      <c r="B187" s="80">
        <v>98.71</v>
      </c>
    </row>
    <row r="188" spans="1:2" x14ac:dyDescent="0.25">
      <c r="A188" t="s">
        <v>623</v>
      </c>
      <c r="B188" s="80">
        <v>98.06</v>
      </c>
    </row>
    <row r="189" spans="1:2" x14ac:dyDescent="0.25">
      <c r="A189" t="s">
        <v>624</v>
      </c>
      <c r="B189" s="80">
        <v>100</v>
      </c>
    </row>
    <row r="190" spans="1:2" x14ac:dyDescent="0.25">
      <c r="A190" t="s">
        <v>625</v>
      </c>
      <c r="B190" s="80">
        <v>98.72</v>
      </c>
    </row>
    <row r="191" spans="1:2" x14ac:dyDescent="0.25">
      <c r="A191" t="s">
        <v>626</v>
      </c>
      <c r="B191" s="80">
        <v>96.77</v>
      </c>
    </row>
    <row r="192" spans="1:2" x14ac:dyDescent="0.25">
      <c r="A192" t="s">
        <v>627</v>
      </c>
      <c r="B192" s="80">
        <v>100.44</v>
      </c>
    </row>
    <row r="193" spans="1:2" x14ac:dyDescent="0.25">
      <c r="A193" t="s">
        <v>628</v>
      </c>
      <c r="B193" s="80">
        <v>99.08</v>
      </c>
    </row>
    <row r="194" spans="1:2" x14ac:dyDescent="0.25">
      <c r="A194" t="s">
        <v>629</v>
      </c>
      <c r="B194" s="80">
        <v>99.05</v>
      </c>
    </row>
    <row r="195" spans="1:2" x14ac:dyDescent="0.25">
      <c r="A195" t="s">
        <v>630</v>
      </c>
      <c r="B195" s="80">
        <v>101.07</v>
      </c>
    </row>
    <row r="196" spans="1:2" x14ac:dyDescent="0.25">
      <c r="A196" t="s">
        <v>631</v>
      </c>
      <c r="B196" s="80">
        <v>102.33</v>
      </c>
    </row>
    <row r="197" spans="1:2" x14ac:dyDescent="0.25">
      <c r="A197" t="s">
        <v>632</v>
      </c>
      <c r="B197" s="80">
        <v>104.39</v>
      </c>
    </row>
    <row r="198" spans="1:2" x14ac:dyDescent="0.25">
      <c r="A198" t="s">
        <v>633</v>
      </c>
      <c r="B198" s="80">
        <v>104.38</v>
      </c>
    </row>
    <row r="199" spans="1:2" x14ac:dyDescent="0.25">
      <c r="A199" t="s">
        <v>634</v>
      </c>
      <c r="B199" s="80">
        <v>103.37</v>
      </c>
    </row>
    <row r="200" spans="1:2" x14ac:dyDescent="0.25">
      <c r="A200" t="s">
        <v>635</v>
      </c>
      <c r="B200" s="80">
        <v>103.89</v>
      </c>
    </row>
    <row r="201" spans="1:2" x14ac:dyDescent="0.25">
      <c r="A201" t="s">
        <v>636</v>
      </c>
      <c r="B201" s="80">
        <v>105.48</v>
      </c>
    </row>
    <row r="202" spans="1:2" x14ac:dyDescent="0.25">
      <c r="A202" t="s">
        <v>637</v>
      </c>
      <c r="B202" s="80">
        <v>105.32</v>
      </c>
    </row>
    <row r="203" spans="1:2" x14ac:dyDescent="0.25">
      <c r="A203" t="s">
        <v>638</v>
      </c>
      <c r="B203" s="80">
        <v>105.74</v>
      </c>
    </row>
    <row r="204" spans="1:2" x14ac:dyDescent="0.25">
      <c r="A204" t="s">
        <v>639</v>
      </c>
      <c r="B204" s="80">
        <v>106.19</v>
      </c>
    </row>
    <row r="205" spans="1:2" x14ac:dyDescent="0.25">
      <c r="A205" t="s">
        <v>640</v>
      </c>
      <c r="B205" s="80">
        <v>105.76</v>
      </c>
    </row>
    <row r="206" spans="1:2" x14ac:dyDescent="0.25">
      <c r="A206" t="s">
        <v>641</v>
      </c>
      <c r="B206" s="80">
        <v>107.12</v>
      </c>
    </row>
    <row r="207" spans="1:2" x14ac:dyDescent="0.25">
      <c r="A207" t="s">
        <v>642</v>
      </c>
      <c r="B207" s="80">
        <v>108.1</v>
      </c>
    </row>
    <row r="208" spans="1:2" x14ac:dyDescent="0.25">
      <c r="A208" t="s">
        <v>643</v>
      </c>
      <c r="B208" s="80">
        <v>108.38</v>
      </c>
    </row>
    <row r="209" spans="1:3" x14ac:dyDescent="0.25">
      <c r="A209" t="s">
        <v>644</v>
      </c>
      <c r="B209" s="80">
        <v>107.15</v>
      </c>
    </row>
    <row r="210" spans="1:3" x14ac:dyDescent="0.25">
      <c r="A210" t="s">
        <v>645</v>
      </c>
      <c r="B210" s="80">
        <v>106.9</v>
      </c>
    </row>
    <row r="211" spans="1:3" x14ac:dyDescent="0.25">
      <c r="A211" t="s">
        <v>646</v>
      </c>
      <c r="B211" s="80">
        <v>107.19</v>
      </c>
    </row>
    <row r="212" spans="1:3" x14ac:dyDescent="0.25">
      <c r="A212" t="s">
        <v>647</v>
      </c>
      <c r="B212" s="80">
        <v>109.24</v>
      </c>
    </row>
    <row r="213" spans="1:3" x14ac:dyDescent="0.25">
      <c r="A213" t="s">
        <v>648</v>
      </c>
      <c r="B213" s="80">
        <v>107.76</v>
      </c>
    </row>
    <row r="214" spans="1:3" x14ac:dyDescent="0.25">
      <c r="A214" t="s">
        <v>649</v>
      </c>
      <c r="B214" s="80">
        <v>108.12</v>
      </c>
    </row>
    <row r="215" spans="1:3" x14ac:dyDescent="0.25">
      <c r="A215" t="s">
        <v>650</v>
      </c>
      <c r="B215" s="80">
        <v>107.48</v>
      </c>
    </row>
    <row r="216" spans="1:3" x14ac:dyDescent="0.25">
      <c r="A216" t="s">
        <v>651</v>
      </c>
      <c r="B216" s="80">
        <v>107.31</v>
      </c>
    </row>
    <row r="217" spans="1:3" x14ac:dyDescent="0.25">
      <c r="A217" t="s">
        <v>652</v>
      </c>
      <c r="B217" s="80">
        <v>106.87</v>
      </c>
    </row>
    <row r="218" spans="1:3" x14ac:dyDescent="0.25">
      <c r="A218" t="s">
        <v>653</v>
      </c>
      <c r="B218" s="80">
        <v>106.39</v>
      </c>
    </row>
    <row r="219" spans="1:3" x14ac:dyDescent="0.25">
      <c r="A219" t="s">
        <v>654</v>
      </c>
      <c r="B219" s="80">
        <v>105.86</v>
      </c>
    </row>
    <row r="220" spans="1:3" x14ac:dyDescent="0.25">
      <c r="A220" t="s">
        <v>655</v>
      </c>
      <c r="B220" s="80">
        <v>107.1</v>
      </c>
    </row>
    <row r="221" spans="1:3" x14ac:dyDescent="0.25">
      <c r="A221" t="s">
        <v>656</v>
      </c>
      <c r="B221" s="80">
        <v>107.7</v>
      </c>
      <c r="C221">
        <f t="shared" ref="C221:C224" si="0">$B$310/B220</f>
        <v>1.758450046685341</v>
      </c>
    </row>
    <row r="222" spans="1:3" x14ac:dyDescent="0.25">
      <c r="A222" t="s">
        <v>657</v>
      </c>
      <c r="B222" s="80">
        <v>108.17</v>
      </c>
      <c r="C222">
        <f t="shared" si="0"/>
        <v>1.7486536675951718</v>
      </c>
    </row>
    <row r="223" spans="1:3" x14ac:dyDescent="0.25">
      <c r="A223" t="s">
        <v>658</v>
      </c>
      <c r="B223" s="80">
        <v>109.04</v>
      </c>
      <c r="C223">
        <f t="shared" si="0"/>
        <v>1.7410557455856523</v>
      </c>
    </row>
    <row r="224" spans="1:3" x14ac:dyDescent="0.25">
      <c r="A224" t="s">
        <v>659</v>
      </c>
      <c r="B224" s="80">
        <v>110.76</v>
      </c>
      <c r="C224">
        <f t="shared" si="0"/>
        <v>1.7271643433602348</v>
      </c>
    </row>
    <row r="225" spans="1:3" x14ac:dyDescent="0.25">
      <c r="A225" t="s">
        <v>660</v>
      </c>
      <c r="B225" s="80">
        <v>111.29</v>
      </c>
      <c r="C225">
        <f t="shared" ref="C225:C260" si="1">$B$310/B224</f>
        <v>1.7003430841459011</v>
      </c>
    </row>
    <row r="226" spans="1:3" x14ac:dyDescent="0.25">
      <c r="A226" t="s">
        <v>661</v>
      </c>
      <c r="B226" s="80">
        <v>111.5</v>
      </c>
      <c r="C226">
        <f t="shared" si="1"/>
        <v>1.6922454847695212</v>
      </c>
    </row>
    <row r="227" spans="1:3" x14ac:dyDescent="0.25">
      <c r="A227" t="s">
        <v>662</v>
      </c>
      <c r="B227" s="80">
        <v>111.35</v>
      </c>
      <c r="C227">
        <f t="shared" si="1"/>
        <v>1.6890582959641256</v>
      </c>
    </row>
    <row r="228" spans="1:3" x14ac:dyDescent="0.25">
      <c r="A228" t="s">
        <v>663</v>
      </c>
      <c r="B228" s="80">
        <v>111.14</v>
      </c>
      <c r="C228">
        <f t="shared" si="1"/>
        <v>1.6913336326897173</v>
      </c>
    </row>
    <row r="229" spans="1:3" x14ac:dyDescent="0.25">
      <c r="A229" t="s">
        <v>664</v>
      </c>
      <c r="B229" s="80">
        <v>111.41</v>
      </c>
      <c r="C229">
        <f t="shared" si="1"/>
        <v>1.694529422350189</v>
      </c>
    </row>
    <row r="230" spans="1:3" x14ac:dyDescent="0.25">
      <c r="A230" t="s">
        <v>665</v>
      </c>
      <c r="B230" s="80">
        <v>113.86</v>
      </c>
      <c r="C230">
        <f t="shared" si="1"/>
        <v>1.6904227627681538</v>
      </c>
    </row>
    <row r="231" spans="1:3" x14ac:dyDescent="0.25">
      <c r="A231" t="s">
        <v>666</v>
      </c>
      <c r="B231" s="80">
        <v>113.72</v>
      </c>
      <c r="C231">
        <f t="shared" si="1"/>
        <v>1.6540488318988231</v>
      </c>
    </row>
    <row r="232" spans="1:3" x14ac:dyDescent="0.25">
      <c r="A232" t="s">
        <v>667</v>
      </c>
      <c r="B232" s="80">
        <v>113.45</v>
      </c>
      <c r="C232">
        <f t="shared" si="1"/>
        <v>1.656085121350686</v>
      </c>
    </row>
    <row r="233" spans="1:3" x14ac:dyDescent="0.25">
      <c r="A233" t="s">
        <v>668</v>
      </c>
      <c r="B233" s="80">
        <v>113.26</v>
      </c>
      <c r="C233">
        <f t="shared" si="1"/>
        <v>1.6600264433671221</v>
      </c>
    </row>
    <row r="234" spans="1:3" x14ac:dyDescent="0.25">
      <c r="A234" t="s">
        <v>669</v>
      </c>
      <c r="B234" s="80">
        <v>115.97</v>
      </c>
      <c r="C234">
        <f t="shared" si="1"/>
        <v>1.6628112307963978</v>
      </c>
    </row>
    <row r="235" spans="1:3" x14ac:dyDescent="0.25">
      <c r="A235" t="s">
        <v>670</v>
      </c>
      <c r="B235" s="80">
        <v>117.52</v>
      </c>
      <c r="C235">
        <f t="shared" si="1"/>
        <v>1.6239544709838754</v>
      </c>
    </row>
    <row r="236" spans="1:3" x14ac:dyDescent="0.25">
      <c r="A236" t="s">
        <v>671</v>
      </c>
      <c r="B236" s="80">
        <v>115.67</v>
      </c>
      <c r="C236">
        <f t="shared" si="1"/>
        <v>1.6025357385976857</v>
      </c>
    </row>
    <row r="237" spans="1:3" x14ac:dyDescent="0.25">
      <c r="A237" t="s">
        <v>672</v>
      </c>
      <c r="B237" s="80">
        <v>113.86</v>
      </c>
      <c r="C237">
        <f t="shared" si="1"/>
        <v>1.6281663352641136</v>
      </c>
    </row>
    <row r="238" spans="1:3" x14ac:dyDescent="0.25">
      <c r="A238" t="s">
        <v>673</v>
      </c>
      <c r="B238" s="80">
        <v>114.53</v>
      </c>
      <c r="C238">
        <f t="shared" si="1"/>
        <v>1.6540488318988231</v>
      </c>
    </row>
    <row r="239" spans="1:3" x14ac:dyDescent="0.25">
      <c r="A239" t="s">
        <v>674</v>
      </c>
      <c r="B239" s="80">
        <v>115.6</v>
      </c>
      <c r="C239">
        <f t="shared" si="1"/>
        <v>1.6443726534532437</v>
      </c>
    </row>
    <row r="240" spans="1:3" x14ac:dyDescent="0.25">
      <c r="A240" t="s">
        <v>675</v>
      </c>
      <c r="B240" s="80">
        <v>116.37</v>
      </c>
      <c r="C240">
        <f t="shared" si="1"/>
        <v>1.6291522491349484</v>
      </c>
    </row>
    <row r="241" spans="1:3" x14ac:dyDescent="0.25">
      <c r="A241" t="s">
        <v>676</v>
      </c>
      <c r="B241" s="80">
        <v>118.03</v>
      </c>
      <c r="C241">
        <f t="shared" si="1"/>
        <v>1.6183724327575837</v>
      </c>
    </row>
    <row r="242" spans="1:3" x14ac:dyDescent="0.25">
      <c r="A242" t="s">
        <v>677</v>
      </c>
      <c r="B242" s="80">
        <v>119.91</v>
      </c>
      <c r="C242">
        <f t="shared" si="1"/>
        <v>1.5956112852664577</v>
      </c>
    </row>
    <row r="243" spans="1:3" x14ac:dyDescent="0.25">
      <c r="A243" t="s">
        <v>678</v>
      </c>
      <c r="B243" s="80">
        <v>117.99</v>
      </c>
      <c r="C243">
        <f t="shared" si="1"/>
        <v>1.5705946126261363</v>
      </c>
    </row>
    <row r="244" spans="1:3" x14ac:dyDescent="0.25">
      <c r="A244" t="s">
        <v>679</v>
      </c>
      <c r="B244" s="80">
        <v>118.68</v>
      </c>
      <c r="C244">
        <f t="shared" si="1"/>
        <v>1.5961522162895163</v>
      </c>
    </row>
    <row r="245" spans="1:3" x14ac:dyDescent="0.25">
      <c r="A245" t="s">
        <v>680</v>
      </c>
      <c r="B245" s="80">
        <v>118.91</v>
      </c>
      <c r="C245">
        <f t="shared" si="1"/>
        <v>1.5868722615436468</v>
      </c>
    </row>
    <row r="246" spans="1:3" x14ac:dyDescent="0.25">
      <c r="A246" t="s">
        <v>681</v>
      </c>
      <c r="B246" s="80">
        <v>120.35</v>
      </c>
      <c r="C246">
        <f t="shared" si="1"/>
        <v>1.5838028761248004</v>
      </c>
    </row>
    <row r="247" spans="1:3" x14ac:dyDescent="0.25">
      <c r="A247" t="s">
        <v>682</v>
      </c>
      <c r="B247" s="80">
        <v>120.34</v>
      </c>
      <c r="C247">
        <f t="shared" si="1"/>
        <v>1.5648525135022853</v>
      </c>
    </row>
    <row r="248" spans="1:3" x14ac:dyDescent="0.25">
      <c r="A248" t="s">
        <v>683</v>
      </c>
      <c r="B248" s="80">
        <v>120.31</v>
      </c>
      <c r="C248">
        <f t="shared" si="1"/>
        <v>1.5649825494432441</v>
      </c>
    </row>
    <row r="249" spans="1:3" x14ac:dyDescent="0.25">
      <c r="A249" t="s">
        <v>684</v>
      </c>
      <c r="B249" s="80">
        <v>120.79</v>
      </c>
      <c r="C249">
        <f t="shared" si="1"/>
        <v>1.565372786967002</v>
      </c>
    </row>
    <row r="250" spans="1:3" x14ac:dyDescent="0.25">
      <c r="A250" t="s">
        <v>685</v>
      </c>
      <c r="B250" s="80">
        <v>119.91</v>
      </c>
      <c r="C250">
        <f t="shared" si="1"/>
        <v>1.5591522477026245</v>
      </c>
    </row>
    <row r="251" spans="1:3" x14ac:dyDescent="0.25">
      <c r="A251" t="s">
        <v>686</v>
      </c>
      <c r="B251" s="80">
        <v>118.69</v>
      </c>
      <c r="C251">
        <f t="shared" si="1"/>
        <v>1.5705946126261363</v>
      </c>
    </row>
    <row r="252" spans="1:3" x14ac:dyDescent="0.25">
      <c r="A252" t="s">
        <v>687</v>
      </c>
      <c r="B252" s="80">
        <v>116.16</v>
      </c>
      <c r="C252">
        <f t="shared" si="1"/>
        <v>1.5867385626421773</v>
      </c>
    </row>
    <row r="253" spans="1:3" x14ac:dyDescent="0.25">
      <c r="A253" t="s">
        <v>688</v>
      </c>
      <c r="B253" s="80">
        <v>112.33</v>
      </c>
      <c r="C253">
        <f t="shared" si="1"/>
        <v>1.6212982093663912</v>
      </c>
    </row>
    <row r="254" spans="1:3" x14ac:dyDescent="0.25">
      <c r="A254" t="s">
        <v>689</v>
      </c>
      <c r="B254" s="80">
        <v>113.73</v>
      </c>
      <c r="C254">
        <f t="shared" si="1"/>
        <v>1.6765779399982197</v>
      </c>
    </row>
    <row r="255" spans="1:3" x14ac:dyDescent="0.25">
      <c r="A255" t="s">
        <v>690</v>
      </c>
      <c r="B255" s="80">
        <v>115.73</v>
      </c>
      <c r="C255">
        <f t="shared" si="1"/>
        <v>1.655939505847182</v>
      </c>
    </row>
    <row r="256" spans="1:3" x14ac:dyDescent="0.25">
      <c r="A256" t="s">
        <v>691</v>
      </c>
      <c r="B256" s="80">
        <v>117.49</v>
      </c>
      <c r="C256">
        <f t="shared" si="1"/>
        <v>1.6273222155015985</v>
      </c>
    </row>
    <row r="257" spans="1:3" x14ac:dyDescent="0.25">
      <c r="A257" t="s">
        <v>692</v>
      </c>
      <c r="B257" s="80">
        <v>119.31</v>
      </c>
      <c r="C257">
        <f t="shared" si="1"/>
        <v>1.6029449314835307</v>
      </c>
    </row>
    <row r="258" spans="1:3" x14ac:dyDescent="0.25">
      <c r="A258" t="s">
        <v>693</v>
      </c>
      <c r="B258" s="80">
        <v>118.78</v>
      </c>
      <c r="C258">
        <f t="shared" si="1"/>
        <v>1.5784930014248597</v>
      </c>
    </row>
    <row r="259" spans="1:3" x14ac:dyDescent="0.25">
      <c r="A259" t="s">
        <v>694</v>
      </c>
      <c r="B259" s="80">
        <v>119.52</v>
      </c>
      <c r="C259">
        <f t="shared" si="1"/>
        <v>1.5855362855699613</v>
      </c>
    </row>
    <row r="260" spans="1:3" x14ac:dyDescent="0.25">
      <c r="A260" t="s">
        <v>695</v>
      </c>
      <c r="B260" s="80">
        <v>119.54</v>
      </c>
      <c r="C260">
        <f t="shared" si="1"/>
        <v>1.575719544846051</v>
      </c>
    </row>
    <row r="261" spans="1:3" x14ac:dyDescent="0.25">
      <c r="A261" t="s">
        <v>696</v>
      </c>
      <c r="B261" s="80">
        <v>119.74</v>
      </c>
      <c r="C261">
        <f t="shared" ref="C261:C267" si="2">$B$310/B260</f>
        <v>1.5754559143382969</v>
      </c>
    </row>
    <row r="262" spans="1:3" x14ac:dyDescent="0.25">
      <c r="A262" t="s">
        <v>697</v>
      </c>
      <c r="B262" s="80">
        <v>123.03</v>
      </c>
      <c r="C262">
        <f t="shared" si="2"/>
        <v>1.5728244529814599</v>
      </c>
    </row>
    <row r="263" spans="1:3" x14ac:dyDescent="0.25">
      <c r="A263" t="s">
        <v>698</v>
      </c>
      <c r="B263" s="80">
        <v>126.19</v>
      </c>
      <c r="C263">
        <f t="shared" si="2"/>
        <v>1.530764854100626</v>
      </c>
    </row>
    <row r="264" spans="1:3" x14ac:dyDescent="0.25">
      <c r="A264" t="s">
        <v>699</v>
      </c>
      <c r="B264" s="80">
        <v>129.22999999999999</v>
      </c>
      <c r="C264">
        <f t="shared" si="2"/>
        <v>1.4924320469133847</v>
      </c>
    </row>
    <row r="265" spans="1:3" x14ac:dyDescent="0.25">
      <c r="A265" t="s">
        <v>700</v>
      </c>
      <c r="B265" s="80">
        <v>130.88</v>
      </c>
      <c r="C265">
        <f t="shared" si="2"/>
        <v>1.4573241507389927</v>
      </c>
    </row>
    <row r="266" spans="1:3" x14ac:dyDescent="0.25">
      <c r="A266" t="s">
        <v>701</v>
      </c>
      <c r="B266" s="80">
        <v>135.01</v>
      </c>
      <c r="C266">
        <f t="shared" si="2"/>
        <v>1.4389517114914427</v>
      </c>
    </row>
    <row r="267" spans="1:3" x14ac:dyDescent="0.25">
      <c r="A267" t="s">
        <v>702</v>
      </c>
      <c r="B267" s="80">
        <v>136.76</v>
      </c>
      <c r="C267">
        <f t="shared" si="2"/>
        <v>1.3949337086141769</v>
      </c>
    </row>
    <row r="268" spans="1:3" x14ac:dyDescent="0.25">
      <c r="A268" t="s">
        <v>703</v>
      </c>
      <c r="B268" s="80">
        <v>139.03</v>
      </c>
      <c r="C268">
        <f t="shared" ref="C268:C281" si="3">$B$310/B267</f>
        <v>1.3770839426732964</v>
      </c>
    </row>
    <row r="269" spans="1:3" x14ac:dyDescent="0.25">
      <c r="A269" t="s">
        <v>704</v>
      </c>
      <c r="B269" s="80">
        <v>140.32</v>
      </c>
      <c r="C269">
        <f t="shared" si="3"/>
        <v>1.3545997266776955</v>
      </c>
    </row>
    <row r="270" spans="1:3" x14ac:dyDescent="0.25">
      <c r="A270" t="s">
        <v>705</v>
      </c>
      <c r="B270" s="80">
        <v>142.13999999999999</v>
      </c>
      <c r="C270">
        <f t="shared" si="3"/>
        <v>1.3421465222348918</v>
      </c>
    </row>
    <row r="271" spans="1:3" x14ac:dyDescent="0.25">
      <c r="A271" t="s">
        <v>706</v>
      </c>
      <c r="B271" s="80">
        <v>146.16999999999999</v>
      </c>
      <c r="C271">
        <f t="shared" si="3"/>
        <v>1.3249613057548897</v>
      </c>
    </row>
    <row r="272" spans="1:3" x14ac:dyDescent="0.25">
      <c r="A272" t="s">
        <v>707</v>
      </c>
      <c r="B272" s="80">
        <v>150.38999999999999</v>
      </c>
      <c r="C272">
        <f t="shared" si="3"/>
        <v>1.2884312786481495</v>
      </c>
    </row>
    <row r="273" spans="1:3" x14ac:dyDescent="0.25">
      <c r="A273" t="s">
        <v>708</v>
      </c>
      <c r="B273" s="80">
        <v>151.53</v>
      </c>
      <c r="C273">
        <f t="shared" si="3"/>
        <v>1.2522774120619724</v>
      </c>
    </row>
    <row r="274" spans="1:3" x14ac:dyDescent="0.25">
      <c r="A274" t="s">
        <v>709</v>
      </c>
      <c r="B274" s="80">
        <v>159.25</v>
      </c>
      <c r="C274">
        <f t="shared" si="3"/>
        <v>1.2428562000923911</v>
      </c>
    </row>
    <row r="275" spans="1:3" x14ac:dyDescent="0.25">
      <c r="A275" t="s">
        <v>710</v>
      </c>
      <c r="B275" s="80">
        <v>165.4</v>
      </c>
      <c r="C275">
        <f t="shared" si="3"/>
        <v>1.1826059654631085</v>
      </c>
    </row>
    <row r="276" spans="1:3" x14ac:dyDescent="0.25">
      <c r="A276" t="s">
        <v>711</v>
      </c>
      <c r="B276" s="80">
        <v>172.86</v>
      </c>
      <c r="C276">
        <f t="shared" si="3"/>
        <v>1.13863361547763</v>
      </c>
    </row>
    <row r="277" spans="1:3" x14ac:dyDescent="0.25">
      <c r="A277" t="s">
        <v>712</v>
      </c>
      <c r="B277" s="80">
        <v>175.83</v>
      </c>
      <c r="C277">
        <f t="shared" si="3"/>
        <v>1.0894943885225037</v>
      </c>
    </row>
    <row r="278" spans="1:3" x14ac:dyDescent="0.25">
      <c r="A278" t="s">
        <v>713</v>
      </c>
      <c r="B278" s="80">
        <v>181.71</v>
      </c>
      <c r="C278">
        <f t="shared" si="3"/>
        <v>1.0710913950975374</v>
      </c>
    </row>
    <row r="279" spans="1:3" x14ac:dyDescent="0.25">
      <c r="A279" t="s">
        <v>714</v>
      </c>
      <c r="B279" s="80">
        <v>180.03</v>
      </c>
      <c r="C279">
        <f t="shared" si="3"/>
        <v>1.0364316768477244</v>
      </c>
    </row>
    <row r="280" spans="1:3" x14ac:dyDescent="0.25">
      <c r="A280" t="s">
        <v>715</v>
      </c>
      <c r="B280" s="80">
        <v>184.9</v>
      </c>
      <c r="C280">
        <f t="shared" si="3"/>
        <v>1.0461034272065768</v>
      </c>
    </row>
    <row r="281" spans="1:3" x14ac:dyDescent="0.25">
      <c r="A281" t="s">
        <v>716</v>
      </c>
      <c r="B281" s="80">
        <v>181.19</v>
      </c>
      <c r="C281">
        <f t="shared" si="3"/>
        <v>1.0185505678745268</v>
      </c>
    </row>
    <row r="282" spans="1:3" x14ac:dyDescent="0.25">
      <c r="A282" t="s">
        <v>717</v>
      </c>
      <c r="B282" s="80">
        <v>180.9</v>
      </c>
      <c r="C282">
        <f>$B$310/B281</f>
        <v>1.0394061482421768</v>
      </c>
    </row>
    <row r="283" spans="1:3" x14ac:dyDescent="0.25">
      <c r="A283" t="s">
        <v>718</v>
      </c>
      <c r="B283" s="80">
        <v>184.68</v>
      </c>
      <c r="C283">
        <f>$B$310/B282</f>
        <v>1.0410724156992814</v>
      </c>
    </row>
    <row r="284" spans="1:3" x14ac:dyDescent="0.25">
      <c r="A284" t="s">
        <v>719</v>
      </c>
      <c r="B284" s="80">
        <v>187.27</v>
      </c>
      <c r="C284">
        <f>$B$310/B283</f>
        <v>1.0197639159627463</v>
      </c>
    </row>
    <row r="285" spans="1:3" x14ac:dyDescent="0.25">
      <c r="A285" t="s">
        <v>720</v>
      </c>
      <c r="B285" s="80">
        <v>184.57</v>
      </c>
      <c r="C285">
        <f>$B$310/B284</f>
        <v>1.0056602766059699</v>
      </c>
    </row>
    <row r="286" spans="1:3" x14ac:dyDescent="0.25">
      <c r="A286" t="s">
        <v>721</v>
      </c>
      <c r="B286" s="80">
        <v>185.05</v>
      </c>
      <c r="C286">
        <f t="shared" ref="C286:C309" si="4">$B$310/B285</f>
        <v>1.0203716747033647</v>
      </c>
    </row>
    <row r="287" spans="1:3" x14ac:dyDescent="0.25">
      <c r="A287" t="s">
        <v>722</v>
      </c>
      <c r="B287" s="80">
        <v>187.15</v>
      </c>
      <c r="C287">
        <f t="shared" si="4"/>
        <v>1.01772493920562</v>
      </c>
    </row>
    <row r="288" spans="1:3" x14ac:dyDescent="0.25">
      <c r="A288" t="s">
        <v>723</v>
      </c>
      <c r="B288" s="80">
        <v>185.11</v>
      </c>
      <c r="C288">
        <f t="shared" si="4"/>
        <v>1.0063051028586696</v>
      </c>
    </row>
    <row r="289" spans="1:3" x14ac:dyDescent="0.25">
      <c r="A289" t="s">
        <v>724</v>
      </c>
      <c r="B289" s="80">
        <v>182.27</v>
      </c>
      <c r="C289">
        <f t="shared" si="4"/>
        <v>1.0173950623953325</v>
      </c>
    </row>
    <row r="290" spans="1:3" x14ac:dyDescent="0.25">
      <c r="A290" t="s">
        <v>725</v>
      </c>
      <c r="B290" s="80">
        <v>178.28</v>
      </c>
      <c r="C290">
        <f t="shared" si="4"/>
        <v>1.0332473802600537</v>
      </c>
    </row>
    <row r="291" spans="1:3" x14ac:dyDescent="0.25">
      <c r="A291" t="s">
        <v>726</v>
      </c>
      <c r="B291" s="80">
        <v>174.08</v>
      </c>
      <c r="C291">
        <f t="shared" si="4"/>
        <v>1.0563719991025353</v>
      </c>
    </row>
    <row r="292" spans="1:3" x14ac:dyDescent="0.25">
      <c r="A292" t="s">
        <v>727</v>
      </c>
      <c r="B292" s="80">
        <v>173.02</v>
      </c>
      <c r="C292">
        <f t="shared" si="4"/>
        <v>1.0818589154411764</v>
      </c>
    </row>
    <row r="293" spans="1:3" x14ac:dyDescent="0.25">
      <c r="A293" t="s">
        <v>728</v>
      </c>
      <c r="B293" s="80">
        <v>176.26</v>
      </c>
      <c r="C293">
        <f t="shared" si="4"/>
        <v>1.0884868801294647</v>
      </c>
    </row>
    <row r="294" spans="1:3" x14ac:dyDescent="0.25">
      <c r="A294" t="s">
        <v>729</v>
      </c>
      <c r="B294" s="80">
        <v>179.13</v>
      </c>
      <c r="C294">
        <f t="shared" si="4"/>
        <v>1.0684783842051515</v>
      </c>
    </row>
    <row r="295" spans="1:3" x14ac:dyDescent="0.25">
      <c r="A295" t="s">
        <v>730</v>
      </c>
      <c r="B295" s="80">
        <v>180.13</v>
      </c>
      <c r="C295">
        <f t="shared" si="4"/>
        <v>1.0513593479595824</v>
      </c>
    </row>
    <row r="296" spans="1:3" x14ac:dyDescent="0.25">
      <c r="A296" t="s">
        <v>731</v>
      </c>
      <c r="B296" s="80">
        <v>176.45</v>
      </c>
      <c r="C296">
        <f t="shared" si="4"/>
        <v>1.0455226780658415</v>
      </c>
    </row>
    <row r="297" spans="1:3" x14ac:dyDescent="0.25">
      <c r="A297" t="s">
        <v>732</v>
      </c>
      <c r="B297" s="80">
        <v>173.88</v>
      </c>
      <c r="C297">
        <f t="shared" si="4"/>
        <v>1.0673278549164071</v>
      </c>
    </row>
    <row r="298" spans="1:3" x14ac:dyDescent="0.25">
      <c r="A298" t="s">
        <v>733</v>
      </c>
      <c r="B298" s="80">
        <v>174.91</v>
      </c>
      <c r="C298">
        <f t="shared" si="4"/>
        <v>1.0831032896250288</v>
      </c>
    </row>
    <row r="299" spans="1:3" x14ac:dyDescent="0.25">
      <c r="A299" t="s">
        <v>734</v>
      </c>
      <c r="B299" s="80">
        <v>176.77</v>
      </c>
      <c r="C299">
        <f t="shared" si="4"/>
        <v>1.0767251729460867</v>
      </c>
    </row>
    <row r="300" spans="1:3" x14ac:dyDescent="0.25">
      <c r="A300" t="s">
        <v>735</v>
      </c>
      <c r="B300" s="80">
        <v>177.57</v>
      </c>
      <c r="C300">
        <f t="shared" si="4"/>
        <v>1.0653957119420716</v>
      </c>
    </row>
    <row r="301" spans="1:3" x14ac:dyDescent="0.25">
      <c r="A301" t="s">
        <v>736</v>
      </c>
      <c r="B301" s="80">
        <v>179.17</v>
      </c>
      <c r="C301">
        <f t="shared" si="4"/>
        <v>1.0605958213662219</v>
      </c>
    </row>
    <row r="302" spans="1:3" x14ac:dyDescent="0.25">
      <c r="A302" t="s">
        <v>737</v>
      </c>
      <c r="B302" s="80">
        <v>177.83</v>
      </c>
      <c r="C302">
        <f t="shared" si="4"/>
        <v>1.0511246302394375</v>
      </c>
    </row>
    <row r="303" spans="1:3" x14ac:dyDescent="0.25">
      <c r="A303" t="s">
        <v>738</v>
      </c>
      <c r="B303" s="80">
        <v>180.15</v>
      </c>
      <c r="C303">
        <f t="shared" si="4"/>
        <v>1.0590451554855762</v>
      </c>
    </row>
    <row r="304" spans="1:3" x14ac:dyDescent="0.25">
      <c r="A304" t="s">
        <v>739</v>
      </c>
      <c r="B304" s="80">
        <v>180.55</v>
      </c>
      <c r="C304">
        <f t="shared" si="4"/>
        <v>1.0454066056064391</v>
      </c>
    </row>
    <row r="305" spans="1:3" x14ac:dyDescent="0.25">
      <c r="A305" t="s">
        <v>740</v>
      </c>
      <c r="B305" s="80">
        <v>178.54</v>
      </c>
      <c r="C305">
        <f t="shared" si="4"/>
        <v>1.0430905566325117</v>
      </c>
    </row>
    <row r="306" spans="1:3" x14ac:dyDescent="0.25">
      <c r="A306" t="s">
        <v>741</v>
      </c>
      <c r="B306" s="80">
        <v>179.93</v>
      </c>
      <c r="C306">
        <f t="shared" si="4"/>
        <v>1.0548336507225273</v>
      </c>
    </row>
    <row r="307" spans="1:3" x14ac:dyDescent="0.25">
      <c r="A307" t="s">
        <v>742</v>
      </c>
      <c r="B307" s="80">
        <v>181.96</v>
      </c>
      <c r="C307">
        <f t="shared" si="4"/>
        <v>1.0466848218751736</v>
      </c>
    </row>
    <row r="308" spans="1:3" x14ac:dyDescent="0.25">
      <c r="A308" t="s">
        <v>743</v>
      </c>
      <c r="B308" s="80">
        <v>184.92</v>
      </c>
      <c r="C308">
        <f t="shared" si="4"/>
        <v>1.035007693998681</v>
      </c>
    </row>
    <row r="309" spans="1:3" x14ac:dyDescent="0.25">
      <c r="A309" t="s">
        <v>744</v>
      </c>
      <c r="B309" s="80">
        <v>186.42</v>
      </c>
      <c r="C309">
        <f t="shared" si="4"/>
        <v>1.0184404066623407</v>
      </c>
    </row>
    <row r="310" spans="1:3" x14ac:dyDescent="0.25">
      <c r="A310" t="s">
        <v>745</v>
      </c>
      <c r="B310" s="80">
        <v>188.33</v>
      </c>
      <c r="C310">
        <f>$B$310/B309</f>
        <v>1.010245681793799</v>
      </c>
    </row>
    <row r="311" spans="1:3" x14ac:dyDescent="0.25">
      <c r="A311" t="s">
        <v>746</v>
      </c>
    </row>
    <row r="312" spans="1:3" x14ac:dyDescent="0.25">
      <c r="A312" t="s">
        <v>746</v>
      </c>
    </row>
    <row r="313" spans="1:3" x14ac:dyDescent="0.25">
      <c r="A313" t="s">
        <v>747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8378-D95C-4A4C-9672-25B814C00FF7}">
  <sheetPr codeName="Hoja41"/>
  <dimension ref="A1:T33"/>
  <sheetViews>
    <sheetView workbookViewId="0"/>
  </sheetViews>
  <sheetFormatPr baseColWidth="10" defaultRowHeight="15" x14ac:dyDescent="0.25"/>
  <cols>
    <col min="1" max="1" width="16.28515625" bestFit="1" customWidth="1"/>
    <col min="2" max="2" width="15.85546875" bestFit="1" customWidth="1"/>
    <col min="3" max="3" width="14.42578125" bestFit="1" customWidth="1"/>
    <col min="4" max="4" width="13.7109375" bestFit="1" customWidth="1"/>
    <col min="5" max="5" width="4.28515625" customWidth="1"/>
    <col min="6" max="6" width="25.28515625" bestFit="1" customWidth="1"/>
    <col min="7" max="7" width="14.140625" bestFit="1" customWidth="1"/>
    <col min="8" max="8" width="13.5703125" bestFit="1" customWidth="1"/>
    <col min="9" max="9" width="5.7109375" customWidth="1"/>
    <col min="10" max="10" width="10.7109375" customWidth="1"/>
    <col min="11" max="11" width="25.28515625" bestFit="1" customWidth="1"/>
    <col min="12" max="14" width="14" customWidth="1"/>
    <col min="15" max="15" width="5.85546875" customWidth="1"/>
    <col min="16" max="16" width="10.7109375" customWidth="1"/>
    <col min="17" max="17" width="25.28515625" bestFit="1" customWidth="1"/>
    <col min="18" max="20" width="14" customWidth="1"/>
  </cols>
  <sheetData>
    <row r="1" spans="1:20" ht="15" customHeight="1" x14ac:dyDescent="0.25">
      <c r="A1" s="24" t="s">
        <v>153</v>
      </c>
      <c r="B1" s="25"/>
      <c r="C1" s="25"/>
      <c r="D1" s="24"/>
      <c r="F1" s="24" t="s">
        <v>154</v>
      </c>
      <c r="G1" s="25"/>
      <c r="H1" s="25"/>
      <c r="I1" s="22"/>
      <c r="J1" s="40" t="s">
        <v>156</v>
      </c>
      <c r="K1" s="24"/>
      <c r="L1" s="24"/>
      <c r="M1" s="24"/>
      <c r="N1" s="24"/>
      <c r="P1" s="26" t="s">
        <v>157</v>
      </c>
      <c r="Q1" s="38"/>
      <c r="R1" s="38"/>
      <c r="S1" s="38"/>
      <c r="T1" s="38"/>
    </row>
    <row r="2" spans="1:20" x14ac:dyDescent="0.25">
      <c r="A2" s="41" t="s">
        <v>130</v>
      </c>
      <c r="B2" s="41" t="s">
        <v>118</v>
      </c>
      <c r="C2" s="41" t="s">
        <v>119</v>
      </c>
      <c r="D2" s="41" t="s">
        <v>131</v>
      </c>
      <c r="F2" s="18" t="s">
        <v>155</v>
      </c>
      <c r="G2" s="18" t="s">
        <v>142</v>
      </c>
      <c r="H2" s="18" t="s">
        <v>135</v>
      </c>
      <c r="J2" s="39" t="s">
        <v>152</v>
      </c>
      <c r="K2" s="39" t="s">
        <v>155</v>
      </c>
      <c r="L2" s="39" t="s">
        <v>142</v>
      </c>
      <c r="M2" s="39" t="s">
        <v>135</v>
      </c>
      <c r="N2" s="39" t="s">
        <v>141</v>
      </c>
      <c r="P2" s="35" t="s">
        <v>152</v>
      </c>
      <c r="Q2" s="37" t="s">
        <v>140</v>
      </c>
      <c r="R2" s="35" t="s">
        <v>142</v>
      </c>
      <c r="S2" s="35" t="s">
        <v>135</v>
      </c>
      <c r="T2" s="35" t="s">
        <v>141</v>
      </c>
    </row>
    <row r="3" spans="1:20" x14ac:dyDescent="0.25">
      <c r="A3" s="19">
        <v>34.5</v>
      </c>
      <c r="B3" s="20" t="s">
        <v>125</v>
      </c>
      <c r="C3" s="21" t="s">
        <v>120</v>
      </c>
      <c r="D3" s="19" t="s">
        <v>133</v>
      </c>
      <c r="F3" s="16" t="s">
        <v>136</v>
      </c>
      <c r="G3" s="17">
        <v>3</v>
      </c>
      <c r="H3" s="17">
        <v>3</v>
      </c>
      <c r="J3" s="19" t="s">
        <v>158</v>
      </c>
      <c r="K3" s="16" t="s">
        <v>146</v>
      </c>
      <c r="L3" s="18"/>
      <c r="M3" s="17">
        <v>1</v>
      </c>
      <c r="N3" s="19">
        <f>SUM(L3:M3)</f>
        <v>1</v>
      </c>
    </row>
    <row r="4" spans="1:20" x14ac:dyDescent="0.25">
      <c r="A4" s="19">
        <v>34.5</v>
      </c>
      <c r="B4" s="20" t="s">
        <v>124</v>
      </c>
      <c r="C4" s="21" t="s">
        <v>120</v>
      </c>
      <c r="D4" s="19" t="s">
        <v>133</v>
      </c>
      <c r="F4" s="16" t="s">
        <v>137</v>
      </c>
      <c r="G4" s="17">
        <v>1</v>
      </c>
      <c r="H4" s="17">
        <v>1</v>
      </c>
      <c r="J4" s="19" t="s">
        <v>10</v>
      </c>
      <c r="K4" s="16" t="s">
        <v>136</v>
      </c>
      <c r="L4" s="17">
        <f t="shared" ref="L4:M8" si="0">G3*B$21</f>
        <v>12</v>
      </c>
      <c r="M4" s="17">
        <f t="shared" si="0"/>
        <v>3</v>
      </c>
      <c r="N4" s="19">
        <f>SUM(L4:M4)</f>
        <v>15</v>
      </c>
      <c r="P4" s="33" t="s">
        <v>9</v>
      </c>
      <c r="Q4" s="36" t="s">
        <v>136</v>
      </c>
      <c r="R4" s="34">
        <f t="shared" ref="R4:S8" si="1">G3*B$22</f>
        <v>9</v>
      </c>
      <c r="S4" s="34">
        <f t="shared" si="1"/>
        <v>3</v>
      </c>
      <c r="T4" s="33">
        <f>SUM(R4:S4)</f>
        <v>12</v>
      </c>
    </row>
    <row r="5" spans="1:20" x14ac:dyDescent="0.25">
      <c r="A5" s="19">
        <v>34.5</v>
      </c>
      <c r="B5" s="20" t="s">
        <v>126</v>
      </c>
      <c r="C5" s="21" t="s">
        <v>120</v>
      </c>
      <c r="D5" s="19" t="s">
        <v>133</v>
      </c>
      <c r="F5" s="16" t="s">
        <v>138</v>
      </c>
      <c r="G5" s="17">
        <v>1</v>
      </c>
      <c r="H5" s="17">
        <v>1</v>
      </c>
      <c r="J5" s="19" t="s">
        <v>12</v>
      </c>
      <c r="K5" s="16" t="s">
        <v>137</v>
      </c>
      <c r="L5" s="17">
        <f t="shared" si="0"/>
        <v>4</v>
      </c>
      <c r="M5" s="17">
        <f t="shared" si="0"/>
        <v>1</v>
      </c>
      <c r="N5" s="19">
        <f>SUM(L5:M5)</f>
        <v>5</v>
      </c>
      <c r="P5" s="19" t="s">
        <v>11</v>
      </c>
      <c r="Q5" s="16" t="s">
        <v>137</v>
      </c>
      <c r="R5" s="17">
        <f t="shared" si="1"/>
        <v>3</v>
      </c>
      <c r="S5" s="17">
        <f t="shared" si="1"/>
        <v>1</v>
      </c>
      <c r="T5" s="19">
        <f t="shared" ref="T5:T12" si="2">SUM(R5:S5)</f>
        <v>4</v>
      </c>
    </row>
    <row r="6" spans="1:20" x14ac:dyDescent="0.25">
      <c r="A6" s="19">
        <v>34.5</v>
      </c>
      <c r="B6" s="20" t="s">
        <v>123</v>
      </c>
      <c r="C6" s="21" t="s">
        <v>120</v>
      </c>
      <c r="D6" s="19" t="s">
        <v>132</v>
      </c>
      <c r="F6" s="16" t="s">
        <v>143</v>
      </c>
      <c r="G6" s="17">
        <v>1</v>
      </c>
      <c r="H6" s="17">
        <v>0</v>
      </c>
      <c r="J6" s="19" t="s">
        <v>14</v>
      </c>
      <c r="K6" s="16" t="s">
        <v>138</v>
      </c>
      <c r="L6" s="17">
        <f t="shared" si="0"/>
        <v>4</v>
      </c>
      <c r="M6" s="17">
        <f t="shared" si="0"/>
        <v>1</v>
      </c>
      <c r="N6" s="19">
        <f t="shared" ref="N6:N13" si="3">SUM(L6:M6)</f>
        <v>5</v>
      </c>
      <c r="P6" s="19" t="s">
        <v>13</v>
      </c>
      <c r="Q6" s="16" t="s">
        <v>138</v>
      </c>
      <c r="R6" s="17">
        <f t="shared" si="1"/>
        <v>3</v>
      </c>
      <c r="S6" s="17">
        <f t="shared" si="1"/>
        <v>1</v>
      </c>
      <c r="T6" s="19">
        <f t="shared" si="2"/>
        <v>4</v>
      </c>
    </row>
    <row r="7" spans="1:20" x14ac:dyDescent="0.25">
      <c r="A7" s="19">
        <v>34.5</v>
      </c>
      <c r="B7" s="20" t="s">
        <v>122</v>
      </c>
      <c r="C7" s="21" t="s">
        <v>120</v>
      </c>
      <c r="D7" s="19" t="s">
        <v>134</v>
      </c>
      <c r="F7" s="28" t="s">
        <v>139</v>
      </c>
      <c r="G7" s="29">
        <v>3</v>
      </c>
      <c r="H7" s="29">
        <v>3</v>
      </c>
      <c r="J7" s="19" t="s">
        <v>161</v>
      </c>
      <c r="K7" s="16" t="s">
        <v>143</v>
      </c>
      <c r="L7" s="17">
        <f t="shared" si="0"/>
        <v>4</v>
      </c>
      <c r="M7" s="17">
        <f t="shared" si="0"/>
        <v>0</v>
      </c>
      <c r="N7" s="19">
        <f t="shared" si="3"/>
        <v>4</v>
      </c>
      <c r="P7" s="19" t="s">
        <v>15</v>
      </c>
      <c r="Q7" s="16" t="s">
        <v>143</v>
      </c>
      <c r="R7" s="17">
        <f t="shared" si="1"/>
        <v>3</v>
      </c>
      <c r="S7" s="17">
        <f t="shared" si="1"/>
        <v>0</v>
      </c>
      <c r="T7" s="19">
        <f t="shared" si="2"/>
        <v>3</v>
      </c>
    </row>
    <row r="8" spans="1:20" x14ac:dyDescent="0.25">
      <c r="A8" s="19">
        <v>34.5</v>
      </c>
      <c r="B8" s="20" t="s">
        <v>127</v>
      </c>
      <c r="C8" s="21" t="s">
        <v>121</v>
      </c>
      <c r="D8" s="19" t="s">
        <v>132</v>
      </c>
      <c r="F8" s="16" t="s">
        <v>170</v>
      </c>
      <c r="G8" s="17">
        <v>1</v>
      </c>
      <c r="H8" s="17">
        <v>1</v>
      </c>
      <c r="I8" s="23"/>
      <c r="J8" s="19" t="s">
        <v>162</v>
      </c>
      <c r="K8" s="16" t="s">
        <v>160</v>
      </c>
      <c r="L8" s="17">
        <f t="shared" si="0"/>
        <v>12</v>
      </c>
      <c r="M8" s="17">
        <f t="shared" si="0"/>
        <v>3</v>
      </c>
      <c r="N8" s="19">
        <f t="shared" si="3"/>
        <v>15</v>
      </c>
      <c r="P8" s="19" t="s">
        <v>172</v>
      </c>
      <c r="Q8" s="16" t="s">
        <v>160</v>
      </c>
      <c r="R8" s="17">
        <f t="shared" si="1"/>
        <v>9</v>
      </c>
      <c r="S8" s="17">
        <f t="shared" si="1"/>
        <v>3</v>
      </c>
      <c r="T8" s="19">
        <f t="shared" si="2"/>
        <v>12</v>
      </c>
    </row>
    <row r="9" spans="1:20" x14ac:dyDescent="0.25">
      <c r="A9" s="19">
        <v>34.5</v>
      </c>
      <c r="B9" s="20" t="s">
        <v>149</v>
      </c>
      <c r="C9" s="21" t="s">
        <v>121</v>
      </c>
      <c r="D9" s="19" t="s">
        <v>133</v>
      </c>
      <c r="J9" s="19" t="s">
        <v>163</v>
      </c>
      <c r="K9" s="16" t="s">
        <v>159</v>
      </c>
      <c r="L9" s="17">
        <v>3</v>
      </c>
      <c r="M9" s="17">
        <v>0</v>
      </c>
      <c r="N9" s="19">
        <f t="shared" si="3"/>
        <v>3</v>
      </c>
      <c r="P9" s="19" t="s">
        <v>173</v>
      </c>
      <c r="Q9" s="16" t="s">
        <v>159</v>
      </c>
      <c r="R9" s="17">
        <v>3</v>
      </c>
      <c r="S9" s="17">
        <v>0</v>
      </c>
      <c r="T9" s="19">
        <f t="shared" si="2"/>
        <v>3</v>
      </c>
    </row>
    <row r="10" spans="1:20" x14ac:dyDescent="0.25">
      <c r="A10" s="19">
        <v>34.5</v>
      </c>
      <c r="B10" s="20" t="s">
        <v>128</v>
      </c>
      <c r="C10" s="21" t="s">
        <v>121</v>
      </c>
      <c r="D10" s="19" t="s">
        <v>133</v>
      </c>
      <c r="J10" s="19" t="s">
        <v>164</v>
      </c>
      <c r="K10" s="16" t="s">
        <v>165</v>
      </c>
      <c r="L10" s="17">
        <v>1</v>
      </c>
      <c r="M10" s="17">
        <v>0</v>
      </c>
      <c r="N10" s="19">
        <f t="shared" si="3"/>
        <v>1</v>
      </c>
      <c r="P10" s="19" t="s">
        <v>174</v>
      </c>
      <c r="Q10" s="17">
        <f>H18</f>
        <v>0</v>
      </c>
      <c r="R10" s="17">
        <f>H19</f>
        <v>0</v>
      </c>
      <c r="S10" s="17">
        <v>0</v>
      </c>
      <c r="T10" s="19">
        <f t="shared" si="2"/>
        <v>0</v>
      </c>
    </row>
    <row r="11" spans="1:20" x14ac:dyDescent="0.25">
      <c r="A11" s="19">
        <v>13.8</v>
      </c>
      <c r="B11" s="20" t="s">
        <v>150</v>
      </c>
      <c r="C11" s="21" t="s">
        <v>120</v>
      </c>
      <c r="D11" s="19" t="s">
        <v>133</v>
      </c>
      <c r="J11" s="19" t="s">
        <v>168</v>
      </c>
      <c r="K11" s="17" t="str">
        <f>B20</f>
        <v>Bahías de Línea</v>
      </c>
      <c r="L11" s="17">
        <f>B21</f>
        <v>4</v>
      </c>
      <c r="M11" s="17">
        <v>0</v>
      </c>
      <c r="N11" s="19">
        <f t="shared" si="3"/>
        <v>4</v>
      </c>
      <c r="P11" s="19" t="s">
        <v>175</v>
      </c>
      <c r="Q11" s="17">
        <f>I18</f>
        <v>0</v>
      </c>
      <c r="R11" s="17">
        <v>0</v>
      </c>
      <c r="S11" s="17">
        <f>I19</f>
        <v>0</v>
      </c>
      <c r="T11" s="19">
        <f t="shared" si="2"/>
        <v>0</v>
      </c>
    </row>
    <row r="12" spans="1:20" x14ac:dyDescent="0.25">
      <c r="A12" s="19">
        <v>13.8</v>
      </c>
      <c r="B12" s="20" t="s">
        <v>129</v>
      </c>
      <c r="C12" s="21" t="s">
        <v>120</v>
      </c>
      <c r="D12" s="19" t="s">
        <v>133</v>
      </c>
      <c r="J12" s="19" t="s">
        <v>169</v>
      </c>
      <c r="K12" s="17" t="str">
        <f>C20</f>
        <v>Bahías de Trafo</v>
      </c>
      <c r="L12" s="17">
        <v>0</v>
      </c>
      <c r="M12" s="17">
        <f>C21</f>
        <v>1</v>
      </c>
      <c r="N12" s="19">
        <f t="shared" si="3"/>
        <v>1</v>
      </c>
      <c r="P12" s="19" t="s">
        <v>176</v>
      </c>
      <c r="Q12" s="16" t="s">
        <v>170</v>
      </c>
      <c r="R12" s="17">
        <f>M6*H$21</f>
        <v>0</v>
      </c>
      <c r="S12" s="17">
        <f>N6*I$21</f>
        <v>0</v>
      </c>
      <c r="T12" s="19">
        <f t="shared" si="2"/>
        <v>0</v>
      </c>
    </row>
    <row r="13" spans="1:20" x14ac:dyDescent="0.25">
      <c r="A13" s="19">
        <v>13.8</v>
      </c>
      <c r="B13" s="20" t="s">
        <v>151</v>
      </c>
      <c r="C13" s="21" t="s">
        <v>120</v>
      </c>
      <c r="D13" s="19" t="s">
        <v>133</v>
      </c>
      <c r="J13" s="19" t="s">
        <v>171</v>
      </c>
      <c r="K13" s="16" t="s">
        <v>170</v>
      </c>
      <c r="L13" s="17">
        <f>G8*B$21</f>
        <v>4</v>
      </c>
      <c r="M13" s="17">
        <f>H8*C$21</f>
        <v>1</v>
      </c>
      <c r="N13" s="19">
        <f t="shared" si="3"/>
        <v>5</v>
      </c>
    </row>
    <row r="14" spans="1:20" x14ac:dyDescent="0.25">
      <c r="A14" s="19">
        <v>13.8</v>
      </c>
      <c r="B14" s="20" t="s">
        <v>122</v>
      </c>
      <c r="C14" s="21" t="s">
        <v>120</v>
      </c>
      <c r="D14" s="19" t="s">
        <v>134</v>
      </c>
    </row>
    <row r="15" spans="1:20" x14ac:dyDescent="0.25">
      <c r="A15" s="19">
        <v>13.8</v>
      </c>
      <c r="B15" s="20" t="s">
        <v>123</v>
      </c>
      <c r="C15" s="21" t="s">
        <v>120</v>
      </c>
      <c r="D15" s="19" t="s">
        <v>132</v>
      </c>
    </row>
    <row r="16" spans="1:20" x14ac:dyDescent="0.25">
      <c r="A16" s="19">
        <v>13.8</v>
      </c>
      <c r="B16" s="20" t="s">
        <v>127</v>
      </c>
      <c r="C16" s="21" t="s">
        <v>121</v>
      </c>
      <c r="D16" s="19" t="s">
        <v>132</v>
      </c>
    </row>
    <row r="17" spans="1:4" x14ac:dyDescent="0.25">
      <c r="A17" s="19">
        <v>13.8</v>
      </c>
      <c r="B17" s="20" t="s">
        <v>128</v>
      </c>
      <c r="C17" s="21" t="s">
        <v>121</v>
      </c>
      <c r="D17" s="19" t="s">
        <v>133</v>
      </c>
    </row>
    <row r="18" spans="1:4" x14ac:dyDescent="0.25">
      <c r="A18" s="19">
        <v>13.8</v>
      </c>
      <c r="B18" s="20" t="s">
        <v>128</v>
      </c>
      <c r="C18" s="21" t="s">
        <v>121</v>
      </c>
      <c r="D18" s="19" t="s">
        <v>133</v>
      </c>
    </row>
    <row r="19" spans="1:4" x14ac:dyDescent="0.25">
      <c r="A19" s="14"/>
      <c r="B19" s="14"/>
      <c r="C19" s="14"/>
    </row>
    <row r="20" spans="1:4" x14ac:dyDescent="0.25">
      <c r="A20" s="35" t="s">
        <v>130</v>
      </c>
      <c r="B20" s="35" t="s">
        <v>167</v>
      </c>
      <c r="C20" s="35" t="s">
        <v>144</v>
      </c>
      <c r="D20" s="35" t="s">
        <v>145</v>
      </c>
    </row>
    <row r="21" spans="1:4" x14ac:dyDescent="0.25">
      <c r="A21" s="33">
        <v>34.5</v>
      </c>
      <c r="B21" s="34">
        <v>4</v>
      </c>
      <c r="C21" s="34">
        <f>COUNTIFS($D$3:$D$18,"T",$C$3:$C$18,"SI",$A$3:$A$18,$A21)</f>
        <v>1</v>
      </c>
      <c r="D21" s="34">
        <f>COUNTIFS($D$3:$D$18,"Aux",$C$3:$C$18,"SI",$A$3:$A$18,$A$21)</f>
        <v>1</v>
      </c>
    </row>
    <row r="22" spans="1:4" x14ac:dyDescent="0.25">
      <c r="A22" s="19">
        <v>13.8</v>
      </c>
      <c r="B22" s="17">
        <f>COUNTIFS($D$3:$D$18,"L",$C$3:$C$18,"SI",$A$3:$A$18,$A$21)</f>
        <v>3</v>
      </c>
      <c r="C22" s="17">
        <f>COUNTIFS($D$3:$D$18,"T",$C$3:$C$18,"SI",$A$3:$A$18,$A22)</f>
        <v>1</v>
      </c>
      <c r="D22" s="17">
        <f>COUNTIFS($D$3:$D$18,"Aux",$C$3:$C$18,"SI",$A$3:$A$18,$A$21)</f>
        <v>1</v>
      </c>
    </row>
    <row r="23" spans="1:4" x14ac:dyDescent="0.25">
      <c r="A23" s="18" t="s">
        <v>141</v>
      </c>
      <c r="B23" s="15">
        <f>SUM(B21:B22)</f>
        <v>7</v>
      </c>
      <c r="C23" s="15">
        <f>SUM(C21:C22)</f>
        <v>2</v>
      </c>
      <c r="D23" s="15">
        <f>SUM(D21:D22)</f>
        <v>2</v>
      </c>
    </row>
    <row r="24" spans="1:4" x14ac:dyDescent="0.25">
      <c r="A24" s="14"/>
      <c r="B24" s="14"/>
      <c r="C24" s="14"/>
    </row>
    <row r="25" spans="1:4" x14ac:dyDescent="0.25">
      <c r="A25" s="13" t="s">
        <v>36</v>
      </c>
      <c r="B25" s="13" t="s">
        <v>182</v>
      </c>
      <c r="C25" s="14"/>
    </row>
    <row r="26" spans="1:4" ht="30" x14ac:dyDescent="0.25">
      <c r="A26" s="32" t="s">
        <v>178</v>
      </c>
      <c r="B26" s="42">
        <v>15</v>
      </c>
    </row>
    <row r="27" spans="1:4" ht="30" x14ac:dyDescent="0.25">
      <c r="A27" s="32" t="s">
        <v>179</v>
      </c>
      <c r="B27" s="42">
        <v>5</v>
      </c>
    </row>
    <row r="28" spans="1:4" ht="30" x14ac:dyDescent="0.25">
      <c r="A28" s="32" t="s">
        <v>180</v>
      </c>
      <c r="B28" s="43">
        <v>4</v>
      </c>
      <c r="C28" s="13"/>
    </row>
    <row r="29" spans="1:4" x14ac:dyDescent="0.25">
      <c r="A29" s="32" t="s">
        <v>181</v>
      </c>
      <c r="B29" s="42">
        <v>21</v>
      </c>
    </row>
    <row r="30" spans="1:4" x14ac:dyDescent="0.25">
      <c r="A30" s="32" t="s">
        <v>183</v>
      </c>
      <c r="B30" s="42">
        <v>8</v>
      </c>
    </row>
    <row r="31" spans="1:4" x14ac:dyDescent="0.25">
      <c r="A31" s="32" t="s">
        <v>184</v>
      </c>
      <c r="B31" s="42">
        <v>4</v>
      </c>
    </row>
    <row r="32" spans="1:4" x14ac:dyDescent="0.25">
      <c r="A32" s="32" t="s">
        <v>185</v>
      </c>
      <c r="B32" s="42">
        <v>3</v>
      </c>
    </row>
    <row r="33" spans="1:2" x14ac:dyDescent="0.25">
      <c r="A33" s="32" t="s">
        <v>186</v>
      </c>
      <c r="B33" s="42">
        <v>4</v>
      </c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7999-431A-4B62-9930-8D8528FBFA93}">
  <sheetPr codeName="Hoja29"/>
  <dimension ref="A1:V32"/>
  <sheetViews>
    <sheetView workbookViewId="0"/>
  </sheetViews>
  <sheetFormatPr baseColWidth="10" defaultRowHeight="15" x14ac:dyDescent="0.25"/>
  <cols>
    <col min="1" max="1" width="9.7109375" customWidth="1"/>
    <col min="2" max="2" width="45.28515625" customWidth="1"/>
    <col min="3" max="3" width="7.42578125" bestFit="1" customWidth="1"/>
    <col min="4" max="4" width="14.140625" bestFit="1" customWidth="1"/>
    <col min="5" max="5" width="14.140625" customWidth="1"/>
    <col min="6" max="6" width="12.7109375" bestFit="1" customWidth="1"/>
    <col min="7" max="7" width="6.5703125" customWidth="1"/>
    <col min="9" max="9" width="36.42578125" customWidth="1"/>
    <col min="10" max="10" width="13.28515625" bestFit="1" customWidth="1"/>
    <col min="12" max="12" width="14.42578125" bestFit="1" customWidth="1"/>
    <col min="13" max="13" width="4.42578125" customWidth="1"/>
    <col min="14" max="14" width="10.5703125" bestFit="1" customWidth="1"/>
    <col min="15" max="15" width="104" customWidth="1"/>
    <col min="16" max="16" width="7.42578125" bestFit="1" customWidth="1"/>
    <col min="17" max="17" width="19.85546875" bestFit="1" customWidth="1"/>
    <col min="18" max="18" width="5.140625" customWidth="1"/>
    <col min="19" max="19" width="10.5703125" bestFit="1" customWidth="1"/>
    <col min="20" max="20" width="51" bestFit="1" customWidth="1"/>
    <col min="21" max="21" width="7.42578125" bestFit="1" customWidth="1"/>
    <col min="22" max="22" width="13" bestFit="1" customWidth="1"/>
  </cols>
  <sheetData>
    <row r="1" spans="1:22" x14ac:dyDescent="0.25">
      <c r="A1" s="67" t="s">
        <v>35</v>
      </c>
      <c r="B1" s="67" t="s">
        <v>36</v>
      </c>
      <c r="C1" s="67" t="s">
        <v>37</v>
      </c>
      <c r="D1" s="67" t="s">
        <v>39</v>
      </c>
      <c r="E1" s="67" t="s">
        <v>1095</v>
      </c>
      <c r="F1" s="67" t="s">
        <v>1096</v>
      </c>
      <c r="H1" s="67" t="s">
        <v>35</v>
      </c>
      <c r="I1" s="67" t="s">
        <v>36</v>
      </c>
      <c r="J1" s="67" t="s">
        <v>43</v>
      </c>
      <c r="K1" s="67" t="s">
        <v>44</v>
      </c>
      <c r="L1" s="67" t="s">
        <v>45</v>
      </c>
      <c r="N1" s="67" t="s">
        <v>35</v>
      </c>
      <c r="O1" s="67" t="s">
        <v>36</v>
      </c>
      <c r="P1" s="67" t="s">
        <v>37</v>
      </c>
      <c r="Q1" s="67" t="s">
        <v>39</v>
      </c>
      <c r="S1" s="67" t="s">
        <v>35</v>
      </c>
      <c r="T1" s="67" t="s">
        <v>36</v>
      </c>
      <c r="U1" s="67" t="s">
        <v>37</v>
      </c>
      <c r="V1" s="67" t="s">
        <v>39</v>
      </c>
    </row>
    <row r="2" spans="1:22" x14ac:dyDescent="0.25">
      <c r="A2" t="s">
        <v>71</v>
      </c>
      <c r="B2" t="s">
        <v>72</v>
      </c>
      <c r="C2" t="s">
        <v>18</v>
      </c>
      <c r="D2" s="2">
        <f>F2/(E2*12)</f>
        <v>8585.8585858585866</v>
      </c>
      <c r="E2" s="92">
        <v>0.33</v>
      </c>
      <c r="F2" s="2">
        <v>34000</v>
      </c>
      <c r="H2" s="89" t="s">
        <v>319</v>
      </c>
      <c r="I2" t="s">
        <v>47</v>
      </c>
      <c r="J2">
        <v>4</v>
      </c>
      <c r="K2" s="94">
        <f t="shared" ref="K2:K15" si="0">J2*IF(J2&gt;2,1423500,(1423500+200000))/21</f>
        <v>271142.85714285716</v>
      </c>
      <c r="L2" s="94">
        <f t="shared" ref="L2:L15" si="1">0.6*K2</f>
        <v>162685.71428571429</v>
      </c>
      <c r="N2" t="s">
        <v>97</v>
      </c>
      <c r="O2" t="s">
        <v>98</v>
      </c>
      <c r="P2" s="23" t="s">
        <v>18</v>
      </c>
      <c r="Q2" s="2">
        <v>5500000</v>
      </c>
      <c r="S2" t="s">
        <v>326</v>
      </c>
      <c r="T2" t="s">
        <v>59</v>
      </c>
      <c r="U2" t="s">
        <v>18</v>
      </c>
      <c r="V2" s="2">
        <v>9167</v>
      </c>
    </row>
    <row r="3" spans="1:22" ht="15" customHeight="1" x14ac:dyDescent="0.25">
      <c r="A3" t="s">
        <v>73</v>
      </c>
      <c r="B3" t="s">
        <v>74</v>
      </c>
      <c r="C3" t="s">
        <v>75</v>
      </c>
      <c r="D3" s="2">
        <f t="shared" ref="D3:D14" si="2">F3/(E3*12)</f>
        <v>7500</v>
      </c>
      <c r="E3" s="92">
        <v>1</v>
      </c>
      <c r="F3" s="2">
        <v>90000</v>
      </c>
      <c r="H3" s="89" t="s">
        <v>320</v>
      </c>
      <c r="I3" t="s">
        <v>49</v>
      </c>
      <c r="J3">
        <v>2.2999999999999998</v>
      </c>
      <c r="K3" s="94">
        <f t="shared" si="0"/>
        <v>155907.14285714284</v>
      </c>
      <c r="L3" s="94">
        <f t="shared" si="1"/>
        <v>93544.285714285696</v>
      </c>
      <c r="N3" t="s">
        <v>321</v>
      </c>
      <c r="O3" t="s">
        <v>147</v>
      </c>
      <c r="P3" s="23" t="s">
        <v>18</v>
      </c>
      <c r="Q3" s="2">
        <v>21000000</v>
      </c>
      <c r="S3" t="s">
        <v>58</v>
      </c>
      <c r="T3" t="s">
        <v>61</v>
      </c>
      <c r="U3" t="s">
        <v>18</v>
      </c>
      <c r="V3" s="2">
        <v>2333</v>
      </c>
    </row>
    <row r="4" spans="1:22" x14ac:dyDescent="0.25">
      <c r="A4" t="s">
        <v>76</v>
      </c>
      <c r="B4" t="s">
        <v>329</v>
      </c>
      <c r="C4" t="s">
        <v>18</v>
      </c>
      <c r="D4" s="2">
        <f t="shared" si="2"/>
        <v>10101.010101010101</v>
      </c>
      <c r="E4" s="92">
        <v>0.33</v>
      </c>
      <c r="F4" s="2">
        <v>40000</v>
      </c>
      <c r="H4" s="89" t="s">
        <v>46</v>
      </c>
      <c r="I4" t="s">
        <v>51</v>
      </c>
      <c r="J4">
        <v>2</v>
      </c>
      <c r="K4" s="94">
        <f t="shared" si="0"/>
        <v>154619.04761904763</v>
      </c>
      <c r="L4" s="94">
        <f t="shared" si="1"/>
        <v>92771.42857142858</v>
      </c>
      <c r="N4" t="s">
        <v>322</v>
      </c>
      <c r="O4" t="s">
        <v>1100</v>
      </c>
      <c r="P4" s="23" t="s">
        <v>1114</v>
      </c>
      <c r="Q4" s="2">
        <v>611</v>
      </c>
      <c r="S4" t="s">
        <v>327</v>
      </c>
      <c r="T4" t="s">
        <v>63</v>
      </c>
      <c r="U4" t="s">
        <v>18</v>
      </c>
      <c r="V4" s="2">
        <v>1250</v>
      </c>
    </row>
    <row r="5" spans="1:22" x14ac:dyDescent="0.25">
      <c r="A5" t="s">
        <v>77</v>
      </c>
      <c r="B5" t="s">
        <v>78</v>
      </c>
      <c r="C5" t="s">
        <v>18</v>
      </c>
      <c r="D5" s="2">
        <f t="shared" si="2"/>
        <v>3787.878787878788</v>
      </c>
      <c r="E5" s="92">
        <v>0.33</v>
      </c>
      <c r="F5" s="2">
        <v>15000</v>
      </c>
      <c r="H5" s="89" t="s">
        <v>48</v>
      </c>
      <c r="I5" t="s">
        <v>53</v>
      </c>
      <c r="J5">
        <v>1.5</v>
      </c>
      <c r="K5" s="94">
        <f t="shared" si="0"/>
        <v>115964.28571428571</v>
      </c>
      <c r="L5" s="94">
        <f t="shared" si="1"/>
        <v>69578.57142857142</v>
      </c>
      <c r="N5" t="s">
        <v>323</v>
      </c>
      <c r="O5" t="s">
        <v>401</v>
      </c>
      <c r="P5" s="23" t="s">
        <v>18</v>
      </c>
      <c r="Q5" s="2">
        <f>88263*21*8</f>
        <v>14828184</v>
      </c>
      <c r="S5" t="s">
        <v>60</v>
      </c>
      <c r="T5" t="s">
        <v>65</v>
      </c>
      <c r="U5" t="s">
        <v>18</v>
      </c>
      <c r="V5" s="2">
        <v>125000</v>
      </c>
    </row>
    <row r="6" spans="1:22" ht="15" customHeight="1" x14ac:dyDescent="0.25">
      <c r="A6" t="s">
        <v>79</v>
      </c>
      <c r="B6" t="s">
        <v>80</v>
      </c>
      <c r="C6" t="s">
        <v>18</v>
      </c>
      <c r="D6" s="2">
        <f t="shared" si="2"/>
        <v>2777.7777777777778</v>
      </c>
      <c r="E6" s="92">
        <v>0.33</v>
      </c>
      <c r="F6" s="2">
        <v>11000</v>
      </c>
      <c r="H6" s="89" t="s">
        <v>50</v>
      </c>
      <c r="I6" t="s">
        <v>55</v>
      </c>
      <c r="J6">
        <v>2.5</v>
      </c>
      <c r="K6" s="94">
        <f t="shared" si="0"/>
        <v>169464.28571428571</v>
      </c>
      <c r="L6" s="94">
        <f t="shared" si="1"/>
        <v>101678.57142857142</v>
      </c>
      <c r="N6" t="s">
        <v>324</v>
      </c>
      <c r="O6" t="s">
        <v>405</v>
      </c>
      <c r="P6" s="23" t="s">
        <v>18</v>
      </c>
      <c r="Q6" s="2">
        <f>273992*21*8</f>
        <v>46030656</v>
      </c>
      <c r="S6" t="s">
        <v>62</v>
      </c>
      <c r="T6" t="s">
        <v>67</v>
      </c>
      <c r="U6" t="s">
        <v>18</v>
      </c>
      <c r="V6" s="2">
        <v>250000</v>
      </c>
    </row>
    <row r="7" spans="1:22" ht="15" customHeight="1" x14ac:dyDescent="0.25">
      <c r="A7" t="s">
        <v>402</v>
      </c>
      <c r="B7" t="s">
        <v>82</v>
      </c>
      <c r="C7" t="s">
        <v>75</v>
      </c>
      <c r="D7" s="2">
        <f t="shared" si="2"/>
        <v>2916.6666666666665</v>
      </c>
      <c r="E7" s="92">
        <v>2</v>
      </c>
      <c r="F7" s="2">
        <v>70000</v>
      </c>
      <c r="H7" s="89" t="s">
        <v>52</v>
      </c>
      <c r="I7" t="s">
        <v>1099</v>
      </c>
      <c r="J7">
        <v>1</v>
      </c>
      <c r="K7" s="94">
        <f t="shared" si="0"/>
        <v>77309.523809523816</v>
      </c>
      <c r="L7" s="94">
        <f t="shared" si="1"/>
        <v>46385.71428571429</v>
      </c>
      <c r="N7" t="s">
        <v>404</v>
      </c>
      <c r="O7" t="s">
        <v>115</v>
      </c>
      <c r="P7" s="23" t="s">
        <v>18</v>
      </c>
      <c r="Q7" s="2" t="s">
        <v>325</v>
      </c>
      <c r="S7" t="s">
        <v>328</v>
      </c>
      <c r="T7" t="s">
        <v>68</v>
      </c>
      <c r="U7" t="s">
        <v>18</v>
      </c>
      <c r="V7" s="2">
        <v>75758</v>
      </c>
    </row>
    <row r="8" spans="1:22" x14ac:dyDescent="0.25">
      <c r="A8" t="s">
        <v>403</v>
      </c>
      <c r="B8" t="s">
        <v>84</v>
      </c>
      <c r="C8" t="s">
        <v>18</v>
      </c>
      <c r="D8" s="2">
        <f t="shared" si="2"/>
        <v>2525.2525252525252</v>
      </c>
      <c r="E8" s="92">
        <v>0.33</v>
      </c>
      <c r="F8" s="2">
        <v>10000</v>
      </c>
      <c r="H8" s="89" t="s">
        <v>1109</v>
      </c>
      <c r="I8" t="s">
        <v>1111</v>
      </c>
      <c r="J8">
        <v>1</v>
      </c>
      <c r="K8" s="94">
        <f t="shared" si="0"/>
        <v>77309.523809523816</v>
      </c>
      <c r="L8" s="94">
        <f t="shared" si="1"/>
        <v>46385.71428571429</v>
      </c>
      <c r="N8" t="s">
        <v>1119</v>
      </c>
      <c r="O8" t="s">
        <v>1118</v>
      </c>
      <c r="P8" s="23" t="s">
        <v>18</v>
      </c>
      <c r="Q8" s="2">
        <f>63070*21</f>
        <v>1324470</v>
      </c>
      <c r="S8" t="s">
        <v>1046</v>
      </c>
      <c r="T8" t="str">
        <f>PROPER("MOLDE GRAFITO SOLDADURA EXOTÉRMICA EN X")</f>
        <v>Molde Grafito Soldadura Exotérmica En X</v>
      </c>
      <c r="U8" t="s">
        <v>18</v>
      </c>
      <c r="V8" s="2">
        <v>239000</v>
      </c>
    </row>
    <row r="9" spans="1:22" x14ac:dyDescent="0.25">
      <c r="A9" t="s">
        <v>81</v>
      </c>
      <c r="B9" t="s">
        <v>86</v>
      </c>
      <c r="C9" t="s">
        <v>75</v>
      </c>
      <c r="D9" s="2">
        <f t="shared" si="2"/>
        <v>2525.2525252525252</v>
      </c>
      <c r="E9" s="92">
        <v>0.33</v>
      </c>
      <c r="F9" s="2">
        <v>10000</v>
      </c>
      <c r="H9" s="89" t="s">
        <v>54</v>
      </c>
      <c r="I9" t="s">
        <v>1112</v>
      </c>
      <c r="J9">
        <v>2.5</v>
      </c>
      <c r="K9" s="94">
        <f t="shared" si="0"/>
        <v>169464.28571428571</v>
      </c>
      <c r="L9" s="94">
        <f t="shared" si="1"/>
        <v>101678.57142857142</v>
      </c>
      <c r="N9" t="s">
        <v>1343</v>
      </c>
      <c r="O9" t="s">
        <v>1344</v>
      </c>
      <c r="P9" s="23" t="s">
        <v>114</v>
      </c>
      <c r="Q9">
        <v>70000</v>
      </c>
      <c r="S9" t="s">
        <v>64</v>
      </c>
      <c r="T9" t="s">
        <v>1125</v>
      </c>
      <c r="U9" t="s">
        <v>18</v>
      </c>
      <c r="V9" s="2">
        <f>899*1.19*'Precio Monedas'!B2</f>
        <v>4814145</v>
      </c>
    </row>
    <row r="10" spans="1:22" x14ac:dyDescent="0.25">
      <c r="A10" t="s">
        <v>83</v>
      </c>
      <c r="B10" t="s">
        <v>88</v>
      </c>
      <c r="C10" t="s">
        <v>18</v>
      </c>
      <c r="D10" s="2">
        <f t="shared" si="2"/>
        <v>3750</v>
      </c>
      <c r="E10" s="92">
        <v>1</v>
      </c>
      <c r="F10" s="2">
        <v>45000</v>
      </c>
      <c r="H10" s="89" t="s">
        <v>1110</v>
      </c>
      <c r="I10" t="s">
        <v>1113</v>
      </c>
      <c r="J10">
        <v>1.5</v>
      </c>
      <c r="K10" s="94">
        <f t="shared" si="0"/>
        <v>115964.28571428571</v>
      </c>
      <c r="L10" s="94">
        <f t="shared" si="1"/>
        <v>69578.57142857142</v>
      </c>
      <c r="N10" t="s">
        <v>1379</v>
      </c>
      <c r="O10" t="s">
        <v>1378</v>
      </c>
      <c r="P10" s="23" t="s">
        <v>18</v>
      </c>
      <c r="Q10" s="66">
        <f>26420.93*8*21</f>
        <v>4438716.24</v>
      </c>
      <c r="S10" t="s">
        <v>66</v>
      </c>
      <c r="T10" t="s">
        <v>1126</v>
      </c>
      <c r="U10" t="s">
        <v>18</v>
      </c>
      <c r="V10" s="2">
        <v>474905</v>
      </c>
    </row>
    <row r="11" spans="1:22" x14ac:dyDescent="0.25">
      <c r="A11" t="s">
        <v>85</v>
      </c>
      <c r="B11" t="s">
        <v>90</v>
      </c>
      <c r="C11" t="s">
        <v>18</v>
      </c>
      <c r="D11" s="2">
        <f t="shared" si="2"/>
        <v>7575.757575757576</v>
      </c>
      <c r="E11" s="92">
        <v>0.33</v>
      </c>
      <c r="F11" s="2">
        <v>30000</v>
      </c>
      <c r="H11" s="89" t="s">
        <v>1116</v>
      </c>
      <c r="I11" t="s">
        <v>1115</v>
      </c>
      <c r="J11">
        <v>3</v>
      </c>
      <c r="K11" s="94">
        <f t="shared" si="0"/>
        <v>203357.14285714287</v>
      </c>
      <c r="L11" s="94">
        <f t="shared" si="1"/>
        <v>122014.28571428571</v>
      </c>
      <c r="N11" t="s">
        <v>1391</v>
      </c>
      <c r="O11" t="s">
        <v>1389</v>
      </c>
      <c r="P11" s="23" t="s">
        <v>18</v>
      </c>
      <c r="Q11" s="66">
        <f>9975*8*21</f>
        <v>1675800</v>
      </c>
    </row>
    <row r="12" spans="1:22" x14ac:dyDescent="0.25">
      <c r="A12" t="s">
        <v>87</v>
      </c>
      <c r="B12" t="s">
        <v>92</v>
      </c>
      <c r="C12" t="s">
        <v>18</v>
      </c>
      <c r="D12" s="2">
        <f t="shared" si="2"/>
        <v>7500</v>
      </c>
      <c r="E12" s="92">
        <v>1</v>
      </c>
      <c r="F12" s="2">
        <v>90000</v>
      </c>
      <c r="H12" s="89" t="s">
        <v>1121</v>
      </c>
      <c r="I12" t="s">
        <v>1120</v>
      </c>
      <c r="J12">
        <v>14</v>
      </c>
      <c r="K12" s="94">
        <f t="shared" si="0"/>
        <v>949000</v>
      </c>
      <c r="L12" s="94">
        <f t="shared" si="1"/>
        <v>569400</v>
      </c>
      <c r="N12" t="s">
        <v>1392</v>
      </c>
      <c r="O12" t="s">
        <v>1390</v>
      </c>
      <c r="P12" s="23" t="s">
        <v>18</v>
      </c>
      <c r="Q12" s="66">
        <f>7695*8*21</f>
        <v>1292760</v>
      </c>
    </row>
    <row r="13" spans="1:22" x14ac:dyDescent="0.25">
      <c r="A13" t="s">
        <v>89</v>
      </c>
      <c r="B13" t="s">
        <v>93</v>
      </c>
      <c r="C13" t="s">
        <v>18</v>
      </c>
      <c r="D13" s="2">
        <f t="shared" si="2"/>
        <v>37500</v>
      </c>
      <c r="E13" s="92">
        <v>4</v>
      </c>
      <c r="F13" s="2">
        <v>1800000</v>
      </c>
      <c r="H13" s="89" t="s">
        <v>1122</v>
      </c>
      <c r="I13" t="s">
        <v>1191</v>
      </c>
      <c r="J13">
        <v>3</v>
      </c>
      <c r="K13" s="94">
        <f t="shared" si="0"/>
        <v>203357.14285714287</v>
      </c>
      <c r="L13" s="94">
        <f t="shared" si="1"/>
        <v>122014.28571428571</v>
      </c>
      <c r="N13" t="s">
        <v>1473</v>
      </c>
      <c r="O13" t="s">
        <v>1472</v>
      </c>
      <c r="P13" s="23" t="s">
        <v>18</v>
      </c>
      <c r="Q13" s="66">
        <f>3278*8*21</f>
        <v>550704</v>
      </c>
    </row>
    <row r="14" spans="1:22" x14ac:dyDescent="0.25">
      <c r="A14" t="s">
        <v>91</v>
      </c>
      <c r="B14" t="s">
        <v>94</v>
      </c>
      <c r="C14" t="s">
        <v>18</v>
      </c>
      <c r="D14" s="2">
        <f t="shared" si="2"/>
        <v>26041.666666666668</v>
      </c>
      <c r="E14" s="92">
        <v>4</v>
      </c>
      <c r="F14" s="2">
        <v>1250000</v>
      </c>
      <c r="H14" s="89" t="s">
        <v>1160</v>
      </c>
      <c r="I14" t="s">
        <v>1159</v>
      </c>
      <c r="J14">
        <v>2</v>
      </c>
      <c r="K14" s="94">
        <f t="shared" si="0"/>
        <v>154619.04761904763</v>
      </c>
      <c r="L14" s="94">
        <f t="shared" si="1"/>
        <v>92771.42857142858</v>
      </c>
      <c r="N14" t="s">
        <v>1569</v>
      </c>
      <c r="O14" t="s">
        <v>1566</v>
      </c>
      <c r="P14" s="23" t="s">
        <v>18</v>
      </c>
      <c r="Q14" s="66">
        <f>141307*8*21</f>
        <v>23739576</v>
      </c>
    </row>
    <row r="15" spans="1:22" x14ac:dyDescent="0.25">
      <c r="D15" s="2"/>
      <c r="E15" s="92"/>
      <c r="F15" s="2"/>
      <c r="H15" s="89" t="s">
        <v>1376</v>
      </c>
      <c r="I15" t="s">
        <v>1375</v>
      </c>
      <c r="J15">
        <v>2</v>
      </c>
      <c r="K15" s="94">
        <f t="shared" si="0"/>
        <v>154619.04761904763</v>
      </c>
      <c r="L15" s="94">
        <f t="shared" si="1"/>
        <v>92771.42857142858</v>
      </c>
      <c r="N15" t="s">
        <v>1570</v>
      </c>
      <c r="O15" t="s">
        <v>1567</v>
      </c>
      <c r="P15" s="23" t="s">
        <v>18</v>
      </c>
      <c r="Q15" s="66">
        <f>29162*8*21</f>
        <v>4899216</v>
      </c>
    </row>
    <row r="16" spans="1:22" x14ac:dyDescent="0.25">
      <c r="D16" s="2"/>
      <c r="E16" s="92"/>
      <c r="F16" s="2"/>
      <c r="I16" s="66"/>
      <c r="J16" s="66"/>
      <c r="N16" t="s">
        <v>1571</v>
      </c>
      <c r="O16" t="s">
        <v>1568</v>
      </c>
      <c r="P16" s="23" t="s">
        <v>18</v>
      </c>
      <c r="Q16" s="66">
        <f>102366*8*21</f>
        <v>17197488</v>
      </c>
    </row>
    <row r="17" spans="9:17" x14ac:dyDescent="0.25">
      <c r="I17" s="66"/>
      <c r="J17" s="66"/>
      <c r="N17" t="s">
        <v>2196</v>
      </c>
      <c r="O17" t="s">
        <v>2195</v>
      </c>
      <c r="P17" s="23" t="s">
        <v>18</v>
      </c>
      <c r="Q17" s="66">
        <f>675749.029432224*8*21</f>
        <v>113525836.94461364</v>
      </c>
    </row>
    <row r="18" spans="9:17" x14ac:dyDescent="0.25">
      <c r="I18" s="66"/>
      <c r="J18" s="66"/>
      <c r="N18" t="s">
        <v>2198</v>
      </c>
      <c r="O18" t="s">
        <v>2197</v>
      </c>
      <c r="P18" s="23" t="s">
        <v>18</v>
      </c>
      <c r="Q18" s="66">
        <f>256739.231927711*8*21</f>
        <v>43132190.963855445</v>
      </c>
    </row>
    <row r="19" spans="9:17" x14ac:dyDescent="0.25">
      <c r="J19" s="66"/>
      <c r="N19" t="s">
        <v>2200</v>
      </c>
      <c r="O19" t="s">
        <v>2199</v>
      </c>
      <c r="P19" s="23" t="s">
        <v>18</v>
      </c>
      <c r="Q19" s="66">
        <f>248057.228915663*21*8</f>
        <v>41673614.457831383</v>
      </c>
    </row>
    <row r="20" spans="9:17" x14ac:dyDescent="0.25">
      <c r="J20" s="66"/>
      <c r="N20" t="s">
        <v>2202</v>
      </c>
      <c r="O20" t="s">
        <v>2201</v>
      </c>
      <c r="P20" s="23" t="s">
        <v>18</v>
      </c>
      <c r="Q20" s="66">
        <f>197412.809400494*21*8</f>
        <v>33165351.979282994</v>
      </c>
    </row>
    <row r="21" spans="9:17" x14ac:dyDescent="0.25">
      <c r="J21" s="66"/>
      <c r="N21" t="s">
        <v>2209</v>
      </c>
      <c r="O21" t="s">
        <v>2206</v>
      </c>
      <c r="P21" s="23" t="s">
        <v>18</v>
      </c>
      <c r="Q21" s="66">
        <f>124028.614457831*8*21</f>
        <v>20836807.228915609</v>
      </c>
    </row>
    <row r="22" spans="9:17" x14ac:dyDescent="0.25">
      <c r="J22" s="66"/>
      <c r="N22" t="s">
        <v>2210</v>
      </c>
      <c r="O22" t="s">
        <v>2207</v>
      </c>
      <c r="P22" s="23" t="s">
        <v>18</v>
      </c>
      <c r="Q22" s="66">
        <f>221341.634782372*8*21</f>
        <v>37185394.643438496</v>
      </c>
    </row>
    <row r="23" spans="9:17" x14ac:dyDescent="0.25">
      <c r="J23" s="66"/>
      <c r="N23" t="s">
        <v>2211</v>
      </c>
      <c r="O23" t="s">
        <v>2208</v>
      </c>
      <c r="P23" s="23" t="s">
        <v>18</v>
      </c>
      <c r="Q23" s="66">
        <f>232553.652108434*8*21</f>
        <v>39069013.554216914</v>
      </c>
    </row>
    <row r="24" spans="9:17" x14ac:dyDescent="0.25">
      <c r="J24" s="66"/>
      <c r="N24" t="s">
        <v>2216</v>
      </c>
      <c r="O24" t="s">
        <v>2215</v>
      </c>
      <c r="P24" s="23" t="s">
        <v>18</v>
      </c>
      <c r="Q24" s="66">
        <f>53839.8571092257*21*8</f>
        <v>9045095.9943499174</v>
      </c>
    </row>
    <row r="25" spans="9:17" x14ac:dyDescent="0.25">
      <c r="N25" t="s">
        <v>2225</v>
      </c>
      <c r="O25" t="s">
        <v>2224</v>
      </c>
      <c r="P25" s="23" t="s">
        <v>18</v>
      </c>
      <c r="Q25" s="66">
        <v>214489.08357336133</v>
      </c>
    </row>
    <row r="26" spans="9:17" x14ac:dyDescent="0.25">
      <c r="N26" t="s">
        <v>2563</v>
      </c>
      <c r="O26" t="s">
        <v>2562</v>
      </c>
      <c r="P26" s="23" t="s">
        <v>18</v>
      </c>
      <c r="Q26" s="66">
        <f>103154*21*8</f>
        <v>17329872</v>
      </c>
    </row>
    <row r="27" spans="9:17" x14ac:dyDescent="0.25">
      <c r="N27" t="s">
        <v>2567</v>
      </c>
      <c r="O27" t="s">
        <v>2566</v>
      </c>
      <c r="P27" s="23" t="s">
        <v>18</v>
      </c>
      <c r="Q27" s="66">
        <f>429030*21*8</f>
        <v>72077040</v>
      </c>
    </row>
    <row r="28" spans="9:17" x14ac:dyDescent="0.25">
      <c r="N28" t="s">
        <v>2569</v>
      </c>
      <c r="O28" t="s">
        <v>2568</v>
      </c>
      <c r="P28" s="23" t="s">
        <v>18</v>
      </c>
      <c r="Q28" s="66">
        <f>117332*21*8</f>
        <v>19711776</v>
      </c>
    </row>
    <row r="29" spans="9:17" x14ac:dyDescent="0.25">
      <c r="N29" t="s">
        <v>2788</v>
      </c>
      <c r="O29" t="s">
        <v>2784</v>
      </c>
      <c r="P29" s="23" t="s">
        <v>18</v>
      </c>
      <c r="Q29" s="66">
        <f>141751.68*8*21</f>
        <v>23814282.239999998</v>
      </c>
    </row>
    <row r="30" spans="9:17" x14ac:dyDescent="0.25">
      <c r="N30" t="s">
        <v>2789</v>
      </c>
      <c r="O30" t="s">
        <v>2785</v>
      </c>
      <c r="P30" s="23" t="s">
        <v>18</v>
      </c>
      <c r="Q30" s="66">
        <f>76057.8*8*21</f>
        <v>12777710.4</v>
      </c>
    </row>
    <row r="31" spans="9:17" x14ac:dyDescent="0.25">
      <c r="N31" t="s">
        <v>2790</v>
      </c>
      <c r="O31" t="s">
        <v>2786</v>
      </c>
      <c r="P31" s="23" t="s">
        <v>18</v>
      </c>
      <c r="Q31" s="66">
        <f>117530.196*8*21</f>
        <v>19745072.927999999</v>
      </c>
    </row>
    <row r="32" spans="9:17" x14ac:dyDescent="0.25">
      <c r="N32" t="s">
        <v>2791</v>
      </c>
      <c r="O32" t="s">
        <v>2787</v>
      </c>
      <c r="P32" s="23" t="s">
        <v>18</v>
      </c>
      <c r="Q32" s="66">
        <f>154259.427*8*21</f>
        <v>25915583.735999998</v>
      </c>
    </row>
  </sheetData>
  <phoneticPr fontId="15" type="noConversion"/>
  <conditionalFormatting sqref="O14:O20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2308-7AD6-416A-9D11-4DEB89735EF4}">
  <sheetPr codeName="Hoja31"/>
  <dimension ref="A1:E8"/>
  <sheetViews>
    <sheetView workbookViewId="0"/>
  </sheetViews>
  <sheetFormatPr baseColWidth="10" defaultRowHeight="15" x14ac:dyDescent="0.25"/>
  <cols>
    <col min="1" max="1" width="15.7109375" bestFit="1" customWidth="1"/>
    <col min="2" max="2" width="13.85546875" bestFit="1" customWidth="1"/>
    <col min="4" max="5" width="12" bestFit="1" customWidth="1"/>
  </cols>
  <sheetData>
    <row r="1" spans="1:5" x14ac:dyDescent="0.25">
      <c r="A1" s="22" t="s">
        <v>190</v>
      </c>
      <c r="B1" s="22" t="s">
        <v>433</v>
      </c>
    </row>
    <row r="2" spans="1:5" x14ac:dyDescent="0.25">
      <c r="A2" t="s">
        <v>432</v>
      </c>
      <c r="B2" s="90">
        <v>4500</v>
      </c>
    </row>
    <row r="3" spans="1:5" x14ac:dyDescent="0.25">
      <c r="A3" t="s">
        <v>431</v>
      </c>
      <c r="B3" s="79">
        <v>4.3</v>
      </c>
      <c r="D3" s="81"/>
      <c r="E3" s="81"/>
    </row>
    <row r="4" spans="1:5" x14ac:dyDescent="0.25">
      <c r="A4" t="s">
        <v>434</v>
      </c>
      <c r="B4" s="79">
        <v>4300</v>
      </c>
    </row>
    <row r="5" spans="1:5" x14ac:dyDescent="0.25">
      <c r="A5" t="s">
        <v>753</v>
      </c>
      <c r="B5" s="79">
        <v>220</v>
      </c>
      <c r="D5" s="81"/>
    </row>
    <row r="8" spans="1:5" x14ac:dyDescent="0.25">
      <c r="D8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12</vt:i4>
      </vt:variant>
    </vt:vector>
  </HeadingPairs>
  <TitlesOfParts>
    <vt:vector size="19" baseType="lpstr">
      <vt:lpstr>Material</vt:lpstr>
      <vt:lpstr>APUs</vt:lpstr>
      <vt:lpstr>Presupuesto</vt:lpstr>
      <vt:lpstr>IPP</vt:lpstr>
      <vt:lpstr>N Bahias</vt:lpstr>
      <vt:lpstr>Componentes APUs</vt:lpstr>
      <vt:lpstr>Precio Monedas</vt:lpstr>
      <vt:lpstr>Bahías_de_Linea</vt:lpstr>
      <vt:lpstr>Bahías_Equipadas_13_8_kV</vt:lpstr>
      <vt:lpstr>Bahías_Equipadas_34_5_kV</vt:lpstr>
      <vt:lpstr>Metros_Caseta_a_Patio</vt:lpstr>
      <vt:lpstr>Pase_de_Vía</vt:lpstr>
      <vt:lpstr>Reconectador</vt:lpstr>
      <vt:lpstr>Seccionador_Tripolar</vt:lpstr>
      <vt:lpstr>Seccionador_Tripolar_CSPT</vt:lpstr>
      <vt:lpstr>Tubos_1_1_2</vt:lpstr>
      <vt:lpstr>Tubos_2</vt:lpstr>
      <vt:lpstr>Tubos_3</vt:lpstr>
      <vt:lpstr>Tubos_4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Gerardo López M</dc:creator>
  <cp:lastModifiedBy>Gerencia Cinco Ltda</cp:lastModifiedBy>
  <cp:lastPrinted>2025-07-14T22:45:28Z</cp:lastPrinted>
  <dcterms:created xsi:type="dcterms:W3CDTF">2024-10-23T15:31:46Z</dcterms:created>
  <dcterms:modified xsi:type="dcterms:W3CDTF">2025-09-12T20:24:47Z</dcterms:modified>
</cp:coreProperties>
</file>